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3.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4.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5.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6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Kimmo.Sakari\Dropbox\My PC (EA012N)\Desktop\QGasSP\GGIA tool development\"/>
    </mc:Choice>
  </mc:AlternateContent>
  <bookViews>
    <workbookView xWindow="0" yWindow="0" windowWidth="20475" windowHeight="8775" tabRatio="674" activeTab="5"/>
  </bookViews>
  <sheets>
    <sheet name="START" sheetId="12" r:id="rId1"/>
    <sheet name="TRANSPORT" sheetId="11" r:id="rId2"/>
    <sheet name="LAND USE CHANGE" sheetId="18" r:id="rId3"/>
    <sheet name="BUILDINGS" sheetId="20" r:id="rId4"/>
    <sheet name="RESULTS" sheetId="17" r:id="rId5"/>
    <sheet name="LOCAL DATASET" sheetId="16" r:id="rId6"/>
    <sheet name="DEFAULT DATA" sheetId="10" r:id="rId7"/>
    <sheet name="MENU OPTIONS" sheetId="13" r:id="rId8"/>
    <sheet name="CSV" sheetId="21" r:id="rId9"/>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 i="21" l="1"/>
  <c r="A3" i="21" s="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176" i="21" s="1"/>
  <c r="A177" i="21" s="1"/>
  <c r="A178" i="21" s="1"/>
  <c r="A179" i="21" s="1"/>
  <c r="A180" i="21" s="1"/>
  <c r="A181" i="21" s="1"/>
  <c r="A182" i="21" s="1"/>
  <c r="A183" i="21" s="1"/>
  <c r="A184" i="21" s="1"/>
  <c r="A185" i="21" s="1"/>
  <c r="A186" i="21" s="1"/>
  <c r="A187" i="21" s="1"/>
  <c r="A188" i="21" s="1"/>
  <c r="A189" i="21" s="1"/>
  <c r="A190" i="21" s="1"/>
  <c r="A191" i="21" s="1"/>
  <c r="A192" i="21" s="1"/>
  <c r="A193" i="21" s="1"/>
  <c r="A194" i="21" s="1"/>
  <c r="A195" i="21" s="1"/>
  <c r="A196" i="21" s="1"/>
  <c r="A197" i="21" s="1"/>
  <c r="A198" i="21" s="1"/>
  <c r="A199" i="21" s="1"/>
  <c r="A200" i="21" s="1"/>
  <c r="A201" i="21" s="1"/>
  <c r="A202" i="21" s="1"/>
  <c r="A203" i="21" s="1"/>
  <c r="A204" i="21" s="1"/>
  <c r="A205" i="21" s="1"/>
  <c r="A206" i="21" s="1"/>
  <c r="A207" i="21" s="1"/>
  <c r="A208" i="21" s="1"/>
  <c r="A209" i="21" s="1"/>
  <c r="A210" i="21" s="1"/>
  <c r="A211" i="21" s="1"/>
  <c r="A212" i="21" s="1"/>
  <c r="A213" i="21" s="1"/>
  <c r="A214" i="21" s="1"/>
  <c r="A215" i="21" s="1"/>
  <c r="A216" i="21" s="1"/>
  <c r="A217" i="21" s="1"/>
  <c r="A218" i="21" s="1"/>
  <c r="A219" i="21" s="1"/>
  <c r="A220" i="21" s="1"/>
  <c r="A221" i="21" s="1"/>
  <c r="A222" i="21" s="1"/>
  <c r="A223" i="21" s="1"/>
  <c r="A224" i="21" s="1"/>
  <c r="A225" i="21" s="1"/>
  <c r="A226" i="21" s="1"/>
  <c r="A227" i="21" s="1"/>
  <c r="A228" i="21" s="1"/>
  <c r="A229" i="21" s="1"/>
  <c r="A230" i="21" s="1"/>
  <c r="A231" i="21" s="1"/>
  <c r="A232" i="21" s="1"/>
  <c r="A233" i="21" s="1"/>
  <c r="A234" i="21" s="1"/>
  <c r="A235" i="21" s="1"/>
  <c r="A236" i="21" s="1"/>
  <c r="A237" i="21" s="1"/>
  <c r="A238" i="21" s="1"/>
  <c r="A239" i="21" s="1"/>
  <c r="A240" i="21" s="1"/>
  <c r="A241" i="21" s="1"/>
  <c r="A242" i="21" s="1"/>
  <c r="A243" i="21" s="1"/>
  <c r="A244" i="21" s="1"/>
  <c r="A245" i="21" s="1"/>
  <c r="A246" i="21" s="1"/>
  <c r="A247" i="21" s="1"/>
  <c r="A248" i="21" s="1"/>
  <c r="A249" i="21" s="1"/>
  <c r="A250" i="21" s="1"/>
  <c r="A251" i="21" s="1"/>
  <c r="A252" i="21" s="1"/>
  <c r="A253" i="21" s="1"/>
  <c r="A254" i="21" s="1"/>
  <c r="A255" i="21" s="1"/>
  <c r="A256" i="21" s="1"/>
  <c r="A257" i="21" s="1"/>
  <c r="A258" i="21" s="1"/>
  <c r="A259" i="21" s="1"/>
  <c r="A260" i="21" s="1"/>
  <c r="A261" i="21" s="1"/>
  <c r="A262" i="21" s="1"/>
  <c r="A263" i="21" s="1"/>
  <c r="A264" i="21" s="1"/>
  <c r="A265" i="21" s="1"/>
  <c r="A266" i="21" s="1"/>
  <c r="A267" i="21" s="1"/>
  <c r="A268" i="21" s="1"/>
  <c r="A269" i="21" s="1"/>
  <c r="A270" i="21" s="1"/>
  <c r="A271" i="21" s="1"/>
  <c r="A272" i="21" s="1"/>
  <c r="A273" i="21" s="1"/>
  <c r="A274" i="21" s="1"/>
  <c r="A275" i="21" s="1"/>
  <c r="A276" i="21" s="1"/>
  <c r="A277" i="21" s="1"/>
  <c r="A278" i="21" s="1"/>
  <c r="A279" i="21" s="1"/>
  <c r="A280" i="21" s="1"/>
  <c r="A281" i="21" s="1"/>
  <c r="A282" i="21" s="1"/>
  <c r="A283" i="21" s="1"/>
  <c r="A284" i="21" s="1"/>
  <c r="A285" i="21" s="1"/>
  <c r="A286" i="21" s="1"/>
  <c r="A287" i="21" s="1"/>
  <c r="A288" i="21" s="1"/>
  <c r="A289" i="21" s="1"/>
  <c r="A290" i="21" s="1"/>
  <c r="A291" i="21" s="1"/>
  <c r="A292" i="21" s="1"/>
  <c r="A293" i="21" s="1"/>
  <c r="A294" i="21" s="1"/>
  <c r="A295" i="21" s="1"/>
  <c r="A296" i="21" s="1"/>
  <c r="A297" i="21" s="1"/>
  <c r="A298" i="21" s="1"/>
  <c r="A299" i="21" s="1"/>
  <c r="A300" i="21" s="1"/>
  <c r="A301" i="21" s="1"/>
  <c r="A302" i="21" s="1"/>
  <c r="A303" i="21" s="1"/>
  <c r="A304" i="21" s="1"/>
  <c r="A305" i="21" s="1"/>
  <c r="A306" i="21" s="1"/>
  <c r="A307" i="21" s="1"/>
  <c r="A308" i="21" s="1"/>
  <c r="A309" i="21" s="1"/>
  <c r="A310" i="21" s="1"/>
  <c r="A311" i="21" s="1"/>
  <c r="A312" i="21" s="1"/>
  <c r="A313" i="21" s="1"/>
  <c r="A314" i="21" s="1"/>
  <c r="A315" i="21" s="1"/>
  <c r="A316" i="21" s="1"/>
  <c r="A317" i="21" s="1"/>
  <c r="A318" i="21" s="1"/>
  <c r="A319" i="21" s="1"/>
  <c r="A320" i="21" s="1"/>
  <c r="A321" i="21" s="1"/>
  <c r="A322" i="21" s="1"/>
  <c r="A323" i="21" s="1"/>
  <c r="A324" i="21" s="1"/>
  <c r="A325" i="21" s="1"/>
  <c r="A326" i="21" s="1"/>
  <c r="A327" i="21" s="1"/>
  <c r="A328" i="21" s="1"/>
  <c r="A329" i="21" s="1"/>
  <c r="A330" i="21" s="1"/>
  <c r="A331" i="21" s="1"/>
  <c r="A332" i="21" s="1"/>
  <c r="A333" i="21" s="1"/>
  <c r="A334" i="21" s="1"/>
  <c r="A335" i="21" s="1"/>
  <c r="A336" i="21" s="1"/>
  <c r="A337" i="21" s="1"/>
  <c r="A338" i="21" s="1"/>
  <c r="A339" i="21" s="1"/>
  <c r="A340" i="21" s="1"/>
  <c r="A341" i="21" s="1"/>
  <c r="A342" i="21" s="1"/>
  <c r="A343" i="21" s="1"/>
  <c r="A344" i="21" s="1"/>
  <c r="A345" i="21" s="1"/>
  <c r="A346" i="21" s="1"/>
  <c r="A347" i="21" s="1"/>
  <c r="A348" i="21" s="1"/>
  <c r="A349" i="21" s="1"/>
  <c r="A350" i="21" s="1"/>
  <c r="A351" i="21" s="1"/>
  <c r="A352" i="21" s="1"/>
  <c r="A353" i="21" s="1"/>
  <c r="A354" i="21" s="1"/>
  <c r="A355" i="21" s="1"/>
  <c r="A356" i="21" s="1"/>
  <c r="A357" i="21" s="1"/>
  <c r="A358" i="21" s="1"/>
  <c r="A359" i="21" s="1"/>
  <c r="A360" i="21" s="1"/>
  <c r="A361" i="21" s="1"/>
  <c r="A362" i="21" s="1"/>
  <c r="A363" i="21" s="1"/>
  <c r="A364" i="21" s="1"/>
  <c r="A365" i="21" s="1"/>
  <c r="A366" i="21" s="1"/>
  <c r="A367" i="21" s="1"/>
  <c r="A368" i="21" s="1"/>
  <c r="A369" i="21" s="1"/>
  <c r="A370" i="21" s="1"/>
  <c r="A371" i="21" s="1"/>
  <c r="A372" i="21" s="1"/>
  <c r="A373" i="21" s="1"/>
  <c r="A374" i="21" s="1"/>
  <c r="A375" i="21" s="1"/>
  <c r="A376" i="21" s="1"/>
  <c r="A377" i="21" s="1"/>
  <c r="A378" i="21" s="1"/>
  <c r="A379" i="21" s="1"/>
  <c r="A380" i="21" s="1"/>
  <c r="A381" i="21" s="1"/>
  <c r="A382" i="21" s="1"/>
  <c r="A383" i="21" s="1"/>
  <c r="A384" i="21" s="1"/>
  <c r="A385" i="21" s="1"/>
  <c r="A386" i="21" s="1"/>
  <c r="A387" i="21" s="1"/>
  <c r="A388" i="21" s="1"/>
  <c r="A389" i="21" s="1"/>
  <c r="A390" i="21" s="1"/>
  <c r="A391" i="21" s="1"/>
  <c r="A392" i="21" s="1"/>
  <c r="A393" i="21" s="1"/>
  <c r="A394" i="21" s="1"/>
  <c r="A395" i="21" s="1"/>
  <c r="A396" i="21" s="1"/>
  <c r="A397" i="21" s="1"/>
  <c r="A398" i="21" s="1"/>
  <c r="A399" i="21" s="1"/>
  <c r="A400" i="21" s="1"/>
  <c r="A401" i="21" s="1"/>
  <c r="A402" i="21" s="1"/>
  <c r="A403" i="21" s="1"/>
  <c r="A404" i="21" s="1"/>
  <c r="A405" i="21" s="1"/>
  <c r="A406" i="21" s="1"/>
  <c r="A407" i="21" s="1"/>
  <c r="A408" i="21" s="1"/>
  <c r="A409" i="21" s="1"/>
  <c r="A410" i="21" s="1"/>
  <c r="A411" i="21" s="1"/>
  <c r="A412" i="21" s="1"/>
  <c r="A413" i="21" s="1"/>
  <c r="A414" i="21" s="1"/>
  <c r="A415" i="21" s="1"/>
  <c r="A416" i="21" s="1"/>
  <c r="A417" i="21" s="1"/>
  <c r="A418" i="21" s="1"/>
  <c r="A419" i="21" s="1"/>
  <c r="A420" i="21" s="1"/>
  <c r="A421" i="21" s="1"/>
  <c r="A422" i="21" s="1"/>
  <c r="A423" i="21" s="1"/>
  <c r="A424" i="21" s="1"/>
  <c r="A425" i="21" s="1"/>
  <c r="A426" i="21" s="1"/>
  <c r="A427" i="21" s="1"/>
  <c r="A428" i="21" s="1"/>
  <c r="A429" i="21" s="1"/>
  <c r="A430" i="21" s="1"/>
  <c r="A431" i="21" s="1"/>
  <c r="A432" i="21" s="1"/>
  <c r="A433" i="21" s="1"/>
  <c r="A434" i="21" s="1"/>
  <c r="A435" i="21" s="1"/>
  <c r="A436" i="21" s="1"/>
  <c r="A437" i="21" s="1"/>
  <c r="A438" i="21" s="1"/>
  <c r="A439" i="21" s="1"/>
  <c r="A440" i="21" s="1"/>
  <c r="A441" i="21" s="1"/>
  <c r="A442" i="21" s="1"/>
  <c r="A443" i="21" s="1"/>
  <c r="A444" i="21" s="1"/>
  <c r="A445" i="21" s="1"/>
  <c r="A446" i="21" s="1"/>
  <c r="A447" i="21" s="1"/>
  <c r="A448" i="21" s="1"/>
  <c r="A449" i="21" s="1"/>
  <c r="A450" i="21" s="1"/>
  <c r="A451" i="21" s="1"/>
  <c r="A452" i="21" s="1"/>
  <c r="A453" i="21" s="1"/>
  <c r="A454" i="21" s="1"/>
  <c r="A455" i="21" s="1"/>
  <c r="A456" i="21" s="1"/>
  <c r="A457" i="21" s="1"/>
  <c r="A458" i="21" s="1"/>
  <c r="A459" i="21" s="1"/>
  <c r="A460" i="21" s="1"/>
  <c r="A461" i="21" s="1"/>
  <c r="A462" i="21" s="1"/>
  <c r="A463" i="21" s="1"/>
  <c r="A464" i="21" s="1"/>
  <c r="A465" i="21" s="1"/>
  <c r="A466" i="21" s="1"/>
  <c r="A467" i="21" s="1"/>
  <c r="A468" i="21" s="1"/>
  <c r="A469" i="21" s="1"/>
  <c r="A470" i="21" s="1"/>
  <c r="A471" i="21" s="1"/>
  <c r="A472" i="21" s="1"/>
  <c r="A473" i="21" s="1"/>
  <c r="A474" i="21" s="1"/>
  <c r="A475" i="21" s="1"/>
  <c r="A476" i="21" s="1"/>
  <c r="A477" i="21" s="1"/>
  <c r="A478" i="21" s="1"/>
  <c r="A479" i="21" s="1"/>
  <c r="A480" i="21" s="1"/>
  <c r="A481" i="21" s="1"/>
  <c r="A482" i="21" s="1"/>
  <c r="A483" i="21" s="1"/>
  <c r="A484" i="21" s="1"/>
  <c r="A485" i="21" s="1"/>
  <c r="A486" i="21" s="1"/>
  <c r="A487" i="21" s="1"/>
  <c r="A488" i="21" s="1"/>
  <c r="A489" i="21" s="1"/>
  <c r="A490" i="21" s="1"/>
  <c r="A491" i="21" s="1"/>
  <c r="A492" i="21" s="1"/>
  <c r="A493" i="21" s="1"/>
  <c r="A494" i="21" s="1"/>
  <c r="A495" i="21" s="1"/>
  <c r="A496" i="21" s="1"/>
  <c r="A497" i="21" s="1"/>
  <c r="A498" i="21" s="1"/>
  <c r="A499" i="21" s="1"/>
  <c r="A500" i="21" s="1"/>
  <c r="A501" i="21" s="1"/>
  <c r="A502" i="21" s="1"/>
  <c r="A503" i="21" s="1"/>
  <c r="A504" i="21" s="1"/>
  <c r="A505" i="21" s="1"/>
  <c r="A506" i="21" s="1"/>
  <c r="A507" i="21" s="1"/>
  <c r="A508" i="21" s="1"/>
  <c r="A509" i="21" s="1"/>
  <c r="A510" i="21" s="1"/>
  <c r="A511" i="21" s="1"/>
  <c r="A512" i="21" s="1"/>
  <c r="A513" i="21" s="1"/>
  <c r="A514" i="21" s="1"/>
  <c r="A515" i="21" s="1"/>
  <c r="A516" i="21" s="1"/>
  <c r="A517" i="21" s="1"/>
  <c r="A518" i="21" s="1"/>
  <c r="A519" i="21" s="1"/>
  <c r="A520" i="21" s="1"/>
  <c r="A521" i="21" s="1"/>
  <c r="A522" i="21" s="1"/>
  <c r="A523" i="21" s="1"/>
  <c r="A524" i="21" s="1"/>
  <c r="A525" i="21" s="1"/>
  <c r="A526" i="21" s="1"/>
  <c r="A527" i="21" s="1"/>
  <c r="A528" i="21" s="1"/>
  <c r="A529" i="21" s="1"/>
  <c r="A530" i="21" s="1"/>
  <c r="A531" i="21" s="1"/>
  <c r="A532" i="21" s="1"/>
  <c r="A533" i="21" s="1"/>
  <c r="A534" i="21" s="1"/>
  <c r="A535" i="21" s="1"/>
  <c r="A536" i="21" s="1"/>
  <c r="A537" i="21" s="1"/>
  <c r="A538" i="21" s="1"/>
  <c r="A539" i="21" s="1"/>
  <c r="A540" i="21" s="1"/>
  <c r="A541" i="21" s="1"/>
  <c r="A542" i="21" s="1"/>
  <c r="A543" i="21" s="1"/>
  <c r="A544" i="21" s="1"/>
  <c r="A545" i="21" s="1"/>
  <c r="A546" i="21" s="1"/>
  <c r="A547" i="21" s="1"/>
  <c r="A548" i="21" s="1"/>
  <c r="A549" i="21" s="1"/>
  <c r="A550" i="21" s="1"/>
  <c r="A551" i="21" s="1"/>
  <c r="A552" i="21" s="1"/>
  <c r="A553" i="21" s="1"/>
  <c r="A554" i="21" s="1"/>
  <c r="A555" i="21" s="1"/>
  <c r="A556" i="21" s="1"/>
  <c r="A557" i="21" s="1"/>
  <c r="A558" i="21" s="1"/>
  <c r="A559" i="21" s="1"/>
  <c r="A560" i="21" s="1"/>
  <c r="A561" i="21" s="1"/>
  <c r="A562" i="21" s="1"/>
  <c r="A563" i="21" s="1"/>
  <c r="A564" i="21" s="1"/>
  <c r="A565" i="21" s="1"/>
  <c r="A566" i="21" s="1"/>
  <c r="A567" i="21" s="1"/>
  <c r="A568" i="21" s="1"/>
  <c r="A569" i="21" s="1"/>
  <c r="A570" i="21" s="1"/>
  <c r="A571" i="21" s="1"/>
  <c r="A572" i="21" s="1"/>
  <c r="A573" i="21" s="1"/>
  <c r="A574" i="21" s="1"/>
  <c r="A575" i="21" s="1"/>
  <c r="A576" i="21" s="1"/>
  <c r="A577" i="21" s="1"/>
  <c r="A578" i="21" s="1"/>
  <c r="A579" i="21" s="1"/>
  <c r="A580" i="21" s="1"/>
  <c r="A581" i="21" s="1"/>
  <c r="A582" i="21" s="1"/>
  <c r="A583" i="21" s="1"/>
  <c r="A584" i="21" s="1"/>
  <c r="A585" i="21" s="1"/>
  <c r="A586" i="21" s="1"/>
  <c r="A587" i="21" s="1"/>
  <c r="A588" i="21" s="1"/>
  <c r="A589" i="21" s="1"/>
  <c r="A590" i="21" s="1"/>
  <c r="A591" i="21" s="1"/>
  <c r="A592" i="21" s="1"/>
  <c r="A593" i="21" s="1"/>
  <c r="A594" i="21" s="1"/>
  <c r="A595" i="21" s="1"/>
  <c r="A596" i="21" s="1"/>
  <c r="A597" i="21" s="1"/>
  <c r="A598" i="21" s="1"/>
  <c r="A599" i="21" s="1"/>
  <c r="A600" i="21" s="1"/>
  <c r="A601" i="21" s="1"/>
  <c r="A602" i="21" s="1"/>
  <c r="A603" i="21" s="1"/>
  <c r="A604" i="21" s="1"/>
  <c r="A605" i="21" s="1"/>
  <c r="A606" i="21" s="1"/>
  <c r="A607" i="21" s="1"/>
  <c r="A608" i="21" s="1"/>
  <c r="A609" i="21" s="1"/>
  <c r="A610" i="21" s="1"/>
  <c r="A611" i="21" s="1"/>
  <c r="A612" i="21" s="1"/>
  <c r="A613" i="21" s="1"/>
  <c r="A614" i="21" s="1"/>
  <c r="A615" i="21" s="1"/>
  <c r="A616" i="21" s="1"/>
  <c r="A617" i="21" s="1"/>
  <c r="A618" i="21" s="1"/>
  <c r="A619" i="21" s="1"/>
  <c r="A620" i="21" s="1"/>
  <c r="A621" i="21" s="1"/>
  <c r="A622" i="21" s="1"/>
  <c r="A623" i="21" s="1"/>
  <c r="A624" i="21" s="1"/>
  <c r="A625" i="21" s="1"/>
  <c r="A626" i="21" s="1"/>
  <c r="A627" i="21" s="1"/>
  <c r="A628" i="21" s="1"/>
  <c r="A629" i="21" s="1"/>
  <c r="A630" i="21" s="1"/>
  <c r="A631" i="21" s="1"/>
  <c r="A632" i="21" s="1"/>
  <c r="A633" i="21" s="1"/>
  <c r="A634" i="21" s="1"/>
  <c r="A635" i="21" s="1"/>
  <c r="A636" i="21" s="1"/>
  <c r="A637" i="21" s="1"/>
  <c r="A638" i="21" s="1"/>
  <c r="A639" i="21" s="1"/>
  <c r="A640" i="21" s="1"/>
  <c r="A641" i="21" s="1"/>
  <c r="A642" i="21" s="1"/>
  <c r="A643" i="21" s="1"/>
  <c r="A644" i="21" s="1"/>
  <c r="A645" i="21" s="1"/>
  <c r="A646" i="21" s="1"/>
  <c r="A647" i="21" s="1"/>
  <c r="A648" i="21" s="1"/>
  <c r="A649" i="21" s="1"/>
  <c r="A650" i="21" s="1"/>
  <c r="A651" i="21" s="1"/>
  <c r="A652" i="21" s="1"/>
  <c r="A653" i="21" s="1"/>
  <c r="A654" i="21" s="1"/>
  <c r="A655" i="21" s="1"/>
  <c r="A656" i="21" s="1"/>
  <c r="A657" i="21" s="1"/>
  <c r="A658" i="21" s="1"/>
  <c r="A659" i="21" s="1"/>
  <c r="A660" i="21" s="1"/>
  <c r="A661" i="21" s="1"/>
  <c r="A662" i="21" s="1"/>
  <c r="A663" i="21" s="1"/>
  <c r="A664" i="21" s="1"/>
  <c r="A665" i="21" s="1"/>
  <c r="A666" i="21" s="1"/>
  <c r="A667" i="21" s="1"/>
  <c r="A668" i="21" s="1"/>
  <c r="A669" i="21" s="1"/>
  <c r="A670" i="21" s="1"/>
  <c r="A671" i="21" s="1"/>
  <c r="A672" i="21" s="1"/>
  <c r="A673" i="21" s="1"/>
  <c r="A674" i="21" s="1"/>
  <c r="A675" i="21" s="1"/>
  <c r="A676" i="21" s="1"/>
  <c r="A677" i="21" s="1"/>
  <c r="A678" i="21" s="1"/>
  <c r="A679" i="21" s="1"/>
  <c r="A680" i="21" s="1"/>
  <c r="A681" i="21" s="1"/>
  <c r="A682" i="21" s="1"/>
  <c r="A683" i="21" s="1"/>
  <c r="A684" i="21" s="1"/>
  <c r="A685" i="21" s="1"/>
  <c r="A686" i="21" s="1"/>
  <c r="A687" i="21" s="1"/>
  <c r="A688" i="21" s="1"/>
  <c r="A689" i="21" s="1"/>
  <c r="A690" i="21" s="1"/>
  <c r="A691" i="21" s="1"/>
  <c r="A692" i="21" s="1"/>
  <c r="A693" i="21" s="1"/>
  <c r="A694" i="21" s="1"/>
  <c r="A695" i="21" s="1"/>
  <c r="A696" i="21" s="1"/>
  <c r="A697" i="21" s="1"/>
  <c r="A698" i="21" s="1"/>
  <c r="A699" i="21" s="1"/>
  <c r="A700" i="21" s="1"/>
  <c r="A701" i="21" s="1"/>
  <c r="A702" i="21" s="1"/>
  <c r="A703" i="21" s="1"/>
  <c r="A704" i="21" s="1"/>
  <c r="A705" i="21" s="1"/>
  <c r="A706" i="21" s="1"/>
  <c r="A707" i="21" s="1"/>
  <c r="A708" i="21" s="1"/>
  <c r="A709" i="21" s="1"/>
  <c r="A710" i="21" s="1"/>
  <c r="A711" i="21" s="1"/>
  <c r="A712" i="21" s="1"/>
  <c r="A713" i="21" s="1"/>
  <c r="A714" i="21" s="1"/>
  <c r="A715" i="21" s="1"/>
  <c r="A716" i="21" s="1"/>
  <c r="A717" i="21" s="1"/>
  <c r="A718" i="21" s="1"/>
  <c r="A719" i="21" s="1"/>
  <c r="A720" i="21" s="1"/>
  <c r="A721" i="21" s="1"/>
  <c r="A722" i="21" s="1"/>
  <c r="A723" i="21" s="1"/>
  <c r="A724" i="21" s="1"/>
  <c r="A725" i="21" s="1"/>
  <c r="A726" i="21" s="1"/>
  <c r="A727" i="21" s="1"/>
  <c r="A728" i="21" s="1"/>
  <c r="A729" i="21" s="1"/>
  <c r="A730" i="21" s="1"/>
  <c r="A731" i="21" s="1"/>
  <c r="A732" i="21" s="1"/>
  <c r="A733" i="21" s="1"/>
  <c r="A734" i="21" s="1"/>
  <c r="A735" i="21" s="1"/>
  <c r="A736" i="21" s="1"/>
  <c r="A737" i="21" s="1"/>
  <c r="A738" i="21" s="1"/>
  <c r="A739" i="21" s="1"/>
  <c r="A740" i="21" s="1"/>
  <c r="A741" i="21" s="1"/>
  <c r="A742" i="21" s="1"/>
  <c r="A743" i="21" s="1"/>
  <c r="A744" i="21" s="1"/>
  <c r="A745" i="21" s="1"/>
  <c r="A746" i="21" s="1"/>
  <c r="A747" i="21" s="1"/>
  <c r="A748" i="21" s="1"/>
  <c r="A749" i="21" s="1"/>
  <c r="A750" i="21" s="1"/>
  <c r="A751" i="21" s="1"/>
  <c r="A752" i="21" s="1"/>
  <c r="A753" i="21" s="1"/>
  <c r="A754" i="21" s="1"/>
  <c r="A755" i="21" s="1"/>
  <c r="A756" i="21" s="1"/>
  <c r="A757" i="21" s="1"/>
  <c r="A758" i="21" s="1"/>
  <c r="A759" i="21" s="1"/>
  <c r="A760" i="21" s="1"/>
  <c r="A761" i="21" s="1"/>
  <c r="A762" i="21" s="1"/>
  <c r="A763" i="21" s="1"/>
  <c r="A764" i="21" s="1"/>
  <c r="A765" i="21" s="1"/>
  <c r="A766" i="21" s="1"/>
  <c r="A767" i="21" s="1"/>
  <c r="A768" i="21" s="1"/>
  <c r="A769" i="21" s="1"/>
  <c r="A770" i="21" s="1"/>
  <c r="A771" i="21" s="1"/>
  <c r="A772" i="21" s="1"/>
  <c r="A773" i="21" s="1"/>
  <c r="A774" i="21" s="1"/>
  <c r="A775" i="21" s="1"/>
  <c r="A776" i="21" s="1"/>
  <c r="A777" i="21" s="1"/>
  <c r="A778" i="21" s="1"/>
  <c r="A779" i="21" s="1"/>
  <c r="A780" i="21" s="1"/>
  <c r="A781" i="21" s="1"/>
  <c r="A782" i="21" s="1"/>
  <c r="A783" i="21" s="1"/>
  <c r="A784" i="21" s="1"/>
  <c r="A785" i="21" s="1"/>
  <c r="A786" i="21" s="1"/>
  <c r="A787" i="21" s="1"/>
  <c r="A788" i="21" s="1"/>
  <c r="A789" i="21" s="1"/>
  <c r="A790" i="21" s="1"/>
  <c r="A791" i="21" s="1"/>
  <c r="A792" i="21" s="1"/>
  <c r="A793" i="21" s="1"/>
  <c r="A794" i="21" s="1"/>
  <c r="A795" i="21" s="1"/>
  <c r="A796" i="21" s="1"/>
  <c r="A797" i="21" s="1"/>
  <c r="A798" i="21" s="1"/>
  <c r="A799" i="21" s="1"/>
  <c r="A800" i="21" s="1"/>
  <c r="A801" i="21" s="1"/>
  <c r="A802" i="21" s="1"/>
  <c r="A803" i="21" s="1"/>
  <c r="A804" i="21" s="1"/>
  <c r="A805" i="21" s="1"/>
  <c r="A806" i="21" s="1"/>
  <c r="A807" i="21" s="1"/>
  <c r="A808" i="21" s="1"/>
  <c r="A809" i="21" s="1"/>
  <c r="A810" i="21" s="1"/>
  <c r="A811" i="21" s="1"/>
  <c r="A812" i="21" s="1"/>
  <c r="A813" i="21" s="1"/>
  <c r="A814" i="21" s="1"/>
  <c r="A815" i="21" s="1"/>
  <c r="A816" i="21" s="1"/>
  <c r="A817" i="21" s="1"/>
  <c r="A818" i="21" s="1"/>
  <c r="A819" i="21" s="1"/>
  <c r="A820" i="21" s="1"/>
  <c r="A821" i="21" s="1"/>
  <c r="A822" i="21" s="1"/>
  <c r="A823" i="21" s="1"/>
  <c r="A824" i="21" s="1"/>
  <c r="A825" i="21" s="1"/>
  <c r="A826" i="21" s="1"/>
  <c r="A827" i="21" s="1"/>
  <c r="A828" i="21" s="1"/>
  <c r="A829" i="21" s="1"/>
  <c r="A830" i="21" s="1"/>
  <c r="A831" i="21" s="1"/>
  <c r="A832" i="21" s="1"/>
  <c r="A833" i="21" s="1"/>
  <c r="A834" i="21" s="1"/>
  <c r="A835" i="21" s="1"/>
  <c r="A836" i="21" s="1"/>
  <c r="A837" i="21" s="1"/>
  <c r="A838" i="21" s="1"/>
  <c r="A839" i="21" s="1"/>
  <c r="A840" i="21" s="1"/>
  <c r="A841" i="21" s="1"/>
  <c r="A842" i="21" s="1"/>
  <c r="A843" i="21" s="1"/>
  <c r="A844" i="21" s="1"/>
  <c r="A845" i="21" s="1"/>
  <c r="A846" i="21" s="1"/>
  <c r="A847" i="21" s="1"/>
  <c r="A848" i="21" s="1"/>
  <c r="A849" i="21" s="1"/>
  <c r="A850" i="21" s="1"/>
  <c r="A851" i="21" s="1"/>
  <c r="A852" i="21" s="1"/>
  <c r="A853" i="21" s="1"/>
  <c r="A854" i="21" s="1"/>
  <c r="A855" i="21" s="1"/>
  <c r="A856" i="21" s="1"/>
  <c r="A857" i="21" s="1"/>
  <c r="A858" i="21" s="1"/>
  <c r="A859" i="21" s="1"/>
  <c r="A860" i="21" s="1"/>
  <c r="A861" i="21" s="1"/>
  <c r="A862" i="21" s="1"/>
  <c r="A863" i="21" s="1"/>
  <c r="A864" i="21" s="1"/>
  <c r="A865" i="21" s="1"/>
  <c r="A866" i="21" s="1"/>
  <c r="A867" i="21" s="1"/>
  <c r="A868" i="21" s="1"/>
  <c r="A869" i="21" s="1"/>
  <c r="A870" i="21" s="1"/>
  <c r="A871" i="21" s="1"/>
  <c r="A872" i="21" s="1"/>
  <c r="A873" i="21" s="1"/>
  <c r="A874" i="21" s="1"/>
  <c r="A875" i="21" s="1"/>
  <c r="A876" i="21" s="1"/>
  <c r="A877" i="21" s="1"/>
  <c r="A878" i="21" s="1"/>
  <c r="A879" i="21" s="1"/>
  <c r="A880" i="21" s="1"/>
  <c r="A881" i="21" s="1"/>
  <c r="A882" i="21" s="1"/>
  <c r="A883" i="21" s="1"/>
  <c r="A884" i="21" s="1"/>
  <c r="A885" i="21" s="1"/>
  <c r="A886" i="21" s="1"/>
  <c r="A887" i="21" s="1"/>
  <c r="A888" i="21" s="1"/>
  <c r="A889" i="21" s="1"/>
  <c r="A890" i="21" s="1"/>
  <c r="A891" i="21" s="1"/>
  <c r="A892" i="21" s="1"/>
  <c r="A893" i="21" s="1"/>
  <c r="A894" i="21" s="1"/>
  <c r="A895" i="21" s="1"/>
  <c r="A896" i="21" s="1"/>
  <c r="A897" i="21" s="1"/>
  <c r="A898" i="21" s="1"/>
  <c r="A899" i="21" s="1"/>
  <c r="A900" i="21" s="1"/>
  <c r="A901" i="21" s="1"/>
  <c r="A902" i="21" s="1"/>
  <c r="A903" i="21" s="1"/>
  <c r="A904" i="21" s="1"/>
  <c r="A905" i="21" s="1"/>
  <c r="A906" i="21" s="1"/>
  <c r="A907" i="21" s="1"/>
  <c r="A908" i="21" s="1"/>
  <c r="A909" i="21" s="1"/>
  <c r="A910" i="21" s="1"/>
  <c r="A911" i="21" s="1"/>
  <c r="A912" i="21" s="1"/>
  <c r="A913" i="21" s="1"/>
  <c r="A914" i="21" s="1"/>
  <c r="A915" i="21" s="1"/>
  <c r="A916" i="21" s="1"/>
  <c r="A917" i="21" s="1"/>
  <c r="A918" i="21" s="1"/>
  <c r="A919" i="21" s="1"/>
  <c r="A920" i="21" s="1"/>
  <c r="A921" i="21" s="1"/>
  <c r="A922" i="21" s="1"/>
  <c r="A923" i="21" s="1"/>
  <c r="A924" i="21" s="1"/>
  <c r="A925" i="21" s="1"/>
  <c r="A926" i="21" s="1"/>
  <c r="A927" i="21" s="1"/>
  <c r="A928" i="21" s="1"/>
  <c r="A929" i="21" s="1"/>
  <c r="A930" i="21" s="1"/>
  <c r="A931" i="21" s="1"/>
  <c r="A932" i="21" s="1"/>
  <c r="A933" i="21" s="1"/>
  <c r="A934" i="21" s="1"/>
  <c r="A935" i="21" s="1"/>
  <c r="A936" i="21" s="1"/>
  <c r="A937" i="21" s="1"/>
  <c r="A938" i="21" s="1"/>
  <c r="A939" i="21" s="1"/>
  <c r="A940" i="21" s="1"/>
  <c r="A941" i="21" s="1"/>
  <c r="A942" i="21" s="1"/>
  <c r="A943" i="21" s="1"/>
  <c r="A944" i="21" s="1"/>
  <c r="A945" i="21" s="1"/>
  <c r="A946" i="21" s="1"/>
  <c r="A947" i="21" s="1"/>
  <c r="A948" i="21" s="1"/>
  <c r="A949" i="21" s="1"/>
  <c r="A950" i="21" s="1"/>
  <c r="A951" i="21" s="1"/>
  <c r="A952" i="21" s="1"/>
  <c r="A953" i="21" s="1"/>
  <c r="A954" i="21" s="1"/>
  <c r="A955" i="21" s="1"/>
  <c r="A956" i="21" s="1"/>
  <c r="A957" i="21" s="1"/>
  <c r="A958" i="21" s="1"/>
  <c r="A959" i="21" s="1"/>
  <c r="A960" i="21" s="1"/>
  <c r="A961" i="21" s="1"/>
  <c r="A962" i="21" s="1"/>
  <c r="A963" i="21" s="1"/>
  <c r="A964" i="21" s="1"/>
  <c r="A965" i="21" s="1"/>
  <c r="A966" i="21" s="1"/>
  <c r="A967" i="21" s="1"/>
  <c r="A968" i="21" s="1"/>
  <c r="A969" i="21" s="1"/>
  <c r="A970" i="21" s="1"/>
  <c r="A971" i="21" s="1"/>
  <c r="A972" i="21" s="1"/>
  <c r="A973" i="21" s="1"/>
  <c r="A974" i="21" s="1"/>
  <c r="A975" i="21" s="1"/>
  <c r="A976" i="21" s="1"/>
  <c r="A977" i="21" s="1"/>
  <c r="A978" i="21" s="1"/>
  <c r="A979" i="21" s="1"/>
  <c r="A980" i="21" s="1"/>
  <c r="A981" i="21" s="1"/>
  <c r="A982" i="21" s="1"/>
  <c r="A983" i="21" s="1"/>
  <c r="A984" i="21" s="1"/>
  <c r="A985" i="21" s="1"/>
  <c r="A986" i="21" s="1"/>
  <c r="A987" i="21" s="1"/>
  <c r="A988" i="21" s="1"/>
  <c r="A989" i="21" s="1"/>
  <c r="A990" i="21" s="1"/>
  <c r="A991" i="21" s="1"/>
  <c r="A992" i="21" s="1"/>
  <c r="A993" i="21" s="1"/>
  <c r="A994" i="21" s="1"/>
  <c r="A995" i="21" s="1"/>
  <c r="A996" i="21" s="1"/>
  <c r="A997" i="21" s="1"/>
  <c r="A998" i="21" s="1"/>
  <c r="A999" i="21" s="1"/>
  <c r="A1000" i="21" s="1"/>
  <c r="A1001" i="21" s="1"/>
  <c r="A1002" i="21" s="1"/>
  <c r="A1003" i="21" s="1"/>
  <c r="A1004" i="21" s="1"/>
  <c r="A1005" i="21" s="1"/>
  <c r="A1006" i="21" s="1"/>
  <c r="A1007" i="21" s="1"/>
  <c r="A1008" i="21" s="1"/>
  <c r="A1009" i="21" s="1"/>
  <c r="A1010" i="21" s="1"/>
  <c r="A1011" i="21" s="1"/>
  <c r="A1012" i="21" s="1"/>
  <c r="A1013" i="21" s="1"/>
  <c r="B377" i="16"/>
  <c r="B376" i="16"/>
  <c r="F50" i="18" l="1"/>
  <c r="F51" i="18"/>
  <c r="F52" i="18"/>
  <c r="F53" i="18"/>
  <c r="F54" i="18"/>
  <c r="F55" i="18"/>
  <c r="F56" i="18"/>
  <c r="F57" i="18"/>
  <c r="F58" i="18"/>
  <c r="F59" i="18"/>
  <c r="F60" i="18"/>
  <c r="F61" i="18"/>
  <c r="F62" i="18"/>
  <c r="F63" i="18"/>
  <c r="F64" i="18"/>
  <c r="F65" i="18"/>
  <c r="F66" i="18"/>
  <c r="F67" i="18"/>
  <c r="F68" i="18"/>
  <c r="F69" i="18"/>
  <c r="F70" i="18"/>
  <c r="F71" i="18"/>
  <c r="F72" i="18"/>
  <c r="F73" i="18"/>
  <c r="F74" i="18"/>
  <c r="F75" i="18"/>
  <c r="F76" i="18"/>
  <c r="F48" i="18"/>
  <c r="F49" i="18"/>
  <c r="F47" i="18"/>
  <c r="AJT376" i="16" l="1"/>
  <c r="AJS376" i="16"/>
  <c r="AJR376" i="16"/>
  <c r="AJQ376" i="16"/>
  <c r="AJD376" i="16"/>
  <c r="AJC376" i="16"/>
  <c r="AJB376" i="16"/>
  <c r="AJA376" i="16"/>
  <c r="AIZ376" i="16"/>
  <c r="AIY376" i="16"/>
  <c r="AIX376" i="16"/>
  <c r="AIW376" i="16"/>
  <c r="AIV376" i="16"/>
  <c r="AIU376" i="16"/>
  <c r="AIT376" i="16"/>
  <c r="AIS376" i="16"/>
  <c r="AKD376" i="16"/>
  <c r="AKC376" i="16"/>
  <c r="AKB376" i="16"/>
  <c r="AKA376" i="16"/>
  <c r="AJZ376" i="16"/>
  <c r="AJY376" i="16"/>
  <c r="AJX376" i="16"/>
  <c r="AJW376" i="16"/>
  <c r="AJV376" i="16"/>
  <c r="AJU376" i="16"/>
  <c r="AJP376" i="16"/>
  <c r="AJO376" i="16"/>
  <c r="AJN376" i="16"/>
  <c r="AJM376" i="16"/>
  <c r="AJL376" i="16"/>
  <c r="AJK376" i="16"/>
  <c r="AJJ376" i="16"/>
  <c r="AJI376" i="16"/>
  <c r="AJH376" i="16"/>
  <c r="AJG376" i="16"/>
  <c r="AIR376" i="16"/>
  <c r="AIQ376" i="16"/>
  <c r="AIP376" i="16"/>
  <c r="AIO376" i="16"/>
  <c r="AIN376" i="16"/>
  <c r="AIM376" i="16"/>
  <c r="AIL376" i="16"/>
  <c r="AIK376" i="16"/>
  <c r="AIJ376" i="16"/>
  <c r="AII376" i="16"/>
  <c r="AIH376" i="16"/>
  <c r="AIG376" i="16"/>
  <c r="AIF376" i="16"/>
  <c r="AIE376" i="16"/>
  <c r="AID376" i="16"/>
  <c r="AIC376" i="16"/>
  <c r="AIB376" i="16"/>
  <c r="AIA376" i="16"/>
  <c r="AHZ376" i="16"/>
  <c r="AHY376" i="16"/>
  <c r="AHX376" i="16"/>
  <c r="AHW376" i="16"/>
  <c r="AHV376" i="16"/>
  <c r="AHU376" i="16"/>
  <c r="AHT376" i="16"/>
  <c r="AHS376" i="16"/>
  <c r="AHR376" i="16"/>
  <c r="AHQ376" i="16"/>
  <c r="AHP376" i="16"/>
  <c r="AHO376" i="16"/>
  <c r="AHN376" i="16"/>
  <c r="AHM376" i="16"/>
  <c r="AHL376" i="16"/>
  <c r="AHK376" i="16"/>
  <c r="AHJ376" i="16"/>
  <c r="AJF376" i="16"/>
  <c r="AJE376" i="16"/>
  <c r="ALZ376" i="16"/>
  <c r="ALY376" i="16"/>
  <c r="ALX376" i="16"/>
  <c r="ALW376" i="16"/>
  <c r="ALV376" i="16"/>
  <c r="ALU376" i="16"/>
  <c r="ALT376" i="16"/>
  <c r="ALS376" i="16"/>
  <c r="ALR376" i="16"/>
  <c r="ALQ376" i="16"/>
  <c r="ALP376" i="16"/>
  <c r="ALO376" i="16"/>
  <c r="ALN376" i="16"/>
  <c r="ALM376" i="16"/>
  <c r="ALL376" i="16"/>
  <c r="ALK376" i="16"/>
  <c r="ALJ376" i="16"/>
  <c r="ALI376" i="16"/>
  <c r="ALH376" i="16"/>
  <c r="ALG376" i="16"/>
  <c r="ALF376" i="16"/>
  <c r="ALE376" i="16"/>
  <c r="ALD376" i="16"/>
  <c r="ALC376" i="16"/>
  <c r="ALB376" i="16"/>
  <c r="ALA376" i="16"/>
  <c r="AKZ376" i="16"/>
  <c r="AKY376" i="16"/>
  <c r="AKX376" i="16"/>
  <c r="AKW376" i="16"/>
  <c r="AKV376" i="16"/>
  <c r="AKU376" i="16"/>
  <c r="AKT376" i="16"/>
  <c r="AKS376" i="16"/>
  <c r="AKR376" i="16"/>
  <c r="AKQ376" i="16"/>
  <c r="AKP376" i="16"/>
  <c r="AKO376" i="16"/>
  <c r="AKN376" i="16"/>
  <c r="AKM376" i="16"/>
  <c r="AKL376" i="16"/>
  <c r="AKK376" i="16"/>
  <c r="AKJ376" i="16"/>
  <c r="AKI376" i="16"/>
  <c r="AKH376" i="16"/>
  <c r="AKG376" i="16"/>
  <c r="AKF376" i="16"/>
  <c r="AKE376" i="16"/>
  <c r="AKQ381" i="16"/>
  <c r="AHI376" i="16"/>
  <c r="AHH376" i="16"/>
  <c r="AHG376" i="16"/>
  <c r="AHF376" i="16"/>
  <c r="AHE376" i="16"/>
  <c r="AHD376" i="16"/>
  <c r="AHC376" i="16"/>
  <c r="AHB376" i="16"/>
  <c r="AHA376" i="16"/>
  <c r="AGZ376" i="16"/>
  <c r="AGY376" i="16"/>
  <c r="AGX376" i="16"/>
  <c r="AGW376" i="16"/>
  <c r="AGV376" i="16"/>
  <c r="AGU376" i="16"/>
  <c r="AGT376" i="16"/>
  <c r="AGS376" i="16"/>
  <c r="AGR376" i="16"/>
  <c r="AGQ376" i="16"/>
  <c r="AGP376" i="16"/>
  <c r="AGO376" i="16"/>
  <c r="AGN376" i="16"/>
  <c r="AGM376" i="16"/>
  <c r="AGL376" i="16"/>
  <c r="AGK376" i="16"/>
  <c r="AGJ376" i="16"/>
  <c r="AGI376" i="16"/>
  <c r="AGH376" i="16"/>
  <c r="AGG376" i="16"/>
  <c r="AGF376" i="16"/>
  <c r="AGE376" i="16"/>
  <c r="AGD376" i="16"/>
  <c r="AGC376" i="16"/>
  <c r="AGB376" i="16"/>
  <c r="AGA376" i="16"/>
  <c r="AFZ376" i="16"/>
  <c r="AFY376" i="16"/>
  <c r="AFX376" i="16"/>
  <c r="AFW376" i="16"/>
  <c r="AFV376" i="16"/>
  <c r="AFU376" i="16"/>
  <c r="AFT376" i="16"/>
  <c r="AFS376" i="16"/>
  <c r="AFR376" i="16"/>
  <c r="AFQ376" i="16"/>
  <c r="AFP376" i="16"/>
  <c r="AFO376" i="16"/>
  <c r="AFN376" i="16"/>
  <c r="AFM376" i="16"/>
  <c r="AFL376" i="16"/>
  <c r="AFK376" i="16"/>
  <c r="AFJ376" i="16"/>
  <c r="AFI376" i="16"/>
  <c r="AFH376" i="16"/>
  <c r="AFG376" i="16"/>
  <c r="AFF376" i="16"/>
  <c r="AFE376" i="16"/>
  <c r="AFD376" i="16"/>
  <c r="AFC376" i="16"/>
  <c r="AFB376" i="16"/>
  <c r="AFA376" i="16"/>
  <c r="AEZ376" i="16"/>
  <c r="AEY376" i="16"/>
  <c r="AEX376" i="16"/>
  <c r="AEW376" i="16"/>
  <c r="AEV376" i="16"/>
  <c r="AEU376" i="16"/>
  <c r="AET376" i="16"/>
  <c r="AES376" i="16"/>
  <c r="AER376" i="16"/>
  <c r="AEQ376" i="16"/>
  <c r="AEP376" i="16"/>
  <c r="AEN376" i="16"/>
  <c r="AEM376" i="16"/>
  <c r="AEL376" i="16"/>
  <c r="AEK376" i="16"/>
  <c r="AEJ376" i="16"/>
  <c r="AEI376" i="16"/>
  <c r="AEH376" i="16"/>
  <c r="AEG376" i="16"/>
  <c r="AEF376" i="16"/>
  <c r="AEE376" i="16"/>
  <c r="AED376" i="16"/>
  <c r="AEC376" i="16"/>
  <c r="ACZ376" i="16"/>
  <c r="ACY376" i="16"/>
  <c r="ACX376" i="16"/>
  <c r="ACW376" i="16"/>
  <c r="ACV376" i="16"/>
  <c r="AEB376" i="16"/>
  <c r="ADX376" i="16"/>
  <c r="ADW376" i="16"/>
  <c r="ADV376" i="16"/>
  <c r="ADU376" i="16"/>
  <c r="ADT376" i="16"/>
  <c r="ADS376" i="16"/>
  <c r="ADR376" i="16"/>
  <c r="ACU376" i="16"/>
  <c r="ACT376" i="16"/>
  <c r="ACS376" i="16"/>
  <c r="ACR376" i="16"/>
  <c r="ACQ376" i="16"/>
  <c r="ACP376" i="16"/>
  <c r="ACO376" i="16"/>
  <c r="ACN376" i="16"/>
  <c r="ACI376" i="16"/>
  <c r="ACH376" i="16"/>
  <c r="ACG376" i="16"/>
  <c r="ACE376" i="16"/>
  <c r="ACD376" i="16"/>
  <c r="ACC376" i="16"/>
  <c r="ACB376" i="16"/>
  <c r="ACA376" i="16"/>
  <c r="ABZ376" i="16"/>
  <c r="ABY376" i="16"/>
  <c r="ABX376" i="16"/>
  <c r="ABW376" i="16"/>
  <c r="ABV376" i="16"/>
  <c r="ABU376" i="16"/>
  <c r="ABT376" i="16"/>
  <c r="ABS376" i="16"/>
  <c r="ABR376" i="16"/>
  <c r="ABQ376" i="16"/>
  <c r="ACF376" i="16"/>
  <c r="ABP376" i="16"/>
  <c r="ABO376" i="16"/>
  <c r="ABN376" i="16"/>
  <c r="ADQ376" i="16"/>
  <c r="ADP376" i="16"/>
  <c r="ADO376" i="16"/>
  <c r="ADN376" i="16"/>
  <c r="ADM376" i="16"/>
  <c r="ADL376" i="16"/>
  <c r="ADK376" i="16"/>
  <c r="ACJ376" i="16"/>
  <c r="AEO376" i="16"/>
  <c r="ADJ376" i="16"/>
  <c r="ADI376" i="16"/>
  <c r="ADH376" i="16"/>
  <c r="ADG376" i="16"/>
  <c r="ABM376" i="16"/>
  <c r="ABL376" i="16"/>
  <c r="ABK376" i="16"/>
  <c r="ABJ376" i="16"/>
  <c r="ABI376" i="16"/>
  <c r="ADF376" i="16"/>
  <c r="ADE376" i="16"/>
  <c r="ADD376" i="16"/>
  <c r="ADC376" i="16"/>
  <c r="ADA376" i="16"/>
  <c r="ADB376" i="16"/>
  <c r="AEA376" i="16"/>
  <c r="ADZ376" i="16"/>
  <c r="ADY376" i="16"/>
  <c r="ABH376" i="16"/>
  <c r="ABG376" i="16"/>
  <c r="ABF376" i="16"/>
  <c r="ACM376" i="16"/>
  <c r="ACL376" i="16"/>
  <c r="ABE376" i="16"/>
  <c r="ABD376" i="16"/>
  <c r="ACK376" i="16"/>
  <c r="ABC376" i="16"/>
  <c r="ABB376" i="16"/>
  <c r="ABA376" i="16"/>
  <c r="AAZ376" i="16"/>
  <c r="AAY376" i="16"/>
  <c r="AAX376" i="16"/>
  <c r="AAW376" i="16"/>
  <c r="AAV376" i="16"/>
  <c r="AAU376" i="16"/>
  <c r="AAT376" i="16"/>
  <c r="AAS376" i="16"/>
  <c r="AAR376" i="16"/>
  <c r="AAQ376" i="16"/>
  <c r="AAP376" i="16"/>
  <c r="AAO376" i="16"/>
  <c r="AAN376" i="16"/>
  <c r="AAM376" i="16"/>
  <c r="AAL376" i="16"/>
  <c r="AAK376" i="16"/>
  <c r="AAJ376" i="16"/>
  <c r="AAI376" i="16"/>
  <c r="AAH376" i="16"/>
  <c r="AAG376" i="16"/>
  <c r="AAF376" i="16"/>
  <c r="AAE376" i="16"/>
  <c r="AAD376" i="16"/>
  <c r="AAC376" i="16"/>
  <c r="AAB376" i="16"/>
  <c r="AAA376" i="16"/>
  <c r="ZZ376" i="16"/>
  <c r="ZY376" i="16"/>
  <c r="ZX376" i="16"/>
  <c r="ZW376" i="16"/>
  <c r="ZV376" i="16"/>
  <c r="ZU376" i="16"/>
  <c r="ZT376" i="16"/>
  <c r="ZS376" i="16"/>
  <c r="ZR376" i="16"/>
  <c r="ZQ376" i="16"/>
  <c r="ZP376" i="16"/>
  <c r="ZO376" i="16"/>
  <c r="ZN376" i="16"/>
  <c r="ZM376" i="16"/>
  <c r="ZL376" i="16"/>
  <c r="ZK376" i="16"/>
  <c r="ZJ376" i="16"/>
  <c r="ZI376" i="16"/>
  <c r="ZH376" i="16"/>
  <c r="ZG376" i="16"/>
  <c r="ZF376" i="16"/>
  <c r="ZE376" i="16"/>
  <c r="ZD376" i="16"/>
  <c r="ZC376" i="16"/>
  <c r="ZB376" i="16"/>
  <c r="ZA376" i="16"/>
  <c r="YZ376" i="16"/>
  <c r="YY376" i="16"/>
  <c r="YX376" i="16"/>
  <c r="YW376" i="16"/>
  <c r="YV376" i="16"/>
  <c r="YU376" i="16"/>
  <c r="YT376" i="16"/>
  <c r="YS376" i="16"/>
  <c r="YR376" i="16"/>
  <c r="YQ376" i="16"/>
  <c r="YP376" i="16"/>
  <c r="YO376" i="16"/>
  <c r="YN376" i="16"/>
  <c r="YM376" i="16"/>
  <c r="YL376" i="16"/>
  <c r="YK376" i="16"/>
  <c r="YJ376" i="16"/>
  <c r="YI376" i="16"/>
  <c r="YH376" i="16"/>
  <c r="YG376" i="16"/>
  <c r="YF376" i="16"/>
  <c r="YE376" i="16"/>
  <c r="YD376" i="16"/>
  <c r="YC376" i="16"/>
  <c r="YB376" i="16"/>
  <c r="YA376" i="16"/>
  <c r="XZ376" i="16"/>
  <c r="XY376" i="16"/>
  <c r="XX376" i="16"/>
  <c r="XW376" i="16"/>
  <c r="XV376" i="16"/>
  <c r="XU376" i="16"/>
  <c r="XT376" i="16"/>
  <c r="XS376" i="16"/>
  <c r="XR376" i="16"/>
  <c r="XQ376" i="16"/>
  <c r="XP376" i="16"/>
  <c r="XO376" i="16"/>
  <c r="XN376" i="16"/>
  <c r="XM376" i="16"/>
  <c r="XL376" i="16"/>
  <c r="XK376" i="16"/>
  <c r="XJ376" i="16"/>
  <c r="XI376" i="16"/>
  <c r="XH376" i="16"/>
  <c r="XG376" i="16"/>
  <c r="XF376" i="16"/>
  <c r="XE376" i="16"/>
  <c r="XD376" i="16"/>
  <c r="XC376" i="16"/>
  <c r="XB376" i="16"/>
  <c r="XA376" i="16"/>
  <c r="WZ376" i="16"/>
  <c r="WY376" i="16"/>
  <c r="WX376" i="16"/>
  <c r="WW376" i="16"/>
  <c r="WV376" i="16"/>
  <c r="WU376" i="16"/>
  <c r="WT376" i="16"/>
  <c r="WS376" i="16"/>
  <c r="WR376" i="16"/>
  <c r="WQ376" i="16"/>
  <c r="WP376" i="16"/>
  <c r="WO376" i="16"/>
  <c r="WN376" i="16"/>
  <c r="WM376" i="16"/>
  <c r="WL376" i="16"/>
  <c r="WK376" i="16"/>
  <c r="WJ376" i="16"/>
  <c r="WI376" i="16"/>
  <c r="WH376" i="16"/>
  <c r="WG376" i="16"/>
  <c r="WF376" i="16"/>
  <c r="WE376" i="16"/>
  <c r="WD376" i="16"/>
  <c r="WC376" i="16"/>
  <c r="WB376" i="16"/>
  <c r="WA376" i="16"/>
  <c r="VZ376" i="16"/>
  <c r="VY376" i="16"/>
  <c r="VX376" i="16"/>
  <c r="VW376" i="16"/>
  <c r="VV376" i="16"/>
  <c r="VU376" i="16"/>
  <c r="VT376" i="16"/>
  <c r="VS376" i="16"/>
  <c r="VR376" i="16"/>
  <c r="VQ376" i="16"/>
  <c r="VP376" i="16"/>
  <c r="VO376" i="16"/>
  <c r="VN376" i="16"/>
  <c r="VM376" i="16"/>
  <c r="VL376" i="16"/>
  <c r="VK376" i="16"/>
  <c r="VJ376" i="16"/>
  <c r="VI376" i="16"/>
  <c r="VH376" i="16"/>
  <c r="VG376" i="16"/>
  <c r="AKF381" i="16"/>
  <c r="AKG381" i="16"/>
  <c r="AKJ381" i="16"/>
  <c r="AKK381" i="16"/>
  <c r="ALA381" i="16"/>
  <c r="ALH381" i="16"/>
  <c r="ALM381" i="16"/>
  <c r="ALT381" i="16"/>
  <c r="AJV379" i="16"/>
  <c r="AJW379" i="16"/>
  <c r="AJX379" i="16"/>
  <c r="AJY379" i="16"/>
  <c r="AJZ379" i="16"/>
  <c r="AKA379" i="16"/>
  <c r="AKB379" i="16"/>
  <c r="AKC379" i="16"/>
  <c r="AKD379" i="16"/>
  <c r="AJU379" i="16"/>
  <c r="ZT381" i="16"/>
  <c r="ZU381" i="16"/>
  <c r="ZX381" i="16"/>
  <c r="ZY381" i="16"/>
  <c r="AAB381" i="16"/>
  <c r="AAC381" i="16"/>
  <c r="AAF381" i="16"/>
  <c r="AAG381" i="16"/>
  <c r="AAJ381" i="16"/>
  <c r="AAK381" i="16"/>
  <c r="AAN381" i="16"/>
  <c r="AAO381" i="16"/>
  <c r="AAR381" i="16"/>
  <c r="AAS381" i="16"/>
  <c r="AAV381" i="16"/>
  <c r="AAW381" i="16"/>
  <c r="AAZ381" i="16"/>
  <c r="ABA381" i="16"/>
  <c r="ABD381" i="16"/>
  <c r="ABE381" i="16"/>
  <c r="ABH381" i="16"/>
  <c r="ABI381" i="16"/>
  <c r="ABL381" i="16"/>
  <c r="ABM381" i="16"/>
  <c r="ABP381" i="16"/>
  <c r="ABQ381" i="16"/>
  <c r="ABT381" i="16"/>
  <c r="ABU381" i="16"/>
  <c r="ABX381" i="16"/>
  <c r="ABY381" i="16"/>
  <c r="ACB381" i="16"/>
  <c r="ACC381" i="16"/>
  <c r="ACF381" i="16"/>
  <c r="ACG381" i="16"/>
  <c r="ACJ381" i="16"/>
  <c r="ACK381" i="16"/>
  <c r="ACN381" i="16"/>
  <c r="ACO381" i="16"/>
  <c r="ACR381" i="16"/>
  <c r="ACS381" i="16"/>
  <c r="ACV381" i="16"/>
  <c r="ACW381" i="16"/>
  <c r="ACZ381" i="16"/>
  <c r="ADA381" i="16"/>
  <c r="ADD381" i="16"/>
  <c r="ADE381" i="16"/>
  <c r="ADH381" i="16"/>
  <c r="ADI381" i="16"/>
  <c r="ADL381" i="16"/>
  <c r="ADM381" i="16"/>
  <c r="ADP381" i="16"/>
  <c r="ADQ381" i="16"/>
  <c r="ADT381" i="16"/>
  <c r="ADU381" i="16"/>
  <c r="ADX381" i="16"/>
  <c r="ADY381" i="16"/>
  <c r="AEB381" i="16"/>
  <c r="AEC381" i="16"/>
  <c r="AEF381" i="16"/>
  <c r="AEG381" i="16"/>
  <c r="AEJ381" i="16"/>
  <c r="AEK381" i="16"/>
  <c r="AEN381" i="16"/>
  <c r="AEO381" i="16"/>
  <c r="AER381" i="16"/>
  <c r="AES381" i="16"/>
  <c r="AEV381" i="16"/>
  <c r="AEW381" i="16"/>
  <c r="AEZ381" i="16"/>
  <c r="AFA381" i="16"/>
  <c r="AFD381" i="16"/>
  <c r="AFE381" i="16"/>
  <c r="AFH381" i="16"/>
  <c r="AFI381" i="16"/>
  <c r="AFL381" i="16"/>
  <c r="AFM381" i="16"/>
  <c r="AFP381" i="16"/>
  <c r="AFQ381" i="16"/>
  <c r="AFT381" i="16"/>
  <c r="AFU381" i="16"/>
  <c r="AFX381" i="16"/>
  <c r="AFY381" i="16"/>
  <c r="AGB381" i="16"/>
  <c r="AGC381" i="16"/>
  <c r="AGF381" i="16"/>
  <c r="AGG381" i="16"/>
  <c r="AGJ381" i="16"/>
  <c r="AGK381" i="16"/>
  <c r="AGN381" i="16"/>
  <c r="AGO381" i="16"/>
  <c r="AGR381" i="16"/>
  <c r="AGS381" i="16"/>
  <c r="AGV381" i="16"/>
  <c r="AGW381" i="16"/>
  <c r="AGZ381" i="16"/>
  <c r="AHA381" i="16"/>
  <c r="AHD381" i="16"/>
  <c r="AHE381" i="16"/>
  <c r="AHH381" i="16"/>
  <c r="AHI381" i="16"/>
  <c r="AHL381" i="16"/>
  <c r="AHM381" i="16"/>
  <c r="AHP381" i="16"/>
  <c r="AHQ381" i="16"/>
  <c r="AHT381" i="16"/>
  <c r="AHU381" i="16"/>
  <c r="AHX381" i="16"/>
  <c r="AHY381" i="16"/>
  <c r="AIB381" i="16"/>
  <c r="AIC381" i="16"/>
  <c r="AIF381" i="16"/>
  <c r="AIG381" i="16"/>
  <c r="AIJ381" i="16"/>
  <c r="AIK381" i="16"/>
  <c r="AIN381" i="16"/>
  <c r="AIO381" i="16"/>
  <c r="AIR381" i="16"/>
  <c r="AIS381" i="16"/>
  <c r="AIV381" i="16"/>
  <c r="AIW381" i="16"/>
  <c r="AIZ381" i="16"/>
  <c r="AJA381" i="16"/>
  <c r="AJD381" i="16"/>
  <c r="AJE381" i="16"/>
  <c r="AJH381" i="16"/>
  <c r="AJI381" i="16"/>
  <c r="AJL381" i="16"/>
  <c r="AJM381" i="16"/>
  <c r="AJP381" i="16"/>
  <c r="AJQ381" i="16"/>
  <c r="AJT381" i="16"/>
  <c r="ZQ381" i="16"/>
  <c r="NX379" i="16"/>
  <c r="NY379" i="16"/>
  <c r="NZ379" i="16"/>
  <c r="OA379" i="16"/>
  <c r="OB379" i="16"/>
  <c r="OC379" i="16"/>
  <c r="OD379" i="16"/>
  <c r="OE379" i="16"/>
  <c r="OF379" i="16"/>
  <c r="OG379" i="16"/>
  <c r="OH379" i="16"/>
  <c r="OI379" i="16"/>
  <c r="OJ379" i="16"/>
  <c r="OK379" i="16"/>
  <c r="OL379" i="16"/>
  <c r="OM379" i="16"/>
  <c r="ON379" i="16"/>
  <c r="OO379" i="16"/>
  <c r="OP379" i="16"/>
  <c r="OQ379" i="16"/>
  <c r="OR379" i="16"/>
  <c r="OS379" i="16"/>
  <c r="OT379" i="16"/>
  <c r="OU379" i="16"/>
  <c r="OV379" i="16"/>
  <c r="OW379" i="16"/>
  <c r="OX379" i="16"/>
  <c r="OY379" i="16"/>
  <c r="OZ379" i="16"/>
  <c r="PA379" i="16"/>
  <c r="PB379" i="16"/>
  <c r="PC379" i="16"/>
  <c r="PD379" i="16"/>
  <c r="PE379" i="16"/>
  <c r="PF379" i="16"/>
  <c r="PG379" i="16"/>
  <c r="PH379" i="16"/>
  <c r="PI379" i="16"/>
  <c r="PJ379" i="16"/>
  <c r="PK379" i="16"/>
  <c r="PL379" i="16"/>
  <c r="PM379" i="16"/>
  <c r="PN379" i="16"/>
  <c r="PO379" i="16"/>
  <c r="PP379" i="16"/>
  <c r="PQ379" i="16"/>
  <c r="PR379" i="16"/>
  <c r="PS379" i="16"/>
  <c r="PT379" i="16"/>
  <c r="PU379" i="16"/>
  <c r="PV379" i="16"/>
  <c r="PW379" i="16"/>
  <c r="PX379" i="16"/>
  <c r="PY379" i="16"/>
  <c r="PZ379" i="16"/>
  <c r="QA379" i="16"/>
  <c r="QB379" i="16"/>
  <c r="QC379" i="16"/>
  <c r="QD379" i="16"/>
  <c r="QE379" i="16"/>
  <c r="QF379" i="16"/>
  <c r="QG379" i="16"/>
  <c r="QH379" i="16"/>
  <c r="QI379" i="16"/>
  <c r="QJ379" i="16"/>
  <c r="QK379" i="16"/>
  <c r="QL379" i="16"/>
  <c r="QM379" i="16"/>
  <c r="QN379" i="16"/>
  <c r="QO379" i="16"/>
  <c r="QP379" i="16"/>
  <c r="QQ379" i="16"/>
  <c r="QR379" i="16"/>
  <c r="QS379" i="16"/>
  <c r="QT379" i="16"/>
  <c r="QU379" i="16"/>
  <c r="QV379" i="16"/>
  <c r="QW379" i="16"/>
  <c r="QX379" i="16"/>
  <c r="QY379" i="16"/>
  <c r="QZ379" i="16"/>
  <c r="RA379" i="16"/>
  <c r="RB379" i="16"/>
  <c r="RC379" i="16"/>
  <c r="RD379" i="16"/>
  <c r="RE379" i="16"/>
  <c r="RF379" i="16"/>
  <c r="RG379" i="16"/>
  <c r="RH379" i="16"/>
  <c r="RI379" i="16"/>
  <c r="RJ379" i="16"/>
  <c r="RK379" i="16"/>
  <c r="RL379" i="16"/>
  <c r="RM379" i="16"/>
  <c r="RN379" i="16"/>
  <c r="RO379" i="16"/>
  <c r="RP379" i="16"/>
  <c r="RQ379" i="16"/>
  <c r="RR379" i="16"/>
  <c r="RS379" i="16"/>
  <c r="RT379" i="16"/>
  <c r="RU379" i="16"/>
  <c r="RV379" i="16"/>
  <c r="RW379" i="16"/>
  <c r="RX379" i="16"/>
  <c r="RY379" i="16"/>
  <c r="RZ379" i="16"/>
  <c r="SA379" i="16"/>
  <c r="SB379" i="16"/>
  <c r="SC379" i="16"/>
  <c r="SD379" i="16"/>
  <c r="SE379" i="16"/>
  <c r="SF379" i="16"/>
  <c r="SG379" i="16"/>
  <c r="SH379" i="16"/>
  <c r="SI379" i="16"/>
  <c r="SJ379" i="16"/>
  <c r="SK379" i="16"/>
  <c r="SL379" i="16"/>
  <c r="SM379" i="16"/>
  <c r="SN379" i="16"/>
  <c r="SO379" i="16"/>
  <c r="SP379" i="16"/>
  <c r="SQ379" i="16"/>
  <c r="SR379" i="16"/>
  <c r="SS379" i="16"/>
  <c r="ST379" i="16"/>
  <c r="SU379" i="16"/>
  <c r="SV379" i="16"/>
  <c r="SW379" i="16"/>
  <c r="SX379" i="16"/>
  <c r="SY379" i="16"/>
  <c r="SZ379" i="16"/>
  <c r="TA379" i="16"/>
  <c r="TB379" i="16"/>
  <c r="TC379" i="16"/>
  <c r="TD379" i="16"/>
  <c r="TE379" i="16"/>
  <c r="TF379" i="16"/>
  <c r="TG379" i="16"/>
  <c r="TH379" i="16"/>
  <c r="TI379" i="16"/>
  <c r="TJ379" i="16"/>
  <c r="TK379" i="16"/>
  <c r="TL379" i="16"/>
  <c r="TM379" i="16"/>
  <c r="TN379" i="16"/>
  <c r="TO379" i="16"/>
  <c r="TP379" i="16"/>
  <c r="TQ379" i="16"/>
  <c r="TR379" i="16"/>
  <c r="TS379" i="16"/>
  <c r="TT379" i="16"/>
  <c r="TU379" i="16"/>
  <c r="TV379" i="16"/>
  <c r="TW379" i="16"/>
  <c r="TX379" i="16"/>
  <c r="TY379" i="16"/>
  <c r="TZ379" i="16"/>
  <c r="UA379" i="16"/>
  <c r="UB379" i="16"/>
  <c r="UC379" i="16"/>
  <c r="UD379" i="16"/>
  <c r="UE379" i="16"/>
  <c r="UF379" i="16"/>
  <c r="UG379" i="16"/>
  <c r="UH379" i="16"/>
  <c r="UI379" i="16"/>
  <c r="UJ379" i="16"/>
  <c r="UK379" i="16"/>
  <c r="UL379" i="16"/>
  <c r="UM379" i="16"/>
  <c r="UN379" i="16"/>
  <c r="UO379" i="16"/>
  <c r="UP379" i="16"/>
  <c r="UQ379" i="16"/>
  <c r="UR379" i="16"/>
  <c r="US379" i="16"/>
  <c r="UT379" i="16"/>
  <c r="UU379" i="16"/>
  <c r="UV379" i="16"/>
  <c r="UW379" i="16"/>
  <c r="UX379" i="16"/>
  <c r="UY379" i="16"/>
  <c r="UZ379" i="16"/>
  <c r="VA379" i="16"/>
  <c r="VB379" i="16"/>
  <c r="VC379" i="16"/>
  <c r="VD379" i="16"/>
  <c r="VE379" i="16"/>
  <c r="VF379" i="16"/>
  <c r="VG379" i="16"/>
  <c r="VH379" i="16"/>
  <c r="VI379" i="16"/>
  <c r="VJ379" i="16"/>
  <c r="VK379" i="16"/>
  <c r="VL379" i="16"/>
  <c r="VM379" i="16"/>
  <c r="VN379" i="16"/>
  <c r="VO379" i="16"/>
  <c r="VP379" i="16"/>
  <c r="VQ379" i="16"/>
  <c r="VR379" i="16"/>
  <c r="VS379" i="16"/>
  <c r="VT379" i="16"/>
  <c r="VU379" i="16"/>
  <c r="VV379" i="16"/>
  <c r="VW379" i="16"/>
  <c r="VX379" i="16"/>
  <c r="VY379" i="16"/>
  <c r="VZ379" i="16"/>
  <c r="WA379" i="16"/>
  <c r="WB379" i="16"/>
  <c r="WC379" i="16"/>
  <c r="WD379" i="16"/>
  <c r="WE379" i="16"/>
  <c r="WF379" i="16"/>
  <c r="WG379" i="16"/>
  <c r="WH379" i="16"/>
  <c r="WI379" i="16"/>
  <c r="WJ379" i="16"/>
  <c r="WK379" i="16"/>
  <c r="WL379" i="16"/>
  <c r="WM379" i="16"/>
  <c r="WN379" i="16"/>
  <c r="WO379" i="16"/>
  <c r="WP379" i="16"/>
  <c r="WQ379" i="16"/>
  <c r="WR379" i="16"/>
  <c r="WS379" i="16"/>
  <c r="WT379" i="16"/>
  <c r="WU379" i="16"/>
  <c r="WV379" i="16"/>
  <c r="WW379" i="16"/>
  <c r="WX379" i="16"/>
  <c r="WY379" i="16"/>
  <c r="WZ379" i="16"/>
  <c r="XA379" i="16"/>
  <c r="XB379" i="16"/>
  <c r="XC379" i="16"/>
  <c r="XD379" i="16"/>
  <c r="XE379" i="16"/>
  <c r="XF379" i="16"/>
  <c r="XG379" i="16"/>
  <c r="XH379" i="16"/>
  <c r="XI379" i="16"/>
  <c r="XJ379" i="16"/>
  <c r="XK379" i="16"/>
  <c r="XL379" i="16"/>
  <c r="XM379" i="16"/>
  <c r="XN379" i="16"/>
  <c r="XO379" i="16"/>
  <c r="XP379" i="16"/>
  <c r="XQ379" i="16"/>
  <c r="XR379" i="16"/>
  <c r="XS379" i="16"/>
  <c r="XT379" i="16"/>
  <c r="XU379" i="16"/>
  <c r="XV379" i="16"/>
  <c r="XW379" i="16"/>
  <c r="XX379" i="16"/>
  <c r="XY379" i="16"/>
  <c r="XZ379" i="16"/>
  <c r="YA379" i="16"/>
  <c r="YB379" i="16"/>
  <c r="YC379" i="16"/>
  <c r="YD379" i="16"/>
  <c r="YE379" i="16"/>
  <c r="YF379" i="16"/>
  <c r="YG379" i="16"/>
  <c r="YH379" i="16"/>
  <c r="YI379" i="16"/>
  <c r="YJ379" i="16"/>
  <c r="YK379" i="16"/>
  <c r="YL379" i="16"/>
  <c r="YM379" i="16"/>
  <c r="YN379" i="16"/>
  <c r="YO379" i="16"/>
  <c r="YP379" i="16"/>
  <c r="YQ379" i="16"/>
  <c r="YR379" i="16"/>
  <c r="YS379" i="16"/>
  <c r="YT379" i="16"/>
  <c r="YU379" i="16"/>
  <c r="YV379" i="16"/>
  <c r="YW379" i="16"/>
  <c r="YX379" i="16"/>
  <c r="YY379" i="16"/>
  <c r="YZ379" i="16"/>
  <c r="ZA379" i="16"/>
  <c r="ZB379" i="16"/>
  <c r="ZC379" i="16"/>
  <c r="ZD379" i="16"/>
  <c r="ZE379" i="16"/>
  <c r="ZF379" i="16"/>
  <c r="ZG379" i="16"/>
  <c r="ZH379" i="16"/>
  <c r="ZI379" i="16"/>
  <c r="ZJ379" i="16"/>
  <c r="ZK379" i="16"/>
  <c r="ZL379" i="16"/>
  <c r="ZM379" i="16"/>
  <c r="ZN379" i="16"/>
  <c r="ZO379" i="16"/>
  <c r="ZP379" i="16"/>
  <c r="NW379" i="16"/>
  <c r="NG376" i="16"/>
  <c r="NC376" i="16"/>
  <c r="MY376" i="16"/>
  <c r="LY376" i="16"/>
  <c r="LO376" i="16"/>
  <c r="LN376" i="16"/>
  <c r="LM376" i="16"/>
  <c r="LL376" i="16"/>
  <c r="LK376" i="16"/>
  <c r="LJ376" i="16"/>
  <c r="LI376" i="16"/>
  <c r="LH376" i="16"/>
  <c r="LG376" i="16"/>
  <c r="LF376" i="16"/>
  <c r="LE376" i="16"/>
  <c r="LD376" i="16"/>
  <c r="LC376" i="16"/>
  <c r="LB376" i="16"/>
  <c r="LA376" i="16"/>
  <c r="KZ376" i="16"/>
  <c r="LA379" i="16"/>
  <c r="LB379" i="16"/>
  <c r="LC379" i="16"/>
  <c r="LD379" i="16"/>
  <c r="LE379" i="16"/>
  <c r="LF379" i="16"/>
  <c r="LG379" i="16"/>
  <c r="LH379" i="16"/>
  <c r="LI379" i="16"/>
  <c r="LJ379" i="16"/>
  <c r="LK379" i="16"/>
  <c r="LL379" i="16"/>
  <c r="LM379" i="16"/>
  <c r="LN379" i="16"/>
  <c r="LO379" i="16"/>
  <c r="KZ379" i="16"/>
  <c r="KY376" i="16"/>
  <c r="KX376" i="16"/>
  <c r="KW376" i="16"/>
  <c r="KV376" i="16"/>
  <c r="KU376" i="16"/>
  <c r="KT376" i="16"/>
  <c r="KS376" i="16"/>
  <c r="KR376" i="16"/>
  <c r="KQ376" i="16"/>
  <c r="KP376" i="16"/>
  <c r="JX376" i="16"/>
  <c r="JW376" i="16"/>
  <c r="JN376" i="16"/>
  <c r="JM376" i="16"/>
  <c r="JL376" i="16"/>
  <c r="JK376" i="16"/>
  <c r="JB376" i="16"/>
  <c r="JA376" i="16"/>
  <c r="IZ376" i="16"/>
  <c r="IY376" i="16"/>
  <c r="IX376" i="16"/>
  <c r="IW376" i="16"/>
  <c r="IV376" i="16"/>
  <c r="IU376" i="16"/>
  <c r="IT376" i="16"/>
  <c r="IS376" i="16"/>
  <c r="IR376" i="16"/>
  <c r="IQ376" i="16"/>
  <c r="IP376" i="16"/>
  <c r="IO376" i="16"/>
  <c r="IN376" i="16"/>
  <c r="IM376" i="16"/>
  <c r="IL376" i="16"/>
  <c r="IK376" i="16"/>
  <c r="IJ376" i="16"/>
  <c r="II376" i="16"/>
  <c r="IH376" i="16"/>
  <c r="IG376" i="16"/>
  <c r="IF376" i="16"/>
  <c r="IE376" i="16"/>
  <c r="ID376" i="16"/>
  <c r="IC376" i="16"/>
  <c r="IB376" i="16"/>
  <c r="IA376" i="16"/>
  <c r="HZ376" i="16"/>
  <c r="HY376" i="16"/>
  <c r="HX376" i="16"/>
  <c r="HW376" i="16"/>
  <c r="HV376" i="16"/>
  <c r="HU376" i="16"/>
  <c r="HT376" i="16"/>
  <c r="HS376" i="16"/>
  <c r="HR376" i="16"/>
  <c r="HQ376" i="16"/>
  <c r="HP376" i="16"/>
  <c r="HO376" i="16"/>
  <c r="HN376" i="16"/>
  <c r="HM376" i="16"/>
  <c r="HL376" i="16"/>
  <c r="HJ376" i="16"/>
  <c r="HK376" i="16"/>
  <c r="HI376" i="16"/>
  <c r="HH376" i="16"/>
  <c r="HG376" i="16"/>
  <c r="HF376" i="16"/>
  <c r="HE376" i="16"/>
  <c r="HD376" i="16"/>
  <c r="HC376" i="16"/>
  <c r="HB376" i="16"/>
  <c r="HA376" i="16"/>
  <c r="GZ376" i="16"/>
  <c r="GY376" i="16"/>
  <c r="GX376" i="16"/>
  <c r="GW376" i="16"/>
  <c r="GV376" i="16"/>
  <c r="GU376" i="16"/>
  <c r="GT376" i="16"/>
  <c r="GS376" i="16"/>
  <c r="GR376" i="16"/>
  <c r="GQ376" i="16"/>
  <c r="GO376" i="16"/>
  <c r="GP376" i="16"/>
  <c r="GC376" i="16"/>
  <c r="GD376" i="16"/>
  <c r="GE376" i="16"/>
  <c r="GF376" i="16"/>
  <c r="GG376" i="16"/>
  <c r="GH376" i="16"/>
  <c r="GI376" i="16"/>
  <c r="GJ376" i="16"/>
  <c r="GK376" i="16"/>
  <c r="GL376" i="16"/>
  <c r="GM376" i="16"/>
  <c r="GN376" i="16"/>
  <c r="GB376" i="16"/>
  <c r="GA376" i="16"/>
  <c r="FZ376" i="16"/>
  <c r="FY376" i="16"/>
  <c r="FX376" i="16"/>
  <c r="FW376" i="16"/>
  <c r="FV376" i="16"/>
  <c r="FU376" i="16"/>
  <c r="FT376" i="16"/>
  <c r="FS376" i="16"/>
  <c r="FR376" i="16"/>
  <c r="FQ376" i="16"/>
  <c r="FP376" i="16"/>
  <c r="FO376" i="16"/>
  <c r="FN376" i="16"/>
  <c r="FM376" i="16"/>
  <c r="FL376" i="16"/>
  <c r="FK376" i="16"/>
  <c r="FJ376" i="16"/>
  <c r="FI376" i="16"/>
  <c r="FH376" i="16"/>
  <c r="FG376" i="16"/>
  <c r="FF376" i="16"/>
  <c r="FE376" i="16"/>
  <c r="FD376" i="16"/>
  <c r="FC376" i="16"/>
  <c r="FB376" i="16"/>
  <c r="FA376" i="16"/>
  <c r="EZ376" i="16"/>
  <c r="EY376" i="16"/>
  <c r="EX376" i="16"/>
  <c r="EW376" i="16"/>
  <c r="EV376" i="16"/>
  <c r="EU376" i="16"/>
  <c r="ET376" i="16"/>
  <c r="ES376" i="16"/>
  <c r="ER376" i="16"/>
  <c r="EQ376" i="16"/>
  <c r="EP376" i="16"/>
  <c r="EO376" i="16"/>
  <c r="EN376" i="16"/>
  <c r="EM376" i="16"/>
  <c r="EL376" i="16"/>
  <c r="EH376" i="16"/>
  <c r="EG376" i="16"/>
  <c r="EF376" i="16"/>
  <c r="EE376" i="16"/>
  <c r="ED376" i="16"/>
  <c r="EC376" i="16"/>
  <c r="EB376" i="16"/>
  <c r="EA376" i="16"/>
  <c r="DZ376" i="16"/>
  <c r="DY376" i="16"/>
  <c r="DX376" i="16"/>
  <c r="DW376" i="16"/>
  <c r="DV376" i="16"/>
  <c r="DU376" i="16"/>
  <c r="DT376" i="16"/>
  <c r="DS376" i="16"/>
  <c r="DR376" i="16"/>
  <c r="DN376" i="16"/>
  <c r="DM376" i="16"/>
  <c r="DL376" i="16"/>
  <c r="DK376" i="16"/>
  <c r="DJ376" i="16"/>
  <c r="DI376" i="16"/>
  <c r="DH376" i="16"/>
  <c r="DG376" i="16"/>
  <c r="DA376" i="16"/>
  <c r="CZ376" i="16"/>
  <c r="CY376" i="16"/>
  <c r="CX376" i="16"/>
  <c r="CW376" i="16"/>
  <c r="CV376" i="16"/>
  <c r="CU376" i="16"/>
  <c r="CT376" i="16"/>
  <c r="CS376" i="16"/>
  <c r="CR376" i="16"/>
  <c r="CQ376" i="16"/>
  <c r="CP376" i="16"/>
  <c r="CO376" i="16"/>
  <c r="CN376" i="16"/>
  <c r="CM376" i="16"/>
  <c r="CL376" i="16"/>
  <c r="CK376" i="16"/>
  <c r="CJ376" i="16"/>
  <c r="CI376" i="16"/>
  <c r="CH376" i="16"/>
  <c r="CG376" i="16"/>
  <c r="CF376" i="16"/>
  <c r="CE376" i="16"/>
  <c r="CD376" i="16"/>
  <c r="CC376" i="16"/>
  <c r="CB376" i="16"/>
  <c r="CA376" i="16"/>
  <c r="BZ376" i="16"/>
  <c r="BY376" i="16"/>
  <c r="BX376" i="16"/>
  <c r="BN376" i="16"/>
  <c r="BC376" i="16"/>
  <c r="BB376" i="16"/>
  <c r="BA376" i="16"/>
  <c r="AZ376" i="16"/>
  <c r="AY376" i="16"/>
  <c r="AX376" i="16"/>
  <c r="AW376" i="16"/>
  <c r="AQ376" i="16"/>
  <c r="AR376" i="16"/>
  <c r="AS376" i="16"/>
  <c r="AT376" i="16"/>
  <c r="AU376" i="16"/>
  <c r="AV376" i="16"/>
  <c r="AP376" i="16"/>
  <c r="AKF378" i="16"/>
  <c r="AKG378" i="16"/>
  <c r="AKH378" i="16"/>
  <c r="AKH381" i="16" s="1"/>
  <c r="AKI378" i="16"/>
  <c r="AKI381" i="16" s="1"/>
  <c r="AKJ378" i="16"/>
  <c r="AKK378" i="16"/>
  <c r="AKL378" i="16"/>
  <c r="AKL381" i="16" s="1"/>
  <c r="AKM378" i="16"/>
  <c r="AKM381" i="16" s="1"/>
  <c r="AKN378" i="16"/>
  <c r="AKN381" i="16" s="1"/>
  <c r="AKO378" i="16"/>
  <c r="AKO381" i="16" s="1"/>
  <c r="AKP378" i="16"/>
  <c r="AKP381" i="16" s="1"/>
  <c r="AKQ378" i="16"/>
  <c r="AKR378" i="16"/>
  <c r="AKR381" i="16" s="1"/>
  <c r="AKS378" i="16"/>
  <c r="AKS381" i="16" s="1"/>
  <c r="AKT378" i="16"/>
  <c r="AKT381" i="16" s="1"/>
  <c r="AKU378" i="16"/>
  <c r="AKU381" i="16" s="1"/>
  <c r="AKV378" i="16"/>
  <c r="AKV381" i="16" s="1"/>
  <c r="AKW378" i="16"/>
  <c r="AKW381" i="16" s="1"/>
  <c r="AKX378" i="16"/>
  <c r="AKX381" i="16" s="1"/>
  <c r="AKY378" i="16"/>
  <c r="AKY381" i="16" s="1"/>
  <c r="AKZ378" i="16"/>
  <c r="AKZ381" i="16" s="1"/>
  <c r="ALA378" i="16"/>
  <c r="ALB378" i="16"/>
  <c r="ALB381" i="16" s="1"/>
  <c r="ALC378" i="16"/>
  <c r="ALC381" i="16" s="1"/>
  <c r="ALD378" i="16"/>
  <c r="ALD381" i="16" s="1"/>
  <c r="ALE378" i="16"/>
  <c r="ALE381" i="16" s="1"/>
  <c r="ALF378" i="16"/>
  <c r="ALF381" i="16" s="1"/>
  <c r="ALG378" i="16"/>
  <c r="ALG381" i="16" s="1"/>
  <c r="ALH378" i="16"/>
  <c r="ALI378" i="16"/>
  <c r="ALI381" i="16" s="1"/>
  <c r="ALJ378" i="16"/>
  <c r="ALJ381" i="16" s="1"/>
  <c r="ALK378" i="16"/>
  <c r="ALK381" i="16" s="1"/>
  <c r="ALL378" i="16"/>
  <c r="ALL381" i="16" s="1"/>
  <c r="ALM378" i="16"/>
  <c r="ALN378" i="16"/>
  <c r="ALN381" i="16" s="1"/>
  <c r="ALO378" i="16"/>
  <c r="ALO381" i="16" s="1"/>
  <c r="ALP378" i="16"/>
  <c r="ALP381" i="16" s="1"/>
  <c r="ALQ378" i="16"/>
  <c r="ALQ381" i="16" s="1"/>
  <c r="ALR378" i="16"/>
  <c r="ALR381" i="16" s="1"/>
  <c r="ALS378" i="16"/>
  <c r="ALS381" i="16" s="1"/>
  <c r="ALT378" i="16"/>
  <c r="ALU378" i="16"/>
  <c r="ALU381" i="16" s="1"/>
  <c r="ALV378" i="16"/>
  <c r="ALV381" i="16" s="1"/>
  <c r="ALW378" i="16"/>
  <c r="ALW381" i="16" s="1"/>
  <c r="ALX378" i="16"/>
  <c r="ALX381" i="16" s="1"/>
  <c r="ALY378" i="16"/>
  <c r="ALY381" i="16" s="1"/>
  <c r="ALZ378" i="16"/>
  <c r="ALZ381" i="16" s="1"/>
  <c r="AKE378" i="16"/>
  <c r="AKE381" i="16" s="1"/>
  <c r="AT348" i="16"/>
  <c r="AS348" i="16"/>
  <c r="AR348" i="16"/>
  <c r="AQ348" i="16"/>
  <c r="AP348" i="16"/>
  <c r="AO348" i="16"/>
  <c r="AJN378" i="16"/>
  <c r="AJN381" i="16" s="1"/>
  <c r="AJO378" i="16"/>
  <c r="AJO381" i="16" s="1"/>
  <c r="AJP378" i="16"/>
  <c r="AJQ378" i="16"/>
  <c r="AJR378" i="16"/>
  <c r="AJR381" i="16" s="1"/>
  <c r="AJS378" i="16"/>
  <c r="AJS381" i="16" s="1"/>
  <c r="AJT378" i="16"/>
  <c r="AJF378" i="16"/>
  <c r="AJF381" i="16" s="1"/>
  <c r="AJG378" i="16"/>
  <c r="AJG381" i="16" s="1"/>
  <c r="AJH378" i="16"/>
  <c r="AJI378" i="16"/>
  <c r="AJJ378" i="16"/>
  <c r="AJJ381" i="16" s="1"/>
  <c r="AJK378" i="16"/>
  <c r="AJK381" i="16" s="1"/>
  <c r="AJL378" i="16"/>
  <c r="AJM378" i="16"/>
  <c r="AIX378" i="16"/>
  <c r="AIX381" i="16" s="1"/>
  <c r="AIY378" i="16"/>
  <c r="AIY381" i="16" s="1"/>
  <c r="AIZ378" i="16"/>
  <c r="AJA378" i="16"/>
  <c r="AJB378" i="16"/>
  <c r="AJB381" i="16" s="1"/>
  <c r="AJC378" i="16"/>
  <c r="AJC381" i="16" s="1"/>
  <c r="AJD378" i="16"/>
  <c r="AJE378" i="16"/>
  <c r="AIP378" i="16"/>
  <c r="AIP381" i="16" s="1"/>
  <c r="AIQ378" i="16"/>
  <c r="AIQ381" i="16" s="1"/>
  <c r="AIR378" i="16"/>
  <c r="AIS378" i="16"/>
  <c r="AIT378" i="16"/>
  <c r="AIT381" i="16" s="1"/>
  <c r="AIU378" i="16"/>
  <c r="AIU381" i="16" s="1"/>
  <c r="AIV378" i="16"/>
  <c r="AIW378" i="16"/>
  <c r="AIO378" i="16"/>
  <c r="AIH378" i="16"/>
  <c r="AIH381" i="16" s="1"/>
  <c r="AII378" i="16"/>
  <c r="AII381" i="16" s="1"/>
  <c r="AIJ378" i="16"/>
  <c r="AIK378" i="16"/>
  <c r="AIL378" i="16"/>
  <c r="AIL381" i="16" s="1"/>
  <c r="AIM378" i="16"/>
  <c r="AIM381" i="16" s="1"/>
  <c r="AIN378" i="16"/>
  <c r="AHZ378" i="16"/>
  <c r="AHZ381" i="16" s="1"/>
  <c r="AIA378" i="16"/>
  <c r="AIA381" i="16" s="1"/>
  <c r="AIB378" i="16"/>
  <c r="AIC378" i="16"/>
  <c r="AID378" i="16"/>
  <c r="AID381" i="16" s="1"/>
  <c r="AIE378" i="16"/>
  <c r="AIE381" i="16" s="1"/>
  <c r="AIF378" i="16"/>
  <c r="AIG378" i="16"/>
  <c r="AHR378" i="16"/>
  <c r="AHR381" i="16" s="1"/>
  <c r="AHS378" i="16"/>
  <c r="AHS381" i="16" s="1"/>
  <c r="AHT378" i="16"/>
  <c r="AHU378" i="16"/>
  <c r="AHV378" i="16"/>
  <c r="AHV381" i="16" s="1"/>
  <c r="AHW378" i="16"/>
  <c r="AHW381" i="16" s="1"/>
  <c r="AHX378" i="16"/>
  <c r="AHY378" i="16"/>
  <c r="AHJ378" i="16"/>
  <c r="AHJ381" i="16" s="1"/>
  <c r="AHK378" i="16"/>
  <c r="AHK381" i="16" s="1"/>
  <c r="AHL378" i="16"/>
  <c r="AHM378" i="16"/>
  <c r="AHN378" i="16"/>
  <c r="AHN381" i="16" s="1"/>
  <c r="AHO378" i="16"/>
  <c r="AHO381" i="16" s="1"/>
  <c r="AHP378" i="16"/>
  <c r="AHQ378" i="16"/>
  <c r="AHB378" i="16"/>
  <c r="AHB381" i="16" s="1"/>
  <c r="AHC378" i="16"/>
  <c r="AHC381" i="16" s="1"/>
  <c r="AHD378" i="16"/>
  <c r="AHE378" i="16"/>
  <c r="AHF378" i="16"/>
  <c r="AHF381" i="16" s="1"/>
  <c r="AHG378" i="16"/>
  <c r="AHG381" i="16" s="1"/>
  <c r="AHH378" i="16"/>
  <c r="AHI378" i="16"/>
  <c r="AHA378" i="16"/>
  <c r="AGT378" i="16"/>
  <c r="AGT381" i="16" s="1"/>
  <c r="AGU378" i="16"/>
  <c r="AGU381" i="16" s="1"/>
  <c r="AGV378" i="16"/>
  <c r="AGW378" i="16"/>
  <c r="AGX378" i="16"/>
  <c r="AGX381" i="16" s="1"/>
  <c r="AGY378" i="16"/>
  <c r="AGY381" i="16" s="1"/>
  <c r="AGZ378" i="16"/>
  <c r="AGL378" i="16"/>
  <c r="AGL381" i="16" s="1"/>
  <c r="AGM378" i="16"/>
  <c r="AGM381" i="16" s="1"/>
  <c r="AGN378" i="16"/>
  <c r="AGO378" i="16"/>
  <c r="AGP378" i="16"/>
  <c r="AGP381" i="16" s="1"/>
  <c r="AGQ378" i="16"/>
  <c r="AGQ381" i="16" s="1"/>
  <c r="AGR378" i="16"/>
  <c r="AGS378" i="16"/>
  <c r="AGD378" i="16"/>
  <c r="AGD381" i="16" s="1"/>
  <c r="AGE378" i="16"/>
  <c r="AGE381" i="16" s="1"/>
  <c r="AGF378" i="16"/>
  <c r="AGG378" i="16"/>
  <c r="AGH378" i="16"/>
  <c r="AGH381" i="16" s="1"/>
  <c r="AGI378" i="16"/>
  <c r="AGI381" i="16" s="1"/>
  <c r="AGJ378" i="16"/>
  <c r="AGK378" i="16"/>
  <c r="AFV378" i="16"/>
  <c r="AFV381" i="16" s="1"/>
  <c r="AFW378" i="16"/>
  <c r="AFW381" i="16" s="1"/>
  <c r="AFX378" i="16"/>
  <c r="AFY378" i="16"/>
  <c r="AFZ378" i="16"/>
  <c r="AFZ381" i="16" s="1"/>
  <c r="AGA378" i="16"/>
  <c r="AGA381" i="16" s="1"/>
  <c r="AGB378" i="16"/>
  <c r="AGC378" i="16"/>
  <c r="AFN378" i="16"/>
  <c r="AFN381" i="16" s="1"/>
  <c r="AFO378" i="16"/>
  <c r="AFO381" i="16" s="1"/>
  <c r="AFP378" i="16"/>
  <c r="AFQ378" i="16"/>
  <c r="AFR378" i="16"/>
  <c r="AFR381" i="16" s="1"/>
  <c r="AFS378" i="16"/>
  <c r="AFS381" i="16" s="1"/>
  <c r="AFT378" i="16"/>
  <c r="AFU378" i="16"/>
  <c r="AFF378" i="16"/>
  <c r="AFF381" i="16" s="1"/>
  <c r="AFG378" i="16"/>
  <c r="AFG381" i="16" s="1"/>
  <c r="AFH378" i="16"/>
  <c r="AFI378" i="16"/>
  <c r="AFJ378" i="16"/>
  <c r="AFJ381" i="16" s="1"/>
  <c r="AFK378" i="16"/>
  <c r="AFK381" i="16" s="1"/>
  <c r="AFL378" i="16"/>
  <c r="AFM378" i="16"/>
  <c r="AEX378" i="16"/>
  <c r="AEX381" i="16" s="1"/>
  <c r="AEY378" i="16"/>
  <c r="AEY381" i="16" s="1"/>
  <c r="AEZ378" i="16"/>
  <c r="AFA378" i="16"/>
  <c r="AFB378" i="16"/>
  <c r="AFB381" i="16" s="1"/>
  <c r="AFC378" i="16"/>
  <c r="AFC381" i="16" s="1"/>
  <c r="AFD378" i="16"/>
  <c r="AFE378" i="16"/>
  <c r="AEP378" i="16"/>
  <c r="AEP381" i="16" s="1"/>
  <c r="AEQ378" i="16"/>
  <c r="AEQ381" i="16" s="1"/>
  <c r="AER378" i="16"/>
  <c r="AES378" i="16"/>
  <c r="AET378" i="16"/>
  <c r="AET381" i="16" s="1"/>
  <c r="AEU378" i="16"/>
  <c r="AEU381" i="16" s="1"/>
  <c r="AEV378" i="16"/>
  <c r="AEW378" i="16"/>
  <c r="AEH378" i="16"/>
  <c r="AEH381" i="16" s="1"/>
  <c r="AEI378" i="16"/>
  <c r="AEI381" i="16" s="1"/>
  <c r="AEJ378" i="16"/>
  <c r="AEK378" i="16"/>
  <c r="AEL378" i="16"/>
  <c r="AEL381" i="16" s="1"/>
  <c r="AEM378" i="16"/>
  <c r="AEM381" i="16" s="1"/>
  <c r="AEN378" i="16"/>
  <c r="AEO378" i="16"/>
  <c r="ADZ378" i="16"/>
  <c r="ADZ381" i="16" s="1"/>
  <c r="AEA378" i="16"/>
  <c r="AEA381" i="16" s="1"/>
  <c r="AEB378" i="16"/>
  <c r="AEC378" i="16"/>
  <c r="AED378" i="16"/>
  <c r="AED381" i="16" s="1"/>
  <c r="AEE378" i="16"/>
  <c r="AEE381" i="16" s="1"/>
  <c r="AEF378" i="16"/>
  <c r="AEG378" i="16"/>
  <c r="ADR378" i="16"/>
  <c r="ADR381" i="16" s="1"/>
  <c r="ADS378" i="16"/>
  <c r="ADS381" i="16" s="1"/>
  <c r="ADT378" i="16"/>
  <c r="ADU378" i="16"/>
  <c r="ADV378" i="16"/>
  <c r="ADV381" i="16" s="1"/>
  <c r="ADW378" i="16"/>
  <c r="ADW381" i="16" s="1"/>
  <c r="ADX378" i="16"/>
  <c r="ADY378" i="16"/>
  <c r="ADJ378" i="16"/>
  <c r="ADJ381" i="16" s="1"/>
  <c r="ADK378" i="16"/>
  <c r="ADK381" i="16" s="1"/>
  <c r="ADL378" i="16"/>
  <c r="ADM378" i="16"/>
  <c r="ADN378" i="16"/>
  <c r="ADN381" i="16" s="1"/>
  <c r="ADO378" i="16"/>
  <c r="ADO381" i="16" s="1"/>
  <c r="ADP378" i="16"/>
  <c r="ADQ378" i="16"/>
  <c r="ADB378" i="16"/>
  <c r="ADB381" i="16" s="1"/>
  <c r="ADC378" i="16"/>
  <c r="ADC381" i="16" s="1"/>
  <c r="ADD378" i="16"/>
  <c r="ADE378" i="16"/>
  <c r="ADF378" i="16"/>
  <c r="ADF381" i="16" s="1"/>
  <c r="ADG378" i="16"/>
  <c r="ADG381" i="16" s="1"/>
  <c r="ADH378" i="16"/>
  <c r="ADI378" i="16"/>
  <c r="ACT378" i="16"/>
  <c r="ACT381" i="16" s="1"/>
  <c r="ACU378" i="16"/>
  <c r="ACU381" i="16" s="1"/>
  <c r="ACV378" i="16"/>
  <c r="ACW378" i="16"/>
  <c r="ACX378" i="16"/>
  <c r="ACX381" i="16" s="1"/>
  <c r="ACY378" i="16"/>
  <c r="ACY381" i="16" s="1"/>
  <c r="ACZ378" i="16"/>
  <c r="ADA378" i="16"/>
  <c r="ACL378" i="16"/>
  <c r="ACL381" i="16" s="1"/>
  <c r="ACM378" i="16"/>
  <c r="ACM381" i="16" s="1"/>
  <c r="ACN378" i="16"/>
  <c r="ACO378" i="16"/>
  <c r="ACP378" i="16"/>
  <c r="ACP381" i="16" s="1"/>
  <c r="ACQ378" i="16"/>
  <c r="ACQ381" i="16" s="1"/>
  <c r="ACR378" i="16"/>
  <c r="ACS378" i="16"/>
  <c r="ACD378" i="16"/>
  <c r="ACD381" i="16" s="1"/>
  <c r="ACE378" i="16"/>
  <c r="ACE381" i="16" s="1"/>
  <c r="ACF378" i="16"/>
  <c r="ACG378" i="16"/>
  <c r="ACH378" i="16"/>
  <c r="ACH381" i="16" s="1"/>
  <c r="ACI378" i="16"/>
  <c r="ACI381" i="16" s="1"/>
  <c r="ACJ378" i="16"/>
  <c r="ACK378" i="16"/>
  <c r="ABV378" i="16"/>
  <c r="ABV381" i="16" s="1"/>
  <c r="ABW378" i="16"/>
  <c r="ABW381" i="16" s="1"/>
  <c r="ABX378" i="16"/>
  <c r="ABY378" i="16"/>
  <c r="ABZ378" i="16"/>
  <c r="ABZ381" i="16" s="1"/>
  <c r="ACA378" i="16"/>
  <c r="ACA381" i="16" s="1"/>
  <c r="ACB378" i="16"/>
  <c r="ACC378" i="16"/>
  <c r="ABN378" i="16"/>
  <c r="ABN381" i="16" s="1"/>
  <c r="ABO378" i="16"/>
  <c r="ABO381" i="16" s="1"/>
  <c r="ABP378" i="16"/>
  <c r="ABQ378" i="16"/>
  <c r="ABR378" i="16"/>
  <c r="ABR381" i="16" s="1"/>
  <c r="ABS378" i="16"/>
  <c r="ABS381" i="16" s="1"/>
  <c r="ABT378" i="16"/>
  <c r="ABU378" i="16"/>
  <c r="ABM378" i="16"/>
  <c r="ABF378" i="16"/>
  <c r="ABF381" i="16" s="1"/>
  <c r="ABG378" i="16"/>
  <c r="ABG381" i="16" s="1"/>
  <c r="ABH378" i="16"/>
  <c r="ABI378" i="16"/>
  <c r="ABJ378" i="16"/>
  <c r="ABJ381" i="16" s="1"/>
  <c r="ABK378" i="16"/>
  <c r="ABK381" i="16" s="1"/>
  <c r="ABL378" i="16"/>
  <c r="AAX378" i="16"/>
  <c r="AAX381" i="16" s="1"/>
  <c r="AAY378" i="16"/>
  <c r="AAY381" i="16" s="1"/>
  <c r="AAZ378" i="16"/>
  <c r="ABA378" i="16"/>
  <c r="ABB378" i="16"/>
  <c r="ABB381" i="16" s="1"/>
  <c r="ABC378" i="16"/>
  <c r="ABC381" i="16" s="1"/>
  <c r="ABD378" i="16"/>
  <c r="ABE378" i="16"/>
  <c r="AAP378" i="16"/>
  <c r="AAP381" i="16" s="1"/>
  <c r="AAQ378" i="16"/>
  <c r="AAQ381" i="16" s="1"/>
  <c r="AAR378" i="16"/>
  <c r="AAS378" i="16"/>
  <c r="AAT378" i="16"/>
  <c r="AAT381" i="16" s="1"/>
  <c r="AAU378" i="16"/>
  <c r="AAU381" i="16" s="1"/>
  <c r="AAV378" i="16"/>
  <c r="AAW378" i="16"/>
  <c r="AAH378" i="16"/>
  <c r="AAH381" i="16" s="1"/>
  <c r="AAI378" i="16"/>
  <c r="AAI381" i="16" s="1"/>
  <c r="AAJ378" i="16"/>
  <c r="AAK378" i="16"/>
  <c r="AAL378" i="16"/>
  <c r="AAL381" i="16" s="1"/>
  <c r="AAM378" i="16"/>
  <c r="AAM381" i="16" s="1"/>
  <c r="AAN378" i="16"/>
  <c r="AAO378" i="16"/>
  <c r="ZZ378" i="16"/>
  <c r="ZZ381" i="16" s="1"/>
  <c r="AAA378" i="16"/>
  <c r="AAA381" i="16" s="1"/>
  <c r="AAB378" i="16"/>
  <c r="AAC378" i="16"/>
  <c r="AAD378" i="16"/>
  <c r="AAD381" i="16" s="1"/>
  <c r="AAE378" i="16"/>
  <c r="AAE381" i="16" s="1"/>
  <c r="AAF378" i="16"/>
  <c r="AAG378" i="16"/>
  <c r="ZY378" i="16"/>
  <c r="ZR378" i="16"/>
  <c r="ZR381" i="16" s="1"/>
  <c r="ZS378" i="16"/>
  <c r="ZS381" i="16" s="1"/>
  <c r="ZT378" i="16"/>
  <c r="ZU378" i="16"/>
  <c r="ZV378" i="16"/>
  <c r="ZV381" i="16" s="1"/>
  <c r="ZW378" i="16"/>
  <c r="ZW381" i="16" s="1"/>
  <c r="ZX378" i="16"/>
  <c r="ZQ378" i="16"/>
  <c r="C380" i="16"/>
  <c r="C178" i="16" l="1"/>
  <c r="AN348" i="16" l="1"/>
  <c r="AM348" i="16"/>
  <c r="AL348" i="16"/>
  <c r="AK348" i="16"/>
  <c r="AJ348" i="16"/>
  <c r="AI348" i="16"/>
  <c r="AH348" i="16"/>
  <c r="AG348" i="16"/>
  <c r="AF348" i="16"/>
  <c r="AE348" i="16"/>
  <c r="AD348" i="16"/>
  <c r="AC348" i="16"/>
  <c r="AB348" i="16"/>
  <c r="AA348" i="16"/>
  <c r="Z348" i="16"/>
  <c r="Y348" i="16"/>
  <c r="X348" i="16"/>
  <c r="W348" i="16"/>
  <c r="V348" i="16"/>
  <c r="U348" i="16"/>
  <c r="T348" i="16"/>
  <c r="S348" i="16"/>
  <c r="R348" i="16"/>
  <c r="Q348" i="16"/>
  <c r="P348" i="16"/>
  <c r="O348" i="16"/>
  <c r="N348" i="16"/>
  <c r="M348" i="16"/>
  <c r="L348" i="16"/>
  <c r="K348" i="16"/>
  <c r="J348" i="16"/>
  <c r="I348" i="16"/>
  <c r="H348" i="16"/>
  <c r="G348" i="16"/>
  <c r="F348" i="16"/>
  <c r="E348" i="16"/>
  <c r="D348" i="16"/>
  <c r="C348" i="16"/>
  <c r="B336" i="16"/>
  <c r="B335" i="16"/>
  <c r="B334" i="16"/>
  <c r="B333" i="16"/>
  <c r="B326" i="16"/>
  <c r="B325" i="16"/>
  <c r="B328" i="16"/>
  <c r="B327" i="16"/>
  <c r="B324" i="16"/>
  <c r="B323" i="16"/>
  <c r="B321" i="16"/>
  <c r="B322" i="16"/>
  <c r="AG225" i="16"/>
  <c r="AF225" i="16"/>
  <c r="AE225" i="16"/>
  <c r="AD225" i="16"/>
  <c r="AC225" i="16"/>
  <c r="AB225" i="16"/>
  <c r="AA225" i="16"/>
  <c r="Z225" i="16"/>
  <c r="Y225" i="16"/>
  <c r="X225" i="16"/>
  <c r="W225" i="16"/>
  <c r="V225" i="16"/>
  <c r="U225" i="16"/>
  <c r="T225" i="16"/>
  <c r="S225" i="16"/>
  <c r="R225" i="16"/>
  <c r="Q225" i="16"/>
  <c r="P225" i="16"/>
  <c r="O225" i="16"/>
  <c r="N225" i="16"/>
  <c r="M225" i="16"/>
  <c r="L225" i="16"/>
  <c r="K225" i="16"/>
  <c r="J225" i="16"/>
  <c r="I225" i="16"/>
  <c r="H225" i="16"/>
  <c r="G225" i="16"/>
  <c r="F225" i="16"/>
  <c r="E225" i="16"/>
  <c r="D225" i="16"/>
  <c r="D226" i="16" s="1"/>
  <c r="E226" i="16" s="1"/>
  <c r="D218" i="16"/>
  <c r="D217" i="16"/>
  <c r="D216" i="16"/>
  <c r="D215" i="16"/>
  <c r="D214" i="16"/>
  <c r="D210" i="16"/>
  <c r="KO376" i="16" s="1"/>
  <c r="D209" i="16"/>
  <c r="KN376" i="16" s="1"/>
  <c r="D208" i="16"/>
  <c r="KM376" i="16" s="1"/>
  <c r="D207" i="16"/>
  <c r="KL376" i="16" s="1"/>
  <c r="D206" i="16"/>
  <c r="KK376" i="16" s="1"/>
  <c r="D205" i="16"/>
  <c r="KJ376" i="16" s="1"/>
  <c r="D204" i="16"/>
  <c r="KI376" i="16" s="1"/>
  <c r="D203" i="16"/>
  <c r="KH376" i="16" s="1"/>
  <c r="D202" i="16"/>
  <c r="AG197" i="16"/>
  <c r="AF197" i="16"/>
  <c r="AE197" i="16"/>
  <c r="AD197" i="16"/>
  <c r="AC197" i="16"/>
  <c r="AB197" i="16"/>
  <c r="AA197" i="16"/>
  <c r="Z197" i="16"/>
  <c r="Y197" i="16"/>
  <c r="X197" i="16"/>
  <c r="W197" i="16"/>
  <c r="V197" i="16"/>
  <c r="U197" i="16"/>
  <c r="T197" i="16"/>
  <c r="S197" i="16"/>
  <c r="R197" i="16"/>
  <c r="Q197" i="16"/>
  <c r="P197" i="16"/>
  <c r="O197" i="16"/>
  <c r="N197" i="16"/>
  <c r="M197" i="16"/>
  <c r="L197" i="16"/>
  <c r="K197" i="16"/>
  <c r="J197" i="16"/>
  <c r="I197" i="16"/>
  <c r="H197" i="16"/>
  <c r="G197" i="16"/>
  <c r="F197" i="16"/>
  <c r="E197" i="16"/>
  <c r="D197" i="16"/>
  <c r="D198" i="16" s="1"/>
  <c r="C188" i="16"/>
  <c r="AG191" i="16"/>
  <c r="AF191" i="16"/>
  <c r="AE191" i="16"/>
  <c r="AD191" i="16"/>
  <c r="AC191" i="16"/>
  <c r="AB191" i="16"/>
  <c r="AA191" i="16"/>
  <c r="Z191" i="16"/>
  <c r="Y191" i="16"/>
  <c r="X191" i="16"/>
  <c r="W191" i="16"/>
  <c r="V191" i="16"/>
  <c r="U191" i="16"/>
  <c r="T191" i="16"/>
  <c r="S191" i="16"/>
  <c r="R191" i="16"/>
  <c r="Q191" i="16"/>
  <c r="P191" i="16"/>
  <c r="O191" i="16"/>
  <c r="N191" i="16"/>
  <c r="M191" i="16"/>
  <c r="L191" i="16"/>
  <c r="K191" i="16"/>
  <c r="J191" i="16"/>
  <c r="I191" i="16"/>
  <c r="H191" i="16"/>
  <c r="G191" i="16"/>
  <c r="F191" i="16"/>
  <c r="E191" i="16"/>
  <c r="D191" i="16"/>
  <c r="D192" i="16" s="1"/>
  <c r="E192" i="16" s="1"/>
  <c r="AG180" i="16"/>
  <c r="AF180" i="16"/>
  <c r="AE180" i="16"/>
  <c r="AD180" i="16"/>
  <c r="AC180" i="16"/>
  <c r="AB180" i="16"/>
  <c r="AA180" i="16"/>
  <c r="Z180" i="16"/>
  <c r="Y180" i="16"/>
  <c r="X180" i="16"/>
  <c r="W180" i="16"/>
  <c r="V180" i="16"/>
  <c r="U180" i="16"/>
  <c r="T180" i="16"/>
  <c r="S180" i="16"/>
  <c r="R180" i="16"/>
  <c r="Q180" i="16"/>
  <c r="P180" i="16"/>
  <c r="O180" i="16"/>
  <c r="N180" i="16"/>
  <c r="N210" i="16" s="1"/>
  <c r="M180" i="16"/>
  <c r="M210" i="16" s="1"/>
  <c r="L180" i="16"/>
  <c r="L210" i="16" s="1"/>
  <c r="K180" i="16"/>
  <c r="K210" i="16" s="1"/>
  <c r="J180" i="16"/>
  <c r="J210" i="16" s="1"/>
  <c r="I180" i="16"/>
  <c r="I210" i="16" s="1"/>
  <c r="H180" i="16"/>
  <c r="H210" i="16" s="1"/>
  <c r="G180" i="16"/>
  <c r="F180" i="16"/>
  <c r="E180" i="16"/>
  <c r="D180" i="16"/>
  <c r="D181" i="16" s="1"/>
  <c r="AG109" i="16"/>
  <c r="AF109" i="16"/>
  <c r="AE109" i="16"/>
  <c r="AD109" i="16"/>
  <c r="AC109" i="16"/>
  <c r="AB109" i="16"/>
  <c r="AA109" i="16"/>
  <c r="Z109" i="16"/>
  <c r="Y109" i="16"/>
  <c r="X109" i="16"/>
  <c r="W109" i="16"/>
  <c r="V109" i="16"/>
  <c r="U109" i="16"/>
  <c r="T109" i="16"/>
  <c r="S109" i="16"/>
  <c r="R109" i="16"/>
  <c r="Q109" i="16"/>
  <c r="P109" i="16"/>
  <c r="O109" i="16"/>
  <c r="N109" i="16"/>
  <c r="M109" i="16"/>
  <c r="L109" i="16"/>
  <c r="K109" i="16"/>
  <c r="J109" i="16"/>
  <c r="I109" i="16"/>
  <c r="H109" i="16"/>
  <c r="G109" i="16"/>
  <c r="F109" i="16"/>
  <c r="E109" i="16"/>
  <c r="D109" i="16"/>
  <c r="D110" i="16" s="1"/>
  <c r="AG92" i="16"/>
  <c r="AF92" i="16"/>
  <c r="AE92" i="16"/>
  <c r="AD92" i="16"/>
  <c r="AC92" i="16"/>
  <c r="AB92" i="16"/>
  <c r="AA92" i="16"/>
  <c r="Z92" i="16"/>
  <c r="Y92" i="16"/>
  <c r="X92" i="16"/>
  <c r="W92" i="16"/>
  <c r="V92" i="16"/>
  <c r="U92" i="16"/>
  <c r="T92" i="16"/>
  <c r="S92" i="16"/>
  <c r="R92" i="16"/>
  <c r="Q92" i="16"/>
  <c r="P92" i="16"/>
  <c r="O92" i="16"/>
  <c r="N92" i="16"/>
  <c r="M92" i="16"/>
  <c r="L92" i="16"/>
  <c r="K92" i="16"/>
  <c r="J92" i="16"/>
  <c r="I92" i="16"/>
  <c r="H92" i="16"/>
  <c r="G92" i="16"/>
  <c r="F92" i="16"/>
  <c r="E92" i="16"/>
  <c r="D92" i="16"/>
  <c r="D93" i="16" s="1"/>
  <c r="I77" i="16"/>
  <c r="J77" i="16"/>
  <c r="K77" i="16"/>
  <c r="L77" i="16"/>
  <c r="M77" i="16"/>
  <c r="N77" i="16"/>
  <c r="H77" i="16"/>
  <c r="F226" i="16" l="1"/>
  <c r="G226" i="16" s="1"/>
  <c r="H226" i="16" s="1"/>
  <c r="I226" i="16" s="1"/>
  <c r="J226" i="16" s="1"/>
  <c r="K226" i="16" s="1"/>
  <c r="L226" i="16" s="1"/>
  <c r="M226" i="16" s="1"/>
  <c r="N226" i="16" s="1"/>
  <c r="O226" i="16" s="1"/>
  <c r="P226" i="16" s="1"/>
  <c r="Q226" i="16" s="1"/>
  <c r="R226" i="16" s="1"/>
  <c r="S226" i="16" s="1"/>
  <c r="T226" i="16" s="1"/>
  <c r="U226" i="16" s="1"/>
  <c r="V226" i="16" s="1"/>
  <c r="W226" i="16" s="1"/>
  <c r="X226" i="16" s="1"/>
  <c r="Y226" i="16" s="1"/>
  <c r="Z226" i="16" s="1"/>
  <c r="AA226" i="16" s="1"/>
  <c r="AB226" i="16" s="1"/>
  <c r="AC226" i="16" s="1"/>
  <c r="AD226" i="16" s="1"/>
  <c r="AE226" i="16" s="1"/>
  <c r="AF226" i="16" s="1"/>
  <c r="AG226" i="16" s="1"/>
  <c r="E93" i="16"/>
  <c r="F93" i="16" s="1"/>
  <c r="G93" i="16" s="1"/>
  <c r="H93" i="16" s="1"/>
  <c r="I93" i="16" s="1"/>
  <c r="J93" i="16" s="1"/>
  <c r="K93" i="16" s="1"/>
  <c r="L93" i="16" s="1"/>
  <c r="M93" i="16" s="1"/>
  <c r="N93" i="16" s="1"/>
  <c r="O93" i="16" s="1"/>
  <c r="P93" i="16" s="1"/>
  <c r="Q93" i="16" s="1"/>
  <c r="R93" i="16" s="1"/>
  <c r="S93" i="16" s="1"/>
  <c r="T93" i="16" s="1"/>
  <c r="U93" i="16" s="1"/>
  <c r="V93" i="16" s="1"/>
  <c r="W93" i="16" s="1"/>
  <c r="X93" i="16" s="1"/>
  <c r="Y93" i="16" s="1"/>
  <c r="Z93" i="16" s="1"/>
  <c r="AA93" i="16" s="1"/>
  <c r="AB93" i="16" s="1"/>
  <c r="AC93" i="16" s="1"/>
  <c r="AD93" i="16" s="1"/>
  <c r="AE93" i="16" s="1"/>
  <c r="AF93" i="16" s="1"/>
  <c r="AG93" i="16" s="1"/>
  <c r="E181" i="16"/>
  <c r="F181" i="16" s="1"/>
  <c r="G181" i="16" s="1"/>
  <c r="H181" i="16" s="1"/>
  <c r="I181" i="16" s="1"/>
  <c r="J181" i="16" s="1"/>
  <c r="K181" i="16" s="1"/>
  <c r="L181" i="16" s="1"/>
  <c r="M181" i="16" s="1"/>
  <c r="N181" i="16" s="1"/>
  <c r="O181" i="16" s="1"/>
  <c r="P181" i="16" s="1"/>
  <c r="Q181" i="16" s="1"/>
  <c r="R181" i="16" s="1"/>
  <c r="S181" i="16" s="1"/>
  <c r="T181" i="16" s="1"/>
  <c r="U181" i="16" s="1"/>
  <c r="V181" i="16" s="1"/>
  <c r="W181" i="16" s="1"/>
  <c r="X181" i="16" s="1"/>
  <c r="Y181" i="16" s="1"/>
  <c r="Z181" i="16" s="1"/>
  <c r="AA181" i="16" s="1"/>
  <c r="AB181" i="16" s="1"/>
  <c r="AC181" i="16" s="1"/>
  <c r="AD181" i="16" s="1"/>
  <c r="AE181" i="16" s="1"/>
  <c r="AF181" i="16" s="1"/>
  <c r="AG181" i="16" s="1"/>
  <c r="E198" i="16"/>
  <c r="F198" i="16" s="1"/>
  <c r="G198" i="16" s="1"/>
  <c r="H198" i="16" s="1"/>
  <c r="I198" i="16" s="1"/>
  <c r="J198" i="16" s="1"/>
  <c r="K198" i="16" s="1"/>
  <c r="L198" i="16" s="1"/>
  <c r="M198" i="16" s="1"/>
  <c r="N198" i="16" s="1"/>
  <c r="O198" i="16" s="1"/>
  <c r="P198" i="16" s="1"/>
  <c r="Q198" i="16" s="1"/>
  <c r="R198" i="16" s="1"/>
  <c r="S198" i="16" s="1"/>
  <c r="T198" i="16" s="1"/>
  <c r="U198" i="16" s="1"/>
  <c r="V198" i="16" s="1"/>
  <c r="W198" i="16" s="1"/>
  <c r="X198" i="16" s="1"/>
  <c r="Y198" i="16" s="1"/>
  <c r="Z198" i="16" s="1"/>
  <c r="AA198" i="16" s="1"/>
  <c r="AB198" i="16" s="1"/>
  <c r="AC198" i="16" s="1"/>
  <c r="AD198" i="16" s="1"/>
  <c r="AE198" i="16" s="1"/>
  <c r="AF198" i="16" s="1"/>
  <c r="AG198" i="16" s="1"/>
  <c r="F192" i="16"/>
  <c r="G192" i="16" s="1"/>
  <c r="H192" i="16" s="1"/>
  <c r="I192" i="16" s="1"/>
  <c r="J192" i="16" s="1"/>
  <c r="K192" i="16" s="1"/>
  <c r="L192" i="16" s="1"/>
  <c r="M192" i="16" s="1"/>
  <c r="N192" i="16" s="1"/>
  <c r="O192" i="16" s="1"/>
  <c r="P192" i="16" s="1"/>
  <c r="Q192" i="16" s="1"/>
  <c r="R192" i="16" s="1"/>
  <c r="S192" i="16" s="1"/>
  <c r="T192" i="16" s="1"/>
  <c r="U192" i="16" s="1"/>
  <c r="V192" i="16" s="1"/>
  <c r="W192" i="16" s="1"/>
  <c r="X192" i="16" s="1"/>
  <c r="Y192" i="16" s="1"/>
  <c r="Z192" i="16" s="1"/>
  <c r="AA192" i="16" s="1"/>
  <c r="AB192" i="16" s="1"/>
  <c r="AC192" i="16" s="1"/>
  <c r="AD192" i="16" s="1"/>
  <c r="AE192" i="16" s="1"/>
  <c r="AF192" i="16" s="1"/>
  <c r="AG192" i="16" s="1"/>
  <c r="E110" i="16"/>
  <c r="F110" i="16" s="1"/>
  <c r="G110" i="16" s="1"/>
  <c r="H110" i="16" s="1"/>
  <c r="I110" i="16" s="1"/>
  <c r="J110" i="16" s="1"/>
  <c r="K110" i="16" s="1"/>
  <c r="L110" i="16" s="1"/>
  <c r="M110" i="16" s="1"/>
  <c r="N110" i="16" s="1"/>
  <c r="O110" i="16" s="1"/>
  <c r="P110" i="16" s="1"/>
  <c r="Q110" i="16" s="1"/>
  <c r="R110" i="16" s="1"/>
  <c r="S110" i="16" s="1"/>
  <c r="T110" i="16" s="1"/>
  <c r="U110" i="16" s="1"/>
  <c r="V110" i="16" s="1"/>
  <c r="W110" i="16" s="1"/>
  <c r="X110" i="16" s="1"/>
  <c r="Y110" i="16" s="1"/>
  <c r="Z110" i="16" s="1"/>
  <c r="AA110" i="16" s="1"/>
  <c r="AB110" i="16" s="1"/>
  <c r="AC110" i="16" s="1"/>
  <c r="AD110" i="16" s="1"/>
  <c r="AE110" i="16" s="1"/>
  <c r="AF110" i="16" s="1"/>
  <c r="AG110" i="16" s="1"/>
  <c r="D85" i="16"/>
  <c r="D84" i="16"/>
  <c r="D83" i="16"/>
  <c r="D82" i="16"/>
  <c r="D81" i="16"/>
  <c r="BO376" i="16"/>
  <c r="C66" i="21" s="1"/>
  <c r="BP376" i="16"/>
  <c r="C67" i="21" s="1"/>
  <c r="BQ376" i="16"/>
  <c r="BR376" i="16"/>
  <c r="C69" i="21" s="1"/>
  <c r="BS376" i="16"/>
  <c r="C70" i="21" s="1"/>
  <c r="BT376" i="16"/>
  <c r="C71" i="21" s="1"/>
  <c r="BU376" i="16"/>
  <c r="BV376" i="16"/>
  <c r="BW376" i="16"/>
  <c r="C74" i="21" s="1"/>
  <c r="BI376" i="16"/>
  <c r="C60" i="21" s="1"/>
  <c r="BM376" i="16"/>
  <c r="BL376" i="16"/>
  <c r="C63" i="21" s="1"/>
  <c r="BK376" i="16"/>
  <c r="C62" i="21" s="1"/>
  <c r="BJ376" i="16"/>
  <c r="C61" i="21" s="1"/>
  <c r="AG56" i="16"/>
  <c r="AF56" i="16"/>
  <c r="AE56" i="16"/>
  <c r="AD56" i="16"/>
  <c r="AC56" i="16"/>
  <c r="AB56" i="16"/>
  <c r="AA56" i="16"/>
  <c r="Z56" i="16"/>
  <c r="Y56" i="16"/>
  <c r="X56" i="16"/>
  <c r="W56" i="16"/>
  <c r="V56" i="16"/>
  <c r="U56" i="16"/>
  <c r="T56" i="16"/>
  <c r="S56" i="16"/>
  <c r="R56" i="16"/>
  <c r="Q56" i="16"/>
  <c r="P56" i="16"/>
  <c r="O56" i="16"/>
  <c r="N56" i="16"/>
  <c r="M56" i="16"/>
  <c r="L56" i="16"/>
  <c r="K56" i="16"/>
  <c r="J56" i="16"/>
  <c r="I56" i="16"/>
  <c r="H56" i="16"/>
  <c r="G56" i="16"/>
  <c r="F56" i="16"/>
  <c r="E56" i="16"/>
  <c r="D56" i="16"/>
  <c r="D47" i="16"/>
  <c r="D48" i="16"/>
  <c r="D49" i="16"/>
  <c r="D50" i="16"/>
  <c r="D46" i="16"/>
  <c r="MY377" i="16"/>
  <c r="D377" i="16"/>
  <c r="E377" i="16"/>
  <c r="F377" i="16"/>
  <c r="G377" i="16"/>
  <c r="H377" i="16"/>
  <c r="I377" i="16"/>
  <c r="J377" i="16"/>
  <c r="K377" i="16"/>
  <c r="L377" i="16"/>
  <c r="M377" i="16"/>
  <c r="N377" i="16"/>
  <c r="O377" i="16"/>
  <c r="P377" i="16"/>
  <c r="Q377" i="16"/>
  <c r="R377" i="16"/>
  <c r="S377" i="16"/>
  <c r="T377" i="16"/>
  <c r="U377" i="16"/>
  <c r="V377" i="16"/>
  <c r="W377" i="16"/>
  <c r="X377" i="16"/>
  <c r="Y377" i="16"/>
  <c r="Z377" i="16"/>
  <c r="AA377" i="16"/>
  <c r="AB377" i="16"/>
  <c r="AC377" i="16"/>
  <c r="AD377" i="16"/>
  <c r="AE377" i="16"/>
  <c r="AF377" i="16"/>
  <c r="AG377" i="16"/>
  <c r="AH377" i="16"/>
  <c r="AI377" i="16"/>
  <c r="AJ377" i="16"/>
  <c r="AK377" i="16"/>
  <c r="AL377" i="16"/>
  <c r="AM377" i="16"/>
  <c r="AN377" i="16"/>
  <c r="AO377" i="16"/>
  <c r="AP377" i="16"/>
  <c r="AQ377" i="16"/>
  <c r="AR377" i="16"/>
  <c r="AS377" i="16"/>
  <c r="AT377" i="16"/>
  <c r="AU377" i="16"/>
  <c r="AV377" i="16"/>
  <c r="AW377" i="16"/>
  <c r="AX377" i="16"/>
  <c r="AY377" i="16"/>
  <c r="AZ377" i="16"/>
  <c r="BA377" i="16"/>
  <c r="BB377" i="16"/>
  <c r="BC377" i="16"/>
  <c r="BD377" i="16"/>
  <c r="BE377" i="16"/>
  <c r="BF377" i="16"/>
  <c r="BG377" i="16"/>
  <c r="BH377" i="16"/>
  <c r="BI377" i="16"/>
  <c r="BJ377" i="16"/>
  <c r="BK377" i="16"/>
  <c r="BL377" i="16"/>
  <c r="BM377" i="16"/>
  <c r="BN377" i="16"/>
  <c r="BO377" i="16"/>
  <c r="BP377" i="16"/>
  <c r="BQ377" i="16"/>
  <c r="BR377" i="16"/>
  <c r="BS377" i="16"/>
  <c r="BT377" i="16"/>
  <c r="BU377" i="16"/>
  <c r="BV377" i="16"/>
  <c r="BW377" i="16"/>
  <c r="BX377" i="16"/>
  <c r="BY377" i="16"/>
  <c r="BZ377" i="16"/>
  <c r="CA377" i="16"/>
  <c r="CB377" i="16"/>
  <c r="CC377" i="16"/>
  <c r="CD377" i="16"/>
  <c r="CE377" i="16"/>
  <c r="CF377" i="16"/>
  <c r="CG377" i="16"/>
  <c r="CH377" i="16"/>
  <c r="CI377" i="16"/>
  <c r="CJ377" i="16"/>
  <c r="CK377" i="16"/>
  <c r="CL377" i="16"/>
  <c r="CM377" i="16"/>
  <c r="CN377" i="16"/>
  <c r="CO377" i="16"/>
  <c r="CP377" i="16"/>
  <c r="CQ377" i="16"/>
  <c r="CR377" i="16"/>
  <c r="CS377" i="16"/>
  <c r="CT377" i="16"/>
  <c r="CU377" i="16"/>
  <c r="CV377" i="16"/>
  <c r="CW377" i="16"/>
  <c r="CX377" i="16"/>
  <c r="CY377" i="16"/>
  <c r="CZ377" i="16"/>
  <c r="DA377" i="16"/>
  <c r="DB377" i="16"/>
  <c r="DC377" i="16"/>
  <c r="DD377" i="16"/>
  <c r="DE377" i="16"/>
  <c r="DF377" i="16"/>
  <c r="DG377" i="16"/>
  <c r="DH377" i="16"/>
  <c r="DI377" i="16"/>
  <c r="DJ377" i="16"/>
  <c r="DK377" i="16"/>
  <c r="DL377" i="16"/>
  <c r="DM377" i="16"/>
  <c r="DN377" i="16"/>
  <c r="DO377" i="16"/>
  <c r="DP377" i="16"/>
  <c r="DQ377" i="16"/>
  <c r="DR377" i="16"/>
  <c r="DS377" i="16"/>
  <c r="DT377" i="16"/>
  <c r="DU377" i="16"/>
  <c r="DV377" i="16"/>
  <c r="DW377" i="16"/>
  <c r="DX377" i="16"/>
  <c r="DY377" i="16"/>
  <c r="DZ377" i="16"/>
  <c r="EA377" i="16"/>
  <c r="EB377" i="16"/>
  <c r="EC377" i="16"/>
  <c r="ED377" i="16"/>
  <c r="EE377" i="16"/>
  <c r="EF377" i="16"/>
  <c r="EG377" i="16"/>
  <c r="EH377" i="16"/>
  <c r="EI377" i="16"/>
  <c r="EJ377" i="16"/>
  <c r="EK377" i="16"/>
  <c r="EL377" i="16"/>
  <c r="EM377" i="16"/>
  <c r="EN377" i="16"/>
  <c r="EO377" i="16"/>
  <c r="EP377" i="16"/>
  <c r="EQ377" i="16"/>
  <c r="ER377" i="16"/>
  <c r="ES377" i="16"/>
  <c r="ET377" i="16"/>
  <c r="EU377" i="16"/>
  <c r="EV377" i="16"/>
  <c r="EW377" i="16"/>
  <c r="EX377" i="16"/>
  <c r="EY377" i="16"/>
  <c r="EZ377" i="16"/>
  <c r="FA377" i="16"/>
  <c r="FB377" i="16"/>
  <c r="FC377" i="16"/>
  <c r="FD377" i="16"/>
  <c r="FE377" i="16"/>
  <c r="FF377" i="16"/>
  <c r="FG377" i="16"/>
  <c r="FH377" i="16"/>
  <c r="FI377" i="16"/>
  <c r="FJ377" i="16"/>
  <c r="FK377" i="16"/>
  <c r="FL377" i="16"/>
  <c r="FM377" i="16"/>
  <c r="FN377" i="16"/>
  <c r="FO377" i="16"/>
  <c r="FP377" i="16"/>
  <c r="FQ377" i="16"/>
  <c r="FR377" i="16"/>
  <c r="FS377" i="16"/>
  <c r="FT377" i="16"/>
  <c r="FU377" i="16"/>
  <c r="FV377" i="16"/>
  <c r="FW377" i="16"/>
  <c r="FX377" i="16"/>
  <c r="FY377" i="16"/>
  <c r="FZ377" i="16"/>
  <c r="GA377" i="16"/>
  <c r="GB377" i="16"/>
  <c r="GC377" i="16"/>
  <c r="GD377" i="16"/>
  <c r="GE377" i="16"/>
  <c r="GF377" i="16"/>
  <c r="GG377" i="16"/>
  <c r="GH377" i="16"/>
  <c r="GI377" i="16"/>
  <c r="GJ377" i="16"/>
  <c r="GK377" i="16"/>
  <c r="GL377" i="16"/>
  <c r="GM377" i="16"/>
  <c r="GN377" i="16"/>
  <c r="GO377" i="16"/>
  <c r="GP377" i="16"/>
  <c r="GQ377" i="16"/>
  <c r="GR377" i="16"/>
  <c r="GS377" i="16"/>
  <c r="GT377" i="16"/>
  <c r="GU377" i="16"/>
  <c r="GV377" i="16"/>
  <c r="GW377" i="16"/>
  <c r="GX377" i="16"/>
  <c r="GY377" i="16"/>
  <c r="GZ377" i="16"/>
  <c r="HA377" i="16"/>
  <c r="HB377" i="16"/>
  <c r="HC377" i="16"/>
  <c r="HD377" i="16"/>
  <c r="HE377" i="16"/>
  <c r="HF377" i="16"/>
  <c r="HG377" i="16"/>
  <c r="HH377" i="16"/>
  <c r="HI377" i="16"/>
  <c r="HJ377" i="16"/>
  <c r="HK377" i="16"/>
  <c r="HL377" i="16"/>
  <c r="HM377" i="16"/>
  <c r="HN377" i="16"/>
  <c r="HO377" i="16"/>
  <c r="HP377" i="16"/>
  <c r="HQ377" i="16"/>
  <c r="HR377" i="16"/>
  <c r="HS377" i="16"/>
  <c r="HT377" i="16"/>
  <c r="HU377" i="16"/>
  <c r="HV377" i="16"/>
  <c r="HW377" i="16"/>
  <c r="HX377" i="16"/>
  <c r="HY377" i="16"/>
  <c r="HZ377" i="16"/>
  <c r="IA377" i="16"/>
  <c r="IB377" i="16"/>
  <c r="IC377" i="16"/>
  <c r="ID377" i="16"/>
  <c r="IE377" i="16"/>
  <c r="IF377" i="16"/>
  <c r="IG377" i="16"/>
  <c r="IH377" i="16"/>
  <c r="II377" i="16"/>
  <c r="IJ377" i="16"/>
  <c r="IK377" i="16"/>
  <c r="IL377" i="16"/>
  <c r="IM377" i="16"/>
  <c r="IN377" i="16"/>
  <c r="IO377" i="16"/>
  <c r="IP377" i="16"/>
  <c r="IQ377" i="16"/>
  <c r="IR377" i="16"/>
  <c r="IS377" i="16"/>
  <c r="IT377" i="16"/>
  <c r="IU377" i="16"/>
  <c r="IV377" i="16"/>
  <c r="IW377" i="16"/>
  <c r="IX377" i="16"/>
  <c r="IY377" i="16"/>
  <c r="IZ377" i="16"/>
  <c r="JA377" i="16"/>
  <c r="JB377" i="16"/>
  <c r="JC377" i="16"/>
  <c r="JD377" i="16"/>
  <c r="JE377" i="16"/>
  <c r="JF377" i="16"/>
  <c r="JG377" i="16"/>
  <c r="JH377" i="16"/>
  <c r="JI377" i="16"/>
  <c r="JJ377" i="16"/>
  <c r="JK377" i="16"/>
  <c r="JL377" i="16"/>
  <c r="JM377" i="16"/>
  <c r="JN377" i="16"/>
  <c r="JO377" i="16"/>
  <c r="JP377" i="16"/>
  <c r="JQ377" i="16"/>
  <c r="JR377" i="16"/>
  <c r="JS377" i="16"/>
  <c r="JT377" i="16"/>
  <c r="JU377" i="16"/>
  <c r="JV377" i="16"/>
  <c r="JW377" i="16"/>
  <c r="JX377" i="16"/>
  <c r="JY377" i="16"/>
  <c r="JZ377" i="16"/>
  <c r="KA377" i="16"/>
  <c r="KB377" i="16"/>
  <c r="KC377" i="16"/>
  <c r="KD377" i="16"/>
  <c r="KE377" i="16"/>
  <c r="KF377" i="16"/>
  <c r="KG377" i="16"/>
  <c r="KH377" i="16"/>
  <c r="KI377" i="16"/>
  <c r="KJ377" i="16"/>
  <c r="KK377" i="16"/>
  <c r="KL377" i="16"/>
  <c r="KM377" i="16"/>
  <c r="KN377" i="16"/>
  <c r="KO377" i="16"/>
  <c r="KP377" i="16"/>
  <c r="KQ377" i="16"/>
  <c r="KR377" i="16"/>
  <c r="KS377" i="16"/>
  <c r="KT377" i="16"/>
  <c r="KU377" i="16"/>
  <c r="KV377" i="16"/>
  <c r="KW377" i="16"/>
  <c r="KX377" i="16"/>
  <c r="KY377" i="16"/>
  <c r="KZ377" i="16"/>
  <c r="LA377" i="16"/>
  <c r="LB377" i="16"/>
  <c r="LC377" i="16"/>
  <c r="LD377" i="16"/>
  <c r="LE377" i="16"/>
  <c r="LF377" i="16"/>
  <c r="LG377" i="16"/>
  <c r="LH377" i="16"/>
  <c r="LI377" i="16"/>
  <c r="LJ377" i="16"/>
  <c r="LK377" i="16"/>
  <c r="LL377" i="16"/>
  <c r="LM377" i="16"/>
  <c r="LN377" i="16"/>
  <c r="LO377" i="16"/>
  <c r="LP377" i="16"/>
  <c r="LQ377" i="16"/>
  <c r="LR377" i="16"/>
  <c r="LS377" i="16"/>
  <c r="LT377" i="16"/>
  <c r="LU377" i="16"/>
  <c r="LV377" i="16"/>
  <c r="LW377" i="16"/>
  <c r="LX377" i="16"/>
  <c r="LY377" i="16"/>
  <c r="LZ377" i="16"/>
  <c r="MA377" i="16"/>
  <c r="MB377" i="16"/>
  <c r="MC377" i="16"/>
  <c r="MD377" i="16"/>
  <c r="ME377" i="16"/>
  <c r="MF377" i="16"/>
  <c r="MG377" i="16"/>
  <c r="MH377" i="16"/>
  <c r="MI377" i="16"/>
  <c r="MJ377" i="16"/>
  <c r="MK377" i="16"/>
  <c r="ML377" i="16"/>
  <c r="MM377" i="16"/>
  <c r="MN377" i="16"/>
  <c r="MO377" i="16"/>
  <c r="MP377" i="16"/>
  <c r="MQ377" i="16"/>
  <c r="MR377" i="16"/>
  <c r="MS377" i="16"/>
  <c r="MT377" i="16"/>
  <c r="MU377" i="16"/>
  <c r="MV377" i="16"/>
  <c r="MW377" i="16"/>
  <c r="MX377" i="16"/>
  <c r="MZ377" i="16"/>
  <c r="NA377" i="16"/>
  <c r="NB377" i="16"/>
  <c r="NC377" i="16"/>
  <c r="ND377" i="16"/>
  <c r="NE377" i="16"/>
  <c r="NF377" i="16"/>
  <c r="NG377" i="16"/>
  <c r="NH377" i="16"/>
  <c r="NI377" i="16"/>
  <c r="NJ377" i="16"/>
  <c r="NK377" i="16"/>
  <c r="NL377" i="16"/>
  <c r="NM377" i="16"/>
  <c r="NN377" i="16"/>
  <c r="NO377" i="16"/>
  <c r="NP377" i="16"/>
  <c r="NQ377" i="16"/>
  <c r="NR377" i="16"/>
  <c r="NS377" i="16"/>
  <c r="NT377" i="16"/>
  <c r="NU377" i="16"/>
  <c r="NV377" i="16"/>
  <c r="NW377" i="16"/>
  <c r="NX377" i="16"/>
  <c r="NY377" i="16"/>
  <c r="NZ377" i="16"/>
  <c r="OA377" i="16"/>
  <c r="OB377" i="16"/>
  <c r="OC377" i="16"/>
  <c r="OD377" i="16"/>
  <c r="OE377" i="16"/>
  <c r="OF377" i="16"/>
  <c r="OG377" i="16"/>
  <c r="OH377" i="16"/>
  <c r="OI377" i="16"/>
  <c r="OJ377" i="16"/>
  <c r="OK377" i="16"/>
  <c r="OL377" i="16"/>
  <c r="OM377" i="16"/>
  <c r="ON377" i="16"/>
  <c r="OO377" i="16"/>
  <c r="OP377" i="16"/>
  <c r="OQ377" i="16"/>
  <c r="OR377" i="16"/>
  <c r="OS377" i="16"/>
  <c r="OT377" i="16"/>
  <c r="OU377" i="16"/>
  <c r="OV377" i="16"/>
  <c r="OW377" i="16"/>
  <c r="OX377" i="16"/>
  <c r="OY377" i="16"/>
  <c r="OZ377" i="16"/>
  <c r="PA377" i="16"/>
  <c r="PB377" i="16"/>
  <c r="PC377" i="16"/>
  <c r="PD377" i="16"/>
  <c r="PE377" i="16"/>
  <c r="PF377" i="16"/>
  <c r="PG377" i="16"/>
  <c r="PH377" i="16"/>
  <c r="PI377" i="16"/>
  <c r="PJ377" i="16"/>
  <c r="PK377" i="16"/>
  <c r="PL377" i="16"/>
  <c r="PM377" i="16"/>
  <c r="PN377" i="16"/>
  <c r="PO377" i="16"/>
  <c r="PP377" i="16"/>
  <c r="PQ377" i="16"/>
  <c r="PR377" i="16"/>
  <c r="PS377" i="16"/>
  <c r="PT377" i="16"/>
  <c r="PU377" i="16"/>
  <c r="PV377" i="16"/>
  <c r="PW377" i="16"/>
  <c r="PX377" i="16"/>
  <c r="PY377" i="16"/>
  <c r="PZ377" i="16"/>
  <c r="QA377" i="16"/>
  <c r="QB377" i="16"/>
  <c r="QC377" i="16"/>
  <c r="QD377" i="16"/>
  <c r="QE377" i="16"/>
  <c r="QF377" i="16"/>
  <c r="QG377" i="16"/>
  <c r="QH377" i="16"/>
  <c r="QI377" i="16"/>
  <c r="QJ377" i="16"/>
  <c r="QK377" i="16"/>
  <c r="QL377" i="16"/>
  <c r="QM377" i="16"/>
  <c r="QN377" i="16"/>
  <c r="QO377" i="16"/>
  <c r="QP377" i="16"/>
  <c r="QQ377" i="16"/>
  <c r="QR377" i="16"/>
  <c r="QS377" i="16"/>
  <c r="QT377" i="16"/>
  <c r="QU377" i="16"/>
  <c r="QV377" i="16"/>
  <c r="QW377" i="16"/>
  <c r="QX377" i="16"/>
  <c r="QY377" i="16"/>
  <c r="QZ377" i="16"/>
  <c r="RA377" i="16"/>
  <c r="RB377" i="16"/>
  <c r="RC377" i="16"/>
  <c r="RD377" i="16"/>
  <c r="RE377" i="16"/>
  <c r="RF377" i="16"/>
  <c r="RG377" i="16"/>
  <c r="RH377" i="16"/>
  <c r="RI377" i="16"/>
  <c r="RJ377" i="16"/>
  <c r="RK377" i="16"/>
  <c r="RL377" i="16"/>
  <c r="RM377" i="16"/>
  <c r="RN377" i="16"/>
  <c r="RO377" i="16"/>
  <c r="RP377" i="16"/>
  <c r="RQ377" i="16"/>
  <c r="RR377" i="16"/>
  <c r="RS377" i="16"/>
  <c r="RT377" i="16"/>
  <c r="RU377" i="16"/>
  <c r="RV377" i="16"/>
  <c r="RW377" i="16"/>
  <c r="RX377" i="16"/>
  <c r="RY377" i="16"/>
  <c r="RZ377" i="16"/>
  <c r="SA377" i="16"/>
  <c r="SB377" i="16"/>
  <c r="SC377" i="16"/>
  <c r="SD377" i="16"/>
  <c r="SE377" i="16"/>
  <c r="SF377" i="16"/>
  <c r="SG377" i="16"/>
  <c r="SH377" i="16"/>
  <c r="SI377" i="16"/>
  <c r="SJ377" i="16"/>
  <c r="SK377" i="16"/>
  <c r="SL377" i="16"/>
  <c r="SM377" i="16"/>
  <c r="SN377" i="16"/>
  <c r="SO377" i="16"/>
  <c r="SP377" i="16"/>
  <c r="SQ377" i="16"/>
  <c r="SR377" i="16"/>
  <c r="SS377" i="16"/>
  <c r="ST377" i="16"/>
  <c r="SU377" i="16"/>
  <c r="SV377" i="16"/>
  <c r="SW377" i="16"/>
  <c r="SX377" i="16"/>
  <c r="SY377" i="16"/>
  <c r="SZ377" i="16"/>
  <c r="TA377" i="16"/>
  <c r="TB377" i="16"/>
  <c r="TC377" i="16"/>
  <c r="TD377" i="16"/>
  <c r="TE377" i="16"/>
  <c r="TF377" i="16"/>
  <c r="TG377" i="16"/>
  <c r="TH377" i="16"/>
  <c r="TI377" i="16"/>
  <c r="TJ377" i="16"/>
  <c r="TK377" i="16"/>
  <c r="TL377" i="16"/>
  <c r="TM377" i="16"/>
  <c r="TN377" i="16"/>
  <c r="TO377" i="16"/>
  <c r="TP377" i="16"/>
  <c r="TQ377" i="16"/>
  <c r="TR377" i="16"/>
  <c r="TS377" i="16"/>
  <c r="TT377" i="16"/>
  <c r="TU377" i="16"/>
  <c r="TV377" i="16"/>
  <c r="TW377" i="16"/>
  <c r="TX377" i="16"/>
  <c r="TY377" i="16"/>
  <c r="TZ377" i="16"/>
  <c r="UA377" i="16"/>
  <c r="UB377" i="16"/>
  <c r="UC377" i="16"/>
  <c r="UD377" i="16"/>
  <c r="UE377" i="16"/>
  <c r="UF377" i="16"/>
  <c r="UG377" i="16"/>
  <c r="UH377" i="16"/>
  <c r="UI377" i="16"/>
  <c r="UJ377" i="16"/>
  <c r="UK377" i="16"/>
  <c r="UL377" i="16"/>
  <c r="UM377" i="16"/>
  <c r="UN377" i="16"/>
  <c r="UO377" i="16"/>
  <c r="UP377" i="16"/>
  <c r="UQ377" i="16"/>
  <c r="UR377" i="16"/>
  <c r="US377" i="16"/>
  <c r="UT377" i="16"/>
  <c r="UU377" i="16"/>
  <c r="UV377" i="16"/>
  <c r="UW377" i="16"/>
  <c r="UX377" i="16"/>
  <c r="UY377" i="16"/>
  <c r="UZ377" i="16"/>
  <c r="VA377" i="16"/>
  <c r="VB377" i="16"/>
  <c r="VC377" i="16"/>
  <c r="VD377" i="16"/>
  <c r="VE377" i="16"/>
  <c r="VF377" i="16"/>
  <c r="VG377" i="16"/>
  <c r="VH377" i="16"/>
  <c r="VI377" i="16"/>
  <c r="VJ377" i="16"/>
  <c r="VK377" i="16"/>
  <c r="VL377" i="16"/>
  <c r="VM377" i="16"/>
  <c r="VN377" i="16"/>
  <c r="VO377" i="16"/>
  <c r="VP377" i="16"/>
  <c r="VQ377" i="16"/>
  <c r="VR377" i="16"/>
  <c r="VS377" i="16"/>
  <c r="VT377" i="16"/>
  <c r="VU377" i="16"/>
  <c r="VV377" i="16"/>
  <c r="VW377" i="16"/>
  <c r="VX377" i="16"/>
  <c r="VY377" i="16"/>
  <c r="VZ377" i="16"/>
  <c r="WA377" i="16"/>
  <c r="WB377" i="16"/>
  <c r="WC377" i="16"/>
  <c r="WD377" i="16"/>
  <c r="WE377" i="16"/>
  <c r="WF377" i="16"/>
  <c r="WG377" i="16"/>
  <c r="WH377" i="16"/>
  <c r="WI377" i="16"/>
  <c r="WJ377" i="16"/>
  <c r="WK377" i="16"/>
  <c r="WL377" i="16"/>
  <c r="WM377" i="16"/>
  <c r="WN377" i="16"/>
  <c r="WO377" i="16"/>
  <c r="WP377" i="16"/>
  <c r="WQ377" i="16"/>
  <c r="WR377" i="16"/>
  <c r="WS377" i="16"/>
  <c r="WT377" i="16"/>
  <c r="WU377" i="16"/>
  <c r="WV377" i="16"/>
  <c r="WW377" i="16"/>
  <c r="WX377" i="16"/>
  <c r="WY377" i="16"/>
  <c r="WZ377" i="16"/>
  <c r="XA377" i="16"/>
  <c r="XB377" i="16"/>
  <c r="XC377" i="16"/>
  <c r="XD377" i="16"/>
  <c r="XE377" i="16"/>
  <c r="XF377" i="16"/>
  <c r="XG377" i="16"/>
  <c r="XH377" i="16"/>
  <c r="XI377" i="16"/>
  <c r="XJ377" i="16"/>
  <c r="XK377" i="16"/>
  <c r="XL377" i="16"/>
  <c r="XM377" i="16"/>
  <c r="XN377" i="16"/>
  <c r="XO377" i="16"/>
  <c r="XP377" i="16"/>
  <c r="XQ377" i="16"/>
  <c r="XR377" i="16"/>
  <c r="XS377" i="16"/>
  <c r="XT377" i="16"/>
  <c r="XU377" i="16"/>
  <c r="XV377" i="16"/>
  <c r="XW377" i="16"/>
  <c r="XX377" i="16"/>
  <c r="XY377" i="16"/>
  <c r="XZ377" i="16"/>
  <c r="YA377" i="16"/>
  <c r="YB377" i="16"/>
  <c r="YC377" i="16"/>
  <c r="YD377" i="16"/>
  <c r="YE377" i="16"/>
  <c r="YF377" i="16"/>
  <c r="YG377" i="16"/>
  <c r="YH377" i="16"/>
  <c r="YI377" i="16"/>
  <c r="YJ377" i="16"/>
  <c r="YK377" i="16"/>
  <c r="YL377" i="16"/>
  <c r="YM377" i="16"/>
  <c r="YN377" i="16"/>
  <c r="YO377" i="16"/>
  <c r="YP377" i="16"/>
  <c r="YQ377" i="16"/>
  <c r="YR377" i="16"/>
  <c r="YS377" i="16"/>
  <c r="YT377" i="16"/>
  <c r="YU377" i="16"/>
  <c r="YV377" i="16"/>
  <c r="YW377" i="16"/>
  <c r="YX377" i="16"/>
  <c r="YY377" i="16"/>
  <c r="YZ377" i="16"/>
  <c r="ZA377" i="16"/>
  <c r="ZB377" i="16"/>
  <c r="ZC377" i="16"/>
  <c r="ZD377" i="16"/>
  <c r="ZE377" i="16"/>
  <c r="ZF377" i="16"/>
  <c r="ZG377" i="16"/>
  <c r="ZH377" i="16"/>
  <c r="ZI377" i="16"/>
  <c r="ZJ377" i="16"/>
  <c r="ZK377" i="16"/>
  <c r="ZL377" i="16"/>
  <c r="ZM377" i="16"/>
  <c r="ZN377" i="16"/>
  <c r="ZO377" i="16"/>
  <c r="ZP377" i="16"/>
  <c r="ZQ377" i="16"/>
  <c r="ZR377" i="16"/>
  <c r="ZS377" i="16"/>
  <c r="ZT377" i="16"/>
  <c r="ZU377" i="16"/>
  <c r="ZV377" i="16"/>
  <c r="ZW377" i="16"/>
  <c r="ZX377" i="16"/>
  <c r="ZY377" i="16"/>
  <c r="ZZ377" i="16"/>
  <c r="AAA377" i="16"/>
  <c r="AAB377" i="16"/>
  <c r="AAC377" i="16"/>
  <c r="AAD377" i="16"/>
  <c r="AAE377" i="16"/>
  <c r="AAF377" i="16"/>
  <c r="AAG377" i="16"/>
  <c r="AAH377" i="16"/>
  <c r="AAI377" i="16"/>
  <c r="AAJ377" i="16"/>
  <c r="AAK377" i="16"/>
  <c r="AAL377" i="16"/>
  <c r="AAM377" i="16"/>
  <c r="AAN377" i="16"/>
  <c r="AAO377" i="16"/>
  <c r="AAP377" i="16"/>
  <c r="AAQ377" i="16"/>
  <c r="AAR377" i="16"/>
  <c r="AAS377" i="16"/>
  <c r="AAT377" i="16"/>
  <c r="AAU377" i="16"/>
  <c r="AAV377" i="16"/>
  <c r="AAW377" i="16"/>
  <c r="AAX377" i="16"/>
  <c r="AAY377" i="16"/>
  <c r="AAZ377" i="16"/>
  <c r="ABA377" i="16"/>
  <c r="ABB377" i="16"/>
  <c r="ABC377" i="16"/>
  <c r="ABD377" i="16"/>
  <c r="ABE377" i="16"/>
  <c r="ABF377" i="16"/>
  <c r="ABG377" i="16"/>
  <c r="ABH377" i="16"/>
  <c r="ABI377" i="16"/>
  <c r="ABJ377" i="16"/>
  <c r="ABK377" i="16"/>
  <c r="ABL377" i="16"/>
  <c r="ABM377" i="16"/>
  <c r="ABN377" i="16"/>
  <c r="ABO377" i="16"/>
  <c r="ABP377" i="16"/>
  <c r="ABQ377" i="16"/>
  <c r="ABR377" i="16"/>
  <c r="ABS377" i="16"/>
  <c r="ABT377" i="16"/>
  <c r="ABU377" i="16"/>
  <c r="ABV377" i="16"/>
  <c r="ABW377" i="16"/>
  <c r="ABX377" i="16"/>
  <c r="ABY377" i="16"/>
  <c r="ABZ377" i="16"/>
  <c r="ACA377" i="16"/>
  <c r="ACB377" i="16"/>
  <c r="ACC377" i="16"/>
  <c r="ACD377" i="16"/>
  <c r="ACE377" i="16"/>
  <c r="ACF377" i="16"/>
  <c r="ACG377" i="16"/>
  <c r="ACH377" i="16"/>
  <c r="ACI377" i="16"/>
  <c r="ACJ377" i="16"/>
  <c r="ACK377" i="16"/>
  <c r="ACL377" i="16"/>
  <c r="ACM377" i="16"/>
  <c r="ACN377" i="16"/>
  <c r="ACO377" i="16"/>
  <c r="ACP377" i="16"/>
  <c r="ACQ377" i="16"/>
  <c r="ACR377" i="16"/>
  <c r="ACS377" i="16"/>
  <c r="ACT377" i="16"/>
  <c r="ACU377" i="16"/>
  <c r="ACV377" i="16"/>
  <c r="ACW377" i="16"/>
  <c r="ACX377" i="16"/>
  <c r="ACY377" i="16"/>
  <c r="ACZ377" i="16"/>
  <c r="ADA377" i="16"/>
  <c r="ADB377" i="16"/>
  <c r="ADC377" i="16"/>
  <c r="ADD377" i="16"/>
  <c r="ADE377" i="16"/>
  <c r="ADF377" i="16"/>
  <c r="ADG377" i="16"/>
  <c r="ADH377" i="16"/>
  <c r="ADI377" i="16"/>
  <c r="ADJ377" i="16"/>
  <c r="ADK377" i="16"/>
  <c r="ADL377" i="16"/>
  <c r="ADM377" i="16"/>
  <c r="ADN377" i="16"/>
  <c r="ADO377" i="16"/>
  <c r="ADP377" i="16"/>
  <c r="ADQ377" i="16"/>
  <c r="ADR377" i="16"/>
  <c r="ADS377" i="16"/>
  <c r="ADT377" i="16"/>
  <c r="ADU377" i="16"/>
  <c r="ADV377" i="16"/>
  <c r="ADW377" i="16"/>
  <c r="ADX377" i="16"/>
  <c r="ADY377" i="16"/>
  <c r="ADZ377" i="16"/>
  <c r="AEA377" i="16"/>
  <c r="AEB377" i="16"/>
  <c r="AEC377" i="16"/>
  <c r="AED377" i="16"/>
  <c r="AEE377" i="16"/>
  <c r="AEF377" i="16"/>
  <c r="AEG377" i="16"/>
  <c r="AEH377" i="16"/>
  <c r="AEI377" i="16"/>
  <c r="AEJ377" i="16"/>
  <c r="AEK377" i="16"/>
  <c r="AEL377" i="16"/>
  <c r="AEM377" i="16"/>
  <c r="AEN377" i="16"/>
  <c r="AEO377" i="16"/>
  <c r="AEP377" i="16"/>
  <c r="AEQ377" i="16"/>
  <c r="AER377" i="16"/>
  <c r="AES377" i="16"/>
  <c r="AET377" i="16"/>
  <c r="AEU377" i="16"/>
  <c r="AEV377" i="16"/>
  <c r="AEW377" i="16"/>
  <c r="AEX377" i="16"/>
  <c r="AEY377" i="16"/>
  <c r="AEZ377" i="16"/>
  <c r="AFA377" i="16"/>
  <c r="AFB377" i="16"/>
  <c r="AFC377" i="16"/>
  <c r="AFD377" i="16"/>
  <c r="AFE377" i="16"/>
  <c r="AFF377" i="16"/>
  <c r="AFG377" i="16"/>
  <c r="AFH377" i="16"/>
  <c r="AFI377" i="16"/>
  <c r="AFJ377" i="16"/>
  <c r="AFK377" i="16"/>
  <c r="AFL377" i="16"/>
  <c r="AFM377" i="16"/>
  <c r="AFN377" i="16"/>
  <c r="AFO377" i="16"/>
  <c r="AFP377" i="16"/>
  <c r="AFQ377" i="16"/>
  <c r="AFR377" i="16"/>
  <c r="AFS377" i="16"/>
  <c r="AFT377" i="16"/>
  <c r="AFU377" i="16"/>
  <c r="AFV377" i="16"/>
  <c r="AFW377" i="16"/>
  <c r="AFX377" i="16"/>
  <c r="AFY377" i="16"/>
  <c r="AFZ377" i="16"/>
  <c r="AGA377" i="16"/>
  <c r="AGB377" i="16"/>
  <c r="AGC377" i="16"/>
  <c r="AGD377" i="16"/>
  <c r="AGE377" i="16"/>
  <c r="AGF377" i="16"/>
  <c r="AGG377" i="16"/>
  <c r="AGH377" i="16"/>
  <c r="AGI377" i="16"/>
  <c r="AGJ377" i="16"/>
  <c r="AGK377" i="16"/>
  <c r="AGL377" i="16"/>
  <c r="AGM377" i="16"/>
  <c r="AGN377" i="16"/>
  <c r="AGO377" i="16"/>
  <c r="AGP377" i="16"/>
  <c r="AGQ377" i="16"/>
  <c r="AGR377" i="16"/>
  <c r="AGS377" i="16"/>
  <c r="AGT377" i="16"/>
  <c r="AGU377" i="16"/>
  <c r="AGV377" i="16"/>
  <c r="AGW377" i="16"/>
  <c r="AGX377" i="16"/>
  <c r="AGY377" i="16"/>
  <c r="AGZ377" i="16"/>
  <c r="AHA377" i="16"/>
  <c r="AHB377" i="16"/>
  <c r="AHC377" i="16"/>
  <c r="AHD377" i="16"/>
  <c r="AHE377" i="16"/>
  <c r="AHF377" i="16"/>
  <c r="AHG377" i="16"/>
  <c r="AHH377" i="16"/>
  <c r="AHI377" i="16"/>
  <c r="AHJ377" i="16"/>
  <c r="AHK377" i="16"/>
  <c r="AHL377" i="16"/>
  <c r="AHM377" i="16"/>
  <c r="AHN377" i="16"/>
  <c r="AHO377" i="16"/>
  <c r="AHP377" i="16"/>
  <c r="AHQ377" i="16"/>
  <c r="AHR377" i="16"/>
  <c r="AHS377" i="16"/>
  <c r="AHT377" i="16"/>
  <c r="AHU377" i="16"/>
  <c r="AHV377" i="16"/>
  <c r="AHW377" i="16"/>
  <c r="AHX377" i="16"/>
  <c r="AHY377" i="16"/>
  <c r="AHZ377" i="16"/>
  <c r="AIA377" i="16"/>
  <c r="AIB377" i="16"/>
  <c r="AIC377" i="16"/>
  <c r="AID377" i="16"/>
  <c r="AIE377" i="16"/>
  <c r="AIF377" i="16"/>
  <c r="AIG377" i="16"/>
  <c r="AIH377" i="16"/>
  <c r="AII377" i="16"/>
  <c r="AIJ377" i="16"/>
  <c r="AIK377" i="16"/>
  <c r="AIL377" i="16"/>
  <c r="AIM377" i="16"/>
  <c r="AIN377" i="16"/>
  <c r="AIO377" i="16"/>
  <c r="AIP377" i="16"/>
  <c r="AIQ377" i="16"/>
  <c r="AIR377" i="16"/>
  <c r="AIS377" i="16"/>
  <c r="AIT377" i="16"/>
  <c r="AIU377" i="16"/>
  <c r="AIV377" i="16"/>
  <c r="AIW377" i="16"/>
  <c r="AIX377" i="16"/>
  <c r="AIY377" i="16"/>
  <c r="AIZ377" i="16"/>
  <c r="AJA377" i="16"/>
  <c r="AJB377" i="16"/>
  <c r="AJC377" i="16"/>
  <c r="AJD377" i="16"/>
  <c r="AJE377" i="16"/>
  <c r="AJF377" i="16"/>
  <c r="AJG377" i="16"/>
  <c r="AJH377" i="16"/>
  <c r="AJI377" i="16"/>
  <c r="AJJ377" i="16"/>
  <c r="AJK377" i="16"/>
  <c r="AJL377" i="16"/>
  <c r="AJM377" i="16"/>
  <c r="AJN377" i="16"/>
  <c r="AJO377" i="16"/>
  <c r="AJP377" i="16"/>
  <c r="AJQ377" i="16"/>
  <c r="AJR377" i="16"/>
  <c r="AJS377" i="16"/>
  <c r="AJT377" i="16"/>
  <c r="AJU377" i="16"/>
  <c r="AJV377" i="16"/>
  <c r="AJW377" i="16"/>
  <c r="AJX377" i="16"/>
  <c r="AJY377" i="16"/>
  <c r="AJZ377" i="16"/>
  <c r="AKA377" i="16"/>
  <c r="AKB377" i="16"/>
  <c r="AKC377" i="16"/>
  <c r="AKD377" i="16"/>
  <c r="AKE377" i="16"/>
  <c r="AKF377" i="16"/>
  <c r="AKG377" i="16"/>
  <c r="AKH377" i="16"/>
  <c r="AKI377" i="16"/>
  <c r="AKJ377" i="16"/>
  <c r="AKK377" i="16"/>
  <c r="AKL377" i="16"/>
  <c r="AKM377" i="16"/>
  <c r="AKN377" i="16"/>
  <c r="AKO377" i="16"/>
  <c r="AKP377" i="16"/>
  <c r="AKQ377" i="16"/>
  <c r="AKR377" i="16"/>
  <c r="AKS377" i="16"/>
  <c r="AKT377" i="16"/>
  <c r="AKU377" i="16"/>
  <c r="AKV377" i="16"/>
  <c r="AKW377" i="16"/>
  <c r="AKX377" i="16"/>
  <c r="AKY377" i="16"/>
  <c r="AKZ377" i="16"/>
  <c r="ALA377" i="16"/>
  <c r="ALB377" i="16"/>
  <c r="ALC377" i="16"/>
  <c r="ALD377" i="16"/>
  <c r="ALE377" i="16"/>
  <c r="ALF377" i="16"/>
  <c r="ALG377" i="16"/>
  <c r="ALH377" i="16"/>
  <c r="ALI377" i="16"/>
  <c r="ALJ377" i="16"/>
  <c r="ALK377" i="16"/>
  <c r="ALL377" i="16"/>
  <c r="ALM377" i="16"/>
  <c r="ALN377" i="16"/>
  <c r="ALO377" i="16"/>
  <c r="ALP377" i="16"/>
  <c r="ALQ377" i="16"/>
  <c r="ALR377" i="16"/>
  <c r="ALS377" i="16"/>
  <c r="ALT377" i="16"/>
  <c r="ALU377" i="16"/>
  <c r="ALV377" i="16"/>
  <c r="ALW377" i="16"/>
  <c r="ALX377" i="16"/>
  <c r="ALY377" i="16"/>
  <c r="ALZ377" i="16"/>
  <c r="C377" i="16"/>
  <c r="C26" i="21"/>
  <c r="C27" i="21"/>
  <c r="C28" i="21"/>
  <c r="C29" i="21"/>
  <c r="C30" i="21"/>
  <c r="C41" i="21"/>
  <c r="C42" i="21"/>
  <c r="C43" i="21"/>
  <c r="C44" i="21"/>
  <c r="C45" i="21"/>
  <c r="C46" i="21"/>
  <c r="C47" i="21"/>
  <c r="C48" i="21"/>
  <c r="C49" i="21"/>
  <c r="C50" i="21"/>
  <c r="C51" i="21"/>
  <c r="C52" i="21"/>
  <c r="C53" i="21"/>
  <c r="C54" i="21"/>
  <c r="C55" i="21"/>
  <c r="C56" i="21"/>
  <c r="C57" i="21"/>
  <c r="C58" i="21"/>
  <c r="C59" i="21"/>
  <c r="C64" i="21"/>
  <c r="C65" i="21"/>
  <c r="C68" i="21"/>
  <c r="C72" i="21"/>
  <c r="C73" i="21"/>
  <c r="C75" i="21"/>
  <c r="C76" i="21"/>
  <c r="C77" i="21"/>
  <c r="C78" i="21"/>
  <c r="C79" i="21"/>
  <c r="C80" i="21"/>
  <c r="C81" i="21"/>
  <c r="C82" i="21"/>
  <c r="C83" i="21"/>
  <c r="C84" i="21"/>
  <c r="C85" i="21"/>
  <c r="C86" i="21"/>
  <c r="C87" i="21"/>
  <c r="C88" i="21"/>
  <c r="C89" i="21"/>
  <c r="C90" i="21"/>
  <c r="C91" i="21"/>
  <c r="C92" i="21"/>
  <c r="C93" i="21"/>
  <c r="C94" i="21"/>
  <c r="C95" i="21"/>
  <c r="C96" i="21"/>
  <c r="C97" i="21"/>
  <c r="C98" i="21"/>
  <c r="C99" i="21"/>
  <c r="C100" i="21"/>
  <c r="C101" i="21"/>
  <c r="C102" i="21"/>
  <c r="C103" i="21"/>
  <c r="C104" i="21"/>
  <c r="C105" i="21"/>
  <c r="C106" i="21"/>
  <c r="C107" i="21"/>
  <c r="C108" i="21"/>
  <c r="C109" i="21"/>
  <c r="C110" i="21"/>
  <c r="C111" i="21"/>
  <c r="C112" i="21"/>
  <c r="C113" i="21"/>
  <c r="C114" i="21"/>
  <c r="C115" i="21"/>
  <c r="C116" i="21"/>
  <c r="C117" i="21"/>
  <c r="C118" i="21"/>
  <c r="C119" i="21"/>
  <c r="C120" i="21"/>
  <c r="C121" i="21"/>
  <c r="C122" i="21"/>
  <c r="C123" i="21"/>
  <c r="C124" i="21"/>
  <c r="C125" i="21"/>
  <c r="C126" i="21"/>
  <c r="C127" i="21"/>
  <c r="C128" i="21"/>
  <c r="C129" i="21"/>
  <c r="C130" i="21"/>
  <c r="C131" i="21"/>
  <c r="C132" i="21"/>
  <c r="C133" i="21"/>
  <c r="C134" i="21"/>
  <c r="C135" i="21"/>
  <c r="C136" i="21"/>
  <c r="C137" i="21"/>
  <c r="C138" i="21"/>
  <c r="C139" i="21"/>
  <c r="C140" i="21"/>
  <c r="C141" i="21"/>
  <c r="C142" i="21"/>
  <c r="C143" i="21"/>
  <c r="C144" i="21"/>
  <c r="C145" i="21"/>
  <c r="C146" i="21"/>
  <c r="C147" i="21"/>
  <c r="C148" i="21"/>
  <c r="C149" i="21"/>
  <c r="C150" i="21"/>
  <c r="C151" i="21"/>
  <c r="C152" i="21"/>
  <c r="C153" i="21"/>
  <c r="C154" i="21"/>
  <c r="C155" i="21"/>
  <c r="C156" i="21"/>
  <c r="C157" i="21"/>
  <c r="C158" i="21"/>
  <c r="C159" i="21"/>
  <c r="C160" i="21"/>
  <c r="C161" i="21"/>
  <c r="C162" i="21"/>
  <c r="C163" i="21"/>
  <c r="C164" i="21"/>
  <c r="C165" i="21"/>
  <c r="C166" i="21"/>
  <c r="C167" i="21"/>
  <c r="C168" i="21"/>
  <c r="C169" i="21"/>
  <c r="C170" i="21"/>
  <c r="C171" i="21"/>
  <c r="C172" i="21"/>
  <c r="C173" i="21"/>
  <c r="C174" i="21"/>
  <c r="C175" i="21"/>
  <c r="C176" i="21"/>
  <c r="C177" i="21"/>
  <c r="C178" i="21"/>
  <c r="C179" i="21"/>
  <c r="C180" i="21"/>
  <c r="C181" i="21"/>
  <c r="C182" i="21"/>
  <c r="C183" i="21"/>
  <c r="C184" i="21"/>
  <c r="C185" i="21"/>
  <c r="C186" i="21"/>
  <c r="C187" i="21"/>
  <c r="C188" i="21"/>
  <c r="C189" i="21"/>
  <c r="C190" i="21"/>
  <c r="C191" i="21"/>
  <c r="C192" i="21"/>
  <c r="C193" i="21"/>
  <c r="C194" i="21"/>
  <c r="C195" i="21"/>
  <c r="C196" i="21"/>
  <c r="C197" i="21"/>
  <c r="C198" i="21"/>
  <c r="C199" i="21"/>
  <c r="C200" i="21"/>
  <c r="C201" i="21"/>
  <c r="C202" i="21"/>
  <c r="C203" i="21"/>
  <c r="C204" i="21"/>
  <c r="C205" i="21"/>
  <c r="C206" i="21"/>
  <c r="C207" i="21"/>
  <c r="C208" i="21"/>
  <c r="C209" i="21"/>
  <c r="C210" i="21"/>
  <c r="C211" i="21"/>
  <c r="C212" i="21"/>
  <c r="C213" i="21"/>
  <c r="C214" i="21"/>
  <c r="C215" i="21"/>
  <c r="C216" i="21"/>
  <c r="C217" i="21"/>
  <c r="C218" i="21"/>
  <c r="C219" i="21"/>
  <c r="C220" i="21"/>
  <c r="C221" i="21"/>
  <c r="C222" i="21"/>
  <c r="C223" i="21"/>
  <c r="C224" i="21"/>
  <c r="C225" i="21"/>
  <c r="C226" i="21"/>
  <c r="C227" i="21"/>
  <c r="C228" i="21"/>
  <c r="C229" i="21"/>
  <c r="C230" i="21"/>
  <c r="C231" i="21"/>
  <c r="C232" i="21"/>
  <c r="C233" i="21"/>
  <c r="C234" i="21"/>
  <c r="C235" i="21"/>
  <c r="C236" i="21"/>
  <c r="C237" i="21"/>
  <c r="C238" i="21"/>
  <c r="C239" i="21"/>
  <c r="C240" i="21"/>
  <c r="C241" i="21"/>
  <c r="C242" i="21"/>
  <c r="C243" i="21"/>
  <c r="C244" i="21"/>
  <c r="C245" i="21"/>
  <c r="C246" i="21"/>
  <c r="C247" i="21"/>
  <c r="C248" i="21"/>
  <c r="C249" i="21"/>
  <c r="C250" i="21"/>
  <c r="C251" i="21"/>
  <c r="C252" i="21"/>
  <c r="C253" i="21"/>
  <c r="C254" i="21"/>
  <c r="C255" i="21"/>
  <c r="C256" i="21"/>
  <c r="C257" i="21"/>
  <c r="C258" i="21"/>
  <c r="C259" i="21"/>
  <c r="C260" i="21"/>
  <c r="C261" i="21"/>
  <c r="C262" i="21"/>
  <c r="C263" i="21"/>
  <c r="C264" i="21"/>
  <c r="C265" i="21"/>
  <c r="C266" i="21"/>
  <c r="C267" i="21"/>
  <c r="C268" i="21"/>
  <c r="C269" i="21"/>
  <c r="C270" i="21"/>
  <c r="C271" i="21"/>
  <c r="C272" i="21"/>
  <c r="C273" i="21"/>
  <c r="C274" i="21"/>
  <c r="C275" i="21"/>
  <c r="C276" i="21"/>
  <c r="C277" i="21"/>
  <c r="C278" i="21"/>
  <c r="C279" i="21"/>
  <c r="C280" i="21"/>
  <c r="C281" i="21"/>
  <c r="C282" i="21"/>
  <c r="C283" i="21"/>
  <c r="C284" i="21"/>
  <c r="C285" i="21"/>
  <c r="C286" i="21"/>
  <c r="C287" i="21"/>
  <c r="C288" i="21"/>
  <c r="C289" i="21"/>
  <c r="C290" i="21"/>
  <c r="C291" i="21"/>
  <c r="C292" i="21"/>
  <c r="C293" i="21"/>
  <c r="C294" i="21"/>
  <c r="C295" i="21"/>
  <c r="C296" i="21"/>
  <c r="C297" i="21"/>
  <c r="C298" i="21"/>
  <c r="C299" i="21"/>
  <c r="C300" i="21"/>
  <c r="C301" i="21"/>
  <c r="C302" i="21"/>
  <c r="C303" i="21"/>
  <c r="C304" i="21"/>
  <c r="C305" i="21"/>
  <c r="C306" i="21"/>
  <c r="C307" i="21"/>
  <c r="C308" i="21"/>
  <c r="C309" i="21"/>
  <c r="C310" i="21"/>
  <c r="C311" i="21"/>
  <c r="C312" i="21"/>
  <c r="C313" i="21"/>
  <c r="C314" i="21"/>
  <c r="C315" i="21"/>
  <c r="C316" i="21"/>
  <c r="C317" i="21"/>
  <c r="C318" i="21"/>
  <c r="C319" i="21"/>
  <c r="C320" i="21"/>
  <c r="C321" i="21"/>
  <c r="C322" i="21"/>
  <c r="C323" i="21"/>
  <c r="C324" i="21"/>
  <c r="C325" i="21"/>
  <c r="C326" i="21"/>
  <c r="C327" i="21"/>
  <c r="C328" i="21"/>
  <c r="C329" i="21"/>
  <c r="C330" i="21"/>
  <c r="C331" i="21"/>
  <c r="C332" i="21"/>
  <c r="C333" i="21"/>
  <c r="C334" i="21"/>
  <c r="C335" i="21"/>
  <c r="C336" i="21"/>
  <c r="C337" i="21"/>
  <c r="C338" i="21"/>
  <c r="C339" i="21"/>
  <c r="C340" i="21"/>
  <c r="C341" i="21"/>
  <c r="C342" i="21"/>
  <c r="C343" i="21"/>
  <c r="C344" i="21"/>
  <c r="C345" i="21"/>
  <c r="C346" i="21"/>
  <c r="C347" i="21"/>
  <c r="C348" i="21"/>
  <c r="C349" i="21"/>
  <c r="C350" i="21"/>
  <c r="C351" i="21"/>
  <c r="C352" i="21"/>
  <c r="C353" i="21"/>
  <c r="C354" i="21"/>
  <c r="C355" i="21"/>
  <c r="C356" i="21"/>
  <c r="C357" i="21"/>
  <c r="C358" i="21"/>
  <c r="C359" i="21"/>
  <c r="C360" i="21"/>
  <c r="C361" i="21"/>
  <c r="C602" i="21"/>
  <c r="C603" i="21"/>
  <c r="C604" i="21"/>
  <c r="C605" i="21"/>
  <c r="C606" i="21"/>
  <c r="C607" i="21"/>
  <c r="C608" i="21"/>
  <c r="C609" i="21"/>
  <c r="C610" i="21"/>
  <c r="C611" i="21"/>
  <c r="C612" i="21"/>
  <c r="C613" i="21"/>
  <c r="C614" i="21"/>
  <c r="C615" i="21"/>
  <c r="C616" i="21"/>
  <c r="C617" i="21"/>
  <c r="C618" i="21"/>
  <c r="C619" i="21"/>
  <c r="C620" i="21"/>
  <c r="C621" i="21"/>
  <c r="C622" i="21"/>
  <c r="C623" i="21"/>
  <c r="C624" i="21"/>
  <c r="C625" i="21"/>
  <c r="C626" i="21"/>
  <c r="C627" i="21"/>
  <c r="C628" i="21"/>
  <c r="C629" i="21"/>
  <c r="C630" i="21"/>
  <c r="C631" i="21"/>
  <c r="C632" i="21"/>
  <c r="C633" i="21"/>
  <c r="C634" i="21"/>
  <c r="C635" i="21"/>
  <c r="C636" i="21"/>
  <c r="C637" i="21"/>
  <c r="C638" i="21"/>
  <c r="C639" i="21"/>
  <c r="C640" i="21"/>
  <c r="C641" i="21"/>
  <c r="C642" i="21"/>
  <c r="C643" i="21"/>
  <c r="C644" i="21"/>
  <c r="C645" i="21"/>
  <c r="C646" i="21"/>
  <c r="C647" i="21"/>
  <c r="C648" i="21"/>
  <c r="C649" i="21"/>
  <c r="C650" i="21"/>
  <c r="C651" i="21"/>
  <c r="C652" i="21"/>
  <c r="C653" i="21"/>
  <c r="C654" i="21"/>
  <c r="C655" i="21"/>
  <c r="C656" i="21"/>
  <c r="C657" i="21"/>
  <c r="C658" i="21"/>
  <c r="C659" i="21"/>
  <c r="C660" i="21"/>
  <c r="C661" i="21"/>
  <c r="C662" i="21"/>
  <c r="C663" i="21"/>
  <c r="C664" i="21"/>
  <c r="C665" i="21"/>
  <c r="C666" i="21"/>
  <c r="C667" i="21"/>
  <c r="C668" i="21"/>
  <c r="C669" i="21"/>
  <c r="C670" i="21"/>
  <c r="C671" i="21"/>
  <c r="C672" i="21"/>
  <c r="C673" i="21"/>
  <c r="C674" i="21"/>
  <c r="C675" i="21"/>
  <c r="C676" i="21"/>
  <c r="C677" i="21"/>
  <c r="C678" i="21"/>
  <c r="C679" i="21"/>
  <c r="C680" i="21"/>
  <c r="C681" i="21"/>
  <c r="C682" i="21"/>
  <c r="C683" i="21"/>
  <c r="C684" i="21"/>
  <c r="C685" i="21"/>
  <c r="C686" i="21"/>
  <c r="C687" i="21"/>
  <c r="C688" i="21"/>
  <c r="C689" i="21"/>
  <c r="C690" i="21"/>
  <c r="C691" i="21"/>
  <c r="C692" i="21"/>
  <c r="C693" i="21"/>
  <c r="C694" i="21"/>
  <c r="C695" i="21"/>
  <c r="C696" i="21"/>
  <c r="C697" i="21"/>
  <c r="C698" i="21"/>
  <c r="C699" i="21"/>
  <c r="C700" i="21"/>
  <c r="C701" i="21"/>
  <c r="C702" i="21"/>
  <c r="C703" i="21"/>
  <c r="C704" i="21"/>
  <c r="C705" i="21"/>
  <c r="C706" i="21"/>
  <c r="C707" i="21"/>
  <c r="C708" i="21"/>
  <c r="C709" i="21"/>
  <c r="C710" i="21"/>
  <c r="C711" i="21"/>
  <c r="C712" i="21"/>
  <c r="C713" i="21"/>
  <c r="C714" i="21"/>
  <c r="C715" i="21"/>
  <c r="C716" i="21"/>
  <c r="C717" i="21"/>
  <c r="C718" i="21"/>
  <c r="C719" i="21"/>
  <c r="C720" i="21"/>
  <c r="C721" i="21"/>
  <c r="C722" i="21"/>
  <c r="C723" i="21"/>
  <c r="C724" i="21"/>
  <c r="C725" i="21"/>
  <c r="C726" i="21"/>
  <c r="C727" i="21"/>
  <c r="C728" i="21"/>
  <c r="C729" i="21"/>
  <c r="C730" i="21"/>
  <c r="C731" i="21"/>
  <c r="C732" i="21"/>
  <c r="C733" i="21"/>
  <c r="C734" i="21"/>
  <c r="C735" i="21"/>
  <c r="C736" i="21"/>
  <c r="C737" i="21"/>
  <c r="C738" i="21"/>
  <c r="C739" i="21"/>
  <c r="C740" i="21"/>
  <c r="C741" i="21"/>
  <c r="C742" i="21"/>
  <c r="C743" i="21"/>
  <c r="C744" i="21"/>
  <c r="C745" i="21"/>
  <c r="C746" i="21"/>
  <c r="C747" i="21"/>
  <c r="C748" i="21"/>
  <c r="C749" i="21"/>
  <c r="C750" i="21"/>
  <c r="C751" i="21"/>
  <c r="C752" i="21"/>
  <c r="C753" i="21"/>
  <c r="C754" i="21"/>
  <c r="C755" i="21"/>
  <c r="C756" i="21"/>
  <c r="C757" i="21"/>
  <c r="C758" i="21"/>
  <c r="C759" i="21"/>
  <c r="C760" i="21"/>
  <c r="C761" i="21"/>
  <c r="C762" i="21"/>
  <c r="C763" i="21"/>
  <c r="C764" i="21"/>
  <c r="C765" i="21"/>
  <c r="C766" i="21"/>
  <c r="C767" i="21"/>
  <c r="C768" i="21"/>
  <c r="C769" i="21"/>
  <c r="C770" i="21"/>
  <c r="C771" i="21"/>
  <c r="C772" i="21"/>
  <c r="C773" i="21"/>
  <c r="C774" i="21"/>
  <c r="C775" i="21"/>
  <c r="C776" i="21"/>
  <c r="C777" i="21"/>
  <c r="C778" i="21"/>
  <c r="C779" i="21"/>
  <c r="C780" i="21"/>
  <c r="C781" i="21"/>
  <c r="C782" i="21"/>
  <c r="C783" i="21"/>
  <c r="C784" i="21"/>
  <c r="C785" i="21"/>
  <c r="C786" i="21"/>
  <c r="C787" i="21"/>
  <c r="C788" i="21"/>
  <c r="C789" i="21"/>
  <c r="C790" i="21"/>
  <c r="C791" i="21"/>
  <c r="C792" i="21"/>
  <c r="C793" i="21"/>
  <c r="C794" i="21"/>
  <c r="C795" i="21"/>
  <c r="C796" i="21"/>
  <c r="C797" i="21"/>
  <c r="C798" i="21"/>
  <c r="C799" i="21"/>
  <c r="C800" i="21"/>
  <c r="C801" i="21"/>
  <c r="C802" i="21"/>
  <c r="C803" i="21"/>
  <c r="C804" i="21"/>
  <c r="C805" i="21"/>
  <c r="C806" i="21"/>
  <c r="C807" i="21"/>
  <c r="C808" i="21"/>
  <c r="C809" i="21"/>
  <c r="C810" i="21"/>
  <c r="C811" i="21"/>
  <c r="C812" i="21"/>
  <c r="C813" i="21"/>
  <c r="C814" i="21"/>
  <c r="C815" i="21"/>
  <c r="C816" i="21"/>
  <c r="C817" i="21"/>
  <c r="C818" i="21"/>
  <c r="C819" i="21"/>
  <c r="C820" i="21"/>
  <c r="C821" i="21"/>
  <c r="C822" i="21"/>
  <c r="C823" i="21"/>
  <c r="C824" i="21"/>
  <c r="C825" i="21"/>
  <c r="C826" i="21"/>
  <c r="C827" i="21"/>
  <c r="C828" i="21"/>
  <c r="C829" i="21"/>
  <c r="C830" i="21"/>
  <c r="C831" i="21"/>
  <c r="C832" i="21"/>
  <c r="C833" i="21"/>
  <c r="C834" i="21"/>
  <c r="C835" i="21"/>
  <c r="C836" i="21"/>
  <c r="C837" i="21"/>
  <c r="C838" i="21"/>
  <c r="C839" i="21"/>
  <c r="C840" i="21"/>
  <c r="C841" i="21"/>
  <c r="C842" i="21"/>
  <c r="C843" i="21"/>
  <c r="C844" i="21"/>
  <c r="C845" i="21"/>
  <c r="C846" i="21"/>
  <c r="C847" i="21"/>
  <c r="C848" i="21"/>
  <c r="C849" i="21"/>
  <c r="C850" i="21"/>
  <c r="C851" i="21"/>
  <c r="C852" i="21"/>
  <c r="C853" i="21"/>
  <c r="C854" i="21"/>
  <c r="C855" i="21"/>
  <c r="C856" i="21"/>
  <c r="C857" i="21"/>
  <c r="C858" i="21"/>
  <c r="C859" i="21"/>
  <c r="C860" i="21"/>
  <c r="C861" i="21"/>
  <c r="C862" i="21"/>
  <c r="C863" i="21"/>
  <c r="C864" i="21"/>
  <c r="C865" i="21"/>
  <c r="C866" i="21"/>
  <c r="C867" i="21"/>
  <c r="C868" i="21"/>
  <c r="C869" i="21"/>
  <c r="C870" i="21"/>
  <c r="C871" i="21"/>
  <c r="C872" i="21"/>
  <c r="C873" i="21"/>
  <c r="C874" i="21"/>
  <c r="C875" i="21"/>
  <c r="C876" i="21"/>
  <c r="C877" i="21"/>
  <c r="C878" i="21"/>
  <c r="C879" i="21"/>
  <c r="C880" i="21"/>
  <c r="C881" i="21"/>
  <c r="C882" i="21"/>
  <c r="C883" i="21"/>
  <c r="C884" i="21"/>
  <c r="C885" i="21"/>
  <c r="C886" i="21"/>
  <c r="C887" i="21"/>
  <c r="C888" i="21"/>
  <c r="C889" i="21"/>
  <c r="C890" i="21"/>
  <c r="C891" i="21"/>
  <c r="C892" i="21"/>
  <c r="C893" i="21"/>
  <c r="C894" i="21"/>
  <c r="C895" i="21"/>
  <c r="C896" i="21"/>
  <c r="C897" i="21"/>
  <c r="C898" i="21"/>
  <c r="C899" i="21"/>
  <c r="C900" i="21"/>
  <c r="C901" i="21"/>
  <c r="C902" i="21"/>
  <c r="C903" i="21"/>
  <c r="C904" i="21"/>
  <c r="C905" i="21"/>
  <c r="C906" i="21"/>
  <c r="C907" i="21"/>
  <c r="C908" i="21"/>
  <c r="C909" i="21"/>
  <c r="C910" i="21"/>
  <c r="C911" i="21"/>
  <c r="C912" i="21"/>
  <c r="C913" i="21"/>
  <c r="C914" i="21"/>
  <c r="C915" i="21"/>
  <c r="C916" i="21"/>
  <c r="C917" i="21"/>
  <c r="C918" i="21"/>
  <c r="C919" i="21"/>
  <c r="C920" i="21"/>
  <c r="C921" i="21"/>
  <c r="C922" i="21"/>
  <c r="C923" i="21"/>
  <c r="C924" i="21"/>
  <c r="C925" i="21"/>
  <c r="C926" i="21"/>
  <c r="C927" i="21"/>
  <c r="C928" i="21"/>
  <c r="C929" i="21"/>
  <c r="C930" i="21"/>
  <c r="C931" i="21"/>
  <c r="C932" i="21"/>
  <c r="C933" i="21"/>
  <c r="C934" i="21"/>
  <c r="C935" i="21"/>
  <c r="C936" i="21"/>
  <c r="C937" i="21"/>
  <c r="C938" i="21"/>
  <c r="C939" i="21"/>
  <c r="C940" i="21"/>
  <c r="C941" i="21"/>
  <c r="C942" i="21"/>
  <c r="C943" i="21"/>
  <c r="C944" i="21"/>
  <c r="C945" i="21"/>
  <c r="C946" i="21"/>
  <c r="C947" i="21"/>
  <c r="C948" i="21"/>
  <c r="C949" i="21"/>
  <c r="C950" i="21"/>
  <c r="C951" i="21"/>
  <c r="C952" i="21"/>
  <c r="C953" i="21"/>
  <c r="C954" i="21"/>
  <c r="C955" i="21"/>
  <c r="C956" i="21"/>
  <c r="C957" i="21"/>
  <c r="C958" i="21"/>
  <c r="C959" i="21"/>
  <c r="C960" i="21"/>
  <c r="C961" i="21"/>
  <c r="C962" i="21"/>
  <c r="C963" i="21"/>
  <c r="C964" i="21"/>
  <c r="C965" i="21"/>
  <c r="C966" i="21"/>
  <c r="C967" i="21"/>
  <c r="C968" i="21"/>
  <c r="C969" i="21"/>
  <c r="C970" i="21"/>
  <c r="C971" i="21"/>
  <c r="C972" i="21"/>
  <c r="C973" i="21"/>
  <c r="C974" i="21"/>
  <c r="C975" i="21"/>
  <c r="C976" i="21"/>
  <c r="C977" i="21"/>
  <c r="C978" i="21"/>
  <c r="C979" i="21"/>
  <c r="C980" i="21"/>
  <c r="C981" i="21"/>
  <c r="C982" i="21"/>
  <c r="C983" i="21"/>
  <c r="C984" i="21"/>
  <c r="C985" i="21"/>
  <c r="C986" i="21"/>
  <c r="C987" i="21"/>
  <c r="C988" i="21"/>
  <c r="C989" i="21"/>
  <c r="C990" i="21"/>
  <c r="C991" i="21"/>
  <c r="C992" i="21"/>
  <c r="C993" i="21"/>
  <c r="C994" i="21"/>
  <c r="C995" i="21"/>
  <c r="C996" i="21"/>
  <c r="C997" i="21"/>
  <c r="C998" i="21"/>
  <c r="C999" i="21"/>
  <c r="C1000" i="21"/>
  <c r="C1001" i="21"/>
  <c r="C1002" i="21"/>
  <c r="C1003" i="21"/>
  <c r="C1004" i="21"/>
  <c r="C1005" i="21"/>
  <c r="C1006" i="21"/>
  <c r="C1007" i="21"/>
  <c r="C1008" i="21"/>
  <c r="C1009" i="21"/>
  <c r="C1010" i="21"/>
  <c r="C1011" i="21"/>
  <c r="C1012" i="21"/>
  <c r="C1013" i="21"/>
  <c r="E376" i="16"/>
  <c r="C4" i="21" s="1"/>
  <c r="D376" i="16"/>
  <c r="C3" i="21" s="1"/>
  <c r="C376" i="16"/>
  <c r="C2" i="21" s="1"/>
  <c r="E10" i="16" l="1"/>
  <c r="H9" i="16" s="1"/>
  <c r="B378" i="16" l="1"/>
  <c r="E41" i="10"/>
  <c r="F41" i="10"/>
  <c r="G41" i="10"/>
  <c r="H41" i="10"/>
  <c r="I41" i="10"/>
  <c r="J41" i="10"/>
  <c r="K41" i="10"/>
  <c r="L41" i="10"/>
  <c r="M41" i="10"/>
  <c r="N41" i="10"/>
  <c r="O41" i="10"/>
  <c r="P41" i="10"/>
  <c r="Q41" i="10"/>
  <c r="R41" i="10"/>
  <c r="S41" i="10"/>
  <c r="T41" i="10"/>
  <c r="U41" i="10"/>
  <c r="V41" i="10"/>
  <c r="W41" i="10"/>
  <c r="X41" i="10"/>
  <c r="Y41" i="10"/>
  <c r="Z41" i="10"/>
  <c r="AA41" i="10"/>
  <c r="AB41" i="10"/>
  <c r="AC41" i="10"/>
  <c r="AD41" i="10"/>
  <c r="AE41" i="10"/>
  <c r="AF41" i="10"/>
  <c r="AG41" i="10"/>
  <c r="AH41" i="10"/>
  <c r="AI41" i="10"/>
  <c r="AJ41" i="10"/>
  <c r="AK41" i="10"/>
  <c r="AL41" i="10"/>
  <c r="AM41" i="10"/>
  <c r="AN41" i="10"/>
  <c r="AO41" i="10"/>
  <c r="AP41" i="10"/>
  <c r="AQ41" i="10"/>
  <c r="AR41" i="10"/>
  <c r="AS41" i="10"/>
  <c r="AT41" i="10"/>
  <c r="AU41" i="10"/>
  <c r="AV41" i="10"/>
  <c r="AW41" i="10"/>
  <c r="AX41" i="10"/>
  <c r="AY41" i="10"/>
  <c r="AZ41" i="10"/>
  <c r="BA41" i="10"/>
  <c r="BB41" i="10"/>
  <c r="BC41" i="10"/>
  <c r="BD41" i="10"/>
  <c r="BE41" i="10"/>
  <c r="BF41" i="10"/>
  <c r="BG41" i="10"/>
  <c r="BH41" i="10"/>
  <c r="BI41" i="10"/>
  <c r="BJ41" i="10"/>
  <c r="BK41" i="10"/>
  <c r="BL41" i="10"/>
  <c r="BM41" i="10"/>
  <c r="BN41" i="10"/>
  <c r="BO41" i="10"/>
  <c r="BP41" i="10"/>
  <c r="BQ41" i="10"/>
  <c r="BR41" i="10"/>
  <c r="BS41" i="10"/>
  <c r="BT41" i="10"/>
  <c r="BU41" i="10"/>
  <c r="BV41" i="10"/>
  <c r="BW41" i="10"/>
  <c r="BX41" i="10"/>
  <c r="BY41" i="10"/>
  <c r="BZ41" i="10"/>
  <c r="CA41" i="10"/>
  <c r="CB41" i="10"/>
  <c r="CC41" i="10"/>
  <c r="CD41" i="10"/>
  <c r="CE41" i="10"/>
  <c r="CF41" i="10"/>
  <c r="CG41" i="10"/>
  <c r="CH41" i="10"/>
  <c r="CI41" i="10"/>
  <c r="CJ41" i="10"/>
  <c r="CK41" i="10"/>
  <c r="CL41" i="10"/>
  <c r="CM41" i="10"/>
  <c r="CN41" i="10"/>
  <c r="CO41" i="10"/>
  <c r="CP41" i="10"/>
  <c r="CQ41" i="10"/>
  <c r="CR41" i="10"/>
  <c r="CS41" i="10"/>
  <c r="CT41" i="10"/>
  <c r="CU41" i="10"/>
  <c r="CV41" i="10"/>
  <c r="CW41" i="10"/>
  <c r="CX41" i="10"/>
  <c r="CY41" i="10"/>
  <c r="CZ41" i="10"/>
  <c r="DA41" i="10"/>
  <c r="DB41" i="10"/>
  <c r="DC41" i="10"/>
  <c r="DD41" i="10"/>
  <c r="DE41" i="10"/>
  <c r="DF41" i="10"/>
  <c r="DG41" i="10"/>
  <c r="DH41" i="10"/>
  <c r="DI41" i="10"/>
  <c r="DJ41" i="10"/>
  <c r="DK41" i="10"/>
  <c r="DL41" i="10"/>
  <c r="DM41" i="10"/>
  <c r="DN41" i="10"/>
  <c r="DO41" i="10"/>
  <c r="DP41" i="10"/>
  <c r="DQ41" i="10"/>
  <c r="DR41" i="10"/>
  <c r="DS41" i="10"/>
  <c r="DT41" i="10"/>
  <c r="DU41" i="10"/>
  <c r="DV41" i="10"/>
  <c r="DW41" i="10"/>
  <c r="DX41" i="10"/>
  <c r="DY41" i="10"/>
  <c r="DZ41" i="10"/>
  <c r="EA41" i="10"/>
  <c r="EB41" i="10"/>
  <c r="EC41" i="10"/>
  <c r="ED41" i="10"/>
  <c r="EE41" i="10"/>
  <c r="EF41" i="10"/>
  <c r="EG41" i="10"/>
  <c r="EH41" i="10"/>
  <c r="EI41" i="10"/>
  <c r="EJ41" i="10"/>
  <c r="EK41" i="10"/>
  <c r="EL41" i="10"/>
  <c r="EM41" i="10"/>
  <c r="EN41" i="10"/>
  <c r="EO41" i="10"/>
  <c r="EP41" i="10"/>
  <c r="EQ41" i="10"/>
  <c r="ER41" i="10"/>
  <c r="ES41" i="10"/>
  <c r="ET41" i="10"/>
  <c r="EU41" i="10"/>
  <c r="EV41" i="10"/>
  <c r="EW41" i="10"/>
  <c r="EX41" i="10"/>
  <c r="EY41" i="10"/>
  <c r="EZ41" i="10"/>
  <c r="FA41" i="10"/>
  <c r="FB41" i="10"/>
  <c r="FC41" i="10"/>
  <c r="FD41" i="10"/>
  <c r="FE41" i="10"/>
  <c r="FF41" i="10"/>
  <c r="FG41" i="10"/>
  <c r="FH41" i="10"/>
  <c r="FI41" i="10"/>
  <c r="FJ41" i="10"/>
  <c r="FK41" i="10"/>
  <c r="FL41" i="10"/>
  <c r="FM41" i="10"/>
  <c r="FN41" i="10"/>
  <c r="FO41" i="10"/>
  <c r="FP41" i="10"/>
  <c r="FQ41" i="10"/>
  <c r="FR41" i="10"/>
  <c r="FS41" i="10"/>
  <c r="FT41" i="10"/>
  <c r="FU41" i="10"/>
  <c r="FV41" i="10"/>
  <c r="FW41" i="10"/>
  <c r="FX41" i="10"/>
  <c r="FY41" i="10"/>
  <c r="FZ41" i="10"/>
  <c r="GA41" i="10"/>
  <c r="GB41" i="10"/>
  <c r="GC41" i="10"/>
  <c r="GD41" i="10"/>
  <c r="GE41" i="10"/>
  <c r="GF41" i="10"/>
  <c r="GG41" i="10"/>
  <c r="GH41" i="10"/>
  <c r="GI41" i="10"/>
  <c r="GJ41" i="10"/>
  <c r="GK41" i="10"/>
  <c r="GL41" i="10"/>
  <c r="GM41" i="10"/>
  <c r="GN41" i="10"/>
  <c r="GO41" i="10"/>
  <c r="GP41" i="10"/>
  <c r="GQ41" i="10"/>
  <c r="GR41" i="10"/>
  <c r="GS41" i="10"/>
  <c r="GT41" i="10"/>
  <c r="GU41" i="10"/>
  <c r="GV41" i="10"/>
  <c r="GW41" i="10"/>
  <c r="GX41" i="10"/>
  <c r="GY41" i="10"/>
  <c r="GZ41" i="10"/>
  <c r="HA41" i="10"/>
  <c r="HB41" i="10"/>
  <c r="HC41" i="10"/>
  <c r="HD41" i="10"/>
  <c r="HE41" i="10"/>
  <c r="HF41" i="10"/>
  <c r="HG41" i="10"/>
  <c r="HH41" i="10"/>
  <c r="HI41" i="10"/>
  <c r="HJ41" i="10"/>
  <c r="HK41" i="10"/>
  <c r="HL41" i="10"/>
  <c r="HM41" i="10"/>
  <c r="HN41" i="10"/>
  <c r="HO41" i="10"/>
  <c r="HP41" i="10"/>
  <c r="HQ41" i="10"/>
  <c r="HR41" i="10"/>
  <c r="HS41" i="10"/>
  <c r="HT41" i="10"/>
  <c r="HU41" i="10"/>
  <c r="HV41" i="10"/>
  <c r="HW41" i="10"/>
  <c r="HX41" i="10"/>
  <c r="HY41" i="10"/>
  <c r="HZ41" i="10"/>
  <c r="IA41" i="10"/>
  <c r="IB41" i="10"/>
  <c r="IC41" i="10"/>
  <c r="ID41" i="10"/>
  <c r="IE41" i="10"/>
  <c r="IF41" i="10"/>
  <c r="IG41" i="10"/>
  <c r="IH41" i="10"/>
  <c r="II41" i="10"/>
  <c r="IJ41" i="10"/>
  <c r="IK41" i="10"/>
  <c r="IL41" i="10"/>
  <c r="IM41" i="10"/>
  <c r="IN41" i="10"/>
  <c r="IO41" i="10"/>
  <c r="IP41" i="10"/>
  <c r="IQ41" i="10"/>
  <c r="IR41" i="10"/>
  <c r="IS41" i="10"/>
  <c r="IT41" i="10"/>
  <c r="IU41" i="10"/>
  <c r="IV41" i="10"/>
  <c r="IW41" i="10"/>
  <c r="IX41" i="10"/>
  <c r="IY41" i="10"/>
  <c r="IZ41" i="10"/>
  <c r="JA41" i="10"/>
  <c r="JB41" i="10"/>
  <c r="JC41" i="10"/>
  <c r="JD41" i="10"/>
  <c r="JE41" i="10"/>
  <c r="JF41" i="10"/>
  <c r="JG41" i="10"/>
  <c r="JH41" i="10"/>
  <c r="JI41" i="10"/>
  <c r="JJ41" i="10"/>
  <c r="JK41" i="10"/>
  <c r="JL41" i="10"/>
  <c r="JM41" i="10"/>
  <c r="JN41" i="10"/>
  <c r="JO41" i="10"/>
  <c r="JP41" i="10"/>
  <c r="JQ41" i="10"/>
  <c r="JR41" i="10"/>
  <c r="JS41" i="10"/>
  <c r="JT41" i="10"/>
  <c r="JU41" i="10"/>
  <c r="JV41" i="10"/>
  <c r="JW41" i="10"/>
  <c r="JX41" i="10"/>
  <c r="JY41" i="10"/>
  <c r="JZ41" i="10"/>
  <c r="KA41" i="10"/>
  <c r="KB41" i="10"/>
  <c r="KC41" i="10"/>
  <c r="KD41" i="10"/>
  <c r="KE41" i="10"/>
  <c r="KF41" i="10"/>
  <c r="KG41" i="10"/>
  <c r="KH41" i="10"/>
  <c r="KI41" i="10"/>
  <c r="KJ41" i="10"/>
  <c r="KK41" i="10"/>
  <c r="KL41" i="10"/>
  <c r="KM41" i="10"/>
  <c r="KN41" i="10"/>
  <c r="KO41" i="10"/>
  <c r="KP41" i="10"/>
  <c r="KQ41" i="10"/>
  <c r="KR41" i="10"/>
  <c r="KS41" i="10"/>
  <c r="KT41" i="10"/>
  <c r="KU41" i="10"/>
  <c r="KV41" i="10"/>
  <c r="KW41" i="10"/>
  <c r="KX41" i="10"/>
  <c r="KY41" i="10"/>
  <c r="KZ41" i="10"/>
  <c r="LA41" i="10"/>
  <c r="LB41" i="10"/>
  <c r="LC41" i="10"/>
  <c r="LD41" i="10"/>
  <c r="LE41" i="10"/>
  <c r="LF41" i="10"/>
  <c r="LG41" i="10"/>
  <c r="LH41" i="10"/>
  <c r="LI41" i="10"/>
  <c r="LJ41" i="10"/>
  <c r="LK41" i="10"/>
  <c r="LL41" i="10"/>
  <c r="LM41" i="10"/>
  <c r="LN41" i="10"/>
  <c r="LO41" i="10"/>
  <c r="LP41" i="10"/>
  <c r="LQ41" i="10"/>
  <c r="LR41" i="10"/>
  <c r="LS41" i="10"/>
  <c r="LT41" i="10"/>
  <c r="LU41" i="10"/>
  <c r="LV41" i="10"/>
  <c r="LW41" i="10"/>
  <c r="LX41" i="10"/>
  <c r="LY41" i="10"/>
  <c r="LZ41" i="10"/>
  <c r="MA41" i="10"/>
  <c r="MB41" i="10"/>
  <c r="MC41" i="10"/>
  <c r="MD41" i="10"/>
  <c r="ME41" i="10"/>
  <c r="MF41" i="10"/>
  <c r="MG41" i="10"/>
  <c r="MH41" i="10"/>
  <c r="MI41" i="10"/>
  <c r="MJ41" i="10"/>
  <c r="MK41" i="10"/>
  <c r="ML41" i="10"/>
  <c r="MM41" i="10"/>
  <c r="MN41" i="10"/>
  <c r="MO41" i="10"/>
  <c r="MP41" i="10"/>
  <c r="MQ41" i="10"/>
  <c r="MR41" i="10"/>
  <c r="MS41" i="10"/>
  <c r="MT41" i="10"/>
  <c r="MU41" i="10"/>
  <c r="MV41" i="10"/>
  <c r="MW41" i="10"/>
  <c r="MX41" i="10"/>
  <c r="MY41" i="10"/>
  <c r="MZ41" i="10"/>
  <c r="NA41" i="10"/>
  <c r="NB41" i="10"/>
  <c r="NC41" i="10"/>
  <c r="ND41" i="10"/>
  <c r="NE41" i="10"/>
  <c r="NF41" i="10"/>
  <c r="NG41" i="10"/>
  <c r="NH41" i="10"/>
  <c r="NI41" i="10"/>
  <c r="NJ41" i="10"/>
  <c r="NK41" i="10"/>
  <c r="NL41" i="10"/>
  <c r="NM41" i="10"/>
  <c r="NN41" i="10"/>
  <c r="NO41" i="10"/>
  <c r="NP41" i="10"/>
  <c r="NQ41" i="10"/>
  <c r="NR41" i="10"/>
  <c r="NS41" i="10"/>
  <c r="NT41" i="10"/>
  <c r="NU41" i="10"/>
  <c r="NV41" i="10"/>
  <c r="NW41" i="10"/>
  <c r="NX41" i="10"/>
  <c r="NY41" i="10"/>
  <c r="NZ41" i="10"/>
  <c r="OA41" i="10"/>
  <c r="OB41" i="10"/>
  <c r="OC41" i="10"/>
  <c r="OD41" i="10"/>
  <c r="OE41" i="10"/>
  <c r="OF41" i="10"/>
  <c r="OG41" i="10"/>
  <c r="OH41" i="10"/>
  <c r="OI41" i="10"/>
  <c r="OJ41" i="10"/>
  <c r="OK41" i="10"/>
  <c r="OL41" i="10"/>
  <c r="OM41" i="10"/>
  <c r="ON41" i="10"/>
  <c r="OO41" i="10"/>
  <c r="OP41" i="10"/>
  <c r="OQ41" i="10"/>
  <c r="OR41" i="10"/>
  <c r="OS41" i="10"/>
  <c r="OT41" i="10"/>
  <c r="OU41" i="10"/>
  <c r="OV41" i="10"/>
  <c r="OW41" i="10"/>
  <c r="OX41" i="10"/>
  <c r="OY41" i="10"/>
  <c r="OZ41" i="10"/>
  <c r="PA41" i="10"/>
  <c r="PB41" i="10"/>
  <c r="PC41" i="10"/>
  <c r="PD41" i="10"/>
  <c r="PE41" i="10"/>
  <c r="PF41" i="10"/>
  <c r="PG41" i="10"/>
  <c r="PH41" i="10"/>
  <c r="PI41" i="10"/>
  <c r="PJ41" i="10"/>
  <c r="PK41" i="10"/>
  <c r="PL41" i="10"/>
  <c r="PM41" i="10"/>
  <c r="PN41" i="10"/>
  <c r="PO41" i="10"/>
  <c r="PP41" i="10"/>
  <c r="PQ41" i="10"/>
  <c r="PR41" i="10"/>
  <c r="PS41" i="10"/>
  <c r="PT41" i="10"/>
  <c r="PU41" i="10"/>
  <c r="PV41" i="10"/>
  <c r="PW41" i="10"/>
  <c r="PX41" i="10"/>
  <c r="PY41" i="10"/>
  <c r="PZ41" i="10"/>
  <c r="QA41" i="10"/>
  <c r="QB41" i="10"/>
  <c r="QC41" i="10"/>
  <c r="QD41" i="10"/>
  <c r="QE41" i="10"/>
  <c r="QF41" i="10"/>
  <c r="QG41" i="10"/>
  <c r="QH41" i="10"/>
  <c r="QI41" i="10"/>
  <c r="QJ41" i="10"/>
  <c r="QK41" i="10"/>
  <c r="QL41" i="10"/>
  <c r="QM41" i="10"/>
  <c r="QN41" i="10"/>
  <c r="QO41" i="10"/>
  <c r="QP41" i="10"/>
  <c r="QQ41" i="10"/>
  <c r="QR41" i="10"/>
  <c r="QS41" i="10"/>
  <c r="QT41" i="10"/>
  <c r="QU41" i="10"/>
  <c r="QV41" i="10"/>
  <c r="QW41" i="10"/>
  <c r="QX41" i="10"/>
  <c r="QY41" i="10"/>
  <c r="QZ41" i="10"/>
  <c r="RA41" i="10"/>
  <c r="RB41" i="10"/>
  <c r="RC41" i="10"/>
  <c r="RD41" i="10"/>
  <c r="RE41" i="10"/>
  <c r="RF41" i="10"/>
  <c r="RG41" i="10"/>
  <c r="RH41" i="10"/>
  <c r="RI41" i="10"/>
  <c r="RJ41" i="10"/>
  <c r="RK41" i="10"/>
  <c r="RL41" i="10"/>
  <c r="RM41" i="10"/>
  <c r="RN41" i="10"/>
  <c r="RO41" i="10"/>
  <c r="RP41" i="10"/>
  <c r="RQ41" i="10"/>
  <c r="RR41" i="10"/>
  <c r="RS41" i="10"/>
  <c r="RT41" i="10"/>
  <c r="RU41" i="10"/>
  <c r="RV41" i="10"/>
  <c r="RW41" i="10"/>
  <c r="RX41" i="10"/>
  <c r="RY41" i="10"/>
  <c r="RZ41" i="10"/>
  <c r="SA41" i="10"/>
  <c r="SB41" i="10"/>
  <c r="SC41" i="10"/>
  <c r="SD41" i="10"/>
  <c r="SE41" i="10"/>
  <c r="SF41" i="10"/>
  <c r="SG41" i="10"/>
  <c r="SH41" i="10"/>
  <c r="SI41" i="10"/>
  <c r="SJ41" i="10"/>
  <c r="SK41" i="10"/>
  <c r="SL41" i="10"/>
  <c r="SM41" i="10"/>
  <c r="SN41" i="10"/>
  <c r="SO41" i="10"/>
  <c r="SP41" i="10"/>
  <c r="SQ41" i="10"/>
  <c r="SR41" i="10"/>
  <c r="SS41" i="10"/>
  <c r="ST41" i="10"/>
  <c r="SU41" i="10"/>
  <c r="SV41" i="10"/>
  <c r="SW41" i="10"/>
  <c r="SX41" i="10"/>
  <c r="SY41" i="10"/>
  <c r="SZ41" i="10"/>
  <c r="TA41" i="10"/>
  <c r="TB41" i="10"/>
  <c r="TC41" i="10"/>
  <c r="TD41" i="10"/>
  <c r="TE41" i="10"/>
  <c r="TF41" i="10"/>
  <c r="TG41" i="10"/>
  <c r="TH41" i="10"/>
  <c r="TI41" i="10"/>
  <c r="TJ41" i="10"/>
  <c r="TK41" i="10"/>
  <c r="TL41" i="10"/>
  <c r="TM41" i="10"/>
  <c r="TN41" i="10"/>
  <c r="TO41" i="10"/>
  <c r="TP41" i="10"/>
  <c r="TQ41" i="10"/>
  <c r="TR41" i="10"/>
  <c r="TS41" i="10"/>
  <c r="TT41" i="10"/>
  <c r="TU41" i="10"/>
  <c r="TV41" i="10"/>
  <c r="TW41" i="10"/>
  <c r="TX41" i="10"/>
  <c r="TY41" i="10"/>
  <c r="TZ41" i="10"/>
  <c r="UA41" i="10"/>
  <c r="UB41" i="10"/>
  <c r="UC41" i="10"/>
  <c r="UD41" i="10"/>
  <c r="UE41" i="10"/>
  <c r="UF41" i="10"/>
  <c r="UG41" i="10"/>
  <c r="UH41" i="10"/>
  <c r="UI41" i="10"/>
  <c r="UJ41" i="10"/>
  <c r="UK41" i="10"/>
  <c r="UL41" i="10"/>
  <c r="UM41" i="10"/>
  <c r="UN41" i="10"/>
  <c r="UO41" i="10"/>
  <c r="UP41" i="10"/>
  <c r="UQ41" i="10"/>
  <c r="UR41" i="10"/>
  <c r="US41" i="10"/>
  <c r="UT41" i="10"/>
  <c r="UU41" i="10"/>
  <c r="UV41" i="10"/>
  <c r="UW41" i="10"/>
  <c r="UX41" i="10"/>
  <c r="UY41" i="10"/>
  <c r="UZ41" i="10"/>
  <c r="VA41" i="10"/>
  <c r="VB41" i="10"/>
  <c r="VC41" i="10"/>
  <c r="VD41" i="10"/>
  <c r="VE41" i="10"/>
  <c r="VF41" i="10"/>
  <c r="VG41" i="10"/>
  <c r="VH41" i="10"/>
  <c r="VI41" i="10"/>
  <c r="VJ41" i="10"/>
  <c r="VK41" i="10"/>
  <c r="VL41" i="10"/>
  <c r="VM41" i="10"/>
  <c r="VN41" i="10"/>
  <c r="VO41" i="10"/>
  <c r="VP41" i="10"/>
  <c r="VQ41" i="10"/>
  <c r="VR41" i="10"/>
  <c r="VS41" i="10"/>
  <c r="VT41" i="10"/>
  <c r="VU41" i="10"/>
  <c r="VV41" i="10"/>
  <c r="VW41" i="10"/>
  <c r="VX41" i="10"/>
  <c r="VY41" i="10"/>
  <c r="VZ41" i="10"/>
  <c r="WA41" i="10"/>
  <c r="WB41" i="10"/>
  <c r="WC41" i="10"/>
  <c r="WD41" i="10"/>
  <c r="WE41" i="10"/>
  <c r="WF41" i="10"/>
  <c r="WG41" i="10"/>
  <c r="WH41" i="10"/>
  <c r="WI41" i="10"/>
  <c r="WJ41" i="10"/>
  <c r="WK41" i="10"/>
  <c r="WL41" i="10"/>
  <c r="WM41" i="10"/>
  <c r="WN41" i="10"/>
  <c r="WO41" i="10"/>
  <c r="WP41" i="10"/>
  <c r="WQ41" i="10"/>
  <c r="WR41" i="10"/>
  <c r="WS41" i="10"/>
  <c r="WT41" i="10"/>
  <c r="WU41" i="10"/>
  <c r="WV41" i="10"/>
  <c r="WW41" i="10"/>
  <c r="WX41" i="10"/>
  <c r="WY41" i="10"/>
  <c r="WZ41" i="10"/>
  <c r="XA41" i="10"/>
  <c r="XB41" i="10"/>
  <c r="XC41" i="10"/>
  <c r="XD41" i="10"/>
  <c r="XE41" i="10"/>
  <c r="XF41" i="10"/>
  <c r="XG41" i="10"/>
  <c r="XH41" i="10"/>
  <c r="XI41" i="10"/>
  <c r="XJ41" i="10"/>
  <c r="XK41" i="10"/>
  <c r="XL41" i="10"/>
  <c r="XM41" i="10"/>
  <c r="XN41" i="10"/>
  <c r="XO41" i="10"/>
  <c r="XP41" i="10"/>
  <c r="XQ41" i="10"/>
  <c r="XR41" i="10"/>
  <c r="XS41" i="10"/>
  <c r="XT41" i="10"/>
  <c r="XU41" i="10"/>
  <c r="XV41" i="10"/>
  <c r="XW41" i="10"/>
  <c r="XX41" i="10"/>
  <c r="XY41" i="10"/>
  <c r="XZ41" i="10"/>
  <c r="YA41" i="10"/>
  <c r="YB41" i="10"/>
  <c r="YC41" i="10"/>
  <c r="YD41" i="10"/>
  <c r="YE41" i="10"/>
  <c r="YF41" i="10"/>
  <c r="YG41" i="10"/>
  <c r="YH41" i="10"/>
  <c r="YI41" i="10"/>
  <c r="YJ41" i="10"/>
  <c r="YK41" i="10"/>
  <c r="YL41" i="10"/>
  <c r="YM41" i="10"/>
  <c r="YN41" i="10"/>
  <c r="YO41" i="10"/>
  <c r="YP41" i="10"/>
  <c r="YQ41" i="10"/>
  <c r="YR41" i="10"/>
  <c r="YS41" i="10"/>
  <c r="YT41" i="10"/>
  <c r="YU41" i="10"/>
  <c r="YV41" i="10"/>
  <c r="YW41" i="10"/>
  <c r="YX41" i="10"/>
  <c r="YY41" i="10"/>
  <c r="YZ41" i="10"/>
  <c r="ZA41" i="10"/>
  <c r="ZB41" i="10"/>
  <c r="ZC41" i="10"/>
  <c r="ZD41" i="10"/>
  <c r="ZE41" i="10"/>
  <c r="ZF41" i="10"/>
  <c r="ZG41" i="10"/>
  <c r="ZH41" i="10"/>
  <c r="ZI41" i="10"/>
  <c r="ZJ41" i="10"/>
  <c r="ZK41" i="10"/>
  <c r="ZL41" i="10"/>
  <c r="ZM41" i="10"/>
  <c r="ZN41" i="10"/>
  <c r="ZO41" i="10"/>
  <c r="ZP41" i="10"/>
  <c r="ZQ41" i="10"/>
  <c r="ZR41" i="10"/>
  <c r="ZS41" i="10"/>
  <c r="ZT41" i="10"/>
  <c r="ZU41" i="10"/>
  <c r="ZV41" i="10"/>
  <c r="ZW41" i="10"/>
  <c r="ZX41" i="10"/>
  <c r="ZY41" i="10"/>
  <c r="ZZ41" i="10"/>
  <c r="AAA41" i="10"/>
  <c r="AAB41" i="10"/>
  <c r="AAC41" i="10"/>
  <c r="AAD41" i="10"/>
  <c r="AAE41" i="10"/>
  <c r="AAF41" i="10"/>
  <c r="AAG41" i="10"/>
  <c r="AAH41" i="10"/>
  <c r="AAI41" i="10"/>
  <c r="AAJ41" i="10"/>
  <c r="AAK41" i="10"/>
  <c r="AAL41" i="10"/>
  <c r="AAM41" i="10"/>
  <c r="AAN41" i="10"/>
  <c r="AAO41" i="10"/>
  <c r="AAP41" i="10"/>
  <c r="AAQ41" i="10"/>
  <c r="AAR41" i="10"/>
  <c r="AAS41" i="10"/>
  <c r="AAT41" i="10"/>
  <c r="AAU41" i="10"/>
  <c r="AAV41" i="10"/>
  <c r="AAW41" i="10"/>
  <c r="AAX41" i="10"/>
  <c r="AAY41" i="10"/>
  <c r="AAZ41" i="10"/>
  <c r="ABA41" i="10"/>
  <c r="ABB41" i="10"/>
  <c r="ABC41" i="10"/>
  <c r="ABD41" i="10"/>
  <c r="ABE41" i="10"/>
  <c r="ABF41" i="10"/>
  <c r="ABG41" i="10"/>
  <c r="ABH41" i="10"/>
  <c r="ABI41" i="10"/>
  <c r="ABJ41" i="10"/>
  <c r="ABK41" i="10"/>
  <c r="ABL41" i="10"/>
  <c r="ABM41" i="10"/>
  <c r="ABN41" i="10"/>
  <c r="ABO41" i="10"/>
  <c r="ABP41" i="10"/>
  <c r="ABQ41" i="10"/>
  <c r="ABR41" i="10"/>
  <c r="ABS41" i="10"/>
  <c r="ABT41" i="10"/>
  <c r="ABU41" i="10"/>
  <c r="ABV41" i="10"/>
  <c r="ABW41" i="10"/>
  <c r="ABX41" i="10"/>
  <c r="ABY41" i="10"/>
  <c r="ABZ41" i="10"/>
  <c r="ACA41" i="10"/>
  <c r="ACB41" i="10"/>
  <c r="ACC41" i="10"/>
  <c r="ACD41" i="10"/>
  <c r="ACE41" i="10"/>
  <c r="ACF41" i="10"/>
  <c r="ACG41" i="10"/>
  <c r="ACH41" i="10"/>
  <c r="ACI41" i="10"/>
  <c r="ACJ41" i="10"/>
  <c r="ACK41" i="10"/>
  <c r="ACL41" i="10"/>
  <c r="ACM41" i="10"/>
  <c r="ACN41" i="10"/>
  <c r="ACO41" i="10"/>
  <c r="ACP41" i="10"/>
  <c r="ACQ41" i="10"/>
  <c r="ACR41" i="10"/>
  <c r="ACS41" i="10"/>
  <c r="ACT41" i="10"/>
  <c r="ACU41" i="10"/>
  <c r="ACV41" i="10"/>
  <c r="ACW41" i="10"/>
  <c r="ACX41" i="10"/>
  <c r="ACY41" i="10"/>
  <c r="ACZ41" i="10"/>
  <c r="ADA41" i="10"/>
  <c r="ADB41" i="10"/>
  <c r="ADC41" i="10"/>
  <c r="ADD41" i="10"/>
  <c r="ADE41" i="10"/>
  <c r="ADF41" i="10"/>
  <c r="ADG41" i="10"/>
  <c r="ADH41" i="10"/>
  <c r="ADI41" i="10"/>
  <c r="ADJ41" i="10"/>
  <c r="ADK41" i="10"/>
  <c r="ADL41" i="10"/>
  <c r="ADM41" i="10"/>
  <c r="ADN41" i="10"/>
  <c r="ADO41" i="10"/>
  <c r="ADP41" i="10"/>
  <c r="ADQ41" i="10"/>
  <c r="ADR41" i="10"/>
  <c r="ADS41" i="10"/>
  <c r="ADT41" i="10"/>
  <c r="ADU41" i="10"/>
  <c r="ADV41" i="10"/>
  <c r="ADW41" i="10"/>
  <c r="ADX41" i="10"/>
  <c r="ADY41" i="10"/>
  <c r="ADZ41" i="10"/>
  <c r="AEA41" i="10"/>
  <c r="AEB41" i="10"/>
  <c r="AEC41" i="10"/>
  <c r="AED41" i="10"/>
  <c r="AEE41" i="10"/>
  <c r="AEF41" i="10"/>
  <c r="AEG41" i="10"/>
  <c r="AEH41" i="10"/>
  <c r="AEI41" i="10"/>
  <c r="AEJ41" i="10"/>
  <c r="AEK41" i="10"/>
  <c r="AEL41" i="10"/>
  <c r="AEM41" i="10"/>
  <c r="AEN41" i="10"/>
  <c r="AEO41" i="10"/>
  <c r="AEP41" i="10"/>
  <c r="AEQ41" i="10"/>
  <c r="AER41" i="10"/>
  <c r="AES41" i="10"/>
  <c r="AET41" i="10"/>
  <c r="AEU41" i="10"/>
  <c r="AEV41" i="10"/>
  <c r="AEW41" i="10"/>
  <c r="AEX41" i="10"/>
  <c r="AEY41" i="10"/>
  <c r="AEZ41" i="10"/>
  <c r="AFA41" i="10"/>
  <c r="AFB41" i="10"/>
  <c r="AFC41" i="10"/>
  <c r="AFD41" i="10"/>
  <c r="AFE41" i="10"/>
  <c r="AFF41" i="10"/>
  <c r="AFG41" i="10"/>
  <c r="AFH41" i="10"/>
  <c r="AFI41" i="10"/>
  <c r="AFJ41" i="10"/>
  <c r="AFK41" i="10"/>
  <c r="AFL41" i="10"/>
  <c r="AFM41" i="10"/>
  <c r="AFN41" i="10"/>
  <c r="AFO41" i="10"/>
  <c r="AFP41" i="10"/>
  <c r="AFQ41" i="10"/>
  <c r="AFR41" i="10"/>
  <c r="AFS41" i="10"/>
  <c r="AFT41" i="10"/>
  <c r="AFU41" i="10"/>
  <c r="AFV41" i="10"/>
  <c r="AFW41" i="10"/>
  <c r="AFX41" i="10"/>
  <c r="AFY41" i="10"/>
  <c r="AFZ41" i="10"/>
  <c r="AGA41" i="10"/>
  <c r="AGB41" i="10"/>
  <c r="AGC41" i="10"/>
  <c r="AGD41" i="10"/>
  <c r="AGE41" i="10"/>
  <c r="AGF41" i="10"/>
  <c r="AGG41" i="10"/>
  <c r="AGH41" i="10"/>
  <c r="AGI41" i="10"/>
  <c r="AGJ41" i="10"/>
  <c r="AGK41" i="10"/>
  <c r="AGL41" i="10"/>
  <c r="AGM41" i="10"/>
  <c r="AGN41" i="10"/>
  <c r="AGO41" i="10"/>
  <c r="AGP41" i="10"/>
  <c r="AGQ41" i="10"/>
  <c r="AGR41" i="10"/>
  <c r="AGS41" i="10"/>
  <c r="AGT41" i="10"/>
  <c r="AGU41" i="10"/>
  <c r="AGV41" i="10"/>
  <c r="AGW41" i="10"/>
  <c r="AGX41" i="10"/>
  <c r="AGY41" i="10"/>
  <c r="AGZ41" i="10"/>
  <c r="AHA41" i="10"/>
  <c r="AHB41" i="10"/>
  <c r="AHC41" i="10"/>
  <c r="AHD41" i="10"/>
  <c r="AHE41" i="10"/>
  <c r="AHF41" i="10"/>
  <c r="AHG41" i="10"/>
  <c r="AHH41" i="10"/>
  <c r="AHI41" i="10"/>
  <c r="AHJ41" i="10"/>
  <c r="AHK41" i="10"/>
  <c r="AHL41" i="10"/>
  <c r="AHM41" i="10"/>
  <c r="AHN41" i="10"/>
  <c r="AHO41" i="10"/>
  <c r="AHP41" i="10"/>
  <c r="AHQ41" i="10"/>
  <c r="AHR41" i="10"/>
  <c r="AHS41" i="10"/>
  <c r="AHT41" i="10"/>
  <c r="AHU41" i="10"/>
  <c r="AHV41" i="10"/>
  <c r="AHW41" i="10"/>
  <c r="AHX41" i="10"/>
  <c r="AHY41" i="10"/>
  <c r="AHZ41" i="10"/>
  <c r="AIA41" i="10"/>
  <c r="AIB41" i="10"/>
  <c r="AIC41" i="10"/>
  <c r="AID41" i="10"/>
  <c r="AIE41" i="10"/>
  <c r="AIF41" i="10"/>
  <c r="AIG41" i="10"/>
  <c r="AIH41" i="10"/>
  <c r="AII41" i="10"/>
  <c r="AIJ41" i="10"/>
  <c r="AIK41" i="10"/>
  <c r="AIL41" i="10"/>
  <c r="AIM41" i="10"/>
  <c r="AIN41" i="10"/>
  <c r="AIO41" i="10"/>
  <c r="AIP41" i="10"/>
  <c r="AIQ41" i="10"/>
  <c r="AIR41" i="10"/>
  <c r="AIS41" i="10"/>
  <c r="AIT41" i="10"/>
  <c r="AIU41" i="10"/>
  <c r="AIV41" i="10"/>
  <c r="AIW41" i="10"/>
  <c r="AIX41" i="10"/>
  <c r="AIY41" i="10"/>
  <c r="AIZ41" i="10"/>
  <c r="AJA41" i="10"/>
  <c r="AJB41" i="10"/>
  <c r="AJC41" i="10"/>
  <c r="AJD41" i="10"/>
  <c r="AJE41" i="10"/>
  <c r="AJF41" i="10"/>
  <c r="AJG41" i="10"/>
  <c r="AJH41" i="10"/>
  <c r="AJI41" i="10"/>
  <c r="AJJ41" i="10"/>
  <c r="AJK41" i="10"/>
  <c r="AJL41" i="10"/>
  <c r="AJM41" i="10"/>
  <c r="AJN41" i="10"/>
  <c r="AJO41" i="10"/>
  <c r="AJP41" i="10"/>
  <c r="AJQ41" i="10"/>
  <c r="AJR41" i="10"/>
  <c r="AJS41" i="10"/>
  <c r="AJT41" i="10"/>
  <c r="AJU41" i="10"/>
  <c r="AJV41" i="10"/>
  <c r="AJW41" i="10"/>
  <c r="AJX41" i="10"/>
  <c r="AJY41" i="10"/>
  <c r="AJZ41" i="10"/>
  <c r="AKA41" i="10"/>
  <c r="AKB41" i="10"/>
  <c r="AKC41" i="10"/>
  <c r="AKD41" i="10"/>
  <c r="AKE41" i="10"/>
  <c r="AKF41" i="10"/>
  <c r="AKG41" i="10"/>
  <c r="AKH41" i="10"/>
  <c r="AKI41" i="10"/>
  <c r="AKJ41" i="10"/>
  <c r="AKK41" i="10"/>
  <c r="AKL41" i="10"/>
  <c r="AKM41" i="10"/>
  <c r="AKN41" i="10"/>
  <c r="AKO41" i="10"/>
  <c r="AKP41" i="10"/>
  <c r="AKQ41" i="10"/>
  <c r="AKR41" i="10"/>
  <c r="AKS41" i="10"/>
  <c r="AKT41" i="10"/>
  <c r="AKU41" i="10"/>
  <c r="AKV41" i="10"/>
  <c r="AKW41" i="10"/>
  <c r="AKX41" i="10"/>
  <c r="AKY41" i="10"/>
  <c r="AKZ41" i="10"/>
  <c r="ALA41" i="10"/>
  <c r="ALB41" i="10"/>
  <c r="ALC41" i="10"/>
  <c r="ALD41" i="10"/>
  <c r="ALE41" i="10"/>
  <c r="ALF41" i="10"/>
  <c r="ALG41" i="10"/>
  <c r="ALH41" i="10"/>
  <c r="ALI41" i="10"/>
  <c r="ALJ41" i="10"/>
  <c r="ALK41" i="10"/>
  <c r="ALL41" i="10"/>
  <c r="ALM41" i="10"/>
  <c r="ALN41" i="10"/>
  <c r="ALO41" i="10"/>
  <c r="ALP41" i="10"/>
  <c r="ALQ41" i="10"/>
  <c r="ALR41" i="10"/>
  <c r="ALS41" i="10"/>
  <c r="ALT41" i="10"/>
  <c r="ALU41" i="10"/>
  <c r="ALV41" i="10"/>
  <c r="ALW41" i="10"/>
  <c r="ALX41" i="10"/>
  <c r="ALY41" i="10"/>
  <c r="C41" i="10"/>
  <c r="D41" i="10"/>
  <c r="B41" i="10"/>
  <c r="C9" i="12"/>
  <c r="C8" i="12"/>
  <c r="C7" i="12"/>
  <c r="G1" i="13" l="1"/>
  <c r="H1" i="13" s="1"/>
  <c r="F3" i="13"/>
  <c r="G3" i="13"/>
  <c r="F4" i="13"/>
  <c r="G4" i="13"/>
  <c r="F5" i="13"/>
  <c r="G5" i="13"/>
  <c r="F6" i="13"/>
  <c r="G6" i="13"/>
  <c r="F7" i="13"/>
  <c r="G7" i="13"/>
  <c r="F8" i="13"/>
  <c r="G8" i="13"/>
  <c r="F9" i="13"/>
  <c r="G9" i="13"/>
  <c r="G11" i="13"/>
  <c r="H11" i="13" s="1"/>
  <c r="H19" i="13" s="1"/>
  <c r="F13" i="13"/>
  <c r="F14" i="13"/>
  <c r="F15" i="13"/>
  <c r="F16" i="13"/>
  <c r="F17" i="13"/>
  <c r="F18" i="13"/>
  <c r="F19" i="13"/>
  <c r="G21" i="13"/>
  <c r="H21" i="13" s="1"/>
  <c r="H23" i="13" s="1"/>
  <c r="F23" i="13"/>
  <c r="E24" i="13"/>
  <c r="G82" i="13"/>
  <c r="H82" i="13" s="1"/>
  <c r="F84" i="13"/>
  <c r="G84" i="13"/>
  <c r="E85" i="13"/>
  <c r="F85" i="13"/>
  <c r="H85" i="13"/>
  <c r="E86" i="13"/>
  <c r="G86" i="13" s="1"/>
  <c r="H18" i="13" l="1"/>
  <c r="G24" i="13"/>
  <c r="G19" i="13"/>
  <c r="H84" i="13"/>
  <c r="I82" i="13"/>
  <c r="H86" i="13"/>
  <c r="F86" i="13"/>
  <c r="E87" i="13"/>
  <c r="G87" i="13"/>
  <c r="G85" i="13"/>
  <c r="E25" i="13"/>
  <c r="G25" i="13" s="1"/>
  <c r="F24" i="13"/>
  <c r="G23" i="13"/>
  <c r="I21" i="13"/>
  <c r="I11" i="13"/>
  <c r="H13" i="13"/>
  <c r="H15" i="13"/>
  <c r="H16" i="13"/>
  <c r="H17" i="13"/>
  <c r="H14" i="13"/>
  <c r="H24" i="13"/>
  <c r="G14" i="13"/>
  <c r="G18" i="13"/>
  <c r="G17" i="13"/>
  <c r="G16" i="13"/>
  <c r="G15" i="13"/>
  <c r="G13" i="13"/>
  <c r="H3" i="13"/>
  <c r="H4" i="13"/>
  <c r="H5" i="13"/>
  <c r="H6" i="13"/>
  <c r="H7" i="13"/>
  <c r="H8" i="13"/>
  <c r="H9" i="13"/>
  <c r="I1" i="13"/>
  <c r="I3" i="13" l="1"/>
  <c r="I4" i="13"/>
  <c r="I5" i="13"/>
  <c r="I6" i="13"/>
  <c r="I7" i="13"/>
  <c r="I8" i="13"/>
  <c r="I9" i="13"/>
  <c r="J1" i="13"/>
  <c r="J21" i="13"/>
  <c r="I23" i="13"/>
  <c r="I24" i="13"/>
  <c r="I25" i="13"/>
  <c r="I87" i="13"/>
  <c r="J82" i="13"/>
  <c r="I85" i="13"/>
  <c r="I84" i="13"/>
  <c r="I86" i="13"/>
  <c r="I13" i="13"/>
  <c r="I14" i="13"/>
  <c r="J11" i="13"/>
  <c r="I15" i="13"/>
  <c r="I16" i="13"/>
  <c r="I17" i="13"/>
  <c r="I18" i="13"/>
  <c r="I19" i="13"/>
  <c r="F25" i="13"/>
  <c r="E26" i="13"/>
  <c r="H25" i="13"/>
  <c r="F87" i="13"/>
  <c r="E88" i="13"/>
  <c r="I88" i="13" s="1"/>
  <c r="H87" i="13"/>
  <c r="Q69" i="18"/>
  <c r="AV36" i="18"/>
  <c r="AV37" i="18"/>
  <c r="AV38" i="18"/>
  <c r="AV39" i="18"/>
  <c r="AV40" i="18"/>
  <c r="AV41" i="18"/>
  <c r="AV42" i="18"/>
  <c r="AV43" i="18"/>
  <c r="AV44" i="18"/>
  <c r="AV45" i="18"/>
  <c r="AV46" i="18"/>
  <c r="AV47" i="18"/>
  <c r="AV48" i="18"/>
  <c r="AV49" i="18"/>
  <c r="AV50" i="18"/>
  <c r="AV51" i="18"/>
  <c r="AV52" i="18"/>
  <c r="AV53" i="18"/>
  <c r="AV54" i="18"/>
  <c r="AV55" i="18"/>
  <c r="AV56" i="18"/>
  <c r="AV57" i="18"/>
  <c r="AV58" i="18"/>
  <c r="AV59" i="18"/>
  <c r="AV60" i="18"/>
  <c r="AV61" i="18"/>
  <c r="AV62" i="18"/>
  <c r="AV63" i="18"/>
  <c r="AV64" i="18"/>
  <c r="AV35" i="18"/>
  <c r="K82" i="13" l="1"/>
  <c r="J86" i="13"/>
  <c r="J84" i="13"/>
  <c r="J88" i="13"/>
  <c r="J85" i="13"/>
  <c r="J87" i="13"/>
  <c r="F26" i="13"/>
  <c r="E27" i="13"/>
  <c r="G26" i="13"/>
  <c r="H26" i="13"/>
  <c r="K1" i="13"/>
  <c r="J5" i="13"/>
  <c r="J6" i="13"/>
  <c r="J3" i="13"/>
  <c r="J7" i="13"/>
  <c r="J8" i="13"/>
  <c r="J9" i="13"/>
  <c r="J4" i="13"/>
  <c r="F88" i="13"/>
  <c r="E89" i="13"/>
  <c r="G88" i="13"/>
  <c r="H88" i="13"/>
  <c r="I26" i="13"/>
  <c r="J13" i="13"/>
  <c r="J14" i="13"/>
  <c r="J15" i="13"/>
  <c r="J16" i="13"/>
  <c r="K11" i="13"/>
  <c r="J17" i="13"/>
  <c r="J19" i="13"/>
  <c r="J18" i="13"/>
  <c r="J23" i="13"/>
  <c r="K21" i="13"/>
  <c r="J25" i="13"/>
  <c r="J26" i="13"/>
  <c r="J27" i="13"/>
  <c r="J24" i="13"/>
  <c r="P21" i="18"/>
  <c r="P22" i="18"/>
  <c r="P23" i="18"/>
  <c r="P24" i="18"/>
  <c r="P25" i="18"/>
  <c r="P20" i="18"/>
  <c r="K3" i="13" l="1"/>
  <c r="K4" i="13"/>
  <c r="K5" i="13"/>
  <c r="K6" i="13"/>
  <c r="L1" i="13"/>
  <c r="K7" i="13"/>
  <c r="K8" i="13"/>
  <c r="K9" i="13"/>
  <c r="L21" i="13"/>
  <c r="K24" i="13"/>
  <c r="K23" i="13"/>
  <c r="K25" i="13"/>
  <c r="K26" i="13"/>
  <c r="K27" i="13"/>
  <c r="K14" i="13"/>
  <c r="K15" i="13"/>
  <c r="K16" i="13"/>
  <c r="K17" i="13"/>
  <c r="K18" i="13"/>
  <c r="K19" i="13"/>
  <c r="L11" i="13"/>
  <c r="K13" i="13"/>
  <c r="F89" i="13"/>
  <c r="H89" i="13"/>
  <c r="E90" i="13"/>
  <c r="K90" i="13" s="1"/>
  <c r="G89" i="13"/>
  <c r="I89" i="13"/>
  <c r="H27" i="13"/>
  <c r="F27" i="13"/>
  <c r="E28" i="13"/>
  <c r="G27" i="13"/>
  <c r="I27" i="13"/>
  <c r="J89" i="13"/>
  <c r="L82" i="13"/>
  <c r="K85" i="13"/>
  <c r="K89" i="13"/>
  <c r="K87" i="13"/>
  <c r="K88" i="13"/>
  <c r="K84" i="13"/>
  <c r="K86" i="13"/>
  <c r="P26" i="18"/>
  <c r="AO376" i="16"/>
  <c r="C40" i="21" s="1"/>
  <c r="AN376" i="16"/>
  <c r="C39" i="21" s="1"/>
  <c r="AM376" i="16"/>
  <c r="C38" i="21" s="1"/>
  <c r="AL376" i="16"/>
  <c r="C37" i="21" s="1"/>
  <c r="AK376" i="16"/>
  <c r="C36" i="21" s="1"/>
  <c r="AJ376" i="16"/>
  <c r="C35" i="21" s="1"/>
  <c r="AI376" i="16"/>
  <c r="C34" i="21" s="1"/>
  <c r="AH376" i="16"/>
  <c r="C33" i="21" s="1"/>
  <c r="AG376" i="16"/>
  <c r="C32" i="21" s="1"/>
  <c r="AF376" i="16"/>
  <c r="C31" i="21" s="1"/>
  <c r="E26" i="16"/>
  <c r="R376" i="16"/>
  <c r="C17" i="21" s="1"/>
  <c r="EM373" i="16"/>
  <c r="EN373" i="16" s="1"/>
  <c r="EO373" i="16" s="1"/>
  <c r="EP373" i="16" s="1"/>
  <c r="EQ373" i="16" s="1"/>
  <c r="ER373" i="16" s="1"/>
  <c r="ES373" i="16" s="1"/>
  <c r="ET373" i="16" s="1"/>
  <c r="EU373" i="16" s="1"/>
  <c r="EV373" i="16" s="1"/>
  <c r="EW373" i="16" s="1"/>
  <c r="EX373" i="16" s="1"/>
  <c r="EY373" i="16" s="1"/>
  <c r="EZ373" i="16" s="1"/>
  <c r="FA373" i="16" s="1"/>
  <c r="FB373" i="16" s="1"/>
  <c r="FC373" i="16" s="1"/>
  <c r="FD373" i="16" s="1"/>
  <c r="FE373" i="16" s="1"/>
  <c r="FF373" i="16" s="1"/>
  <c r="FG373" i="16" s="1"/>
  <c r="FH373" i="16" s="1"/>
  <c r="FI373" i="16" s="1"/>
  <c r="FJ373" i="16" s="1"/>
  <c r="FK373" i="16" s="1"/>
  <c r="FL373" i="16" s="1"/>
  <c r="FM373" i="16" s="1"/>
  <c r="FN373" i="16" s="1"/>
  <c r="FO373" i="16" s="1"/>
  <c r="FP373" i="16" s="1"/>
  <c r="FQ373" i="16" s="1"/>
  <c r="FR373" i="16" s="1"/>
  <c r="FS373" i="16" s="1"/>
  <c r="FT373" i="16" s="1"/>
  <c r="FU373" i="16" s="1"/>
  <c r="FV373" i="16" s="1"/>
  <c r="FW373" i="16" s="1"/>
  <c r="FX373" i="16" s="1"/>
  <c r="FY373" i="16" s="1"/>
  <c r="FZ373" i="16" s="1"/>
  <c r="GA373" i="16" s="1"/>
  <c r="GB373" i="16" s="1"/>
  <c r="GC373" i="16" s="1"/>
  <c r="GD373" i="16" s="1"/>
  <c r="GE373" i="16" s="1"/>
  <c r="GF373" i="16" s="1"/>
  <c r="GG373" i="16" s="1"/>
  <c r="GH373" i="16" s="1"/>
  <c r="GI373" i="16" s="1"/>
  <c r="GJ373" i="16" s="1"/>
  <c r="GK373" i="16" s="1"/>
  <c r="GL373" i="16" s="1"/>
  <c r="GM373" i="16" s="1"/>
  <c r="GN373" i="16" s="1"/>
  <c r="GO373" i="16" s="1"/>
  <c r="GP373" i="16" s="1"/>
  <c r="GQ373" i="16" s="1"/>
  <c r="F26" i="16" l="1"/>
  <c r="G26" i="16" s="1"/>
  <c r="M376" i="16"/>
  <c r="C12" i="21" s="1"/>
  <c r="D28" i="16"/>
  <c r="E28" i="16" s="1"/>
  <c r="L84" i="13"/>
  <c r="L88" i="13"/>
  <c r="M82" i="13"/>
  <c r="L86" i="13"/>
  <c r="L87" i="13"/>
  <c r="L89" i="13"/>
  <c r="L90" i="13"/>
  <c r="L85" i="13"/>
  <c r="G28" i="13"/>
  <c r="F28" i="13"/>
  <c r="E29" i="13"/>
  <c r="H28" i="13"/>
  <c r="I28" i="13"/>
  <c r="J28" i="13"/>
  <c r="K28" i="13"/>
  <c r="F90" i="13"/>
  <c r="G90" i="13"/>
  <c r="H90" i="13"/>
  <c r="E91" i="13"/>
  <c r="I90" i="13"/>
  <c r="J90" i="13"/>
  <c r="M11" i="13"/>
  <c r="L13" i="13"/>
  <c r="L14" i="13"/>
  <c r="L15" i="13"/>
  <c r="L16" i="13"/>
  <c r="L17" i="13"/>
  <c r="L18" i="13"/>
  <c r="L19" i="13"/>
  <c r="L23" i="13"/>
  <c r="L27" i="13"/>
  <c r="M21" i="13"/>
  <c r="L24" i="13"/>
  <c r="L28" i="13"/>
  <c r="L25" i="13"/>
  <c r="L29" i="13"/>
  <c r="L26" i="13"/>
  <c r="L3" i="13"/>
  <c r="L4" i="13"/>
  <c r="L5" i="13"/>
  <c r="L6" i="13"/>
  <c r="L7" i="13"/>
  <c r="L8" i="13"/>
  <c r="L9" i="13"/>
  <c r="M1" i="13"/>
  <c r="O376" i="16"/>
  <c r="C14" i="21" s="1"/>
  <c r="P376" i="16"/>
  <c r="C15" i="21" s="1"/>
  <c r="N376" i="16"/>
  <c r="C13" i="21" s="1"/>
  <c r="F28" i="16" l="1"/>
  <c r="G28" i="16" s="1"/>
  <c r="N21" i="13"/>
  <c r="M26" i="13"/>
  <c r="M27" i="13"/>
  <c r="M23" i="13"/>
  <c r="M24" i="13"/>
  <c r="M28" i="13"/>
  <c r="M25" i="13"/>
  <c r="M29" i="13"/>
  <c r="M3" i="13"/>
  <c r="M4" i="13"/>
  <c r="M5" i="13"/>
  <c r="M6" i="13"/>
  <c r="M7" i="13"/>
  <c r="M8" i="13"/>
  <c r="M9" i="13"/>
  <c r="N1" i="13"/>
  <c r="M87" i="13"/>
  <c r="N82" i="13"/>
  <c r="M85" i="13"/>
  <c r="M89" i="13"/>
  <c r="M86" i="13"/>
  <c r="M92" i="13"/>
  <c r="M88" i="13"/>
  <c r="M84" i="13"/>
  <c r="M90" i="13"/>
  <c r="M91" i="13"/>
  <c r="F91" i="13"/>
  <c r="E92" i="13"/>
  <c r="G91" i="13"/>
  <c r="H91" i="13"/>
  <c r="I91" i="13"/>
  <c r="J91" i="13"/>
  <c r="K91" i="13"/>
  <c r="F29" i="13"/>
  <c r="E30" i="13"/>
  <c r="M30" i="13" s="1"/>
  <c r="H29" i="13"/>
  <c r="G29" i="13"/>
  <c r="I29" i="13"/>
  <c r="J29" i="13"/>
  <c r="K29" i="13"/>
  <c r="M13" i="13"/>
  <c r="M14" i="13"/>
  <c r="N11" i="13"/>
  <c r="M15" i="13"/>
  <c r="M16" i="13"/>
  <c r="M17" i="13"/>
  <c r="M18" i="13"/>
  <c r="M19" i="13"/>
  <c r="L91" i="13"/>
  <c r="H26" i="16"/>
  <c r="H28" i="16" l="1"/>
  <c r="F92" i="13"/>
  <c r="E93" i="13"/>
  <c r="G92" i="13"/>
  <c r="H92" i="13"/>
  <c r="I92" i="13"/>
  <c r="J92" i="13"/>
  <c r="K92" i="13"/>
  <c r="L92" i="13"/>
  <c r="O1" i="13"/>
  <c r="N4" i="13"/>
  <c r="N7" i="13"/>
  <c r="N8" i="13"/>
  <c r="N9" i="13"/>
  <c r="N5" i="13"/>
  <c r="N6" i="13"/>
  <c r="N3" i="13"/>
  <c r="N13" i="13"/>
  <c r="N14" i="13"/>
  <c r="O11" i="13"/>
  <c r="N15" i="13"/>
  <c r="N16" i="13"/>
  <c r="N17" i="13"/>
  <c r="N18" i="13"/>
  <c r="N19" i="13"/>
  <c r="F30" i="13"/>
  <c r="E31" i="13"/>
  <c r="N31" i="13" s="1"/>
  <c r="G30" i="13"/>
  <c r="H30" i="13"/>
  <c r="I30" i="13"/>
  <c r="J30" i="13"/>
  <c r="K30" i="13"/>
  <c r="L30" i="13"/>
  <c r="O82" i="13"/>
  <c r="N86" i="13"/>
  <c r="N84" i="13"/>
  <c r="N88" i="13"/>
  <c r="N85" i="13"/>
  <c r="N91" i="13"/>
  <c r="N87" i="13"/>
  <c r="N92" i="13"/>
  <c r="N89" i="13"/>
  <c r="N93" i="13"/>
  <c r="N90" i="13"/>
  <c r="N23" i="13"/>
  <c r="N25" i="13"/>
  <c r="N29" i="13"/>
  <c r="N26" i="13"/>
  <c r="N30" i="13"/>
  <c r="O21" i="13"/>
  <c r="N27" i="13"/>
  <c r="N24" i="13"/>
  <c r="N28" i="13"/>
  <c r="I26" i="16"/>
  <c r="I28" i="16" l="1"/>
  <c r="P21" i="13"/>
  <c r="O24" i="13"/>
  <c r="O28" i="13"/>
  <c r="O25" i="13"/>
  <c r="O29" i="13"/>
  <c r="O26" i="13"/>
  <c r="O23" i="13"/>
  <c r="O27" i="13"/>
  <c r="O31" i="13"/>
  <c r="O30" i="13"/>
  <c r="P11" i="13"/>
  <c r="O13" i="13"/>
  <c r="O15" i="13"/>
  <c r="O16" i="13"/>
  <c r="O17" i="13"/>
  <c r="O18" i="13"/>
  <c r="O19" i="13"/>
  <c r="O14" i="13"/>
  <c r="H31" i="13"/>
  <c r="E32" i="13"/>
  <c r="O32" i="13" s="1"/>
  <c r="F31" i="13"/>
  <c r="G31" i="13"/>
  <c r="I31" i="13"/>
  <c r="J31" i="13"/>
  <c r="K31" i="13"/>
  <c r="L31" i="13"/>
  <c r="M31" i="13"/>
  <c r="H93" i="13"/>
  <c r="F93" i="13"/>
  <c r="E94" i="13"/>
  <c r="G93" i="13"/>
  <c r="I93" i="13"/>
  <c r="J93" i="13"/>
  <c r="K93" i="13"/>
  <c r="L93" i="13"/>
  <c r="M93" i="13"/>
  <c r="P82" i="13"/>
  <c r="O85" i="13"/>
  <c r="O89" i="13"/>
  <c r="O87" i="13"/>
  <c r="O90" i="13"/>
  <c r="O94" i="13"/>
  <c r="O86" i="13"/>
  <c r="O91" i="13"/>
  <c r="O88" i="13"/>
  <c r="O92" i="13"/>
  <c r="O84" i="13"/>
  <c r="O93" i="13"/>
  <c r="O3" i="13"/>
  <c r="O4" i="13"/>
  <c r="O5" i="13"/>
  <c r="O6" i="13"/>
  <c r="P1" i="13"/>
  <c r="O7" i="13"/>
  <c r="O8" i="13"/>
  <c r="O9" i="13"/>
  <c r="J26" i="16"/>
  <c r="C22" i="13"/>
  <c r="C21" i="13"/>
  <c r="C20" i="13"/>
  <c r="C19" i="13"/>
  <c r="C17" i="13"/>
  <c r="C16" i="13"/>
  <c r="C15" i="13"/>
  <c r="C14" i="13"/>
  <c r="C12" i="13"/>
  <c r="C11" i="13"/>
  <c r="C10" i="13"/>
  <c r="C9" i="13"/>
  <c r="C6" i="13"/>
  <c r="C5" i="13"/>
  <c r="C4" i="13"/>
  <c r="C3" i="13"/>
  <c r="B22" i="13"/>
  <c r="B21" i="13"/>
  <c r="B20" i="13"/>
  <c r="B19" i="13"/>
  <c r="B17" i="13"/>
  <c r="B16" i="13"/>
  <c r="B15" i="13"/>
  <c r="B14" i="13"/>
  <c r="B12" i="13"/>
  <c r="B11" i="13"/>
  <c r="B10" i="13"/>
  <c r="B9" i="13"/>
  <c r="B6" i="13"/>
  <c r="B5" i="13"/>
  <c r="B4" i="13"/>
  <c r="B3" i="13"/>
  <c r="X202" i="11"/>
  <c r="J28" i="16" l="1"/>
  <c r="P3" i="13"/>
  <c r="P4" i="13"/>
  <c r="P5" i="13"/>
  <c r="P6" i="13"/>
  <c r="P7" i="13"/>
  <c r="P8" i="13"/>
  <c r="P9" i="13"/>
  <c r="Q1" i="13"/>
  <c r="Q11" i="13"/>
  <c r="P13" i="13"/>
  <c r="P15" i="13"/>
  <c r="P16" i="13"/>
  <c r="P17" i="13"/>
  <c r="P14" i="13"/>
  <c r="P18" i="13"/>
  <c r="P19" i="13"/>
  <c r="G94" i="13"/>
  <c r="H94" i="13"/>
  <c r="F94" i="13"/>
  <c r="E95" i="13"/>
  <c r="I94" i="13"/>
  <c r="J94" i="13"/>
  <c r="K94" i="13"/>
  <c r="L94" i="13"/>
  <c r="M94" i="13"/>
  <c r="N94" i="13"/>
  <c r="P84" i="13"/>
  <c r="P88" i="13"/>
  <c r="Q82" i="13"/>
  <c r="P86" i="13"/>
  <c r="P93" i="13"/>
  <c r="P85" i="13"/>
  <c r="P90" i="13"/>
  <c r="P94" i="13"/>
  <c r="P87" i="13"/>
  <c r="P91" i="13"/>
  <c r="P95" i="13"/>
  <c r="P89" i="13"/>
  <c r="P92" i="13"/>
  <c r="H32" i="13"/>
  <c r="F32" i="13"/>
  <c r="E33" i="13"/>
  <c r="G32" i="13"/>
  <c r="I32" i="13"/>
  <c r="J32" i="13"/>
  <c r="K32" i="13"/>
  <c r="L32" i="13"/>
  <c r="M32" i="13"/>
  <c r="N32" i="13"/>
  <c r="P23" i="13"/>
  <c r="P27" i="13"/>
  <c r="P31" i="13"/>
  <c r="P24" i="13"/>
  <c r="P28" i="13"/>
  <c r="P32" i="13"/>
  <c r="P25" i="13"/>
  <c r="P29" i="13"/>
  <c r="Q21" i="13"/>
  <c r="P26" i="13"/>
  <c r="P30" i="13"/>
  <c r="P33" i="13"/>
  <c r="K26" i="16"/>
  <c r="W192" i="11"/>
  <c r="X192" i="11"/>
  <c r="W193" i="11"/>
  <c r="X193" i="11"/>
  <c r="W194" i="11"/>
  <c r="X194" i="11"/>
  <c r="V194" i="11"/>
  <c r="V193" i="11"/>
  <c r="V192" i="11"/>
  <c r="K28" i="16" l="1"/>
  <c r="R21" i="13"/>
  <c r="Q23" i="13"/>
  <c r="Q26" i="13"/>
  <c r="Q30" i="13"/>
  <c r="Q27" i="13"/>
  <c r="Q31" i="13"/>
  <c r="Q24" i="13"/>
  <c r="Q28" i="13"/>
  <c r="Q25" i="13"/>
  <c r="Q29" i="13"/>
  <c r="Q33" i="13"/>
  <c r="Q32" i="13"/>
  <c r="G33" i="13"/>
  <c r="H33" i="13"/>
  <c r="F33" i="13"/>
  <c r="E34" i="13"/>
  <c r="I33" i="13"/>
  <c r="J33" i="13"/>
  <c r="K33" i="13"/>
  <c r="L33" i="13"/>
  <c r="M33" i="13"/>
  <c r="N33" i="13"/>
  <c r="O33" i="13"/>
  <c r="F95" i="13"/>
  <c r="E96" i="13"/>
  <c r="G95" i="13"/>
  <c r="H95" i="13"/>
  <c r="I95" i="13"/>
  <c r="J95" i="13"/>
  <c r="K95" i="13"/>
  <c r="L95" i="13"/>
  <c r="M95" i="13"/>
  <c r="N95" i="13"/>
  <c r="O95" i="13"/>
  <c r="Q3" i="13"/>
  <c r="Q4" i="13"/>
  <c r="Q5" i="13"/>
  <c r="Q6" i="13"/>
  <c r="Q7" i="13"/>
  <c r="Q8" i="13"/>
  <c r="Q9" i="13"/>
  <c r="R1" i="13"/>
  <c r="Q87" i="13"/>
  <c r="R82" i="13"/>
  <c r="Q85" i="13"/>
  <c r="Q89" i="13"/>
  <c r="Q84" i="13"/>
  <c r="Q92" i="13"/>
  <c r="Q96" i="13"/>
  <c r="Q93" i="13"/>
  <c r="Q86" i="13"/>
  <c r="Q90" i="13"/>
  <c r="Q94" i="13"/>
  <c r="Q88" i="13"/>
  <c r="Q91" i="13"/>
  <c r="Q95" i="13"/>
  <c r="Q13" i="13"/>
  <c r="Q14" i="13"/>
  <c r="R11" i="13"/>
  <c r="Q15" i="13"/>
  <c r="Q16" i="13"/>
  <c r="Q17" i="13"/>
  <c r="Q18" i="13"/>
  <c r="Q19" i="13"/>
  <c r="L26" i="16"/>
  <c r="U622" i="11"/>
  <c r="U621" i="11"/>
  <c r="U620" i="11"/>
  <c r="U619" i="11"/>
  <c r="U618" i="11"/>
  <c r="U574" i="11"/>
  <c r="U573" i="11"/>
  <c r="U572" i="11"/>
  <c r="U571" i="11"/>
  <c r="U570" i="11"/>
  <c r="X628" i="11"/>
  <c r="X615" i="11"/>
  <c r="X607" i="11"/>
  <c r="L28" i="16" l="1"/>
  <c r="F96" i="13"/>
  <c r="E97" i="13"/>
  <c r="G96" i="13"/>
  <c r="H96" i="13"/>
  <c r="I96" i="13"/>
  <c r="J96" i="13"/>
  <c r="K96" i="13"/>
  <c r="L96" i="13"/>
  <c r="M96" i="13"/>
  <c r="N96" i="13"/>
  <c r="O96" i="13"/>
  <c r="P96" i="13"/>
  <c r="R13" i="13"/>
  <c r="R14" i="13"/>
  <c r="R15" i="13"/>
  <c r="R16" i="13"/>
  <c r="S11" i="13"/>
  <c r="R19" i="13"/>
  <c r="R17" i="13"/>
  <c r="R18" i="13"/>
  <c r="S82" i="13"/>
  <c r="R86" i="13"/>
  <c r="R84" i="13"/>
  <c r="R88" i="13"/>
  <c r="R89" i="13"/>
  <c r="R91" i="13"/>
  <c r="R95" i="13"/>
  <c r="R92" i="13"/>
  <c r="R96" i="13"/>
  <c r="R85" i="13"/>
  <c r="R93" i="13"/>
  <c r="R97" i="13"/>
  <c r="R87" i="13"/>
  <c r="R90" i="13"/>
  <c r="R94" i="13"/>
  <c r="F34" i="13"/>
  <c r="E35" i="13"/>
  <c r="H34" i="13"/>
  <c r="G34" i="13"/>
  <c r="I34" i="13"/>
  <c r="J34" i="13"/>
  <c r="K34" i="13"/>
  <c r="L34" i="13"/>
  <c r="M34" i="13"/>
  <c r="N34" i="13"/>
  <c r="O34" i="13"/>
  <c r="P34" i="13"/>
  <c r="S1" i="13"/>
  <c r="R3" i="13"/>
  <c r="R4" i="13"/>
  <c r="R5" i="13"/>
  <c r="R7" i="13"/>
  <c r="R8" i="13"/>
  <c r="R9" i="13"/>
  <c r="R6" i="13"/>
  <c r="Q34" i="13"/>
  <c r="R23" i="13"/>
  <c r="S21" i="13"/>
  <c r="R25" i="13"/>
  <c r="R29" i="13"/>
  <c r="R26" i="13"/>
  <c r="R30" i="13"/>
  <c r="R34" i="13"/>
  <c r="R27" i="13"/>
  <c r="R24" i="13"/>
  <c r="R28" i="13"/>
  <c r="R32" i="13"/>
  <c r="R33" i="13"/>
  <c r="R31" i="13"/>
  <c r="R35" i="13"/>
  <c r="M26" i="16"/>
  <c r="V621" i="11"/>
  <c r="V620" i="11"/>
  <c r="V618" i="11"/>
  <c r="V619" i="11"/>
  <c r="V622" i="11"/>
  <c r="M28" i="16" l="1"/>
  <c r="S3" i="13"/>
  <c r="S4" i="13"/>
  <c r="S5" i="13"/>
  <c r="S6" i="13"/>
  <c r="T1" i="13"/>
  <c r="S7" i="13"/>
  <c r="S8" i="13"/>
  <c r="S9" i="13"/>
  <c r="T21" i="13"/>
  <c r="S24" i="13"/>
  <c r="S28" i="13"/>
  <c r="S23" i="13"/>
  <c r="S25" i="13"/>
  <c r="S29" i="13"/>
  <c r="S33" i="13"/>
  <c r="S26" i="13"/>
  <c r="S27" i="13"/>
  <c r="S31" i="13"/>
  <c r="S35" i="13"/>
  <c r="S32" i="13"/>
  <c r="S30" i="13"/>
  <c r="S34" i="13"/>
  <c r="H97" i="13"/>
  <c r="F97" i="13"/>
  <c r="E98" i="13"/>
  <c r="G97" i="13"/>
  <c r="I97" i="13"/>
  <c r="J97" i="13"/>
  <c r="K97" i="13"/>
  <c r="L97" i="13"/>
  <c r="M97" i="13"/>
  <c r="N97" i="13"/>
  <c r="O97" i="13"/>
  <c r="P97" i="13"/>
  <c r="Q97" i="13"/>
  <c r="G35" i="13"/>
  <c r="F35" i="13"/>
  <c r="E36" i="13"/>
  <c r="H35" i="13"/>
  <c r="I35" i="13"/>
  <c r="J35" i="13"/>
  <c r="K35" i="13"/>
  <c r="L35" i="13"/>
  <c r="M35" i="13"/>
  <c r="N35" i="13"/>
  <c r="O35" i="13"/>
  <c r="P35" i="13"/>
  <c r="Q35" i="13"/>
  <c r="T82" i="13"/>
  <c r="S85" i="13"/>
  <c r="S89" i="13"/>
  <c r="S87" i="13"/>
  <c r="S88" i="13"/>
  <c r="S90" i="13"/>
  <c r="S94" i="13"/>
  <c r="S98" i="13"/>
  <c r="S84" i="13"/>
  <c r="S91" i="13"/>
  <c r="S95" i="13"/>
  <c r="S92" i="13"/>
  <c r="S96" i="13"/>
  <c r="S86" i="13"/>
  <c r="S93" i="13"/>
  <c r="S97" i="13"/>
  <c r="S14" i="13"/>
  <c r="S15" i="13"/>
  <c r="S16" i="13"/>
  <c r="S17" i="13"/>
  <c r="S18" i="13"/>
  <c r="S19" i="13"/>
  <c r="T11" i="13"/>
  <c r="S13" i="13"/>
  <c r="N26" i="16"/>
  <c r="N28" i="16" l="1"/>
  <c r="H36" i="13"/>
  <c r="F36" i="13"/>
  <c r="E37" i="13"/>
  <c r="G36" i="13"/>
  <c r="I36" i="13"/>
  <c r="J36" i="13"/>
  <c r="K36" i="13"/>
  <c r="L36" i="13"/>
  <c r="M36" i="13"/>
  <c r="N36" i="13"/>
  <c r="O36" i="13"/>
  <c r="P36" i="13"/>
  <c r="Q36" i="13"/>
  <c r="R36" i="13"/>
  <c r="S36" i="13"/>
  <c r="U11" i="13"/>
  <c r="T13" i="13"/>
  <c r="T14" i="13"/>
  <c r="T15" i="13"/>
  <c r="T16" i="13"/>
  <c r="T17" i="13"/>
  <c r="T18" i="13"/>
  <c r="T19" i="13"/>
  <c r="T84" i="13"/>
  <c r="T88" i="13"/>
  <c r="U82" i="13"/>
  <c r="T86" i="13"/>
  <c r="T87" i="13"/>
  <c r="T93" i="13"/>
  <c r="T97" i="13"/>
  <c r="T89" i="13"/>
  <c r="T90" i="13"/>
  <c r="T94" i="13"/>
  <c r="T98" i="13"/>
  <c r="T91" i="13"/>
  <c r="T95" i="13"/>
  <c r="T85" i="13"/>
  <c r="T92" i="13"/>
  <c r="T96" i="13"/>
  <c r="G98" i="13"/>
  <c r="H98" i="13"/>
  <c r="F98" i="13"/>
  <c r="E99" i="13"/>
  <c r="I98" i="13"/>
  <c r="J98" i="13"/>
  <c r="K98" i="13"/>
  <c r="L98" i="13"/>
  <c r="M98" i="13"/>
  <c r="N98" i="13"/>
  <c r="O98" i="13"/>
  <c r="P98" i="13"/>
  <c r="Q98" i="13"/>
  <c r="R98" i="13"/>
  <c r="T23" i="13"/>
  <c r="T27" i="13"/>
  <c r="T31" i="13"/>
  <c r="U21" i="13"/>
  <c r="T24" i="13"/>
  <c r="T28" i="13"/>
  <c r="T32" i="13"/>
  <c r="T36" i="13"/>
  <c r="T25" i="13"/>
  <c r="T29" i="13"/>
  <c r="T26" i="13"/>
  <c r="T30" i="13"/>
  <c r="T34" i="13"/>
  <c r="T37" i="13"/>
  <c r="T33" i="13"/>
  <c r="T35" i="13"/>
  <c r="T3" i="13"/>
  <c r="T4" i="13"/>
  <c r="T5" i="13"/>
  <c r="T6" i="13"/>
  <c r="T7" i="13"/>
  <c r="T8" i="13"/>
  <c r="T9" i="13"/>
  <c r="U1" i="13"/>
  <c r="O26" i="16"/>
  <c r="Y325" i="11"/>
  <c r="O28" i="16" l="1"/>
  <c r="V21" i="13"/>
  <c r="U26" i="13"/>
  <c r="U30" i="13"/>
  <c r="U27" i="13"/>
  <c r="U31" i="13"/>
  <c r="U35" i="13"/>
  <c r="U23" i="13"/>
  <c r="U24" i="13"/>
  <c r="U28" i="13"/>
  <c r="U25" i="13"/>
  <c r="U29" i="13"/>
  <c r="U33" i="13"/>
  <c r="U37" i="13"/>
  <c r="U36" i="13"/>
  <c r="U32" i="13"/>
  <c r="U34" i="13"/>
  <c r="U13" i="13"/>
  <c r="U14" i="13"/>
  <c r="V11" i="13"/>
  <c r="U15" i="13"/>
  <c r="U16" i="13"/>
  <c r="U17" i="13"/>
  <c r="U18" i="13"/>
  <c r="U19" i="13"/>
  <c r="U3" i="13"/>
  <c r="U4" i="13"/>
  <c r="U5" i="13"/>
  <c r="U6" i="13"/>
  <c r="U7" i="13"/>
  <c r="U8" i="13"/>
  <c r="U9" i="13"/>
  <c r="V1" i="13"/>
  <c r="G37" i="13"/>
  <c r="F37" i="13"/>
  <c r="E38" i="13"/>
  <c r="H37" i="13"/>
  <c r="I37" i="13"/>
  <c r="J37" i="13"/>
  <c r="K37" i="13"/>
  <c r="L37" i="13"/>
  <c r="M37" i="13"/>
  <c r="N37" i="13"/>
  <c r="O37" i="13"/>
  <c r="P37" i="13"/>
  <c r="Q37" i="13"/>
  <c r="R37" i="13"/>
  <c r="S37" i="13"/>
  <c r="F99" i="13"/>
  <c r="E100" i="13"/>
  <c r="G99" i="13"/>
  <c r="H99" i="13"/>
  <c r="I99" i="13"/>
  <c r="J99" i="13"/>
  <c r="K99" i="13"/>
  <c r="L99" i="13"/>
  <c r="M99" i="13"/>
  <c r="N99" i="13"/>
  <c r="O99" i="13"/>
  <c r="P99" i="13"/>
  <c r="Q99" i="13"/>
  <c r="R99" i="13"/>
  <c r="S99" i="13"/>
  <c r="T99" i="13"/>
  <c r="U87" i="13"/>
  <c r="V82" i="13"/>
  <c r="U85" i="13"/>
  <c r="U86" i="13"/>
  <c r="U92" i="13"/>
  <c r="U96" i="13"/>
  <c r="U100" i="13"/>
  <c r="U88" i="13"/>
  <c r="U93" i="13"/>
  <c r="U97" i="13"/>
  <c r="U84" i="13"/>
  <c r="U89" i="13"/>
  <c r="U90" i="13"/>
  <c r="U94" i="13"/>
  <c r="U98" i="13"/>
  <c r="U91" i="13"/>
  <c r="U95" i="13"/>
  <c r="U99" i="13"/>
  <c r="P26" i="16"/>
  <c r="Z325" i="11"/>
  <c r="P28" i="16" l="1"/>
  <c r="W82" i="13"/>
  <c r="V86" i="13"/>
  <c r="V84" i="13"/>
  <c r="V88" i="13"/>
  <c r="V85" i="13"/>
  <c r="V91" i="13"/>
  <c r="V95" i="13"/>
  <c r="V99" i="13"/>
  <c r="V87" i="13"/>
  <c r="V92" i="13"/>
  <c r="V96" i="13"/>
  <c r="V100" i="13"/>
  <c r="V93" i="13"/>
  <c r="V97" i="13"/>
  <c r="V89" i="13"/>
  <c r="V90" i="13"/>
  <c r="V94" i="13"/>
  <c r="V98" i="13"/>
  <c r="F100" i="13"/>
  <c r="E101" i="13"/>
  <c r="V101" i="13" s="1"/>
  <c r="G100" i="13"/>
  <c r="H100" i="13"/>
  <c r="I100" i="13"/>
  <c r="J100" i="13"/>
  <c r="K100" i="13"/>
  <c r="L100" i="13"/>
  <c r="M100" i="13"/>
  <c r="N100" i="13"/>
  <c r="O100" i="13"/>
  <c r="P100" i="13"/>
  <c r="Q100" i="13"/>
  <c r="R100" i="13"/>
  <c r="S100" i="13"/>
  <c r="T100" i="13"/>
  <c r="W1" i="13"/>
  <c r="V6" i="13"/>
  <c r="V7" i="13"/>
  <c r="V8" i="13"/>
  <c r="V9" i="13"/>
  <c r="V3" i="13"/>
  <c r="V4" i="13"/>
  <c r="V5" i="13"/>
  <c r="F38" i="13"/>
  <c r="E39" i="13"/>
  <c r="V39" i="13" s="1"/>
  <c r="H38" i="13"/>
  <c r="G38" i="13"/>
  <c r="I38" i="13"/>
  <c r="J38" i="13"/>
  <c r="K38" i="13"/>
  <c r="L38" i="13"/>
  <c r="M38" i="13"/>
  <c r="N38" i="13"/>
  <c r="O38" i="13"/>
  <c r="P38" i="13"/>
  <c r="Q38" i="13"/>
  <c r="R38" i="13"/>
  <c r="S38" i="13"/>
  <c r="T38" i="13"/>
  <c r="V13" i="13"/>
  <c r="V14" i="13"/>
  <c r="W11" i="13"/>
  <c r="V15" i="13"/>
  <c r="V16" i="13"/>
  <c r="V18" i="13"/>
  <c r="V19" i="13"/>
  <c r="V17" i="13"/>
  <c r="U38" i="13"/>
  <c r="V25" i="13"/>
  <c r="V29" i="13"/>
  <c r="V26" i="13"/>
  <c r="V30" i="13"/>
  <c r="V34" i="13"/>
  <c r="V38" i="13"/>
  <c r="W21" i="13"/>
  <c r="V27" i="13"/>
  <c r="V23" i="13"/>
  <c r="V24" i="13"/>
  <c r="V28" i="13"/>
  <c r="V32" i="13"/>
  <c r="V36" i="13"/>
  <c r="V35" i="13"/>
  <c r="V37" i="13"/>
  <c r="V31" i="13"/>
  <c r="V33" i="13"/>
  <c r="Q26" i="16"/>
  <c r="AA325" i="11"/>
  <c r="Q28" i="16" l="1"/>
  <c r="W3" i="13"/>
  <c r="W4" i="13"/>
  <c r="W5" i="13"/>
  <c r="W6" i="13"/>
  <c r="X1" i="13"/>
  <c r="W7" i="13"/>
  <c r="W8" i="13"/>
  <c r="W9" i="13"/>
  <c r="X21" i="13"/>
  <c r="W23" i="13"/>
  <c r="W24" i="13"/>
  <c r="W28" i="13"/>
  <c r="W25" i="13"/>
  <c r="W29" i="13"/>
  <c r="W33" i="13"/>
  <c r="W37" i="13"/>
  <c r="W26" i="13"/>
  <c r="W27" i="13"/>
  <c r="W31" i="13"/>
  <c r="W35" i="13"/>
  <c r="W34" i="13"/>
  <c r="W36" i="13"/>
  <c r="W38" i="13"/>
  <c r="W39" i="13"/>
  <c r="W30" i="13"/>
  <c r="W32" i="13"/>
  <c r="X11" i="13"/>
  <c r="W13" i="13"/>
  <c r="W15" i="13"/>
  <c r="W16" i="13"/>
  <c r="W17" i="13"/>
  <c r="W18" i="13"/>
  <c r="W19" i="13"/>
  <c r="W14" i="13"/>
  <c r="G39" i="13"/>
  <c r="E40" i="13"/>
  <c r="W40" i="13" s="1"/>
  <c r="F39" i="13"/>
  <c r="H39" i="13"/>
  <c r="I39" i="13"/>
  <c r="J39" i="13"/>
  <c r="K39" i="13"/>
  <c r="L39" i="13"/>
  <c r="M39" i="13"/>
  <c r="N39" i="13"/>
  <c r="O39" i="13"/>
  <c r="P39" i="13"/>
  <c r="Q39" i="13"/>
  <c r="R39" i="13"/>
  <c r="S39" i="13"/>
  <c r="T39" i="13"/>
  <c r="U39" i="13"/>
  <c r="H101" i="13"/>
  <c r="F101" i="13"/>
  <c r="E102" i="13"/>
  <c r="G101" i="13"/>
  <c r="I101" i="13"/>
  <c r="J101" i="13"/>
  <c r="K101" i="13"/>
  <c r="L101" i="13"/>
  <c r="M101" i="13"/>
  <c r="N101" i="13"/>
  <c r="O101" i="13"/>
  <c r="P101" i="13"/>
  <c r="Q101" i="13"/>
  <c r="R101" i="13"/>
  <c r="S101" i="13"/>
  <c r="T101" i="13"/>
  <c r="U101" i="13"/>
  <c r="X82" i="13"/>
  <c r="W85" i="13"/>
  <c r="W89" i="13"/>
  <c r="W87" i="13"/>
  <c r="W90" i="13"/>
  <c r="W94" i="13"/>
  <c r="W98" i="13"/>
  <c r="W102" i="13"/>
  <c r="W86" i="13"/>
  <c r="W91" i="13"/>
  <c r="W95" i="13"/>
  <c r="W99" i="13"/>
  <c r="W88" i="13"/>
  <c r="W92" i="13"/>
  <c r="W96" i="13"/>
  <c r="W100" i="13"/>
  <c r="W84" i="13"/>
  <c r="W93" i="13"/>
  <c r="W97" i="13"/>
  <c r="W101" i="13"/>
  <c r="R26" i="16"/>
  <c r="AB325" i="11"/>
  <c r="R28" i="16" l="1"/>
  <c r="Y11" i="13"/>
  <c r="X13" i="13"/>
  <c r="X15" i="13"/>
  <c r="X16" i="13"/>
  <c r="X17" i="13"/>
  <c r="X14" i="13"/>
  <c r="X18" i="13"/>
  <c r="X19" i="13"/>
  <c r="G102" i="13"/>
  <c r="H102" i="13"/>
  <c r="F102" i="13"/>
  <c r="E103" i="13"/>
  <c r="I102" i="13"/>
  <c r="J102" i="13"/>
  <c r="K102" i="13"/>
  <c r="L102" i="13"/>
  <c r="M102" i="13"/>
  <c r="N102" i="13"/>
  <c r="O102" i="13"/>
  <c r="P102" i="13"/>
  <c r="Q102" i="13"/>
  <c r="R102" i="13"/>
  <c r="S102" i="13"/>
  <c r="T102" i="13"/>
  <c r="U102" i="13"/>
  <c r="V102" i="13"/>
  <c r="X84" i="13"/>
  <c r="X88" i="13"/>
  <c r="Y82" i="13"/>
  <c r="X86" i="13"/>
  <c r="X89" i="13"/>
  <c r="X93" i="13"/>
  <c r="X97" i="13"/>
  <c r="X101" i="13"/>
  <c r="X85" i="13"/>
  <c r="X90" i="13"/>
  <c r="X94" i="13"/>
  <c r="X98" i="13"/>
  <c r="X102" i="13"/>
  <c r="X87" i="13"/>
  <c r="X91" i="13"/>
  <c r="X95" i="13"/>
  <c r="X99" i="13"/>
  <c r="X103" i="13"/>
  <c r="X92" i="13"/>
  <c r="X96" i="13"/>
  <c r="X100" i="13"/>
  <c r="H40" i="13"/>
  <c r="F40" i="13"/>
  <c r="E41" i="13"/>
  <c r="G40" i="13"/>
  <c r="I40" i="13"/>
  <c r="J40" i="13"/>
  <c r="K40" i="13"/>
  <c r="L40" i="13"/>
  <c r="M40" i="13"/>
  <c r="N40" i="13"/>
  <c r="O40" i="13"/>
  <c r="P40" i="13"/>
  <c r="Q40" i="13"/>
  <c r="R40" i="13"/>
  <c r="S40" i="13"/>
  <c r="T40" i="13"/>
  <c r="U40" i="13"/>
  <c r="V40" i="13"/>
  <c r="X23" i="13"/>
  <c r="X27" i="13"/>
  <c r="X31" i="13"/>
  <c r="X24" i="13"/>
  <c r="X28" i="13"/>
  <c r="X32" i="13"/>
  <c r="X36" i="13"/>
  <c r="X25" i="13"/>
  <c r="X29" i="13"/>
  <c r="Y21" i="13"/>
  <c r="X26" i="13"/>
  <c r="X30" i="13"/>
  <c r="X34" i="13"/>
  <c r="X38" i="13"/>
  <c r="X33" i="13"/>
  <c r="X40" i="13"/>
  <c r="X35" i="13"/>
  <c r="X41" i="13"/>
  <c r="X37" i="13"/>
  <c r="X39" i="13"/>
  <c r="X3" i="13"/>
  <c r="X4" i="13"/>
  <c r="X5" i="13"/>
  <c r="X6" i="13"/>
  <c r="X7" i="13"/>
  <c r="X8" i="13"/>
  <c r="X9" i="13"/>
  <c r="Y1" i="13"/>
  <c r="S26" i="16"/>
  <c r="AC325" i="11"/>
  <c r="S28" i="16" l="1"/>
  <c r="G41" i="13"/>
  <c r="H41" i="13"/>
  <c r="F41" i="13"/>
  <c r="E42" i="13"/>
  <c r="Y42" i="13" s="1"/>
  <c r="I41" i="13"/>
  <c r="J41" i="13"/>
  <c r="K41" i="13"/>
  <c r="L41" i="13"/>
  <c r="M41" i="13"/>
  <c r="N41" i="13"/>
  <c r="O41" i="13"/>
  <c r="P41" i="13"/>
  <c r="Q41" i="13"/>
  <c r="R41" i="13"/>
  <c r="S41" i="13"/>
  <c r="T41" i="13"/>
  <c r="U41" i="13"/>
  <c r="V41" i="13"/>
  <c r="W41" i="13"/>
  <c r="F103" i="13"/>
  <c r="E104" i="13"/>
  <c r="G103" i="13"/>
  <c r="H103" i="13"/>
  <c r="I103" i="13"/>
  <c r="J103" i="13"/>
  <c r="K103" i="13"/>
  <c r="L103" i="13"/>
  <c r="M103" i="13"/>
  <c r="N103" i="13"/>
  <c r="O103" i="13"/>
  <c r="P103" i="13"/>
  <c r="Q103" i="13"/>
  <c r="R103" i="13"/>
  <c r="S103" i="13"/>
  <c r="T103" i="13"/>
  <c r="U103" i="13"/>
  <c r="V103" i="13"/>
  <c r="W103" i="13"/>
  <c r="Y3" i="13"/>
  <c r="Y4" i="13"/>
  <c r="Y5" i="13"/>
  <c r="Y6" i="13"/>
  <c r="Y7" i="13"/>
  <c r="Y8" i="13"/>
  <c r="Y9" i="13"/>
  <c r="Z1" i="13"/>
  <c r="Z21" i="13"/>
  <c r="Y26" i="13"/>
  <c r="Y30" i="13"/>
  <c r="Y23" i="13"/>
  <c r="Y27" i="13"/>
  <c r="Y31" i="13"/>
  <c r="Y35" i="13"/>
  <c r="Y24" i="13"/>
  <c r="Y28" i="13"/>
  <c r="Y25" i="13"/>
  <c r="Y29" i="13"/>
  <c r="Y33" i="13"/>
  <c r="Y37" i="13"/>
  <c r="Y32" i="13"/>
  <c r="Y39" i="13"/>
  <c r="Y34" i="13"/>
  <c r="Y40" i="13"/>
  <c r="Y36" i="13"/>
  <c r="Y41" i="13"/>
  <c r="Y38" i="13"/>
  <c r="Y87" i="13"/>
  <c r="Z82" i="13"/>
  <c r="Y85" i="13"/>
  <c r="Y84" i="13"/>
  <c r="Y92" i="13"/>
  <c r="Y96" i="13"/>
  <c r="Y100" i="13"/>
  <c r="Y104" i="13"/>
  <c r="Y89" i="13"/>
  <c r="Y93" i="13"/>
  <c r="Y97" i="13"/>
  <c r="Y101" i="13"/>
  <c r="Y86" i="13"/>
  <c r="Y90" i="13"/>
  <c r="Y94" i="13"/>
  <c r="Y98" i="13"/>
  <c r="Y102" i="13"/>
  <c r="Y88" i="13"/>
  <c r="Y91" i="13"/>
  <c r="Y95" i="13"/>
  <c r="Y99" i="13"/>
  <c r="Y103" i="13"/>
  <c r="Y13" i="13"/>
  <c r="Y14" i="13"/>
  <c r="Z11" i="13"/>
  <c r="Y15" i="13"/>
  <c r="Y16" i="13"/>
  <c r="Y17" i="13"/>
  <c r="Y18" i="13"/>
  <c r="Y19" i="13"/>
  <c r="T26" i="16"/>
  <c r="AD325" i="11"/>
  <c r="T28" i="16" l="1"/>
  <c r="F42" i="13"/>
  <c r="E43" i="13"/>
  <c r="G42" i="13"/>
  <c r="H42" i="13"/>
  <c r="I42" i="13"/>
  <c r="J42" i="13"/>
  <c r="K42" i="13"/>
  <c r="L42" i="13"/>
  <c r="M42" i="13"/>
  <c r="N42" i="13"/>
  <c r="O42" i="13"/>
  <c r="P42" i="13"/>
  <c r="Q42" i="13"/>
  <c r="R42" i="13"/>
  <c r="S42" i="13"/>
  <c r="T42" i="13"/>
  <c r="U42" i="13"/>
  <c r="V42" i="13"/>
  <c r="W42" i="13"/>
  <c r="X42" i="13"/>
  <c r="Z13" i="13"/>
  <c r="Z14" i="13"/>
  <c r="Z15" i="13"/>
  <c r="AA11" i="13"/>
  <c r="Z16" i="13"/>
  <c r="Z17" i="13"/>
  <c r="Z19" i="13"/>
  <c r="Z18" i="13"/>
  <c r="AA82" i="13"/>
  <c r="Z86" i="13"/>
  <c r="Z84" i="13"/>
  <c r="Z88" i="13"/>
  <c r="Z91" i="13"/>
  <c r="Z95" i="13"/>
  <c r="Z99" i="13"/>
  <c r="Z103" i="13"/>
  <c r="Z92" i="13"/>
  <c r="Z96" i="13"/>
  <c r="Z100" i="13"/>
  <c r="Z104" i="13"/>
  <c r="Z85" i="13"/>
  <c r="Z89" i="13"/>
  <c r="Z93" i="13"/>
  <c r="Z97" i="13"/>
  <c r="Z101" i="13"/>
  <c r="Z87" i="13"/>
  <c r="Z90" i="13"/>
  <c r="Z94" i="13"/>
  <c r="Z98" i="13"/>
  <c r="Z102" i="13"/>
  <c r="AA21" i="13"/>
  <c r="Z25" i="13"/>
  <c r="Z29" i="13"/>
  <c r="Z26" i="13"/>
  <c r="Z30" i="13"/>
  <c r="Z34" i="13"/>
  <c r="Z38" i="13"/>
  <c r="Z23" i="13"/>
  <c r="Z27" i="13"/>
  <c r="Z24" i="13"/>
  <c r="Z28" i="13"/>
  <c r="Z32" i="13"/>
  <c r="Z36" i="13"/>
  <c r="Z31" i="13"/>
  <c r="Z42" i="13"/>
  <c r="Z33" i="13"/>
  <c r="Z39" i="13"/>
  <c r="Z43" i="13"/>
  <c r="Z35" i="13"/>
  <c r="Z40" i="13"/>
  <c r="Z37" i="13"/>
  <c r="Z41" i="13"/>
  <c r="AA1" i="13"/>
  <c r="Z5" i="13"/>
  <c r="Z6" i="13"/>
  <c r="Z3" i="13"/>
  <c r="Z7" i="13"/>
  <c r="Z8" i="13"/>
  <c r="Z9" i="13"/>
  <c r="Z4" i="13"/>
  <c r="F104" i="13"/>
  <c r="E105" i="13"/>
  <c r="G104" i="13"/>
  <c r="H104" i="13"/>
  <c r="I104" i="13"/>
  <c r="J104" i="13"/>
  <c r="K104" i="13"/>
  <c r="L104" i="13"/>
  <c r="M104" i="13"/>
  <c r="N104" i="13"/>
  <c r="O104" i="13"/>
  <c r="P104" i="13"/>
  <c r="Q104" i="13"/>
  <c r="R104" i="13"/>
  <c r="S104" i="13"/>
  <c r="T104" i="13"/>
  <c r="U104" i="13"/>
  <c r="V104" i="13"/>
  <c r="W104" i="13"/>
  <c r="X104" i="13"/>
  <c r="U26" i="16"/>
  <c r="AE325" i="11"/>
  <c r="U28" i="16" l="1"/>
  <c r="H105" i="13"/>
  <c r="F105" i="13"/>
  <c r="E106" i="13"/>
  <c r="G105" i="13"/>
  <c r="I105" i="13"/>
  <c r="J105" i="13"/>
  <c r="K105" i="13"/>
  <c r="L105" i="13"/>
  <c r="M105" i="13"/>
  <c r="N105" i="13"/>
  <c r="O105" i="13"/>
  <c r="P105" i="13"/>
  <c r="Q105" i="13"/>
  <c r="R105" i="13"/>
  <c r="S105" i="13"/>
  <c r="T105" i="13"/>
  <c r="U105" i="13"/>
  <c r="V105" i="13"/>
  <c r="W105" i="13"/>
  <c r="X105" i="13"/>
  <c r="Y105" i="13"/>
  <c r="AB21" i="13"/>
  <c r="AA24" i="13"/>
  <c r="AA28" i="13"/>
  <c r="AA25" i="13"/>
  <c r="AA29" i="13"/>
  <c r="AA33" i="13"/>
  <c r="AA37" i="13"/>
  <c r="AA26" i="13"/>
  <c r="AA23" i="13"/>
  <c r="AA27" i="13"/>
  <c r="AA31" i="13"/>
  <c r="AA35" i="13"/>
  <c r="AA30" i="13"/>
  <c r="AA38" i="13"/>
  <c r="AA41" i="13"/>
  <c r="AA32" i="13"/>
  <c r="AA42" i="13"/>
  <c r="AA34" i="13"/>
  <c r="AA39" i="13"/>
  <c r="AA43" i="13"/>
  <c r="AA36" i="13"/>
  <c r="AA40" i="13"/>
  <c r="AA14" i="13"/>
  <c r="AA15" i="13"/>
  <c r="AA16" i="13"/>
  <c r="AA17" i="13"/>
  <c r="AA18" i="13"/>
  <c r="AA19" i="13"/>
  <c r="AB11" i="13"/>
  <c r="AA13" i="13"/>
  <c r="AA3" i="13"/>
  <c r="AA4" i="13"/>
  <c r="AA5" i="13"/>
  <c r="AA6" i="13"/>
  <c r="AB1" i="13"/>
  <c r="AA7" i="13"/>
  <c r="AA8" i="13"/>
  <c r="AA9" i="13"/>
  <c r="Z105" i="13"/>
  <c r="F43" i="13"/>
  <c r="E44" i="13"/>
  <c r="G43" i="13"/>
  <c r="H43" i="13"/>
  <c r="I43" i="13"/>
  <c r="J43" i="13"/>
  <c r="K43" i="13"/>
  <c r="L43" i="13"/>
  <c r="M43" i="13"/>
  <c r="N43" i="13"/>
  <c r="O43" i="13"/>
  <c r="P43" i="13"/>
  <c r="Q43" i="13"/>
  <c r="R43" i="13"/>
  <c r="S43" i="13"/>
  <c r="T43" i="13"/>
  <c r="U43" i="13"/>
  <c r="V43" i="13"/>
  <c r="W43" i="13"/>
  <c r="X43" i="13"/>
  <c r="Y43" i="13"/>
  <c r="AB82" i="13"/>
  <c r="AA85" i="13"/>
  <c r="AA89" i="13"/>
  <c r="AA87" i="13"/>
  <c r="AA88" i="13"/>
  <c r="AA90" i="13"/>
  <c r="AA94" i="13"/>
  <c r="AA98" i="13"/>
  <c r="AA102" i="13"/>
  <c r="AA106" i="13"/>
  <c r="AA84" i="13"/>
  <c r="AA91" i="13"/>
  <c r="AA95" i="13"/>
  <c r="AA99" i="13"/>
  <c r="AA103" i="13"/>
  <c r="AA92" i="13"/>
  <c r="AA96" i="13"/>
  <c r="AA100" i="13"/>
  <c r="AA104" i="13"/>
  <c r="AA86" i="13"/>
  <c r="AA93" i="13"/>
  <c r="AA97" i="13"/>
  <c r="AA101" i="13"/>
  <c r="AA105" i="13"/>
  <c r="V26" i="16"/>
  <c r="AF325" i="11"/>
  <c r="V28" i="16" l="1"/>
  <c r="AB84" i="13"/>
  <c r="AB88" i="13"/>
  <c r="AC82" i="13"/>
  <c r="AB86" i="13"/>
  <c r="AB87" i="13"/>
  <c r="AB93" i="13"/>
  <c r="AB97" i="13"/>
  <c r="AB101" i="13"/>
  <c r="AB105" i="13"/>
  <c r="AB90" i="13"/>
  <c r="AB94" i="13"/>
  <c r="AB98" i="13"/>
  <c r="AB102" i="13"/>
  <c r="AB106" i="13"/>
  <c r="AB91" i="13"/>
  <c r="AB95" i="13"/>
  <c r="AB99" i="13"/>
  <c r="AB103" i="13"/>
  <c r="AB85" i="13"/>
  <c r="AB89" i="13"/>
  <c r="AB92" i="13"/>
  <c r="AB96" i="13"/>
  <c r="AB100" i="13"/>
  <c r="AB104" i="13"/>
  <c r="H44" i="13"/>
  <c r="F44" i="13"/>
  <c r="E45" i="13"/>
  <c r="G44" i="13"/>
  <c r="I44" i="13"/>
  <c r="J44" i="13"/>
  <c r="K44" i="13"/>
  <c r="L44" i="13"/>
  <c r="M44" i="13"/>
  <c r="N44" i="13"/>
  <c r="O44" i="13"/>
  <c r="P44" i="13"/>
  <c r="Q44" i="13"/>
  <c r="R44" i="13"/>
  <c r="S44" i="13"/>
  <c r="T44" i="13"/>
  <c r="U44" i="13"/>
  <c r="V44" i="13"/>
  <c r="W44" i="13"/>
  <c r="X44" i="13"/>
  <c r="Y44" i="13"/>
  <c r="Z44" i="13"/>
  <c r="AC11" i="13"/>
  <c r="AB13" i="13"/>
  <c r="AB14" i="13"/>
  <c r="AB15" i="13"/>
  <c r="AB16" i="13"/>
  <c r="AB17" i="13"/>
  <c r="AB18" i="13"/>
  <c r="AB19" i="13"/>
  <c r="G106" i="13"/>
  <c r="H106" i="13"/>
  <c r="F106" i="13"/>
  <c r="E107" i="13"/>
  <c r="AB107" i="13" s="1"/>
  <c r="I106" i="13"/>
  <c r="J106" i="13"/>
  <c r="K106" i="13"/>
  <c r="L106" i="13"/>
  <c r="M106" i="13"/>
  <c r="N106" i="13"/>
  <c r="O106" i="13"/>
  <c r="P106" i="13"/>
  <c r="Q106" i="13"/>
  <c r="R106" i="13"/>
  <c r="S106" i="13"/>
  <c r="T106" i="13"/>
  <c r="U106" i="13"/>
  <c r="V106" i="13"/>
  <c r="W106" i="13"/>
  <c r="X106" i="13"/>
  <c r="Y106" i="13"/>
  <c r="Z106" i="13"/>
  <c r="AA44" i="13"/>
  <c r="AB23" i="13"/>
  <c r="AB27" i="13"/>
  <c r="AC21" i="13"/>
  <c r="AB24" i="13"/>
  <c r="AB28" i="13"/>
  <c r="AB32" i="13"/>
  <c r="AB36" i="13"/>
  <c r="AB25" i="13"/>
  <c r="AB29" i="13"/>
  <c r="AB26" i="13"/>
  <c r="AB30" i="13"/>
  <c r="AB34" i="13"/>
  <c r="AB38" i="13"/>
  <c r="AB37" i="13"/>
  <c r="AB40" i="13"/>
  <c r="AB44" i="13"/>
  <c r="AB31" i="13"/>
  <c r="AB41" i="13"/>
  <c r="AB45" i="13"/>
  <c r="AB33" i="13"/>
  <c r="AB42" i="13"/>
  <c r="AB35" i="13"/>
  <c r="AB39" i="13"/>
  <c r="AB43" i="13"/>
  <c r="AB3" i="13"/>
  <c r="AB4" i="13"/>
  <c r="AB5" i="13"/>
  <c r="AB6" i="13"/>
  <c r="AB7" i="13"/>
  <c r="AB8" i="13"/>
  <c r="AB9" i="13"/>
  <c r="AC1" i="13"/>
  <c r="W26" i="16"/>
  <c r="AG325" i="11"/>
  <c r="W28" i="16" l="1"/>
  <c r="AD21" i="13"/>
  <c r="AC26" i="13"/>
  <c r="AC30" i="13"/>
  <c r="AC23" i="13"/>
  <c r="AC27" i="13"/>
  <c r="AC31" i="13"/>
  <c r="AC35" i="13"/>
  <c r="AC24" i="13"/>
  <c r="AC28" i="13"/>
  <c r="AC25" i="13"/>
  <c r="AC29" i="13"/>
  <c r="AC33" i="13"/>
  <c r="AC37" i="13"/>
  <c r="AC36" i="13"/>
  <c r="AC39" i="13"/>
  <c r="AC43" i="13"/>
  <c r="AC38" i="13"/>
  <c r="AC40" i="13"/>
  <c r="AC44" i="13"/>
  <c r="AC32" i="13"/>
  <c r="AC41" i="13"/>
  <c r="AC34" i="13"/>
  <c r="AC42" i="13"/>
  <c r="AC45" i="13"/>
  <c r="AC87" i="13"/>
  <c r="AD82" i="13"/>
  <c r="AC85" i="13"/>
  <c r="AC86" i="13"/>
  <c r="AC89" i="13"/>
  <c r="AC92" i="13"/>
  <c r="AC96" i="13"/>
  <c r="AC100" i="13"/>
  <c r="AC104" i="13"/>
  <c r="AC88" i="13"/>
  <c r="AC93" i="13"/>
  <c r="AC97" i="13"/>
  <c r="AC101" i="13"/>
  <c r="AC105" i="13"/>
  <c r="AC84" i="13"/>
  <c r="AC90" i="13"/>
  <c r="AC94" i="13"/>
  <c r="AC98" i="13"/>
  <c r="AC102" i="13"/>
  <c r="AC106" i="13"/>
  <c r="AC91" i="13"/>
  <c r="AC95" i="13"/>
  <c r="AC99" i="13"/>
  <c r="AC103" i="13"/>
  <c r="AC107" i="13"/>
  <c r="AC3" i="13"/>
  <c r="AC4" i="13"/>
  <c r="AC5" i="13"/>
  <c r="AC6" i="13"/>
  <c r="AC7" i="13"/>
  <c r="AC8" i="13"/>
  <c r="AC9" i="13"/>
  <c r="AD1" i="13"/>
  <c r="AC13" i="13"/>
  <c r="AD11" i="13"/>
  <c r="AC14" i="13"/>
  <c r="AC15" i="13"/>
  <c r="AC16" i="13"/>
  <c r="AC17" i="13"/>
  <c r="AC18" i="13"/>
  <c r="AC19" i="13"/>
  <c r="H45" i="13"/>
  <c r="F45" i="13"/>
  <c r="E46" i="13"/>
  <c r="G45" i="13"/>
  <c r="I45" i="13"/>
  <c r="J45" i="13"/>
  <c r="K45" i="13"/>
  <c r="L45" i="13"/>
  <c r="M45" i="13"/>
  <c r="N45" i="13"/>
  <c r="O45" i="13"/>
  <c r="P45" i="13"/>
  <c r="Q45" i="13"/>
  <c r="R45" i="13"/>
  <c r="S45" i="13"/>
  <c r="T45" i="13"/>
  <c r="U45" i="13"/>
  <c r="V45" i="13"/>
  <c r="W45" i="13"/>
  <c r="X45" i="13"/>
  <c r="Y45" i="13"/>
  <c r="Z45" i="13"/>
  <c r="AA45" i="13"/>
  <c r="F107" i="13"/>
  <c r="G107" i="13"/>
  <c r="H107" i="13"/>
  <c r="E108" i="13"/>
  <c r="I107" i="13"/>
  <c r="J107" i="13"/>
  <c r="K107" i="13"/>
  <c r="L107" i="13"/>
  <c r="M107" i="13"/>
  <c r="N107" i="13"/>
  <c r="O107" i="13"/>
  <c r="P107" i="13"/>
  <c r="Q107" i="13"/>
  <c r="R107" i="13"/>
  <c r="S107" i="13"/>
  <c r="T107" i="13"/>
  <c r="U107" i="13"/>
  <c r="V107" i="13"/>
  <c r="W107" i="13"/>
  <c r="X107" i="13"/>
  <c r="Y107" i="13"/>
  <c r="Z107" i="13"/>
  <c r="AA107" i="13"/>
  <c r="X26" i="16"/>
  <c r="AH325" i="11"/>
  <c r="X28" i="16" l="1"/>
  <c r="F108" i="13"/>
  <c r="E109" i="13"/>
  <c r="H108" i="13"/>
  <c r="G108" i="13"/>
  <c r="I108" i="13"/>
  <c r="J108" i="13"/>
  <c r="K108" i="13"/>
  <c r="L108" i="13"/>
  <c r="M108" i="13"/>
  <c r="N108" i="13"/>
  <c r="O108" i="13"/>
  <c r="P108" i="13"/>
  <c r="Q108" i="13"/>
  <c r="R108" i="13"/>
  <c r="S108" i="13"/>
  <c r="T108" i="13"/>
  <c r="U108" i="13"/>
  <c r="V108" i="13"/>
  <c r="W108" i="13"/>
  <c r="X108" i="13"/>
  <c r="Y108" i="13"/>
  <c r="Z108" i="13"/>
  <c r="AA108" i="13"/>
  <c r="AB108" i="13"/>
  <c r="AD13" i="13"/>
  <c r="AE11" i="13"/>
  <c r="AD14" i="13"/>
  <c r="AD15" i="13"/>
  <c r="AD16" i="13"/>
  <c r="AD17" i="13"/>
  <c r="AD18" i="13"/>
  <c r="AD19" i="13"/>
  <c r="AE1" i="13"/>
  <c r="AD4" i="13"/>
  <c r="AD7" i="13"/>
  <c r="AD8" i="13"/>
  <c r="AD9" i="13"/>
  <c r="AD5" i="13"/>
  <c r="AD6" i="13"/>
  <c r="AD3" i="13"/>
  <c r="AC108" i="13"/>
  <c r="G46" i="13"/>
  <c r="F46" i="13"/>
  <c r="E47" i="13"/>
  <c r="H46" i="13"/>
  <c r="I46" i="13"/>
  <c r="J46" i="13"/>
  <c r="K46" i="13"/>
  <c r="L46" i="13"/>
  <c r="M46" i="13"/>
  <c r="N46" i="13"/>
  <c r="O46" i="13"/>
  <c r="P46" i="13"/>
  <c r="Q46" i="13"/>
  <c r="R46" i="13"/>
  <c r="S46" i="13"/>
  <c r="T46" i="13"/>
  <c r="U46" i="13"/>
  <c r="V46" i="13"/>
  <c r="W46" i="13"/>
  <c r="X46" i="13"/>
  <c r="Y46" i="13"/>
  <c r="Z46" i="13"/>
  <c r="AA46" i="13"/>
  <c r="AB46" i="13"/>
  <c r="AE82" i="13"/>
  <c r="AD86" i="13"/>
  <c r="AD84" i="13"/>
  <c r="AD88" i="13"/>
  <c r="AD85" i="13"/>
  <c r="AD91" i="13"/>
  <c r="AD95" i="13"/>
  <c r="AD99" i="13"/>
  <c r="AD103" i="13"/>
  <c r="AD87" i="13"/>
  <c r="AD89" i="13"/>
  <c r="AD92" i="13"/>
  <c r="AD96" i="13"/>
  <c r="AD100" i="13"/>
  <c r="AD104" i="13"/>
  <c r="AD108" i="13"/>
  <c r="AD93" i="13"/>
  <c r="AD97" i="13"/>
  <c r="AD101" i="13"/>
  <c r="AD105" i="13"/>
  <c r="AD90" i="13"/>
  <c r="AD94" i="13"/>
  <c r="AD98" i="13"/>
  <c r="AD102" i="13"/>
  <c r="AD106" i="13"/>
  <c r="AD109" i="13"/>
  <c r="AD107" i="13"/>
  <c r="AC46" i="13"/>
  <c r="AD25" i="13"/>
  <c r="AD29" i="13"/>
  <c r="AD26" i="13"/>
  <c r="AD30" i="13"/>
  <c r="AD34" i="13"/>
  <c r="AD38" i="13"/>
  <c r="AE21" i="13"/>
  <c r="AD23" i="13"/>
  <c r="AD27" i="13"/>
  <c r="AD24" i="13"/>
  <c r="AD28" i="13"/>
  <c r="AD32" i="13"/>
  <c r="AD36" i="13"/>
  <c r="AD35" i="13"/>
  <c r="AD42" i="13"/>
  <c r="AD37" i="13"/>
  <c r="AD39" i="13"/>
  <c r="AD43" i="13"/>
  <c r="AD47" i="13"/>
  <c r="AD31" i="13"/>
  <c r="AD40" i="13"/>
  <c r="AD44" i="13"/>
  <c r="AD33" i="13"/>
  <c r="AD41" i="13"/>
  <c r="AD45" i="13"/>
  <c r="AD46" i="13"/>
  <c r="Y26" i="16"/>
  <c r="Y28" i="16" s="1"/>
  <c r="AI325" i="11"/>
  <c r="F47" i="13" l="1"/>
  <c r="E48" i="13"/>
  <c r="H47" i="13"/>
  <c r="G47" i="13"/>
  <c r="I47" i="13"/>
  <c r="J47" i="13"/>
  <c r="K47" i="13"/>
  <c r="L47" i="13"/>
  <c r="M47" i="13"/>
  <c r="N47" i="13"/>
  <c r="O47" i="13"/>
  <c r="P47" i="13"/>
  <c r="Q47" i="13"/>
  <c r="R47" i="13"/>
  <c r="S47" i="13"/>
  <c r="T47" i="13"/>
  <c r="U47" i="13"/>
  <c r="V47" i="13"/>
  <c r="W47" i="13"/>
  <c r="X47" i="13"/>
  <c r="Y47" i="13"/>
  <c r="Z47" i="13"/>
  <c r="AA47" i="13"/>
  <c r="AB47" i="13"/>
  <c r="AC47" i="13"/>
  <c r="AF82" i="13"/>
  <c r="AE85" i="13"/>
  <c r="AE89" i="13"/>
  <c r="AE87" i="13"/>
  <c r="AE90" i="13"/>
  <c r="AE94" i="13"/>
  <c r="AE98" i="13"/>
  <c r="AE102" i="13"/>
  <c r="AE106" i="13"/>
  <c r="AE86" i="13"/>
  <c r="AE91" i="13"/>
  <c r="AE95" i="13"/>
  <c r="AE99" i="13"/>
  <c r="AE103" i="13"/>
  <c r="AE107" i="13"/>
  <c r="AE88" i="13"/>
  <c r="AE92" i="13"/>
  <c r="AE96" i="13"/>
  <c r="AE100" i="13"/>
  <c r="AE104" i="13"/>
  <c r="AE84" i="13"/>
  <c r="AE93" i="13"/>
  <c r="AE97" i="13"/>
  <c r="AE101" i="13"/>
  <c r="AE105" i="13"/>
  <c r="AE109" i="13"/>
  <c r="AE108" i="13"/>
  <c r="AF11" i="13"/>
  <c r="AE13" i="13"/>
  <c r="AE14" i="13"/>
  <c r="AE15" i="13"/>
  <c r="AE16" i="13"/>
  <c r="AE17" i="13"/>
  <c r="AE18" i="13"/>
  <c r="AE19" i="13"/>
  <c r="G109" i="13"/>
  <c r="F109" i="13"/>
  <c r="E110" i="13"/>
  <c r="H109" i="13"/>
  <c r="I109" i="13"/>
  <c r="J109" i="13"/>
  <c r="K109" i="13"/>
  <c r="L109" i="13"/>
  <c r="M109" i="13"/>
  <c r="N109" i="13"/>
  <c r="O109" i="13"/>
  <c r="P109" i="13"/>
  <c r="Q109" i="13"/>
  <c r="R109" i="13"/>
  <c r="S109" i="13"/>
  <c r="T109" i="13"/>
  <c r="U109" i="13"/>
  <c r="V109" i="13"/>
  <c r="W109" i="13"/>
  <c r="X109" i="13"/>
  <c r="Y109" i="13"/>
  <c r="Z109" i="13"/>
  <c r="AA109" i="13"/>
  <c r="AB109" i="13"/>
  <c r="AC109" i="13"/>
  <c r="AF21" i="13"/>
  <c r="AE24" i="13"/>
  <c r="I26" i="11" s="1"/>
  <c r="AE28" i="13"/>
  <c r="I30" i="11" s="1"/>
  <c r="AE25" i="13"/>
  <c r="I27" i="11" s="1"/>
  <c r="AE29" i="13"/>
  <c r="I31" i="11" s="1"/>
  <c r="AE33" i="13"/>
  <c r="I35" i="11" s="1"/>
  <c r="AE37" i="13"/>
  <c r="I39" i="11" s="1"/>
  <c r="AE26" i="13"/>
  <c r="I28" i="11" s="1"/>
  <c r="AE23" i="13"/>
  <c r="I25" i="11" s="1"/>
  <c r="AE27" i="13"/>
  <c r="I29" i="11" s="1"/>
  <c r="AE31" i="13"/>
  <c r="I33" i="11" s="1"/>
  <c r="AE35" i="13"/>
  <c r="I37" i="11" s="1"/>
  <c r="AE34" i="13"/>
  <c r="I36" i="11" s="1"/>
  <c r="AE41" i="13"/>
  <c r="I43" i="11" s="1"/>
  <c r="AE30" i="13"/>
  <c r="I32" i="11" s="1"/>
  <c r="AE36" i="13"/>
  <c r="I38" i="11" s="1"/>
  <c r="AE42" i="13"/>
  <c r="I44" i="11" s="1"/>
  <c r="AE46" i="13"/>
  <c r="I48" i="11" s="1"/>
  <c r="AE38" i="13"/>
  <c r="I40" i="11" s="1"/>
  <c r="AE39" i="13"/>
  <c r="I41" i="11" s="1"/>
  <c r="AE43" i="13"/>
  <c r="I45" i="11" s="1"/>
  <c r="AE32" i="13"/>
  <c r="I34" i="11" s="1"/>
  <c r="AE40" i="13"/>
  <c r="I42" i="11" s="1"/>
  <c r="AE44" i="13"/>
  <c r="I46" i="11" s="1"/>
  <c r="AE48" i="13"/>
  <c r="AE45" i="13"/>
  <c r="I47" i="11" s="1"/>
  <c r="AE47" i="13"/>
  <c r="AE3" i="13"/>
  <c r="AE4" i="13"/>
  <c r="AE5" i="13"/>
  <c r="AE6" i="13"/>
  <c r="AF1" i="13"/>
  <c r="AE7" i="13"/>
  <c r="AE8" i="13"/>
  <c r="AE9" i="13"/>
  <c r="Z26" i="16"/>
  <c r="Z28" i="16" s="1"/>
  <c r="AJ325" i="11"/>
  <c r="I49" i="11" l="1"/>
  <c r="H110" i="13"/>
  <c r="F110" i="13"/>
  <c r="E111" i="13"/>
  <c r="G110" i="13"/>
  <c r="I110" i="13"/>
  <c r="J110" i="13"/>
  <c r="K110" i="13"/>
  <c r="L110" i="13"/>
  <c r="M110" i="13"/>
  <c r="N110" i="13"/>
  <c r="O110" i="13"/>
  <c r="P110" i="13"/>
  <c r="Q110" i="13"/>
  <c r="R110" i="13"/>
  <c r="S110" i="13"/>
  <c r="T110" i="13"/>
  <c r="U110" i="13"/>
  <c r="V110" i="13"/>
  <c r="W110" i="13"/>
  <c r="X110" i="13"/>
  <c r="Y110" i="13"/>
  <c r="Z110" i="13"/>
  <c r="AA110" i="13"/>
  <c r="AB110" i="13"/>
  <c r="AC110" i="13"/>
  <c r="AD110" i="13"/>
  <c r="AE110" i="13"/>
  <c r="AF23" i="13"/>
  <c r="AF27" i="13"/>
  <c r="AF24" i="13"/>
  <c r="AF28" i="13"/>
  <c r="AF32" i="13"/>
  <c r="AF36" i="13"/>
  <c r="AF25" i="13"/>
  <c r="AF29" i="13"/>
  <c r="AG21" i="13"/>
  <c r="AF26" i="13"/>
  <c r="AF30" i="13"/>
  <c r="AF34" i="13"/>
  <c r="AF38" i="13"/>
  <c r="AF33" i="13"/>
  <c r="AF40" i="13"/>
  <c r="AF35" i="13"/>
  <c r="AF41" i="13"/>
  <c r="AF45" i="13"/>
  <c r="AF37" i="13"/>
  <c r="AF42" i="13"/>
  <c r="AF31" i="13"/>
  <c r="AF39" i="13"/>
  <c r="AF43" i="13"/>
  <c r="AF47" i="13"/>
  <c r="AF44" i="13"/>
  <c r="AF46" i="13"/>
  <c r="AF48" i="13"/>
  <c r="AF84" i="13"/>
  <c r="AF88" i="13"/>
  <c r="AG82" i="13"/>
  <c r="AF86" i="13"/>
  <c r="AF93" i="13"/>
  <c r="AF97" i="13"/>
  <c r="AF101" i="13"/>
  <c r="AF105" i="13"/>
  <c r="AF85" i="13"/>
  <c r="AF90" i="13"/>
  <c r="AF94" i="13"/>
  <c r="AF98" i="13"/>
  <c r="AF102" i="13"/>
  <c r="AF106" i="13"/>
  <c r="AF110" i="13"/>
  <c r="AF87" i="13"/>
  <c r="AF89" i="13"/>
  <c r="AF91" i="13"/>
  <c r="AF95" i="13"/>
  <c r="AF99" i="13"/>
  <c r="AF103" i="13"/>
  <c r="AF92" i="13"/>
  <c r="AF96" i="13"/>
  <c r="AF100" i="13"/>
  <c r="AF104" i="13"/>
  <c r="AF108" i="13"/>
  <c r="AF107" i="13"/>
  <c r="AF109" i="13"/>
  <c r="AF111" i="13"/>
  <c r="G48" i="13"/>
  <c r="F48" i="13"/>
  <c r="I50" i="11" s="1"/>
  <c r="E49" i="13"/>
  <c r="H48" i="13"/>
  <c r="I48" i="13"/>
  <c r="J48" i="13"/>
  <c r="K48" i="13"/>
  <c r="L48" i="13"/>
  <c r="M48" i="13"/>
  <c r="N48" i="13"/>
  <c r="O48" i="13"/>
  <c r="P48" i="13"/>
  <c r="Q48" i="13"/>
  <c r="R48" i="13"/>
  <c r="S48" i="13"/>
  <c r="T48" i="13"/>
  <c r="U48" i="13"/>
  <c r="V48" i="13"/>
  <c r="W48" i="13"/>
  <c r="X48" i="13"/>
  <c r="Y48" i="13"/>
  <c r="Z48" i="13"/>
  <c r="AA48" i="13"/>
  <c r="AB48" i="13"/>
  <c r="AC48" i="13"/>
  <c r="AD48" i="13"/>
  <c r="AF3" i="13"/>
  <c r="AF4" i="13"/>
  <c r="AF5" i="13"/>
  <c r="AF6" i="13"/>
  <c r="AF7" i="13"/>
  <c r="AF8" i="13"/>
  <c r="AF9" i="13"/>
  <c r="AG1" i="13"/>
  <c r="AG11" i="13"/>
  <c r="AF13" i="13"/>
  <c r="AF14" i="13"/>
  <c r="AF15" i="13"/>
  <c r="AF16" i="13"/>
  <c r="AF17" i="13"/>
  <c r="AF18" i="13"/>
  <c r="AF19" i="13"/>
  <c r="AA26" i="16"/>
  <c r="AA28" i="16" s="1"/>
  <c r="AK325" i="11"/>
  <c r="AG13" i="13" l="1"/>
  <c r="AH11" i="13"/>
  <c r="AG14" i="13"/>
  <c r="AG15" i="13"/>
  <c r="AG16" i="13"/>
  <c r="AG17" i="13"/>
  <c r="AG18" i="13"/>
  <c r="AG19" i="13"/>
  <c r="H49" i="13"/>
  <c r="F49" i="13"/>
  <c r="E50" i="13"/>
  <c r="AG50" i="13" s="1"/>
  <c r="G49" i="13"/>
  <c r="I49" i="13"/>
  <c r="J49" i="13"/>
  <c r="K49" i="13"/>
  <c r="L49" i="13"/>
  <c r="M49" i="13"/>
  <c r="N49" i="13"/>
  <c r="O49" i="13"/>
  <c r="P49" i="13"/>
  <c r="Q49" i="13"/>
  <c r="R49" i="13"/>
  <c r="S49" i="13"/>
  <c r="T49" i="13"/>
  <c r="U49" i="13"/>
  <c r="V49" i="13"/>
  <c r="W49" i="13"/>
  <c r="X49" i="13"/>
  <c r="Y49" i="13"/>
  <c r="Z49" i="13"/>
  <c r="AA49" i="13"/>
  <c r="AB49" i="13"/>
  <c r="AC49" i="13"/>
  <c r="AD49" i="13"/>
  <c r="AE49" i="13"/>
  <c r="AH21" i="13"/>
  <c r="AG26" i="13"/>
  <c r="AG30" i="13"/>
  <c r="AG23" i="13"/>
  <c r="AG27" i="13"/>
  <c r="AG31" i="13"/>
  <c r="AG35" i="13"/>
  <c r="AG24" i="13"/>
  <c r="AG28" i="13"/>
  <c r="AG25" i="13"/>
  <c r="AG29" i="13"/>
  <c r="AG33" i="13"/>
  <c r="AG37" i="13"/>
  <c r="AG32" i="13"/>
  <c r="AG39" i="13"/>
  <c r="AG43" i="13"/>
  <c r="AG34" i="13"/>
  <c r="AG40" i="13"/>
  <c r="AG44" i="13"/>
  <c r="AG48" i="13"/>
  <c r="AG36" i="13"/>
  <c r="AG41" i="13"/>
  <c r="AG38" i="13"/>
  <c r="AG42" i="13"/>
  <c r="AG46" i="13"/>
  <c r="AG45" i="13"/>
  <c r="AG47" i="13"/>
  <c r="AG49" i="13"/>
  <c r="AG3" i="13"/>
  <c r="AG4" i="13"/>
  <c r="AG5" i="13"/>
  <c r="AG6" i="13"/>
  <c r="AG7" i="13"/>
  <c r="AG8" i="13"/>
  <c r="AG9" i="13"/>
  <c r="AH1" i="13"/>
  <c r="G111" i="13"/>
  <c r="F111" i="13"/>
  <c r="H111" i="13"/>
  <c r="E112" i="13"/>
  <c r="I111" i="13"/>
  <c r="J111" i="13"/>
  <c r="K111" i="13"/>
  <c r="L111" i="13"/>
  <c r="M111" i="13"/>
  <c r="N111" i="13"/>
  <c r="O111" i="13"/>
  <c r="P111" i="13"/>
  <c r="Q111" i="13"/>
  <c r="R111" i="13"/>
  <c r="S111" i="13"/>
  <c r="T111" i="13"/>
  <c r="U111" i="13"/>
  <c r="V111" i="13"/>
  <c r="W111" i="13"/>
  <c r="X111" i="13"/>
  <c r="Y111" i="13"/>
  <c r="Z111" i="13"/>
  <c r="AA111" i="13"/>
  <c r="AB111" i="13"/>
  <c r="AC111" i="13"/>
  <c r="AD111" i="13"/>
  <c r="AE111" i="13"/>
  <c r="AF49" i="13"/>
  <c r="AG87" i="13"/>
  <c r="AH82" i="13"/>
  <c r="AG85" i="13"/>
  <c r="AG84" i="13"/>
  <c r="AG92" i="13"/>
  <c r="AG96" i="13"/>
  <c r="AG100" i="13"/>
  <c r="AG104" i="13"/>
  <c r="AG93" i="13"/>
  <c r="AG97" i="13"/>
  <c r="AG101" i="13"/>
  <c r="AG105" i="13"/>
  <c r="AG109" i="13"/>
  <c r="AG86" i="13"/>
  <c r="AG90" i="13"/>
  <c r="AG94" i="13"/>
  <c r="AG98" i="13"/>
  <c r="AG102" i="13"/>
  <c r="AG106" i="13"/>
  <c r="AG88" i="13"/>
  <c r="AG89" i="13"/>
  <c r="AG91" i="13"/>
  <c r="AG95" i="13"/>
  <c r="AG99" i="13"/>
  <c r="AG103" i="13"/>
  <c r="AG107" i="13"/>
  <c r="AG111" i="13"/>
  <c r="AG108" i="13"/>
  <c r="AG110" i="13"/>
  <c r="AG112" i="13"/>
  <c r="AB26" i="16"/>
  <c r="AB28" i="16" s="1"/>
  <c r="AL325" i="11"/>
  <c r="I51" i="11" l="1"/>
  <c r="AI82" i="13"/>
  <c r="AH86" i="13"/>
  <c r="AH84" i="13"/>
  <c r="AH88" i="13"/>
  <c r="AH89" i="13"/>
  <c r="AH91" i="13"/>
  <c r="AH95" i="13"/>
  <c r="AH99" i="13"/>
  <c r="AH103" i="13"/>
  <c r="AH92" i="13"/>
  <c r="AH96" i="13"/>
  <c r="AH100" i="13"/>
  <c r="AH104" i="13"/>
  <c r="AH108" i="13"/>
  <c r="AH85" i="13"/>
  <c r="AH93" i="13"/>
  <c r="AH97" i="13"/>
  <c r="AH101" i="13"/>
  <c r="AH105" i="13"/>
  <c r="AH87" i="13"/>
  <c r="AH90" i="13"/>
  <c r="AH94" i="13"/>
  <c r="AH98" i="13"/>
  <c r="AH102" i="13"/>
  <c r="AH106" i="13"/>
  <c r="AH110" i="13"/>
  <c r="AH107" i="13"/>
  <c r="AH109" i="13"/>
  <c r="AH111" i="13"/>
  <c r="AH112" i="13"/>
  <c r="AI21" i="13"/>
  <c r="AH25" i="13"/>
  <c r="AH29" i="13"/>
  <c r="AH26" i="13"/>
  <c r="AH30" i="13"/>
  <c r="AH34" i="13"/>
  <c r="AH38" i="13"/>
  <c r="AH23" i="13"/>
  <c r="AH27" i="13"/>
  <c r="AH24" i="13"/>
  <c r="AH28" i="13"/>
  <c r="AH32" i="13"/>
  <c r="AH36" i="13"/>
  <c r="AH31" i="13"/>
  <c r="AH42" i="13"/>
  <c r="AH33" i="13"/>
  <c r="AH39" i="13"/>
  <c r="AH43" i="13"/>
  <c r="AH47" i="13"/>
  <c r="AH35" i="13"/>
  <c r="AH40" i="13"/>
  <c r="AH44" i="13"/>
  <c r="AH37" i="13"/>
  <c r="AH41" i="13"/>
  <c r="AH45" i="13"/>
  <c r="AH49" i="13"/>
  <c r="AH50" i="13"/>
  <c r="AH46" i="13"/>
  <c r="AH48" i="13"/>
  <c r="G50" i="13"/>
  <c r="F50" i="13"/>
  <c r="E51" i="13"/>
  <c r="AH51" i="13" s="1"/>
  <c r="H50" i="13"/>
  <c r="I50" i="13"/>
  <c r="J50" i="13"/>
  <c r="K50" i="13"/>
  <c r="L50" i="13"/>
  <c r="M50" i="13"/>
  <c r="N50" i="13"/>
  <c r="O50" i="13"/>
  <c r="P50" i="13"/>
  <c r="Q50" i="13"/>
  <c r="R50" i="13"/>
  <c r="S50" i="13"/>
  <c r="T50" i="13"/>
  <c r="U50" i="13"/>
  <c r="V50" i="13"/>
  <c r="W50" i="13"/>
  <c r="X50" i="13"/>
  <c r="Y50" i="13"/>
  <c r="Z50" i="13"/>
  <c r="AA50" i="13"/>
  <c r="AB50" i="13"/>
  <c r="AC50" i="13"/>
  <c r="AD50" i="13"/>
  <c r="AE50" i="13"/>
  <c r="AF50" i="13"/>
  <c r="G112" i="13"/>
  <c r="H112" i="13"/>
  <c r="F112" i="13"/>
  <c r="E113" i="13"/>
  <c r="AH113" i="13" s="1"/>
  <c r="I112" i="13"/>
  <c r="J112" i="13"/>
  <c r="K112" i="13"/>
  <c r="L112" i="13"/>
  <c r="M112" i="13"/>
  <c r="N112" i="13"/>
  <c r="O112" i="13"/>
  <c r="P112" i="13"/>
  <c r="Q112" i="13"/>
  <c r="R112" i="13"/>
  <c r="S112" i="13"/>
  <c r="T112" i="13"/>
  <c r="U112" i="13"/>
  <c r="V112" i="13"/>
  <c r="W112" i="13"/>
  <c r="X112" i="13"/>
  <c r="Y112" i="13"/>
  <c r="Z112" i="13"/>
  <c r="AA112" i="13"/>
  <c r="AB112" i="13"/>
  <c r="AC112" i="13"/>
  <c r="AD112" i="13"/>
  <c r="AE112" i="13"/>
  <c r="AF112" i="13"/>
  <c r="AI1" i="13"/>
  <c r="AH3" i="13"/>
  <c r="AH4" i="13"/>
  <c r="AH5" i="13"/>
  <c r="AH7" i="13"/>
  <c r="AH8" i="13"/>
  <c r="AH9" i="13"/>
  <c r="AH6" i="13"/>
  <c r="AH13" i="13"/>
  <c r="AH14" i="13"/>
  <c r="AH15" i="13"/>
  <c r="AI11" i="13"/>
  <c r="AH19" i="13"/>
  <c r="AH16" i="13"/>
  <c r="AH17" i="13"/>
  <c r="AH18" i="13"/>
  <c r="AC26" i="16"/>
  <c r="AC28" i="16" s="1"/>
  <c r="AM325" i="11"/>
  <c r="I52" i="11" l="1"/>
  <c r="AJ21" i="13"/>
  <c r="AI24" i="13"/>
  <c r="AI28" i="13"/>
  <c r="AI25" i="13"/>
  <c r="AI29" i="13"/>
  <c r="AI33" i="13"/>
  <c r="AI37" i="13"/>
  <c r="AI26" i="13"/>
  <c r="AI23" i="13"/>
  <c r="AI27" i="13"/>
  <c r="AI31" i="13"/>
  <c r="AI35" i="13"/>
  <c r="AI38" i="13"/>
  <c r="AI41" i="13"/>
  <c r="AI32" i="13"/>
  <c r="AI42" i="13"/>
  <c r="AI46" i="13"/>
  <c r="AI50" i="13"/>
  <c r="AI30" i="13"/>
  <c r="AI34" i="13"/>
  <c r="AI39" i="13"/>
  <c r="AI43" i="13"/>
  <c r="AI36" i="13"/>
  <c r="AI40" i="13"/>
  <c r="AI44" i="13"/>
  <c r="AI48" i="13"/>
  <c r="AI49" i="13"/>
  <c r="AI51" i="13"/>
  <c r="AI45" i="13"/>
  <c r="AI47" i="13"/>
  <c r="AI3" i="13"/>
  <c r="AI4" i="13"/>
  <c r="AI5" i="13"/>
  <c r="AI6" i="13"/>
  <c r="AJ1" i="13"/>
  <c r="AI7" i="13"/>
  <c r="AI8" i="13"/>
  <c r="AI9" i="13"/>
  <c r="AI14" i="13"/>
  <c r="AI15" i="13"/>
  <c r="AI16" i="13"/>
  <c r="AI17" i="13"/>
  <c r="AI18" i="13"/>
  <c r="AI19" i="13"/>
  <c r="AJ11" i="13"/>
  <c r="AI13" i="13"/>
  <c r="F113" i="13"/>
  <c r="E114" i="13"/>
  <c r="G113" i="13"/>
  <c r="H113" i="13"/>
  <c r="I113" i="13"/>
  <c r="J113" i="13"/>
  <c r="K113" i="13"/>
  <c r="L113" i="13"/>
  <c r="M113" i="13"/>
  <c r="N113" i="13"/>
  <c r="O113" i="13"/>
  <c r="P113" i="13"/>
  <c r="Q113" i="13"/>
  <c r="R113" i="13"/>
  <c r="S113" i="13"/>
  <c r="T113" i="13"/>
  <c r="U113" i="13"/>
  <c r="V113" i="13"/>
  <c r="W113" i="13"/>
  <c r="X113" i="13"/>
  <c r="Y113" i="13"/>
  <c r="Z113" i="13"/>
  <c r="AA113" i="13"/>
  <c r="AB113" i="13"/>
  <c r="AC113" i="13"/>
  <c r="AD113" i="13"/>
  <c r="AE113" i="13"/>
  <c r="AF113" i="13"/>
  <c r="AG113" i="13"/>
  <c r="F51" i="13"/>
  <c r="E52" i="13"/>
  <c r="AI52" i="13" s="1"/>
  <c r="H51" i="13"/>
  <c r="G51" i="13"/>
  <c r="I51" i="13"/>
  <c r="J51" i="13"/>
  <c r="K51" i="13"/>
  <c r="L51" i="13"/>
  <c r="M51" i="13"/>
  <c r="N51" i="13"/>
  <c r="O51" i="13"/>
  <c r="P51" i="13"/>
  <c r="Q51" i="13"/>
  <c r="R51" i="13"/>
  <c r="S51" i="13"/>
  <c r="T51" i="13"/>
  <c r="U51" i="13"/>
  <c r="V51" i="13"/>
  <c r="W51" i="13"/>
  <c r="X51" i="13"/>
  <c r="Y51" i="13"/>
  <c r="Z51" i="13"/>
  <c r="AA51" i="13"/>
  <c r="AB51" i="13"/>
  <c r="AC51" i="13"/>
  <c r="AD51" i="13"/>
  <c r="AE51" i="13"/>
  <c r="AF51" i="13"/>
  <c r="AG51" i="13"/>
  <c r="AJ82" i="13"/>
  <c r="AI85" i="13"/>
  <c r="AI89" i="13"/>
  <c r="AI87" i="13"/>
  <c r="AI88" i="13"/>
  <c r="AI90" i="13"/>
  <c r="AI94" i="13"/>
  <c r="AI98" i="13"/>
  <c r="AI102" i="13"/>
  <c r="AI106" i="13"/>
  <c r="AI84" i="13"/>
  <c r="AI91" i="13"/>
  <c r="AI95" i="13"/>
  <c r="AI99" i="13"/>
  <c r="AI103" i="13"/>
  <c r="AI107" i="13"/>
  <c r="AI92" i="13"/>
  <c r="AI96" i="13"/>
  <c r="AI100" i="13"/>
  <c r="AI104" i="13"/>
  <c r="AI86" i="13"/>
  <c r="AI93" i="13"/>
  <c r="AI97" i="13"/>
  <c r="AI101" i="13"/>
  <c r="AI105" i="13"/>
  <c r="AI109" i="13"/>
  <c r="AI111" i="13"/>
  <c r="AI112" i="13"/>
  <c r="AI113" i="13"/>
  <c r="AI108" i="13"/>
  <c r="AI114" i="13"/>
  <c r="AI110" i="13"/>
  <c r="AD26" i="16"/>
  <c r="AD28" i="16" s="1"/>
  <c r="AN325" i="11"/>
  <c r="I53" i="11" l="1"/>
  <c r="AJ3" i="13"/>
  <c r="AJ4" i="13"/>
  <c r="AJ5" i="13"/>
  <c r="AJ6" i="13"/>
  <c r="AJ7" i="13"/>
  <c r="AJ8" i="13"/>
  <c r="AJ9" i="13"/>
  <c r="AK1" i="13"/>
  <c r="AJ84" i="13"/>
  <c r="AJ88" i="13"/>
  <c r="AK82" i="13"/>
  <c r="AJ86" i="13"/>
  <c r="AJ87" i="13"/>
  <c r="AJ93" i="13"/>
  <c r="AJ97" i="13"/>
  <c r="AJ101" i="13"/>
  <c r="AJ105" i="13"/>
  <c r="AJ89" i="13"/>
  <c r="AJ90" i="13"/>
  <c r="AJ94" i="13"/>
  <c r="AJ98" i="13"/>
  <c r="AJ102" i="13"/>
  <c r="AJ106" i="13"/>
  <c r="AJ110" i="13"/>
  <c r="AJ91" i="13"/>
  <c r="AJ95" i="13"/>
  <c r="AJ99" i="13"/>
  <c r="AJ103" i="13"/>
  <c r="AJ85" i="13"/>
  <c r="AJ92" i="13"/>
  <c r="AJ96" i="13"/>
  <c r="AJ100" i="13"/>
  <c r="AJ104" i="13"/>
  <c r="AJ108" i="13"/>
  <c r="AJ111" i="13"/>
  <c r="AJ112" i="13"/>
  <c r="AJ107" i="13"/>
  <c r="AJ113" i="13"/>
  <c r="AJ109" i="13"/>
  <c r="AJ114" i="13"/>
  <c r="G52" i="13"/>
  <c r="H52" i="13"/>
  <c r="E53" i="13"/>
  <c r="AJ53" i="13" s="1"/>
  <c r="F52" i="13"/>
  <c r="I52" i="13"/>
  <c r="J52" i="13"/>
  <c r="K52" i="13"/>
  <c r="L52" i="13"/>
  <c r="M52" i="13"/>
  <c r="N52" i="13"/>
  <c r="O52" i="13"/>
  <c r="P52" i="13"/>
  <c r="Q52" i="13"/>
  <c r="R52" i="13"/>
  <c r="S52" i="13"/>
  <c r="T52" i="13"/>
  <c r="U52" i="13"/>
  <c r="V52" i="13"/>
  <c r="W52" i="13"/>
  <c r="X52" i="13"/>
  <c r="Y52" i="13"/>
  <c r="Z52" i="13"/>
  <c r="AA52" i="13"/>
  <c r="AB52" i="13"/>
  <c r="AC52" i="13"/>
  <c r="AD52" i="13"/>
  <c r="AE52" i="13"/>
  <c r="AF52" i="13"/>
  <c r="AG52" i="13"/>
  <c r="AH52" i="13"/>
  <c r="AK11" i="13"/>
  <c r="AJ13" i="13"/>
  <c r="AJ14" i="13"/>
  <c r="AJ15" i="13"/>
  <c r="AJ16" i="13"/>
  <c r="AJ17" i="13"/>
  <c r="AJ18" i="13"/>
  <c r="AJ19" i="13"/>
  <c r="F114" i="13"/>
  <c r="E115" i="13"/>
  <c r="G114" i="13"/>
  <c r="H114" i="13"/>
  <c r="I114" i="13"/>
  <c r="J114" i="13"/>
  <c r="K114" i="13"/>
  <c r="L114" i="13"/>
  <c r="M114" i="13"/>
  <c r="N114" i="13"/>
  <c r="O114" i="13"/>
  <c r="P114" i="13"/>
  <c r="Q114" i="13"/>
  <c r="R114" i="13"/>
  <c r="S114" i="13"/>
  <c r="T114" i="13"/>
  <c r="U114" i="13"/>
  <c r="V114" i="13"/>
  <c r="W114" i="13"/>
  <c r="X114" i="13"/>
  <c r="Y114" i="13"/>
  <c r="Z114" i="13"/>
  <c r="AA114" i="13"/>
  <c r="AB114" i="13"/>
  <c r="AC114" i="13"/>
  <c r="AD114" i="13"/>
  <c r="AE114" i="13"/>
  <c r="AF114" i="13"/>
  <c r="AG114" i="13"/>
  <c r="AH114" i="13"/>
  <c r="AJ23" i="13"/>
  <c r="AJ27" i="13"/>
  <c r="AK21" i="13"/>
  <c r="AJ24" i="13"/>
  <c r="AJ28" i="13"/>
  <c r="AJ32" i="13"/>
  <c r="AJ36" i="13"/>
  <c r="AJ25" i="13"/>
  <c r="AJ29" i="13"/>
  <c r="AJ26" i="13"/>
  <c r="AJ30" i="13"/>
  <c r="AJ34" i="13"/>
  <c r="AJ38" i="13"/>
  <c r="AJ37" i="13"/>
  <c r="AJ40" i="13"/>
  <c r="AJ31" i="13"/>
  <c r="AJ41" i="13"/>
  <c r="AJ45" i="13"/>
  <c r="AJ49" i="13"/>
  <c r="AJ33" i="13"/>
  <c r="AJ42" i="13"/>
  <c r="AJ35" i="13"/>
  <c r="AJ39" i="13"/>
  <c r="AJ43" i="13"/>
  <c r="AJ47" i="13"/>
  <c r="AJ51" i="13"/>
  <c r="AJ48" i="13"/>
  <c r="AJ50" i="13"/>
  <c r="AJ44" i="13"/>
  <c r="AJ52" i="13"/>
  <c r="AJ46" i="13"/>
  <c r="AE26" i="16"/>
  <c r="AE28" i="16" s="1"/>
  <c r="AO325" i="11"/>
  <c r="I54" i="11" l="1"/>
  <c r="AK3" i="13"/>
  <c r="AK4" i="13"/>
  <c r="AK5" i="13"/>
  <c r="AK6" i="13"/>
  <c r="AK7" i="13"/>
  <c r="AK8" i="13"/>
  <c r="AK9" i="13"/>
  <c r="H115" i="13"/>
  <c r="F115" i="13"/>
  <c r="E116" i="13"/>
  <c r="G115" i="13"/>
  <c r="I115" i="13"/>
  <c r="J115" i="13"/>
  <c r="K115" i="13"/>
  <c r="L115" i="13"/>
  <c r="M115" i="13"/>
  <c r="N115" i="13"/>
  <c r="O115" i="13"/>
  <c r="P115" i="13"/>
  <c r="Q115" i="13"/>
  <c r="R115" i="13"/>
  <c r="S115" i="13"/>
  <c r="T115" i="13"/>
  <c r="U115" i="13"/>
  <c r="V115" i="13"/>
  <c r="W115" i="13"/>
  <c r="X115" i="13"/>
  <c r="Y115" i="13"/>
  <c r="Z115" i="13"/>
  <c r="AA115" i="13"/>
  <c r="AB115" i="13"/>
  <c r="AC115" i="13"/>
  <c r="AD115" i="13"/>
  <c r="AE115" i="13"/>
  <c r="AF115" i="13"/>
  <c r="AG115" i="13"/>
  <c r="AH115" i="13"/>
  <c r="AI115" i="13"/>
  <c r="AJ115" i="13"/>
  <c r="AK87" i="13"/>
  <c r="AK85" i="13"/>
  <c r="AK86" i="13"/>
  <c r="AK92" i="13"/>
  <c r="AK96" i="13"/>
  <c r="AK100" i="13"/>
  <c r="AK104" i="13"/>
  <c r="AK88" i="13"/>
  <c r="AK93" i="13"/>
  <c r="AK97" i="13"/>
  <c r="AK101" i="13"/>
  <c r="AK105" i="13"/>
  <c r="AK109" i="13"/>
  <c r="AK84" i="13"/>
  <c r="AK89" i="13"/>
  <c r="AK90" i="13"/>
  <c r="AK94" i="13"/>
  <c r="AK98" i="13"/>
  <c r="AK102" i="13"/>
  <c r="AK106" i="13"/>
  <c r="AK91" i="13"/>
  <c r="AK95" i="13"/>
  <c r="AK99" i="13"/>
  <c r="AK103" i="13"/>
  <c r="AK107" i="13"/>
  <c r="AK111" i="13"/>
  <c r="AK110" i="13"/>
  <c r="AK114" i="13"/>
  <c r="AK115" i="13"/>
  <c r="AK112" i="13"/>
  <c r="AK116" i="13"/>
  <c r="AK108" i="13"/>
  <c r="AK113" i="13"/>
  <c r="AK26" i="13"/>
  <c r="AK30" i="13"/>
  <c r="AK23" i="13"/>
  <c r="AK27" i="13"/>
  <c r="AK31" i="13"/>
  <c r="AK35" i="13"/>
  <c r="AK24" i="13"/>
  <c r="AK28" i="13"/>
  <c r="AK25" i="13"/>
  <c r="AK29" i="13"/>
  <c r="AK33" i="13"/>
  <c r="AK37" i="13"/>
  <c r="AK36" i="13"/>
  <c r="AK39" i="13"/>
  <c r="AK43" i="13"/>
  <c r="AK38" i="13"/>
  <c r="AK40" i="13"/>
  <c r="AK44" i="13"/>
  <c r="AK48" i="13"/>
  <c r="AK32" i="13"/>
  <c r="AK41" i="13"/>
  <c r="AK34" i="13"/>
  <c r="AK42" i="13"/>
  <c r="AK46" i="13"/>
  <c r="AK50" i="13"/>
  <c r="AK47" i="13"/>
  <c r="AK53" i="13"/>
  <c r="AK49" i="13"/>
  <c r="AK51" i="13"/>
  <c r="AK45" i="13"/>
  <c r="AK52" i="13"/>
  <c r="AK13" i="13"/>
  <c r="AK14" i="13"/>
  <c r="AK15" i="13"/>
  <c r="AK16" i="13"/>
  <c r="AK17" i="13"/>
  <c r="AK18" i="13"/>
  <c r="AK19" i="13"/>
  <c r="F53" i="13"/>
  <c r="E54" i="13"/>
  <c r="G53" i="13"/>
  <c r="H53" i="13"/>
  <c r="I53" i="13"/>
  <c r="J53" i="13"/>
  <c r="K53" i="13"/>
  <c r="L53" i="13"/>
  <c r="M53" i="13"/>
  <c r="N53" i="13"/>
  <c r="O53" i="13"/>
  <c r="P53" i="13"/>
  <c r="Q53" i="13"/>
  <c r="R53" i="13"/>
  <c r="S53" i="13"/>
  <c r="T53" i="13"/>
  <c r="U53" i="13"/>
  <c r="V53" i="13"/>
  <c r="W53" i="13"/>
  <c r="X53" i="13"/>
  <c r="Y53" i="13"/>
  <c r="Z53" i="13"/>
  <c r="AA53" i="13"/>
  <c r="AB53" i="13"/>
  <c r="AC53" i="13"/>
  <c r="AD53" i="13"/>
  <c r="AE53" i="13"/>
  <c r="AF53" i="13"/>
  <c r="AG53" i="13"/>
  <c r="AH53" i="13"/>
  <c r="AI53" i="13"/>
  <c r="AF26" i="16"/>
  <c r="AF28" i="16" s="1"/>
  <c r="AP325" i="11"/>
  <c r="I55" i="11" l="1"/>
  <c r="H54" i="13"/>
  <c r="F54" i="13"/>
  <c r="E55" i="13"/>
  <c r="G54" i="13"/>
  <c r="I54" i="13"/>
  <c r="J54" i="13"/>
  <c r="K54" i="13"/>
  <c r="L54" i="13"/>
  <c r="M54" i="13"/>
  <c r="N54" i="13"/>
  <c r="O54" i="13"/>
  <c r="P54" i="13"/>
  <c r="Q54" i="13"/>
  <c r="R54" i="13"/>
  <c r="S54" i="13"/>
  <c r="T54" i="13"/>
  <c r="U54" i="13"/>
  <c r="V54" i="13"/>
  <c r="W54" i="13"/>
  <c r="X54" i="13"/>
  <c r="Y54" i="13"/>
  <c r="Z54" i="13"/>
  <c r="AA54" i="13"/>
  <c r="AB54" i="13"/>
  <c r="AC54" i="13"/>
  <c r="AD54" i="13"/>
  <c r="AE54" i="13"/>
  <c r="AF54" i="13"/>
  <c r="AG54" i="13"/>
  <c r="AH54" i="13"/>
  <c r="AI54" i="13"/>
  <c r="AJ54" i="13"/>
  <c r="AK54" i="13"/>
  <c r="G116" i="13"/>
  <c r="H116" i="13"/>
  <c r="F116" i="13"/>
  <c r="E117" i="13"/>
  <c r="I116" i="13"/>
  <c r="J116" i="13"/>
  <c r="K116" i="13"/>
  <c r="L116" i="13"/>
  <c r="M116" i="13"/>
  <c r="N116" i="13"/>
  <c r="O116" i="13"/>
  <c r="P116" i="13"/>
  <c r="Q116" i="13"/>
  <c r="R116" i="13"/>
  <c r="S116" i="13"/>
  <c r="T116" i="13"/>
  <c r="U116" i="13"/>
  <c r="V116" i="13"/>
  <c r="W116" i="13"/>
  <c r="X116" i="13"/>
  <c r="Y116" i="13"/>
  <c r="Z116" i="13"/>
  <c r="AA116" i="13"/>
  <c r="AB116" i="13"/>
  <c r="AC116" i="13"/>
  <c r="AD116" i="13"/>
  <c r="AE116" i="13"/>
  <c r="AF116" i="13"/>
  <c r="AG116" i="13"/>
  <c r="AH116" i="13"/>
  <c r="AI116" i="13"/>
  <c r="AJ116" i="13"/>
  <c r="AG26" i="16"/>
  <c r="AG28" i="16" s="1"/>
  <c r="AQ325" i="11"/>
  <c r="I56" i="11" l="1"/>
  <c r="G55" i="13"/>
  <c r="H55" i="13"/>
  <c r="F55" i="13"/>
  <c r="E56" i="13"/>
  <c r="I55" i="13"/>
  <c r="J55" i="13"/>
  <c r="K55" i="13"/>
  <c r="L55" i="13"/>
  <c r="M55" i="13"/>
  <c r="N55" i="13"/>
  <c r="O55" i="13"/>
  <c r="P55" i="13"/>
  <c r="Q55" i="13"/>
  <c r="R55" i="13"/>
  <c r="S55" i="13"/>
  <c r="T55" i="13"/>
  <c r="U55" i="13"/>
  <c r="V55" i="13"/>
  <c r="W55" i="13"/>
  <c r="X55" i="13"/>
  <c r="Y55" i="13"/>
  <c r="Z55" i="13"/>
  <c r="AA55" i="13"/>
  <c r="AB55" i="13"/>
  <c r="AC55" i="13"/>
  <c r="AD55" i="13"/>
  <c r="AE55" i="13"/>
  <c r="AF55" i="13"/>
  <c r="AG55" i="13"/>
  <c r="AH55" i="13"/>
  <c r="AI55" i="13"/>
  <c r="AJ55" i="13"/>
  <c r="AK55" i="13"/>
  <c r="F117" i="13"/>
  <c r="E118" i="13"/>
  <c r="G117" i="13"/>
  <c r="H117" i="13"/>
  <c r="I117" i="13"/>
  <c r="J117" i="13"/>
  <c r="K117" i="13"/>
  <c r="L117" i="13"/>
  <c r="M117" i="13"/>
  <c r="N117" i="13"/>
  <c r="O117" i="13"/>
  <c r="P117" i="13"/>
  <c r="Q117" i="13"/>
  <c r="R117" i="13"/>
  <c r="S117" i="13"/>
  <c r="T117" i="13"/>
  <c r="U117" i="13"/>
  <c r="V117" i="13"/>
  <c r="W117" i="13"/>
  <c r="X117" i="13"/>
  <c r="Y117" i="13"/>
  <c r="Z117" i="13"/>
  <c r="AA117" i="13"/>
  <c r="AB117" i="13"/>
  <c r="AC117" i="13"/>
  <c r="AD117" i="13"/>
  <c r="AE117" i="13"/>
  <c r="AF117" i="13"/>
  <c r="AG117" i="13"/>
  <c r="AH117" i="13"/>
  <c r="AI117" i="13"/>
  <c r="AJ117" i="13"/>
  <c r="AK117" i="13"/>
  <c r="AR325" i="11"/>
  <c r="I57" i="11" l="1"/>
  <c r="F56" i="13"/>
  <c r="E57" i="13"/>
  <c r="G56" i="13"/>
  <c r="H56" i="13"/>
  <c r="I56" i="13"/>
  <c r="J56" i="13"/>
  <c r="K56" i="13"/>
  <c r="L56" i="13"/>
  <c r="M56" i="13"/>
  <c r="N56" i="13"/>
  <c r="O56" i="13"/>
  <c r="P56" i="13"/>
  <c r="Q56" i="13"/>
  <c r="R56" i="13"/>
  <c r="S56" i="13"/>
  <c r="T56" i="13"/>
  <c r="U56" i="13"/>
  <c r="V56" i="13"/>
  <c r="W56" i="13"/>
  <c r="X56" i="13"/>
  <c r="Y56" i="13"/>
  <c r="Z56" i="13"/>
  <c r="AA56" i="13"/>
  <c r="AB56" i="13"/>
  <c r="AC56" i="13"/>
  <c r="AD56" i="13"/>
  <c r="AE56" i="13"/>
  <c r="AF56" i="13"/>
  <c r="AG56" i="13"/>
  <c r="AH56" i="13"/>
  <c r="AI56" i="13"/>
  <c r="AJ56" i="13"/>
  <c r="AK56" i="13"/>
  <c r="F118" i="13"/>
  <c r="E119" i="13"/>
  <c r="G118" i="13"/>
  <c r="H118" i="13"/>
  <c r="I118" i="13"/>
  <c r="J118" i="13"/>
  <c r="K118" i="13"/>
  <c r="L118" i="13"/>
  <c r="M118" i="13"/>
  <c r="N118" i="13"/>
  <c r="O118" i="13"/>
  <c r="P118" i="13"/>
  <c r="Q118" i="13"/>
  <c r="R118" i="13"/>
  <c r="S118" i="13"/>
  <c r="T118" i="13"/>
  <c r="U118" i="13"/>
  <c r="V118" i="13"/>
  <c r="W118" i="13"/>
  <c r="X118" i="13"/>
  <c r="Y118" i="13"/>
  <c r="Z118" i="13"/>
  <c r="AA118" i="13"/>
  <c r="AB118" i="13"/>
  <c r="AC118" i="13"/>
  <c r="AD118" i="13"/>
  <c r="AE118" i="13"/>
  <c r="AF118" i="13"/>
  <c r="AG118" i="13"/>
  <c r="AH118" i="13"/>
  <c r="AI118" i="13"/>
  <c r="AJ118" i="13"/>
  <c r="AK118" i="13"/>
  <c r="AS325" i="11"/>
  <c r="I58" i="11" l="1"/>
  <c r="H119" i="13"/>
  <c r="F119" i="13"/>
  <c r="E120" i="13"/>
  <c r="G119" i="13"/>
  <c r="I119" i="13"/>
  <c r="J119" i="13"/>
  <c r="K119" i="13"/>
  <c r="L119" i="13"/>
  <c r="M119" i="13"/>
  <c r="N119" i="13"/>
  <c r="O119" i="13"/>
  <c r="P119" i="13"/>
  <c r="Q119" i="13"/>
  <c r="R119" i="13"/>
  <c r="S119" i="13"/>
  <c r="T119" i="13"/>
  <c r="U119" i="13"/>
  <c r="V119" i="13"/>
  <c r="W119" i="13"/>
  <c r="X119" i="13"/>
  <c r="Y119" i="13"/>
  <c r="Z119" i="13"/>
  <c r="AA119" i="13"/>
  <c r="AB119" i="13"/>
  <c r="AC119" i="13"/>
  <c r="AD119" i="13"/>
  <c r="AE119" i="13"/>
  <c r="AF119" i="13"/>
  <c r="AG119" i="13"/>
  <c r="AH119" i="13"/>
  <c r="AI119" i="13"/>
  <c r="AJ119" i="13"/>
  <c r="AK119" i="13"/>
  <c r="F57" i="13"/>
  <c r="E58" i="13"/>
  <c r="G57" i="13"/>
  <c r="H57" i="13"/>
  <c r="I57" i="13"/>
  <c r="J57" i="13"/>
  <c r="K57" i="13"/>
  <c r="L57" i="13"/>
  <c r="M57" i="13"/>
  <c r="N57" i="13"/>
  <c r="O57" i="13"/>
  <c r="P57" i="13"/>
  <c r="Q57" i="13"/>
  <c r="R57" i="13"/>
  <c r="S57" i="13"/>
  <c r="T57" i="13"/>
  <c r="U57" i="13"/>
  <c r="V57" i="13"/>
  <c r="W57" i="13"/>
  <c r="X57" i="13"/>
  <c r="Y57" i="13"/>
  <c r="Z57" i="13"/>
  <c r="AA57" i="13"/>
  <c r="AB57" i="13"/>
  <c r="AC57" i="13"/>
  <c r="AD57" i="13"/>
  <c r="AE57" i="13"/>
  <c r="AF57" i="13"/>
  <c r="AG57" i="13"/>
  <c r="AH57" i="13"/>
  <c r="AI57" i="13"/>
  <c r="AJ57" i="13"/>
  <c r="AK57" i="13"/>
  <c r="AT325" i="11"/>
  <c r="I59" i="11" l="1"/>
  <c r="H58" i="13"/>
  <c r="F58" i="13"/>
  <c r="E59" i="13"/>
  <c r="G58" i="13"/>
  <c r="I58" i="13"/>
  <c r="J58" i="13"/>
  <c r="K58" i="13"/>
  <c r="L58" i="13"/>
  <c r="M58" i="13"/>
  <c r="N58" i="13"/>
  <c r="O58" i="13"/>
  <c r="P58" i="13"/>
  <c r="Q58" i="13"/>
  <c r="R58" i="13"/>
  <c r="S58" i="13"/>
  <c r="T58" i="13"/>
  <c r="U58" i="13"/>
  <c r="V58" i="13"/>
  <c r="W58" i="13"/>
  <c r="X58" i="13"/>
  <c r="Y58" i="13"/>
  <c r="Z58" i="13"/>
  <c r="AA58" i="13"/>
  <c r="AB58" i="13"/>
  <c r="AC58" i="13"/>
  <c r="AD58" i="13"/>
  <c r="AE58" i="13"/>
  <c r="AF58" i="13"/>
  <c r="AG58" i="13"/>
  <c r="AH58" i="13"/>
  <c r="AI58" i="13"/>
  <c r="AJ58" i="13"/>
  <c r="AK58" i="13"/>
  <c r="G120" i="13"/>
  <c r="H120" i="13"/>
  <c r="F120" i="13"/>
  <c r="E121" i="13"/>
  <c r="I120" i="13"/>
  <c r="J120" i="13"/>
  <c r="K120" i="13"/>
  <c r="L120" i="13"/>
  <c r="M120" i="13"/>
  <c r="N120" i="13"/>
  <c r="O120" i="13"/>
  <c r="P120" i="13"/>
  <c r="Q120" i="13"/>
  <c r="R120" i="13"/>
  <c r="S120" i="13"/>
  <c r="T120" i="13"/>
  <c r="U120" i="13"/>
  <c r="V120" i="13"/>
  <c r="W120" i="13"/>
  <c r="X120" i="13"/>
  <c r="Y120" i="13"/>
  <c r="Z120" i="13"/>
  <c r="AA120" i="13"/>
  <c r="AB120" i="13"/>
  <c r="AC120" i="13"/>
  <c r="AD120" i="13"/>
  <c r="AE120" i="13"/>
  <c r="AF120" i="13"/>
  <c r="AG120" i="13"/>
  <c r="AH120" i="13"/>
  <c r="AI120" i="13"/>
  <c r="AJ120" i="13"/>
  <c r="AK120" i="13"/>
  <c r="AU325" i="11"/>
  <c r="I60" i="11" l="1"/>
  <c r="G59" i="13"/>
  <c r="H59" i="13"/>
  <c r="F59" i="13"/>
  <c r="E60" i="13"/>
  <c r="I59" i="13"/>
  <c r="J59" i="13"/>
  <c r="K59" i="13"/>
  <c r="L59" i="13"/>
  <c r="M59" i="13"/>
  <c r="N59" i="13"/>
  <c r="O59" i="13"/>
  <c r="P59" i="13"/>
  <c r="Q59" i="13"/>
  <c r="R59" i="13"/>
  <c r="S59" i="13"/>
  <c r="T59" i="13"/>
  <c r="U59" i="13"/>
  <c r="V59" i="13"/>
  <c r="W59" i="13"/>
  <c r="X59" i="13"/>
  <c r="Y59" i="13"/>
  <c r="Z59" i="13"/>
  <c r="AA59" i="13"/>
  <c r="AB59" i="13"/>
  <c r="AC59" i="13"/>
  <c r="AD59" i="13"/>
  <c r="AE59" i="13"/>
  <c r="AF59" i="13"/>
  <c r="AG59" i="13"/>
  <c r="AH59" i="13"/>
  <c r="AI59" i="13"/>
  <c r="AJ59" i="13"/>
  <c r="AK59" i="13"/>
  <c r="F121" i="13"/>
  <c r="E122" i="13"/>
  <c r="G121" i="13"/>
  <c r="H121" i="13"/>
  <c r="I121" i="13"/>
  <c r="J121" i="13"/>
  <c r="K121" i="13"/>
  <c r="L121" i="13"/>
  <c r="M121" i="13"/>
  <c r="N121" i="13"/>
  <c r="O121" i="13"/>
  <c r="P121" i="13"/>
  <c r="Q121" i="13"/>
  <c r="R121" i="13"/>
  <c r="S121" i="13"/>
  <c r="T121" i="13"/>
  <c r="U121" i="13"/>
  <c r="V121" i="13"/>
  <c r="W121" i="13"/>
  <c r="X121" i="13"/>
  <c r="Y121" i="13"/>
  <c r="Z121" i="13"/>
  <c r="AA121" i="13"/>
  <c r="AB121" i="13"/>
  <c r="AC121" i="13"/>
  <c r="AD121" i="13"/>
  <c r="AE121" i="13"/>
  <c r="AF121" i="13"/>
  <c r="AG121" i="13"/>
  <c r="AH121" i="13"/>
  <c r="AI121" i="13"/>
  <c r="AJ121" i="13"/>
  <c r="AK121" i="13"/>
  <c r="AV325" i="11"/>
  <c r="I61" i="11" l="1"/>
  <c r="F60" i="13"/>
  <c r="E61" i="13"/>
  <c r="G60" i="13"/>
  <c r="H60" i="13"/>
  <c r="I60" i="13"/>
  <c r="J60" i="13"/>
  <c r="K60" i="13"/>
  <c r="L60" i="13"/>
  <c r="M60" i="13"/>
  <c r="N60" i="13"/>
  <c r="O60" i="13"/>
  <c r="P60" i="13"/>
  <c r="Q60" i="13"/>
  <c r="R60" i="13"/>
  <c r="S60" i="13"/>
  <c r="T60" i="13"/>
  <c r="U60" i="13"/>
  <c r="V60" i="13"/>
  <c r="W60" i="13"/>
  <c r="X60" i="13"/>
  <c r="Y60" i="13"/>
  <c r="Z60" i="13"/>
  <c r="AA60" i="13"/>
  <c r="AB60" i="13"/>
  <c r="AC60" i="13"/>
  <c r="AD60" i="13"/>
  <c r="AE60" i="13"/>
  <c r="AF60" i="13"/>
  <c r="AG60" i="13"/>
  <c r="AH60" i="13"/>
  <c r="AI60" i="13"/>
  <c r="AJ60" i="13"/>
  <c r="AK60" i="13"/>
  <c r="F122" i="13"/>
  <c r="E123" i="13"/>
  <c r="G122" i="13"/>
  <c r="H122" i="13"/>
  <c r="I122" i="13"/>
  <c r="J122" i="13"/>
  <c r="K122" i="13"/>
  <c r="L122" i="13"/>
  <c r="M122" i="13"/>
  <c r="N122" i="13"/>
  <c r="O122" i="13"/>
  <c r="P122" i="13"/>
  <c r="Q122" i="13"/>
  <c r="R122" i="13"/>
  <c r="S122" i="13"/>
  <c r="T122" i="13"/>
  <c r="U122" i="13"/>
  <c r="V122" i="13"/>
  <c r="W122" i="13"/>
  <c r="X122" i="13"/>
  <c r="Y122" i="13"/>
  <c r="Z122" i="13"/>
  <c r="AA122" i="13"/>
  <c r="AB122" i="13"/>
  <c r="AC122" i="13"/>
  <c r="AD122" i="13"/>
  <c r="AE122" i="13"/>
  <c r="AF122" i="13"/>
  <c r="AG122" i="13"/>
  <c r="AH122" i="13"/>
  <c r="AI122" i="13"/>
  <c r="AJ122" i="13"/>
  <c r="AK122" i="13"/>
  <c r="AW325" i="11"/>
  <c r="I62" i="11" l="1"/>
  <c r="H123" i="13"/>
  <c r="F123" i="13"/>
  <c r="E124" i="13"/>
  <c r="G123" i="13"/>
  <c r="I123" i="13"/>
  <c r="J123" i="13"/>
  <c r="K123" i="13"/>
  <c r="L123" i="13"/>
  <c r="M123" i="13"/>
  <c r="N123" i="13"/>
  <c r="O123" i="13"/>
  <c r="P123" i="13"/>
  <c r="Q123" i="13"/>
  <c r="R123" i="13"/>
  <c r="S123" i="13"/>
  <c r="T123" i="13"/>
  <c r="U123" i="13"/>
  <c r="V123" i="13"/>
  <c r="W123" i="13"/>
  <c r="X123" i="13"/>
  <c r="Y123" i="13"/>
  <c r="Z123" i="13"/>
  <c r="AA123" i="13"/>
  <c r="AB123" i="13"/>
  <c r="AC123" i="13"/>
  <c r="AD123" i="13"/>
  <c r="AE123" i="13"/>
  <c r="AF123" i="13"/>
  <c r="AG123" i="13"/>
  <c r="AH123" i="13"/>
  <c r="AI123" i="13"/>
  <c r="AJ123" i="13"/>
  <c r="AK123" i="13"/>
  <c r="F61" i="13"/>
  <c r="E62" i="13"/>
  <c r="G61" i="13"/>
  <c r="H61" i="13"/>
  <c r="I61" i="13"/>
  <c r="J61" i="13"/>
  <c r="K61" i="13"/>
  <c r="L61" i="13"/>
  <c r="M61" i="13"/>
  <c r="N61" i="13"/>
  <c r="O61" i="13"/>
  <c r="P61" i="13"/>
  <c r="Q61" i="13"/>
  <c r="R61" i="13"/>
  <c r="S61" i="13"/>
  <c r="T61" i="13"/>
  <c r="U61" i="13"/>
  <c r="V61" i="13"/>
  <c r="W61" i="13"/>
  <c r="X61" i="13"/>
  <c r="Y61" i="13"/>
  <c r="Z61" i="13"/>
  <c r="AA61" i="13"/>
  <c r="AB61" i="13"/>
  <c r="AC61" i="13"/>
  <c r="AD61" i="13"/>
  <c r="AE61" i="13"/>
  <c r="AF61" i="13"/>
  <c r="AG61" i="13"/>
  <c r="AH61" i="13"/>
  <c r="AI61" i="13"/>
  <c r="AJ61" i="13"/>
  <c r="AK61" i="13"/>
  <c r="AX325" i="11"/>
  <c r="I63" i="11" l="1"/>
  <c r="H62" i="13"/>
  <c r="F62" i="13"/>
  <c r="E63" i="13"/>
  <c r="G62" i="13"/>
  <c r="I62" i="13"/>
  <c r="J62" i="13"/>
  <c r="K62" i="13"/>
  <c r="L62" i="13"/>
  <c r="M62" i="13"/>
  <c r="N62" i="13"/>
  <c r="O62" i="13"/>
  <c r="P62" i="13"/>
  <c r="Q62" i="13"/>
  <c r="R62" i="13"/>
  <c r="S62" i="13"/>
  <c r="T62" i="13"/>
  <c r="U62" i="13"/>
  <c r="V62" i="13"/>
  <c r="W62" i="13"/>
  <c r="X62" i="13"/>
  <c r="Y62" i="13"/>
  <c r="Z62" i="13"/>
  <c r="AA62" i="13"/>
  <c r="AB62" i="13"/>
  <c r="AC62" i="13"/>
  <c r="AD62" i="13"/>
  <c r="AE62" i="13"/>
  <c r="AF62" i="13"/>
  <c r="AG62" i="13"/>
  <c r="AH62" i="13"/>
  <c r="AI62" i="13"/>
  <c r="AJ62" i="13"/>
  <c r="AK62" i="13"/>
  <c r="G124" i="13"/>
  <c r="H124" i="13"/>
  <c r="F124" i="13"/>
  <c r="E125" i="13"/>
  <c r="I124" i="13"/>
  <c r="J124" i="13"/>
  <c r="K124" i="13"/>
  <c r="L124" i="13"/>
  <c r="M124" i="13"/>
  <c r="N124" i="13"/>
  <c r="O124" i="13"/>
  <c r="P124" i="13"/>
  <c r="Q124" i="13"/>
  <c r="R124" i="13"/>
  <c r="S124" i="13"/>
  <c r="T124" i="13"/>
  <c r="U124" i="13"/>
  <c r="V124" i="13"/>
  <c r="W124" i="13"/>
  <c r="X124" i="13"/>
  <c r="Y124" i="13"/>
  <c r="Z124" i="13"/>
  <c r="AA124" i="13"/>
  <c r="AB124" i="13"/>
  <c r="AC124" i="13"/>
  <c r="AD124" i="13"/>
  <c r="AE124" i="13"/>
  <c r="AF124" i="13"/>
  <c r="AG124" i="13"/>
  <c r="AH124" i="13"/>
  <c r="AI124" i="13"/>
  <c r="AJ124" i="13"/>
  <c r="AK124" i="13"/>
  <c r="AY325" i="11"/>
  <c r="I64" i="11" l="1"/>
  <c r="G63" i="13"/>
  <c r="H63" i="13"/>
  <c r="F63" i="13"/>
  <c r="E64" i="13"/>
  <c r="I63" i="13"/>
  <c r="J63" i="13"/>
  <c r="K63" i="13"/>
  <c r="L63" i="13"/>
  <c r="M63" i="13"/>
  <c r="N63" i="13"/>
  <c r="O63" i="13"/>
  <c r="P63" i="13"/>
  <c r="Q63" i="13"/>
  <c r="R63" i="13"/>
  <c r="S63" i="13"/>
  <c r="T63" i="13"/>
  <c r="U63" i="13"/>
  <c r="V63" i="13"/>
  <c r="W63" i="13"/>
  <c r="X63" i="13"/>
  <c r="Y63" i="13"/>
  <c r="Z63" i="13"/>
  <c r="AA63" i="13"/>
  <c r="AB63" i="13"/>
  <c r="AC63" i="13"/>
  <c r="AD63" i="13"/>
  <c r="AE63" i="13"/>
  <c r="AF63" i="13"/>
  <c r="AG63" i="13"/>
  <c r="AH63" i="13"/>
  <c r="AI63" i="13"/>
  <c r="AJ63" i="13"/>
  <c r="AK63" i="13"/>
  <c r="F125" i="13"/>
  <c r="E126" i="13"/>
  <c r="G125" i="13"/>
  <c r="H125" i="13"/>
  <c r="I125" i="13"/>
  <c r="J125" i="13"/>
  <c r="K125" i="13"/>
  <c r="L125" i="13"/>
  <c r="M125" i="13"/>
  <c r="N125" i="13"/>
  <c r="O125" i="13"/>
  <c r="P125" i="13"/>
  <c r="Q125" i="13"/>
  <c r="R125" i="13"/>
  <c r="S125" i="13"/>
  <c r="T125" i="13"/>
  <c r="U125" i="13"/>
  <c r="V125" i="13"/>
  <c r="W125" i="13"/>
  <c r="X125" i="13"/>
  <c r="Y125" i="13"/>
  <c r="Z125" i="13"/>
  <c r="AA125" i="13"/>
  <c r="AB125" i="13"/>
  <c r="AC125" i="13"/>
  <c r="AD125" i="13"/>
  <c r="AE125" i="13"/>
  <c r="AF125" i="13"/>
  <c r="AG125" i="13"/>
  <c r="AH125" i="13"/>
  <c r="AI125" i="13"/>
  <c r="AJ125" i="13"/>
  <c r="AK125" i="13"/>
  <c r="AZ325" i="11"/>
  <c r="X592" i="11"/>
  <c r="I65" i="11" l="1"/>
  <c r="G64" i="13"/>
  <c r="F64" i="13"/>
  <c r="E65" i="13"/>
  <c r="H64" i="13"/>
  <c r="I64" i="13"/>
  <c r="J64" i="13"/>
  <c r="K64" i="13"/>
  <c r="L64" i="13"/>
  <c r="M64" i="13"/>
  <c r="N64" i="13"/>
  <c r="O64" i="13"/>
  <c r="P64" i="13"/>
  <c r="Q64" i="13"/>
  <c r="R64" i="13"/>
  <c r="S64" i="13"/>
  <c r="T64" i="13"/>
  <c r="U64" i="13"/>
  <c r="V64" i="13"/>
  <c r="W64" i="13"/>
  <c r="X64" i="13"/>
  <c r="Y64" i="13"/>
  <c r="Z64" i="13"/>
  <c r="AA64" i="13"/>
  <c r="AB64" i="13"/>
  <c r="AC64" i="13"/>
  <c r="AD64" i="13"/>
  <c r="AE64" i="13"/>
  <c r="AF64" i="13"/>
  <c r="AG64" i="13"/>
  <c r="AH64" i="13"/>
  <c r="AI64" i="13"/>
  <c r="AJ64" i="13"/>
  <c r="AK64" i="13"/>
  <c r="F126" i="13"/>
  <c r="E127" i="13"/>
  <c r="G126" i="13"/>
  <c r="H126" i="13"/>
  <c r="I126" i="13"/>
  <c r="J126" i="13"/>
  <c r="K126" i="13"/>
  <c r="L126" i="13"/>
  <c r="M126" i="13"/>
  <c r="N126" i="13"/>
  <c r="O126" i="13"/>
  <c r="P126" i="13"/>
  <c r="Q126" i="13"/>
  <c r="R126" i="13"/>
  <c r="S126" i="13"/>
  <c r="T126" i="13"/>
  <c r="U126" i="13"/>
  <c r="V126" i="13"/>
  <c r="W126" i="13"/>
  <c r="X126" i="13"/>
  <c r="Y126" i="13"/>
  <c r="Z126" i="13"/>
  <c r="AA126" i="13"/>
  <c r="AB126" i="13"/>
  <c r="AC126" i="13"/>
  <c r="AD126" i="13"/>
  <c r="AE126" i="13"/>
  <c r="AF126" i="13"/>
  <c r="AG126" i="13"/>
  <c r="AH126" i="13"/>
  <c r="AI126" i="13"/>
  <c r="AJ126" i="13"/>
  <c r="AK126" i="13"/>
  <c r="BA325" i="11"/>
  <c r="V571" i="11"/>
  <c r="V573" i="11"/>
  <c r="V570" i="11"/>
  <c r="V572" i="11"/>
  <c r="V574" i="11"/>
  <c r="Y585" i="11"/>
  <c r="Z585" i="11" s="1"/>
  <c r="AA585" i="11" s="1"/>
  <c r="AB585" i="11" s="1"/>
  <c r="AC585" i="11" s="1"/>
  <c r="AD585" i="11" s="1"/>
  <c r="AE585" i="11" s="1"/>
  <c r="AF585" i="11" s="1"/>
  <c r="AG585" i="11" s="1"/>
  <c r="AH585" i="11" s="1"/>
  <c r="AI585" i="11" s="1"/>
  <c r="AJ585" i="11" s="1"/>
  <c r="AK585" i="11" s="1"/>
  <c r="AL585" i="11" s="1"/>
  <c r="AM585" i="11" s="1"/>
  <c r="AN585" i="11" s="1"/>
  <c r="AO585" i="11" s="1"/>
  <c r="AP585" i="11" s="1"/>
  <c r="AQ585" i="11" s="1"/>
  <c r="AR585" i="11" s="1"/>
  <c r="AS585" i="11" s="1"/>
  <c r="AT585" i="11" s="1"/>
  <c r="AU585" i="11" s="1"/>
  <c r="AV585" i="11" s="1"/>
  <c r="AW585" i="11" s="1"/>
  <c r="AX585" i="11" s="1"/>
  <c r="AY585" i="11" s="1"/>
  <c r="AZ585" i="11" s="1"/>
  <c r="BA585" i="11" s="1"/>
  <c r="AH534" i="11"/>
  <c r="AI534" i="11"/>
  <c r="AJ534" i="11"/>
  <c r="AK534" i="11"/>
  <c r="AL534" i="11"/>
  <c r="AM534" i="11"/>
  <c r="AN534" i="11"/>
  <c r="AO534" i="11"/>
  <c r="AP534" i="11"/>
  <c r="AQ534" i="11"/>
  <c r="AR534" i="11"/>
  <c r="AS534" i="11"/>
  <c r="AT534" i="11"/>
  <c r="AU534" i="11"/>
  <c r="AV534" i="11"/>
  <c r="AW534" i="11"/>
  <c r="AX534" i="11"/>
  <c r="AY534" i="11"/>
  <c r="AZ534" i="11"/>
  <c r="BA534" i="11"/>
  <c r="AH531" i="11"/>
  <c r="AI531" i="11"/>
  <c r="AJ531" i="11"/>
  <c r="AK531" i="11"/>
  <c r="AL531" i="11"/>
  <c r="AM531" i="11"/>
  <c r="AN531" i="11"/>
  <c r="AO531" i="11"/>
  <c r="AP531" i="11"/>
  <c r="AQ531" i="11"/>
  <c r="AR531" i="11"/>
  <c r="AS531" i="11"/>
  <c r="AT531" i="11"/>
  <c r="AU531" i="11"/>
  <c r="AV531" i="11"/>
  <c r="AW531" i="11"/>
  <c r="AX531" i="11"/>
  <c r="AY531" i="11"/>
  <c r="AZ531" i="11"/>
  <c r="BA531" i="11"/>
  <c r="AH528" i="11"/>
  <c r="AI528" i="11"/>
  <c r="AJ528" i="11"/>
  <c r="AK528" i="11"/>
  <c r="AL528" i="11"/>
  <c r="AM528" i="11"/>
  <c r="AN528" i="11"/>
  <c r="AO528" i="11"/>
  <c r="AP528" i="11"/>
  <c r="AQ528" i="11"/>
  <c r="AR528" i="11"/>
  <c r="AS528" i="11"/>
  <c r="AT528" i="11"/>
  <c r="AU528" i="11"/>
  <c r="AV528" i="11"/>
  <c r="AW528" i="11"/>
  <c r="AX528" i="11"/>
  <c r="AY528" i="11"/>
  <c r="AZ528" i="11"/>
  <c r="BA528" i="11"/>
  <c r="AH525" i="11"/>
  <c r="AI525" i="11"/>
  <c r="AJ525" i="11"/>
  <c r="AK525" i="11"/>
  <c r="AL525" i="11"/>
  <c r="AM525" i="11"/>
  <c r="AN525" i="11"/>
  <c r="AO525" i="11"/>
  <c r="AP525" i="11"/>
  <c r="AQ525" i="11"/>
  <c r="AR525" i="11"/>
  <c r="AS525" i="11"/>
  <c r="AT525" i="11"/>
  <c r="AU525" i="11"/>
  <c r="AV525" i="11"/>
  <c r="AW525" i="11"/>
  <c r="AX525" i="11"/>
  <c r="AY525" i="11"/>
  <c r="AZ525" i="11"/>
  <c r="BA525" i="11"/>
  <c r="AH522" i="11"/>
  <c r="AI522" i="11"/>
  <c r="AJ522" i="11"/>
  <c r="AK522" i="11"/>
  <c r="AL522" i="11"/>
  <c r="AM522" i="11"/>
  <c r="AN522" i="11"/>
  <c r="AO522" i="11"/>
  <c r="AP522" i="11"/>
  <c r="AQ522" i="11"/>
  <c r="AR522" i="11"/>
  <c r="AS522" i="11"/>
  <c r="AT522" i="11"/>
  <c r="AU522" i="11"/>
  <c r="AV522" i="11"/>
  <c r="AW522" i="11"/>
  <c r="AX522" i="11"/>
  <c r="AY522" i="11"/>
  <c r="AZ522" i="11"/>
  <c r="BA522" i="11"/>
  <c r="AH519" i="11"/>
  <c r="AI519" i="11"/>
  <c r="AJ519" i="11"/>
  <c r="AK519" i="11"/>
  <c r="AL519" i="11"/>
  <c r="AM519" i="11"/>
  <c r="AN519" i="11"/>
  <c r="AO519" i="11"/>
  <c r="AP519" i="11"/>
  <c r="AQ519" i="11"/>
  <c r="AR519" i="11"/>
  <c r="AS519" i="11"/>
  <c r="AT519" i="11"/>
  <c r="AU519" i="11"/>
  <c r="AV519" i="11"/>
  <c r="AW519" i="11"/>
  <c r="AX519" i="11"/>
  <c r="AY519" i="11"/>
  <c r="AZ519" i="11"/>
  <c r="BA519" i="11"/>
  <c r="AH516" i="11"/>
  <c r="AI516" i="11"/>
  <c r="AJ516" i="11"/>
  <c r="AK516" i="11"/>
  <c r="AL516" i="11"/>
  <c r="AM516" i="11"/>
  <c r="AN516" i="11"/>
  <c r="AO516" i="11"/>
  <c r="AP516" i="11"/>
  <c r="AQ516" i="11"/>
  <c r="AR516" i="11"/>
  <c r="AS516" i="11"/>
  <c r="AT516" i="11"/>
  <c r="AU516" i="11"/>
  <c r="AV516" i="11"/>
  <c r="AW516" i="11"/>
  <c r="AX516" i="11"/>
  <c r="AY516" i="11"/>
  <c r="AZ516" i="11"/>
  <c r="BA516" i="11"/>
  <c r="AH513" i="11"/>
  <c r="AI513" i="11"/>
  <c r="AJ513" i="11"/>
  <c r="AK513" i="11"/>
  <c r="AL513" i="11"/>
  <c r="AM513" i="11"/>
  <c r="AN513" i="11"/>
  <c r="AO513" i="11"/>
  <c r="AP513" i="11"/>
  <c r="AQ513" i="11"/>
  <c r="AR513" i="11"/>
  <c r="AS513" i="11"/>
  <c r="AT513" i="11"/>
  <c r="AU513" i="11"/>
  <c r="AV513" i="11"/>
  <c r="AW513" i="11"/>
  <c r="AX513" i="11"/>
  <c r="AY513" i="11"/>
  <c r="AZ513" i="11"/>
  <c r="BA513" i="11"/>
  <c r="AH508" i="11"/>
  <c r="AI508" i="11"/>
  <c r="AJ508" i="11"/>
  <c r="AK508" i="11"/>
  <c r="AL508" i="11"/>
  <c r="AM508" i="11"/>
  <c r="AN508" i="11"/>
  <c r="AO508" i="11"/>
  <c r="AP508" i="11"/>
  <c r="AQ508" i="11"/>
  <c r="AR508" i="11"/>
  <c r="AS508" i="11"/>
  <c r="AT508" i="11"/>
  <c r="AU508" i="11"/>
  <c r="AV508" i="11"/>
  <c r="AW508" i="11"/>
  <c r="AX508" i="11"/>
  <c r="AY508" i="11"/>
  <c r="AZ508" i="11"/>
  <c r="BA508" i="11"/>
  <c r="AH505" i="11"/>
  <c r="AI505" i="11"/>
  <c r="AJ505" i="11"/>
  <c r="AK505" i="11"/>
  <c r="AL505" i="11"/>
  <c r="AM505" i="11"/>
  <c r="AN505" i="11"/>
  <c r="AO505" i="11"/>
  <c r="AP505" i="11"/>
  <c r="AQ505" i="11"/>
  <c r="AR505" i="11"/>
  <c r="AS505" i="11"/>
  <c r="AT505" i="11"/>
  <c r="AU505" i="11"/>
  <c r="AV505" i="11"/>
  <c r="AW505" i="11"/>
  <c r="AX505" i="11"/>
  <c r="AY505" i="11"/>
  <c r="AZ505" i="11"/>
  <c r="BA505" i="11"/>
  <c r="AH500" i="11"/>
  <c r="AI500" i="11"/>
  <c r="AJ500" i="11"/>
  <c r="AK500" i="11"/>
  <c r="AL500" i="11"/>
  <c r="AM500" i="11"/>
  <c r="AN500" i="11"/>
  <c r="AO500" i="11"/>
  <c r="AP500" i="11"/>
  <c r="AQ500" i="11"/>
  <c r="AR500" i="11"/>
  <c r="AS500" i="11"/>
  <c r="AT500" i="11"/>
  <c r="AU500" i="11"/>
  <c r="AV500" i="11"/>
  <c r="AW500" i="11"/>
  <c r="AX500" i="11"/>
  <c r="AY500" i="11"/>
  <c r="AZ500" i="11"/>
  <c r="BA500" i="11"/>
  <c r="AH497" i="11"/>
  <c r="AI497" i="11"/>
  <c r="AJ497" i="11"/>
  <c r="AK497" i="11"/>
  <c r="AL497" i="11"/>
  <c r="AM497" i="11"/>
  <c r="AN497" i="11"/>
  <c r="AO497" i="11"/>
  <c r="AP497" i="11"/>
  <c r="AQ497" i="11"/>
  <c r="AR497" i="11"/>
  <c r="AS497" i="11"/>
  <c r="AT497" i="11"/>
  <c r="AU497" i="11"/>
  <c r="AV497" i="11"/>
  <c r="AW497" i="11"/>
  <c r="AX497" i="11"/>
  <c r="AY497" i="11"/>
  <c r="AZ497" i="11"/>
  <c r="BA497" i="11"/>
  <c r="X528" i="11"/>
  <c r="X531" i="11"/>
  <c r="X534" i="11"/>
  <c r="X525" i="11"/>
  <c r="X522" i="11"/>
  <c r="X519" i="11"/>
  <c r="X516" i="11"/>
  <c r="X513" i="11"/>
  <c r="X508" i="11"/>
  <c r="X505" i="11"/>
  <c r="X500" i="11"/>
  <c r="X497" i="11"/>
  <c r="AH494" i="11"/>
  <c r="AI494" i="11"/>
  <c r="AJ494" i="11"/>
  <c r="AK494" i="11"/>
  <c r="AL494" i="11"/>
  <c r="AM494" i="11"/>
  <c r="AN494" i="11"/>
  <c r="AO494" i="11"/>
  <c r="AP494" i="11"/>
  <c r="AQ494" i="11"/>
  <c r="AR494" i="11"/>
  <c r="AS494" i="11"/>
  <c r="AT494" i="11"/>
  <c r="AU494" i="11"/>
  <c r="AV494" i="11"/>
  <c r="AW494" i="11"/>
  <c r="AX494" i="11"/>
  <c r="AY494" i="11"/>
  <c r="AZ494" i="11"/>
  <c r="BA494" i="11"/>
  <c r="X494" i="11"/>
  <c r="I66" i="11" l="1"/>
  <c r="H127" i="13"/>
  <c r="F127" i="13"/>
  <c r="E128" i="13"/>
  <c r="G127" i="13"/>
  <c r="I127" i="13"/>
  <c r="J127" i="13"/>
  <c r="K127" i="13"/>
  <c r="L127" i="13"/>
  <c r="M127" i="13"/>
  <c r="N127" i="13"/>
  <c r="O127" i="13"/>
  <c r="P127" i="13"/>
  <c r="Q127" i="13"/>
  <c r="R127" i="13"/>
  <c r="S127" i="13"/>
  <c r="T127" i="13"/>
  <c r="U127" i="13"/>
  <c r="V127" i="13"/>
  <c r="W127" i="13"/>
  <c r="X127" i="13"/>
  <c r="Y127" i="13"/>
  <c r="Z127" i="13"/>
  <c r="AA127" i="13"/>
  <c r="AB127" i="13"/>
  <c r="AC127" i="13"/>
  <c r="AD127" i="13"/>
  <c r="AE127" i="13"/>
  <c r="AF127" i="13"/>
  <c r="AG127" i="13"/>
  <c r="AH127" i="13"/>
  <c r="AI127" i="13"/>
  <c r="AJ127" i="13"/>
  <c r="AK127" i="13"/>
  <c r="F65" i="13"/>
  <c r="E66" i="13"/>
  <c r="H65" i="13"/>
  <c r="G65" i="13"/>
  <c r="I65" i="13"/>
  <c r="J65" i="13"/>
  <c r="K65" i="13"/>
  <c r="L65" i="13"/>
  <c r="M65" i="13"/>
  <c r="N65" i="13"/>
  <c r="O65" i="13"/>
  <c r="P65" i="13"/>
  <c r="Q65" i="13"/>
  <c r="R65" i="13"/>
  <c r="S65" i="13"/>
  <c r="T65" i="13"/>
  <c r="U65" i="13"/>
  <c r="V65" i="13"/>
  <c r="W65" i="13"/>
  <c r="X65" i="13"/>
  <c r="Y65" i="13"/>
  <c r="Z65" i="13"/>
  <c r="AA65" i="13"/>
  <c r="AB65" i="13"/>
  <c r="AC65" i="13"/>
  <c r="AD65" i="13"/>
  <c r="AE65" i="13"/>
  <c r="AF65" i="13"/>
  <c r="AG65" i="13"/>
  <c r="AH65" i="13"/>
  <c r="AI65" i="13"/>
  <c r="AJ65" i="13"/>
  <c r="AK65" i="13"/>
  <c r="F227" i="11"/>
  <c r="Y481" i="11"/>
  <c r="Z481" i="11" s="1"/>
  <c r="AA481" i="11" s="1"/>
  <c r="AB481" i="11" s="1"/>
  <c r="AC481" i="11" s="1"/>
  <c r="AD481" i="11" s="1"/>
  <c r="AE481" i="11" s="1"/>
  <c r="AF481" i="11" s="1"/>
  <c r="AG481" i="11" s="1"/>
  <c r="AH481" i="11" s="1"/>
  <c r="AI481" i="11" s="1"/>
  <c r="AJ481" i="11" s="1"/>
  <c r="AK481" i="11" s="1"/>
  <c r="AL481" i="11" s="1"/>
  <c r="AM481" i="11" s="1"/>
  <c r="AN481" i="11" s="1"/>
  <c r="AO481" i="11" s="1"/>
  <c r="AP481" i="11" s="1"/>
  <c r="AQ481" i="11" s="1"/>
  <c r="AR481" i="11" s="1"/>
  <c r="AS481" i="11" s="1"/>
  <c r="AT481" i="11" s="1"/>
  <c r="AU481" i="11" s="1"/>
  <c r="AV481" i="11" s="1"/>
  <c r="AW481" i="11" s="1"/>
  <c r="AX481" i="11" s="1"/>
  <c r="AY481" i="11" s="1"/>
  <c r="AZ481" i="11" s="1"/>
  <c r="BA481" i="11" s="1"/>
  <c r="BA457" i="11"/>
  <c r="AZ457" i="11"/>
  <c r="AY457" i="11"/>
  <c r="AX457" i="11"/>
  <c r="AW457" i="11"/>
  <c r="AV457" i="11"/>
  <c r="AU457" i="11"/>
  <c r="AT457" i="11"/>
  <c r="AS457" i="11"/>
  <c r="AR457" i="11"/>
  <c r="AQ457" i="11"/>
  <c r="AP457" i="11"/>
  <c r="AO457" i="11"/>
  <c r="AN457" i="11"/>
  <c r="AM457" i="11"/>
  <c r="AL457" i="11"/>
  <c r="AK457" i="11"/>
  <c r="AJ457" i="11"/>
  <c r="AI457" i="11"/>
  <c r="AH457" i="11"/>
  <c r="AG457" i="11"/>
  <c r="AF457" i="11"/>
  <c r="AE457" i="11"/>
  <c r="AD457" i="11"/>
  <c r="AC457" i="11"/>
  <c r="AB457" i="11"/>
  <c r="AA457" i="11"/>
  <c r="Z457" i="11"/>
  <c r="Y457" i="11"/>
  <c r="X457" i="11"/>
  <c r="I67" i="11" l="1"/>
  <c r="G66" i="13"/>
  <c r="H66" i="13"/>
  <c r="F66" i="13"/>
  <c r="E67" i="13"/>
  <c r="I66" i="13"/>
  <c r="J66" i="13"/>
  <c r="K66" i="13"/>
  <c r="L66" i="13"/>
  <c r="M66" i="13"/>
  <c r="N66" i="13"/>
  <c r="O66" i="13"/>
  <c r="P66" i="13"/>
  <c r="Q66" i="13"/>
  <c r="R66" i="13"/>
  <c r="S66" i="13"/>
  <c r="T66" i="13"/>
  <c r="U66" i="13"/>
  <c r="V66" i="13"/>
  <c r="W66" i="13"/>
  <c r="X66" i="13"/>
  <c r="Y66" i="13"/>
  <c r="Z66" i="13"/>
  <c r="AA66" i="13"/>
  <c r="AB66" i="13"/>
  <c r="AC66" i="13"/>
  <c r="AD66" i="13"/>
  <c r="AE66" i="13"/>
  <c r="AF66" i="13"/>
  <c r="AG66" i="13"/>
  <c r="AH66" i="13"/>
  <c r="AI66" i="13"/>
  <c r="AJ66" i="13"/>
  <c r="AK66" i="13"/>
  <c r="G128" i="13"/>
  <c r="H128" i="13"/>
  <c r="F128" i="13"/>
  <c r="E129" i="13"/>
  <c r="I128" i="13"/>
  <c r="J128" i="13"/>
  <c r="K128" i="13"/>
  <c r="L128" i="13"/>
  <c r="M128" i="13"/>
  <c r="N128" i="13"/>
  <c r="O128" i="13"/>
  <c r="P128" i="13"/>
  <c r="Q128" i="13"/>
  <c r="R128" i="13"/>
  <c r="S128" i="13"/>
  <c r="T128" i="13"/>
  <c r="U128" i="13"/>
  <c r="V128" i="13"/>
  <c r="W128" i="13"/>
  <c r="X128" i="13"/>
  <c r="Y128" i="13"/>
  <c r="Z128" i="13"/>
  <c r="AA128" i="13"/>
  <c r="AB128" i="13"/>
  <c r="AC128" i="13"/>
  <c r="AD128" i="13"/>
  <c r="AE128" i="13"/>
  <c r="AF128" i="13"/>
  <c r="AG128" i="13"/>
  <c r="AH128" i="13"/>
  <c r="AI128" i="13"/>
  <c r="AJ128" i="13"/>
  <c r="AK128" i="13"/>
  <c r="Y431" i="11"/>
  <c r="Z431" i="11"/>
  <c r="AA431" i="11"/>
  <c r="AL431" i="11"/>
  <c r="AM431" i="11"/>
  <c r="AN431" i="11"/>
  <c r="AO431" i="11"/>
  <c r="AP431" i="11"/>
  <c r="AQ431" i="11"/>
  <c r="AR431" i="11"/>
  <c r="AS431" i="11"/>
  <c r="AT431" i="11"/>
  <c r="AU431" i="11"/>
  <c r="AV431" i="11"/>
  <c r="AW431" i="11"/>
  <c r="AX431" i="11"/>
  <c r="AY431" i="11"/>
  <c r="AZ431" i="11"/>
  <c r="BA431" i="11"/>
  <c r="X431" i="11"/>
  <c r="Y440" i="11"/>
  <c r="Z440" i="11"/>
  <c r="AA440" i="11"/>
  <c r="AL440" i="11"/>
  <c r="AM440" i="11"/>
  <c r="AN440" i="11"/>
  <c r="AO440" i="11"/>
  <c r="AP440" i="11"/>
  <c r="AQ440" i="11"/>
  <c r="AR440" i="11"/>
  <c r="AS440" i="11"/>
  <c r="AT440" i="11"/>
  <c r="AU440" i="11"/>
  <c r="AV440" i="11"/>
  <c r="AW440" i="11"/>
  <c r="AX440" i="11"/>
  <c r="AY440" i="11"/>
  <c r="AZ440" i="11"/>
  <c r="BA440" i="11"/>
  <c r="X440" i="11"/>
  <c r="Y437" i="11"/>
  <c r="Z437" i="11"/>
  <c r="AA437" i="11"/>
  <c r="AL437" i="11"/>
  <c r="AM437" i="11"/>
  <c r="AN437" i="11"/>
  <c r="AO437" i="11"/>
  <c r="AP437" i="11"/>
  <c r="AQ437" i="11"/>
  <c r="AR437" i="11"/>
  <c r="AS437" i="11"/>
  <c r="AT437" i="11"/>
  <c r="AU437" i="11"/>
  <c r="AV437" i="11"/>
  <c r="AW437" i="11"/>
  <c r="AX437" i="11"/>
  <c r="AY437" i="11"/>
  <c r="AZ437" i="11"/>
  <c r="BA437" i="11"/>
  <c r="X437" i="11"/>
  <c r="Y434" i="11"/>
  <c r="Z434" i="11"/>
  <c r="AA434" i="11"/>
  <c r="AL434" i="11"/>
  <c r="AM434" i="11"/>
  <c r="AN434" i="11"/>
  <c r="AO434" i="11"/>
  <c r="AP434" i="11"/>
  <c r="AQ434" i="11"/>
  <c r="AR434" i="11"/>
  <c r="AS434" i="11"/>
  <c r="AT434" i="11"/>
  <c r="AU434" i="11"/>
  <c r="AV434" i="11"/>
  <c r="AW434" i="11"/>
  <c r="AX434" i="11"/>
  <c r="AY434" i="11"/>
  <c r="AZ434" i="11"/>
  <c r="BA434" i="11"/>
  <c r="X434" i="11"/>
  <c r="I68" i="11" l="1"/>
  <c r="H67" i="13"/>
  <c r="F67" i="13"/>
  <c r="E68" i="13"/>
  <c r="G67" i="13"/>
  <c r="I67" i="13"/>
  <c r="J67" i="13"/>
  <c r="K67" i="13"/>
  <c r="L67" i="13"/>
  <c r="M67" i="13"/>
  <c r="N67" i="13"/>
  <c r="O67" i="13"/>
  <c r="P67" i="13"/>
  <c r="Q67" i="13"/>
  <c r="R67" i="13"/>
  <c r="S67" i="13"/>
  <c r="T67" i="13"/>
  <c r="U67" i="13"/>
  <c r="V67" i="13"/>
  <c r="W67" i="13"/>
  <c r="X67" i="13"/>
  <c r="Y67" i="13"/>
  <c r="Z67" i="13"/>
  <c r="AA67" i="13"/>
  <c r="AB67" i="13"/>
  <c r="AC67" i="13"/>
  <c r="AD67" i="13"/>
  <c r="AE67" i="13"/>
  <c r="AF67" i="13"/>
  <c r="AG67" i="13"/>
  <c r="AH67" i="13"/>
  <c r="AI67" i="13"/>
  <c r="AJ67" i="13"/>
  <c r="AK67" i="13"/>
  <c r="F129" i="13"/>
  <c r="E130" i="13"/>
  <c r="G129" i="13"/>
  <c r="H129" i="13"/>
  <c r="I129" i="13"/>
  <c r="J129" i="13"/>
  <c r="K129" i="13"/>
  <c r="L129" i="13"/>
  <c r="M129" i="13"/>
  <c r="N129" i="13"/>
  <c r="O129" i="13"/>
  <c r="P129" i="13"/>
  <c r="Q129" i="13"/>
  <c r="R129" i="13"/>
  <c r="S129" i="13"/>
  <c r="T129" i="13"/>
  <c r="U129" i="13"/>
  <c r="V129" i="13"/>
  <c r="W129" i="13"/>
  <c r="X129" i="13"/>
  <c r="Y129" i="13"/>
  <c r="Z129" i="13"/>
  <c r="AA129" i="13"/>
  <c r="AB129" i="13"/>
  <c r="AC129" i="13"/>
  <c r="AD129" i="13"/>
  <c r="AE129" i="13"/>
  <c r="AF129" i="13"/>
  <c r="AG129" i="13"/>
  <c r="AH129" i="13"/>
  <c r="AI129" i="13"/>
  <c r="AJ129" i="13"/>
  <c r="AK129" i="13"/>
  <c r="Y416" i="11"/>
  <c r="Z416" i="11" s="1"/>
  <c r="AA416" i="11" s="1"/>
  <c r="AB416" i="11" s="1"/>
  <c r="AC416" i="11" s="1"/>
  <c r="AD416" i="11" s="1"/>
  <c r="AE416" i="11" s="1"/>
  <c r="AF416" i="11" s="1"/>
  <c r="AG416" i="11" s="1"/>
  <c r="AH416" i="11" s="1"/>
  <c r="AI416" i="11" s="1"/>
  <c r="AJ416" i="11" s="1"/>
  <c r="AK416" i="11" s="1"/>
  <c r="AL416" i="11" s="1"/>
  <c r="AM416" i="11" s="1"/>
  <c r="AN416" i="11" s="1"/>
  <c r="AO416" i="11" s="1"/>
  <c r="AP416" i="11" s="1"/>
  <c r="AQ416" i="11" s="1"/>
  <c r="AR416" i="11" s="1"/>
  <c r="AS416" i="11" s="1"/>
  <c r="AT416" i="11" s="1"/>
  <c r="AU416" i="11" s="1"/>
  <c r="AV416" i="11" s="1"/>
  <c r="AW416" i="11" s="1"/>
  <c r="AX416" i="11" s="1"/>
  <c r="AY416" i="11" s="1"/>
  <c r="AZ416" i="11" s="1"/>
  <c r="BA416" i="11" s="1"/>
  <c r="X397" i="11"/>
  <c r="X398" i="11"/>
  <c r="X396" i="11"/>
  <c r="G181" i="11"/>
  <c r="Z645" i="11"/>
  <c r="AA645" i="11" s="1"/>
  <c r="I69" i="11" l="1"/>
  <c r="F130" i="13"/>
  <c r="E131" i="13"/>
  <c r="G130" i="13"/>
  <c r="H130" i="13"/>
  <c r="I130" i="13"/>
  <c r="J130" i="13"/>
  <c r="K130" i="13"/>
  <c r="L130" i="13"/>
  <c r="M130" i="13"/>
  <c r="N130" i="13"/>
  <c r="O130" i="13"/>
  <c r="P130" i="13"/>
  <c r="Q130" i="13"/>
  <c r="R130" i="13"/>
  <c r="S130" i="13"/>
  <c r="T130" i="13"/>
  <c r="U130" i="13"/>
  <c r="V130" i="13"/>
  <c r="W130" i="13"/>
  <c r="X130" i="13"/>
  <c r="Y130" i="13"/>
  <c r="Z130" i="13"/>
  <c r="AA130" i="13"/>
  <c r="AB130" i="13"/>
  <c r="AC130" i="13"/>
  <c r="AD130" i="13"/>
  <c r="AE130" i="13"/>
  <c r="AF130" i="13"/>
  <c r="AG130" i="13"/>
  <c r="AH130" i="13"/>
  <c r="AI130" i="13"/>
  <c r="AJ130" i="13"/>
  <c r="AK130" i="13"/>
  <c r="G68" i="13"/>
  <c r="F68" i="13"/>
  <c r="E69" i="13"/>
  <c r="H68" i="13"/>
  <c r="I68" i="13"/>
  <c r="J68" i="13"/>
  <c r="K68" i="13"/>
  <c r="L68" i="13"/>
  <c r="M68" i="13"/>
  <c r="N68" i="13"/>
  <c r="O68" i="13"/>
  <c r="P68" i="13"/>
  <c r="Q68" i="13"/>
  <c r="R68" i="13"/>
  <c r="S68" i="13"/>
  <c r="T68" i="13"/>
  <c r="U68" i="13"/>
  <c r="V68" i="13"/>
  <c r="W68" i="13"/>
  <c r="X68" i="13"/>
  <c r="Y68" i="13"/>
  <c r="Z68" i="13"/>
  <c r="AA68" i="13"/>
  <c r="AB68" i="13"/>
  <c r="AC68" i="13"/>
  <c r="AD68" i="13"/>
  <c r="AE68" i="13"/>
  <c r="AF68" i="13"/>
  <c r="AG68" i="13"/>
  <c r="AH68" i="13"/>
  <c r="AI68" i="13"/>
  <c r="AJ68" i="13"/>
  <c r="AK68" i="13"/>
  <c r="X399" i="11"/>
  <c r="X402" i="11" s="1"/>
  <c r="Z633" i="11"/>
  <c r="AB645" i="11"/>
  <c r="G190" i="11"/>
  <c r="F190" i="11"/>
  <c r="F181" i="11"/>
  <c r="I70" i="11" l="1"/>
  <c r="F69" i="13"/>
  <c r="H69" i="13"/>
  <c r="G69" i="13"/>
  <c r="E70" i="13"/>
  <c r="I69" i="13"/>
  <c r="J69" i="13"/>
  <c r="K69" i="13"/>
  <c r="L69" i="13"/>
  <c r="M69" i="13"/>
  <c r="N69" i="13"/>
  <c r="O69" i="13"/>
  <c r="P69" i="13"/>
  <c r="Q69" i="13"/>
  <c r="R69" i="13"/>
  <c r="S69" i="13"/>
  <c r="T69" i="13"/>
  <c r="U69" i="13"/>
  <c r="V69" i="13"/>
  <c r="W69" i="13"/>
  <c r="X69" i="13"/>
  <c r="Y69" i="13"/>
  <c r="Z69" i="13"/>
  <c r="AA69" i="13"/>
  <c r="AB69" i="13"/>
  <c r="AC69" i="13"/>
  <c r="AD69" i="13"/>
  <c r="AE69" i="13"/>
  <c r="AF69" i="13"/>
  <c r="AG69" i="13"/>
  <c r="AH69" i="13"/>
  <c r="AI69" i="13"/>
  <c r="AJ69" i="13"/>
  <c r="AK69" i="13"/>
  <c r="G131" i="13"/>
  <c r="F131" i="13"/>
  <c r="E132" i="13"/>
  <c r="H131" i="13"/>
  <c r="I131" i="13"/>
  <c r="J131" i="13"/>
  <c r="K131" i="13"/>
  <c r="L131" i="13"/>
  <c r="M131" i="13"/>
  <c r="N131" i="13"/>
  <c r="O131" i="13"/>
  <c r="P131" i="13"/>
  <c r="Q131" i="13"/>
  <c r="R131" i="13"/>
  <c r="S131" i="13"/>
  <c r="T131" i="13"/>
  <c r="U131" i="13"/>
  <c r="V131" i="13"/>
  <c r="W131" i="13"/>
  <c r="X131" i="13"/>
  <c r="Y131" i="13"/>
  <c r="Z131" i="13"/>
  <c r="AA131" i="13"/>
  <c r="AB131" i="13"/>
  <c r="AC131" i="13"/>
  <c r="AD131" i="13"/>
  <c r="AE131" i="13"/>
  <c r="AF131" i="13"/>
  <c r="AG131" i="13"/>
  <c r="AH131" i="13"/>
  <c r="AI131" i="13"/>
  <c r="AJ131" i="13"/>
  <c r="AK131" i="13"/>
  <c r="X401" i="11"/>
  <c r="X408" i="11" s="1"/>
  <c r="X403" i="11"/>
  <c r="X412" i="11" s="1"/>
  <c r="AA633" i="11"/>
  <c r="AC645" i="11"/>
  <c r="W183" i="11"/>
  <c r="X183" i="11"/>
  <c r="V183" i="11"/>
  <c r="W156" i="11"/>
  <c r="W157" i="11"/>
  <c r="W158" i="11"/>
  <c r="W159" i="11"/>
  <c r="W155" i="11"/>
  <c r="Z141" i="11"/>
  <c r="AA141" i="11"/>
  <c r="AB141" i="11"/>
  <c r="AC141" i="11"/>
  <c r="AD141" i="11"/>
  <c r="AE141" i="11"/>
  <c r="AF141" i="11"/>
  <c r="AG141" i="11"/>
  <c r="AH141" i="11"/>
  <c r="AI141" i="11"/>
  <c r="AJ141" i="11"/>
  <c r="AK141" i="11"/>
  <c r="AL141" i="11"/>
  <c r="AM141" i="11"/>
  <c r="AN141" i="11"/>
  <c r="AO141" i="11"/>
  <c r="AP141" i="11"/>
  <c r="AQ141" i="11"/>
  <c r="AR141" i="11"/>
  <c r="AS141" i="11"/>
  <c r="AT141" i="11"/>
  <c r="AU141" i="11"/>
  <c r="AV141" i="11"/>
  <c r="AW141" i="11"/>
  <c r="AX141" i="11"/>
  <c r="AY141" i="11"/>
  <c r="AZ141" i="11"/>
  <c r="BA141"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Z144" i="11"/>
  <c r="AA144" i="11"/>
  <c r="AB144" i="11"/>
  <c r="AC144" i="11"/>
  <c r="AD144" i="11"/>
  <c r="AE144" i="11"/>
  <c r="AF144" i="11"/>
  <c r="AG144" i="11"/>
  <c r="AH144" i="11"/>
  <c r="AI144" i="11"/>
  <c r="AJ144" i="11"/>
  <c r="AK144" i="11"/>
  <c r="AL144" i="11"/>
  <c r="AM144" i="11"/>
  <c r="AN144" i="11"/>
  <c r="AO144" i="11"/>
  <c r="AP144" i="11"/>
  <c r="AQ144" i="11"/>
  <c r="AR144" i="11"/>
  <c r="AS144" i="11"/>
  <c r="AT144" i="11"/>
  <c r="AU144" i="11"/>
  <c r="AV144" i="11"/>
  <c r="AW144" i="11"/>
  <c r="AX144" i="11"/>
  <c r="AY144" i="11"/>
  <c r="AZ144" i="11"/>
  <c r="BA144" i="11"/>
  <c r="Z145" i="11"/>
  <c r="AA145" i="11"/>
  <c r="AB145" i="11"/>
  <c r="AC145" i="11"/>
  <c r="AD145" i="11"/>
  <c r="AE145" i="11"/>
  <c r="AF145" i="11"/>
  <c r="AG145" i="11"/>
  <c r="AH145" i="11"/>
  <c r="AI145" i="11"/>
  <c r="AJ145" i="11"/>
  <c r="AK145" i="11"/>
  <c r="AL145" i="11"/>
  <c r="AM145" i="11"/>
  <c r="AN145" i="11"/>
  <c r="AO145" i="11"/>
  <c r="AP145" i="11"/>
  <c r="AQ145" i="11"/>
  <c r="AR145" i="11"/>
  <c r="AS145" i="11"/>
  <c r="AT145" i="11"/>
  <c r="AU145" i="11"/>
  <c r="AV145" i="11"/>
  <c r="AW145" i="11"/>
  <c r="AX145" i="11"/>
  <c r="AY145" i="11"/>
  <c r="AZ145" i="11"/>
  <c r="BA145" i="11"/>
  <c r="Z146" i="11"/>
  <c r="AA146" i="11"/>
  <c r="AB146" i="11"/>
  <c r="AC146" i="11"/>
  <c r="AD146" i="11"/>
  <c r="AE146" i="11"/>
  <c r="AF146" i="11"/>
  <c r="AG146" i="11"/>
  <c r="AH146" i="11"/>
  <c r="AI146" i="11"/>
  <c r="AJ146" i="11"/>
  <c r="AK146" i="11"/>
  <c r="AL146" i="11"/>
  <c r="AM146" i="11"/>
  <c r="AN146" i="11"/>
  <c r="AO146" i="11"/>
  <c r="AP146" i="11"/>
  <c r="AQ146" i="11"/>
  <c r="AR146" i="11"/>
  <c r="AS146" i="11"/>
  <c r="AT146" i="11"/>
  <c r="AU146" i="11"/>
  <c r="AV146" i="11"/>
  <c r="AW146" i="11"/>
  <c r="AX146" i="11"/>
  <c r="AY146" i="11"/>
  <c r="AZ146" i="11"/>
  <c r="BA146" i="11"/>
  <c r="Z147" i="11"/>
  <c r="AA147" i="11"/>
  <c r="AB147" i="11"/>
  <c r="AC147" i="11"/>
  <c r="AD147" i="11"/>
  <c r="AE147" i="11"/>
  <c r="AF147" i="11"/>
  <c r="AG147" i="11"/>
  <c r="AH147" i="11"/>
  <c r="AI147" i="11"/>
  <c r="AJ147" i="11"/>
  <c r="AK147" i="11"/>
  <c r="AL147" i="11"/>
  <c r="AM147" i="11"/>
  <c r="AN147" i="11"/>
  <c r="AO147" i="11"/>
  <c r="AP147" i="11"/>
  <c r="AQ147" i="11"/>
  <c r="AR147" i="11"/>
  <c r="AS147" i="11"/>
  <c r="AT147" i="11"/>
  <c r="AU147" i="11"/>
  <c r="AV147" i="11"/>
  <c r="AW147" i="11"/>
  <c r="AX147" i="11"/>
  <c r="AY147" i="11"/>
  <c r="AZ147" i="11"/>
  <c r="BA147" i="11"/>
  <c r="Z148" i="11"/>
  <c r="AA148" i="11"/>
  <c r="AB148" i="11"/>
  <c r="AC148" i="11"/>
  <c r="AD148" i="11"/>
  <c r="AE148" i="11"/>
  <c r="AF148" i="11"/>
  <c r="AG148" i="11"/>
  <c r="AH148" i="11"/>
  <c r="AI148" i="11"/>
  <c r="AJ148" i="11"/>
  <c r="AK148" i="11"/>
  <c r="AL148" i="11"/>
  <c r="AM148" i="11"/>
  <c r="AN148" i="11"/>
  <c r="AO148" i="11"/>
  <c r="AP148" i="11"/>
  <c r="AQ148" i="11"/>
  <c r="AR148" i="11"/>
  <c r="AS148" i="11"/>
  <c r="AT148" i="11"/>
  <c r="AU148" i="11"/>
  <c r="AV148" i="11"/>
  <c r="AW148" i="11"/>
  <c r="AX148" i="11"/>
  <c r="AY148" i="11"/>
  <c r="AZ148" i="11"/>
  <c r="BA148" i="11"/>
  <c r="W140" i="11"/>
  <c r="Y148" i="11"/>
  <c r="Y147" i="11"/>
  <c r="Y146" i="11"/>
  <c r="Y145" i="11"/>
  <c r="Y144" i="11"/>
  <c r="Y143" i="11"/>
  <c r="Y141" i="11"/>
  <c r="X148" i="11"/>
  <c r="X147" i="11"/>
  <c r="X146" i="11"/>
  <c r="X145" i="11"/>
  <c r="X144" i="11"/>
  <c r="X143" i="11"/>
  <c r="X142" i="11"/>
  <c r="X141" i="11"/>
  <c r="X140" i="11"/>
  <c r="Y139" i="11"/>
  <c r="Z139" i="11" s="1"/>
  <c r="AA139" i="11" s="1"/>
  <c r="AB139" i="11" s="1"/>
  <c r="AC139" i="11" s="1"/>
  <c r="AD139" i="11" s="1"/>
  <c r="AE139" i="11" s="1"/>
  <c r="AF139" i="11" s="1"/>
  <c r="AG139" i="11" s="1"/>
  <c r="AH139" i="11" s="1"/>
  <c r="AI139" i="11" s="1"/>
  <c r="AJ139" i="11" s="1"/>
  <c r="AK139" i="11" s="1"/>
  <c r="AL139" i="11" s="1"/>
  <c r="AM139" i="11" s="1"/>
  <c r="AN139" i="11" s="1"/>
  <c r="AO139" i="11" s="1"/>
  <c r="AP139" i="11" s="1"/>
  <c r="AQ139" i="11" s="1"/>
  <c r="AR139" i="11" s="1"/>
  <c r="AS139" i="11" s="1"/>
  <c r="AT139" i="11" s="1"/>
  <c r="AU139" i="11" s="1"/>
  <c r="AV139" i="11" s="1"/>
  <c r="AW139" i="11" s="1"/>
  <c r="AX139" i="11" s="1"/>
  <c r="AY139" i="11" s="1"/>
  <c r="AZ139" i="11" s="1"/>
  <c r="BA139" i="11" s="1"/>
  <c r="V148" i="11"/>
  <c r="V147" i="11"/>
  <c r="V146" i="11"/>
  <c r="V145" i="11"/>
  <c r="V144" i="11"/>
  <c r="V143" i="11"/>
  <c r="V142" i="11"/>
  <c r="V141" i="11"/>
  <c r="V140" i="11"/>
  <c r="W141" i="11"/>
  <c r="W142" i="11"/>
  <c r="W143" i="11"/>
  <c r="W144" i="11"/>
  <c r="W145" i="11"/>
  <c r="W146" i="11"/>
  <c r="W147" i="11"/>
  <c r="W148" i="11"/>
  <c r="U159" i="11"/>
  <c r="V159" i="11" s="1"/>
  <c r="U158" i="11"/>
  <c r="U157" i="11"/>
  <c r="V157" i="11" s="1"/>
  <c r="U156" i="11"/>
  <c r="V156" i="11" s="1"/>
  <c r="U155" i="11"/>
  <c r="V155" i="11" s="1"/>
  <c r="I71" i="11" l="1"/>
  <c r="H132" i="13"/>
  <c r="F132" i="13"/>
  <c r="E133" i="13"/>
  <c r="G132" i="13"/>
  <c r="I132" i="13"/>
  <c r="J132" i="13"/>
  <c r="K132" i="13"/>
  <c r="L132" i="13"/>
  <c r="M132" i="13"/>
  <c r="N132" i="13"/>
  <c r="O132" i="13"/>
  <c r="P132" i="13"/>
  <c r="Q132" i="13"/>
  <c r="R132" i="13"/>
  <c r="S132" i="13"/>
  <c r="T132" i="13"/>
  <c r="U132" i="13"/>
  <c r="V132" i="13"/>
  <c r="W132" i="13"/>
  <c r="X132" i="13"/>
  <c r="Y132" i="13"/>
  <c r="Z132" i="13"/>
  <c r="AA132" i="13"/>
  <c r="AB132" i="13"/>
  <c r="AC132" i="13"/>
  <c r="AD132" i="13"/>
  <c r="AE132" i="13"/>
  <c r="AF132" i="13"/>
  <c r="AG132" i="13"/>
  <c r="AH132" i="13"/>
  <c r="AI132" i="13"/>
  <c r="AJ132" i="13"/>
  <c r="AK132" i="13"/>
  <c r="H70" i="13"/>
  <c r="F70" i="13"/>
  <c r="E71" i="13"/>
  <c r="G70" i="13"/>
  <c r="I70" i="13"/>
  <c r="J70" i="13"/>
  <c r="K70" i="13"/>
  <c r="L70" i="13"/>
  <c r="M70" i="13"/>
  <c r="N70" i="13"/>
  <c r="O70" i="13"/>
  <c r="P70" i="13"/>
  <c r="Q70" i="13"/>
  <c r="R70" i="13"/>
  <c r="S70" i="13"/>
  <c r="T70" i="13"/>
  <c r="U70" i="13"/>
  <c r="V70" i="13"/>
  <c r="W70" i="13"/>
  <c r="X70" i="13"/>
  <c r="Y70" i="13"/>
  <c r="Z70" i="13"/>
  <c r="AA70" i="13"/>
  <c r="AB70" i="13"/>
  <c r="AC70" i="13"/>
  <c r="AD70" i="13"/>
  <c r="AE70" i="13"/>
  <c r="AF70" i="13"/>
  <c r="AG70" i="13"/>
  <c r="AH70" i="13"/>
  <c r="AI70" i="13"/>
  <c r="AJ70" i="13"/>
  <c r="AK70" i="13"/>
  <c r="AE508" i="11"/>
  <c r="AF508" i="11"/>
  <c r="AG508" i="11"/>
  <c r="AC508" i="11"/>
  <c r="AD508" i="11"/>
  <c r="AC516" i="11"/>
  <c r="AG516" i="11"/>
  <c r="AD516" i="11"/>
  <c r="AF516" i="11"/>
  <c r="AE516" i="11"/>
  <c r="X404" i="11"/>
  <c r="AD645" i="11"/>
  <c r="AB633" i="11"/>
  <c r="Y140" i="11"/>
  <c r="AT142" i="11"/>
  <c r="AD142" i="11"/>
  <c r="AT140" i="11"/>
  <c r="AL140" i="11"/>
  <c r="AD140" i="11"/>
  <c r="AX142" i="11"/>
  <c r="AL142" i="11"/>
  <c r="Z142" i="11"/>
  <c r="AH140" i="11"/>
  <c r="V158" i="11"/>
  <c r="AP142" i="11"/>
  <c r="AH142" i="11"/>
  <c r="AX140" i="11"/>
  <c r="AP140" i="11"/>
  <c r="Z140" i="11"/>
  <c r="BA142" i="11"/>
  <c r="AW142" i="11"/>
  <c r="AS142" i="11"/>
  <c r="AO142" i="11"/>
  <c r="AK142" i="11"/>
  <c r="AG142" i="11"/>
  <c r="AC142" i="11"/>
  <c r="BA140" i="11"/>
  <c r="AW140" i="11"/>
  <c r="AS140" i="11"/>
  <c r="AO140" i="11"/>
  <c r="AK140" i="11"/>
  <c r="AG140" i="11"/>
  <c r="AC140" i="11"/>
  <c r="AZ142" i="11"/>
  <c r="AV142" i="11"/>
  <c r="AR142" i="11"/>
  <c r="AN142" i="11"/>
  <c r="AJ142" i="11"/>
  <c r="AF142" i="11"/>
  <c r="AB142" i="11"/>
  <c r="AZ140" i="11"/>
  <c r="AV140" i="11"/>
  <c r="AR140" i="11"/>
  <c r="AN140" i="11"/>
  <c r="AJ140" i="11"/>
  <c r="AF140" i="11"/>
  <c r="AB140" i="11"/>
  <c r="Y142" i="11"/>
  <c r="AY142" i="11"/>
  <c r="AU142" i="11"/>
  <c r="AQ142" i="11"/>
  <c r="AM142" i="11"/>
  <c r="AI142" i="11"/>
  <c r="AE142" i="11"/>
  <c r="AA142" i="11"/>
  <c r="AY140" i="11"/>
  <c r="AU140" i="11"/>
  <c r="AQ140" i="11"/>
  <c r="AM140" i="11"/>
  <c r="AI140" i="11"/>
  <c r="AE140" i="11"/>
  <c r="AA140" i="11"/>
  <c r="T71" i="11"/>
  <c r="T72" i="11"/>
  <c r="U83" i="11"/>
  <c r="V83" i="11" s="1"/>
  <c r="U82" i="11"/>
  <c r="V82" i="11" s="1"/>
  <c r="U81" i="11"/>
  <c r="V81" i="11" s="1"/>
  <c r="U80" i="11"/>
  <c r="V80" i="11" s="1"/>
  <c r="U79" i="11"/>
  <c r="V79" i="11" s="1"/>
  <c r="Y154" i="11"/>
  <c r="Z154" i="11" s="1"/>
  <c r="AA154" i="11" s="1"/>
  <c r="AB154" i="11" s="1"/>
  <c r="AC154" i="11" s="1"/>
  <c r="AD154" i="11" s="1"/>
  <c r="AE154" i="11" s="1"/>
  <c r="AF154" i="11" s="1"/>
  <c r="AG154" i="11" s="1"/>
  <c r="AH154" i="11" s="1"/>
  <c r="AI154" i="11" s="1"/>
  <c r="AJ154" i="11" s="1"/>
  <c r="AK154" i="11" s="1"/>
  <c r="AL154" i="11" s="1"/>
  <c r="AM154" i="11" s="1"/>
  <c r="AN154" i="11" s="1"/>
  <c r="AO154" i="11" s="1"/>
  <c r="AP154" i="11" s="1"/>
  <c r="AQ154" i="11" s="1"/>
  <c r="AR154" i="11" s="1"/>
  <c r="AS154" i="11" s="1"/>
  <c r="AT154" i="11" s="1"/>
  <c r="AU154" i="11" s="1"/>
  <c r="AV154" i="11" s="1"/>
  <c r="AW154" i="11" s="1"/>
  <c r="AX154" i="11" s="1"/>
  <c r="AY154" i="11" s="1"/>
  <c r="AZ154" i="11" s="1"/>
  <c r="BA154" i="11" s="1"/>
  <c r="I72" i="11" l="1"/>
  <c r="G71" i="13"/>
  <c r="H71" i="13"/>
  <c r="F71" i="13"/>
  <c r="E72" i="13"/>
  <c r="I71" i="13"/>
  <c r="J71" i="13"/>
  <c r="K71" i="13"/>
  <c r="L71" i="13"/>
  <c r="M71" i="13"/>
  <c r="N71" i="13"/>
  <c r="O71" i="13"/>
  <c r="P71" i="13"/>
  <c r="Q71" i="13"/>
  <c r="R71" i="13"/>
  <c r="S71" i="13"/>
  <c r="T71" i="13"/>
  <c r="U71" i="13"/>
  <c r="V71" i="13"/>
  <c r="W71" i="13"/>
  <c r="X71" i="13"/>
  <c r="Y71" i="13"/>
  <c r="Z71" i="13"/>
  <c r="AA71" i="13"/>
  <c r="AB71" i="13"/>
  <c r="AC71" i="13"/>
  <c r="AD71" i="13"/>
  <c r="AE71" i="13"/>
  <c r="AF71" i="13"/>
  <c r="AG71" i="13"/>
  <c r="AH71" i="13"/>
  <c r="AI71" i="13"/>
  <c r="AJ71" i="13"/>
  <c r="AK71" i="13"/>
  <c r="G133" i="13"/>
  <c r="F133" i="13"/>
  <c r="E134" i="13"/>
  <c r="H133" i="13"/>
  <c r="I133" i="13"/>
  <c r="J133" i="13"/>
  <c r="K133" i="13"/>
  <c r="L133" i="13"/>
  <c r="M133" i="13"/>
  <c r="N133" i="13"/>
  <c r="O133" i="13"/>
  <c r="P133" i="13"/>
  <c r="Q133" i="13"/>
  <c r="R133" i="13"/>
  <c r="S133" i="13"/>
  <c r="T133" i="13"/>
  <c r="U133" i="13"/>
  <c r="V133" i="13"/>
  <c r="W133" i="13"/>
  <c r="X133" i="13"/>
  <c r="Y133" i="13"/>
  <c r="Z133" i="13"/>
  <c r="AA133" i="13"/>
  <c r="AB133" i="13"/>
  <c r="AC133" i="13"/>
  <c r="AD133" i="13"/>
  <c r="AE133" i="13"/>
  <c r="AF133" i="13"/>
  <c r="AG133" i="13"/>
  <c r="AH133" i="13"/>
  <c r="AI133" i="13"/>
  <c r="AJ133" i="13"/>
  <c r="AK133" i="13"/>
  <c r="AC633" i="11"/>
  <c r="AE645" i="11"/>
  <c r="U145" i="11"/>
  <c r="U146" i="11"/>
  <c r="U140" i="11"/>
  <c r="U141" i="11"/>
  <c r="U142" i="11"/>
  <c r="U143" i="11"/>
  <c r="U144" i="11"/>
  <c r="U147" i="11"/>
  <c r="U148" i="11"/>
  <c r="W182" i="11"/>
  <c r="X182" i="11"/>
  <c r="V182" i="11"/>
  <c r="W181" i="11"/>
  <c r="X181" i="11"/>
  <c r="V181" i="11"/>
  <c r="I73" i="11" l="1"/>
  <c r="F134" i="13"/>
  <c r="H134" i="13"/>
  <c r="E135" i="13"/>
  <c r="G134" i="13"/>
  <c r="I134" i="13"/>
  <c r="J134" i="13"/>
  <c r="K134" i="13"/>
  <c r="L134" i="13"/>
  <c r="M134" i="13"/>
  <c r="N134" i="13"/>
  <c r="O134" i="13"/>
  <c r="P134" i="13"/>
  <c r="Q134" i="13"/>
  <c r="R134" i="13"/>
  <c r="S134" i="13"/>
  <c r="T134" i="13"/>
  <c r="U134" i="13"/>
  <c r="V134" i="13"/>
  <c r="W134" i="13"/>
  <c r="X134" i="13"/>
  <c r="Y134" i="13"/>
  <c r="Z134" i="13"/>
  <c r="AA134" i="13"/>
  <c r="AB134" i="13"/>
  <c r="AC134" i="13"/>
  <c r="AD134" i="13"/>
  <c r="AE134" i="13"/>
  <c r="AF134" i="13"/>
  <c r="AG134" i="13"/>
  <c r="AH134" i="13"/>
  <c r="AI134" i="13"/>
  <c r="AJ134" i="13"/>
  <c r="AK134" i="13"/>
  <c r="F72" i="13"/>
  <c r="E73" i="13"/>
  <c r="G72" i="13"/>
  <c r="H72" i="13"/>
  <c r="I72" i="13"/>
  <c r="J72" i="13"/>
  <c r="K72" i="13"/>
  <c r="L72" i="13"/>
  <c r="M72" i="13"/>
  <c r="N72" i="13"/>
  <c r="O72" i="13"/>
  <c r="P72" i="13"/>
  <c r="Q72" i="13"/>
  <c r="R72" i="13"/>
  <c r="S72" i="13"/>
  <c r="T72" i="13"/>
  <c r="U72" i="13"/>
  <c r="V72" i="13"/>
  <c r="W72" i="13"/>
  <c r="X72" i="13"/>
  <c r="Y72" i="13"/>
  <c r="Z72" i="13"/>
  <c r="AA72" i="13"/>
  <c r="AB72" i="13"/>
  <c r="AC72" i="13"/>
  <c r="AD72" i="13"/>
  <c r="AE72" i="13"/>
  <c r="AF72" i="13"/>
  <c r="AG72" i="13"/>
  <c r="AH72" i="13"/>
  <c r="AI72" i="13"/>
  <c r="AJ72" i="13"/>
  <c r="AK72" i="13"/>
  <c r="AF645" i="11"/>
  <c r="AD633" i="11"/>
  <c r="W447" i="11"/>
  <c r="W448" i="11"/>
  <c r="W449" i="11"/>
  <c r="W450" i="11"/>
  <c r="W451" i="11"/>
  <c r="V447" i="11"/>
  <c r="V448" i="11"/>
  <c r="V449" i="11"/>
  <c r="V450" i="11"/>
  <c r="V451" i="11"/>
  <c r="W539" i="11"/>
  <c r="W540" i="11"/>
  <c r="W541" i="11"/>
  <c r="W542" i="11"/>
  <c r="W543" i="11"/>
  <c r="W544" i="11"/>
  <c r="W545" i="11"/>
  <c r="W546" i="11"/>
  <c r="W547" i="11"/>
  <c r="W548" i="11"/>
  <c r="W549" i="11"/>
  <c r="W550" i="11"/>
  <c r="W551" i="11"/>
  <c r="W552" i="11"/>
  <c r="V539" i="11"/>
  <c r="V540" i="11"/>
  <c r="V541" i="11"/>
  <c r="V542" i="11"/>
  <c r="V543" i="11"/>
  <c r="V544" i="11"/>
  <c r="V545" i="11"/>
  <c r="V546" i="11"/>
  <c r="V547" i="11"/>
  <c r="V548" i="11"/>
  <c r="V549" i="11"/>
  <c r="V550" i="11"/>
  <c r="V551" i="11"/>
  <c r="V552" i="11"/>
  <c r="AL3" i="13"/>
  <c r="B25" i="11" s="1"/>
  <c r="AL4" i="13"/>
  <c r="B26" i="11" s="1"/>
  <c r="AL5" i="13"/>
  <c r="B27" i="11" s="1"/>
  <c r="AL6" i="13"/>
  <c r="B28" i="11" s="1"/>
  <c r="AL7" i="13"/>
  <c r="B29" i="11" s="1"/>
  <c r="AL8" i="13"/>
  <c r="B30" i="11" s="1"/>
  <c r="AL9" i="13"/>
  <c r="B31" i="11" s="1"/>
  <c r="AL13" i="13"/>
  <c r="AL14" i="13"/>
  <c r="AL15" i="13"/>
  <c r="AL16" i="13"/>
  <c r="AL17" i="13"/>
  <c r="AL18" i="13"/>
  <c r="AL19" i="13"/>
  <c r="X310" i="11"/>
  <c r="I74" i="11" l="1"/>
  <c r="U545" i="11"/>
  <c r="U549" i="11"/>
  <c r="U541" i="11"/>
  <c r="F73" i="13"/>
  <c r="E74" i="13"/>
  <c r="G73" i="13"/>
  <c r="H73" i="13"/>
  <c r="I73" i="13"/>
  <c r="J73" i="13"/>
  <c r="K73" i="13"/>
  <c r="L73" i="13"/>
  <c r="M73" i="13"/>
  <c r="N73" i="13"/>
  <c r="O73" i="13"/>
  <c r="P73" i="13"/>
  <c r="Q73" i="13"/>
  <c r="R73" i="13"/>
  <c r="S73" i="13"/>
  <c r="T73" i="13"/>
  <c r="U73" i="13"/>
  <c r="V73" i="13"/>
  <c r="W73" i="13"/>
  <c r="X73" i="13"/>
  <c r="Y73" i="13"/>
  <c r="Z73" i="13"/>
  <c r="AA73" i="13"/>
  <c r="AB73" i="13"/>
  <c r="AC73" i="13"/>
  <c r="AD73" i="13"/>
  <c r="AE73" i="13"/>
  <c r="AF73" i="13"/>
  <c r="AG73" i="13"/>
  <c r="AH73" i="13"/>
  <c r="AI73" i="13"/>
  <c r="AJ73" i="13"/>
  <c r="AK73" i="13"/>
  <c r="G135" i="13"/>
  <c r="H135" i="13"/>
  <c r="F135" i="13"/>
  <c r="E136" i="13"/>
  <c r="I135" i="13"/>
  <c r="J135" i="13"/>
  <c r="K135" i="13"/>
  <c r="L135" i="13"/>
  <c r="M135" i="13"/>
  <c r="N135" i="13"/>
  <c r="O135" i="13"/>
  <c r="P135" i="13"/>
  <c r="Q135" i="13"/>
  <c r="R135" i="13"/>
  <c r="S135" i="13"/>
  <c r="T135" i="13"/>
  <c r="U135" i="13"/>
  <c r="V135" i="13"/>
  <c r="W135" i="13"/>
  <c r="X135" i="13"/>
  <c r="Y135" i="13"/>
  <c r="Z135" i="13"/>
  <c r="AA135" i="13"/>
  <c r="AB135" i="13"/>
  <c r="AC135" i="13"/>
  <c r="AD135" i="13"/>
  <c r="AE135" i="13"/>
  <c r="AF135" i="13"/>
  <c r="AG135" i="13"/>
  <c r="AH135" i="13"/>
  <c r="AI135" i="13"/>
  <c r="AJ135" i="13"/>
  <c r="AK135" i="13"/>
  <c r="U552" i="11"/>
  <c r="U548" i="11"/>
  <c r="U544" i="11"/>
  <c r="U540" i="11"/>
  <c r="U450" i="11"/>
  <c r="U448" i="11"/>
  <c r="U449" i="11"/>
  <c r="AA128" i="11"/>
  <c r="AE128" i="11"/>
  <c r="AI128" i="11"/>
  <c r="AM128" i="11"/>
  <c r="AQ128" i="11"/>
  <c r="AU128" i="11"/>
  <c r="AY128" i="11"/>
  <c r="AC128" i="11"/>
  <c r="AK128" i="11"/>
  <c r="AS128" i="11"/>
  <c r="BA128" i="11"/>
  <c r="AD128" i="11"/>
  <c r="AH128" i="11"/>
  <c r="AP128" i="11"/>
  <c r="AX128" i="11"/>
  <c r="AB128" i="11"/>
  <c r="AF128" i="11"/>
  <c r="AJ128" i="11"/>
  <c r="AN128" i="11"/>
  <c r="AR128" i="11"/>
  <c r="AV128" i="11"/>
  <c r="AZ128" i="11"/>
  <c r="Y128" i="11"/>
  <c r="AG128" i="11"/>
  <c r="AO128" i="11"/>
  <c r="AW128" i="11"/>
  <c r="Z128" i="11"/>
  <c r="AL128" i="11"/>
  <c r="AT128" i="11"/>
  <c r="X128" i="11"/>
  <c r="AA601" i="11"/>
  <c r="AE601" i="11"/>
  <c r="AI601" i="11"/>
  <c r="AM601" i="11"/>
  <c r="AQ601" i="11"/>
  <c r="AU601" i="11"/>
  <c r="AY601" i="11"/>
  <c r="X601" i="11"/>
  <c r="AN601" i="11"/>
  <c r="AV601" i="11"/>
  <c r="AL601" i="11"/>
  <c r="AX601" i="11"/>
  <c r="AB601" i="11"/>
  <c r="AF601" i="11"/>
  <c r="AJ601" i="11"/>
  <c r="AR601" i="11"/>
  <c r="AZ601" i="11"/>
  <c r="AT601" i="11"/>
  <c r="AC601" i="11"/>
  <c r="AG601" i="11"/>
  <c r="AK601" i="11"/>
  <c r="AO601" i="11"/>
  <c r="AS601" i="11"/>
  <c r="AW601" i="11"/>
  <c r="BA601" i="11"/>
  <c r="Z601" i="11"/>
  <c r="AD601" i="11"/>
  <c r="AH601" i="11"/>
  <c r="AP601" i="11"/>
  <c r="Y601" i="11"/>
  <c r="Z116" i="11"/>
  <c r="AD116" i="11"/>
  <c r="AH116" i="11"/>
  <c r="AL116" i="11"/>
  <c r="AP116" i="11"/>
  <c r="AT116" i="11"/>
  <c r="AX116" i="11"/>
  <c r="X116" i="11"/>
  <c r="AF116" i="11"/>
  <c r="AN116" i="11"/>
  <c r="AV116" i="11"/>
  <c r="Y116" i="11"/>
  <c r="AG116" i="11"/>
  <c r="AO116" i="11"/>
  <c r="AW116" i="11"/>
  <c r="AA116" i="11"/>
  <c r="AE116" i="11"/>
  <c r="AI116" i="11"/>
  <c r="AM116" i="11"/>
  <c r="AQ116" i="11"/>
  <c r="AU116" i="11"/>
  <c r="AY116" i="11"/>
  <c r="AB116" i="11"/>
  <c r="AJ116" i="11"/>
  <c r="AR116" i="11"/>
  <c r="AZ116" i="11"/>
  <c r="AC116" i="11"/>
  <c r="AK116" i="11"/>
  <c r="AS116" i="11"/>
  <c r="BA116" i="11"/>
  <c r="U547" i="11"/>
  <c r="U539" i="11"/>
  <c r="AA609" i="11"/>
  <c r="AE609" i="11"/>
  <c r="AI609" i="11"/>
  <c r="AM609" i="11"/>
  <c r="AQ609" i="11"/>
  <c r="AU609" i="11"/>
  <c r="AY609" i="11"/>
  <c r="AV609" i="11"/>
  <c r="Z609" i="11"/>
  <c r="AL609" i="11"/>
  <c r="X609" i="11"/>
  <c r="AB609" i="11"/>
  <c r="AF609" i="11"/>
  <c r="AJ609" i="11"/>
  <c r="AN609" i="11"/>
  <c r="AR609" i="11"/>
  <c r="AZ609" i="11"/>
  <c r="AH609" i="11"/>
  <c r="AT609" i="11"/>
  <c r="Y609" i="11"/>
  <c r="AC609" i="11"/>
  <c r="AG609" i="11"/>
  <c r="AK609" i="11"/>
  <c r="AO609" i="11"/>
  <c r="AS609" i="11"/>
  <c r="AW609" i="11"/>
  <c r="BA609" i="11"/>
  <c r="AD609" i="11"/>
  <c r="AP609" i="11"/>
  <c r="AX609" i="11"/>
  <c r="U550" i="11"/>
  <c r="U546" i="11"/>
  <c r="U542" i="11"/>
  <c r="W554" i="11"/>
  <c r="W555" i="11"/>
  <c r="W553" i="11"/>
  <c r="W72" i="11"/>
  <c r="W71" i="11"/>
  <c r="Y71" i="11"/>
  <c r="AC71" i="11"/>
  <c r="AG71" i="11"/>
  <c r="AK71" i="11"/>
  <c r="AO71" i="11"/>
  <c r="AS71" i="11"/>
  <c r="AW71" i="11"/>
  <c r="BA71" i="11"/>
  <c r="AA61" i="11"/>
  <c r="AA507" i="11" s="1"/>
  <c r="AA508" i="11" s="1"/>
  <c r="AE61" i="11"/>
  <c r="AE507" i="11" s="1"/>
  <c r="AI61" i="11"/>
  <c r="AI507" i="11" s="1"/>
  <c r="AM61" i="11"/>
  <c r="AM507" i="11" s="1"/>
  <c r="AQ61" i="11"/>
  <c r="AQ507" i="11" s="1"/>
  <c r="AU61" i="11"/>
  <c r="AU507" i="11" s="1"/>
  <c r="AY61" i="11"/>
  <c r="AY507" i="11" s="1"/>
  <c r="BA61" i="11"/>
  <c r="BA507" i="11" s="1"/>
  <c r="AF71" i="11"/>
  <c r="AN71" i="11"/>
  <c r="AZ71" i="11"/>
  <c r="AD61" i="11"/>
  <c r="AD507" i="11" s="1"/>
  <c r="Z71" i="11"/>
  <c r="AD71" i="11"/>
  <c r="AH71" i="11"/>
  <c r="AL71" i="11"/>
  <c r="AP71" i="11"/>
  <c r="AT71" i="11"/>
  <c r="AX71" i="11"/>
  <c r="X71" i="11"/>
  <c r="AB61" i="11"/>
  <c r="AF61" i="11"/>
  <c r="AF507" i="11" s="1"/>
  <c r="AJ61" i="11"/>
  <c r="AJ507" i="11" s="1"/>
  <c r="AN61" i="11"/>
  <c r="AN507" i="11" s="1"/>
  <c r="AR61" i="11"/>
  <c r="AR507" i="11" s="1"/>
  <c r="AV61" i="11"/>
  <c r="AV507" i="11" s="1"/>
  <c r="AZ61" i="11"/>
  <c r="AZ507" i="11" s="1"/>
  <c r="AW61" i="11"/>
  <c r="AW507" i="11" s="1"/>
  <c r="AJ71" i="11"/>
  <c r="AR71" i="11"/>
  <c r="Z61" i="11"/>
  <c r="Z507" i="11" s="1"/>
  <c r="Z508" i="11" s="1"/>
  <c r="AH61" i="11"/>
  <c r="AH507" i="11" s="1"/>
  <c r="AP61" i="11"/>
  <c r="AP507" i="11" s="1"/>
  <c r="AT61" i="11"/>
  <c r="AT507" i="11" s="1"/>
  <c r="X61" i="11"/>
  <c r="X507" i="11" s="1"/>
  <c r="X509" i="11" s="1"/>
  <c r="X544" i="11" s="1"/>
  <c r="X554" i="11" s="1"/>
  <c r="AA71" i="11"/>
  <c r="AE71" i="11"/>
  <c r="AI71" i="11"/>
  <c r="AM71" i="11"/>
  <c r="AQ71" i="11"/>
  <c r="AU71" i="11"/>
  <c r="AY71" i="11"/>
  <c r="Y61" i="11"/>
  <c r="Y507" i="11" s="1"/>
  <c r="Y508" i="11" s="1"/>
  <c r="Y509" i="11" s="1"/>
  <c r="Y544" i="11" s="1"/>
  <c r="Y554" i="11" s="1"/>
  <c r="AC61" i="11"/>
  <c r="AC507" i="11" s="1"/>
  <c r="AG61" i="11"/>
  <c r="AG507" i="11" s="1"/>
  <c r="AK61" i="11"/>
  <c r="AK507" i="11" s="1"/>
  <c r="AO61" i="11"/>
  <c r="AO507" i="11" s="1"/>
  <c r="AS61" i="11"/>
  <c r="AS507" i="11" s="1"/>
  <c r="AB71" i="11"/>
  <c r="AV71" i="11"/>
  <c r="AL61" i="11"/>
  <c r="AL507" i="11" s="1"/>
  <c r="AX61" i="11"/>
  <c r="AX507" i="11" s="1"/>
  <c r="U467" i="11"/>
  <c r="V467" i="11" s="1"/>
  <c r="U563" i="11"/>
  <c r="V563" i="11" s="1"/>
  <c r="U459" i="11"/>
  <c r="V459" i="11" s="1"/>
  <c r="U469" i="11"/>
  <c r="V469" i="11" s="1"/>
  <c r="U565" i="11"/>
  <c r="V565" i="11" s="1"/>
  <c r="U461" i="11"/>
  <c r="V461" i="11" s="1"/>
  <c r="U551" i="11"/>
  <c r="U543" i="11"/>
  <c r="U468" i="11"/>
  <c r="V468" i="11" s="1"/>
  <c r="U564" i="11"/>
  <c r="V564" i="11" s="1"/>
  <c r="U460" i="11"/>
  <c r="V460" i="11" s="1"/>
  <c r="V554" i="11"/>
  <c r="U554" i="11" s="1"/>
  <c r="V555" i="11"/>
  <c r="U555" i="11" s="1"/>
  <c r="V553" i="11"/>
  <c r="U553" i="11" s="1"/>
  <c r="V71" i="11"/>
  <c r="V72" i="11"/>
  <c r="Y72" i="11"/>
  <c r="AC72" i="11"/>
  <c r="AG72" i="11"/>
  <c r="AK72" i="11"/>
  <c r="AO72" i="11"/>
  <c r="AS72" i="11"/>
  <c r="AW72" i="11"/>
  <c r="BA72" i="11"/>
  <c r="AA64" i="11"/>
  <c r="AA515" i="11" s="1"/>
  <c r="AA516" i="11" s="1"/>
  <c r="AE64" i="11"/>
  <c r="AE515" i="11" s="1"/>
  <c r="AI64" i="11"/>
  <c r="AI515" i="11" s="1"/>
  <c r="AM64" i="11"/>
  <c r="AM515" i="11" s="1"/>
  <c r="AQ64" i="11"/>
  <c r="AQ515" i="11" s="1"/>
  <c r="AU64" i="11"/>
  <c r="AU515" i="11" s="1"/>
  <c r="AY64" i="11"/>
  <c r="AY515" i="11" s="1"/>
  <c r="AB72" i="11"/>
  <c r="AJ72" i="11"/>
  <c r="AV72" i="11"/>
  <c r="Z64" i="11"/>
  <c r="Z515" i="11" s="1"/>
  <c r="Z516" i="11" s="1"/>
  <c r="AL64" i="11"/>
  <c r="AL515" i="11" s="1"/>
  <c r="AT64" i="11"/>
  <c r="AT515" i="11" s="1"/>
  <c r="X64" i="11"/>
  <c r="X515" i="11" s="1"/>
  <c r="X517" i="11" s="1"/>
  <c r="X547" i="11" s="1"/>
  <c r="X555" i="11" s="1"/>
  <c r="Z72" i="11"/>
  <c r="AD72" i="11"/>
  <c r="AH72" i="11"/>
  <c r="AL72" i="11"/>
  <c r="AP72" i="11"/>
  <c r="AT72" i="11"/>
  <c r="AX72" i="11"/>
  <c r="X72" i="11"/>
  <c r="AB64" i="11"/>
  <c r="AF64" i="11"/>
  <c r="AF515" i="11" s="1"/>
  <c r="AJ64" i="11"/>
  <c r="AJ515" i="11" s="1"/>
  <c r="AN64" i="11"/>
  <c r="AN515" i="11" s="1"/>
  <c r="AR64" i="11"/>
  <c r="AR515" i="11" s="1"/>
  <c r="AV64" i="11"/>
  <c r="AV515" i="11" s="1"/>
  <c r="AZ64" i="11"/>
  <c r="AZ515" i="11" s="1"/>
  <c r="AF72" i="11"/>
  <c r="AN72" i="11"/>
  <c r="AZ72" i="11"/>
  <c r="AD64" i="11"/>
  <c r="AD515" i="11" s="1"/>
  <c r="AH64" i="11"/>
  <c r="AH515" i="11" s="1"/>
  <c r="AP64" i="11"/>
  <c r="AP515" i="11" s="1"/>
  <c r="AX64" i="11"/>
  <c r="AX515" i="11" s="1"/>
  <c r="AA72" i="11"/>
  <c r="AE72" i="11"/>
  <c r="AI72" i="11"/>
  <c r="AM72" i="11"/>
  <c r="AQ72" i="11"/>
  <c r="AU72" i="11"/>
  <c r="AY72" i="11"/>
  <c r="Y64" i="11"/>
  <c r="Y515" i="11" s="1"/>
  <c r="Y516" i="11" s="1"/>
  <c r="AC64" i="11"/>
  <c r="AC515" i="11" s="1"/>
  <c r="AG64" i="11"/>
  <c r="AG515" i="11" s="1"/>
  <c r="AK64" i="11"/>
  <c r="AK515" i="11" s="1"/>
  <c r="AO64" i="11"/>
  <c r="AO515" i="11" s="1"/>
  <c r="AS64" i="11"/>
  <c r="AS515" i="11" s="1"/>
  <c r="AW64" i="11"/>
  <c r="AW515" i="11" s="1"/>
  <c r="BA64" i="11"/>
  <c r="BA515" i="11" s="1"/>
  <c r="AR72" i="11"/>
  <c r="U470" i="11"/>
  <c r="V470" i="11" s="1"/>
  <c r="U566" i="11"/>
  <c r="V566" i="11" s="1"/>
  <c r="U462" i="11"/>
  <c r="V462" i="11" s="1"/>
  <c r="U466" i="11"/>
  <c r="V466" i="11" s="1"/>
  <c r="U562" i="11"/>
  <c r="V562" i="11" s="1"/>
  <c r="U458" i="11"/>
  <c r="V458" i="11" s="1"/>
  <c r="U447" i="11"/>
  <c r="AE633" i="11"/>
  <c r="AG645" i="11"/>
  <c r="W190" i="11"/>
  <c r="X190" i="11"/>
  <c r="V190" i="11"/>
  <c r="W179" i="11"/>
  <c r="X179" i="11"/>
  <c r="V179" i="11"/>
  <c r="X92" i="11"/>
  <c r="I75" i="11" l="1"/>
  <c r="H74" i="13"/>
  <c r="F74" i="13"/>
  <c r="E75" i="13"/>
  <c r="G74" i="13"/>
  <c r="I74" i="13"/>
  <c r="J74" i="13"/>
  <c r="K74" i="13"/>
  <c r="L74" i="13"/>
  <c r="M74" i="13"/>
  <c r="N74" i="13"/>
  <c r="O74" i="13"/>
  <c r="P74" i="13"/>
  <c r="Q74" i="13"/>
  <c r="R74" i="13"/>
  <c r="S74" i="13"/>
  <c r="T74" i="13"/>
  <c r="U74" i="13"/>
  <c r="V74" i="13"/>
  <c r="W74" i="13"/>
  <c r="X74" i="13"/>
  <c r="Y74" i="13"/>
  <c r="Z74" i="13"/>
  <c r="AA74" i="13"/>
  <c r="AB74" i="13"/>
  <c r="AC74" i="13"/>
  <c r="AD74" i="13"/>
  <c r="AE74" i="13"/>
  <c r="AF74" i="13"/>
  <c r="AG74" i="13"/>
  <c r="AH74" i="13"/>
  <c r="AI74" i="13"/>
  <c r="AJ74" i="13"/>
  <c r="AK74" i="13"/>
  <c r="F136" i="13"/>
  <c r="E137" i="13"/>
  <c r="G136" i="13"/>
  <c r="H136" i="13"/>
  <c r="I136" i="13"/>
  <c r="J136" i="13"/>
  <c r="K136" i="13"/>
  <c r="L136" i="13"/>
  <c r="M136" i="13"/>
  <c r="N136" i="13"/>
  <c r="O136" i="13"/>
  <c r="P136" i="13"/>
  <c r="Q136" i="13"/>
  <c r="R136" i="13"/>
  <c r="S136" i="13"/>
  <c r="T136" i="13"/>
  <c r="U136" i="13"/>
  <c r="V136" i="13"/>
  <c r="W136" i="13"/>
  <c r="X136" i="13"/>
  <c r="Y136" i="13"/>
  <c r="Z136" i="13"/>
  <c r="AA136" i="13"/>
  <c r="AB136" i="13"/>
  <c r="AC136" i="13"/>
  <c r="AD136" i="13"/>
  <c r="AE136" i="13"/>
  <c r="AF136" i="13"/>
  <c r="AG136" i="13"/>
  <c r="AH136" i="13"/>
  <c r="AI136" i="13"/>
  <c r="AJ136" i="13"/>
  <c r="AK136" i="13"/>
  <c r="U72" i="11"/>
  <c r="U71" i="11"/>
  <c r="Y517" i="11"/>
  <c r="Y547" i="11" s="1"/>
  <c r="Y555" i="11" s="1"/>
  <c r="AB507" i="11"/>
  <c r="AB508" i="11" s="1"/>
  <c r="F207" i="11"/>
  <c r="AB515" i="11"/>
  <c r="AB516" i="11" s="1"/>
  <c r="F209" i="11"/>
  <c r="Z509" i="11"/>
  <c r="Z544" i="11" s="1"/>
  <c r="Z554" i="11" s="1"/>
  <c r="AF633" i="11"/>
  <c r="AH645" i="11"/>
  <c r="W195" i="11"/>
  <c r="X195" i="11"/>
  <c r="V195" i="11"/>
  <c r="W191" i="11"/>
  <c r="X191" i="11"/>
  <c r="V191" i="11"/>
  <c r="W189" i="11"/>
  <c r="X189" i="11"/>
  <c r="V189" i="11"/>
  <c r="V188" i="11"/>
  <c r="W180" i="11"/>
  <c r="X180" i="11"/>
  <c r="V180" i="11"/>
  <c r="W188" i="11"/>
  <c r="X188" i="11"/>
  <c r="Y187" i="11"/>
  <c r="Z187" i="11" s="1"/>
  <c r="AA187" i="11" s="1"/>
  <c r="AB187" i="11" s="1"/>
  <c r="AC187" i="11" s="1"/>
  <c r="AD187" i="11" s="1"/>
  <c r="AE187" i="11" s="1"/>
  <c r="AF187" i="11" s="1"/>
  <c r="AG187" i="11" s="1"/>
  <c r="AH187" i="11" s="1"/>
  <c r="AI187" i="11" s="1"/>
  <c r="AJ187" i="11" s="1"/>
  <c r="AK187" i="11" s="1"/>
  <c r="AL187" i="11" s="1"/>
  <c r="AM187" i="11" s="1"/>
  <c r="AN187" i="11" s="1"/>
  <c r="AO187" i="11" s="1"/>
  <c r="AP187" i="11" s="1"/>
  <c r="AQ187" i="11" s="1"/>
  <c r="AR187" i="11" s="1"/>
  <c r="AS187" i="11" s="1"/>
  <c r="AT187" i="11" s="1"/>
  <c r="AU187" i="11" s="1"/>
  <c r="AV187" i="11" s="1"/>
  <c r="AW187" i="11" s="1"/>
  <c r="AX187" i="11" s="1"/>
  <c r="AY187" i="11" s="1"/>
  <c r="AZ187" i="11" s="1"/>
  <c r="BA187" i="11" s="1"/>
  <c r="W184" i="11"/>
  <c r="X184" i="11"/>
  <c r="V184" i="11"/>
  <c r="W177" i="11"/>
  <c r="X177" i="11"/>
  <c r="W178" i="11"/>
  <c r="X178" i="11"/>
  <c r="V178" i="11"/>
  <c r="V177" i="11"/>
  <c r="Y176" i="11"/>
  <c r="I76" i="11" l="1"/>
  <c r="G75" i="13"/>
  <c r="H75" i="13"/>
  <c r="F75" i="13"/>
  <c r="E76" i="13"/>
  <c r="I75" i="13"/>
  <c r="J75" i="13"/>
  <c r="K75" i="13"/>
  <c r="L75" i="13"/>
  <c r="M75" i="13"/>
  <c r="N75" i="13"/>
  <c r="O75" i="13"/>
  <c r="P75" i="13"/>
  <c r="Q75" i="13"/>
  <c r="R75" i="13"/>
  <c r="S75" i="13"/>
  <c r="T75" i="13"/>
  <c r="U75" i="13"/>
  <c r="V75" i="13"/>
  <c r="W75" i="13"/>
  <c r="X75" i="13"/>
  <c r="Y75" i="13"/>
  <c r="Z75" i="13"/>
  <c r="AA75" i="13"/>
  <c r="AB75" i="13"/>
  <c r="AC75" i="13"/>
  <c r="AD75" i="13"/>
  <c r="AE75" i="13"/>
  <c r="AF75" i="13"/>
  <c r="AG75" i="13"/>
  <c r="AH75" i="13"/>
  <c r="AI75" i="13"/>
  <c r="AJ75" i="13"/>
  <c r="AK75" i="13"/>
  <c r="F137" i="13"/>
  <c r="E138" i="13"/>
  <c r="G137" i="13"/>
  <c r="H137" i="13"/>
  <c r="I137" i="13"/>
  <c r="J137" i="13"/>
  <c r="K137" i="13"/>
  <c r="L137" i="13"/>
  <c r="M137" i="13"/>
  <c r="N137" i="13"/>
  <c r="O137" i="13"/>
  <c r="P137" i="13"/>
  <c r="Q137" i="13"/>
  <c r="R137" i="13"/>
  <c r="S137" i="13"/>
  <c r="T137" i="13"/>
  <c r="U137" i="13"/>
  <c r="V137" i="13"/>
  <c r="W137" i="13"/>
  <c r="X137" i="13"/>
  <c r="Y137" i="13"/>
  <c r="Z137" i="13"/>
  <c r="AA137" i="13"/>
  <c r="AB137" i="13"/>
  <c r="AC137" i="13"/>
  <c r="AD137" i="13"/>
  <c r="AE137" i="13"/>
  <c r="AF137" i="13"/>
  <c r="AG137" i="13"/>
  <c r="AH137" i="13"/>
  <c r="AI137" i="13"/>
  <c r="AJ137" i="13"/>
  <c r="AK137" i="13"/>
  <c r="Z517" i="11"/>
  <c r="Z547" i="11" s="1"/>
  <c r="Z555" i="11" s="1"/>
  <c r="AA509" i="11"/>
  <c r="AA544" i="11" s="1"/>
  <c r="AA554" i="11" s="1"/>
  <c r="AI645" i="11"/>
  <c r="AG633" i="11"/>
  <c r="Z176" i="11"/>
  <c r="W196" i="11"/>
  <c r="W185" i="11"/>
  <c r="X196" i="11"/>
  <c r="V196" i="11"/>
  <c r="X185" i="11"/>
  <c r="V185" i="11"/>
  <c r="X102"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77" i="11"/>
  <c r="U44" i="11"/>
  <c r="U43" i="11"/>
  <c r="U42" i="11"/>
  <c r="U41" i="11"/>
  <c r="EL4" i="10"/>
  <c r="EM4" i="10" s="1"/>
  <c r="EN4" i="10" s="1"/>
  <c r="EO4" i="10" s="1"/>
  <c r="EP4" i="10" s="1"/>
  <c r="EQ4" i="10" s="1"/>
  <c r="ER4" i="10" s="1"/>
  <c r="ES4" i="10" s="1"/>
  <c r="ET4" i="10" s="1"/>
  <c r="EU4" i="10" s="1"/>
  <c r="EV4" i="10" s="1"/>
  <c r="EW4" i="10" s="1"/>
  <c r="EX4" i="10" s="1"/>
  <c r="EY4" i="10" s="1"/>
  <c r="EZ4" i="10" s="1"/>
  <c r="FA4" i="10" s="1"/>
  <c r="FB4" i="10" s="1"/>
  <c r="FC4" i="10" s="1"/>
  <c r="FD4" i="10" s="1"/>
  <c r="FE4" i="10" s="1"/>
  <c r="FF4" i="10" s="1"/>
  <c r="FG4" i="10" s="1"/>
  <c r="FH4" i="10" s="1"/>
  <c r="FI4" i="10" s="1"/>
  <c r="FJ4" i="10" s="1"/>
  <c r="FK4" i="10" s="1"/>
  <c r="FL4" i="10" s="1"/>
  <c r="FM4" i="10" s="1"/>
  <c r="FN4" i="10" s="1"/>
  <c r="FO4" i="10" s="1"/>
  <c r="FP4" i="10" s="1"/>
  <c r="FQ4" i="10" s="1"/>
  <c r="FR4" i="10" s="1"/>
  <c r="FS4" i="10" s="1"/>
  <c r="FT4" i="10" s="1"/>
  <c r="FU4" i="10" s="1"/>
  <c r="FV4" i="10" s="1"/>
  <c r="FW4" i="10" s="1"/>
  <c r="FX4" i="10" s="1"/>
  <c r="FY4" i="10" s="1"/>
  <c r="FZ4" i="10" s="1"/>
  <c r="GA4" i="10" s="1"/>
  <c r="GB4" i="10" s="1"/>
  <c r="GC4" i="10" s="1"/>
  <c r="GD4" i="10" s="1"/>
  <c r="GE4" i="10" s="1"/>
  <c r="GF4" i="10" s="1"/>
  <c r="GG4" i="10" s="1"/>
  <c r="GH4" i="10" s="1"/>
  <c r="GI4" i="10" s="1"/>
  <c r="GJ4" i="10" s="1"/>
  <c r="GK4" i="10" s="1"/>
  <c r="GL4" i="10" s="1"/>
  <c r="GM4" i="10" s="1"/>
  <c r="GN4" i="10" s="1"/>
  <c r="GO4" i="10" s="1"/>
  <c r="GP4" i="10" s="1"/>
  <c r="Y162" i="11"/>
  <c r="Z162" i="11" s="1"/>
  <c r="AA162" i="11" s="1"/>
  <c r="AB162" i="11" s="1"/>
  <c r="AC162" i="11" s="1"/>
  <c r="AD162" i="11" s="1"/>
  <c r="AE162" i="11" s="1"/>
  <c r="AF162" i="11" s="1"/>
  <c r="AG162" i="11" s="1"/>
  <c r="AH162" i="11" s="1"/>
  <c r="AI162" i="11" s="1"/>
  <c r="AJ162" i="11" s="1"/>
  <c r="AK162" i="11" s="1"/>
  <c r="AL162" i="11" s="1"/>
  <c r="AM162" i="11" s="1"/>
  <c r="AN162" i="11" s="1"/>
  <c r="AO162" i="11" s="1"/>
  <c r="AP162" i="11" s="1"/>
  <c r="AQ162" i="11" s="1"/>
  <c r="AR162" i="11" s="1"/>
  <c r="AS162" i="11" s="1"/>
  <c r="AT162" i="11" s="1"/>
  <c r="AU162" i="11" s="1"/>
  <c r="AV162" i="11" s="1"/>
  <c r="AW162" i="11" s="1"/>
  <c r="AX162" i="11" s="1"/>
  <c r="AY162" i="11" s="1"/>
  <c r="AZ162" i="11" s="1"/>
  <c r="BA162" i="11" s="1"/>
  <c r="I77" i="11" l="1"/>
  <c r="F76" i="13"/>
  <c r="E77" i="13"/>
  <c r="G76" i="13"/>
  <c r="H76" i="13"/>
  <c r="I76" i="13"/>
  <c r="J76" i="13"/>
  <c r="K76" i="13"/>
  <c r="L76" i="13"/>
  <c r="M76" i="13"/>
  <c r="N76" i="13"/>
  <c r="O76" i="13"/>
  <c r="P76" i="13"/>
  <c r="Q76" i="13"/>
  <c r="R76" i="13"/>
  <c r="S76" i="13"/>
  <c r="T76" i="13"/>
  <c r="U76" i="13"/>
  <c r="V76" i="13"/>
  <c r="W76" i="13"/>
  <c r="X76" i="13"/>
  <c r="Y76" i="13"/>
  <c r="Z76" i="13"/>
  <c r="AA76" i="13"/>
  <c r="AB76" i="13"/>
  <c r="AC76" i="13"/>
  <c r="AD76" i="13"/>
  <c r="AE76" i="13"/>
  <c r="AF76" i="13"/>
  <c r="AG76" i="13"/>
  <c r="AH76" i="13"/>
  <c r="AI76" i="13"/>
  <c r="AJ76" i="13"/>
  <c r="AK76" i="13"/>
  <c r="H138" i="13"/>
  <c r="E139" i="13"/>
  <c r="F138" i="13"/>
  <c r="G138" i="13"/>
  <c r="I138" i="13"/>
  <c r="J138" i="13"/>
  <c r="K138" i="13"/>
  <c r="L138" i="13"/>
  <c r="M138" i="13"/>
  <c r="N138" i="13"/>
  <c r="O138" i="13"/>
  <c r="P138" i="13"/>
  <c r="Q138" i="13"/>
  <c r="R138" i="13"/>
  <c r="S138" i="13"/>
  <c r="T138" i="13"/>
  <c r="U138" i="13"/>
  <c r="V138" i="13"/>
  <c r="W138" i="13"/>
  <c r="X138" i="13"/>
  <c r="Y138" i="13"/>
  <c r="Z138" i="13"/>
  <c r="AA138" i="13"/>
  <c r="AB138" i="13"/>
  <c r="AC138" i="13"/>
  <c r="AD138" i="13"/>
  <c r="AE138" i="13"/>
  <c r="AF138" i="13"/>
  <c r="AG138" i="13"/>
  <c r="AH138" i="13"/>
  <c r="AI138" i="13"/>
  <c r="AJ138" i="13"/>
  <c r="AK138" i="13"/>
  <c r="AA517" i="11"/>
  <c r="AA547" i="11" s="1"/>
  <c r="AA555" i="11" s="1"/>
  <c r="AB509" i="11"/>
  <c r="AH633" i="11"/>
  <c r="AJ645" i="11"/>
  <c r="AA176" i="11"/>
  <c r="BD135" i="11"/>
  <c r="Y172" i="11"/>
  <c r="Z172" i="11" s="1"/>
  <c r="AA172" i="11" s="1"/>
  <c r="AB172" i="11" s="1"/>
  <c r="AC172" i="11" s="1"/>
  <c r="AD172" i="11" s="1"/>
  <c r="AE172" i="11" s="1"/>
  <c r="AF172" i="11" s="1"/>
  <c r="AG172" i="11" s="1"/>
  <c r="AH172" i="11" s="1"/>
  <c r="AI172" i="11" s="1"/>
  <c r="AJ172" i="11" s="1"/>
  <c r="AK172" i="11" s="1"/>
  <c r="AL172" i="11" s="1"/>
  <c r="AM172" i="11" s="1"/>
  <c r="AN172" i="11" s="1"/>
  <c r="AO172" i="11" s="1"/>
  <c r="AP172" i="11" s="1"/>
  <c r="AQ172" i="11" s="1"/>
  <c r="AR172" i="11" s="1"/>
  <c r="AS172" i="11" s="1"/>
  <c r="AT172" i="11" s="1"/>
  <c r="AU172" i="11" s="1"/>
  <c r="AV172" i="11" s="1"/>
  <c r="AW172" i="11" s="1"/>
  <c r="AX172" i="11" s="1"/>
  <c r="AY172" i="11" s="1"/>
  <c r="AZ172" i="11" s="1"/>
  <c r="BA172" i="11" s="1"/>
  <c r="Y169" i="11"/>
  <c r="Z169" i="11" s="1"/>
  <c r="AA169" i="11" s="1"/>
  <c r="AB169" i="11" s="1"/>
  <c r="AC169" i="11" s="1"/>
  <c r="AD169" i="11" s="1"/>
  <c r="AE169" i="11" s="1"/>
  <c r="AF169" i="11" s="1"/>
  <c r="AG169" i="11" s="1"/>
  <c r="AH169" i="11" s="1"/>
  <c r="AI169" i="11" s="1"/>
  <c r="AJ169" i="11" s="1"/>
  <c r="AK169" i="11" s="1"/>
  <c r="AL169" i="11" s="1"/>
  <c r="AM169" i="11" s="1"/>
  <c r="AN169" i="11" s="1"/>
  <c r="AO169" i="11" s="1"/>
  <c r="AP169" i="11" s="1"/>
  <c r="AQ169" i="11" s="1"/>
  <c r="AR169" i="11" s="1"/>
  <c r="AS169" i="11" s="1"/>
  <c r="AT169" i="11" s="1"/>
  <c r="AU169" i="11" s="1"/>
  <c r="AV169" i="11" s="1"/>
  <c r="AW169" i="11" s="1"/>
  <c r="AX169" i="11" s="1"/>
  <c r="AY169" i="11" s="1"/>
  <c r="AZ169" i="11" s="1"/>
  <c r="BA169" i="11" s="1"/>
  <c r="I78" i="11" l="1"/>
  <c r="G139" i="13"/>
  <c r="H139" i="13"/>
  <c r="F139" i="13"/>
  <c r="E140" i="13"/>
  <c r="I139" i="13"/>
  <c r="J139" i="13"/>
  <c r="K139" i="13"/>
  <c r="L139" i="13"/>
  <c r="M139" i="13"/>
  <c r="N139" i="13"/>
  <c r="O139" i="13"/>
  <c r="P139" i="13"/>
  <c r="Q139" i="13"/>
  <c r="R139" i="13"/>
  <c r="S139" i="13"/>
  <c r="T139" i="13"/>
  <c r="U139" i="13"/>
  <c r="V139" i="13"/>
  <c r="W139" i="13"/>
  <c r="X139" i="13"/>
  <c r="Y139" i="13"/>
  <c r="Z139" i="13"/>
  <c r="AA139" i="13"/>
  <c r="AB139" i="13"/>
  <c r="AC139" i="13"/>
  <c r="AD139" i="13"/>
  <c r="AE139" i="13"/>
  <c r="AF139" i="13"/>
  <c r="AG139" i="13"/>
  <c r="AH139" i="13"/>
  <c r="AI139" i="13"/>
  <c r="AJ139" i="13"/>
  <c r="AK139" i="13"/>
  <c r="F77" i="13"/>
  <c r="E78" i="13"/>
  <c r="G77" i="13"/>
  <c r="H77" i="13"/>
  <c r="I77" i="13"/>
  <c r="J77" i="13"/>
  <c r="K77" i="13"/>
  <c r="L77" i="13"/>
  <c r="M77" i="13"/>
  <c r="N77" i="13"/>
  <c r="O77" i="13"/>
  <c r="P77" i="13"/>
  <c r="Q77" i="13"/>
  <c r="R77" i="13"/>
  <c r="S77" i="13"/>
  <c r="T77" i="13"/>
  <c r="U77" i="13"/>
  <c r="V77" i="13"/>
  <c r="W77" i="13"/>
  <c r="X77" i="13"/>
  <c r="Y77" i="13"/>
  <c r="Z77" i="13"/>
  <c r="AA77" i="13"/>
  <c r="AB77" i="13"/>
  <c r="AC77" i="13"/>
  <c r="AD77" i="13"/>
  <c r="AE77" i="13"/>
  <c r="AF77" i="13"/>
  <c r="AG77" i="13"/>
  <c r="AH77" i="13"/>
  <c r="AI77" i="13"/>
  <c r="AJ77" i="13"/>
  <c r="AK77" i="13"/>
  <c r="AB517" i="11"/>
  <c r="AC517" i="11" s="1"/>
  <c r="AC547" i="11" s="1"/>
  <c r="AC555" i="11" s="1"/>
  <c r="AB544" i="11"/>
  <c r="AB554" i="11" s="1"/>
  <c r="AC509" i="11"/>
  <c r="AI633" i="11"/>
  <c r="AK645" i="11"/>
  <c r="AB176" i="11"/>
  <c r="V44" i="11"/>
  <c r="V43" i="11"/>
  <c r="V42" i="11"/>
  <c r="V41" i="11"/>
  <c r="U40" i="11"/>
  <c r="V40" i="11" s="1"/>
  <c r="T33" i="11"/>
  <c r="T32" i="11"/>
  <c r="X33" i="11"/>
  <c r="I79" i="11" l="1"/>
  <c r="G140" i="13"/>
  <c r="H140" i="13"/>
  <c r="F140" i="13"/>
  <c r="E141" i="13"/>
  <c r="I140" i="13"/>
  <c r="J140" i="13"/>
  <c r="K140" i="13"/>
  <c r="L140" i="13"/>
  <c r="M140" i="13"/>
  <c r="N140" i="13"/>
  <c r="O140" i="13"/>
  <c r="P140" i="13"/>
  <c r="Q140" i="13"/>
  <c r="R140" i="13"/>
  <c r="S140" i="13"/>
  <c r="T140" i="13"/>
  <c r="U140" i="13"/>
  <c r="V140" i="13"/>
  <c r="W140" i="13"/>
  <c r="X140" i="13"/>
  <c r="Y140" i="13"/>
  <c r="Z140" i="13"/>
  <c r="AA140" i="13"/>
  <c r="AB140" i="13"/>
  <c r="AC140" i="13"/>
  <c r="AD140" i="13"/>
  <c r="AE140" i="13"/>
  <c r="AF140" i="13"/>
  <c r="AG140" i="13"/>
  <c r="AH140" i="13"/>
  <c r="AI140" i="13"/>
  <c r="AJ140" i="13"/>
  <c r="AK140" i="13"/>
  <c r="H78" i="13"/>
  <c r="F78" i="13"/>
  <c r="E79" i="13"/>
  <c r="G78" i="13"/>
  <c r="I78" i="13"/>
  <c r="J78" i="13"/>
  <c r="K78" i="13"/>
  <c r="L78" i="13"/>
  <c r="M78" i="13"/>
  <c r="N78" i="13"/>
  <c r="O78" i="13"/>
  <c r="P78" i="13"/>
  <c r="Q78" i="13"/>
  <c r="R78" i="13"/>
  <c r="S78" i="13"/>
  <c r="T78" i="13"/>
  <c r="U78" i="13"/>
  <c r="V78" i="13"/>
  <c r="W78" i="13"/>
  <c r="X78" i="13"/>
  <c r="Y78" i="13"/>
  <c r="Z78" i="13"/>
  <c r="AA78" i="13"/>
  <c r="AB78" i="13"/>
  <c r="AC78" i="13"/>
  <c r="AD78" i="13"/>
  <c r="AE78" i="13"/>
  <c r="AF78" i="13"/>
  <c r="AG78" i="13"/>
  <c r="AH78" i="13"/>
  <c r="AI78" i="13"/>
  <c r="AJ78" i="13"/>
  <c r="AK78" i="13"/>
  <c r="AD517" i="11"/>
  <c r="AD547" i="11" s="1"/>
  <c r="AD555" i="11" s="1"/>
  <c r="AB547" i="11"/>
  <c r="AB555" i="11" s="1"/>
  <c r="AD509" i="11"/>
  <c r="AC544" i="11"/>
  <c r="AC554" i="11" s="1"/>
  <c r="Y33" i="11"/>
  <c r="X439" i="11"/>
  <c r="X441" i="11" s="1"/>
  <c r="X451" i="11" s="1"/>
  <c r="AL645" i="11"/>
  <c r="AJ633" i="11"/>
  <c r="AC176" i="11"/>
  <c r="T31" i="11"/>
  <c r="T30" i="11"/>
  <c r="T29" i="11"/>
  <c r="I80" i="11" l="1"/>
  <c r="G79" i="13"/>
  <c r="H79" i="13"/>
  <c r="F79" i="13"/>
  <c r="E80" i="13"/>
  <c r="I79" i="13"/>
  <c r="J79" i="13"/>
  <c r="K79" i="13"/>
  <c r="L79" i="13"/>
  <c r="M79" i="13"/>
  <c r="N79" i="13"/>
  <c r="O79" i="13"/>
  <c r="P79" i="13"/>
  <c r="Q79" i="13"/>
  <c r="R79" i="13"/>
  <c r="S79" i="13"/>
  <c r="T79" i="13"/>
  <c r="U79" i="13"/>
  <c r="V79" i="13"/>
  <c r="W79" i="13"/>
  <c r="X79" i="13"/>
  <c r="Y79" i="13"/>
  <c r="Z79" i="13"/>
  <c r="AA79" i="13"/>
  <c r="AB79" i="13"/>
  <c r="AC79" i="13"/>
  <c r="AD79" i="13"/>
  <c r="AE79" i="13"/>
  <c r="AF79" i="13"/>
  <c r="AG79" i="13"/>
  <c r="AH79" i="13"/>
  <c r="AI79" i="13"/>
  <c r="AJ79" i="13"/>
  <c r="AK79" i="13"/>
  <c r="F141" i="13"/>
  <c r="G141" i="13"/>
  <c r="H141" i="13"/>
  <c r="I141" i="13"/>
  <c r="J141" i="13"/>
  <c r="K141" i="13"/>
  <c r="L141" i="13"/>
  <c r="M141" i="13"/>
  <c r="N141" i="13"/>
  <c r="O141" i="13"/>
  <c r="P141" i="13"/>
  <c r="Q141" i="13"/>
  <c r="R141" i="13"/>
  <c r="S141" i="13"/>
  <c r="T141" i="13"/>
  <c r="U141" i="13"/>
  <c r="V141" i="13"/>
  <c r="W141" i="13"/>
  <c r="X141" i="13"/>
  <c r="Y141" i="13"/>
  <c r="Z141" i="13"/>
  <c r="AA141" i="13"/>
  <c r="AB141" i="13"/>
  <c r="AC141" i="13"/>
  <c r="AD141" i="13"/>
  <c r="AE141" i="13"/>
  <c r="AF141" i="13"/>
  <c r="AG141" i="13"/>
  <c r="AH141" i="13"/>
  <c r="AI141" i="13"/>
  <c r="AJ141" i="13"/>
  <c r="AK141" i="13"/>
  <c r="AE517" i="11"/>
  <c r="AE547" i="11" s="1"/>
  <c r="AE555" i="11" s="1"/>
  <c r="AE509" i="11"/>
  <c r="AD544" i="11"/>
  <c r="AD554" i="11" s="1"/>
  <c r="Z33" i="11"/>
  <c r="Y439" i="11"/>
  <c r="Y441" i="11" s="1"/>
  <c r="AK633" i="11"/>
  <c r="AM645" i="11"/>
  <c r="AD176" i="11"/>
  <c r="Y166" i="11"/>
  <c r="Z166" i="11" s="1"/>
  <c r="AA166" i="11" s="1"/>
  <c r="AB166" i="11" s="1"/>
  <c r="AC166" i="11" s="1"/>
  <c r="AD166" i="11" s="1"/>
  <c r="AE166" i="11" s="1"/>
  <c r="AF166" i="11" s="1"/>
  <c r="AG166" i="11" s="1"/>
  <c r="AH166" i="11" s="1"/>
  <c r="AI166" i="11" s="1"/>
  <c r="AJ166" i="11" s="1"/>
  <c r="AK166" i="11" s="1"/>
  <c r="AL166" i="11" s="1"/>
  <c r="AM166" i="11" s="1"/>
  <c r="AN166" i="11" s="1"/>
  <c r="AO166" i="11" s="1"/>
  <c r="AP166" i="11" s="1"/>
  <c r="AQ166" i="11" s="1"/>
  <c r="AR166" i="11" s="1"/>
  <c r="AS166" i="11" s="1"/>
  <c r="AT166" i="11" s="1"/>
  <c r="AU166" i="11" s="1"/>
  <c r="AV166" i="11" s="1"/>
  <c r="AW166" i="11" s="1"/>
  <c r="AX166" i="11" s="1"/>
  <c r="AY166" i="11" s="1"/>
  <c r="AZ166" i="11" s="1"/>
  <c r="BA166" i="11" s="1"/>
  <c r="C176" i="20"/>
  <c r="D176" i="20" s="1"/>
  <c r="E176" i="20" s="1"/>
  <c r="F176" i="20" s="1"/>
  <c r="G176" i="20" s="1"/>
  <c r="H176" i="20" s="1"/>
  <c r="I176" i="20" s="1"/>
  <c r="J176" i="20" s="1"/>
  <c r="K176" i="20" s="1"/>
  <c r="L176" i="20" s="1"/>
  <c r="M176" i="20" s="1"/>
  <c r="N176" i="20" s="1"/>
  <c r="O176" i="20" s="1"/>
  <c r="P176" i="20" s="1"/>
  <c r="Q176" i="20" s="1"/>
  <c r="R176" i="20" s="1"/>
  <c r="S176" i="20" s="1"/>
  <c r="T176" i="20" s="1"/>
  <c r="U176" i="20" s="1"/>
  <c r="V176" i="20" s="1"/>
  <c r="W176" i="20" s="1"/>
  <c r="X176" i="20" s="1"/>
  <c r="Y176" i="20" s="1"/>
  <c r="Z176" i="20" s="1"/>
  <c r="AA176" i="20" s="1"/>
  <c r="AB176" i="20" s="1"/>
  <c r="AC176" i="20" s="1"/>
  <c r="AD176" i="20" s="1"/>
  <c r="I81" i="11" l="1"/>
  <c r="F80" i="13"/>
  <c r="G80" i="13"/>
  <c r="H80" i="13"/>
  <c r="I80" i="13"/>
  <c r="J80" i="13"/>
  <c r="K80" i="13"/>
  <c r="L80" i="13"/>
  <c r="M80" i="13"/>
  <c r="N80" i="13"/>
  <c r="O80" i="13"/>
  <c r="P80" i="13"/>
  <c r="Q80" i="13"/>
  <c r="R80" i="13"/>
  <c r="S80" i="13"/>
  <c r="T80" i="13"/>
  <c r="U80" i="13"/>
  <c r="V80" i="13"/>
  <c r="W80" i="13"/>
  <c r="X80" i="13"/>
  <c r="Y80" i="13"/>
  <c r="Z80" i="13"/>
  <c r="AA80" i="13"/>
  <c r="AB80" i="13"/>
  <c r="AC80" i="13"/>
  <c r="AD80" i="13"/>
  <c r="AE80" i="13"/>
  <c r="AF80" i="13"/>
  <c r="AG80" i="13"/>
  <c r="AH80" i="13"/>
  <c r="AI80" i="13"/>
  <c r="AJ80" i="13"/>
  <c r="AK80" i="13"/>
  <c r="AF517" i="11"/>
  <c r="AG517" i="11" s="1"/>
  <c r="AF509" i="11"/>
  <c r="AE544" i="11"/>
  <c r="AE554" i="11" s="1"/>
  <c r="Y451" i="11"/>
  <c r="AA33" i="11"/>
  <c r="Z439" i="11"/>
  <c r="Z441" i="11" s="1"/>
  <c r="AN645" i="11"/>
  <c r="AL633" i="11"/>
  <c r="AE176" i="11"/>
  <c r="D3" i="12"/>
  <c r="I82" i="11" l="1"/>
  <c r="AF547" i="11"/>
  <c r="AF555" i="11" s="1"/>
  <c r="AF544" i="11"/>
  <c r="AF554" i="11" s="1"/>
  <c r="AG509" i="11"/>
  <c r="AG547" i="11"/>
  <c r="AG555" i="11" s="1"/>
  <c r="AH517" i="11"/>
  <c r="Z451" i="11"/>
  <c r="AB33" i="11"/>
  <c r="AA439" i="11"/>
  <c r="AO645" i="11"/>
  <c r="AM633" i="11"/>
  <c r="AF176" i="11"/>
  <c r="D18" i="17"/>
  <c r="E18" i="17" s="1"/>
  <c r="F18" i="17" s="1"/>
  <c r="G18" i="17" s="1"/>
  <c r="H18" i="17" s="1"/>
  <c r="I18" i="17" s="1"/>
  <c r="J18" i="17" s="1"/>
  <c r="K18" i="17" s="1"/>
  <c r="L18" i="17" s="1"/>
  <c r="M18" i="17" s="1"/>
  <c r="N18" i="17" s="1"/>
  <c r="O18" i="17" s="1"/>
  <c r="P18" i="17" s="1"/>
  <c r="Q18" i="17" s="1"/>
  <c r="R18" i="17" s="1"/>
  <c r="S18" i="17" s="1"/>
  <c r="T18" i="17" s="1"/>
  <c r="U18" i="17" s="1"/>
  <c r="V18" i="17" s="1"/>
  <c r="W18" i="17" s="1"/>
  <c r="X18" i="17" s="1"/>
  <c r="Y18" i="17" s="1"/>
  <c r="Z18" i="17" s="1"/>
  <c r="AA18" i="17" s="1"/>
  <c r="AB18" i="17" s="1"/>
  <c r="AC18" i="17" s="1"/>
  <c r="AD18" i="17" s="1"/>
  <c r="AE18" i="17" s="1"/>
  <c r="C4" i="17"/>
  <c r="C3" i="17"/>
  <c r="D8" i="17"/>
  <c r="E8" i="17" s="1"/>
  <c r="F8" i="17" s="1"/>
  <c r="G8" i="17" s="1"/>
  <c r="H8" i="17" s="1"/>
  <c r="I8" i="17" s="1"/>
  <c r="J8" i="17" s="1"/>
  <c r="K8" i="17" s="1"/>
  <c r="L8" i="17" s="1"/>
  <c r="M8" i="17" s="1"/>
  <c r="N8" i="17" s="1"/>
  <c r="O8" i="17" s="1"/>
  <c r="P8" i="17" s="1"/>
  <c r="Q8" i="17" s="1"/>
  <c r="R8" i="17" s="1"/>
  <c r="S8" i="17" s="1"/>
  <c r="T8" i="17" s="1"/>
  <c r="U8" i="17" s="1"/>
  <c r="V8" i="17" s="1"/>
  <c r="W8" i="17" s="1"/>
  <c r="X8" i="17" s="1"/>
  <c r="Y8" i="17" s="1"/>
  <c r="Z8" i="17" s="1"/>
  <c r="AA8" i="17" s="1"/>
  <c r="AB8" i="17" s="1"/>
  <c r="AC8" i="17" s="1"/>
  <c r="AD8" i="17" s="1"/>
  <c r="AE8" i="17" s="1"/>
  <c r="AH509" i="11" l="1"/>
  <c r="AG544" i="11"/>
  <c r="AG554" i="11" s="1"/>
  <c r="AI517" i="11"/>
  <c r="AH547" i="11"/>
  <c r="AH555" i="11" s="1"/>
  <c r="AE440" i="11"/>
  <c r="AI440" i="11"/>
  <c r="AB440" i="11"/>
  <c r="AF440" i="11"/>
  <c r="AJ440" i="11"/>
  <c r="AC440" i="11"/>
  <c r="AG440" i="11"/>
  <c r="AK440" i="11"/>
  <c r="AD440" i="11"/>
  <c r="AH440" i="11"/>
  <c r="AA441" i="11"/>
  <c r="AA451" i="11" s="1"/>
  <c r="AC33" i="11"/>
  <c r="AB439" i="11"/>
  <c r="AN633" i="11"/>
  <c r="AP645" i="11"/>
  <c r="AG176" i="11"/>
  <c r="AE981" i="20"/>
  <c r="AE982" i="20" s="1"/>
  <c r="AE983" i="20" s="1"/>
  <c r="AE984" i="20" s="1"/>
  <c r="AE985" i="20" s="1"/>
  <c r="AE986" i="20" s="1"/>
  <c r="AE987" i="20" s="1"/>
  <c r="AE988" i="20" s="1"/>
  <c r="AE989" i="20" s="1"/>
  <c r="AM979" i="20"/>
  <c r="AN979" i="20" s="1"/>
  <c r="AO979" i="20" s="1"/>
  <c r="AP979" i="20" s="1"/>
  <c r="AQ979" i="20" s="1"/>
  <c r="AR979" i="20" s="1"/>
  <c r="AS979" i="20" s="1"/>
  <c r="AT979" i="20" s="1"/>
  <c r="AU979" i="20" s="1"/>
  <c r="AV979" i="20" s="1"/>
  <c r="AW979" i="20" s="1"/>
  <c r="AX979" i="20" s="1"/>
  <c r="AY979" i="20" s="1"/>
  <c r="AZ979" i="20" s="1"/>
  <c r="BA979" i="20" s="1"/>
  <c r="BB979" i="20" s="1"/>
  <c r="BC979" i="20" s="1"/>
  <c r="BD979" i="20" s="1"/>
  <c r="BE979" i="20" s="1"/>
  <c r="BF979" i="20" s="1"/>
  <c r="BG979" i="20" s="1"/>
  <c r="BH979" i="20" s="1"/>
  <c r="BI979" i="20" s="1"/>
  <c r="BJ979" i="20" s="1"/>
  <c r="BK979" i="20" s="1"/>
  <c r="BL979" i="20" s="1"/>
  <c r="BM979" i="20" s="1"/>
  <c r="BN979" i="20" s="1"/>
  <c r="AF989" i="20"/>
  <c r="AF988" i="20"/>
  <c r="AF987" i="20"/>
  <c r="AF986" i="20"/>
  <c r="AF985" i="20"/>
  <c r="AF984" i="20"/>
  <c r="AF983" i="20"/>
  <c r="AF982" i="20"/>
  <c r="AF981" i="20"/>
  <c r="AF980" i="20"/>
  <c r="AJ517" i="11" l="1"/>
  <c r="AI547" i="11"/>
  <c r="AI555" i="11" s="1"/>
  <c r="AI509" i="11"/>
  <c r="AH544" i="11"/>
  <c r="AH554" i="11" s="1"/>
  <c r="AB441" i="11"/>
  <c r="AB451" i="11" s="1"/>
  <c r="AD33" i="11"/>
  <c r="AC439" i="11"/>
  <c r="AQ645" i="11"/>
  <c r="AO633" i="11"/>
  <c r="AH176" i="11"/>
  <c r="BQ850" i="20"/>
  <c r="BQ849" i="20"/>
  <c r="BQ848" i="20"/>
  <c r="BQ847" i="20"/>
  <c r="BQ846" i="20"/>
  <c r="BQ845" i="20"/>
  <c r="BQ844" i="20"/>
  <c r="BQ843" i="20"/>
  <c r="BQ839" i="20"/>
  <c r="BQ838" i="20"/>
  <c r="BQ837" i="20"/>
  <c r="BQ836" i="20"/>
  <c r="BQ835" i="20"/>
  <c r="BQ834" i="20"/>
  <c r="BQ833" i="20"/>
  <c r="BQ832" i="20"/>
  <c r="BQ828" i="20"/>
  <c r="BQ827" i="20"/>
  <c r="BQ826" i="20"/>
  <c r="BQ825" i="20"/>
  <c r="BQ824" i="20"/>
  <c r="BQ823" i="20"/>
  <c r="BQ822" i="20"/>
  <c r="BQ821" i="20"/>
  <c r="BQ817" i="20"/>
  <c r="BQ816" i="20"/>
  <c r="BQ815" i="20"/>
  <c r="BQ814" i="20"/>
  <c r="BQ813" i="20"/>
  <c r="BQ812" i="20"/>
  <c r="BQ811" i="20"/>
  <c r="BQ810" i="20"/>
  <c r="BQ806" i="20"/>
  <c r="BQ805" i="20"/>
  <c r="BQ804" i="20"/>
  <c r="BQ803" i="20"/>
  <c r="BQ802" i="20"/>
  <c r="BQ801" i="20"/>
  <c r="BQ800" i="20"/>
  <c r="BQ799" i="20"/>
  <c r="BQ795" i="20"/>
  <c r="BQ794" i="20"/>
  <c r="BQ793" i="20"/>
  <c r="BQ792" i="20"/>
  <c r="BQ791" i="20"/>
  <c r="BQ790" i="20"/>
  <c r="BQ789" i="20"/>
  <c r="BQ788" i="20"/>
  <c r="BQ777" i="20"/>
  <c r="BQ778" i="20"/>
  <c r="BQ779" i="20"/>
  <c r="BQ780" i="20"/>
  <c r="BQ781" i="20"/>
  <c r="BQ782" i="20"/>
  <c r="BQ783" i="20"/>
  <c r="BQ776" i="20"/>
  <c r="BQ766" i="20"/>
  <c r="BQ767" i="20"/>
  <c r="BQ768" i="20"/>
  <c r="BQ769" i="20"/>
  <c r="BQ770" i="20"/>
  <c r="BQ771" i="20"/>
  <c r="BQ772" i="20"/>
  <c r="BQ765" i="20"/>
  <c r="BQ755" i="20"/>
  <c r="BQ756" i="20"/>
  <c r="BQ757" i="20"/>
  <c r="BQ758" i="20"/>
  <c r="BQ759" i="20"/>
  <c r="BQ760" i="20"/>
  <c r="BQ761" i="20"/>
  <c r="BQ754" i="20"/>
  <c r="BQ750" i="20"/>
  <c r="BQ744" i="20"/>
  <c r="BQ745" i="20"/>
  <c r="BQ746" i="20"/>
  <c r="BQ747" i="20"/>
  <c r="BQ748" i="20"/>
  <c r="BQ749" i="20"/>
  <c r="BQ743" i="20"/>
  <c r="BQ739" i="20"/>
  <c r="BQ733" i="20"/>
  <c r="BQ734" i="20"/>
  <c r="BQ735" i="20"/>
  <c r="BQ736" i="20"/>
  <c r="BQ737" i="20"/>
  <c r="BQ738" i="20"/>
  <c r="BQ732" i="20"/>
  <c r="BQ722" i="20"/>
  <c r="BQ723" i="20"/>
  <c r="BQ724" i="20"/>
  <c r="BQ725" i="20"/>
  <c r="BQ726" i="20"/>
  <c r="BQ727" i="20"/>
  <c r="BQ728" i="20"/>
  <c r="BQ721" i="20"/>
  <c r="AJ509" i="11" l="1"/>
  <c r="AI544" i="11"/>
  <c r="AI554" i="11" s="1"/>
  <c r="AK517" i="11"/>
  <c r="AJ547" i="11"/>
  <c r="AJ555" i="11" s="1"/>
  <c r="AC441" i="11"/>
  <c r="AE33" i="11"/>
  <c r="AD439" i="11"/>
  <c r="AP633" i="11"/>
  <c r="AR645" i="11"/>
  <c r="AI176" i="11"/>
  <c r="BQ671" i="20"/>
  <c r="BQ672" i="20"/>
  <c r="BQ673" i="20"/>
  <c r="BQ674" i="20"/>
  <c r="BQ675" i="20"/>
  <c r="BQ676" i="20"/>
  <c r="BQ677" i="20"/>
  <c r="BQ670" i="20"/>
  <c r="BQ660" i="20"/>
  <c r="BQ661" i="20"/>
  <c r="BQ662" i="20"/>
  <c r="BQ663" i="20"/>
  <c r="BQ664" i="20"/>
  <c r="BQ665" i="20"/>
  <c r="BQ666" i="20"/>
  <c r="BQ659" i="20"/>
  <c r="BQ649" i="20"/>
  <c r="BQ650" i="20"/>
  <c r="BQ651" i="20"/>
  <c r="BQ652" i="20"/>
  <c r="BQ653" i="20"/>
  <c r="BQ654" i="20"/>
  <c r="BQ655" i="20"/>
  <c r="BQ648" i="20"/>
  <c r="BQ638" i="20"/>
  <c r="BQ639" i="20"/>
  <c r="BQ640" i="20"/>
  <c r="BQ641" i="20"/>
  <c r="BQ642" i="20"/>
  <c r="BQ643" i="20"/>
  <c r="BQ644" i="20"/>
  <c r="BQ637" i="20"/>
  <c r="BQ627" i="20"/>
  <c r="BQ628" i="20"/>
  <c r="BQ629" i="20"/>
  <c r="BQ630" i="20"/>
  <c r="BQ631" i="20"/>
  <c r="BQ632" i="20"/>
  <c r="BQ633" i="20"/>
  <c r="BQ616" i="20"/>
  <c r="BQ617" i="20"/>
  <c r="BQ618" i="20"/>
  <c r="BQ619" i="20"/>
  <c r="BQ620" i="20"/>
  <c r="BQ621" i="20"/>
  <c r="BQ622" i="20"/>
  <c r="BQ626" i="20"/>
  <c r="BQ615" i="20"/>
  <c r="BQ549" i="20"/>
  <c r="BQ550" i="20"/>
  <c r="BQ551" i="20"/>
  <c r="BQ552" i="20"/>
  <c r="BQ553" i="20"/>
  <c r="BQ554" i="20"/>
  <c r="BQ555" i="20"/>
  <c r="BQ548" i="20"/>
  <c r="BQ537" i="20"/>
  <c r="BQ527" i="20"/>
  <c r="BQ528" i="20"/>
  <c r="BQ529" i="20"/>
  <c r="BQ530" i="20"/>
  <c r="BQ531" i="20"/>
  <c r="BQ532" i="20"/>
  <c r="BQ533" i="20"/>
  <c r="BQ526" i="20"/>
  <c r="BQ516" i="20"/>
  <c r="BQ517" i="20"/>
  <c r="BQ518" i="20"/>
  <c r="BQ519" i="20"/>
  <c r="BQ520" i="20"/>
  <c r="BQ521" i="20"/>
  <c r="BQ522" i="20"/>
  <c r="BQ515" i="20"/>
  <c r="BQ571" i="20"/>
  <c r="BQ572" i="20"/>
  <c r="BQ573" i="20"/>
  <c r="BQ574" i="20"/>
  <c r="BQ575" i="20"/>
  <c r="BQ576" i="20"/>
  <c r="BQ577" i="20"/>
  <c r="BQ570" i="20"/>
  <c r="BQ560" i="20"/>
  <c r="BQ561" i="20"/>
  <c r="BQ562" i="20"/>
  <c r="BQ563" i="20"/>
  <c r="BQ564" i="20"/>
  <c r="BQ565" i="20"/>
  <c r="BQ566" i="20"/>
  <c r="BQ559" i="20"/>
  <c r="AL721" i="20"/>
  <c r="BQ538" i="20"/>
  <c r="BQ539" i="20"/>
  <c r="BQ540" i="20"/>
  <c r="BQ541" i="20"/>
  <c r="BQ542" i="20"/>
  <c r="BQ543" i="20"/>
  <c r="BQ544" i="20"/>
  <c r="AL533" i="20"/>
  <c r="AM533" i="20" s="1"/>
  <c r="AN533" i="20" s="1"/>
  <c r="AO533" i="20" s="1"/>
  <c r="AP533" i="20" s="1"/>
  <c r="AQ533" i="20" s="1"/>
  <c r="AR533" i="20" s="1"/>
  <c r="AS533" i="20" s="1"/>
  <c r="AL532" i="20"/>
  <c r="AM532" i="20" s="1"/>
  <c r="AN532" i="20" s="1"/>
  <c r="AO532" i="20" s="1"/>
  <c r="AP532" i="20" s="1"/>
  <c r="AQ532" i="20" s="1"/>
  <c r="AR532" i="20" s="1"/>
  <c r="AS532" i="20" s="1"/>
  <c r="AL531" i="20"/>
  <c r="AM531" i="20" s="1"/>
  <c r="AN531" i="20" s="1"/>
  <c r="AO531" i="20" s="1"/>
  <c r="AP531" i="20" s="1"/>
  <c r="AQ531" i="20" s="1"/>
  <c r="AR531" i="20" s="1"/>
  <c r="AS531" i="20" s="1"/>
  <c r="AL530" i="20"/>
  <c r="AM530" i="20" s="1"/>
  <c r="AN530" i="20" s="1"/>
  <c r="AO530" i="20" s="1"/>
  <c r="AP530" i="20" s="1"/>
  <c r="AQ530" i="20" s="1"/>
  <c r="AR530" i="20" s="1"/>
  <c r="AS530" i="20" s="1"/>
  <c r="AL529" i="20"/>
  <c r="AM529" i="20" s="1"/>
  <c r="AN529" i="20" s="1"/>
  <c r="AO529" i="20" s="1"/>
  <c r="AP529" i="20" s="1"/>
  <c r="AQ529" i="20" s="1"/>
  <c r="AR529" i="20" s="1"/>
  <c r="AS529" i="20" s="1"/>
  <c r="AL528" i="20"/>
  <c r="AM528" i="20" s="1"/>
  <c r="AN528" i="20" s="1"/>
  <c r="AO528" i="20" s="1"/>
  <c r="AP528" i="20" s="1"/>
  <c r="AQ528" i="20" s="1"/>
  <c r="AR528" i="20" s="1"/>
  <c r="AS528" i="20" s="1"/>
  <c r="AL527" i="20"/>
  <c r="AM527" i="20" s="1"/>
  <c r="AN527" i="20" s="1"/>
  <c r="AO527" i="20" s="1"/>
  <c r="AP527" i="20" s="1"/>
  <c r="AQ527" i="20" s="1"/>
  <c r="AR527" i="20" s="1"/>
  <c r="AS527" i="20" s="1"/>
  <c r="AL526" i="20"/>
  <c r="AM526" i="20" s="1"/>
  <c r="AN526" i="20" s="1"/>
  <c r="AO526" i="20" s="1"/>
  <c r="AP526" i="20" s="1"/>
  <c r="AQ526" i="20" s="1"/>
  <c r="AR526" i="20" s="1"/>
  <c r="AS526" i="20" s="1"/>
  <c r="AI515" i="20"/>
  <c r="AL522" i="20"/>
  <c r="AL521" i="20"/>
  <c r="AL520" i="20"/>
  <c r="AL519" i="20"/>
  <c r="AL518" i="20"/>
  <c r="AL516" i="20"/>
  <c r="AL517" i="20"/>
  <c r="AL515" i="20"/>
  <c r="AK547" i="11" l="1"/>
  <c r="AK555" i="11" s="1"/>
  <c r="AL517" i="11"/>
  <c r="AK509" i="11"/>
  <c r="AJ544" i="11"/>
  <c r="AJ554" i="11" s="1"/>
  <c r="AC451" i="11"/>
  <c r="AD441" i="11"/>
  <c r="AF33" i="11"/>
  <c r="AE439" i="11"/>
  <c r="AQ633" i="11"/>
  <c r="AS645" i="11"/>
  <c r="AJ176" i="11"/>
  <c r="Y131" i="11"/>
  <c r="Z131" i="11" s="1"/>
  <c r="AA131" i="11" s="1"/>
  <c r="AB131" i="11" s="1"/>
  <c r="AC131" i="11" s="1"/>
  <c r="AD131" i="11" s="1"/>
  <c r="AE131" i="11" s="1"/>
  <c r="AF131" i="11" s="1"/>
  <c r="AG131" i="11" s="1"/>
  <c r="AH131" i="11" s="1"/>
  <c r="AI131" i="11" s="1"/>
  <c r="AJ131" i="11" s="1"/>
  <c r="AK131" i="11" s="1"/>
  <c r="AL131" i="11" s="1"/>
  <c r="AM131" i="11" s="1"/>
  <c r="AN131" i="11" s="1"/>
  <c r="AO131" i="11" s="1"/>
  <c r="AP131" i="11" s="1"/>
  <c r="AQ131" i="11" s="1"/>
  <c r="AR131" i="11" s="1"/>
  <c r="AS131" i="11" s="1"/>
  <c r="AT131" i="11" s="1"/>
  <c r="AU131" i="11" s="1"/>
  <c r="AV131" i="11" s="1"/>
  <c r="AW131" i="11" s="1"/>
  <c r="AX131" i="11" s="1"/>
  <c r="AY131" i="11" s="1"/>
  <c r="AZ131" i="11" s="1"/>
  <c r="BA131" i="11" s="1"/>
  <c r="Y126" i="11"/>
  <c r="Z126" i="11" s="1"/>
  <c r="AA126" i="11" s="1"/>
  <c r="AB126" i="11" s="1"/>
  <c r="AC126" i="11" s="1"/>
  <c r="AD126" i="11" s="1"/>
  <c r="AE126" i="11" s="1"/>
  <c r="AF126" i="11" s="1"/>
  <c r="AG126" i="11" s="1"/>
  <c r="AH126" i="11" s="1"/>
  <c r="AI126" i="11" s="1"/>
  <c r="AJ126" i="11" s="1"/>
  <c r="AK126" i="11" s="1"/>
  <c r="AL126" i="11" s="1"/>
  <c r="AM126" i="11" s="1"/>
  <c r="AN126" i="11" s="1"/>
  <c r="AO126" i="11" s="1"/>
  <c r="AP126" i="11" s="1"/>
  <c r="AQ126" i="11" s="1"/>
  <c r="AR126" i="11" s="1"/>
  <c r="AS126" i="11" s="1"/>
  <c r="AT126" i="11" s="1"/>
  <c r="AU126" i="11" s="1"/>
  <c r="AV126" i="11" s="1"/>
  <c r="AW126" i="11" s="1"/>
  <c r="AX126" i="11" s="1"/>
  <c r="AY126" i="11" s="1"/>
  <c r="AZ126" i="11" s="1"/>
  <c r="BA126" i="11" s="1"/>
  <c r="Y135" i="11"/>
  <c r="Z135" i="11" s="1"/>
  <c r="AA135" i="11" s="1"/>
  <c r="AB135" i="11" s="1"/>
  <c r="AC135" i="11" s="1"/>
  <c r="AD135" i="11" s="1"/>
  <c r="AE135" i="11" s="1"/>
  <c r="AF135" i="11" s="1"/>
  <c r="AG135" i="11" s="1"/>
  <c r="AH135" i="11" s="1"/>
  <c r="AI135" i="11" s="1"/>
  <c r="AJ135" i="11" s="1"/>
  <c r="AK135" i="11" s="1"/>
  <c r="AL135" i="11" s="1"/>
  <c r="AM135" i="11" s="1"/>
  <c r="AN135" i="11" s="1"/>
  <c r="AO135" i="11" s="1"/>
  <c r="AP135" i="11" s="1"/>
  <c r="AQ135" i="11" s="1"/>
  <c r="AR135" i="11" s="1"/>
  <c r="AS135" i="11" s="1"/>
  <c r="AT135" i="11" s="1"/>
  <c r="AU135" i="11" s="1"/>
  <c r="AV135" i="11" s="1"/>
  <c r="AW135" i="11" s="1"/>
  <c r="AX135" i="11" s="1"/>
  <c r="AY135" i="11" s="1"/>
  <c r="AZ135" i="11" s="1"/>
  <c r="BA135" i="11" s="1"/>
  <c r="Y123" i="11"/>
  <c r="Z123" i="11" s="1"/>
  <c r="AA123" i="11" s="1"/>
  <c r="AB123" i="11" s="1"/>
  <c r="AC123" i="11" s="1"/>
  <c r="AD123" i="11" s="1"/>
  <c r="AE123" i="11" s="1"/>
  <c r="AF123" i="11" s="1"/>
  <c r="AG123" i="11" s="1"/>
  <c r="AH123" i="11" s="1"/>
  <c r="AI123" i="11" s="1"/>
  <c r="AJ123" i="11" s="1"/>
  <c r="AK123" i="11" s="1"/>
  <c r="AL123" i="11" s="1"/>
  <c r="AM123" i="11" s="1"/>
  <c r="AN123" i="11" s="1"/>
  <c r="AO123" i="11" s="1"/>
  <c r="AP123" i="11" s="1"/>
  <c r="AQ123" i="11" s="1"/>
  <c r="AR123" i="11" s="1"/>
  <c r="AS123" i="11" s="1"/>
  <c r="AT123" i="11" s="1"/>
  <c r="AU123" i="11" s="1"/>
  <c r="AV123" i="11" s="1"/>
  <c r="AW123" i="11" s="1"/>
  <c r="AX123" i="11" s="1"/>
  <c r="AY123" i="11" s="1"/>
  <c r="AZ123" i="11" s="1"/>
  <c r="BA123" i="11" s="1"/>
  <c r="AL509" i="11" l="1"/>
  <c r="AK544" i="11"/>
  <c r="AK554" i="11" s="1"/>
  <c r="AM517" i="11"/>
  <c r="AL547" i="11"/>
  <c r="AL555" i="11" s="1"/>
  <c r="AD451" i="11"/>
  <c r="AE441" i="11"/>
  <c r="AG33" i="11"/>
  <c r="AF439" i="11"/>
  <c r="AT645" i="11"/>
  <c r="AR633" i="11"/>
  <c r="AK176" i="11"/>
  <c r="T57" i="11"/>
  <c r="T58" i="11"/>
  <c r="T59" i="11"/>
  <c r="T60" i="11"/>
  <c r="T61" i="11"/>
  <c r="T62" i="11"/>
  <c r="T63" i="11"/>
  <c r="T64" i="11"/>
  <c r="T65" i="11"/>
  <c r="T66" i="11"/>
  <c r="T67" i="11"/>
  <c r="T68" i="11"/>
  <c r="T69" i="11"/>
  <c r="T70" i="11"/>
  <c r="T56" i="11"/>
  <c r="V33" i="11"/>
  <c r="V32" i="11"/>
  <c r="V31" i="11"/>
  <c r="V30" i="11"/>
  <c r="V29" i="11"/>
  <c r="W33" i="11"/>
  <c r="W32" i="11"/>
  <c r="W31" i="11"/>
  <c r="W30" i="11"/>
  <c r="W29" i="11"/>
  <c r="W70" i="11"/>
  <c r="W69" i="11"/>
  <c r="W68" i="11"/>
  <c r="W67" i="11"/>
  <c r="W66" i="11"/>
  <c r="W65" i="11"/>
  <c r="W64" i="11"/>
  <c r="W63" i="11"/>
  <c r="W62" i="11"/>
  <c r="W61" i="11"/>
  <c r="W60" i="11"/>
  <c r="W59" i="11"/>
  <c r="W58" i="11"/>
  <c r="W57" i="11"/>
  <c r="W56" i="11"/>
  <c r="V70" i="11"/>
  <c r="V69" i="11"/>
  <c r="V68" i="11"/>
  <c r="V67" i="11"/>
  <c r="V66" i="11"/>
  <c r="V65" i="11"/>
  <c r="V64" i="11"/>
  <c r="V63" i="11"/>
  <c r="V62" i="11"/>
  <c r="V61" i="11"/>
  <c r="V60" i="11"/>
  <c r="V59" i="11"/>
  <c r="V58" i="11"/>
  <c r="V57" i="11"/>
  <c r="V56" i="11"/>
  <c r="Y7" i="11"/>
  <c r="Z7" i="11" s="1"/>
  <c r="AA7" i="11" s="1"/>
  <c r="AB7" i="11" s="1"/>
  <c r="AC7" i="11" s="1"/>
  <c r="AD7" i="11" s="1"/>
  <c r="AE7" i="11" s="1"/>
  <c r="AF7" i="11" s="1"/>
  <c r="AG7" i="11" s="1"/>
  <c r="AH7" i="11" s="1"/>
  <c r="AI7" i="11" s="1"/>
  <c r="AJ7" i="11" s="1"/>
  <c r="AK7" i="11" s="1"/>
  <c r="AL7" i="11" s="1"/>
  <c r="AM7" i="11" s="1"/>
  <c r="AN7" i="11" s="1"/>
  <c r="AO7" i="11" s="1"/>
  <c r="AP7" i="11" s="1"/>
  <c r="AQ7" i="11" s="1"/>
  <c r="AR7" i="11" s="1"/>
  <c r="AS7" i="11" s="1"/>
  <c r="AT7" i="11" s="1"/>
  <c r="AU7" i="11" s="1"/>
  <c r="AV7" i="11" s="1"/>
  <c r="AW7" i="11" s="1"/>
  <c r="AX7" i="11" s="1"/>
  <c r="AY7" i="11" s="1"/>
  <c r="AZ7" i="11" s="1"/>
  <c r="BA7" i="11" s="1"/>
  <c r="AN517" i="11" l="1"/>
  <c r="AM547" i="11"/>
  <c r="AM555" i="11" s="1"/>
  <c r="AM509" i="11"/>
  <c r="AL544" i="11"/>
  <c r="AL554" i="11" s="1"/>
  <c r="AE451" i="11"/>
  <c r="AF441" i="11"/>
  <c r="AH33" i="11"/>
  <c r="AG439" i="11"/>
  <c r="U70" i="11"/>
  <c r="AS633" i="11"/>
  <c r="AU645" i="11"/>
  <c r="AL176" i="11"/>
  <c r="U29" i="11"/>
  <c r="U56" i="11"/>
  <c r="U64" i="11"/>
  <c r="U68" i="11"/>
  <c r="U30" i="11"/>
  <c r="U60" i="11"/>
  <c r="U59" i="11"/>
  <c r="U63" i="11"/>
  <c r="U67" i="11"/>
  <c r="U61" i="11"/>
  <c r="U65" i="11"/>
  <c r="U69" i="11"/>
  <c r="U57" i="11"/>
  <c r="U58" i="11"/>
  <c r="U62" i="11"/>
  <c r="U66" i="11"/>
  <c r="U31" i="11"/>
  <c r="U32" i="11"/>
  <c r="A20" i="20"/>
  <c r="A19" i="20"/>
  <c r="A18" i="20"/>
  <c r="A17" i="20"/>
  <c r="A16" i="20"/>
  <c r="A15" i="20"/>
  <c r="A10" i="20"/>
  <c r="A9" i="20"/>
  <c r="A8" i="20"/>
  <c r="A7" i="20"/>
  <c r="AN509" i="11" l="1"/>
  <c r="AM544" i="11"/>
  <c r="AM554" i="11" s="1"/>
  <c r="AO517" i="11"/>
  <c r="AN547" i="11"/>
  <c r="AN555" i="11" s="1"/>
  <c r="AF451" i="11"/>
  <c r="AG441" i="11"/>
  <c r="AI33" i="11"/>
  <c r="AH439" i="11"/>
  <c r="AV645" i="11"/>
  <c r="AT633" i="11"/>
  <c r="AM176" i="11"/>
  <c r="F202" i="11"/>
  <c r="G202" i="11"/>
  <c r="AP517" i="11" l="1"/>
  <c r="AO547" i="11"/>
  <c r="AO555" i="11" s="1"/>
  <c r="AO509" i="11"/>
  <c r="AN544" i="11"/>
  <c r="AN554" i="11" s="1"/>
  <c r="AG451" i="11"/>
  <c r="AH441" i="11"/>
  <c r="AJ33" i="11"/>
  <c r="AI439" i="11"/>
  <c r="AU633" i="11"/>
  <c r="AW645" i="11"/>
  <c r="AN176" i="11"/>
  <c r="BP215" i="20"/>
  <c r="BP214" i="20"/>
  <c r="BP213" i="20"/>
  <c r="BP212" i="20"/>
  <c r="BP211" i="20"/>
  <c r="BP210" i="20"/>
  <c r="BP209" i="20"/>
  <c r="BP208" i="20"/>
  <c r="BP202" i="20"/>
  <c r="BP201" i="20"/>
  <c r="BP200" i="20"/>
  <c r="BP199" i="20"/>
  <c r="BP198" i="20"/>
  <c r="BP197" i="20"/>
  <c r="BP196" i="20"/>
  <c r="BP195" i="20"/>
  <c r="BP189" i="20"/>
  <c r="BP188" i="20"/>
  <c r="BP187" i="20"/>
  <c r="BP186" i="20"/>
  <c r="BP185" i="20"/>
  <c r="BP184" i="20"/>
  <c r="BP183" i="20"/>
  <c r="BP182" i="20"/>
  <c r="BP176" i="20"/>
  <c r="BP175" i="20"/>
  <c r="BP174" i="20"/>
  <c r="BP173" i="20"/>
  <c r="BP172" i="20"/>
  <c r="BP171" i="20"/>
  <c r="BP170" i="20"/>
  <c r="BP169" i="20"/>
  <c r="BP163" i="20"/>
  <c r="BP162" i="20"/>
  <c r="BP161" i="20"/>
  <c r="BP160" i="20"/>
  <c r="BP159" i="20"/>
  <c r="BP158" i="20"/>
  <c r="BP157" i="20"/>
  <c r="BP156" i="20"/>
  <c r="BP150" i="20"/>
  <c r="BP149" i="20"/>
  <c r="BP148" i="20"/>
  <c r="BP147" i="20"/>
  <c r="BP146" i="20"/>
  <c r="BP145" i="20"/>
  <c r="BP144" i="20"/>
  <c r="BP143" i="20"/>
  <c r="AP509" i="11" l="1"/>
  <c r="AO544" i="11"/>
  <c r="AO554" i="11" s="1"/>
  <c r="AQ517" i="11"/>
  <c r="AP547" i="11"/>
  <c r="AP555" i="11" s="1"/>
  <c r="AH451" i="11"/>
  <c r="AI441" i="11"/>
  <c r="AK33" i="11"/>
  <c r="AJ439" i="11"/>
  <c r="F194" i="11" s="1"/>
  <c r="AX645" i="11"/>
  <c r="AV633" i="11"/>
  <c r="AO176" i="11"/>
  <c r="BP106" i="20"/>
  <c r="BP105" i="20"/>
  <c r="BP104" i="20"/>
  <c r="BP103" i="20"/>
  <c r="BP102" i="20"/>
  <c r="BP101" i="20"/>
  <c r="BP100" i="20"/>
  <c r="BP99" i="20"/>
  <c r="BP86" i="20"/>
  <c r="BP85" i="20"/>
  <c r="BP84" i="20"/>
  <c r="BP83" i="20"/>
  <c r="BP82" i="20"/>
  <c r="BP81" i="20"/>
  <c r="BP80" i="20"/>
  <c r="BP79" i="20"/>
  <c r="BP68" i="20"/>
  <c r="BP67" i="20"/>
  <c r="BP66" i="20"/>
  <c r="BP65" i="20"/>
  <c r="BP64" i="20"/>
  <c r="BP63" i="20"/>
  <c r="BP62" i="20"/>
  <c r="BP61" i="20"/>
  <c r="AR517" i="11" l="1"/>
  <c r="AQ547" i="11"/>
  <c r="AQ555" i="11" s="1"/>
  <c r="AP544" i="11"/>
  <c r="AP554" i="11" s="1"/>
  <c r="AQ509" i="11"/>
  <c r="AI451" i="11"/>
  <c r="AJ441" i="11"/>
  <c r="AL33" i="11"/>
  <c r="AK439" i="11"/>
  <c r="AW633" i="11"/>
  <c r="AY645" i="11"/>
  <c r="AP176" i="11"/>
  <c r="BP44" i="20"/>
  <c r="BP45" i="20"/>
  <c r="BP46" i="20"/>
  <c r="BP47" i="20"/>
  <c r="BP48" i="20"/>
  <c r="BP49" i="20"/>
  <c r="BP50" i="20"/>
  <c r="BP43" i="20"/>
  <c r="AR509" i="11" l="1"/>
  <c r="AQ544" i="11"/>
  <c r="AQ554" i="11" s="1"/>
  <c r="AS517" i="11"/>
  <c r="AR547" i="11"/>
  <c r="AR555" i="11" s="1"/>
  <c r="AJ451" i="11"/>
  <c r="AK441" i="11"/>
  <c r="AM33" i="11"/>
  <c r="AL439" i="11"/>
  <c r="AZ645" i="11"/>
  <c r="AX633" i="11"/>
  <c r="AQ176" i="11"/>
  <c r="BN975" i="20"/>
  <c r="BM975" i="20"/>
  <c r="BL975" i="20"/>
  <c r="BK975" i="20"/>
  <c r="BJ975" i="20"/>
  <c r="BI975" i="20"/>
  <c r="BH975" i="20"/>
  <c r="BG975" i="20"/>
  <c r="BF975" i="20"/>
  <c r="BE975" i="20"/>
  <c r="BD975" i="20"/>
  <c r="BC975" i="20"/>
  <c r="BB975" i="20"/>
  <c r="BA975" i="20"/>
  <c r="AZ975" i="20"/>
  <c r="AY975" i="20"/>
  <c r="AX975" i="20"/>
  <c r="AW975" i="20"/>
  <c r="AV975" i="20"/>
  <c r="AU975" i="20"/>
  <c r="AT975" i="20"/>
  <c r="AS975" i="20"/>
  <c r="AR975" i="20"/>
  <c r="AQ975" i="20"/>
  <c r="AP975" i="20"/>
  <c r="AO975" i="20"/>
  <c r="AN975" i="20"/>
  <c r="AM975" i="20"/>
  <c r="AL975" i="20"/>
  <c r="BN974" i="20"/>
  <c r="BM974" i="20"/>
  <c r="BL974" i="20"/>
  <c r="BK974" i="20"/>
  <c r="BJ974" i="20"/>
  <c r="BI974" i="20"/>
  <c r="BH974" i="20"/>
  <c r="BG974" i="20"/>
  <c r="BF974" i="20"/>
  <c r="BE974" i="20"/>
  <c r="BD974" i="20"/>
  <c r="BC974" i="20"/>
  <c r="BB974" i="20"/>
  <c r="BA974" i="20"/>
  <c r="AZ974" i="20"/>
  <c r="AY974" i="20"/>
  <c r="AX974" i="20"/>
  <c r="AW974" i="20"/>
  <c r="AV974" i="20"/>
  <c r="AU974" i="20"/>
  <c r="AT974" i="20"/>
  <c r="AS974" i="20"/>
  <c r="AR974" i="20"/>
  <c r="AQ974" i="20"/>
  <c r="AP974" i="20"/>
  <c r="AO974" i="20"/>
  <c r="AN974" i="20"/>
  <c r="AM974" i="20"/>
  <c r="AL974" i="20"/>
  <c r="BN973" i="20"/>
  <c r="BM973" i="20"/>
  <c r="BL973" i="20"/>
  <c r="BK973" i="20"/>
  <c r="BJ973" i="20"/>
  <c r="BI973" i="20"/>
  <c r="BH973" i="20"/>
  <c r="BG973" i="20"/>
  <c r="BF973" i="20"/>
  <c r="BE973" i="20"/>
  <c r="BD973" i="20"/>
  <c r="BC973" i="20"/>
  <c r="BB973" i="20"/>
  <c r="BA973" i="20"/>
  <c r="AZ973" i="20"/>
  <c r="AY973" i="20"/>
  <c r="AX973" i="20"/>
  <c r="AW973" i="20"/>
  <c r="AV973" i="20"/>
  <c r="AU973" i="20"/>
  <c r="AT973" i="20"/>
  <c r="AS973" i="20"/>
  <c r="AR973" i="20"/>
  <c r="AQ973" i="20"/>
  <c r="AP973" i="20"/>
  <c r="AO973" i="20"/>
  <c r="AN973" i="20"/>
  <c r="AM973" i="20"/>
  <c r="AL973" i="20"/>
  <c r="BN972" i="20"/>
  <c r="BM972" i="20"/>
  <c r="BL972" i="20"/>
  <c r="BK972" i="20"/>
  <c r="BJ972" i="20"/>
  <c r="BI972" i="20"/>
  <c r="BH972" i="20"/>
  <c r="BG972" i="20"/>
  <c r="BF972" i="20"/>
  <c r="BE972" i="20"/>
  <c r="BD972" i="20"/>
  <c r="BC972" i="20"/>
  <c r="BB972" i="20"/>
  <c r="BA972" i="20"/>
  <c r="AZ972" i="20"/>
  <c r="AY972" i="20"/>
  <c r="AX972" i="20"/>
  <c r="AW972" i="20"/>
  <c r="AV972" i="20"/>
  <c r="AU972" i="20"/>
  <c r="AT972" i="20"/>
  <c r="AS972" i="20"/>
  <c r="AR972" i="20"/>
  <c r="AQ972" i="20"/>
  <c r="AP972" i="20"/>
  <c r="AO972" i="20"/>
  <c r="AN972" i="20"/>
  <c r="AM972" i="20"/>
  <c r="AL972" i="20"/>
  <c r="BN971" i="20"/>
  <c r="BM971" i="20"/>
  <c r="BL971" i="20"/>
  <c r="BK971" i="20"/>
  <c r="BJ971" i="20"/>
  <c r="BI971" i="20"/>
  <c r="BH971" i="20"/>
  <c r="BG971" i="20"/>
  <c r="BF971" i="20"/>
  <c r="BE971" i="20"/>
  <c r="BD971" i="20"/>
  <c r="BC971" i="20"/>
  <c r="BB971" i="20"/>
  <c r="BA971" i="20"/>
  <c r="AZ971" i="20"/>
  <c r="AY971" i="20"/>
  <c r="AX971" i="20"/>
  <c r="AW971" i="20"/>
  <c r="AV971" i="20"/>
  <c r="AU971" i="20"/>
  <c r="AT971" i="20"/>
  <c r="AS971" i="20"/>
  <c r="AR971" i="20"/>
  <c r="AQ971" i="20"/>
  <c r="AP971" i="20"/>
  <c r="AO971" i="20"/>
  <c r="AN971" i="20"/>
  <c r="AM971" i="20"/>
  <c r="AL971" i="20"/>
  <c r="BN963" i="20"/>
  <c r="BM963" i="20"/>
  <c r="BL963" i="20"/>
  <c r="BK963" i="20"/>
  <c r="BJ963" i="20"/>
  <c r="BI963" i="20"/>
  <c r="BH963" i="20"/>
  <c r="BG963" i="20"/>
  <c r="BF963" i="20"/>
  <c r="BE963" i="20"/>
  <c r="BD963" i="20"/>
  <c r="BC963" i="20"/>
  <c r="BB963" i="20"/>
  <c r="BA963" i="20"/>
  <c r="AZ963" i="20"/>
  <c r="AY963" i="20"/>
  <c r="AX963" i="20"/>
  <c r="AW963" i="20"/>
  <c r="AV963" i="20"/>
  <c r="AU963" i="20"/>
  <c r="AT963" i="20"/>
  <c r="AS963" i="20"/>
  <c r="AR963" i="20"/>
  <c r="AQ963" i="20"/>
  <c r="AP963" i="20"/>
  <c r="AO963" i="20"/>
  <c r="AN963" i="20"/>
  <c r="AM963" i="20"/>
  <c r="AL963" i="20"/>
  <c r="BN962" i="20"/>
  <c r="BM962" i="20"/>
  <c r="BL962" i="20"/>
  <c r="BK962" i="20"/>
  <c r="BJ962" i="20"/>
  <c r="BI962" i="20"/>
  <c r="BH962" i="20"/>
  <c r="BG962" i="20"/>
  <c r="BF962" i="20"/>
  <c r="BE962" i="20"/>
  <c r="BD962" i="20"/>
  <c r="BC962" i="20"/>
  <c r="BB962" i="20"/>
  <c r="BA962" i="20"/>
  <c r="AZ962" i="20"/>
  <c r="AY962" i="20"/>
  <c r="AX962" i="20"/>
  <c r="AW962" i="20"/>
  <c r="AV962" i="20"/>
  <c r="AU962" i="20"/>
  <c r="AT962" i="20"/>
  <c r="AS962" i="20"/>
  <c r="AR962" i="20"/>
  <c r="AQ962" i="20"/>
  <c r="AP962" i="20"/>
  <c r="AO962" i="20"/>
  <c r="AN962" i="20"/>
  <c r="AM962" i="20"/>
  <c r="AL962" i="20"/>
  <c r="BN961" i="20"/>
  <c r="BM961" i="20"/>
  <c r="BL961" i="20"/>
  <c r="BK961" i="20"/>
  <c r="BJ961" i="20"/>
  <c r="BI961" i="20"/>
  <c r="BH961" i="20"/>
  <c r="BG961" i="20"/>
  <c r="BF961" i="20"/>
  <c r="BE961" i="20"/>
  <c r="BD961" i="20"/>
  <c r="BC961" i="20"/>
  <c r="BB961" i="20"/>
  <c r="BA961" i="20"/>
  <c r="AZ961" i="20"/>
  <c r="AY961" i="20"/>
  <c r="AX961" i="20"/>
  <c r="AW961" i="20"/>
  <c r="AV961" i="20"/>
  <c r="AU961" i="20"/>
  <c r="AT961" i="20"/>
  <c r="AS961" i="20"/>
  <c r="AR961" i="20"/>
  <c r="AQ961" i="20"/>
  <c r="AP961" i="20"/>
  <c r="AO961" i="20"/>
  <c r="AN961" i="20"/>
  <c r="AM961" i="20"/>
  <c r="AL961" i="20"/>
  <c r="BN960" i="20"/>
  <c r="BM960" i="20"/>
  <c r="BL960" i="20"/>
  <c r="BK960" i="20"/>
  <c r="BJ960" i="20"/>
  <c r="BI960" i="20"/>
  <c r="BH960" i="20"/>
  <c r="BG960" i="20"/>
  <c r="BF960" i="20"/>
  <c r="BE960" i="20"/>
  <c r="BD960" i="20"/>
  <c r="BC960" i="20"/>
  <c r="BB960" i="20"/>
  <c r="BA960" i="20"/>
  <c r="AZ960" i="20"/>
  <c r="AY960" i="20"/>
  <c r="AX960" i="20"/>
  <c r="AW960" i="20"/>
  <c r="AV960" i="20"/>
  <c r="AU960" i="20"/>
  <c r="AT960" i="20"/>
  <c r="AS960" i="20"/>
  <c r="AR960" i="20"/>
  <c r="AQ960" i="20"/>
  <c r="AP960" i="20"/>
  <c r="AO960" i="20"/>
  <c r="AN960" i="20"/>
  <c r="AM960" i="20"/>
  <c r="AL960" i="20"/>
  <c r="BN957" i="20"/>
  <c r="BM957" i="20"/>
  <c r="BL957" i="20"/>
  <c r="BK957" i="20"/>
  <c r="BJ957" i="20"/>
  <c r="BI957" i="20"/>
  <c r="BH957" i="20"/>
  <c r="BG957" i="20"/>
  <c r="BF957" i="20"/>
  <c r="BE957" i="20"/>
  <c r="BD957" i="20"/>
  <c r="BC957" i="20"/>
  <c r="BB957" i="20"/>
  <c r="BA957" i="20"/>
  <c r="AZ957" i="20"/>
  <c r="AY957" i="20"/>
  <c r="AX957" i="20"/>
  <c r="AW957" i="20"/>
  <c r="AV957" i="20"/>
  <c r="AU957" i="20"/>
  <c r="AT957" i="20"/>
  <c r="AS957" i="20"/>
  <c r="AR957" i="20"/>
  <c r="AQ957" i="20"/>
  <c r="AP957" i="20"/>
  <c r="AO957" i="20"/>
  <c r="AN957" i="20"/>
  <c r="AM957" i="20"/>
  <c r="AL957" i="20"/>
  <c r="BN956" i="20"/>
  <c r="BM956" i="20"/>
  <c r="BL956" i="20"/>
  <c r="BK956" i="20"/>
  <c r="BJ956" i="20"/>
  <c r="BI956" i="20"/>
  <c r="BH956" i="20"/>
  <c r="BG956" i="20"/>
  <c r="BF956" i="20"/>
  <c r="BE956" i="20"/>
  <c r="BD956" i="20"/>
  <c r="BC956" i="20"/>
  <c r="BB956" i="20"/>
  <c r="BA956" i="20"/>
  <c r="AZ956" i="20"/>
  <c r="AY956" i="20"/>
  <c r="AX956" i="20"/>
  <c r="AW956" i="20"/>
  <c r="AV956" i="20"/>
  <c r="AU956" i="20"/>
  <c r="AT956" i="20"/>
  <c r="AS956" i="20"/>
  <c r="AR956" i="20"/>
  <c r="AQ956" i="20"/>
  <c r="AP956" i="20"/>
  <c r="AO956" i="20"/>
  <c r="AN956" i="20"/>
  <c r="AM956" i="20"/>
  <c r="AL956" i="20"/>
  <c r="BN955" i="20"/>
  <c r="BM955" i="20"/>
  <c r="BL955" i="20"/>
  <c r="BK955" i="20"/>
  <c r="BJ955" i="20"/>
  <c r="BI955" i="20"/>
  <c r="BH955" i="20"/>
  <c r="BG955" i="20"/>
  <c r="BF955" i="20"/>
  <c r="BE955" i="20"/>
  <c r="BD955" i="20"/>
  <c r="BC955" i="20"/>
  <c r="BB955" i="20"/>
  <c r="BA955" i="20"/>
  <c r="AZ955" i="20"/>
  <c r="AY955" i="20"/>
  <c r="AX955" i="20"/>
  <c r="AW955" i="20"/>
  <c r="AV955" i="20"/>
  <c r="AU955" i="20"/>
  <c r="AT955" i="20"/>
  <c r="AS955" i="20"/>
  <c r="AR955" i="20"/>
  <c r="AQ955" i="20"/>
  <c r="AP955" i="20"/>
  <c r="AO955" i="20"/>
  <c r="AN955" i="20"/>
  <c r="AM955" i="20"/>
  <c r="AL955" i="20"/>
  <c r="AM954" i="20"/>
  <c r="AN954" i="20" s="1"/>
  <c r="BN950" i="20"/>
  <c r="BM950" i="20"/>
  <c r="BL950" i="20"/>
  <c r="BK950" i="20"/>
  <c r="BJ950" i="20"/>
  <c r="BI950" i="20"/>
  <c r="BH950" i="20"/>
  <c r="BG950" i="20"/>
  <c r="BF950" i="20"/>
  <c r="BE950" i="20"/>
  <c r="BD950" i="20"/>
  <c r="BC950" i="20"/>
  <c r="BB950" i="20"/>
  <c r="BA950" i="20"/>
  <c r="AZ950" i="20"/>
  <c r="AY950" i="20"/>
  <c r="AX950" i="20"/>
  <c r="AW950" i="20"/>
  <c r="AV950" i="20"/>
  <c r="AU950" i="20"/>
  <c r="AT950" i="20"/>
  <c r="AS950" i="20"/>
  <c r="AR950" i="20"/>
  <c r="AQ950" i="20"/>
  <c r="AP950" i="20"/>
  <c r="AO950" i="20"/>
  <c r="AN950" i="20"/>
  <c r="AM950" i="20"/>
  <c r="AL950" i="20"/>
  <c r="BN949" i="20"/>
  <c r="BM949" i="20"/>
  <c r="BL949" i="20"/>
  <c r="BK949" i="20"/>
  <c r="BJ949" i="20"/>
  <c r="BI949" i="20"/>
  <c r="BH949" i="20"/>
  <c r="BG949" i="20"/>
  <c r="BF949" i="20"/>
  <c r="BE949" i="20"/>
  <c r="BD949" i="20"/>
  <c r="BC949" i="20"/>
  <c r="BB949" i="20"/>
  <c r="BA949" i="20"/>
  <c r="AZ949" i="20"/>
  <c r="AY949" i="20"/>
  <c r="AX949" i="20"/>
  <c r="AW949" i="20"/>
  <c r="AV949" i="20"/>
  <c r="AU949" i="20"/>
  <c r="AT949" i="20"/>
  <c r="AS949" i="20"/>
  <c r="AR949" i="20"/>
  <c r="AQ949" i="20"/>
  <c r="AP949" i="20"/>
  <c r="AO949" i="20"/>
  <c r="AN949" i="20"/>
  <c r="AM949" i="20"/>
  <c r="AL949" i="20"/>
  <c r="BN948" i="20"/>
  <c r="BM948" i="20"/>
  <c r="BL948" i="20"/>
  <c r="BK948" i="20"/>
  <c r="BJ948" i="20"/>
  <c r="BI948" i="20"/>
  <c r="BH948" i="20"/>
  <c r="BG948" i="20"/>
  <c r="BF948" i="20"/>
  <c r="BE948" i="20"/>
  <c r="BD948" i="20"/>
  <c r="BC948" i="20"/>
  <c r="BB948" i="20"/>
  <c r="BA948" i="20"/>
  <c r="AZ948" i="20"/>
  <c r="AY948" i="20"/>
  <c r="AX948" i="20"/>
  <c r="AW948" i="20"/>
  <c r="AV948" i="20"/>
  <c r="AU948" i="20"/>
  <c r="AT948" i="20"/>
  <c r="AS948" i="20"/>
  <c r="AR948" i="20"/>
  <c r="AQ948" i="20"/>
  <c r="AP948" i="20"/>
  <c r="AO948" i="20"/>
  <c r="AN948" i="20"/>
  <c r="AM948" i="20"/>
  <c r="AL948" i="20"/>
  <c r="BN947" i="20"/>
  <c r="BM947" i="20"/>
  <c r="BL947" i="20"/>
  <c r="BK947" i="20"/>
  <c r="BJ947" i="20"/>
  <c r="BI947" i="20"/>
  <c r="BH947" i="20"/>
  <c r="BG947" i="20"/>
  <c r="BF947" i="20"/>
  <c r="BE947" i="20"/>
  <c r="BD947" i="20"/>
  <c r="BC947" i="20"/>
  <c r="BB947" i="20"/>
  <c r="BA947" i="20"/>
  <c r="AZ947" i="20"/>
  <c r="AY947" i="20"/>
  <c r="AX947" i="20"/>
  <c r="AW947" i="20"/>
  <c r="AV947" i="20"/>
  <c r="AU947" i="20"/>
  <c r="AT947" i="20"/>
  <c r="AS947" i="20"/>
  <c r="AR947" i="20"/>
  <c r="AQ947" i="20"/>
  <c r="AP947" i="20"/>
  <c r="AO947" i="20"/>
  <c r="AN947" i="20"/>
  <c r="AM947" i="20"/>
  <c r="AL947" i="20"/>
  <c r="BN946" i="20"/>
  <c r="BM946" i="20"/>
  <c r="BL946" i="20"/>
  <c r="BK946" i="20"/>
  <c r="BJ946" i="20"/>
  <c r="BI946" i="20"/>
  <c r="BH946" i="20"/>
  <c r="BG946" i="20"/>
  <c r="BF946" i="20"/>
  <c r="BE946" i="20"/>
  <c r="BD946" i="20"/>
  <c r="BC946" i="20"/>
  <c r="BB946" i="20"/>
  <c r="BA946" i="20"/>
  <c r="AZ946" i="20"/>
  <c r="AY946" i="20"/>
  <c r="AX946" i="20"/>
  <c r="AW946" i="20"/>
  <c r="AV946" i="20"/>
  <c r="AU946" i="20"/>
  <c r="AT946" i="20"/>
  <c r="AS946" i="20"/>
  <c r="AR946" i="20"/>
  <c r="AQ946" i="20"/>
  <c r="AP946" i="20"/>
  <c r="AO946" i="20"/>
  <c r="AN946" i="20"/>
  <c r="AM946" i="20"/>
  <c r="AL946" i="20"/>
  <c r="BN938" i="20"/>
  <c r="BM938" i="20"/>
  <c r="BL938" i="20"/>
  <c r="BK938" i="20"/>
  <c r="BJ938" i="20"/>
  <c r="BI938" i="20"/>
  <c r="BH938" i="20"/>
  <c r="BG938" i="20"/>
  <c r="BF938" i="20"/>
  <c r="BE938" i="20"/>
  <c r="BD938" i="20"/>
  <c r="BC938" i="20"/>
  <c r="BB938" i="20"/>
  <c r="BA938" i="20"/>
  <c r="AZ938" i="20"/>
  <c r="AY938" i="20"/>
  <c r="AX938" i="20"/>
  <c r="AW938" i="20"/>
  <c r="AV938" i="20"/>
  <c r="AU938" i="20"/>
  <c r="AT938" i="20"/>
  <c r="AS938" i="20"/>
  <c r="AR938" i="20"/>
  <c r="AQ938" i="20"/>
  <c r="AP938" i="20"/>
  <c r="AO938" i="20"/>
  <c r="AN938" i="20"/>
  <c r="AM938" i="20"/>
  <c r="AL938" i="20"/>
  <c r="BN937" i="20"/>
  <c r="BM937" i="20"/>
  <c r="BL937" i="20"/>
  <c r="BK937" i="20"/>
  <c r="BJ937" i="20"/>
  <c r="BI937" i="20"/>
  <c r="BH937" i="20"/>
  <c r="BG937" i="20"/>
  <c r="BF937" i="20"/>
  <c r="BE937" i="20"/>
  <c r="BD937" i="20"/>
  <c r="BC937" i="20"/>
  <c r="BB937" i="20"/>
  <c r="BA937" i="20"/>
  <c r="AZ937" i="20"/>
  <c r="AY937" i="20"/>
  <c r="AX937" i="20"/>
  <c r="AW937" i="20"/>
  <c r="AV937" i="20"/>
  <c r="AU937" i="20"/>
  <c r="AT937" i="20"/>
  <c r="AS937" i="20"/>
  <c r="AR937" i="20"/>
  <c r="AQ937" i="20"/>
  <c r="AP937" i="20"/>
  <c r="AO937" i="20"/>
  <c r="AN937" i="20"/>
  <c r="AM937" i="20"/>
  <c r="AL937" i="20"/>
  <c r="BN936" i="20"/>
  <c r="BM936" i="20"/>
  <c r="BL936" i="20"/>
  <c r="BK936" i="20"/>
  <c r="BJ936" i="20"/>
  <c r="BI936" i="20"/>
  <c r="BH936" i="20"/>
  <c r="BG936" i="20"/>
  <c r="BF936" i="20"/>
  <c r="BE936" i="20"/>
  <c r="BD936" i="20"/>
  <c r="BC936" i="20"/>
  <c r="BB936" i="20"/>
  <c r="BA936" i="20"/>
  <c r="AZ936" i="20"/>
  <c r="AY936" i="20"/>
  <c r="AX936" i="20"/>
  <c r="AW936" i="20"/>
  <c r="AV936" i="20"/>
  <c r="AU936" i="20"/>
  <c r="AT936" i="20"/>
  <c r="AS936" i="20"/>
  <c r="AR936" i="20"/>
  <c r="AQ936" i="20"/>
  <c r="AP936" i="20"/>
  <c r="AO936" i="20"/>
  <c r="AN936" i="20"/>
  <c r="AM936" i="20"/>
  <c r="AL936" i="20"/>
  <c r="BN935" i="20"/>
  <c r="BM935" i="20"/>
  <c r="BL935" i="20"/>
  <c r="BK935" i="20"/>
  <c r="BJ935" i="20"/>
  <c r="BI935" i="20"/>
  <c r="BH935" i="20"/>
  <c r="BG935" i="20"/>
  <c r="BF935" i="20"/>
  <c r="BE935" i="20"/>
  <c r="BD935" i="20"/>
  <c r="BC935" i="20"/>
  <c r="BB935" i="20"/>
  <c r="BA935" i="20"/>
  <c r="AZ935" i="20"/>
  <c r="AY935" i="20"/>
  <c r="AX935" i="20"/>
  <c r="AW935" i="20"/>
  <c r="AV935" i="20"/>
  <c r="AU935" i="20"/>
  <c r="AT935" i="20"/>
  <c r="AS935" i="20"/>
  <c r="AR935" i="20"/>
  <c r="AQ935" i="20"/>
  <c r="AP935" i="20"/>
  <c r="AO935" i="20"/>
  <c r="AN935" i="20"/>
  <c r="AM935" i="20"/>
  <c r="AL935" i="20"/>
  <c r="BN925" i="20"/>
  <c r="BM925" i="20"/>
  <c r="BL925" i="20"/>
  <c r="BK925" i="20"/>
  <c r="BJ925" i="20"/>
  <c r="BI925" i="20"/>
  <c r="BH925" i="20"/>
  <c r="BG925" i="20"/>
  <c r="BF925" i="20"/>
  <c r="BE925" i="20"/>
  <c r="BD925" i="20"/>
  <c r="BC925" i="20"/>
  <c r="BB925" i="20"/>
  <c r="BA925" i="20"/>
  <c r="AZ925" i="20"/>
  <c r="AY925" i="20"/>
  <c r="AX925" i="20"/>
  <c r="AW925" i="20"/>
  <c r="AV925" i="20"/>
  <c r="AU925" i="20"/>
  <c r="AT925" i="20"/>
  <c r="AS925" i="20"/>
  <c r="AR925" i="20"/>
  <c r="AQ925" i="20"/>
  <c r="AP925" i="20"/>
  <c r="AO925" i="20"/>
  <c r="AN925" i="20"/>
  <c r="AM925" i="20"/>
  <c r="AL925" i="20"/>
  <c r="BN924" i="20"/>
  <c r="BM924" i="20"/>
  <c r="BL924" i="20"/>
  <c r="BK924" i="20"/>
  <c r="BJ924" i="20"/>
  <c r="BI924" i="20"/>
  <c r="BH924" i="20"/>
  <c r="BG924" i="20"/>
  <c r="BF924" i="20"/>
  <c r="BE924" i="20"/>
  <c r="BD924" i="20"/>
  <c r="BC924" i="20"/>
  <c r="BB924" i="20"/>
  <c r="BA924" i="20"/>
  <c r="AZ924" i="20"/>
  <c r="AY924" i="20"/>
  <c r="AX924" i="20"/>
  <c r="AW924" i="20"/>
  <c r="AV924" i="20"/>
  <c r="AU924" i="20"/>
  <c r="AT924" i="20"/>
  <c r="AS924" i="20"/>
  <c r="AR924" i="20"/>
  <c r="AQ924" i="20"/>
  <c r="AP924" i="20"/>
  <c r="AO924" i="20"/>
  <c r="AN924" i="20"/>
  <c r="AM924" i="20"/>
  <c r="AL924" i="20"/>
  <c r="BN923" i="20"/>
  <c r="BM923" i="20"/>
  <c r="BL923" i="20"/>
  <c r="BK923" i="20"/>
  <c r="BJ923" i="20"/>
  <c r="BI923" i="20"/>
  <c r="BH923" i="20"/>
  <c r="BG923" i="20"/>
  <c r="BF923" i="20"/>
  <c r="BE923" i="20"/>
  <c r="BD923" i="20"/>
  <c r="BC923" i="20"/>
  <c r="BB923" i="20"/>
  <c r="BA923" i="20"/>
  <c r="AZ923" i="20"/>
  <c r="AY923" i="20"/>
  <c r="AX923" i="20"/>
  <c r="AW923" i="20"/>
  <c r="AV923" i="20"/>
  <c r="AU923" i="20"/>
  <c r="AT923" i="20"/>
  <c r="AS923" i="20"/>
  <c r="AR923" i="20"/>
  <c r="AQ923" i="20"/>
  <c r="AP923" i="20"/>
  <c r="AO923" i="20"/>
  <c r="AN923" i="20"/>
  <c r="AM923" i="20"/>
  <c r="AL923" i="20"/>
  <c r="BN922" i="20"/>
  <c r="BM922" i="20"/>
  <c r="BL922" i="20"/>
  <c r="BK922" i="20"/>
  <c r="BJ922" i="20"/>
  <c r="BI922" i="20"/>
  <c r="BH922" i="20"/>
  <c r="BG922" i="20"/>
  <c r="BF922" i="20"/>
  <c r="BE922" i="20"/>
  <c r="BD922" i="20"/>
  <c r="BC922" i="20"/>
  <c r="BB922" i="20"/>
  <c r="BA922" i="20"/>
  <c r="AZ922" i="20"/>
  <c r="AY922" i="20"/>
  <c r="AX922" i="20"/>
  <c r="AW922" i="20"/>
  <c r="AV922" i="20"/>
  <c r="AU922" i="20"/>
  <c r="AT922" i="20"/>
  <c r="AS922" i="20"/>
  <c r="AR922" i="20"/>
  <c r="AQ922" i="20"/>
  <c r="AP922" i="20"/>
  <c r="AO922" i="20"/>
  <c r="AN922" i="20"/>
  <c r="AM922" i="20"/>
  <c r="AL922" i="20"/>
  <c r="BN921" i="20"/>
  <c r="BM921" i="20"/>
  <c r="BL921" i="20"/>
  <c r="BK921" i="20"/>
  <c r="BJ921" i="20"/>
  <c r="BI921" i="20"/>
  <c r="BH921" i="20"/>
  <c r="BG921" i="20"/>
  <c r="BF921" i="20"/>
  <c r="BE921" i="20"/>
  <c r="BD921" i="20"/>
  <c r="BC921" i="20"/>
  <c r="BB921" i="20"/>
  <c r="BA921" i="20"/>
  <c r="AZ921" i="20"/>
  <c r="AY921" i="20"/>
  <c r="AX921" i="20"/>
  <c r="AW921" i="20"/>
  <c r="AV921" i="20"/>
  <c r="AU921" i="20"/>
  <c r="AT921" i="20"/>
  <c r="AS921" i="20"/>
  <c r="AR921" i="20"/>
  <c r="AQ921" i="20"/>
  <c r="AP921" i="20"/>
  <c r="AO921" i="20"/>
  <c r="AN921" i="20"/>
  <c r="AM921" i="20"/>
  <c r="AL921" i="20"/>
  <c r="BN913" i="20"/>
  <c r="BM913" i="20"/>
  <c r="BL913" i="20"/>
  <c r="BK913" i="20"/>
  <c r="BJ913" i="20"/>
  <c r="BI913" i="20"/>
  <c r="BH913" i="20"/>
  <c r="BG913" i="20"/>
  <c r="BF913" i="20"/>
  <c r="BE913" i="20"/>
  <c r="BD913" i="20"/>
  <c r="BC913" i="20"/>
  <c r="BB913" i="20"/>
  <c r="BA913" i="20"/>
  <c r="AZ913" i="20"/>
  <c r="AY913" i="20"/>
  <c r="AX913" i="20"/>
  <c r="AW913" i="20"/>
  <c r="AV913" i="20"/>
  <c r="AU913" i="20"/>
  <c r="AT913" i="20"/>
  <c r="AS913" i="20"/>
  <c r="AR913" i="20"/>
  <c r="AQ913" i="20"/>
  <c r="AP913" i="20"/>
  <c r="AO913" i="20"/>
  <c r="AN913" i="20"/>
  <c r="AM913" i="20"/>
  <c r="AL913" i="20"/>
  <c r="BN912" i="20"/>
  <c r="BM912" i="20"/>
  <c r="BL912" i="20"/>
  <c r="BK912" i="20"/>
  <c r="BJ912" i="20"/>
  <c r="BI912" i="20"/>
  <c r="BH912" i="20"/>
  <c r="BG912" i="20"/>
  <c r="BF912" i="20"/>
  <c r="BE912" i="20"/>
  <c r="BD912" i="20"/>
  <c r="BC912" i="20"/>
  <c r="BB912" i="20"/>
  <c r="BA912" i="20"/>
  <c r="AZ912" i="20"/>
  <c r="AY912" i="20"/>
  <c r="AX912" i="20"/>
  <c r="AW912" i="20"/>
  <c r="AV912" i="20"/>
  <c r="AU912" i="20"/>
  <c r="AT912" i="20"/>
  <c r="AS912" i="20"/>
  <c r="AR912" i="20"/>
  <c r="AQ912" i="20"/>
  <c r="AP912" i="20"/>
  <c r="AO912" i="20"/>
  <c r="AN912" i="20"/>
  <c r="AM912" i="20"/>
  <c r="AL912" i="20"/>
  <c r="BN911" i="20"/>
  <c r="BM911" i="20"/>
  <c r="BL911" i="20"/>
  <c r="BK911" i="20"/>
  <c r="BJ911" i="20"/>
  <c r="BI911" i="20"/>
  <c r="BH911" i="20"/>
  <c r="BG911" i="20"/>
  <c r="BF911" i="20"/>
  <c r="BE911" i="20"/>
  <c r="BD911" i="20"/>
  <c r="BC911" i="20"/>
  <c r="BB911" i="20"/>
  <c r="BA911" i="20"/>
  <c r="AZ911" i="20"/>
  <c r="AY911" i="20"/>
  <c r="AX911" i="20"/>
  <c r="AW911" i="20"/>
  <c r="AV911" i="20"/>
  <c r="AU911" i="20"/>
  <c r="AT911" i="20"/>
  <c r="AS911" i="20"/>
  <c r="AR911" i="20"/>
  <c r="AQ911" i="20"/>
  <c r="AP911" i="20"/>
  <c r="AO911" i="20"/>
  <c r="AN911" i="20"/>
  <c r="AM911" i="20"/>
  <c r="AL911" i="20"/>
  <c r="BN910" i="20"/>
  <c r="BM910" i="20"/>
  <c r="BL910" i="20"/>
  <c r="BK910" i="20"/>
  <c r="BJ910" i="20"/>
  <c r="BI910" i="20"/>
  <c r="BH910" i="20"/>
  <c r="BG910" i="20"/>
  <c r="BF910" i="20"/>
  <c r="BE910" i="20"/>
  <c r="BD910" i="20"/>
  <c r="BC910" i="20"/>
  <c r="BB910" i="20"/>
  <c r="BA910" i="20"/>
  <c r="AZ910" i="20"/>
  <c r="AY910" i="20"/>
  <c r="AX910" i="20"/>
  <c r="AW910" i="20"/>
  <c r="AV910" i="20"/>
  <c r="AU910" i="20"/>
  <c r="AT910" i="20"/>
  <c r="AS910" i="20"/>
  <c r="AR910" i="20"/>
  <c r="AQ910" i="20"/>
  <c r="AP910" i="20"/>
  <c r="AO910" i="20"/>
  <c r="AN910" i="20"/>
  <c r="AM910" i="20"/>
  <c r="AL910" i="20"/>
  <c r="BN900" i="20"/>
  <c r="BM900" i="20"/>
  <c r="BL900" i="20"/>
  <c r="BK900" i="20"/>
  <c r="BJ900" i="20"/>
  <c r="BI900" i="20"/>
  <c r="BH900" i="20"/>
  <c r="BG900" i="20"/>
  <c r="BF900" i="20"/>
  <c r="BE900" i="20"/>
  <c r="BD900" i="20"/>
  <c r="BC900" i="20"/>
  <c r="BB900" i="20"/>
  <c r="BA900" i="20"/>
  <c r="AZ900" i="20"/>
  <c r="AY900" i="20"/>
  <c r="AX900" i="20"/>
  <c r="AW900" i="20"/>
  <c r="AV900" i="20"/>
  <c r="AU900" i="20"/>
  <c r="AT900" i="20"/>
  <c r="AS900" i="20"/>
  <c r="AR900" i="20"/>
  <c r="AQ900" i="20"/>
  <c r="AP900" i="20"/>
  <c r="AO900" i="20"/>
  <c r="AN900" i="20"/>
  <c r="AM900" i="20"/>
  <c r="AL900" i="20"/>
  <c r="BN899" i="20"/>
  <c r="BM899" i="20"/>
  <c r="BL899" i="20"/>
  <c r="BK899" i="20"/>
  <c r="BJ899" i="20"/>
  <c r="BI899" i="20"/>
  <c r="BH899" i="20"/>
  <c r="BG899" i="20"/>
  <c r="BF899" i="20"/>
  <c r="BE899" i="20"/>
  <c r="BD899" i="20"/>
  <c r="BC899" i="20"/>
  <c r="BB899" i="20"/>
  <c r="BA899" i="20"/>
  <c r="AZ899" i="20"/>
  <c r="AY899" i="20"/>
  <c r="AX899" i="20"/>
  <c r="AW899" i="20"/>
  <c r="AV899" i="20"/>
  <c r="AU899" i="20"/>
  <c r="AT899" i="20"/>
  <c r="AS899" i="20"/>
  <c r="AR899" i="20"/>
  <c r="AQ899" i="20"/>
  <c r="AP899" i="20"/>
  <c r="AO899" i="20"/>
  <c r="AN899" i="20"/>
  <c r="AM899" i="20"/>
  <c r="AL899" i="20"/>
  <c r="BN898" i="20"/>
  <c r="BM898" i="20"/>
  <c r="BL898" i="20"/>
  <c r="BK898" i="20"/>
  <c r="BJ898" i="20"/>
  <c r="BI898" i="20"/>
  <c r="BH898" i="20"/>
  <c r="BG898" i="20"/>
  <c r="BF898" i="20"/>
  <c r="BE898" i="20"/>
  <c r="BD898" i="20"/>
  <c r="BC898" i="20"/>
  <c r="BB898" i="20"/>
  <c r="BA898" i="20"/>
  <c r="AZ898" i="20"/>
  <c r="AY898" i="20"/>
  <c r="AX898" i="20"/>
  <c r="AW898" i="20"/>
  <c r="AV898" i="20"/>
  <c r="AU898" i="20"/>
  <c r="AT898" i="20"/>
  <c r="AS898" i="20"/>
  <c r="AR898" i="20"/>
  <c r="AQ898" i="20"/>
  <c r="AP898" i="20"/>
  <c r="AO898" i="20"/>
  <c r="AN898" i="20"/>
  <c r="AM898" i="20"/>
  <c r="AL898" i="20"/>
  <c r="BN897" i="20"/>
  <c r="BM897" i="20"/>
  <c r="BL897" i="20"/>
  <c r="BK897" i="20"/>
  <c r="BJ897" i="20"/>
  <c r="BI897" i="20"/>
  <c r="BH897" i="20"/>
  <c r="BG897" i="20"/>
  <c r="BF897" i="20"/>
  <c r="BE897" i="20"/>
  <c r="BD897" i="20"/>
  <c r="BC897" i="20"/>
  <c r="BB897" i="20"/>
  <c r="BA897" i="20"/>
  <c r="AZ897" i="20"/>
  <c r="AY897" i="20"/>
  <c r="AX897" i="20"/>
  <c r="AW897" i="20"/>
  <c r="AV897" i="20"/>
  <c r="AU897" i="20"/>
  <c r="AT897" i="20"/>
  <c r="AS897" i="20"/>
  <c r="AR897" i="20"/>
  <c r="AQ897" i="20"/>
  <c r="AP897" i="20"/>
  <c r="AO897" i="20"/>
  <c r="AN897" i="20"/>
  <c r="AM897" i="20"/>
  <c r="AL897" i="20"/>
  <c r="BN896" i="20"/>
  <c r="BM896" i="20"/>
  <c r="BL896" i="20"/>
  <c r="BK896" i="20"/>
  <c r="BJ896" i="20"/>
  <c r="BI896" i="20"/>
  <c r="BH896" i="20"/>
  <c r="BG896" i="20"/>
  <c r="BF896" i="20"/>
  <c r="BE896" i="20"/>
  <c r="BD896" i="20"/>
  <c r="BC896" i="20"/>
  <c r="BB896" i="20"/>
  <c r="BA896" i="20"/>
  <c r="AZ896" i="20"/>
  <c r="AY896" i="20"/>
  <c r="AX896" i="20"/>
  <c r="AW896" i="20"/>
  <c r="AV896" i="20"/>
  <c r="AU896" i="20"/>
  <c r="AT896" i="20"/>
  <c r="AS896" i="20"/>
  <c r="AR896" i="20"/>
  <c r="AQ896" i="20"/>
  <c r="AP896" i="20"/>
  <c r="AO896" i="20"/>
  <c r="AN896" i="20"/>
  <c r="AM896" i="20"/>
  <c r="AL896" i="20"/>
  <c r="BN894" i="20"/>
  <c r="BM894" i="20"/>
  <c r="BL894" i="20"/>
  <c r="BK894" i="20"/>
  <c r="BJ894" i="20"/>
  <c r="BI894" i="20"/>
  <c r="BH894" i="20"/>
  <c r="BG894" i="20"/>
  <c r="BF894" i="20"/>
  <c r="BE894" i="20"/>
  <c r="BD894" i="20"/>
  <c r="BC894" i="20"/>
  <c r="BB894" i="20"/>
  <c r="BA894" i="20"/>
  <c r="AZ894" i="20"/>
  <c r="AY894" i="20"/>
  <c r="AX894" i="20"/>
  <c r="AW894" i="20"/>
  <c r="AV894" i="20"/>
  <c r="AU894" i="20"/>
  <c r="AT894" i="20"/>
  <c r="AS894" i="20"/>
  <c r="AR894" i="20"/>
  <c r="AQ894" i="20"/>
  <c r="AP894" i="20"/>
  <c r="AO894" i="20"/>
  <c r="AN894" i="20"/>
  <c r="AM894" i="20"/>
  <c r="AL894" i="20"/>
  <c r="BN893" i="20"/>
  <c r="BM893" i="20"/>
  <c r="BL893" i="20"/>
  <c r="BK893" i="20"/>
  <c r="BJ893" i="20"/>
  <c r="BI893" i="20"/>
  <c r="BH893" i="20"/>
  <c r="BG893" i="20"/>
  <c r="BF893" i="20"/>
  <c r="BE893" i="20"/>
  <c r="BD893" i="20"/>
  <c r="BC893" i="20"/>
  <c r="BB893" i="20"/>
  <c r="BA893" i="20"/>
  <c r="AZ893" i="20"/>
  <c r="AY893" i="20"/>
  <c r="AX893" i="20"/>
  <c r="AW893" i="20"/>
  <c r="AV893" i="20"/>
  <c r="AU893" i="20"/>
  <c r="AT893" i="20"/>
  <c r="AS893" i="20"/>
  <c r="AR893" i="20"/>
  <c r="AQ893" i="20"/>
  <c r="AP893" i="20"/>
  <c r="AO893" i="20"/>
  <c r="AN893" i="20"/>
  <c r="AM893" i="20"/>
  <c r="AL893" i="20"/>
  <c r="AL892" i="20"/>
  <c r="BN888" i="20"/>
  <c r="BM888" i="20"/>
  <c r="BL888" i="20"/>
  <c r="BK888" i="20"/>
  <c r="BJ888" i="20"/>
  <c r="BI888" i="20"/>
  <c r="BH888" i="20"/>
  <c r="BG888" i="20"/>
  <c r="BF888" i="20"/>
  <c r="BE888" i="20"/>
  <c r="BD888" i="20"/>
  <c r="BC888" i="20"/>
  <c r="BB888" i="20"/>
  <c r="BA888" i="20"/>
  <c r="AZ888" i="20"/>
  <c r="AY888" i="20"/>
  <c r="AX888" i="20"/>
  <c r="AW888" i="20"/>
  <c r="AV888" i="20"/>
  <c r="AU888" i="20"/>
  <c r="AT888" i="20"/>
  <c r="AS888" i="20"/>
  <c r="AR888" i="20"/>
  <c r="AQ888" i="20"/>
  <c r="AP888" i="20"/>
  <c r="AO888" i="20"/>
  <c r="AN888" i="20"/>
  <c r="AM888" i="20"/>
  <c r="AL888" i="20"/>
  <c r="BN887" i="20"/>
  <c r="BM887" i="20"/>
  <c r="BL887" i="20"/>
  <c r="BK887" i="20"/>
  <c r="BJ887" i="20"/>
  <c r="BI887" i="20"/>
  <c r="BH887" i="20"/>
  <c r="BG887" i="20"/>
  <c r="BF887" i="20"/>
  <c r="BE887" i="20"/>
  <c r="BD887" i="20"/>
  <c r="BC887" i="20"/>
  <c r="BB887" i="20"/>
  <c r="BA887" i="20"/>
  <c r="AZ887" i="20"/>
  <c r="AY887" i="20"/>
  <c r="AX887" i="20"/>
  <c r="AW887" i="20"/>
  <c r="AV887" i="20"/>
  <c r="AU887" i="20"/>
  <c r="AT887" i="20"/>
  <c r="AS887" i="20"/>
  <c r="AR887" i="20"/>
  <c r="AQ887" i="20"/>
  <c r="AP887" i="20"/>
  <c r="AO887" i="20"/>
  <c r="AN887" i="20"/>
  <c r="AM887" i="20"/>
  <c r="AL887" i="20"/>
  <c r="BN886" i="20"/>
  <c r="BM886" i="20"/>
  <c r="BL886" i="20"/>
  <c r="BK886" i="20"/>
  <c r="BJ886" i="20"/>
  <c r="BI886" i="20"/>
  <c r="BH886" i="20"/>
  <c r="BG886" i="20"/>
  <c r="BF886" i="20"/>
  <c r="BE886" i="20"/>
  <c r="BD886" i="20"/>
  <c r="BC886" i="20"/>
  <c r="BB886" i="20"/>
  <c r="BA886" i="20"/>
  <c r="AZ886" i="20"/>
  <c r="AY886" i="20"/>
  <c r="AX886" i="20"/>
  <c r="AW886" i="20"/>
  <c r="AV886" i="20"/>
  <c r="AU886" i="20"/>
  <c r="AT886" i="20"/>
  <c r="AS886" i="20"/>
  <c r="AR886" i="20"/>
  <c r="AQ886" i="20"/>
  <c r="AP886" i="20"/>
  <c r="AO886" i="20"/>
  <c r="AN886" i="20"/>
  <c r="AM886" i="20"/>
  <c r="AL886" i="20"/>
  <c r="BN885" i="20"/>
  <c r="BM885" i="20"/>
  <c r="BL885" i="20"/>
  <c r="BK885" i="20"/>
  <c r="BJ885" i="20"/>
  <c r="BI885" i="20"/>
  <c r="BH885" i="20"/>
  <c r="BG885" i="20"/>
  <c r="BF885" i="20"/>
  <c r="BE885" i="20"/>
  <c r="BD885" i="20"/>
  <c r="BC885" i="20"/>
  <c r="BB885" i="20"/>
  <c r="BA885" i="20"/>
  <c r="AZ885" i="20"/>
  <c r="AY885" i="20"/>
  <c r="AX885" i="20"/>
  <c r="AW885" i="20"/>
  <c r="AV885" i="20"/>
  <c r="AU885" i="20"/>
  <c r="AT885" i="20"/>
  <c r="AS885" i="20"/>
  <c r="AR885" i="20"/>
  <c r="AQ885" i="20"/>
  <c r="AP885" i="20"/>
  <c r="AO885" i="20"/>
  <c r="AN885" i="20"/>
  <c r="AM885" i="20"/>
  <c r="AL885" i="20"/>
  <c r="AM929" i="20"/>
  <c r="AN929" i="20" s="1"/>
  <c r="AM904" i="20"/>
  <c r="AN904" i="20" s="1"/>
  <c r="AM879" i="20"/>
  <c r="AN879" i="20" s="1"/>
  <c r="AO879" i="20" s="1"/>
  <c r="AM871" i="20"/>
  <c r="AN871" i="20"/>
  <c r="AO871" i="20"/>
  <c r="AP871" i="20"/>
  <c r="AQ871" i="20"/>
  <c r="AR871" i="20"/>
  <c r="AS871" i="20"/>
  <c r="AT871" i="20"/>
  <c r="AU871" i="20"/>
  <c r="AV871" i="20"/>
  <c r="AW871" i="20"/>
  <c r="AX871" i="20"/>
  <c r="AY871" i="20"/>
  <c r="AZ871" i="20"/>
  <c r="BA871" i="20"/>
  <c r="BB871" i="20"/>
  <c r="BC871" i="20"/>
  <c r="BD871" i="20"/>
  <c r="BE871" i="20"/>
  <c r="BF871" i="20"/>
  <c r="BG871" i="20"/>
  <c r="BH871" i="20"/>
  <c r="BI871" i="20"/>
  <c r="BJ871" i="20"/>
  <c r="BK871" i="20"/>
  <c r="BL871" i="20"/>
  <c r="BM871" i="20"/>
  <c r="BN871" i="20"/>
  <c r="AM872" i="20"/>
  <c r="AN872" i="20"/>
  <c r="AO872" i="20"/>
  <c r="AP872" i="20"/>
  <c r="AQ872" i="20"/>
  <c r="AR872" i="20"/>
  <c r="AS872" i="20"/>
  <c r="AT872" i="20"/>
  <c r="AU872" i="20"/>
  <c r="AV872" i="20"/>
  <c r="AW872" i="20"/>
  <c r="AX872" i="20"/>
  <c r="AY872" i="20"/>
  <c r="AZ872" i="20"/>
  <c r="BA872" i="20"/>
  <c r="BB872" i="20"/>
  <c r="BC872" i="20"/>
  <c r="BD872" i="20"/>
  <c r="BE872" i="20"/>
  <c r="BF872" i="20"/>
  <c r="BG872" i="20"/>
  <c r="BH872" i="20"/>
  <c r="BI872" i="20"/>
  <c r="BJ872" i="20"/>
  <c r="BK872" i="20"/>
  <c r="BL872" i="20"/>
  <c r="BM872" i="20"/>
  <c r="BN872" i="20"/>
  <c r="AM873" i="20"/>
  <c r="AM968" i="20" s="1"/>
  <c r="AN873" i="20"/>
  <c r="AN968" i="20" s="1"/>
  <c r="AO873" i="20"/>
  <c r="AO968" i="20" s="1"/>
  <c r="AP873" i="20"/>
  <c r="AP968" i="20" s="1"/>
  <c r="AQ873" i="20"/>
  <c r="AQ968" i="20" s="1"/>
  <c r="AR873" i="20"/>
  <c r="AR968" i="20" s="1"/>
  <c r="AS873" i="20"/>
  <c r="AS968" i="20" s="1"/>
  <c r="AT873" i="20"/>
  <c r="AT968" i="20" s="1"/>
  <c r="AU873" i="20"/>
  <c r="AU968" i="20" s="1"/>
  <c r="AV873" i="20"/>
  <c r="AV968" i="20" s="1"/>
  <c r="AW873" i="20"/>
  <c r="AW968" i="20" s="1"/>
  <c r="AX873" i="20"/>
  <c r="AX968" i="20" s="1"/>
  <c r="AY873" i="20"/>
  <c r="AY968" i="20" s="1"/>
  <c r="AZ873" i="20"/>
  <c r="AZ968" i="20" s="1"/>
  <c r="BA873" i="20"/>
  <c r="BA968" i="20" s="1"/>
  <c r="BB873" i="20"/>
  <c r="BB968" i="20" s="1"/>
  <c r="BC873" i="20"/>
  <c r="BC968" i="20" s="1"/>
  <c r="BD873" i="20"/>
  <c r="BD968" i="20" s="1"/>
  <c r="BE873" i="20"/>
  <c r="BE968" i="20" s="1"/>
  <c r="BF873" i="20"/>
  <c r="BF968" i="20" s="1"/>
  <c r="BG873" i="20"/>
  <c r="BG968" i="20" s="1"/>
  <c r="BH873" i="20"/>
  <c r="BH968" i="20" s="1"/>
  <c r="BI873" i="20"/>
  <c r="BI968" i="20" s="1"/>
  <c r="BJ873" i="20"/>
  <c r="BJ968" i="20" s="1"/>
  <c r="BK873" i="20"/>
  <c r="BK968" i="20" s="1"/>
  <c r="BL873" i="20"/>
  <c r="BL968" i="20" s="1"/>
  <c r="BM873" i="20"/>
  <c r="BM968" i="20" s="1"/>
  <c r="BN873" i="20"/>
  <c r="BN968" i="20" s="1"/>
  <c r="AM874" i="20"/>
  <c r="AN874" i="20"/>
  <c r="AO874" i="20"/>
  <c r="AP874" i="20"/>
  <c r="AQ874" i="20"/>
  <c r="AR874" i="20"/>
  <c r="AS874" i="20"/>
  <c r="AT874" i="20"/>
  <c r="AU874" i="20"/>
  <c r="AV874" i="20"/>
  <c r="AW874" i="20"/>
  <c r="AX874" i="20"/>
  <c r="AY874" i="20"/>
  <c r="AZ874" i="20"/>
  <c r="BA874" i="20"/>
  <c r="BB874" i="20"/>
  <c r="BC874" i="20"/>
  <c r="BD874" i="20"/>
  <c r="BE874" i="20"/>
  <c r="BF874" i="20"/>
  <c r="BG874" i="20"/>
  <c r="BH874" i="20"/>
  <c r="BI874" i="20"/>
  <c r="BJ874" i="20"/>
  <c r="BK874" i="20"/>
  <c r="BL874" i="20"/>
  <c r="BM874" i="20"/>
  <c r="BN874" i="20"/>
  <c r="AM875" i="20"/>
  <c r="AN875" i="20"/>
  <c r="AO875" i="20"/>
  <c r="AP875" i="20"/>
  <c r="AQ875" i="20"/>
  <c r="AR875" i="20"/>
  <c r="AS875" i="20"/>
  <c r="AT875" i="20"/>
  <c r="AU875" i="20"/>
  <c r="AV875" i="20"/>
  <c r="AW875" i="20"/>
  <c r="AX875" i="20"/>
  <c r="AY875" i="20"/>
  <c r="AZ875" i="20"/>
  <c r="BA875" i="20"/>
  <c r="BB875" i="20"/>
  <c r="BC875" i="20"/>
  <c r="BD875" i="20"/>
  <c r="BE875" i="20"/>
  <c r="BF875" i="20"/>
  <c r="BG875" i="20"/>
  <c r="BH875" i="20"/>
  <c r="BI875" i="20"/>
  <c r="BJ875" i="20"/>
  <c r="BK875" i="20"/>
  <c r="BL875" i="20"/>
  <c r="BM875" i="20"/>
  <c r="BN875" i="20"/>
  <c r="AL875" i="20"/>
  <c r="AL874" i="20"/>
  <c r="AL873" i="20"/>
  <c r="AL968" i="20" s="1"/>
  <c r="AL872" i="20"/>
  <c r="AL871" i="20"/>
  <c r="AM860" i="20"/>
  <c r="AN860" i="20"/>
  <c r="AO860" i="20"/>
  <c r="AP860" i="20"/>
  <c r="AQ860" i="20"/>
  <c r="AR860" i="20"/>
  <c r="AS860" i="20"/>
  <c r="AT860" i="20"/>
  <c r="AU860" i="20"/>
  <c r="AV860" i="20"/>
  <c r="AW860" i="20"/>
  <c r="AX860" i="20"/>
  <c r="AY860" i="20"/>
  <c r="AZ860" i="20"/>
  <c r="BA860" i="20"/>
  <c r="BB860" i="20"/>
  <c r="BC860" i="20"/>
  <c r="BD860" i="20"/>
  <c r="BE860" i="20"/>
  <c r="BF860" i="20"/>
  <c r="BG860" i="20"/>
  <c r="BH860" i="20"/>
  <c r="BI860" i="20"/>
  <c r="BJ860" i="20"/>
  <c r="BK860" i="20"/>
  <c r="BL860" i="20"/>
  <c r="BM860" i="20"/>
  <c r="BN860" i="20"/>
  <c r="AM861" i="20"/>
  <c r="AN861" i="20"/>
  <c r="AO861" i="20"/>
  <c r="AP861" i="20"/>
  <c r="AQ861" i="20"/>
  <c r="AR861" i="20"/>
  <c r="AS861" i="20"/>
  <c r="AT861" i="20"/>
  <c r="AU861" i="20"/>
  <c r="AV861" i="20"/>
  <c r="AW861" i="20"/>
  <c r="AX861" i="20"/>
  <c r="AY861" i="20"/>
  <c r="AZ861" i="20"/>
  <c r="BA861" i="20"/>
  <c r="BB861" i="20"/>
  <c r="BC861" i="20"/>
  <c r="BD861" i="20"/>
  <c r="BE861" i="20"/>
  <c r="BF861" i="20"/>
  <c r="BG861" i="20"/>
  <c r="BH861" i="20"/>
  <c r="BI861" i="20"/>
  <c r="BJ861" i="20"/>
  <c r="BK861" i="20"/>
  <c r="BL861" i="20"/>
  <c r="BM861" i="20"/>
  <c r="BN861" i="20"/>
  <c r="AM862" i="20"/>
  <c r="AM967" i="20" s="1"/>
  <c r="AN862" i="20"/>
  <c r="AN967" i="20" s="1"/>
  <c r="AO862" i="20"/>
  <c r="AO967" i="20" s="1"/>
  <c r="AP862" i="20"/>
  <c r="AP967" i="20" s="1"/>
  <c r="AQ862" i="20"/>
  <c r="AQ967" i="20" s="1"/>
  <c r="AR862" i="20"/>
  <c r="AR967" i="20" s="1"/>
  <c r="AS862" i="20"/>
  <c r="AS967" i="20" s="1"/>
  <c r="AT862" i="20"/>
  <c r="AT967" i="20" s="1"/>
  <c r="AU862" i="20"/>
  <c r="AU967" i="20" s="1"/>
  <c r="AV862" i="20"/>
  <c r="AV967" i="20" s="1"/>
  <c r="AW862" i="20"/>
  <c r="AW967" i="20" s="1"/>
  <c r="AX862" i="20"/>
  <c r="AX967" i="20" s="1"/>
  <c r="AY862" i="20"/>
  <c r="AY967" i="20" s="1"/>
  <c r="AZ862" i="20"/>
  <c r="AZ967" i="20" s="1"/>
  <c r="BA862" i="20"/>
  <c r="BA967" i="20" s="1"/>
  <c r="BB862" i="20"/>
  <c r="BB967" i="20" s="1"/>
  <c r="BC862" i="20"/>
  <c r="BC967" i="20" s="1"/>
  <c r="BD862" i="20"/>
  <c r="BD967" i="20" s="1"/>
  <c r="BE862" i="20"/>
  <c r="BE967" i="20" s="1"/>
  <c r="BF862" i="20"/>
  <c r="BF967" i="20" s="1"/>
  <c r="BG862" i="20"/>
  <c r="BG967" i="20" s="1"/>
  <c r="BH862" i="20"/>
  <c r="BH967" i="20" s="1"/>
  <c r="BI862" i="20"/>
  <c r="BI967" i="20" s="1"/>
  <c r="BJ862" i="20"/>
  <c r="BJ967" i="20" s="1"/>
  <c r="BK862" i="20"/>
  <c r="BK967" i="20" s="1"/>
  <c r="BL862" i="20"/>
  <c r="BL967" i="20" s="1"/>
  <c r="BM862" i="20"/>
  <c r="BM967" i="20" s="1"/>
  <c r="BN862" i="20"/>
  <c r="BN967" i="20" s="1"/>
  <c r="AM863" i="20"/>
  <c r="AN863" i="20"/>
  <c r="AO863" i="20"/>
  <c r="AP863" i="20"/>
  <c r="AQ863" i="20"/>
  <c r="AR863" i="20"/>
  <c r="AS863" i="20"/>
  <c r="AT863" i="20"/>
  <c r="AU863" i="20"/>
  <c r="AV863" i="20"/>
  <c r="AW863" i="20"/>
  <c r="AX863" i="20"/>
  <c r="AY863" i="20"/>
  <c r="AZ863" i="20"/>
  <c r="BA863" i="20"/>
  <c r="BB863" i="20"/>
  <c r="BC863" i="20"/>
  <c r="BD863" i="20"/>
  <c r="BE863" i="20"/>
  <c r="BF863" i="20"/>
  <c r="BG863" i="20"/>
  <c r="BH863" i="20"/>
  <c r="BI863" i="20"/>
  <c r="BJ863" i="20"/>
  <c r="BK863" i="20"/>
  <c r="BL863" i="20"/>
  <c r="BM863" i="20"/>
  <c r="BN863" i="20"/>
  <c r="AL863" i="20"/>
  <c r="AL862" i="20"/>
  <c r="AL967" i="20" s="1"/>
  <c r="AL861" i="20"/>
  <c r="AL860" i="20"/>
  <c r="AM854" i="20"/>
  <c r="AN854" i="20" s="1"/>
  <c r="AO854" i="20" s="1"/>
  <c r="AP854" i="20" s="1"/>
  <c r="AQ854" i="20" s="1"/>
  <c r="AR854" i="20" s="1"/>
  <c r="AS854" i="20" s="1"/>
  <c r="AT854" i="20" s="1"/>
  <c r="AU854" i="20" s="1"/>
  <c r="AV854" i="20" s="1"/>
  <c r="AW854" i="20" s="1"/>
  <c r="AX854" i="20" s="1"/>
  <c r="AY854" i="20" s="1"/>
  <c r="AZ854" i="20" s="1"/>
  <c r="BA854" i="20" s="1"/>
  <c r="BB854" i="20" s="1"/>
  <c r="BC854" i="20" s="1"/>
  <c r="BD854" i="20" s="1"/>
  <c r="BE854" i="20" s="1"/>
  <c r="BF854" i="20" s="1"/>
  <c r="BG854" i="20" s="1"/>
  <c r="BH854" i="20" s="1"/>
  <c r="BI854" i="20" s="1"/>
  <c r="BJ854" i="20" s="1"/>
  <c r="BK854" i="20" s="1"/>
  <c r="BL854" i="20" s="1"/>
  <c r="BM854" i="20" s="1"/>
  <c r="BN854" i="20" s="1"/>
  <c r="AS547" i="11" l="1"/>
  <c r="AS555" i="11" s="1"/>
  <c r="AT517" i="11"/>
  <c r="AS509" i="11"/>
  <c r="AR544" i="11"/>
  <c r="AR554" i="11" s="1"/>
  <c r="AL441" i="11"/>
  <c r="AK451" i="11"/>
  <c r="AN33" i="11"/>
  <c r="AM439" i="11"/>
  <c r="AY633" i="11"/>
  <c r="BA645" i="11"/>
  <c r="AR176" i="11"/>
  <c r="AO954" i="20"/>
  <c r="AO929" i="20"/>
  <c r="AO904" i="20"/>
  <c r="AP879" i="20"/>
  <c r="AU517" i="11" l="1"/>
  <c r="AT547" i="11"/>
  <c r="AT555" i="11" s="1"/>
  <c r="AT509" i="11"/>
  <c r="AS544" i="11"/>
  <c r="AS554" i="11" s="1"/>
  <c r="AM441" i="11"/>
  <c r="AL451" i="11"/>
  <c r="AO33" i="11"/>
  <c r="AN439" i="11"/>
  <c r="AZ633" i="11"/>
  <c r="AS176" i="11"/>
  <c r="AP954" i="20"/>
  <c r="AP929" i="20"/>
  <c r="AP904" i="20"/>
  <c r="AQ879" i="20"/>
  <c r="B145" i="20"/>
  <c r="AL677" i="20"/>
  <c r="AL676" i="20"/>
  <c r="AL675" i="20"/>
  <c r="AL674" i="20"/>
  <c r="AL673" i="20"/>
  <c r="AL672" i="20"/>
  <c r="AL671" i="20"/>
  <c r="AL670" i="20"/>
  <c r="AL666" i="20"/>
  <c r="AL665" i="20"/>
  <c r="AL664" i="20"/>
  <c r="AL663" i="20"/>
  <c r="AL662" i="20"/>
  <c r="AL661" i="20"/>
  <c r="AL660" i="20"/>
  <c r="AL659" i="20"/>
  <c r="AL655" i="20"/>
  <c r="AL654" i="20"/>
  <c r="AL653" i="20"/>
  <c r="AL652" i="20"/>
  <c r="AL651" i="20"/>
  <c r="AL650" i="20"/>
  <c r="AL649" i="20"/>
  <c r="AL648" i="20"/>
  <c r="AL644" i="20"/>
  <c r="AL643" i="20"/>
  <c r="AL642" i="20"/>
  <c r="AL934" i="20" s="1"/>
  <c r="AL641" i="20"/>
  <c r="AL640" i="20"/>
  <c r="AL639" i="20"/>
  <c r="AL638" i="20"/>
  <c r="AL637" i="20"/>
  <c r="AL633" i="20"/>
  <c r="AL632" i="20"/>
  <c r="AL631" i="20"/>
  <c r="AL933" i="20" s="1"/>
  <c r="AL630" i="20"/>
  <c r="AL629" i="20"/>
  <c r="AL628" i="20"/>
  <c r="AL627" i="20"/>
  <c r="AL626" i="20"/>
  <c r="AL622" i="20"/>
  <c r="AL621" i="20"/>
  <c r="AL620" i="20"/>
  <c r="AL619" i="20"/>
  <c r="AL618" i="20"/>
  <c r="AL617" i="20"/>
  <c r="AL909" i="20" s="1"/>
  <c r="AL616" i="20"/>
  <c r="AL615" i="20"/>
  <c r="AT544" i="11" l="1"/>
  <c r="AT554" i="11" s="1"/>
  <c r="AU509" i="11"/>
  <c r="AU547" i="11"/>
  <c r="AU555" i="11" s="1"/>
  <c r="AV517" i="11"/>
  <c r="AN441" i="11"/>
  <c r="AM451" i="11"/>
  <c r="AP33" i="11"/>
  <c r="AO439" i="11"/>
  <c r="BA633" i="11"/>
  <c r="AT176" i="11"/>
  <c r="AQ954" i="20"/>
  <c r="AQ929" i="20"/>
  <c r="AQ904" i="20"/>
  <c r="AR879" i="20"/>
  <c r="AW517" i="11" l="1"/>
  <c r="AV547" i="11"/>
  <c r="AV555" i="11" s="1"/>
  <c r="AV509" i="11"/>
  <c r="AU544" i="11"/>
  <c r="AU554" i="11" s="1"/>
  <c r="AN451" i="11"/>
  <c r="AO441" i="11"/>
  <c r="AQ33" i="11"/>
  <c r="AP439" i="11"/>
  <c r="AU176" i="11"/>
  <c r="AR954" i="20"/>
  <c r="AR929" i="20"/>
  <c r="AR904" i="20"/>
  <c r="AS879" i="20"/>
  <c r="AL850" i="20"/>
  <c r="AL849" i="20"/>
  <c r="AL848" i="20"/>
  <c r="AL943" i="20" s="1"/>
  <c r="AL847" i="20"/>
  <c r="AL846" i="20"/>
  <c r="AL845" i="20"/>
  <c r="AL844" i="20"/>
  <c r="AL843" i="20"/>
  <c r="AL839" i="20"/>
  <c r="AL838" i="20"/>
  <c r="AL837" i="20"/>
  <c r="AL942" i="20" s="1"/>
  <c r="AL836" i="20"/>
  <c r="AL835" i="20"/>
  <c r="AL834" i="20"/>
  <c r="AL919" i="20" s="1"/>
  <c r="AL833" i="20"/>
  <c r="AL832" i="20"/>
  <c r="AL828" i="20"/>
  <c r="AL827" i="20"/>
  <c r="AL826" i="20"/>
  <c r="AL941" i="20" s="1"/>
  <c r="AL825" i="20"/>
  <c r="AL824" i="20"/>
  <c r="AL823" i="20"/>
  <c r="AL918" i="20" s="1"/>
  <c r="AL822" i="20"/>
  <c r="AL821" i="20"/>
  <c r="AL817" i="20"/>
  <c r="AL816" i="20"/>
  <c r="AL815" i="20"/>
  <c r="AL940" i="20" s="1"/>
  <c r="AL814" i="20"/>
  <c r="AL813" i="20"/>
  <c r="AL812" i="20"/>
  <c r="AL917" i="20" s="1"/>
  <c r="AL811" i="20"/>
  <c r="AL810" i="20"/>
  <c r="AL806" i="20"/>
  <c r="AM806" i="20" s="1"/>
  <c r="AL805" i="20"/>
  <c r="AM805" i="20" s="1"/>
  <c r="AL804" i="20"/>
  <c r="AL945" i="20" s="1"/>
  <c r="AL803" i="20"/>
  <c r="AM803" i="20" s="1"/>
  <c r="AL802" i="20"/>
  <c r="AM802" i="20" s="1"/>
  <c r="AL801" i="20"/>
  <c r="AL800" i="20"/>
  <c r="AM800" i="20" s="1"/>
  <c r="AL799" i="20"/>
  <c r="AM799" i="20" s="1"/>
  <c r="AW509" i="11" l="1"/>
  <c r="AV544" i="11"/>
  <c r="AV554" i="11" s="1"/>
  <c r="AX517" i="11"/>
  <c r="AW547" i="11"/>
  <c r="AW555" i="11" s="1"/>
  <c r="AP441" i="11"/>
  <c r="AO451" i="11"/>
  <c r="AR33" i="11"/>
  <c r="AQ439" i="11"/>
  <c r="AV176" i="11"/>
  <c r="AS954" i="20"/>
  <c r="AM804" i="20"/>
  <c r="AL939" i="20"/>
  <c r="AM801" i="20"/>
  <c r="AM916" i="20" s="1"/>
  <c r="AL916" i="20"/>
  <c r="AS929" i="20"/>
  <c r="AS904" i="20"/>
  <c r="AT879" i="20"/>
  <c r="AL795" i="20"/>
  <c r="AL790" i="20"/>
  <c r="AL915" i="20" s="1"/>
  <c r="AL791" i="20"/>
  <c r="AL792" i="20"/>
  <c r="AL793" i="20"/>
  <c r="AL794" i="20"/>
  <c r="AL789" i="20"/>
  <c r="AL788" i="20"/>
  <c r="AL783" i="20"/>
  <c r="AL782" i="20"/>
  <c r="AL781" i="20"/>
  <c r="AL780" i="20"/>
  <c r="AL779" i="20"/>
  <c r="AL778" i="20"/>
  <c r="AL777" i="20"/>
  <c r="AY517" i="11" l="1"/>
  <c r="AX547" i="11"/>
  <c r="AX555" i="11" s="1"/>
  <c r="AX509" i="11"/>
  <c r="AW544" i="11"/>
  <c r="AW554" i="11" s="1"/>
  <c r="AQ441" i="11"/>
  <c r="AP451" i="11"/>
  <c r="AS33" i="11"/>
  <c r="AR439" i="11"/>
  <c r="AW176" i="11"/>
  <c r="AM939" i="20"/>
  <c r="AM945" i="20"/>
  <c r="AL914" i="20"/>
  <c r="AL920" i="20"/>
  <c r="AT954" i="20"/>
  <c r="AT929" i="20"/>
  <c r="AT904" i="20"/>
  <c r="AU879" i="20"/>
  <c r="AL776" i="20"/>
  <c r="AL891" i="20" s="1"/>
  <c r="AL772" i="20"/>
  <c r="AL771" i="20"/>
  <c r="AL770" i="20"/>
  <c r="AL769" i="20"/>
  <c r="AL768" i="20"/>
  <c r="AL767" i="20"/>
  <c r="AL766" i="20"/>
  <c r="AL765" i="20"/>
  <c r="AL890" i="20" s="1"/>
  <c r="AL761" i="20"/>
  <c r="AL760" i="20"/>
  <c r="AL759" i="20"/>
  <c r="AL758" i="20"/>
  <c r="AL757" i="20"/>
  <c r="AL756" i="20"/>
  <c r="AL755" i="20"/>
  <c r="AL754" i="20"/>
  <c r="AL750" i="20"/>
  <c r="AL749" i="20"/>
  <c r="AL748" i="20"/>
  <c r="AL747" i="20"/>
  <c r="AL746" i="20"/>
  <c r="AL745" i="20"/>
  <c r="AL744" i="20"/>
  <c r="AL743" i="20"/>
  <c r="AY509" i="11" l="1"/>
  <c r="AX544" i="11"/>
  <c r="AX554" i="11" s="1"/>
  <c r="AZ517" i="11"/>
  <c r="AY547" i="11"/>
  <c r="AY555" i="11" s="1"/>
  <c r="AR441" i="11"/>
  <c r="AQ451" i="11"/>
  <c r="AT33" i="11"/>
  <c r="AS439" i="11"/>
  <c r="AX176" i="11"/>
  <c r="AL889" i="20"/>
  <c r="AL895" i="20"/>
  <c r="AU954" i="20"/>
  <c r="AU929" i="20"/>
  <c r="AU904" i="20"/>
  <c r="AV879" i="20"/>
  <c r="AL733" i="20"/>
  <c r="AM733" i="20" s="1"/>
  <c r="AL739" i="20"/>
  <c r="AM739" i="20" s="1"/>
  <c r="AL738" i="20"/>
  <c r="AM738" i="20" s="1"/>
  <c r="AL737" i="20"/>
  <c r="AM737" i="20" s="1"/>
  <c r="AL736" i="20"/>
  <c r="AM736" i="20" s="1"/>
  <c r="AL735" i="20"/>
  <c r="AM735" i="20" s="1"/>
  <c r="AL734" i="20"/>
  <c r="AM734" i="20" s="1"/>
  <c r="AL732" i="20"/>
  <c r="AM732" i="20" s="1"/>
  <c r="AL728" i="20"/>
  <c r="AL727" i="20"/>
  <c r="AL726" i="20"/>
  <c r="AL725" i="20"/>
  <c r="AL724" i="20"/>
  <c r="AL723" i="20"/>
  <c r="AL722" i="20"/>
  <c r="AF721" i="20"/>
  <c r="AF843" i="20"/>
  <c r="AF832" i="20"/>
  <c r="AF821" i="20"/>
  <c r="AF810" i="20"/>
  <c r="AF799" i="20"/>
  <c r="AF788" i="20"/>
  <c r="AF776" i="20"/>
  <c r="AF765" i="20"/>
  <c r="AF754" i="20"/>
  <c r="AF743" i="20"/>
  <c r="AF732" i="20"/>
  <c r="AM787" i="20"/>
  <c r="BA517" i="11" l="1"/>
  <c r="BA547" i="11" s="1"/>
  <c r="BA555" i="11" s="1"/>
  <c r="AZ547" i="11"/>
  <c r="AZ555" i="11" s="1"/>
  <c r="AZ509" i="11"/>
  <c r="AY544" i="11"/>
  <c r="AY554" i="11" s="1"/>
  <c r="AS441" i="11"/>
  <c r="AR451" i="11"/>
  <c r="AU33" i="11"/>
  <c r="AT439" i="11"/>
  <c r="AY176" i="11"/>
  <c r="AN787" i="20"/>
  <c r="AM892" i="20"/>
  <c r="AV954" i="20"/>
  <c r="AV929" i="20"/>
  <c r="AV904" i="20"/>
  <c r="AW879" i="20"/>
  <c r="AL807" i="20"/>
  <c r="AL818" i="20"/>
  <c r="AL796" i="20"/>
  <c r="AL829" i="20"/>
  <c r="AL840" i="20"/>
  <c r="AL965" i="20" s="1"/>
  <c r="AL851" i="20"/>
  <c r="AL966" i="20" s="1"/>
  <c r="BA509" i="11" l="1"/>
  <c r="BA544" i="11" s="1"/>
  <c r="BA554" i="11" s="1"/>
  <c r="AZ544" i="11"/>
  <c r="AZ554" i="11" s="1"/>
  <c r="AT441" i="11"/>
  <c r="AS451" i="11"/>
  <c r="AV33" i="11"/>
  <c r="AU439" i="11"/>
  <c r="AZ176" i="11"/>
  <c r="AL964" i="20"/>
  <c r="AL970" i="20"/>
  <c r="AO787" i="20"/>
  <c r="AN892" i="20"/>
  <c r="AW954" i="20"/>
  <c r="AW929" i="20"/>
  <c r="AW904" i="20"/>
  <c r="AX879" i="20"/>
  <c r="AL751" i="20"/>
  <c r="AL866" i="20" s="1"/>
  <c r="AM720" i="20"/>
  <c r="AU441" i="11" l="1"/>
  <c r="AT451" i="11"/>
  <c r="AW33" i="11"/>
  <c r="AV439" i="11"/>
  <c r="BA176" i="11"/>
  <c r="AP787" i="20"/>
  <c r="AO892" i="20"/>
  <c r="AX954" i="20"/>
  <c r="AN939" i="20"/>
  <c r="AX929" i="20"/>
  <c r="AX904" i="20"/>
  <c r="AY879" i="20"/>
  <c r="AN720" i="20"/>
  <c r="AO720" i="20" s="1"/>
  <c r="AP720" i="20" s="1"/>
  <c r="AQ720" i="20" s="1"/>
  <c r="AR720" i="20" s="1"/>
  <c r="AS720" i="20" s="1"/>
  <c r="AT720" i="20" s="1"/>
  <c r="AU720" i="20" s="1"/>
  <c r="AV720" i="20" s="1"/>
  <c r="AW720" i="20" s="1"/>
  <c r="AX720" i="20" s="1"/>
  <c r="AY720" i="20" s="1"/>
  <c r="AZ720" i="20" s="1"/>
  <c r="BA720" i="20" s="1"/>
  <c r="BB720" i="20" s="1"/>
  <c r="BC720" i="20" s="1"/>
  <c r="BD720" i="20" s="1"/>
  <c r="BE720" i="20" s="1"/>
  <c r="BF720" i="20" s="1"/>
  <c r="BG720" i="20" s="1"/>
  <c r="BH720" i="20" s="1"/>
  <c r="BI720" i="20" s="1"/>
  <c r="BJ720" i="20" s="1"/>
  <c r="BK720" i="20" s="1"/>
  <c r="BL720" i="20" s="1"/>
  <c r="BM720" i="20" s="1"/>
  <c r="BN720" i="20" s="1"/>
  <c r="AM725" i="20"/>
  <c r="AM721" i="20"/>
  <c r="AM726" i="20"/>
  <c r="AM724" i="20"/>
  <c r="AM723" i="20"/>
  <c r="AM728" i="20"/>
  <c r="AM727" i="20"/>
  <c r="AM722" i="20"/>
  <c r="AL729" i="20"/>
  <c r="AL740" i="20"/>
  <c r="AL865" i="20" s="1"/>
  <c r="AL762" i="20"/>
  <c r="AL867" i="20" s="1"/>
  <c r="AM740" i="20"/>
  <c r="AM865" i="20" s="1"/>
  <c r="AL773" i="20"/>
  <c r="AL868" i="20" s="1"/>
  <c r="AL784" i="20"/>
  <c r="AL869" i="20" s="1"/>
  <c r="AF670" i="20"/>
  <c r="AF659" i="20"/>
  <c r="AF648" i="20"/>
  <c r="AF637" i="20"/>
  <c r="AF626" i="20"/>
  <c r="AF615" i="20"/>
  <c r="AL678" i="20"/>
  <c r="AL667" i="20"/>
  <c r="AL959" i="20" s="1"/>
  <c r="AL623" i="20"/>
  <c r="AM614" i="20"/>
  <c r="AN614" i="20" s="1"/>
  <c r="AO614" i="20" s="1"/>
  <c r="AP614" i="20" s="1"/>
  <c r="AQ614" i="20" s="1"/>
  <c r="AR614" i="20" s="1"/>
  <c r="AS614" i="20" s="1"/>
  <c r="AT614" i="20" s="1"/>
  <c r="AU614" i="20" s="1"/>
  <c r="AV614" i="20" s="1"/>
  <c r="AW614" i="20" s="1"/>
  <c r="AX614" i="20" s="1"/>
  <c r="AY614" i="20" s="1"/>
  <c r="AZ614" i="20" s="1"/>
  <c r="BA614" i="20" s="1"/>
  <c r="BB614" i="20" s="1"/>
  <c r="BC614" i="20" s="1"/>
  <c r="BD614" i="20" s="1"/>
  <c r="BE614" i="20" s="1"/>
  <c r="BF614" i="20" s="1"/>
  <c r="BG614" i="20" s="1"/>
  <c r="BH614" i="20" s="1"/>
  <c r="BI614" i="20" s="1"/>
  <c r="BJ614" i="20" s="1"/>
  <c r="BK614" i="20" s="1"/>
  <c r="BL614" i="20" s="1"/>
  <c r="BM614" i="20" s="1"/>
  <c r="BN614" i="20" s="1"/>
  <c r="AL577" i="20"/>
  <c r="AM577" i="20" s="1"/>
  <c r="AN577" i="20" s="1"/>
  <c r="AL576" i="20"/>
  <c r="AM576" i="20" s="1"/>
  <c r="AN576" i="20" s="1"/>
  <c r="AL575" i="20"/>
  <c r="AM575" i="20" s="1"/>
  <c r="AN575" i="20" s="1"/>
  <c r="AL574" i="20"/>
  <c r="AM574" i="20" s="1"/>
  <c r="AN574" i="20" s="1"/>
  <c r="AL573" i="20"/>
  <c r="AL572" i="20"/>
  <c r="AM572" i="20" s="1"/>
  <c r="AN572" i="20" s="1"/>
  <c r="AL571" i="20"/>
  <c r="AM571" i="20" s="1"/>
  <c r="AN571" i="20" s="1"/>
  <c r="AL570" i="20"/>
  <c r="AM570" i="20" s="1"/>
  <c r="AL566" i="20"/>
  <c r="AM566" i="20" s="1"/>
  <c r="AN566" i="20" s="1"/>
  <c r="AL565" i="20"/>
  <c r="AM565" i="20" s="1"/>
  <c r="AN565" i="20" s="1"/>
  <c r="AL564" i="20"/>
  <c r="AM564" i="20" s="1"/>
  <c r="AN564" i="20" s="1"/>
  <c r="AL563" i="20"/>
  <c r="AM563" i="20" s="1"/>
  <c r="AN563" i="20" s="1"/>
  <c r="AL562" i="20"/>
  <c r="AM562" i="20" s="1"/>
  <c r="AN562" i="20" s="1"/>
  <c r="AL561" i="20"/>
  <c r="AM561" i="20" s="1"/>
  <c r="AN561" i="20" s="1"/>
  <c r="AL560" i="20"/>
  <c r="AM560" i="20" s="1"/>
  <c r="AN560" i="20" s="1"/>
  <c r="AL559" i="20"/>
  <c r="AL884" i="20" s="1"/>
  <c r="AL969" i="20" s="1"/>
  <c r="AL555" i="20"/>
  <c r="AM555" i="20" s="1"/>
  <c r="AN555" i="20" s="1"/>
  <c r="AL554" i="20"/>
  <c r="AM554" i="20" s="1"/>
  <c r="AN554" i="20" s="1"/>
  <c r="AL553" i="20"/>
  <c r="AM553" i="20" s="1"/>
  <c r="AN553" i="20" s="1"/>
  <c r="AL552" i="20"/>
  <c r="AM552" i="20" s="1"/>
  <c r="AN552" i="20" s="1"/>
  <c r="AL551" i="20"/>
  <c r="AM551" i="20" s="1"/>
  <c r="AN551" i="20" s="1"/>
  <c r="AL550" i="20"/>
  <c r="AM550" i="20" s="1"/>
  <c r="AN550" i="20" s="1"/>
  <c r="AL549" i="20"/>
  <c r="AM549" i="20" s="1"/>
  <c r="AN549" i="20" s="1"/>
  <c r="AL548" i="20"/>
  <c r="AL883" i="20" s="1"/>
  <c r="AL543" i="20"/>
  <c r="AL542" i="20"/>
  <c r="AM542" i="20" s="1"/>
  <c r="AL541" i="20"/>
  <c r="AM541" i="20" s="1"/>
  <c r="AL540" i="20"/>
  <c r="AM540" i="20" s="1"/>
  <c r="AN540" i="20" s="1"/>
  <c r="AL539" i="20"/>
  <c r="AM539" i="20" s="1"/>
  <c r="AL538" i="20"/>
  <c r="AM538" i="20" s="1"/>
  <c r="AL537" i="20"/>
  <c r="AM537" i="20" s="1"/>
  <c r="AL544" i="20"/>
  <c r="AM544" i="20" s="1"/>
  <c r="AN544" i="20" s="1"/>
  <c r="AJ577" i="20"/>
  <c r="AJ576" i="20"/>
  <c r="AJ575" i="20"/>
  <c r="AJ574" i="20"/>
  <c r="AJ573" i="20"/>
  <c r="AJ572" i="20"/>
  <c r="AJ571" i="20"/>
  <c r="AJ570" i="20"/>
  <c r="AI577" i="20"/>
  <c r="AI576" i="20"/>
  <c r="AI575" i="20"/>
  <c r="AI574" i="20"/>
  <c r="AI573" i="20"/>
  <c r="AI572" i="20"/>
  <c r="AI571" i="20"/>
  <c r="AI570" i="20"/>
  <c r="AJ566" i="20"/>
  <c r="AJ565" i="20"/>
  <c r="AJ564" i="20"/>
  <c r="AJ563" i="20"/>
  <c r="AJ562" i="20"/>
  <c r="AJ561" i="20"/>
  <c r="AJ560" i="20"/>
  <c r="AJ559" i="20"/>
  <c r="AI566" i="20"/>
  <c r="AI565" i="20"/>
  <c r="AI564" i="20"/>
  <c r="AI563" i="20"/>
  <c r="AI562" i="20"/>
  <c r="AI561" i="20"/>
  <c r="AI560" i="20"/>
  <c r="AI559" i="20"/>
  <c r="AJ555" i="20"/>
  <c r="AJ554" i="20"/>
  <c r="AJ553" i="20"/>
  <c r="AJ552" i="20"/>
  <c r="AJ551" i="20"/>
  <c r="AJ550" i="20"/>
  <c r="AJ549" i="20"/>
  <c r="AJ548" i="20"/>
  <c r="AI555" i="20"/>
  <c r="AI554" i="20"/>
  <c r="AI553" i="20"/>
  <c r="AI552" i="20"/>
  <c r="AI551" i="20"/>
  <c r="AI550" i="20"/>
  <c r="AI549" i="20"/>
  <c r="AI548" i="20"/>
  <c r="AJ544" i="20"/>
  <c r="AJ543" i="20"/>
  <c r="AJ542" i="20"/>
  <c r="AJ541" i="20"/>
  <c r="AJ540" i="20"/>
  <c r="AJ539" i="20"/>
  <c r="AJ538" i="20"/>
  <c r="AJ537" i="20"/>
  <c r="AI544" i="20"/>
  <c r="AI543" i="20"/>
  <c r="AI542" i="20"/>
  <c r="AI541" i="20"/>
  <c r="AI540" i="20"/>
  <c r="AI539" i="20"/>
  <c r="AI538" i="20"/>
  <c r="AI537" i="20"/>
  <c r="AJ526" i="20"/>
  <c r="AJ533" i="20"/>
  <c r="AI533" i="20"/>
  <c r="AJ532" i="20"/>
  <c r="AI532" i="20"/>
  <c r="AJ531" i="20"/>
  <c r="AI531" i="20"/>
  <c r="AJ530" i="20"/>
  <c r="AI530" i="20"/>
  <c r="AJ529" i="20"/>
  <c r="AI529" i="20"/>
  <c r="AJ528" i="20"/>
  <c r="AI528" i="20"/>
  <c r="AJ527" i="20"/>
  <c r="AI527" i="20"/>
  <c r="AI526" i="20"/>
  <c r="AF570" i="20"/>
  <c r="AF559" i="20"/>
  <c r="AF548" i="20"/>
  <c r="AF537" i="20"/>
  <c r="AF526" i="20"/>
  <c r="AK355" i="20"/>
  <c r="AK345" i="20"/>
  <c r="AK335" i="20"/>
  <c r="AK325" i="20"/>
  <c r="AK315" i="20"/>
  <c r="AK305" i="20"/>
  <c r="AK293" i="20"/>
  <c r="AK283" i="20"/>
  <c r="AK273" i="20"/>
  <c r="AK263" i="20"/>
  <c r="AJ522" i="20"/>
  <c r="AJ521" i="20"/>
  <c r="AJ520" i="20"/>
  <c r="AJ519" i="20"/>
  <c r="AJ518" i="20"/>
  <c r="AJ517" i="20"/>
  <c r="AJ516" i="20"/>
  <c r="AJ515" i="20"/>
  <c r="AI522" i="20"/>
  <c r="AI521" i="20"/>
  <c r="AI520" i="20"/>
  <c r="AI519" i="20"/>
  <c r="AI518" i="20"/>
  <c r="AI517" i="20"/>
  <c r="AI516" i="20"/>
  <c r="AF515" i="20"/>
  <c r="AV441" i="11" l="1"/>
  <c r="AU451" i="11"/>
  <c r="AX33" i="11"/>
  <c r="AW439" i="11"/>
  <c r="AL864" i="20"/>
  <c r="AL870" i="20"/>
  <c r="AN725" i="20"/>
  <c r="AO725" i="20" s="1"/>
  <c r="AP725" i="20" s="1"/>
  <c r="AQ725" i="20" s="1"/>
  <c r="AR725" i="20" s="1"/>
  <c r="AS725" i="20" s="1"/>
  <c r="AT725" i="20" s="1"/>
  <c r="AU725" i="20" s="1"/>
  <c r="AV725" i="20" s="1"/>
  <c r="AW725" i="20" s="1"/>
  <c r="AX725" i="20" s="1"/>
  <c r="AQ787" i="20"/>
  <c r="AP892" i="20"/>
  <c r="AY954" i="20"/>
  <c r="AM573" i="20"/>
  <c r="AM578" i="20" s="1"/>
  <c r="AL908" i="20"/>
  <c r="AM934" i="20"/>
  <c r="AM914" i="20"/>
  <c r="AO939" i="20"/>
  <c r="AY929" i="20"/>
  <c r="AY904" i="20"/>
  <c r="AM559" i="20"/>
  <c r="AM884" i="20" s="1"/>
  <c r="AM969" i="20" s="1"/>
  <c r="AZ879" i="20"/>
  <c r="AM729" i="20"/>
  <c r="AN726" i="20"/>
  <c r="AO726" i="20" s="1"/>
  <c r="AP726" i="20" s="1"/>
  <c r="AQ726" i="20" s="1"/>
  <c r="AR726" i="20" s="1"/>
  <c r="AS726" i="20" s="1"/>
  <c r="AT726" i="20" s="1"/>
  <c r="AU726" i="20" s="1"/>
  <c r="AV726" i="20" s="1"/>
  <c r="AW726" i="20" s="1"/>
  <c r="AX726" i="20" s="1"/>
  <c r="AN722" i="20"/>
  <c r="AO722" i="20" s="1"/>
  <c r="AP722" i="20" s="1"/>
  <c r="AN727" i="20"/>
  <c r="AO727" i="20" s="1"/>
  <c r="AP727" i="20" s="1"/>
  <c r="AQ727" i="20" s="1"/>
  <c r="AR727" i="20" s="1"/>
  <c r="AS727" i="20" s="1"/>
  <c r="AT727" i="20" s="1"/>
  <c r="AU727" i="20" s="1"/>
  <c r="AV727" i="20" s="1"/>
  <c r="AW727" i="20" s="1"/>
  <c r="AX727" i="20" s="1"/>
  <c r="AN724" i="20"/>
  <c r="AO724" i="20" s="1"/>
  <c r="AP724" i="20" s="1"/>
  <c r="AQ724" i="20" s="1"/>
  <c r="AR724" i="20" s="1"/>
  <c r="AS724" i="20" s="1"/>
  <c r="AT724" i="20" s="1"/>
  <c r="AU724" i="20" s="1"/>
  <c r="AV724" i="20" s="1"/>
  <c r="AW724" i="20" s="1"/>
  <c r="AX724" i="20" s="1"/>
  <c r="AN723" i="20"/>
  <c r="AO723" i="20" s="1"/>
  <c r="AP723" i="20" s="1"/>
  <c r="AQ723" i="20" s="1"/>
  <c r="AR723" i="20" s="1"/>
  <c r="AS723" i="20" s="1"/>
  <c r="AT723" i="20" s="1"/>
  <c r="AU723" i="20" s="1"/>
  <c r="AV723" i="20" s="1"/>
  <c r="AW723" i="20" s="1"/>
  <c r="AX723" i="20" s="1"/>
  <c r="AL656" i="20"/>
  <c r="AL958" i="20" s="1"/>
  <c r="AL976" i="20" s="1"/>
  <c r="AL634" i="20"/>
  <c r="AL645" i="20"/>
  <c r="AM543" i="20"/>
  <c r="AN543" i="20" s="1"/>
  <c r="AN537" i="20"/>
  <c r="AN541" i="20"/>
  <c r="AN538" i="20"/>
  <c r="AN542" i="20"/>
  <c r="AN539" i="20"/>
  <c r="AL556" i="20"/>
  <c r="AN570" i="20"/>
  <c r="AM548" i="20"/>
  <c r="AM883" i="20" s="1"/>
  <c r="AL545" i="20"/>
  <c r="AL578" i="20"/>
  <c r="AL567" i="20"/>
  <c r="AM534" i="20"/>
  <c r="AM859" i="20" s="1"/>
  <c r="AM944" i="20" s="1"/>
  <c r="AL534" i="20"/>
  <c r="AL859" i="20" s="1"/>
  <c r="AL944" i="20" s="1"/>
  <c r="AN534" i="20"/>
  <c r="AN859" i="20" s="1"/>
  <c r="AN944" i="20" s="1"/>
  <c r="AL471" i="20"/>
  <c r="AL470" i="20"/>
  <c r="AL469" i="20"/>
  <c r="AL468" i="20"/>
  <c r="AL467" i="20"/>
  <c r="AL466" i="20"/>
  <c r="AL465" i="20"/>
  <c r="AL464" i="20"/>
  <c r="AL461" i="20"/>
  <c r="AL460" i="20"/>
  <c r="AL459" i="20"/>
  <c r="AL458" i="20"/>
  <c r="AL457" i="20"/>
  <c r="AL932" i="20" s="1"/>
  <c r="AL456" i="20"/>
  <c r="AL455" i="20"/>
  <c r="AL454" i="20"/>
  <c r="AL451" i="20"/>
  <c r="AL450" i="20"/>
  <c r="AL449" i="20"/>
  <c r="AL448" i="20"/>
  <c r="AL447" i="20"/>
  <c r="AL446" i="20"/>
  <c r="AL445" i="20"/>
  <c r="AL444" i="20"/>
  <c r="AL441" i="20"/>
  <c r="AL440" i="20"/>
  <c r="AL439" i="20"/>
  <c r="AL438" i="20"/>
  <c r="AL437" i="20"/>
  <c r="AL436" i="20"/>
  <c r="AL435" i="20"/>
  <c r="AL434" i="20"/>
  <c r="AL431" i="20"/>
  <c r="AL430" i="20"/>
  <c r="AL429" i="20"/>
  <c r="AL428" i="20"/>
  <c r="AL427" i="20"/>
  <c r="AL426" i="20"/>
  <c r="AL425" i="20"/>
  <c r="AL424" i="20"/>
  <c r="AL421" i="20"/>
  <c r="AL420" i="20"/>
  <c r="AL419" i="20"/>
  <c r="AL418" i="20"/>
  <c r="AL417" i="20"/>
  <c r="AL416" i="20"/>
  <c r="AL415" i="20"/>
  <c r="AL414" i="20"/>
  <c r="AL272" i="20"/>
  <c r="AL271" i="20"/>
  <c r="AL270" i="20"/>
  <c r="AL269" i="20"/>
  <c r="AL268" i="20"/>
  <c r="AL267" i="20"/>
  <c r="AL266" i="20"/>
  <c r="AL265" i="20"/>
  <c r="AW441" i="11" l="1"/>
  <c r="AV451" i="11"/>
  <c r="AY33" i="11"/>
  <c r="AX439" i="11"/>
  <c r="AM567" i="20"/>
  <c r="AM864" i="20"/>
  <c r="AM870" i="20"/>
  <c r="AR787" i="20"/>
  <c r="AQ892" i="20"/>
  <c r="AM545" i="20"/>
  <c r="AZ954" i="20"/>
  <c r="AM909" i="20"/>
  <c r="AP939" i="20"/>
  <c r="AN914" i="20"/>
  <c r="AN573" i="20"/>
  <c r="AN578" i="20" s="1"/>
  <c r="AM908" i="20"/>
  <c r="AN934" i="20"/>
  <c r="AZ929" i="20"/>
  <c r="AZ904" i="20"/>
  <c r="AN559" i="20"/>
  <c r="AN884" i="20" s="1"/>
  <c r="AN969" i="20" s="1"/>
  <c r="BA879" i="20"/>
  <c r="AQ722" i="20"/>
  <c r="AN545" i="20"/>
  <c r="AL523" i="20"/>
  <c r="AL858" i="20" s="1"/>
  <c r="AN548" i="20"/>
  <c r="AN883" i="20" s="1"/>
  <c r="AM556" i="20"/>
  <c r="AL472" i="20"/>
  <c r="AL452" i="20"/>
  <c r="AL442" i="20"/>
  <c r="AL432" i="20"/>
  <c r="AL907" i="20" s="1"/>
  <c r="AL422" i="20"/>
  <c r="AL462" i="20"/>
  <c r="AL337" i="20"/>
  <c r="AL354" i="20"/>
  <c r="AL353" i="20"/>
  <c r="AL352" i="20"/>
  <c r="AL351" i="20"/>
  <c r="AL350" i="20"/>
  <c r="AL349" i="20"/>
  <c r="AL348" i="20"/>
  <c r="AL347" i="20"/>
  <c r="AL344" i="20"/>
  <c r="AL339" i="20"/>
  <c r="AL340" i="20"/>
  <c r="AL341" i="20"/>
  <c r="AL342" i="20"/>
  <c r="AL343" i="20"/>
  <c r="AL338" i="20"/>
  <c r="AL931" i="20" s="1"/>
  <c r="AL334" i="20"/>
  <c r="AL333" i="20"/>
  <c r="AL332" i="20"/>
  <c r="AL331" i="20"/>
  <c r="AL330" i="20"/>
  <c r="AL329" i="20"/>
  <c r="AL328" i="20"/>
  <c r="AL327" i="20"/>
  <c r="AL317" i="20"/>
  <c r="AL324" i="20"/>
  <c r="AL323" i="20"/>
  <c r="AL322" i="20"/>
  <c r="AL321" i="20"/>
  <c r="AL320" i="20"/>
  <c r="AL319" i="20"/>
  <c r="AL318" i="20"/>
  <c r="AL314" i="20"/>
  <c r="AL313" i="20"/>
  <c r="AL906" i="20" s="1"/>
  <c r="AL312" i="20"/>
  <c r="AL311" i="20"/>
  <c r="AL310" i="20"/>
  <c r="AL309" i="20"/>
  <c r="AL308" i="20"/>
  <c r="AL307" i="20"/>
  <c r="AL304" i="20"/>
  <c r="AL303" i="20"/>
  <c r="AL302" i="20"/>
  <c r="AL301" i="20"/>
  <c r="AL300" i="20"/>
  <c r="AL299" i="20"/>
  <c r="AL298" i="20"/>
  <c r="AL297" i="20"/>
  <c r="AX441" i="11" l="1"/>
  <c r="AW451" i="11"/>
  <c r="AZ33" i="11"/>
  <c r="AY439" i="11"/>
  <c r="AS787" i="20"/>
  <c r="AR892" i="20"/>
  <c r="BA954" i="20"/>
  <c r="AO914" i="20"/>
  <c r="AO934" i="20"/>
  <c r="AN908" i="20"/>
  <c r="AQ939" i="20"/>
  <c r="AN909" i="20"/>
  <c r="BA929" i="20"/>
  <c r="BA904" i="20"/>
  <c r="AN567" i="20"/>
  <c r="BB879" i="20"/>
  <c r="AR722" i="20"/>
  <c r="AN556" i="20"/>
  <c r="AL305" i="20"/>
  <c r="AL335" i="20"/>
  <c r="AL315" i="20"/>
  <c r="AL325" i="20"/>
  <c r="AL355" i="20"/>
  <c r="AL345" i="20"/>
  <c r="AM296" i="20"/>
  <c r="AL411" i="20"/>
  <c r="AL410" i="20"/>
  <c r="AL409" i="20"/>
  <c r="AL408" i="20"/>
  <c r="AL407" i="20"/>
  <c r="AL882" i="20" s="1"/>
  <c r="AL406" i="20"/>
  <c r="AL405" i="20"/>
  <c r="AL404" i="20"/>
  <c r="AL401" i="20"/>
  <c r="AL400" i="20"/>
  <c r="AL399" i="20"/>
  <c r="AL398" i="20"/>
  <c r="AL397" i="20"/>
  <c r="AL396" i="20"/>
  <c r="AL395" i="20"/>
  <c r="AL394" i="20"/>
  <c r="AL391" i="20"/>
  <c r="AL390" i="20"/>
  <c r="AL389" i="20"/>
  <c r="AL388" i="20"/>
  <c r="AL387" i="20"/>
  <c r="AL386" i="20"/>
  <c r="AL385" i="20"/>
  <c r="AL384" i="20"/>
  <c r="AL374" i="20"/>
  <c r="AL381" i="20"/>
  <c r="AL380" i="20"/>
  <c r="AL379" i="20"/>
  <c r="AL378" i="20"/>
  <c r="AL377" i="20"/>
  <c r="AL376" i="20"/>
  <c r="AL375" i="20"/>
  <c r="AL292" i="20"/>
  <c r="AL291" i="20"/>
  <c r="AL290" i="20"/>
  <c r="AL289" i="20"/>
  <c r="AL288" i="20"/>
  <c r="AL881" i="20" s="1"/>
  <c r="AL287" i="20"/>
  <c r="AL286" i="20"/>
  <c r="AL285" i="20"/>
  <c r="AL282" i="20"/>
  <c r="AL281" i="20"/>
  <c r="AL280" i="20"/>
  <c r="AL279" i="20"/>
  <c r="AL278" i="20"/>
  <c r="AL277" i="20"/>
  <c r="AL276" i="20"/>
  <c r="AL275" i="20"/>
  <c r="AJ411" i="20"/>
  <c r="AJ410" i="20"/>
  <c r="AJ409" i="20"/>
  <c r="AJ408" i="20"/>
  <c r="AJ407" i="20"/>
  <c r="AJ406" i="20"/>
  <c r="AJ405" i="20"/>
  <c r="AJ404" i="20"/>
  <c r="AJ401" i="20"/>
  <c r="AJ400" i="20"/>
  <c r="AJ399" i="20"/>
  <c r="AJ398" i="20"/>
  <c r="AJ397" i="20"/>
  <c r="AJ396" i="20"/>
  <c r="AJ395" i="20"/>
  <c r="AJ394" i="20"/>
  <c r="AJ391" i="20"/>
  <c r="AJ390" i="20"/>
  <c r="AJ389" i="20"/>
  <c r="AJ388" i="20"/>
  <c r="AJ387" i="20"/>
  <c r="AJ386" i="20"/>
  <c r="AJ385" i="20"/>
  <c r="AJ384" i="20"/>
  <c r="AJ381" i="20"/>
  <c r="AJ380" i="20"/>
  <c r="AJ379" i="20"/>
  <c r="AJ378" i="20"/>
  <c r="AJ377" i="20"/>
  <c r="AJ376" i="20"/>
  <c r="AJ375" i="20"/>
  <c r="AJ374" i="20"/>
  <c r="AM373" i="20"/>
  <c r="AJ292" i="20"/>
  <c r="AJ291" i="20"/>
  <c r="AJ290" i="20"/>
  <c r="AJ289" i="20"/>
  <c r="AJ288" i="20"/>
  <c r="AJ287" i="20"/>
  <c r="AJ286" i="20"/>
  <c r="AJ285" i="20"/>
  <c r="AJ282" i="20"/>
  <c r="AJ281" i="20"/>
  <c r="AJ280" i="20"/>
  <c r="AJ279" i="20"/>
  <c r="AJ278" i="20"/>
  <c r="AJ277" i="20"/>
  <c r="AJ276" i="20"/>
  <c r="AJ275" i="20"/>
  <c r="AJ272" i="20"/>
  <c r="AJ271" i="20"/>
  <c r="AJ270" i="20"/>
  <c r="AJ269" i="20"/>
  <c r="AJ268" i="20"/>
  <c r="AJ267" i="20"/>
  <c r="AJ266" i="20"/>
  <c r="AJ265" i="20"/>
  <c r="AJ262" i="20"/>
  <c r="AJ261" i="20"/>
  <c r="AJ260" i="20"/>
  <c r="AJ259" i="20"/>
  <c r="AJ258" i="20"/>
  <c r="AJ257" i="20"/>
  <c r="AJ256" i="20"/>
  <c r="AJ255" i="20"/>
  <c r="AY441" i="11" l="1"/>
  <c r="AX451" i="11"/>
  <c r="BA33" i="11"/>
  <c r="BA439" i="11" s="1"/>
  <c r="AZ439" i="11"/>
  <c r="AT787" i="20"/>
  <c r="AS892" i="20"/>
  <c r="BB954" i="20"/>
  <c r="AO909" i="20"/>
  <c r="AP914" i="20"/>
  <c r="AR939" i="20"/>
  <c r="AP934" i="20"/>
  <c r="BB929" i="20"/>
  <c r="BB904" i="20"/>
  <c r="BC879" i="20"/>
  <c r="AS722" i="20"/>
  <c r="AM377" i="20"/>
  <c r="AM381" i="20"/>
  <c r="AM386" i="20"/>
  <c r="AM390" i="20"/>
  <c r="AM396" i="20"/>
  <c r="AM400" i="20"/>
  <c r="AM406" i="20"/>
  <c r="AM410" i="20"/>
  <c r="AN373" i="20"/>
  <c r="AM456" i="20"/>
  <c r="AM460" i="20"/>
  <c r="AM447" i="20"/>
  <c r="AM437" i="20"/>
  <c r="AN437" i="20" s="1"/>
  <c r="AM418" i="20"/>
  <c r="AM468" i="20"/>
  <c r="AM459" i="20"/>
  <c r="AM450" i="20"/>
  <c r="AN450" i="20" s="1"/>
  <c r="AM436" i="20"/>
  <c r="AM465" i="20"/>
  <c r="AM467" i="20"/>
  <c r="AM469" i="20"/>
  <c r="AM470" i="20"/>
  <c r="AM457" i="20"/>
  <c r="AM448" i="20"/>
  <c r="AM438" i="20"/>
  <c r="AN438" i="20" s="1"/>
  <c r="AM415" i="20"/>
  <c r="AM419" i="20"/>
  <c r="AM440" i="20"/>
  <c r="AM458" i="20"/>
  <c r="AN458" i="20" s="1"/>
  <c r="AM445" i="20"/>
  <c r="AM449" i="20"/>
  <c r="AM435" i="20"/>
  <c r="AM439" i="20"/>
  <c r="AN439" i="20" s="1"/>
  <c r="AM425" i="20"/>
  <c r="AM426" i="20"/>
  <c r="AM427" i="20"/>
  <c r="AM428" i="20"/>
  <c r="AM429" i="20"/>
  <c r="AM430" i="20"/>
  <c r="AM416" i="20"/>
  <c r="AM420" i="20"/>
  <c r="AN420" i="20" s="1"/>
  <c r="AM466" i="20"/>
  <c r="AM455" i="20"/>
  <c r="AM446" i="20"/>
  <c r="AM417" i="20"/>
  <c r="AN417" i="20" s="1"/>
  <c r="AM378" i="20"/>
  <c r="AM374" i="20"/>
  <c r="AM387" i="20"/>
  <c r="AM391" i="20"/>
  <c r="AN391" i="20" s="1"/>
  <c r="AM397" i="20"/>
  <c r="AM401" i="20"/>
  <c r="AM407" i="20"/>
  <c r="AM882" i="20" s="1"/>
  <c r="AM411" i="20"/>
  <c r="AN411" i="20" s="1"/>
  <c r="AM375" i="20"/>
  <c r="AM379" i="20"/>
  <c r="AM384" i="20"/>
  <c r="AM388" i="20"/>
  <c r="AN388" i="20" s="1"/>
  <c r="AM394" i="20"/>
  <c r="AM398" i="20"/>
  <c r="AM404" i="20"/>
  <c r="AM408" i="20"/>
  <c r="AN408" i="20" s="1"/>
  <c r="AN296" i="20"/>
  <c r="AM351" i="20"/>
  <c r="AM339" i="20"/>
  <c r="AM343" i="20"/>
  <c r="AM330" i="20"/>
  <c r="AN330" i="20" s="1"/>
  <c r="AM320" i="20"/>
  <c r="AM310" i="20"/>
  <c r="AM301" i="20"/>
  <c r="AM323" i="20"/>
  <c r="AN323" i="20" s="1"/>
  <c r="AM348" i="20"/>
  <c r="AM352" i="20"/>
  <c r="AM340" i="20"/>
  <c r="AM331" i="20"/>
  <c r="AN331" i="20" s="1"/>
  <c r="AM318" i="20"/>
  <c r="AM321" i="20"/>
  <c r="AM311" i="20"/>
  <c r="AM298" i="20"/>
  <c r="AN298" i="20" s="1"/>
  <c r="AM302" i="20"/>
  <c r="AM333" i="20"/>
  <c r="AM319" i="20"/>
  <c r="AM300" i="20"/>
  <c r="AN300" i="20" s="1"/>
  <c r="AM349" i="20"/>
  <c r="AM353" i="20"/>
  <c r="AM341" i="20"/>
  <c r="AM328" i="20"/>
  <c r="AN328" i="20" s="1"/>
  <c r="AM332" i="20"/>
  <c r="AM322" i="20"/>
  <c r="AM308" i="20"/>
  <c r="AM312" i="20"/>
  <c r="AN312" i="20" s="1"/>
  <c r="AM299" i="20"/>
  <c r="AM303" i="20"/>
  <c r="AM350" i="20"/>
  <c r="AM338" i="20"/>
  <c r="AM342" i="20"/>
  <c r="AM329" i="20"/>
  <c r="AM309" i="20"/>
  <c r="AM313" i="20"/>
  <c r="AM376" i="20"/>
  <c r="AM380" i="20"/>
  <c r="AM385" i="20"/>
  <c r="AN385" i="20" s="1"/>
  <c r="AM389" i="20"/>
  <c r="AM395" i="20"/>
  <c r="AM399" i="20"/>
  <c r="AM405" i="20"/>
  <c r="AN405" i="20" s="1"/>
  <c r="AM409" i="20"/>
  <c r="AL402" i="20"/>
  <c r="AL412" i="20"/>
  <c r="AL382" i="20"/>
  <c r="AL857" i="20" s="1"/>
  <c r="AL392" i="20"/>
  <c r="AL293" i="20"/>
  <c r="AL283" i="20"/>
  <c r="AL273" i="20"/>
  <c r="AM514" i="20"/>
  <c r="AZ441" i="11" l="1"/>
  <c r="AY451" i="11"/>
  <c r="AN409" i="20"/>
  <c r="AN389" i="20"/>
  <c r="AN394" i="20"/>
  <c r="AN399" i="20"/>
  <c r="AN380" i="20"/>
  <c r="AN329" i="20"/>
  <c r="AN303" i="20"/>
  <c r="AN322" i="20"/>
  <c r="AN353" i="20"/>
  <c r="AN333" i="20"/>
  <c r="AN321" i="20"/>
  <c r="AN404" i="20"/>
  <c r="AN384" i="20"/>
  <c r="AN387" i="20"/>
  <c r="AN446" i="20"/>
  <c r="AN416" i="20"/>
  <c r="AN435" i="20"/>
  <c r="AN448" i="20"/>
  <c r="AN459" i="20"/>
  <c r="AM522" i="20"/>
  <c r="AM518" i="20"/>
  <c r="AM519" i="20"/>
  <c r="AM521" i="20"/>
  <c r="AM516" i="20"/>
  <c r="AM517" i="20"/>
  <c r="AM515" i="20"/>
  <c r="AM520" i="20"/>
  <c r="AN395" i="20"/>
  <c r="AN376" i="20"/>
  <c r="AN398" i="20"/>
  <c r="AN379" i="20"/>
  <c r="AN401" i="20"/>
  <c r="AN374" i="20"/>
  <c r="AN455" i="20"/>
  <c r="AN449" i="20"/>
  <c r="AN419" i="20"/>
  <c r="AN375" i="20"/>
  <c r="AN397" i="20"/>
  <c r="AN378" i="20"/>
  <c r="AN445" i="20"/>
  <c r="AN415" i="20"/>
  <c r="AN436" i="20"/>
  <c r="AN418" i="20"/>
  <c r="AN386" i="20"/>
  <c r="AN381" i="20"/>
  <c r="AN396" i="20"/>
  <c r="AN377" i="20"/>
  <c r="AU787" i="20"/>
  <c r="AT892" i="20"/>
  <c r="BC954" i="20"/>
  <c r="AN313" i="20"/>
  <c r="AN906" i="20" s="1"/>
  <c r="AM906" i="20"/>
  <c r="AN338" i="20"/>
  <c r="AN931" i="20" s="1"/>
  <c r="AM931" i="20"/>
  <c r="AN457" i="20"/>
  <c r="AN932" i="20" s="1"/>
  <c r="AM932" i="20"/>
  <c r="AQ934" i="20"/>
  <c r="AS939" i="20"/>
  <c r="AQ914" i="20"/>
  <c r="AP909" i="20"/>
  <c r="BC929" i="20"/>
  <c r="BC904" i="20"/>
  <c r="AN407" i="20"/>
  <c r="AN882" i="20" s="1"/>
  <c r="BD879" i="20"/>
  <c r="AN400" i="20"/>
  <c r="AN352" i="20"/>
  <c r="AN310" i="20"/>
  <c r="AN339" i="20"/>
  <c r="AN460" i="20"/>
  <c r="AN406" i="20"/>
  <c r="AT722" i="20"/>
  <c r="AN456" i="20"/>
  <c r="AN447" i="20"/>
  <c r="AN410" i="20"/>
  <c r="AN514" i="20"/>
  <c r="AN342" i="20"/>
  <c r="AN299" i="20"/>
  <c r="AN332" i="20"/>
  <c r="AN349" i="20"/>
  <c r="AN302" i="20"/>
  <c r="AN348" i="20"/>
  <c r="AN320" i="20"/>
  <c r="AN351" i="20"/>
  <c r="AN309" i="20"/>
  <c r="AN350" i="20"/>
  <c r="AN308" i="20"/>
  <c r="AN341" i="20"/>
  <c r="AN319" i="20"/>
  <c r="AN311" i="20"/>
  <c r="AN340" i="20"/>
  <c r="AN301" i="20"/>
  <c r="AN343" i="20"/>
  <c r="AO296" i="20"/>
  <c r="AP296" i="20" s="1"/>
  <c r="AQ296" i="20" s="1"/>
  <c r="AR296" i="20" s="1"/>
  <c r="AS296" i="20" s="1"/>
  <c r="AT296" i="20" s="1"/>
  <c r="AU296" i="20" s="1"/>
  <c r="AV296" i="20" s="1"/>
  <c r="AW296" i="20" s="1"/>
  <c r="AX296" i="20" s="1"/>
  <c r="AY296" i="20" s="1"/>
  <c r="AZ296" i="20" s="1"/>
  <c r="BA296" i="20" s="1"/>
  <c r="BB296" i="20" s="1"/>
  <c r="BC296" i="20" s="1"/>
  <c r="BD296" i="20" s="1"/>
  <c r="BE296" i="20" s="1"/>
  <c r="BF296" i="20" s="1"/>
  <c r="BG296" i="20" s="1"/>
  <c r="BH296" i="20" s="1"/>
  <c r="BI296" i="20" s="1"/>
  <c r="BJ296" i="20" s="1"/>
  <c r="BK296" i="20" s="1"/>
  <c r="BL296" i="20" s="1"/>
  <c r="BM296" i="20" s="1"/>
  <c r="BN296" i="20" s="1"/>
  <c r="AN318" i="20"/>
  <c r="AO373" i="20"/>
  <c r="AN466" i="20"/>
  <c r="AN468" i="20"/>
  <c r="AN440" i="20"/>
  <c r="AN425" i="20"/>
  <c r="AN428" i="20"/>
  <c r="AN426" i="20"/>
  <c r="AN429" i="20"/>
  <c r="AN465" i="20"/>
  <c r="AO465" i="20" s="1"/>
  <c r="AN467" i="20"/>
  <c r="AN469" i="20"/>
  <c r="AN470" i="20"/>
  <c r="AN427" i="20"/>
  <c r="AN430" i="20"/>
  <c r="AN390" i="20"/>
  <c r="BA441" i="11" l="1"/>
  <c r="BA451" i="11" s="1"/>
  <c r="AZ451" i="11"/>
  <c r="AN520" i="20"/>
  <c r="AN521" i="20"/>
  <c r="AN515" i="20"/>
  <c r="AN519" i="20"/>
  <c r="AN517" i="20"/>
  <c r="AN518" i="20"/>
  <c r="AN516" i="20"/>
  <c r="AN522" i="20"/>
  <c r="AV787" i="20"/>
  <c r="AU892" i="20"/>
  <c r="BD954" i="20"/>
  <c r="AR934" i="20"/>
  <c r="AQ909" i="20"/>
  <c r="AR914" i="20"/>
  <c r="AT939" i="20"/>
  <c r="BD929" i="20"/>
  <c r="BD904" i="20"/>
  <c r="BE879" i="20"/>
  <c r="AO419" i="20"/>
  <c r="AO450" i="20"/>
  <c r="AU722" i="20"/>
  <c r="AO514" i="20"/>
  <c r="AO456" i="20"/>
  <c r="AO340" i="20"/>
  <c r="AP340" i="20" s="1"/>
  <c r="AQ340" i="20" s="1"/>
  <c r="AR340" i="20" s="1"/>
  <c r="AS340" i="20" s="1"/>
  <c r="AT340" i="20" s="1"/>
  <c r="AU340" i="20" s="1"/>
  <c r="AV340" i="20" s="1"/>
  <c r="AW340" i="20" s="1"/>
  <c r="AX340" i="20" s="1"/>
  <c r="AY340" i="20" s="1"/>
  <c r="AZ340" i="20" s="1"/>
  <c r="BA340" i="20" s="1"/>
  <c r="BB340" i="20" s="1"/>
  <c r="BC340" i="20" s="1"/>
  <c r="BD340" i="20" s="1"/>
  <c r="BE340" i="20" s="1"/>
  <c r="BF340" i="20" s="1"/>
  <c r="BG340" i="20" s="1"/>
  <c r="BH340" i="20" s="1"/>
  <c r="BI340" i="20" s="1"/>
  <c r="BJ340" i="20" s="1"/>
  <c r="BK340" i="20" s="1"/>
  <c r="BL340" i="20" s="1"/>
  <c r="BM340" i="20" s="1"/>
  <c r="BN340" i="20" s="1"/>
  <c r="AO460" i="20"/>
  <c r="AO470" i="20"/>
  <c r="AO440" i="20"/>
  <c r="AO447" i="20"/>
  <c r="AO449" i="20"/>
  <c r="AO333" i="20"/>
  <c r="AP333" i="20" s="1"/>
  <c r="AQ333" i="20" s="1"/>
  <c r="AR333" i="20" s="1"/>
  <c r="AS333" i="20" s="1"/>
  <c r="AO309" i="20"/>
  <c r="AP309" i="20" s="1"/>
  <c r="AQ309" i="20" s="1"/>
  <c r="AR309" i="20" s="1"/>
  <c r="AS309" i="20" s="1"/>
  <c r="AO312" i="20"/>
  <c r="AP312" i="20" s="1"/>
  <c r="AQ312" i="20" s="1"/>
  <c r="AR312" i="20" s="1"/>
  <c r="AS312" i="20" s="1"/>
  <c r="AO348" i="20"/>
  <c r="AP348" i="20" s="1"/>
  <c r="AQ348" i="20" s="1"/>
  <c r="AR348" i="20" s="1"/>
  <c r="AS348" i="20" s="1"/>
  <c r="AO329" i="20"/>
  <c r="AP329" i="20" s="1"/>
  <c r="AQ329" i="20" s="1"/>
  <c r="AR329" i="20" s="1"/>
  <c r="AS329" i="20" s="1"/>
  <c r="AO339" i="20"/>
  <c r="AP339" i="20" s="1"/>
  <c r="AQ339" i="20" s="1"/>
  <c r="AR339" i="20" s="1"/>
  <c r="AS339" i="20" s="1"/>
  <c r="AT339" i="20" s="1"/>
  <c r="AU339" i="20" s="1"/>
  <c r="AV339" i="20" s="1"/>
  <c r="AW339" i="20" s="1"/>
  <c r="AX339" i="20" s="1"/>
  <c r="AY339" i="20" s="1"/>
  <c r="AZ339" i="20" s="1"/>
  <c r="BA339" i="20" s="1"/>
  <c r="BB339" i="20" s="1"/>
  <c r="BC339" i="20" s="1"/>
  <c r="BD339" i="20" s="1"/>
  <c r="BE339" i="20" s="1"/>
  <c r="BF339" i="20" s="1"/>
  <c r="BG339" i="20" s="1"/>
  <c r="BH339" i="20" s="1"/>
  <c r="BI339" i="20" s="1"/>
  <c r="BJ339" i="20" s="1"/>
  <c r="BK339" i="20" s="1"/>
  <c r="BL339" i="20" s="1"/>
  <c r="BM339" i="20" s="1"/>
  <c r="BN339" i="20" s="1"/>
  <c r="AO341" i="20"/>
  <c r="AP341" i="20" s="1"/>
  <c r="AQ341" i="20" s="1"/>
  <c r="AR341" i="20" s="1"/>
  <c r="AS341" i="20" s="1"/>
  <c r="AT341" i="20" s="1"/>
  <c r="AU341" i="20" s="1"/>
  <c r="AV341" i="20" s="1"/>
  <c r="AW341" i="20" s="1"/>
  <c r="AX341" i="20" s="1"/>
  <c r="AY341" i="20" s="1"/>
  <c r="AZ341" i="20" s="1"/>
  <c r="BA341" i="20" s="1"/>
  <c r="BB341" i="20" s="1"/>
  <c r="BC341" i="20" s="1"/>
  <c r="BD341" i="20" s="1"/>
  <c r="BE341" i="20" s="1"/>
  <c r="BF341" i="20" s="1"/>
  <c r="BG341" i="20" s="1"/>
  <c r="BH341" i="20" s="1"/>
  <c r="BI341" i="20" s="1"/>
  <c r="BJ341" i="20" s="1"/>
  <c r="BK341" i="20" s="1"/>
  <c r="BL341" i="20" s="1"/>
  <c r="BM341" i="20" s="1"/>
  <c r="BN341" i="20" s="1"/>
  <c r="AO331" i="20"/>
  <c r="AP331" i="20" s="1"/>
  <c r="AQ331" i="20" s="1"/>
  <c r="AR331" i="20" s="1"/>
  <c r="AS331" i="20" s="1"/>
  <c r="AO318" i="20"/>
  <c r="AP318" i="20" s="1"/>
  <c r="AQ318" i="20" s="1"/>
  <c r="AR318" i="20" s="1"/>
  <c r="AS318" i="20" s="1"/>
  <c r="AO417" i="20"/>
  <c r="AO299" i="20"/>
  <c r="AP299" i="20" s="1"/>
  <c r="AQ299" i="20" s="1"/>
  <c r="AR299" i="20" s="1"/>
  <c r="AS299" i="20" s="1"/>
  <c r="AO298" i="20"/>
  <c r="AP298" i="20" s="1"/>
  <c r="AQ298" i="20" s="1"/>
  <c r="AR298" i="20" s="1"/>
  <c r="AS298" i="20" s="1"/>
  <c r="AO338" i="20"/>
  <c r="AO301" i="20"/>
  <c r="AP301" i="20" s="1"/>
  <c r="AQ301" i="20" s="1"/>
  <c r="AR301" i="20" s="1"/>
  <c r="AS301" i="20" s="1"/>
  <c r="AO437" i="20"/>
  <c r="AO455" i="20"/>
  <c r="AO302" i="20"/>
  <c r="AP302" i="20" s="1"/>
  <c r="AQ302" i="20" s="1"/>
  <c r="AR302" i="20" s="1"/>
  <c r="AS302" i="20" s="1"/>
  <c r="AO342" i="20"/>
  <c r="AP342" i="20" s="1"/>
  <c r="AQ342" i="20" s="1"/>
  <c r="AR342" i="20" s="1"/>
  <c r="AS342" i="20" s="1"/>
  <c r="AT342" i="20" s="1"/>
  <c r="AU342" i="20" s="1"/>
  <c r="AV342" i="20" s="1"/>
  <c r="AW342" i="20" s="1"/>
  <c r="AX342" i="20" s="1"/>
  <c r="AY342" i="20" s="1"/>
  <c r="AZ342" i="20" s="1"/>
  <c r="BA342" i="20" s="1"/>
  <c r="BB342" i="20" s="1"/>
  <c r="BC342" i="20" s="1"/>
  <c r="BD342" i="20" s="1"/>
  <c r="BE342" i="20" s="1"/>
  <c r="BF342" i="20" s="1"/>
  <c r="BG342" i="20" s="1"/>
  <c r="BH342" i="20" s="1"/>
  <c r="BI342" i="20" s="1"/>
  <c r="BJ342" i="20" s="1"/>
  <c r="BK342" i="20" s="1"/>
  <c r="BL342" i="20" s="1"/>
  <c r="BM342" i="20" s="1"/>
  <c r="BN342" i="20" s="1"/>
  <c r="AO310" i="20"/>
  <c r="AP310" i="20" s="1"/>
  <c r="AQ310" i="20" s="1"/>
  <c r="AR310" i="20" s="1"/>
  <c r="AS310" i="20" s="1"/>
  <c r="AO353" i="20"/>
  <c r="AP353" i="20" s="1"/>
  <c r="AQ353" i="20" s="1"/>
  <c r="AR353" i="20" s="1"/>
  <c r="AS353" i="20" s="1"/>
  <c r="AO436" i="20"/>
  <c r="AO343" i="20"/>
  <c r="AP343" i="20" s="1"/>
  <c r="AQ343" i="20" s="1"/>
  <c r="AR343" i="20" s="1"/>
  <c r="AS343" i="20" s="1"/>
  <c r="AT343" i="20" s="1"/>
  <c r="AU343" i="20" s="1"/>
  <c r="AV343" i="20" s="1"/>
  <c r="AW343" i="20" s="1"/>
  <c r="AX343" i="20" s="1"/>
  <c r="AY343" i="20" s="1"/>
  <c r="AZ343" i="20" s="1"/>
  <c r="BA343" i="20" s="1"/>
  <c r="BB343" i="20" s="1"/>
  <c r="BC343" i="20" s="1"/>
  <c r="BD343" i="20" s="1"/>
  <c r="BE343" i="20" s="1"/>
  <c r="BF343" i="20" s="1"/>
  <c r="BG343" i="20" s="1"/>
  <c r="BH343" i="20" s="1"/>
  <c r="BI343" i="20" s="1"/>
  <c r="BJ343" i="20" s="1"/>
  <c r="BK343" i="20" s="1"/>
  <c r="BL343" i="20" s="1"/>
  <c r="BM343" i="20" s="1"/>
  <c r="BN343" i="20" s="1"/>
  <c r="AO420" i="20"/>
  <c r="AO438" i="20"/>
  <c r="AO469" i="20"/>
  <c r="AO468" i="20"/>
  <c r="AO418" i="20"/>
  <c r="AO415" i="20"/>
  <c r="AO467" i="20"/>
  <c r="AO466" i="20"/>
  <c r="AO439" i="20"/>
  <c r="AO448" i="20"/>
  <c r="AO330" i="20"/>
  <c r="AP330" i="20" s="1"/>
  <c r="AQ330" i="20" s="1"/>
  <c r="AR330" i="20" s="1"/>
  <c r="AS330" i="20" s="1"/>
  <c r="AO300" i="20"/>
  <c r="AP300" i="20" s="1"/>
  <c r="AQ300" i="20" s="1"/>
  <c r="AR300" i="20" s="1"/>
  <c r="AS300" i="20" s="1"/>
  <c r="AO313" i="20"/>
  <c r="AO319" i="20"/>
  <c r="AP319" i="20" s="1"/>
  <c r="AQ319" i="20" s="1"/>
  <c r="AR319" i="20" s="1"/>
  <c r="AS319" i="20" s="1"/>
  <c r="AO459" i="20"/>
  <c r="AO351" i="20"/>
  <c r="AP351" i="20" s="1"/>
  <c r="AQ351" i="20" s="1"/>
  <c r="AR351" i="20" s="1"/>
  <c r="AS351" i="20" s="1"/>
  <c r="AO349" i="20"/>
  <c r="AP349" i="20" s="1"/>
  <c r="AQ349" i="20" s="1"/>
  <c r="AR349" i="20" s="1"/>
  <c r="AS349" i="20" s="1"/>
  <c r="AO435" i="20"/>
  <c r="AO352" i="20"/>
  <c r="AP352" i="20" s="1"/>
  <c r="AQ352" i="20" s="1"/>
  <c r="AR352" i="20" s="1"/>
  <c r="AS352" i="20" s="1"/>
  <c r="AO322" i="20"/>
  <c r="AP322" i="20" s="1"/>
  <c r="AQ322" i="20" s="1"/>
  <c r="AR322" i="20" s="1"/>
  <c r="AS322" i="20" s="1"/>
  <c r="AO311" i="20"/>
  <c r="AP311" i="20" s="1"/>
  <c r="AQ311" i="20" s="1"/>
  <c r="AR311" i="20" s="1"/>
  <c r="AS311" i="20" s="1"/>
  <c r="AP373" i="20"/>
  <c r="AO425" i="20"/>
  <c r="AO426" i="20"/>
  <c r="AO427" i="20"/>
  <c r="AO428" i="20"/>
  <c r="AO429" i="20"/>
  <c r="AO430" i="20"/>
  <c r="AO410" i="20"/>
  <c r="AO385" i="20"/>
  <c r="AP385" i="20" s="1"/>
  <c r="AO405" i="20"/>
  <c r="AO396" i="20"/>
  <c r="AO387" i="20"/>
  <c r="AO388" i="20"/>
  <c r="AP388" i="20" s="1"/>
  <c r="AO378" i="20"/>
  <c r="AO389" i="20"/>
  <c r="AO400" i="20"/>
  <c r="AO397" i="20"/>
  <c r="AP397" i="20" s="1"/>
  <c r="AO398" i="20"/>
  <c r="AO399" i="20"/>
  <c r="AO390" i="20"/>
  <c r="AO375" i="20"/>
  <c r="AP375" i="20" s="1"/>
  <c r="AO380" i="20"/>
  <c r="AO409" i="20"/>
  <c r="AO379" i="20"/>
  <c r="AO395" i="20"/>
  <c r="AP395" i="20" s="1"/>
  <c r="AO386" i="20"/>
  <c r="AO406" i="20"/>
  <c r="AO407" i="20"/>
  <c r="AO882" i="20" s="1"/>
  <c r="AO408" i="20"/>
  <c r="AP408" i="20" s="1"/>
  <c r="AO376" i="20"/>
  <c r="AO377" i="20"/>
  <c r="AO445" i="20"/>
  <c r="AO323" i="20"/>
  <c r="AP323" i="20" s="1"/>
  <c r="AQ323" i="20" s="1"/>
  <c r="AR323" i="20" s="1"/>
  <c r="AS323" i="20" s="1"/>
  <c r="AO328" i="20"/>
  <c r="AP328" i="20" s="1"/>
  <c r="AQ328" i="20" s="1"/>
  <c r="AR328" i="20" s="1"/>
  <c r="AS328" i="20" s="1"/>
  <c r="AO416" i="20"/>
  <c r="AO350" i="20"/>
  <c r="AP350" i="20" s="1"/>
  <c r="AQ350" i="20" s="1"/>
  <c r="AR350" i="20" s="1"/>
  <c r="AS350" i="20" s="1"/>
  <c r="AO457" i="20"/>
  <c r="AO320" i="20"/>
  <c r="AP320" i="20" s="1"/>
  <c r="AQ320" i="20" s="1"/>
  <c r="AR320" i="20" s="1"/>
  <c r="AS320" i="20" s="1"/>
  <c r="AO332" i="20"/>
  <c r="AP332" i="20" s="1"/>
  <c r="AQ332" i="20" s="1"/>
  <c r="AR332" i="20" s="1"/>
  <c r="AS332" i="20" s="1"/>
  <c r="AO446" i="20"/>
  <c r="AO321" i="20"/>
  <c r="AP321" i="20" s="1"/>
  <c r="AQ321" i="20" s="1"/>
  <c r="AR321" i="20" s="1"/>
  <c r="AS321" i="20" s="1"/>
  <c r="AO303" i="20"/>
  <c r="AP303" i="20" s="1"/>
  <c r="AQ303" i="20" s="1"/>
  <c r="AR303" i="20" s="1"/>
  <c r="AS303" i="20" s="1"/>
  <c r="AO458" i="20"/>
  <c r="AO308" i="20"/>
  <c r="AP308" i="20" s="1"/>
  <c r="AQ308" i="20" s="1"/>
  <c r="AR308" i="20" s="1"/>
  <c r="AS308" i="20" s="1"/>
  <c r="AM254" i="20"/>
  <c r="AF265" i="20"/>
  <c r="AF275" i="20"/>
  <c r="AF285" i="20"/>
  <c r="AF297" i="20"/>
  <c r="AF307" i="20"/>
  <c r="AF317" i="20"/>
  <c r="AF327" i="20"/>
  <c r="AF337" i="20"/>
  <c r="AF347" i="20"/>
  <c r="AF255" i="20"/>
  <c r="H102" i="20"/>
  <c r="H103" i="20"/>
  <c r="H104" i="20"/>
  <c r="H105" i="20"/>
  <c r="H106" i="20"/>
  <c r="H95" i="20"/>
  <c r="H96" i="20"/>
  <c r="H97" i="20"/>
  <c r="H94" i="20"/>
  <c r="H101" i="20"/>
  <c r="B21" i="20"/>
  <c r="AO522" i="20" l="1"/>
  <c r="AO519" i="20"/>
  <c r="AO520" i="20"/>
  <c r="AO516" i="20"/>
  <c r="AO515" i="20"/>
  <c r="AO517" i="20"/>
  <c r="AO518" i="20"/>
  <c r="AO521" i="20"/>
  <c r="AW787" i="20"/>
  <c r="AV892" i="20"/>
  <c r="BE954" i="20"/>
  <c r="AP457" i="20"/>
  <c r="AP932" i="20" s="1"/>
  <c r="AO932" i="20"/>
  <c r="AP338" i="20"/>
  <c r="AO931" i="20"/>
  <c r="AS914" i="20"/>
  <c r="AR909" i="20"/>
  <c r="AP313" i="20"/>
  <c r="AO906" i="20"/>
  <c r="AU939" i="20"/>
  <c r="AS934" i="20"/>
  <c r="BE929" i="20"/>
  <c r="BE904" i="20"/>
  <c r="BF879" i="20"/>
  <c r="AP440" i="20"/>
  <c r="AV722" i="20"/>
  <c r="AP514" i="20"/>
  <c r="AP437" i="20"/>
  <c r="AP447" i="20"/>
  <c r="AP458" i="20"/>
  <c r="AP376" i="20"/>
  <c r="AP386" i="20"/>
  <c r="AP380" i="20"/>
  <c r="AP398" i="20"/>
  <c r="AP378" i="20"/>
  <c r="AP405" i="20"/>
  <c r="AP417" i="20"/>
  <c r="AP446" i="20"/>
  <c r="AP445" i="20"/>
  <c r="AP407" i="20"/>
  <c r="AP882" i="20" s="1"/>
  <c r="AP379" i="20"/>
  <c r="AP390" i="20"/>
  <c r="AP400" i="20"/>
  <c r="AP387" i="20"/>
  <c r="AP410" i="20"/>
  <c r="AP460" i="20"/>
  <c r="AP435" i="20"/>
  <c r="AP448" i="20"/>
  <c r="AP415" i="20"/>
  <c r="AP438" i="20"/>
  <c r="AP430" i="20"/>
  <c r="AP439" i="20"/>
  <c r="AP418" i="20"/>
  <c r="AP420" i="20"/>
  <c r="AQ373" i="20"/>
  <c r="AP425" i="20"/>
  <c r="AP426" i="20"/>
  <c r="AP427" i="20"/>
  <c r="AP428" i="20"/>
  <c r="AQ428" i="20" s="1"/>
  <c r="AP429" i="20"/>
  <c r="AP470" i="20"/>
  <c r="AP466" i="20"/>
  <c r="AP468" i="20"/>
  <c r="AQ468" i="20" s="1"/>
  <c r="AP449" i="20"/>
  <c r="AP436" i="20"/>
  <c r="AP450" i="20"/>
  <c r="AM272" i="20"/>
  <c r="AM267" i="20"/>
  <c r="AM265" i="20"/>
  <c r="AM268" i="20"/>
  <c r="AM271" i="20"/>
  <c r="AM266" i="20"/>
  <c r="AM270" i="20"/>
  <c r="AM269" i="20"/>
  <c r="AP416" i="20"/>
  <c r="AP377" i="20"/>
  <c r="AP406" i="20"/>
  <c r="AP409" i="20"/>
  <c r="AP399" i="20"/>
  <c r="AP389" i="20"/>
  <c r="AP396" i="20"/>
  <c r="AP465" i="20"/>
  <c r="AP459" i="20"/>
  <c r="AP467" i="20"/>
  <c r="AP469" i="20"/>
  <c r="AP456" i="20"/>
  <c r="AP455" i="20"/>
  <c r="AP419" i="20"/>
  <c r="AM285" i="20"/>
  <c r="AM290" i="20"/>
  <c r="AM292" i="20"/>
  <c r="AM286" i="20"/>
  <c r="AM287" i="20"/>
  <c r="AM288" i="20"/>
  <c r="AM881" i="20" s="1"/>
  <c r="AM289" i="20"/>
  <c r="AM291" i="20"/>
  <c r="AM275" i="20"/>
  <c r="AM276" i="20"/>
  <c r="AM277" i="20"/>
  <c r="AM278" i="20"/>
  <c r="AM279" i="20"/>
  <c r="AM280" i="20"/>
  <c r="AM281" i="20"/>
  <c r="AM282" i="20"/>
  <c r="AN254" i="20"/>
  <c r="AQ456" i="20" l="1"/>
  <c r="AQ409" i="20"/>
  <c r="AQ465" i="20"/>
  <c r="AP521" i="20"/>
  <c r="AP516" i="20"/>
  <c r="AP518" i="20"/>
  <c r="AP520" i="20"/>
  <c r="AP517" i="20"/>
  <c r="AP519" i="20"/>
  <c r="AP515" i="20"/>
  <c r="AP522" i="20"/>
  <c r="AQ457" i="20"/>
  <c r="AQ932" i="20" s="1"/>
  <c r="AX787" i="20"/>
  <c r="AW892" i="20"/>
  <c r="BF954" i="20"/>
  <c r="AT934" i="20"/>
  <c r="AQ313" i="20"/>
  <c r="AP906" i="20"/>
  <c r="AS909" i="20"/>
  <c r="AT914" i="20"/>
  <c r="AQ338" i="20"/>
  <c r="AP931" i="20"/>
  <c r="AV939" i="20"/>
  <c r="BF929" i="20"/>
  <c r="BF904" i="20"/>
  <c r="BG879" i="20"/>
  <c r="AQ469" i="20"/>
  <c r="AQ458" i="20"/>
  <c r="AQ467" i="20"/>
  <c r="AQ389" i="20"/>
  <c r="AQ377" i="20"/>
  <c r="AQ436" i="20"/>
  <c r="AQ470" i="20"/>
  <c r="AQ426" i="20"/>
  <c r="AQ419" i="20"/>
  <c r="AW722" i="20"/>
  <c r="AQ446" i="20"/>
  <c r="AQ396" i="20"/>
  <c r="AQ406" i="20"/>
  <c r="AQ449" i="20"/>
  <c r="AQ429" i="20"/>
  <c r="AQ425" i="20"/>
  <c r="AQ415" i="20"/>
  <c r="AQ410" i="20"/>
  <c r="AQ379" i="20"/>
  <c r="AQ398" i="20"/>
  <c r="AQ514" i="20"/>
  <c r="AQ455" i="20"/>
  <c r="AQ459" i="20"/>
  <c r="AQ399" i="20"/>
  <c r="AQ416" i="20"/>
  <c r="AQ450" i="20"/>
  <c r="AQ466" i="20"/>
  <c r="AQ427" i="20"/>
  <c r="AQ438" i="20"/>
  <c r="AQ430" i="20"/>
  <c r="AQ435" i="20"/>
  <c r="AQ400" i="20"/>
  <c r="AQ420" i="20"/>
  <c r="AQ439" i="20"/>
  <c r="AQ445" i="20"/>
  <c r="AR373" i="20"/>
  <c r="AQ390" i="20"/>
  <c r="AQ417" i="20"/>
  <c r="AQ460" i="20"/>
  <c r="AQ376" i="20"/>
  <c r="AR376" i="20" s="1"/>
  <c r="AQ385" i="20"/>
  <c r="AQ395" i="20"/>
  <c r="AQ380" i="20"/>
  <c r="AN265" i="20"/>
  <c r="AQ388" i="20"/>
  <c r="AQ408" i="20"/>
  <c r="AQ378" i="20"/>
  <c r="AN267" i="20"/>
  <c r="AN269" i="20"/>
  <c r="AN272" i="20"/>
  <c r="AN270" i="20"/>
  <c r="AN268" i="20"/>
  <c r="AN271" i="20"/>
  <c r="AN266" i="20"/>
  <c r="AQ387" i="20"/>
  <c r="AQ407" i="20"/>
  <c r="AQ882" i="20" s="1"/>
  <c r="AQ448" i="20"/>
  <c r="AQ405" i="20"/>
  <c r="AQ418" i="20"/>
  <c r="AQ397" i="20"/>
  <c r="AQ447" i="20"/>
  <c r="AQ386" i="20"/>
  <c r="AQ375" i="20"/>
  <c r="AQ437" i="20"/>
  <c r="AQ440" i="20"/>
  <c r="AM273" i="20"/>
  <c r="AM402" i="20"/>
  <c r="AM412" i="20"/>
  <c r="AN290" i="20"/>
  <c r="AN292" i="20"/>
  <c r="AN286" i="20"/>
  <c r="AN287" i="20"/>
  <c r="AN288" i="20"/>
  <c r="AN881" i="20" s="1"/>
  <c r="AN289" i="20"/>
  <c r="AN291" i="20"/>
  <c r="AN275" i="20"/>
  <c r="AN276" i="20"/>
  <c r="AN277" i="20"/>
  <c r="AN278" i="20"/>
  <c r="AN279" i="20"/>
  <c r="AN280" i="20"/>
  <c r="AN281" i="20"/>
  <c r="AN282" i="20"/>
  <c r="AM382" i="20"/>
  <c r="AM857" i="20" s="1"/>
  <c r="AM283" i="20"/>
  <c r="AM392" i="20"/>
  <c r="AN285" i="20"/>
  <c r="AM293" i="20"/>
  <c r="AO254" i="20"/>
  <c r="AK216" i="20"/>
  <c r="AL207" i="20"/>
  <c r="AM207" i="20" s="1"/>
  <c r="AN207" i="20" s="1"/>
  <c r="AO207" i="20" s="1"/>
  <c r="AP207" i="20" s="1"/>
  <c r="AQ207" i="20" s="1"/>
  <c r="AR207" i="20" s="1"/>
  <c r="AS207" i="20" s="1"/>
  <c r="AT207" i="20" s="1"/>
  <c r="AU207" i="20" s="1"/>
  <c r="AV207" i="20" s="1"/>
  <c r="AW207" i="20" s="1"/>
  <c r="AX207" i="20" s="1"/>
  <c r="AY207" i="20" s="1"/>
  <c r="AZ207" i="20" s="1"/>
  <c r="BA207" i="20" s="1"/>
  <c r="BB207" i="20" s="1"/>
  <c r="BC207" i="20" s="1"/>
  <c r="BD207" i="20" s="1"/>
  <c r="BE207" i="20" s="1"/>
  <c r="BF207" i="20" s="1"/>
  <c r="BG207" i="20" s="1"/>
  <c r="BH207" i="20" s="1"/>
  <c r="BI207" i="20" s="1"/>
  <c r="BJ207" i="20" s="1"/>
  <c r="BK207" i="20" s="1"/>
  <c r="BL207" i="20" s="1"/>
  <c r="BM207" i="20" s="1"/>
  <c r="BN207" i="20" s="1"/>
  <c r="AK203" i="20"/>
  <c r="AL194" i="20"/>
  <c r="AM194" i="20" s="1"/>
  <c r="AN194" i="20" s="1"/>
  <c r="AO194" i="20" s="1"/>
  <c r="AP194" i="20" s="1"/>
  <c r="AQ194" i="20" s="1"/>
  <c r="AR194" i="20" s="1"/>
  <c r="AS194" i="20" s="1"/>
  <c r="AT194" i="20" s="1"/>
  <c r="AU194" i="20" s="1"/>
  <c r="AV194" i="20" s="1"/>
  <c r="AW194" i="20" s="1"/>
  <c r="AX194" i="20" s="1"/>
  <c r="AY194" i="20" s="1"/>
  <c r="AZ194" i="20" s="1"/>
  <c r="BA194" i="20" s="1"/>
  <c r="BB194" i="20" s="1"/>
  <c r="BC194" i="20" s="1"/>
  <c r="BD194" i="20" s="1"/>
  <c r="BE194" i="20" s="1"/>
  <c r="BF194" i="20" s="1"/>
  <c r="BG194" i="20" s="1"/>
  <c r="BH194" i="20" s="1"/>
  <c r="BI194" i="20" s="1"/>
  <c r="BJ194" i="20" s="1"/>
  <c r="BK194" i="20" s="1"/>
  <c r="BL194" i="20" s="1"/>
  <c r="BM194" i="20" s="1"/>
  <c r="BN194" i="20" s="1"/>
  <c r="AK190" i="20"/>
  <c r="AL181" i="20"/>
  <c r="AM181" i="20" s="1"/>
  <c r="AN181" i="20" s="1"/>
  <c r="AO181" i="20" s="1"/>
  <c r="AP181" i="20" s="1"/>
  <c r="AQ181" i="20" s="1"/>
  <c r="AR181" i="20" s="1"/>
  <c r="AS181" i="20" s="1"/>
  <c r="AT181" i="20" s="1"/>
  <c r="AU181" i="20" s="1"/>
  <c r="AV181" i="20" s="1"/>
  <c r="AW181" i="20" s="1"/>
  <c r="AX181" i="20" s="1"/>
  <c r="AY181" i="20" s="1"/>
  <c r="AZ181" i="20" s="1"/>
  <c r="BA181" i="20" s="1"/>
  <c r="BB181" i="20" s="1"/>
  <c r="BC181" i="20" s="1"/>
  <c r="BD181" i="20" s="1"/>
  <c r="BE181" i="20" s="1"/>
  <c r="BF181" i="20" s="1"/>
  <c r="BG181" i="20" s="1"/>
  <c r="BH181" i="20" s="1"/>
  <c r="BI181" i="20" s="1"/>
  <c r="BJ181" i="20" s="1"/>
  <c r="BK181" i="20" s="1"/>
  <c r="BL181" i="20" s="1"/>
  <c r="BM181" i="20" s="1"/>
  <c r="BN181" i="20" s="1"/>
  <c r="AK177" i="20"/>
  <c r="AL168" i="20"/>
  <c r="AM168" i="20" s="1"/>
  <c r="AN168" i="20" s="1"/>
  <c r="AO168" i="20" s="1"/>
  <c r="AP168" i="20" s="1"/>
  <c r="AQ168" i="20" s="1"/>
  <c r="AR168" i="20" s="1"/>
  <c r="AS168" i="20" s="1"/>
  <c r="AT168" i="20" s="1"/>
  <c r="AU168" i="20" s="1"/>
  <c r="AV168" i="20" s="1"/>
  <c r="AW168" i="20" s="1"/>
  <c r="AX168" i="20" s="1"/>
  <c r="AY168" i="20" s="1"/>
  <c r="AZ168" i="20" s="1"/>
  <c r="BA168" i="20" s="1"/>
  <c r="BB168" i="20" s="1"/>
  <c r="BC168" i="20" s="1"/>
  <c r="BD168" i="20" s="1"/>
  <c r="BE168" i="20" s="1"/>
  <c r="BF168" i="20" s="1"/>
  <c r="BG168" i="20" s="1"/>
  <c r="BH168" i="20" s="1"/>
  <c r="BI168" i="20" s="1"/>
  <c r="BJ168" i="20" s="1"/>
  <c r="BK168" i="20" s="1"/>
  <c r="BL168" i="20" s="1"/>
  <c r="BM168" i="20" s="1"/>
  <c r="BN168" i="20" s="1"/>
  <c r="AK164" i="20"/>
  <c r="AL155" i="20"/>
  <c r="AM155" i="20" s="1"/>
  <c r="AN155" i="20" s="1"/>
  <c r="AO155" i="20" s="1"/>
  <c r="AP155" i="20" s="1"/>
  <c r="AQ155" i="20" s="1"/>
  <c r="AR155" i="20" s="1"/>
  <c r="AS155" i="20" s="1"/>
  <c r="AT155" i="20" s="1"/>
  <c r="AU155" i="20" s="1"/>
  <c r="AV155" i="20" s="1"/>
  <c r="AW155" i="20" s="1"/>
  <c r="AX155" i="20" s="1"/>
  <c r="AY155" i="20" s="1"/>
  <c r="AZ155" i="20" s="1"/>
  <c r="BA155" i="20" s="1"/>
  <c r="BB155" i="20" s="1"/>
  <c r="BC155" i="20" s="1"/>
  <c r="BD155" i="20" s="1"/>
  <c r="BE155" i="20" s="1"/>
  <c r="BF155" i="20" s="1"/>
  <c r="BG155" i="20" s="1"/>
  <c r="BH155" i="20" s="1"/>
  <c r="BI155" i="20" s="1"/>
  <c r="BJ155" i="20" s="1"/>
  <c r="BK155" i="20" s="1"/>
  <c r="BL155" i="20" s="1"/>
  <c r="BM155" i="20" s="1"/>
  <c r="BN155" i="20" s="1"/>
  <c r="AL142" i="20"/>
  <c r="AM142" i="20" s="1"/>
  <c r="AN142" i="20" s="1"/>
  <c r="AO142" i="20" s="1"/>
  <c r="AP142" i="20" s="1"/>
  <c r="AQ142" i="20" s="1"/>
  <c r="AR142" i="20" s="1"/>
  <c r="AS142" i="20" s="1"/>
  <c r="AT142" i="20" s="1"/>
  <c r="AU142" i="20" s="1"/>
  <c r="AV142" i="20" s="1"/>
  <c r="AW142" i="20" s="1"/>
  <c r="AX142" i="20" s="1"/>
  <c r="AY142" i="20" s="1"/>
  <c r="AZ142" i="20" s="1"/>
  <c r="BA142" i="20" s="1"/>
  <c r="BB142" i="20" s="1"/>
  <c r="BC142" i="20" s="1"/>
  <c r="BD142" i="20" s="1"/>
  <c r="BE142" i="20" s="1"/>
  <c r="BF142" i="20" s="1"/>
  <c r="BG142" i="20" s="1"/>
  <c r="BH142" i="20" s="1"/>
  <c r="BI142" i="20" s="1"/>
  <c r="BJ142" i="20" s="1"/>
  <c r="BK142" i="20" s="1"/>
  <c r="BL142" i="20" s="1"/>
  <c r="BM142" i="20" s="1"/>
  <c r="BN142" i="20" s="1"/>
  <c r="AK151" i="20"/>
  <c r="AK138" i="20"/>
  <c r="AL131" i="20"/>
  <c r="AM219" i="20"/>
  <c r="AN219" i="20" s="1"/>
  <c r="AO219" i="20" s="1"/>
  <c r="AP219" i="20" s="1"/>
  <c r="AQ219" i="20" s="1"/>
  <c r="AR219" i="20" s="1"/>
  <c r="AS219" i="20" s="1"/>
  <c r="AT219" i="20" s="1"/>
  <c r="AU219" i="20" s="1"/>
  <c r="AV219" i="20" s="1"/>
  <c r="AW219" i="20" s="1"/>
  <c r="AX219" i="20" s="1"/>
  <c r="AY219" i="20" s="1"/>
  <c r="AZ219" i="20" s="1"/>
  <c r="BA219" i="20" s="1"/>
  <c r="BB219" i="20" s="1"/>
  <c r="BC219" i="20" s="1"/>
  <c r="BD219" i="20" s="1"/>
  <c r="BE219" i="20" s="1"/>
  <c r="BF219" i="20" s="1"/>
  <c r="BG219" i="20" s="1"/>
  <c r="BH219" i="20" s="1"/>
  <c r="BI219" i="20" s="1"/>
  <c r="BJ219" i="20" s="1"/>
  <c r="BK219" i="20" s="1"/>
  <c r="BL219" i="20" s="1"/>
  <c r="BM219" i="20" s="1"/>
  <c r="BN219" i="20" s="1"/>
  <c r="AK6" i="20"/>
  <c r="AL6" i="20" s="1"/>
  <c r="AM6" i="20" s="1"/>
  <c r="AR456" i="20" l="1"/>
  <c r="AQ521" i="20"/>
  <c r="AQ522" i="20"/>
  <c r="AQ520" i="20"/>
  <c r="AQ515" i="20"/>
  <c r="AQ518" i="20"/>
  <c r="AR400" i="20"/>
  <c r="AQ519" i="20"/>
  <c r="AQ516" i="20"/>
  <c r="AQ517" i="20"/>
  <c r="AY787" i="20"/>
  <c r="AX892" i="20"/>
  <c r="AR419" i="20"/>
  <c r="AR415" i="20"/>
  <c r="BG954" i="20"/>
  <c r="AW939" i="20"/>
  <c r="AR338" i="20"/>
  <c r="AQ931" i="20"/>
  <c r="AT909" i="20"/>
  <c r="AR313" i="20"/>
  <c r="AQ906" i="20"/>
  <c r="AU914" i="20"/>
  <c r="AU934" i="20"/>
  <c r="BG929" i="20"/>
  <c r="BG904" i="20"/>
  <c r="BH879" i="20"/>
  <c r="AR406" i="20"/>
  <c r="AX722" i="20"/>
  <c r="AR514" i="20"/>
  <c r="AR470" i="20"/>
  <c r="AR430" i="20"/>
  <c r="AR375" i="20"/>
  <c r="AR447" i="20"/>
  <c r="AR448" i="20"/>
  <c r="AR378" i="20"/>
  <c r="AR427" i="20"/>
  <c r="AR439" i="20"/>
  <c r="AR425" i="20"/>
  <c r="AR416" i="20"/>
  <c r="AR397" i="20"/>
  <c r="AR407" i="20"/>
  <c r="AR882" i="20" s="1"/>
  <c r="AR449" i="20"/>
  <c r="AR377" i="20"/>
  <c r="AR396" i="20"/>
  <c r="AR408" i="20"/>
  <c r="AR438" i="20"/>
  <c r="AR436" i="20"/>
  <c r="AR380" i="20"/>
  <c r="AR460" i="20"/>
  <c r="AR445" i="20"/>
  <c r="AR440" i="20"/>
  <c r="AR398" i="20"/>
  <c r="AR429" i="20"/>
  <c r="AR459" i="20"/>
  <c r="AR418" i="20"/>
  <c r="AR387" i="20"/>
  <c r="AR457" i="20"/>
  <c r="AR932" i="20" s="1"/>
  <c r="AR389" i="20"/>
  <c r="AR469" i="20"/>
  <c r="AR388" i="20"/>
  <c r="AR379" i="20"/>
  <c r="AR446" i="20"/>
  <c r="AR395" i="20"/>
  <c r="AR417" i="20"/>
  <c r="AR437" i="20"/>
  <c r="AR435" i="20"/>
  <c r="AR468" i="20"/>
  <c r="AR386" i="20"/>
  <c r="AR405" i="20"/>
  <c r="AR426" i="20"/>
  <c r="AR467" i="20"/>
  <c r="AR420" i="20"/>
  <c r="AR410" i="20"/>
  <c r="AR385" i="20"/>
  <c r="AR390" i="20"/>
  <c r="AR450" i="20"/>
  <c r="AM461" i="20"/>
  <c r="AM451" i="20"/>
  <c r="AM471" i="20"/>
  <c r="AM421" i="20"/>
  <c r="AM441" i="20"/>
  <c r="AR466" i="20"/>
  <c r="AR465" i="20"/>
  <c r="AO267" i="20"/>
  <c r="AO265" i="20"/>
  <c r="AO266" i="20"/>
  <c r="AS373" i="20"/>
  <c r="AR458" i="20"/>
  <c r="AR399" i="20"/>
  <c r="AO270" i="20"/>
  <c r="AO269" i="20"/>
  <c r="AO272" i="20"/>
  <c r="AO271" i="20"/>
  <c r="AO268" i="20"/>
  <c r="AR428" i="20"/>
  <c r="AR409" i="20"/>
  <c r="AR455" i="20"/>
  <c r="AN6" i="20"/>
  <c r="AM344" i="20"/>
  <c r="AM334" i="20"/>
  <c r="AM324" i="20"/>
  <c r="AM354" i="20"/>
  <c r="AN354" i="20" s="1"/>
  <c r="AO354" i="20" s="1"/>
  <c r="AP354" i="20" s="1"/>
  <c r="AQ354" i="20" s="1"/>
  <c r="AR354" i="20" s="1"/>
  <c r="AS354" i="20" s="1"/>
  <c r="AM314" i="20"/>
  <c r="AM304" i="20"/>
  <c r="AO287" i="20"/>
  <c r="AO288" i="20"/>
  <c r="AO881" i="20" s="1"/>
  <c r="AO289" i="20"/>
  <c r="AO291" i="20"/>
  <c r="AO275" i="20"/>
  <c r="AO277" i="20"/>
  <c r="AO279" i="20"/>
  <c r="AO290" i="20"/>
  <c r="AO292" i="20"/>
  <c r="AO286" i="20"/>
  <c r="AO276" i="20"/>
  <c r="AO278" i="20"/>
  <c r="AO280" i="20"/>
  <c r="AO281" i="20"/>
  <c r="AO282" i="20"/>
  <c r="AN392" i="20"/>
  <c r="AN382" i="20"/>
  <c r="AN857" i="20" s="1"/>
  <c r="AN402" i="20"/>
  <c r="AN273" i="20"/>
  <c r="AO285" i="20"/>
  <c r="AN293" i="20"/>
  <c r="AN412" i="20"/>
  <c r="AN283" i="20"/>
  <c r="AP254" i="20"/>
  <c r="AM131" i="20"/>
  <c r="AN131" i="20" s="1"/>
  <c r="AO131" i="20" s="1"/>
  <c r="AP131" i="20" s="1"/>
  <c r="AQ131" i="20" s="1"/>
  <c r="AR131" i="20" s="1"/>
  <c r="AS131" i="20" s="1"/>
  <c r="AT131" i="20" s="1"/>
  <c r="AU131" i="20" s="1"/>
  <c r="AV131" i="20" s="1"/>
  <c r="AW131" i="20" s="1"/>
  <c r="AX131" i="20" s="1"/>
  <c r="AY131" i="20" s="1"/>
  <c r="AZ131" i="20" s="1"/>
  <c r="BA131" i="20" s="1"/>
  <c r="BB131" i="20" s="1"/>
  <c r="BC131" i="20" s="1"/>
  <c r="BD131" i="20" s="1"/>
  <c r="BE131" i="20" s="1"/>
  <c r="BF131" i="20" s="1"/>
  <c r="BG131" i="20" s="1"/>
  <c r="BH131" i="20" s="1"/>
  <c r="BI131" i="20" s="1"/>
  <c r="BJ131" i="20" s="1"/>
  <c r="BK131" i="20" s="1"/>
  <c r="BL131" i="20" s="1"/>
  <c r="BM131" i="20" s="1"/>
  <c r="BN131" i="20" s="1"/>
  <c r="AR521" i="20" l="1"/>
  <c r="AR516" i="20"/>
  <c r="AR518" i="20"/>
  <c r="AR519" i="20"/>
  <c r="AR515" i="20"/>
  <c r="AR520" i="20"/>
  <c r="AR517" i="20"/>
  <c r="AR522" i="20"/>
  <c r="AZ787" i="20"/>
  <c r="AY892" i="20"/>
  <c r="BH954" i="20"/>
  <c r="AV934" i="20"/>
  <c r="AU909" i="20"/>
  <c r="AV914" i="20"/>
  <c r="AS313" i="20"/>
  <c r="AR906" i="20"/>
  <c r="AS338" i="20"/>
  <c r="AR931" i="20"/>
  <c r="AX939" i="20"/>
  <c r="BH929" i="20"/>
  <c r="BH904" i="20"/>
  <c r="BI879" i="20"/>
  <c r="AS398" i="20"/>
  <c r="AS449" i="20"/>
  <c r="AS460" i="20"/>
  <c r="AO6" i="20"/>
  <c r="AN728" i="20"/>
  <c r="AO728" i="20" s="1"/>
  <c r="AP728" i="20" s="1"/>
  <c r="AQ728" i="20" s="1"/>
  <c r="AR728" i="20" s="1"/>
  <c r="AS728" i="20" s="1"/>
  <c r="AS439" i="20"/>
  <c r="AS514" i="20"/>
  <c r="AS436" i="20"/>
  <c r="AS407" i="20"/>
  <c r="AS882" i="20" s="1"/>
  <c r="AS440" i="20"/>
  <c r="AS376" i="20"/>
  <c r="AS409" i="20"/>
  <c r="AS438" i="20"/>
  <c r="AS397" i="20"/>
  <c r="AS428" i="20"/>
  <c r="AS408" i="20"/>
  <c r="AS396" i="20"/>
  <c r="AS425" i="20"/>
  <c r="AN324" i="20"/>
  <c r="AO324" i="20" s="1"/>
  <c r="AP324" i="20" s="1"/>
  <c r="AQ324" i="20" s="1"/>
  <c r="AR324" i="20" s="1"/>
  <c r="AS324" i="20" s="1"/>
  <c r="AS455" i="20"/>
  <c r="AS380" i="20"/>
  <c r="AS377" i="20"/>
  <c r="AS416" i="20"/>
  <c r="AS399" i="20"/>
  <c r="AS406" i="20"/>
  <c r="AS448" i="20"/>
  <c r="AS378" i="20"/>
  <c r="AN314" i="20"/>
  <c r="AO314" i="20" s="1"/>
  <c r="AP314" i="20" s="1"/>
  <c r="AQ314" i="20" s="1"/>
  <c r="AR314" i="20" s="1"/>
  <c r="AS314" i="20" s="1"/>
  <c r="AN344" i="20"/>
  <c r="AO344" i="20" s="1"/>
  <c r="AP344" i="20" s="1"/>
  <c r="AQ344" i="20" s="1"/>
  <c r="AR344" i="20" s="1"/>
  <c r="AS344" i="20" s="1"/>
  <c r="AP268" i="20"/>
  <c r="AP269" i="20"/>
  <c r="AT373" i="20"/>
  <c r="AS430" i="20"/>
  <c r="AP266" i="20"/>
  <c r="AS415" i="20"/>
  <c r="AS390" i="20"/>
  <c r="AS420" i="20"/>
  <c r="AS405" i="20"/>
  <c r="AS375" i="20"/>
  <c r="AS395" i="20"/>
  <c r="AS387" i="20"/>
  <c r="AS435" i="20"/>
  <c r="AN471" i="20"/>
  <c r="AO471" i="20" s="1"/>
  <c r="AP471" i="20" s="1"/>
  <c r="AQ471" i="20" s="1"/>
  <c r="AR471" i="20" s="1"/>
  <c r="AS471" i="20" s="1"/>
  <c r="AP270" i="20"/>
  <c r="AS470" i="20"/>
  <c r="AS400" i="20"/>
  <c r="AS385" i="20"/>
  <c r="AP267" i="20"/>
  <c r="AS467" i="20"/>
  <c r="AS386" i="20"/>
  <c r="AS465" i="20"/>
  <c r="AS446" i="20"/>
  <c r="AS469" i="20"/>
  <c r="AS418" i="20"/>
  <c r="AS437" i="20"/>
  <c r="AN451" i="20"/>
  <c r="AO451" i="20" s="1"/>
  <c r="AP451" i="20" s="1"/>
  <c r="AQ451" i="20" s="1"/>
  <c r="AR451" i="20" s="1"/>
  <c r="AS451" i="20" s="1"/>
  <c r="AP271" i="20"/>
  <c r="AP265" i="20"/>
  <c r="AS468" i="20"/>
  <c r="AS466" i="20"/>
  <c r="AS379" i="20"/>
  <c r="AS389" i="20"/>
  <c r="AS459" i="20"/>
  <c r="AN441" i="20"/>
  <c r="AO441" i="20" s="1"/>
  <c r="AP441" i="20" s="1"/>
  <c r="AQ441" i="20" s="1"/>
  <c r="AR441" i="20" s="1"/>
  <c r="AS441" i="20" s="1"/>
  <c r="AN461" i="20"/>
  <c r="AO461" i="20" s="1"/>
  <c r="AP461" i="20" s="1"/>
  <c r="AQ461" i="20" s="1"/>
  <c r="AR461" i="20" s="1"/>
  <c r="AS461" i="20" s="1"/>
  <c r="AN304" i="20"/>
  <c r="AO304" i="20" s="1"/>
  <c r="AP304" i="20" s="1"/>
  <c r="AQ304" i="20" s="1"/>
  <c r="AR304" i="20" s="1"/>
  <c r="AS304" i="20" s="1"/>
  <c r="AN334" i="20"/>
  <c r="AO334" i="20" s="1"/>
  <c r="AP334" i="20" s="1"/>
  <c r="AQ334" i="20" s="1"/>
  <c r="AR334" i="20" s="1"/>
  <c r="AS334" i="20" s="1"/>
  <c r="AP272" i="20"/>
  <c r="AS458" i="20"/>
  <c r="AS427" i="20"/>
  <c r="AS419" i="20"/>
  <c r="AS447" i="20"/>
  <c r="AS450" i="20"/>
  <c r="AS410" i="20"/>
  <c r="AS426" i="20"/>
  <c r="AS445" i="20"/>
  <c r="AS417" i="20"/>
  <c r="AS388" i="20"/>
  <c r="AS457" i="20"/>
  <c r="AS932" i="20" s="1"/>
  <c r="AS429" i="20"/>
  <c r="AN421" i="20"/>
  <c r="AO421" i="20" s="1"/>
  <c r="AP421" i="20" s="1"/>
  <c r="AQ421" i="20" s="1"/>
  <c r="AR421" i="20" s="1"/>
  <c r="AS421" i="20" s="1"/>
  <c r="AS456" i="20"/>
  <c r="AO283" i="20"/>
  <c r="AP286" i="20"/>
  <c r="AP287" i="20"/>
  <c r="AP288" i="20"/>
  <c r="AP881" i="20" s="1"/>
  <c r="AP289" i="20"/>
  <c r="AP291" i="20"/>
  <c r="AP275" i="20"/>
  <c r="AP276" i="20"/>
  <c r="AP277" i="20"/>
  <c r="AP278" i="20"/>
  <c r="AP279" i="20"/>
  <c r="AP280" i="20"/>
  <c r="AP281" i="20"/>
  <c r="AP290" i="20"/>
  <c r="AP292" i="20"/>
  <c r="AP285" i="20"/>
  <c r="AO293" i="20"/>
  <c r="AO273" i="20"/>
  <c r="AP282" i="20"/>
  <c r="AQ254" i="20"/>
  <c r="AS521" i="20" l="1"/>
  <c r="AS522" i="20"/>
  <c r="AS519" i="20"/>
  <c r="AS517" i="20"/>
  <c r="AS518" i="20"/>
  <c r="AS520" i="20"/>
  <c r="AS516" i="20"/>
  <c r="AS515" i="20"/>
  <c r="BA787" i="20"/>
  <c r="AZ892" i="20"/>
  <c r="AO577" i="20"/>
  <c r="AP577" i="20" s="1"/>
  <c r="AQ577" i="20" s="1"/>
  <c r="AR577" i="20" s="1"/>
  <c r="AS577" i="20" s="1"/>
  <c r="AT577" i="20" s="1"/>
  <c r="AU577" i="20" s="1"/>
  <c r="AV577" i="20" s="1"/>
  <c r="AW577" i="20" s="1"/>
  <c r="AX577" i="20" s="1"/>
  <c r="AY577" i="20" s="1"/>
  <c r="AZ577" i="20" s="1"/>
  <c r="BA577" i="20" s="1"/>
  <c r="BB577" i="20" s="1"/>
  <c r="BC577" i="20" s="1"/>
  <c r="BD577" i="20" s="1"/>
  <c r="BE577" i="20" s="1"/>
  <c r="BF577" i="20" s="1"/>
  <c r="BG577" i="20" s="1"/>
  <c r="BH577" i="20" s="1"/>
  <c r="BI577" i="20" s="1"/>
  <c r="BJ577" i="20" s="1"/>
  <c r="BK577" i="20" s="1"/>
  <c r="BL577" i="20" s="1"/>
  <c r="BM577" i="20" s="1"/>
  <c r="BN577" i="20" s="1"/>
  <c r="BI954" i="20"/>
  <c r="AY939" i="20"/>
  <c r="AS906" i="20"/>
  <c r="AV909" i="20"/>
  <c r="AT338" i="20"/>
  <c r="AS931" i="20"/>
  <c r="AW914" i="20"/>
  <c r="AW934" i="20"/>
  <c r="BI929" i="20"/>
  <c r="BI904" i="20"/>
  <c r="BJ879" i="20"/>
  <c r="AO401" i="20"/>
  <c r="AO391" i="20"/>
  <c r="AO381" i="20"/>
  <c r="AP381" i="20" s="1"/>
  <c r="AQ381" i="20" s="1"/>
  <c r="AR381" i="20" s="1"/>
  <c r="AS381" i="20" s="1"/>
  <c r="AO555" i="20"/>
  <c r="AP555" i="20" s="1"/>
  <c r="AQ555" i="20" s="1"/>
  <c r="AR555" i="20" s="1"/>
  <c r="AS555" i="20" s="1"/>
  <c r="AT555" i="20" s="1"/>
  <c r="AU555" i="20" s="1"/>
  <c r="AV555" i="20" s="1"/>
  <c r="AW555" i="20" s="1"/>
  <c r="AX555" i="20" s="1"/>
  <c r="AY555" i="20" s="1"/>
  <c r="AZ555" i="20" s="1"/>
  <c r="BA555" i="20" s="1"/>
  <c r="BB555" i="20" s="1"/>
  <c r="BC555" i="20" s="1"/>
  <c r="BD555" i="20" s="1"/>
  <c r="BE555" i="20" s="1"/>
  <c r="BF555" i="20" s="1"/>
  <c r="BG555" i="20" s="1"/>
  <c r="BH555" i="20" s="1"/>
  <c r="BI555" i="20" s="1"/>
  <c r="BJ555" i="20" s="1"/>
  <c r="BK555" i="20" s="1"/>
  <c r="BL555" i="20" s="1"/>
  <c r="BM555" i="20" s="1"/>
  <c r="BN555" i="20" s="1"/>
  <c r="AO544" i="20"/>
  <c r="AP544" i="20" s="1"/>
  <c r="AQ544" i="20" s="1"/>
  <c r="AR544" i="20" s="1"/>
  <c r="AS544" i="20" s="1"/>
  <c r="AT544" i="20" s="1"/>
  <c r="AU544" i="20" s="1"/>
  <c r="AV544" i="20" s="1"/>
  <c r="AW544" i="20" s="1"/>
  <c r="AX544" i="20" s="1"/>
  <c r="AY544" i="20" s="1"/>
  <c r="AZ544" i="20" s="1"/>
  <c r="BA544" i="20" s="1"/>
  <c r="BB544" i="20" s="1"/>
  <c r="BC544" i="20" s="1"/>
  <c r="BD544" i="20" s="1"/>
  <c r="BE544" i="20" s="1"/>
  <c r="BF544" i="20" s="1"/>
  <c r="BG544" i="20" s="1"/>
  <c r="BH544" i="20" s="1"/>
  <c r="BI544" i="20" s="1"/>
  <c r="BJ544" i="20" s="1"/>
  <c r="BK544" i="20" s="1"/>
  <c r="BL544" i="20" s="1"/>
  <c r="BM544" i="20" s="1"/>
  <c r="BN544" i="20" s="1"/>
  <c r="AO411" i="20"/>
  <c r="AP6" i="20"/>
  <c r="AQ6" i="20" s="1"/>
  <c r="AR6" i="20" s="1"/>
  <c r="AS6" i="20" s="1"/>
  <c r="AT6" i="20" s="1"/>
  <c r="AO566" i="20"/>
  <c r="AP566" i="20" s="1"/>
  <c r="AQ566" i="20" s="1"/>
  <c r="AR566" i="20" s="1"/>
  <c r="AS566" i="20" s="1"/>
  <c r="AT566" i="20" s="1"/>
  <c r="AU566" i="20" s="1"/>
  <c r="AV566" i="20" s="1"/>
  <c r="AW566" i="20" s="1"/>
  <c r="AX566" i="20" s="1"/>
  <c r="AY566" i="20" s="1"/>
  <c r="AZ566" i="20" s="1"/>
  <c r="BA566" i="20" s="1"/>
  <c r="BB566" i="20" s="1"/>
  <c r="BC566" i="20" s="1"/>
  <c r="BD566" i="20" s="1"/>
  <c r="BE566" i="20" s="1"/>
  <c r="BF566" i="20" s="1"/>
  <c r="BG566" i="20" s="1"/>
  <c r="BH566" i="20" s="1"/>
  <c r="BI566" i="20" s="1"/>
  <c r="BJ566" i="20" s="1"/>
  <c r="BK566" i="20" s="1"/>
  <c r="BL566" i="20" s="1"/>
  <c r="BM566" i="20" s="1"/>
  <c r="BN566" i="20" s="1"/>
  <c r="AT514" i="20"/>
  <c r="AQ272" i="20"/>
  <c r="AQ265" i="20"/>
  <c r="AQ266" i="20"/>
  <c r="AQ267" i="20"/>
  <c r="AQ271" i="20"/>
  <c r="AU373" i="20"/>
  <c r="AQ268" i="20"/>
  <c r="AQ270" i="20"/>
  <c r="AQ269" i="20"/>
  <c r="AQ292" i="20"/>
  <c r="AQ280" i="20"/>
  <c r="AQ276" i="20"/>
  <c r="AQ288" i="20"/>
  <c r="AQ881" i="20" s="1"/>
  <c r="AQ282" i="20"/>
  <c r="AQ279" i="20"/>
  <c r="AQ287" i="20"/>
  <c r="AQ285" i="20"/>
  <c r="AP293" i="20"/>
  <c r="AQ275" i="20"/>
  <c r="AP283" i="20"/>
  <c r="AQ290" i="20"/>
  <c r="AQ278" i="20"/>
  <c r="AQ291" i="20"/>
  <c r="AQ286" i="20"/>
  <c r="AP273" i="20"/>
  <c r="AQ281" i="20"/>
  <c r="AQ277" i="20"/>
  <c r="AQ289" i="20"/>
  <c r="AR254" i="20"/>
  <c r="AK107" i="20"/>
  <c r="AK87" i="20"/>
  <c r="AK69" i="20"/>
  <c r="B25" i="20"/>
  <c r="AK96" i="20"/>
  <c r="AK76" i="20"/>
  <c r="AK58" i="20"/>
  <c r="AL98" i="20"/>
  <c r="AL78" i="20"/>
  <c r="AL60" i="20"/>
  <c r="AL36" i="20"/>
  <c r="AK51" i="20"/>
  <c r="AL42" i="20"/>
  <c r="AL92" i="20"/>
  <c r="AM92" i="20" s="1"/>
  <c r="AN92" i="20" s="1"/>
  <c r="AO92" i="20" s="1"/>
  <c r="AP92" i="20" s="1"/>
  <c r="AQ92" i="20" s="1"/>
  <c r="AR92" i="20" s="1"/>
  <c r="AS92" i="20" s="1"/>
  <c r="AT92" i="20" s="1"/>
  <c r="AU92" i="20" s="1"/>
  <c r="AV92" i="20" s="1"/>
  <c r="AW92" i="20" s="1"/>
  <c r="AX92" i="20" s="1"/>
  <c r="AY92" i="20" s="1"/>
  <c r="AZ92" i="20" s="1"/>
  <c r="BA92" i="20" s="1"/>
  <c r="BB92" i="20" s="1"/>
  <c r="BC92" i="20" s="1"/>
  <c r="BD92" i="20" s="1"/>
  <c r="BE92" i="20" s="1"/>
  <c r="BF92" i="20" s="1"/>
  <c r="BG92" i="20" s="1"/>
  <c r="BH92" i="20" s="1"/>
  <c r="BI92" i="20" s="1"/>
  <c r="BJ92" i="20" s="1"/>
  <c r="BK92" i="20" s="1"/>
  <c r="BL92" i="20" s="1"/>
  <c r="BM92" i="20" s="1"/>
  <c r="BN92" i="20" s="1"/>
  <c r="AL72" i="20"/>
  <c r="AM72" i="20" s="1"/>
  <c r="AN72" i="20" s="1"/>
  <c r="AO72" i="20" s="1"/>
  <c r="AP72" i="20" s="1"/>
  <c r="AQ72" i="20" s="1"/>
  <c r="AR72" i="20" s="1"/>
  <c r="AS72" i="20" s="1"/>
  <c r="AT72" i="20" s="1"/>
  <c r="AU72" i="20" s="1"/>
  <c r="AV72" i="20" s="1"/>
  <c r="AW72" i="20" s="1"/>
  <c r="AX72" i="20" s="1"/>
  <c r="AY72" i="20" s="1"/>
  <c r="AZ72" i="20" s="1"/>
  <c r="BA72" i="20" s="1"/>
  <c r="BB72" i="20" s="1"/>
  <c r="BC72" i="20" s="1"/>
  <c r="BD72" i="20" s="1"/>
  <c r="BE72" i="20" s="1"/>
  <c r="BF72" i="20" s="1"/>
  <c r="BG72" i="20" s="1"/>
  <c r="BH72" i="20" s="1"/>
  <c r="BI72" i="20" s="1"/>
  <c r="BJ72" i="20" s="1"/>
  <c r="BK72" i="20" s="1"/>
  <c r="BL72" i="20" s="1"/>
  <c r="BM72" i="20" s="1"/>
  <c r="BN72" i="20" s="1"/>
  <c r="AL54" i="20"/>
  <c r="AM54" i="20" s="1"/>
  <c r="AN54" i="20" s="1"/>
  <c r="AO54" i="20" s="1"/>
  <c r="AP54" i="20" s="1"/>
  <c r="AQ54" i="20" s="1"/>
  <c r="AR54" i="20" s="1"/>
  <c r="AS54" i="20" s="1"/>
  <c r="AT54" i="20" s="1"/>
  <c r="AU54" i="20" s="1"/>
  <c r="AV54" i="20" s="1"/>
  <c r="AW54" i="20" s="1"/>
  <c r="AX54" i="20" s="1"/>
  <c r="AY54" i="20" s="1"/>
  <c r="AZ54" i="20" s="1"/>
  <c r="BA54" i="20" s="1"/>
  <c r="BB54" i="20" s="1"/>
  <c r="BC54" i="20" s="1"/>
  <c r="BD54" i="20" s="1"/>
  <c r="BE54" i="20" s="1"/>
  <c r="BF54" i="20" s="1"/>
  <c r="BG54" i="20" s="1"/>
  <c r="BH54" i="20" s="1"/>
  <c r="BI54" i="20" s="1"/>
  <c r="BJ54" i="20" s="1"/>
  <c r="BK54" i="20" s="1"/>
  <c r="BL54" i="20" s="1"/>
  <c r="BM54" i="20" s="1"/>
  <c r="BN54" i="20" s="1"/>
  <c r="AK40" i="20"/>
  <c r="AT728" i="20" l="1"/>
  <c r="AT381" i="20"/>
  <c r="AU381" i="20" s="1"/>
  <c r="AT344" i="20"/>
  <c r="AU344" i="20" s="1"/>
  <c r="AV344" i="20" s="1"/>
  <c r="AW344" i="20" s="1"/>
  <c r="AX344" i="20" s="1"/>
  <c r="AY344" i="20" s="1"/>
  <c r="AZ344" i="20" s="1"/>
  <c r="BA344" i="20" s="1"/>
  <c r="BB344" i="20" s="1"/>
  <c r="BC344" i="20" s="1"/>
  <c r="BD344" i="20" s="1"/>
  <c r="BE344" i="20" s="1"/>
  <c r="BF344" i="20" s="1"/>
  <c r="BG344" i="20" s="1"/>
  <c r="BH344" i="20" s="1"/>
  <c r="BI344" i="20" s="1"/>
  <c r="BJ344" i="20" s="1"/>
  <c r="BK344" i="20" s="1"/>
  <c r="BL344" i="20" s="1"/>
  <c r="BM344" i="20" s="1"/>
  <c r="BN344" i="20" s="1"/>
  <c r="AU6" i="20"/>
  <c r="AV6" i="20" s="1"/>
  <c r="AW6" i="20" s="1"/>
  <c r="AX6" i="20" s="1"/>
  <c r="AY6" i="20" s="1"/>
  <c r="AZ6" i="20" s="1"/>
  <c r="BA6" i="20" s="1"/>
  <c r="BB6" i="20" s="1"/>
  <c r="BC6" i="20" s="1"/>
  <c r="BD6" i="20" s="1"/>
  <c r="BE6" i="20" s="1"/>
  <c r="BF6" i="20" s="1"/>
  <c r="BG6" i="20" s="1"/>
  <c r="BH6" i="20" s="1"/>
  <c r="BI6" i="20" s="1"/>
  <c r="BJ6" i="20" s="1"/>
  <c r="BK6" i="20" s="1"/>
  <c r="BL6" i="20" s="1"/>
  <c r="BM6" i="20" s="1"/>
  <c r="BN6" i="20" s="1"/>
  <c r="AT522" i="20"/>
  <c r="AT533" i="20"/>
  <c r="BB787" i="20"/>
  <c r="BA892" i="20"/>
  <c r="BJ954" i="20"/>
  <c r="AX934" i="20"/>
  <c r="AX914" i="20"/>
  <c r="AU338" i="20"/>
  <c r="AT931" i="20"/>
  <c r="AW909" i="20"/>
  <c r="AZ939" i="20"/>
  <c r="BJ929" i="20"/>
  <c r="BJ904" i="20"/>
  <c r="BK879" i="20"/>
  <c r="AR280" i="20"/>
  <c r="AP411" i="20"/>
  <c r="AQ411" i="20" s="1"/>
  <c r="AR411" i="20" s="1"/>
  <c r="AS411" i="20" s="1"/>
  <c r="AT411" i="20" s="1"/>
  <c r="AP401" i="20"/>
  <c r="AQ401" i="20" s="1"/>
  <c r="AR401" i="20" s="1"/>
  <c r="AS401" i="20" s="1"/>
  <c r="AT401" i="20" s="1"/>
  <c r="AU401" i="20" s="1"/>
  <c r="AP391" i="20"/>
  <c r="AQ391" i="20" s="1"/>
  <c r="AR391" i="20" s="1"/>
  <c r="AS391" i="20" s="1"/>
  <c r="AT391" i="20" s="1"/>
  <c r="AU391" i="20" s="1"/>
  <c r="AU514" i="20"/>
  <c r="AR269" i="20"/>
  <c r="AR267" i="20"/>
  <c r="AR270" i="20"/>
  <c r="AV373" i="20"/>
  <c r="AR265" i="20"/>
  <c r="AR272" i="20"/>
  <c r="AR268" i="20"/>
  <c r="AR271" i="20"/>
  <c r="AR266" i="20"/>
  <c r="AR286" i="20"/>
  <c r="AR290" i="20"/>
  <c r="AR276" i="20"/>
  <c r="AR281" i="20"/>
  <c r="AR291" i="20"/>
  <c r="AR279" i="20"/>
  <c r="AR285" i="20"/>
  <c r="AQ293" i="20"/>
  <c r="AR292" i="20"/>
  <c r="AR289" i="20"/>
  <c r="AQ273" i="20"/>
  <c r="AR282" i="20"/>
  <c r="AR278" i="20"/>
  <c r="AR287" i="20"/>
  <c r="AR275" i="20"/>
  <c r="AQ283" i="20"/>
  <c r="AR277" i="20"/>
  <c r="AR288" i="20"/>
  <c r="AR881" i="20" s="1"/>
  <c r="AS254" i="20"/>
  <c r="AM42" i="20"/>
  <c r="AL57" i="20"/>
  <c r="AM60" i="20"/>
  <c r="AL94" i="20"/>
  <c r="AM98" i="20"/>
  <c r="AL75" i="20"/>
  <c r="AM36" i="20"/>
  <c r="AN36" i="20" s="1"/>
  <c r="AO36" i="20" s="1"/>
  <c r="AP36" i="20" s="1"/>
  <c r="AQ36" i="20" s="1"/>
  <c r="AR36" i="20" s="1"/>
  <c r="AS36" i="20" s="1"/>
  <c r="AT36" i="20" s="1"/>
  <c r="AU36" i="20" s="1"/>
  <c r="AV36" i="20" s="1"/>
  <c r="AW36" i="20" s="1"/>
  <c r="AX36" i="20" s="1"/>
  <c r="AY36" i="20" s="1"/>
  <c r="AZ36" i="20" s="1"/>
  <c r="BA36" i="20" s="1"/>
  <c r="BB36" i="20" s="1"/>
  <c r="BC36" i="20" s="1"/>
  <c r="BD36" i="20" s="1"/>
  <c r="BE36" i="20" s="1"/>
  <c r="BF36" i="20" s="1"/>
  <c r="BG36" i="20" s="1"/>
  <c r="BH36" i="20" s="1"/>
  <c r="BI36" i="20" s="1"/>
  <c r="BJ36" i="20" s="1"/>
  <c r="BK36" i="20" s="1"/>
  <c r="BL36" i="20" s="1"/>
  <c r="BM36" i="20" s="1"/>
  <c r="BN36" i="20" s="1"/>
  <c r="AL95" i="20"/>
  <c r="AM78" i="20"/>
  <c r="AL56" i="20"/>
  <c r="AL74" i="20"/>
  <c r="AU533" i="20" l="1"/>
  <c r="AV533" i="20" s="1"/>
  <c r="AW533" i="20" s="1"/>
  <c r="AX533" i="20" s="1"/>
  <c r="AY533" i="20" s="1"/>
  <c r="AZ533" i="20" s="1"/>
  <c r="BA533" i="20" s="1"/>
  <c r="BB533" i="20" s="1"/>
  <c r="BC533" i="20" s="1"/>
  <c r="BD533" i="20" s="1"/>
  <c r="BE533" i="20" s="1"/>
  <c r="BF533" i="20" s="1"/>
  <c r="BG533" i="20" s="1"/>
  <c r="BH533" i="20" s="1"/>
  <c r="BI533" i="20" s="1"/>
  <c r="BJ533" i="20" s="1"/>
  <c r="BK533" i="20" s="1"/>
  <c r="BL533" i="20" s="1"/>
  <c r="BM533" i="20" s="1"/>
  <c r="BN533" i="20" s="1"/>
  <c r="AU411" i="20"/>
  <c r="AV411" i="20" s="1"/>
  <c r="AU728" i="20"/>
  <c r="AV728" i="20" s="1"/>
  <c r="AW728" i="20" s="1"/>
  <c r="AX728" i="20" s="1"/>
  <c r="AU522" i="20"/>
  <c r="BC787" i="20"/>
  <c r="BB892" i="20"/>
  <c r="BK954" i="20"/>
  <c r="AV338" i="20"/>
  <c r="AU931" i="20"/>
  <c r="AY914" i="20"/>
  <c r="AY934" i="20"/>
  <c r="AX909" i="20"/>
  <c r="BA939" i="20"/>
  <c r="BK929" i="20"/>
  <c r="BK904" i="20"/>
  <c r="BL879" i="20"/>
  <c r="AV514" i="20"/>
  <c r="AV381" i="20"/>
  <c r="AV401" i="20"/>
  <c r="AV391" i="20"/>
  <c r="AS268" i="20"/>
  <c r="AS271" i="20"/>
  <c r="AS272" i="20"/>
  <c r="AS270" i="20"/>
  <c r="AS266" i="20"/>
  <c r="AS265" i="20"/>
  <c r="AW373" i="20"/>
  <c r="AS269" i="20"/>
  <c r="AS267" i="20"/>
  <c r="AS288" i="20"/>
  <c r="AS881" i="20" s="1"/>
  <c r="AS292" i="20"/>
  <c r="AS285" i="20"/>
  <c r="AR293" i="20"/>
  <c r="AS282" i="20"/>
  <c r="AS289" i="20"/>
  <c r="AS279" i="20"/>
  <c r="AS275" i="20"/>
  <c r="AR283" i="20"/>
  <c r="AS278" i="20"/>
  <c r="AS286" i="20"/>
  <c r="AS280" i="20"/>
  <c r="AS277" i="20"/>
  <c r="AS290" i="20"/>
  <c r="AS287" i="20"/>
  <c r="AR273" i="20"/>
  <c r="AS276" i="20"/>
  <c r="AS291" i="20"/>
  <c r="AS281" i="20"/>
  <c r="AT254" i="20"/>
  <c r="AN78" i="20"/>
  <c r="AN42" i="20"/>
  <c r="AN98" i="20"/>
  <c r="AN60" i="20"/>
  <c r="AV522" i="20" l="1"/>
  <c r="BD787" i="20"/>
  <c r="BC892" i="20"/>
  <c r="BL954" i="20"/>
  <c r="AY909" i="20"/>
  <c r="AZ934" i="20"/>
  <c r="BB939" i="20"/>
  <c r="AZ914" i="20"/>
  <c r="AW338" i="20"/>
  <c r="AV931" i="20"/>
  <c r="BL929" i="20"/>
  <c r="BL904" i="20"/>
  <c r="BM879" i="20"/>
  <c r="AW411" i="20"/>
  <c r="AW514" i="20"/>
  <c r="AT272" i="20"/>
  <c r="AW391" i="20"/>
  <c r="AW381" i="20"/>
  <c r="AW401" i="20"/>
  <c r="AX373" i="20"/>
  <c r="AT287" i="20"/>
  <c r="AT282" i="20"/>
  <c r="AS293" i="20"/>
  <c r="AS283" i="20"/>
  <c r="AS273" i="20"/>
  <c r="AT290" i="20"/>
  <c r="AT292" i="20"/>
  <c r="AT289" i="20"/>
  <c r="AT291" i="20"/>
  <c r="AT286" i="20"/>
  <c r="AT288" i="20"/>
  <c r="AT881" i="20" s="1"/>
  <c r="AU254" i="20"/>
  <c r="AO60" i="20"/>
  <c r="AP60" i="20" s="1"/>
  <c r="AQ60" i="20" s="1"/>
  <c r="AR60" i="20" s="1"/>
  <c r="AS60" i="20" s="1"/>
  <c r="AT60" i="20" s="1"/>
  <c r="AU60" i="20" s="1"/>
  <c r="AV60" i="20" s="1"/>
  <c r="AW60" i="20" s="1"/>
  <c r="AX60" i="20" s="1"/>
  <c r="AY60" i="20" s="1"/>
  <c r="AZ60" i="20" s="1"/>
  <c r="BA60" i="20" s="1"/>
  <c r="BB60" i="20" s="1"/>
  <c r="BC60" i="20" s="1"/>
  <c r="BD60" i="20" s="1"/>
  <c r="BE60" i="20" s="1"/>
  <c r="BF60" i="20" s="1"/>
  <c r="BG60" i="20" s="1"/>
  <c r="BH60" i="20" s="1"/>
  <c r="BI60" i="20" s="1"/>
  <c r="BJ60" i="20" s="1"/>
  <c r="BK60" i="20" s="1"/>
  <c r="BL60" i="20" s="1"/>
  <c r="BM60" i="20" s="1"/>
  <c r="BN60" i="20" s="1"/>
  <c r="AO98" i="20"/>
  <c r="AP98" i="20" s="1"/>
  <c r="AQ98" i="20" s="1"/>
  <c r="AR98" i="20" s="1"/>
  <c r="AS98" i="20" s="1"/>
  <c r="AT98" i="20" s="1"/>
  <c r="AU98" i="20" s="1"/>
  <c r="AV98" i="20" s="1"/>
  <c r="AW98" i="20" s="1"/>
  <c r="AX98" i="20" s="1"/>
  <c r="AY98" i="20" s="1"/>
  <c r="AZ98" i="20" s="1"/>
  <c r="BA98" i="20" s="1"/>
  <c r="BB98" i="20" s="1"/>
  <c r="BC98" i="20" s="1"/>
  <c r="BD98" i="20" s="1"/>
  <c r="BE98" i="20" s="1"/>
  <c r="BF98" i="20" s="1"/>
  <c r="BG98" i="20" s="1"/>
  <c r="BH98" i="20" s="1"/>
  <c r="BI98" i="20" s="1"/>
  <c r="BJ98" i="20" s="1"/>
  <c r="BK98" i="20" s="1"/>
  <c r="BL98" i="20" s="1"/>
  <c r="BM98" i="20" s="1"/>
  <c r="BN98" i="20" s="1"/>
  <c r="AO42" i="20"/>
  <c r="AP42" i="20" s="1"/>
  <c r="AQ42" i="20" s="1"/>
  <c r="AR42" i="20" s="1"/>
  <c r="AS42" i="20" s="1"/>
  <c r="AT42" i="20" s="1"/>
  <c r="AU42" i="20" s="1"/>
  <c r="AV42" i="20" s="1"/>
  <c r="AW42" i="20" s="1"/>
  <c r="AX42" i="20" s="1"/>
  <c r="AY42" i="20" s="1"/>
  <c r="AZ42" i="20" s="1"/>
  <c r="BA42" i="20" s="1"/>
  <c r="BB42" i="20" s="1"/>
  <c r="BC42" i="20" s="1"/>
  <c r="BD42" i="20" s="1"/>
  <c r="BE42" i="20" s="1"/>
  <c r="BF42" i="20" s="1"/>
  <c r="BG42" i="20" s="1"/>
  <c r="BH42" i="20" s="1"/>
  <c r="BI42" i="20" s="1"/>
  <c r="BJ42" i="20" s="1"/>
  <c r="BK42" i="20" s="1"/>
  <c r="BL42" i="20" s="1"/>
  <c r="BM42" i="20" s="1"/>
  <c r="BN42" i="20" s="1"/>
  <c r="AO78" i="20"/>
  <c r="AP78" i="20" s="1"/>
  <c r="AQ78" i="20" s="1"/>
  <c r="AR78" i="20" s="1"/>
  <c r="AS78" i="20" s="1"/>
  <c r="AT78" i="20" s="1"/>
  <c r="AU78" i="20" s="1"/>
  <c r="AV78" i="20" s="1"/>
  <c r="AW78" i="20" s="1"/>
  <c r="AX78" i="20" s="1"/>
  <c r="AY78" i="20" s="1"/>
  <c r="AZ78" i="20" s="1"/>
  <c r="BA78" i="20" s="1"/>
  <c r="BB78" i="20" s="1"/>
  <c r="BC78" i="20" s="1"/>
  <c r="BD78" i="20" s="1"/>
  <c r="BE78" i="20" s="1"/>
  <c r="BF78" i="20" s="1"/>
  <c r="BG78" i="20" s="1"/>
  <c r="BH78" i="20" s="1"/>
  <c r="BI78" i="20" s="1"/>
  <c r="BJ78" i="20" s="1"/>
  <c r="BK78" i="20" s="1"/>
  <c r="BL78" i="20" s="1"/>
  <c r="BM78" i="20" s="1"/>
  <c r="BN78" i="20" s="1"/>
  <c r="AW522" i="20" l="1"/>
  <c r="BE787" i="20"/>
  <c r="BD892" i="20"/>
  <c r="BM954" i="20"/>
  <c r="BA934" i="20"/>
  <c r="AX338" i="20"/>
  <c r="AW931" i="20"/>
  <c r="BA914" i="20"/>
  <c r="BC939" i="20"/>
  <c r="AZ909" i="20"/>
  <c r="BM929" i="20"/>
  <c r="BM904" i="20"/>
  <c r="BN879" i="20"/>
  <c r="AX514" i="20"/>
  <c r="AX401" i="20"/>
  <c r="AY373" i="20"/>
  <c r="AX391" i="20"/>
  <c r="AU272" i="20"/>
  <c r="AX411" i="20"/>
  <c r="AX381" i="20"/>
  <c r="AU286" i="20"/>
  <c r="AU292" i="20"/>
  <c r="AU288" i="20"/>
  <c r="AU881" i="20" s="1"/>
  <c r="AU290" i="20"/>
  <c r="AU287" i="20"/>
  <c r="AU291" i="20"/>
  <c r="AU289" i="20"/>
  <c r="AU282" i="20"/>
  <c r="AV254" i="20"/>
  <c r="AX522" i="20" l="1"/>
  <c r="BF787" i="20"/>
  <c r="BE892" i="20"/>
  <c r="BN954" i="20"/>
  <c r="BD939" i="20"/>
  <c r="BA909" i="20"/>
  <c r="BB914" i="20"/>
  <c r="AY338" i="20"/>
  <c r="AX931" i="20"/>
  <c r="BB934" i="20"/>
  <c r="BN929" i="20"/>
  <c r="BN904" i="20"/>
  <c r="AY514" i="20"/>
  <c r="AY401" i="20"/>
  <c r="AY411" i="20"/>
  <c r="AY391" i="20"/>
  <c r="AY381" i="20"/>
  <c r="AV272" i="20"/>
  <c r="AZ373" i="20"/>
  <c r="AV287" i="20"/>
  <c r="AV292" i="20"/>
  <c r="AV290" i="20"/>
  <c r="AV289" i="20"/>
  <c r="AV286" i="20"/>
  <c r="AV282" i="20"/>
  <c r="AV291" i="20"/>
  <c r="AV288" i="20"/>
  <c r="AV881" i="20" s="1"/>
  <c r="AW254" i="20"/>
  <c r="AY522" i="20" l="1"/>
  <c r="BG787" i="20"/>
  <c r="BF892" i="20"/>
  <c r="BC934" i="20"/>
  <c r="BC914" i="20"/>
  <c r="BB909" i="20"/>
  <c r="AZ338" i="20"/>
  <c r="AY931" i="20"/>
  <c r="BE939" i="20"/>
  <c r="AZ514" i="20"/>
  <c r="AZ401" i="20"/>
  <c r="AW272" i="20"/>
  <c r="AZ391" i="20"/>
  <c r="AZ411" i="20"/>
  <c r="BA373" i="20"/>
  <c r="AZ381" i="20"/>
  <c r="AW289" i="20"/>
  <c r="AW290" i="20"/>
  <c r="AW292" i="20"/>
  <c r="AW288" i="20"/>
  <c r="AW881" i="20" s="1"/>
  <c r="AW291" i="20"/>
  <c r="AW282" i="20"/>
  <c r="AW287" i="20"/>
  <c r="AW286" i="20"/>
  <c r="AX254" i="20"/>
  <c r="BA381" i="20" l="1"/>
  <c r="AZ522" i="20"/>
  <c r="BH787" i="20"/>
  <c r="BG892" i="20"/>
  <c r="BA338" i="20"/>
  <c r="AZ931" i="20"/>
  <c r="BD914" i="20"/>
  <c r="BF939" i="20"/>
  <c r="BC909" i="20"/>
  <c r="BD934" i="20"/>
  <c r="BA514" i="20"/>
  <c r="BA411" i="20"/>
  <c r="BB373" i="20"/>
  <c r="AX272" i="20"/>
  <c r="BA391" i="20"/>
  <c r="BA401" i="20"/>
  <c r="AX286" i="20"/>
  <c r="AX288" i="20"/>
  <c r="AX881" i="20" s="1"/>
  <c r="AX292" i="20"/>
  <c r="AX289" i="20"/>
  <c r="AX291" i="20"/>
  <c r="AX287" i="20"/>
  <c r="AX282" i="20"/>
  <c r="AX290" i="20"/>
  <c r="AY254" i="20"/>
  <c r="BB381" i="20" l="1"/>
  <c r="BB401" i="20"/>
  <c r="BA522" i="20"/>
  <c r="BB391" i="20"/>
  <c r="BI787" i="20"/>
  <c r="BH892" i="20"/>
  <c r="BE934" i="20"/>
  <c r="BB338" i="20"/>
  <c r="BA931" i="20"/>
  <c r="BE914" i="20"/>
  <c r="BD909" i="20"/>
  <c r="BG939" i="20"/>
  <c r="BB411" i="20"/>
  <c r="BB514" i="20"/>
  <c r="AY272" i="20"/>
  <c r="BC373" i="20"/>
  <c r="AY282" i="20"/>
  <c r="AY292" i="20"/>
  <c r="AZ254" i="20"/>
  <c r="BB522" i="20" l="1"/>
  <c r="BJ787" i="20"/>
  <c r="BI892" i="20"/>
  <c r="BH939" i="20"/>
  <c r="BF914" i="20"/>
  <c r="BF934" i="20"/>
  <c r="BE909" i="20"/>
  <c r="BC338" i="20"/>
  <c r="BB931" i="20"/>
  <c r="BC514" i="20"/>
  <c r="BC411" i="20"/>
  <c r="BC381" i="20"/>
  <c r="BC401" i="20"/>
  <c r="AZ272" i="20"/>
  <c r="BD373" i="20"/>
  <c r="BC391" i="20"/>
  <c r="BD391" i="20" s="1"/>
  <c r="AZ292" i="20"/>
  <c r="AZ282" i="20"/>
  <c r="BA254" i="20"/>
  <c r="A84" i="20"/>
  <c r="A102" i="20" s="1"/>
  <c r="A85" i="20"/>
  <c r="A103" i="20" s="1"/>
  <c r="A86" i="20"/>
  <c r="A104" i="20" s="1"/>
  <c r="A87" i="20"/>
  <c r="A105" i="20" s="1"/>
  <c r="A88" i="20"/>
  <c r="A106" i="20" s="1"/>
  <c r="A83" i="20"/>
  <c r="A101" i="20" s="1"/>
  <c r="BC522" i="20" l="1"/>
  <c r="BK787" i="20"/>
  <c r="BJ892" i="20"/>
  <c r="BD338" i="20"/>
  <c r="BC931" i="20"/>
  <c r="BF909" i="20"/>
  <c r="BG934" i="20"/>
  <c r="BG914" i="20"/>
  <c r="BI939" i="20"/>
  <c r="BD514" i="20"/>
  <c r="BD411" i="20"/>
  <c r="BA272" i="20"/>
  <c r="BD381" i="20"/>
  <c r="BD401" i="20"/>
  <c r="BE373" i="20"/>
  <c r="BA292" i="20"/>
  <c r="BA282" i="20"/>
  <c r="BB254" i="20"/>
  <c r="A76" i="20"/>
  <c r="A95" i="20" s="1"/>
  <c r="A77" i="20"/>
  <c r="A96" i="20" s="1"/>
  <c r="A78" i="20"/>
  <c r="A97" i="20" s="1"/>
  <c r="A75" i="20"/>
  <c r="A94" i="20" s="1"/>
  <c r="BD522" i="20" l="1"/>
  <c r="BL787" i="20"/>
  <c r="BK892" i="20"/>
  <c r="BJ939" i="20"/>
  <c r="BG909" i="20"/>
  <c r="BH914" i="20"/>
  <c r="BH934" i="20"/>
  <c r="BE338" i="20"/>
  <c r="BD931" i="20"/>
  <c r="BE514" i="20"/>
  <c r="BE381" i="20"/>
  <c r="BB272" i="20"/>
  <c r="BE401" i="20"/>
  <c r="BF373" i="20"/>
  <c r="BE391" i="20"/>
  <c r="BF391" i="20" s="1"/>
  <c r="BE411" i="20"/>
  <c r="BB292" i="20"/>
  <c r="BB282" i="20"/>
  <c r="BC254" i="20"/>
  <c r="AL39" i="20"/>
  <c r="AI799" i="20"/>
  <c r="AI800" i="20"/>
  <c r="AI801" i="20"/>
  <c r="AI802" i="20"/>
  <c r="AI803" i="20"/>
  <c r="AI804" i="20"/>
  <c r="AI805" i="20"/>
  <c r="AI806" i="20"/>
  <c r="AN806" i="20" s="1"/>
  <c r="AO806" i="20" s="1"/>
  <c r="AP806" i="20" s="1"/>
  <c r="AQ806" i="20" s="1"/>
  <c r="AR806" i="20" s="1"/>
  <c r="AS806" i="20" s="1"/>
  <c r="AT806" i="20" s="1"/>
  <c r="AU806" i="20" s="1"/>
  <c r="AV806" i="20" s="1"/>
  <c r="AW806" i="20" s="1"/>
  <c r="AX806" i="20" s="1"/>
  <c r="AY806" i="20" s="1"/>
  <c r="AZ806" i="20" s="1"/>
  <c r="BA806" i="20" s="1"/>
  <c r="BB806" i="20" s="1"/>
  <c r="BC806" i="20" s="1"/>
  <c r="BD806" i="20" s="1"/>
  <c r="BE806" i="20" s="1"/>
  <c r="BF806" i="20" s="1"/>
  <c r="BG806" i="20" s="1"/>
  <c r="BH806" i="20" s="1"/>
  <c r="BI806" i="20" s="1"/>
  <c r="BJ806" i="20" s="1"/>
  <c r="BK806" i="20" s="1"/>
  <c r="BL806" i="20" s="1"/>
  <c r="BM806" i="20" s="1"/>
  <c r="BN806" i="20" s="1"/>
  <c r="AI821" i="20"/>
  <c r="AI828" i="20"/>
  <c r="AM828" i="20" s="1"/>
  <c r="AN828" i="20" s="1"/>
  <c r="AO828" i="20" s="1"/>
  <c r="AP828" i="20" s="1"/>
  <c r="AQ828" i="20" s="1"/>
  <c r="AR828" i="20" s="1"/>
  <c r="AS828" i="20" s="1"/>
  <c r="AT828" i="20" s="1"/>
  <c r="AU828" i="20" s="1"/>
  <c r="AV828" i="20" s="1"/>
  <c r="AW828" i="20" s="1"/>
  <c r="AX828" i="20" s="1"/>
  <c r="AY828" i="20" s="1"/>
  <c r="AZ828" i="20" s="1"/>
  <c r="BA828" i="20" s="1"/>
  <c r="BB828" i="20" s="1"/>
  <c r="BC828" i="20" s="1"/>
  <c r="BD828" i="20" s="1"/>
  <c r="BE828" i="20" s="1"/>
  <c r="BF828" i="20" s="1"/>
  <c r="BG828" i="20" s="1"/>
  <c r="BH828" i="20" s="1"/>
  <c r="BI828" i="20" s="1"/>
  <c r="BJ828" i="20" s="1"/>
  <c r="BK828" i="20" s="1"/>
  <c r="BL828" i="20" s="1"/>
  <c r="BM828" i="20" s="1"/>
  <c r="BN828" i="20" s="1"/>
  <c r="AI824" i="20" l="1"/>
  <c r="AI817" i="20"/>
  <c r="AM817" i="20" s="1"/>
  <c r="AN817" i="20" s="1"/>
  <c r="AO817" i="20" s="1"/>
  <c r="AP817" i="20" s="1"/>
  <c r="AQ817" i="20" s="1"/>
  <c r="AR817" i="20" s="1"/>
  <c r="AS817" i="20" s="1"/>
  <c r="AT817" i="20" s="1"/>
  <c r="AU817" i="20" s="1"/>
  <c r="AV817" i="20" s="1"/>
  <c r="AW817" i="20" s="1"/>
  <c r="AX817" i="20" s="1"/>
  <c r="AY817" i="20" s="1"/>
  <c r="AZ817" i="20" s="1"/>
  <c r="BA817" i="20" s="1"/>
  <c r="BB817" i="20" s="1"/>
  <c r="BC817" i="20" s="1"/>
  <c r="BD817" i="20" s="1"/>
  <c r="BE817" i="20" s="1"/>
  <c r="BF817" i="20" s="1"/>
  <c r="BG817" i="20" s="1"/>
  <c r="BH817" i="20" s="1"/>
  <c r="BI817" i="20" s="1"/>
  <c r="BJ817" i="20" s="1"/>
  <c r="BK817" i="20" s="1"/>
  <c r="BL817" i="20" s="1"/>
  <c r="BM817" i="20" s="1"/>
  <c r="BN817" i="20" s="1"/>
  <c r="AI813" i="20"/>
  <c r="AJ471" i="20"/>
  <c r="AT471" i="20" s="1"/>
  <c r="AU471" i="20" s="1"/>
  <c r="AV471" i="20" s="1"/>
  <c r="AW471" i="20" s="1"/>
  <c r="AX471" i="20" s="1"/>
  <c r="AY471" i="20" s="1"/>
  <c r="AZ471" i="20" s="1"/>
  <c r="BA471" i="20" s="1"/>
  <c r="BB471" i="20" s="1"/>
  <c r="BC471" i="20" s="1"/>
  <c r="BD471" i="20" s="1"/>
  <c r="BE471" i="20" s="1"/>
  <c r="BF471" i="20" s="1"/>
  <c r="AJ354" i="20"/>
  <c r="AT354" i="20" s="1"/>
  <c r="AU354" i="20" s="1"/>
  <c r="AV354" i="20" s="1"/>
  <c r="AW354" i="20" s="1"/>
  <c r="AX354" i="20" s="1"/>
  <c r="AY354" i="20" s="1"/>
  <c r="AZ354" i="20" s="1"/>
  <c r="BA354" i="20" s="1"/>
  <c r="BB354" i="20" s="1"/>
  <c r="BC354" i="20" s="1"/>
  <c r="BD354" i="20" s="1"/>
  <c r="BE354" i="20" s="1"/>
  <c r="BF354" i="20" s="1"/>
  <c r="BG354" i="20" s="1"/>
  <c r="BH354" i="20" s="1"/>
  <c r="BI354" i="20" s="1"/>
  <c r="BJ354" i="20" s="1"/>
  <c r="BK354" i="20" s="1"/>
  <c r="BL354" i="20" s="1"/>
  <c r="BM354" i="20" s="1"/>
  <c r="BN354" i="20" s="1"/>
  <c r="AJ467" i="20"/>
  <c r="AJ350" i="20"/>
  <c r="AI728" i="20"/>
  <c r="AY728" i="20" s="1"/>
  <c r="AZ728" i="20" s="1"/>
  <c r="BA728" i="20" s="1"/>
  <c r="BB728" i="20" s="1"/>
  <c r="BC728" i="20" s="1"/>
  <c r="BD728" i="20" s="1"/>
  <c r="BE728" i="20" s="1"/>
  <c r="BF728" i="20" s="1"/>
  <c r="BG728" i="20" s="1"/>
  <c r="BH728" i="20" s="1"/>
  <c r="BI728" i="20" s="1"/>
  <c r="BJ728" i="20" s="1"/>
  <c r="BK728" i="20" s="1"/>
  <c r="BL728" i="20" s="1"/>
  <c r="BM728" i="20" s="1"/>
  <c r="BN728" i="20" s="1"/>
  <c r="AJ461" i="20"/>
  <c r="AT461" i="20" s="1"/>
  <c r="AU461" i="20" s="1"/>
  <c r="AV461" i="20" s="1"/>
  <c r="AW461" i="20" s="1"/>
  <c r="AX461" i="20" s="1"/>
  <c r="AY461" i="20" s="1"/>
  <c r="AZ461" i="20" s="1"/>
  <c r="BA461" i="20" s="1"/>
  <c r="BB461" i="20" s="1"/>
  <c r="BC461" i="20" s="1"/>
  <c r="BD461" i="20" s="1"/>
  <c r="BE461" i="20" s="1"/>
  <c r="BF461" i="20" s="1"/>
  <c r="AJ344" i="20"/>
  <c r="AI724" i="20"/>
  <c r="AJ457" i="20"/>
  <c r="AJ340" i="20"/>
  <c r="AJ451" i="20"/>
  <c r="AT451" i="20" s="1"/>
  <c r="AU451" i="20" s="1"/>
  <c r="AV451" i="20" s="1"/>
  <c r="AW451" i="20" s="1"/>
  <c r="AX451" i="20" s="1"/>
  <c r="AY451" i="20" s="1"/>
  <c r="AZ451" i="20" s="1"/>
  <c r="BA451" i="20" s="1"/>
  <c r="BB451" i="20" s="1"/>
  <c r="BC451" i="20" s="1"/>
  <c r="BD451" i="20" s="1"/>
  <c r="BE451" i="20" s="1"/>
  <c r="AJ334" i="20"/>
  <c r="AT334" i="20" s="1"/>
  <c r="AU334" i="20" s="1"/>
  <c r="AV334" i="20" s="1"/>
  <c r="AW334" i="20" s="1"/>
  <c r="AX334" i="20" s="1"/>
  <c r="AY334" i="20" s="1"/>
  <c r="AZ334" i="20" s="1"/>
  <c r="BA334" i="20" s="1"/>
  <c r="BB334" i="20" s="1"/>
  <c r="BC334" i="20" s="1"/>
  <c r="BD334" i="20" s="1"/>
  <c r="BE334" i="20" s="1"/>
  <c r="BF334" i="20" s="1"/>
  <c r="BG334" i="20" s="1"/>
  <c r="BH334" i="20" s="1"/>
  <c r="BI334" i="20" s="1"/>
  <c r="BJ334" i="20" s="1"/>
  <c r="BK334" i="20" s="1"/>
  <c r="BL334" i="20" s="1"/>
  <c r="BM334" i="20" s="1"/>
  <c r="BN334" i="20" s="1"/>
  <c r="AJ447" i="20"/>
  <c r="AJ330" i="20"/>
  <c r="AJ441" i="20"/>
  <c r="AT441" i="20" s="1"/>
  <c r="AU441" i="20" s="1"/>
  <c r="AV441" i="20" s="1"/>
  <c r="AW441" i="20" s="1"/>
  <c r="AX441" i="20" s="1"/>
  <c r="AY441" i="20" s="1"/>
  <c r="AZ441" i="20" s="1"/>
  <c r="BA441" i="20" s="1"/>
  <c r="BB441" i="20" s="1"/>
  <c r="BC441" i="20" s="1"/>
  <c r="BD441" i="20" s="1"/>
  <c r="BE441" i="20" s="1"/>
  <c r="BF441" i="20" s="1"/>
  <c r="AJ324" i="20"/>
  <c r="AT324" i="20" s="1"/>
  <c r="AU324" i="20" s="1"/>
  <c r="AV324" i="20" s="1"/>
  <c r="AW324" i="20" s="1"/>
  <c r="AX324" i="20" s="1"/>
  <c r="AY324" i="20" s="1"/>
  <c r="AZ324" i="20" s="1"/>
  <c r="BA324" i="20" s="1"/>
  <c r="BB324" i="20" s="1"/>
  <c r="BC324" i="20" s="1"/>
  <c r="BD324" i="20" s="1"/>
  <c r="BE324" i="20" s="1"/>
  <c r="BF324" i="20" s="1"/>
  <c r="BG324" i="20" s="1"/>
  <c r="BH324" i="20" s="1"/>
  <c r="BI324" i="20" s="1"/>
  <c r="BJ324" i="20" s="1"/>
  <c r="BK324" i="20" s="1"/>
  <c r="BL324" i="20" s="1"/>
  <c r="BM324" i="20" s="1"/>
  <c r="BN324" i="20" s="1"/>
  <c r="AJ437" i="20"/>
  <c r="AJ320" i="20"/>
  <c r="AI850" i="20"/>
  <c r="AM850" i="20" s="1"/>
  <c r="AN850" i="20" s="1"/>
  <c r="AO850" i="20" s="1"/>
  <c r="AP850" i="20" s="1"/>
  <c r="AQ850" i="20" s="1"/>
  <c r="AR850" i="20" s="1"/>
  <c r="AS850" i="20" s="1"/>
  <c r="AT850" i="20" s="1"/>
  <c r="AU850" i="20" s="1"/>
  <c r="AV850" i="20" s="1"/>
  <c r="AW850" i="20" s="1"/>
  <c r="AX850" i="20" s="1"/>
  <c r="AY850" i="20" s="1"/>
  <c r="AZ850" i="20" s="1"/>
  <c r="BA850" i="20" s="1"/>
  <c r="BB850" i="20" s="1"/>
  <c r="BC850" i="20" s="1"/>
  <c r="BD850" i="20" s="1"/>
  <c r="BE850" i="20" s="1"/>
  <c r="BF850" i="20" s="1"/>
  <c r="BG850" i="20" s="1"/>
  <c r="BH850" i="20" s="1"/>
  <c r="BI850" i="20" s="1"/>
  <c r="BJ850" i="20" s="1"/>
  <c r="BK850" i="20" s="1"/>
  <c r="BL850" i="20" s="1"/>
  <c r="BM850" i="20" s="1"/>
  <c r="BN850" i="20" s="1"/>
  <c r="AI677" i="20"/>
  <c r="AM677" i="20" s="1"/>
  <c r="AN677" i="20" s="1"/>
  <c r="AO677" i="20" s="1"/>
  <c r="AP677" i="20" s="1"/>
  <c r="AQ677" i="20" s="1"/>
  <c r="AR677" i="20" s="1"/>
  <c r="AS677" i="20" s="1"/>
  <c r="AT677" i="20" s="1"/>
  <c r="AU677" i="20" s="1"/>
  <c r="AV677" i="20" s="1"/>
  <c r="AW677" i="20" s="1"/>
  <c r="AX677" i="20" s="1"/>
  <c r="AY677" i="20" s="1"/>
  <c r="AZ677" i="20" s="1"/>
  <c r="BA677" i="20" s="1"/>
  <c r="BB677" i="20" s="1"/>
  <c r="BC677" i="20" s="1"/>
  <c r="BD677" i="20" s="1"/>
  <c r="BE677" i="20" s="1"/>
  <c r="BF677" i="20" s="1"/>
  <c r="BG677" i="20" s="1"/>
  <c r="BH677" i="20" s="1"/>
  <c r="BI677" i="20" s="1"/>
  <c r="BJ677" i="20" s="1"/>
  <c r="BK677" i="20" s="1"/>
  <c r="BL677" i="20" s="1"/>
  <c r="BM677" i="20" s="1"/>
  <c r="BN677" i="20" s="1"/>
  <c r="AI666" i="20"/>
  <c r="AM666" i="20" s="1"/>
  <c r="AN666" i="20" s="1"/>
  <c r="AO666" i="20" s="1"/>
  <c r="AP666" i="20" s="1"/>
  <c r="AQ666" i="20" s="1"/>
  <c r="AR666" i="20" s="1"/>
  <c r="AS666" i="20" s="1"/>
  <c r="AT666" i="20" s="1"/>
  <c r="AU666" i="20" s="1"/>
  <c r="AV666" i="20" s="1"/>
  <c r="AW666" i="20" s="1"/>
  <c r="AX666" i="20" s="1"/>
  <c r="AY666" i="20" s="1"/>
  <c r="AZ666" i="20" s="1"/>
  <c r="BA666" i="20" s="1"/>
  <c r="BB666" i="20" s="1"/>
  <c r="BC666" i="20" s="1"/>
  <c r="BD666" i="20" s="1"/>
  <c r="BE666" i="20" s="1"/>
  <c r="BF666" i="20" s="1"/>
  <c r="BG666" i="20" s="1"/>
  <c r="BH666" i="20" s="1"/>
  <c r="BI666" i="20" s="1"/>
  <c r="BJ666" i="20" s="1"/>
  <c r="BK666" i="20" s="1"/>
  <c r="BL666" i="20" s="1"/>
  <c r="BM666" i="20" s="1"/>
  <c r="BN666" i="20" s="1"/>
  <c r="AI655" i="20"/>
  <c r="AM655" i="20" s="1"/>
  <c r="AN655" i="20" s="1"/>
  <c r="AO655" i="20" s="1"/>
  <c r="AP655" i="20" s="1"/>
  <c r="AQ655" i="20" s="1"/>
  <c r="AR655" i="20" s="1"/>
  <c r="AS655" i="20" s="1"/>
  <c r="AT655" i="20" s="1"/>
  <c r="AU655" i="20" s="1"/>
  <c r="AV655" i="20" s="1"/>
  <c r="AW655" i="20" s="1"/>
  <c r="AX655" i="20" s="1"/>
  <c r="AY655" i="20" s="1"/>
  <c r="AZ655" i="20" s="1"/>
  <c r="BA655" i="20" s="1"/>
  <c r="BB655" i="20" s="1"/>
  <c r="BC655" i="20" s="1"/>
  <c r="BD655" i="20" s="1"/>
  <c r="BE655" i="20" s="1"/>
  <c r="BF655" i="20" s="1"/>
  <c r="BG655" i="20" s="1"/>
  <c r="BH655" i="20" s="1"/>
  <c r="BI655" i="20" s="1"/>
  <c r="BJ655" i="20" s="1"/>
  <c r="BK655" i="20" s="1"/>
  <c r="BL655" i="20" s="1"/>
  <c r="BM655" i="20" s="1"/>
  <c r="BN655" i="20" s="1"/>
  <c r="AI644" i="20"/>
  <c r="AM644" i="20" s="1"/>
  <c r="AN644" i="20" s="1"/>
  <c r="AO644" i="20" s="1"/>
  <c r="AP644" i="20" s="1"/>
  <c r="AQ644" i="20" s="1"/>
  <c r="AR644" i="20" s="1"/>
  <c r="AS644" i="20" s="1"/>
  <c r="AT644" i="20" s="1"/>
  <c r="AU644" i="20" s="1"/>
  <c r="AV644" i="20" s="1"/>
  <c r="AW644" i="20" s="1"/>
  <c r="AX644" i="20" s="1"/>
  <c r="AY644" i="20" s="1"/>
  <c r="AZ644" i="20" s="1"/>
  <c r="BA644" i="20" s="1"/>
  <c r="BB644" i="20" s="1"/>
  <c r="BC644" i="20" s="1"/>
  <c r="BD644" i="20" s="1"/>
  <c r="BE644" i="20" s="1"/>
  <c r="BF644" i="20" s="1"/>
  <c r="BG644" i="20" s="1"/>
  <c r="BH644" i="20" s="1"/>
  <c r="BI644" i="20" s="1"/>
  <c r="BJ644" i="20" s="1"/>
  <c r="BK644" i="20" s="1"/>
  <c r="BL644" i="20" s="1"/>
  <c r="BM644" i="20" s="1"/>
  <c r="BN644" i="20" s="1"/>
  <c r="AI633" i="20"/>
  <c r="AM633" i="20" s="1"/>
  <c r="AN633" i="20" s="1"/>
  <c r="AO633" i="20" s="1"/>
  <c r="AP633" i="20" s="1"/>
  <c r="AQ633" i="20" s="1"/>
  <c r="AR633" i="20" s="1"/>
  <c r="AS633" i="20" s="1"/>
  <c r="AT633" i="20" s="1"/>
  <c r="AU633" i="20" s="1"/>
  <c r="AV633" i="20" s="1"/>
  <c r="AW633" i="20" s="1"/>
  <c r="AX633" i="20" s="1"/>
  <c r="AY633" i="20" s="1"/>
  <c r="AZ633" i="20" s="1"/>
  <c r="BA633" i="20" s="1"/>
  <c r="BB633" i="20" s="1"/>
  <c r="BC633" i="20" s="1"/>
  <c r="BD633" i="20" s="1"/>
  <c r="BE633" i="20" s="1"/>
  <c r="BF633" i="20" s="1"/>
  <c r="BG633" i="20" s="1"/>
  <c r="BH633" i="20" s="1"/>
  <c r="BI633" i="20" s="1"/>
  <c r="BJ633" i="20" s="1"/>
  <c r="BK633" i="20" s="1"/>
  <c r="BL633" i="20" s="1"/>
  <c r="BM633" i="20" s="1"/>
  <c r="BN633" i="20" s="1"/>
  <c r="AI622" i="20"/>
  <c r="AJ431" i="20"/>
  <c r="AJ314" i="20"/>
  <c r="AT314" i="20" s="1"/>
  <c r="AU314" i="20" s="1"/>
  <c r="AV314" i="20" s="1"/>
  <c r="AW314" i="20" s="1"/>
  <c r="AX314" i="20" s="1"/>
  <c r="AY314" i="20" s="1"/>
  <c r="AZ314" i="20" s="1"/>
  <c r="BA314" i="20" s="1"/>
  <c r="BB314" i="20" s="1"/>
  <c r="BC314" i="20" s="1"/>
  <c r="BD314" i="20" s="1"/>
  <c r="BE314" i="20" s="1"/>
  <c r="BF314" i="20" s="1"/>
  <c r="BG314" i="20" s="1"/>
  <c r="BH314" i="20" s="1"/>
  <c r="BI314" i="20" s="1"/>
  <c r="BJ314" i="20" s="1"/>
  <c r="BK314" i="20" s="1"/>
  <c r="BL314" i="20" s="1"/>
  <c r="BM314" i="20" s="1"/>
  <c r="BN314" i="20" s="1"/>
  <c r="AI846" i="20"/>
  <c r="AI673" i="20"/>
  <c r="AI662" i="20"/>
  <c r="AI651" i="20"/>
  <c r="AI640" i="20"/>
  <c r="AI629" i="20"/>
  <c r="AI618" i="20"/>
  <c r="AJ427" i="20"/>
  <c r="AJ310" i="20"/>
  <c r="AI839" i="20"/>
  <c r="AM839" i="20" s="1"/>
  <c r="AN839" i="20" s="1"/>
  <c r="AO839" i="20" s="1"/>
  <c r="AP839" i="20" s="1"/>
  <c r="AQ839" i="20" s="1"/>
  <c r="AR839" i="20" s="1"/>
  <c r="AS839" i="20" s="1"/>
  <c r="AT839" i="20" s="1"/>
  <c r="AU839" i="20" s="1"/>
  <c r="AV839" i="20" s="1"/>
  <c r="AW839" i="20" s="1"/>
  <c r="AX839" i="20" s="1"/>
  <c r="AY839" i="20" s="1"/>
  <c r="AZ839" i="20" s="1"/>
  <c r="BA839" i="20" s="1"/>
  <c r="BB839" i="20" s="1"/>
  <c r="BC839" i="20" s="1"/>
  <c r="BD839" i="20" s="1"/>
  <c r="BE839" i="20" s="1"/>
  <c r="BF839" i="20" s="1"/>
  <c r="BG839" i="20" s="1"/>
  <c r="BH839" i="20" s="1"/>
  <c r="BI839" i="20" s="1"/>
  <c r="BJ839" i="20" s="1"/>
  <c r="BK839" i="20" s="1"/>
  <c r="BL839" i="20" s="1"/>
  <c r="BM839" i="20" s="1"/>
  <c r="BN839" i="20" s="1"/>
  <c r="AJ421" i="20"/>
  <c r="AT421" i="20" s="1"/>
  <c r="AU421" i="20" s="1"/>
  <c r="AV421" i="20" s="1"/>
  <c r="AW421" i="20" s="1"/>
  <c r="AX421" i="20" s="1"/>
  <c r="AY421" i="20" s="1"/>
  <c r="AZ421" i="20" s="1"/>
  <c r="BA421" i="20" s="1"/>
  <c r="BB421" i="20" s="1"/>
  <c r="BC421" i="20" s="1"/>
  <c r="BD421" i="20" s="1"/>
  <c r="BE421" i="20" s="1"/>
  <c r="BF421" i="20" s="1"/>
  <c r="AJ304" i="20"/>
  <c r="AT304" i="20" s="1"/>
  <c r="AU304" i="20" s="1"/>
  <c r="AV304" i="20" s="1"/>
  <c r="AW304" i="20" s="1"/>
  <c r="AX304" i="20" s="1"/>
  <c r="AY304" i="20" s="1"/>
  <c r="AZ304" i="20" s="1"/>
  <c r="BA304" i="20" s="1"/>
  <c r="BB304" i="20" s="1"/>
  <c r="BC304" i="20" s="1"/>
  <c r="BD304" i="20" s="1"/>
  <c r="BE304" i="20" s="1"/>
  <c r="BF304" i="20" s="1"/>
  <c r="BG304" i="20" s="1"/>
  <c r="BH304" i="20" s="1"/>
  <c r="BI304" i="20" s="1"/>
  <c r="BJ304" i="20" s="1"/>
  <c r="BK304" i="20" s="1"/>
  <c r="BL304" i="20" s="1"/>
  <c r="BM304" i="20" s="1"/>
  <c r="BN304" i="20" s="1"/>
  <c r="AI835" i="20"/>
  <c r="AJ417" i="20"/>
  <c r="AJ300" i="20"/>
  <c r="AJ469" i="20"/>
  <c r="AJ352" i="20"/>
  <c r="AJ465" i="20"/>
  <c r="AJ348" i="20"/>
  <c r="AI726" i="20"/>
  <c r="AJ459" i="20"/>
  <c r="AJ342" i="20"/>
  <c r="AI722" i="20"/>
  <c r="AJ455" i="20"/>
  <c r="AJ338" i="20"/>
  <c r="AJ449" i="20"/>
  <c r="AJ332" i="20"/>
  <c r="AJ445" i="20"/>
  <c r="AJ328" i="20"/>
  <c r="AJ439" i="20"/>
  <c r="AJ322" i="20"/>
  <c r="AJ435" i="20"/>
  <c r="AJ318" i="20"/>
  <c r="AI848" i="20"/>
  <c r="AI675" i="20"/>
  <c r="AI664" i="20"/>
  <c r="AI653" i="20"/>
  <c r="AI642" i="20"/>
  <c r="AI631" i="20"/>
  <c r="AI620" i="20"/>
  <c r="AJ429" i="20"/>
  <c r="AJ312" i="20"/>
  <c r="AI844" i="20"/>
  <c r="AI671" i="20"/>
  <c r="AI660" i="20"/>
  <c r="AI649" i="20"/>
  <c r="AI638" i="20"/>
  <c r="AI627" i="20"/>
  <c r="AI616" i="20"/>
  <c r="AJ425" i="20"/>
  <c r="AJ308" i="20"/>
  <c r="AI837" i="20"/>
  <c r="AJ419" i="20"/>
  <c r="AJ302" i="20"/>
  <c r="AI833" i="20"/>
  <c r="AJ415" i="20"/>
  <c r="AJ298" i="20"/>
  <c r="AI826" i="20"/>
  <c r="AI822" i="20"/>
  <c r="AI815" i="20"/>
  <c r="AI811" i="20"/>
  <c r="AI793" i="20"/>
  <c r="AI770" i="20"/>
  <c r="AI759" i="20"/>
  <c r="AI748" i="20"/>
  <c r="AI737" i="20"/>
  <c r="AI781" i="20"/>
  <c r="AI789" i="20"/>
  <c r="AI766" i="20"/>
  <c r="AI755" i="20"/>
  <c r="AI744" i="20"/>
  <c r="AI733" i="20"/>
  <c r="AI777" i="20"/>
  <c r="AL262" i="20"/>
  <c r="AM262" i="20" s="1"/>
  <c r="AN262" i="20" s="1"/>
  <c r="AO262" i="20" s="1"/>
  <c r="AP262" i="20" s="1"/>
  <c r="AQ262" i="20" s="1"/>
  <c r="AR262" i="20" s="1"/>
  <c r="AS262" i="20" s="1"/>
  <c r="AT262" i="20" s="1"/>
  <c r="AU262" i="20" s="1"/>
  <c r="AV262" i="20" s="1"/>
  <c r="AW262" i="20" s="1"/>
  <c r="AX262" i="20" s="1"/>
  <c r="AY262" i="20" s="1"/>
  <c r="AZ262" i="20" s="1"/>
  <c r="BA262" i="20" s="1"/>
  <c r="BB262" i="20" s="1"/>
  <c r="BC262" i="20" s="1"/>
  <c r="AL258" i="20"/>
  <c r="AM258" i="20" s="1"/>
  <c r="AN258" i="20" s="1"/>
  <c r="AO258" i="20" s="1"/>
  <c r="AP258" i="20" s="1"/>
  <c r="AQ258" i="20" s="1"/>
  <c r="AR258" i="20" s="1"/>
  <c r="AS258" i="20" s="1"/>
  <c r="AL257" i="20"/>
  <c r="AM257" i="20" s="1"/>
  <c r="AN257" i="20" s="1"/>
  <c r="AO257" i="20" s="1"/>
  <c r="AP257" i="20" s="1"/>
  <c r="AQ257" i="20" s="1"/>
  <c r="AR257" i="20" s="1"/>
  <c r="AS257" i="20" s="1"/>
  <c r="AL260" i="20"/>
  <c r="AM260" i="20" s="1"/>
  <c r="AN260" i="20" s="1"/>
  <c r="AO260" i="20" s="1"/>
  <c r="AP260" i="20" s="1"/>
  <c r="AQ260" i="20" s="1"/>
  <c r="AR260" i="20" s="1"/>
  <c r="AS260" i="20" s="1"/>
  <c r="AL256" i="20"/>
  <c r="AM256" i="20" s="1"/>
  <c r="AN256" i="20" s="1"/>
  <c r="AO256" i="20" s="1"/>
  <c r="AP256" i="20" s="1"/>
  <c r="AQ256" i="20" s="1"/>
  <c r="AR256" i="20" s="1"/>
  <c r="AS256" i="20" s="1"/>
  <c r="AL255" i="20"/>
  <c r="AL261" i="20"/>
  <c r="AM261" i="20" s="1"/>
  <c r="AN261" i="20" s="1"/>
  <c r="AO261" i="20" s="1"/>
  <c r="AP261" i="20" s="1"/>
  <c r="AQ261" i="20" s="1"/>
  <c r="AR261" i="20" s="1"/>
  <c r="AS261" i="20" s="1"/>
  <c r="AL259" i="20"/>
  <c r="AM259" i="20" s="1"/>
  <c r="AN259" i="20" s="1"/>
  <c r="AO259" i="20" s="1"/>
  <c r="AP259" i="20" s="1"/>
  <c r="AQ259" i="20" s="1"/>
  <c r="AR259" i="20" s="1"/>
  <c r="AS259" i="20" s="1"/>
  <c r="AL38" i="20"/>
  <c r="AH838" i="20"/>
  <c r="AH816" i="20"/>
  <c r="AH805" i="20"/>
  <c r="AN805" i="20" s="1"/>
  <c r="AO805" i="20" s="1"/>
  <c r="AP805" i="20" s="1"/>
  <c r="AQ805" i="20" s="1"/>
  <c r="AR805" i="20" s="1"/>
  <c r="AS805" i="20" s="1"/>
  <c r="AT805" i="20" s="1"/>
  <c r="AU805" i="20" s="1"/>
  <c r="AV805" i="20" s="1"/>
  <c r="AW805" i="20" s="1"/>
  <c r="AX805" i="20" s="1"/>
  <c r="AY805" i="20" s="1"/>
  <c r="AZ805" i="20" s="1"/>
  <c r="BA805" i="20" s="1"/>
  <c r="BB805" i="20" s="1"/>
  <c r="BC805" i="20" s="1"/>
  <c r="BD805" i="20" s="1"/>
  <c r="BE805" i="20" s="1"/>
  <c r="BF805" i="20" s="1"/>
  <c r="BG805" i="20" s="1"/>
  <c r="BH805" i="20" s="1"/>
  <c r="BI805" i="20" s="1"/>
  <c r="BJ805" i="20" s="1"/>
  <c r="BK805" i="20" s="1"/>
  <c r="BL805" i="20" s="1"/>
  <c r="BM805" i="20" s="1"/>
  <c r="BN805" i="20" s="1"/>
  <c r="AH849" i="20"/>
  <c r="AH827" i="20"/>
  <c r="AH794" i="20"/>
  <c r="AH738" i="20"/>
  <c r="AH771" i="20"/>
  <c r="AH749" i="20"/>
  <c r="AH782" i="20"/>
  <c r="AH760" i="20"/>
  <c r="AH727" i="20"/>
  <c r="AH654" i="20"/>
  <c r="AH632" i="20"/>
  <c r="AH676" i="20"/>
  <c r="AH621" i="20"/>
  <c r="AH521" i="20"/>
  <c r="AT521" i="20" s="1"/>
  <c r="AU521" i="20" s="1"/>
  <c r="AV521" i="20" s="1"/>
  <c r="AW521" i="20" s="1"/>
  <c r="AX521" i="20" s="1"/>
  <c r="AY521" i="20" s="1"/>
  <c r="AZ521" i="20" s="1"/>
  <c r="BA521" i="20" s="1"/>
  <c r="BB521" i="20" s="1"/>
  <c r="BC521" i="20" s="1"/>
  <c r="BD521" i="20" s="1"/>
  <c r="BE521" i="20" s="1"/>
  <c r="AH554" i="20"/>
  <c r="AO554" i="20" s="1"/>
  <c r="AP554" i="20" s="1"/>
  <c r="AQ554" i="20" s="1"/>
  <c r="AR554" i="20" s="1"/>
  <c r="AS554" i="20" s="1"/>
  <c r="AT554" i="20" s="1"/>
  <c r="AU554" i="20" s="1"/>
  <c r="AV554" i="20" s="1"/>
  <c r="AW554" i="20" s="1"/>
  <c r="AX554" i="20" s="1"/>
  <c r="AY554" i="20" s="1"/>
  <c r="AZ554" i="20" s="1"/>
  <c r="BA554" i="20" s="1"/>
  <c r="BB554" i="20" s="1"/>
  <c r="BC554" i="20" s="1"/>
  <c r="BD554" i="20" s="1"/>
  <c r="BE554" i="20" s="1"/>
  <c r="BF554" i="20" s="1"/>
  <c r="BG554" i="20" s="1"/>
  <c r="BH554" i="20" s="1"/>
  <c r="BI554" i="20" s="1"/>
  <c r="BJ554" i="20" s="1"/>
  <c r="BK554" i="20" s="1"/>
  <c r="BL554" i="20" s="1"/>
  <c r="BM554" i="20" s="1"/>
  <c r="BN554" i="20" s="1"/>
  <c r="AH665" i="20"/>
  <c r="AH565" i="20"/>
  <c r="AO565" i="20" s="1"/>
  <c r="AP565" i="20" s="1"/>
  <c r="AQ565" i="20" s="1"/>
  <c r="AR565" i="20" s="1"/>
  <c r="AS565" i="20" s="1"/>
  <c r="AT565" i="20" s="1"/>
  <c r="AU565" i="20" s="1"/>
  <c r="AV565" i="20" s="1"/>
  <c r="AW565" i="20" s="1"/>
  <c r="AX565" i="20" s="1"/>
  <c r="AY565" i="20" s="1"/>
  <c r="AZ565" i="20" s="1"/>
  <c r="BA565" i="20" s="1"/>
  <c r="BB565" i="20" s="1"/>
  <c r="BC565" i="20" s="1"/>
  <c r="BD565" i="20" s="1"/>
  <c r="BE565" i="20" s="1"/>
  <c r="BF565" i="20" s="1"/>
  <c r="BG565" i="20" s="1"/>
  <c r="BH565" i="20" s="1"/>
  <c r="BI565" i="20" s="1"/>
  <c r="BJ565" i="20" s="1"/>
  <c r="BK565" i="20" s="1"/>
  <c r="BL565" i="20" s="1"/>
  <c r="BM565" i="20" s="1"/>
  <c r="BN565" i="20" s="1"/>
  <c r="AH543" i="20"/>
  <c r="AO543" i="20" s="1"/>
  <c r="AP543" i="20" s="1"/>
  <c r="AQ543" i="20" s="1"/>
  <c r="AR543" i="20" s="1"/>
  <c r="AS543" i="20" s="1"/>
  <c r="AT543" i="20" s="1"/>
  <c r="AU543" i="20" s="1"/>
  <c r="AV543" i="20" s="1"/>
  <c r="AW543" i="20" s="1"/>
  <c r="AX543" i="20" s="1"/>
  <c r="AY543" i="20" s="1"/>
  <c r="AZ543" i="20" s="1"/>
  <c r="BA543" i="20" s="1"/>
  <c r="BB543" i="20" s="1"/>
  <c r="BC543" i="20" s="1"/>
  <c r="BD543" i="20" s="1"/>
  <c r="BE543" i="20" s="1"/>
  <c r="BF543" i="20" s="1"/>
  <c r="BG543" i="20" s="1"/>
  <c r="BH543" i="20" s="1"/>
  <c r="BI543" i="20" s="1"/>
  <c r="BJ543" i="20" s="1"/>
  <c r="BK543" i="20" s="1"/>
  <c r="BL543" i="20" s="1"/>
  <c r="BM543" i="20" s="1"/>
  <c r="BN543" i="20" s="1"/>
  <c r="AH643" i="20"/>
  <c r="AH576" i="20"/>
  <c r="AO576" i="20" s="1"/>
  <c r="AP576" i="20" s="1"/>
  <c r="AQ576" i="20" s="1"/>
  <c r="AR576" i="20" s="1"/>
  <c r="AS576" i="20" s="1"/>
  <c r="AT576" i="20" s="1"/>
  <c r="AU576" i="20" s="1"/>
  <c r="AV576" i="20" s="1"/>
  <c r="AW576" i="20" s="1"/>
  <c r="AX576" i="20" s="1"/>
  <c r="AY576" i="20" s="1"/>
  <c r="AZ576" i="20" s="1"/>
  <c r="BA576" i="20" s="1"/>
  <c r="BB576" i="20" s="1"/>
  <c r="BC576" i="20" s="1"/>
  <c r="BD576" i="20" s="1"/>
  <c r="BE576" i="20" s="1"/>
  <c r="BF576" i="20" s="1"/>
  <c r="BG576" i="20" s="1"/>
  <c r="BH576" i="20" s="1"/>
  <c r="BI576" i="20" s="1"/>
  <c r="BJ576" i="20" s="1"/>
  <c r="BK576" i="20" s="1"/>
  <c r="BL576" i="20" s="1"/>
  <c r="BM576" i="20" s="1"/>
  <c r="BN576" i="20" s="1"/>
  <c r="AH532" i="20"/>
  <c r="AT532" i="20" s="1"/>
  <c r="AU532" i="20" s="1"/>
  <c r="AV532" i="20" s="1"/>
  <c r="AW532" i="20" s="1"/>
  <c r="AX532" i="20" s="1"/>
  <c r="AY532" i="20" s="1"/>
  <c r="AZ532" i="20" s="1"/>
  <c r="BA532" i="20" s="1"/>
  <c r="BB532" i="20" s="1"/>
  <c r="BC532" i="20" s="1"/>
  <c r="BD532" i="20" s="1"/>
  <c r="BE532" i="20" s="1"/>
  <c r="BF532" i="20" s="1"/>
  <c r="BG532" i="20" s="1"/>
  <c r="BH532" i="20" s="1"/>
  <c r="BI532" i="20" s="1"/>
  <c r="BJ532" i="20" s="1"/>
  <c r="BK532" i="20" s="1"/>
  <c r="BL532" i="20" s="1"/>
  <c r="BM532" i="20" s="1"/>
  <c r="BN532" i="20" s="1"/>
  <c r="AI450" i="20"/>
  <c r="AI430" i="20"/>
  <c r="AI420" i="20"/>
  <c r="AI470" i="20"/>
  <c r="AI460" i="20"/>
  <c r="AI440" i="20"/>
  <c r="AI353" i="20"/>
  <c r="AI333" i="20"/>
  <c r="AI313" i="20"/>
  <c r="AI343" i="20"/>
  <c r="AI323" i="20"/>
  <c r="AI303" i="20"/>
  <c r="AI400" i="20"/>
  <c r="AT400" i="20" s="1"/>
  <c r="AU400" i="20" s="1"/>
  <c r="AV400" i="20" s="1"/>
  <c r="AW400" i="20" s="1"/>
  <c r="AX400" i="20" s="1"/>
  <c r="AY400" i="20" s="1"/>
  <c r="AZ400" i="20" s="1"/>
  <c r="BA400" i="20" s="1"/>
  <c r="BB400" i="20" s="1"/>
  <c r="BC400" i="20" s="1"/>
  <c r="BD400" i="20" s="1"/>
  <c r="BE400" i="20" s="1"/>
  <c r="BF400" i="20" s="1"/>
  <c r="BG400" i="20" s="1"/>
  <c r="AI380" i="20"/>
  <c r="AT380" i="20" s="1"/>
  <c r="AU380" i="20" s="1"/>
  <c r="AV380" i="20" s="1"/>
  <c r="AW380" i="20" s="1"/>
  <c r="AX380" i="20" s="1"/>
  <c r="AY380" i="20" s="1"/>
  <c r="AZ380" i="20" s="1"/>
  <c r="BA380" i="20" s="1"/>
  <c r="BB380" i="20" s="1"/>
  <c r="BC380" i="20" s="1"/>
  <c r="BD380" i="20" s="1"/>
  <c r="BE380" i="20" s="1"/>
  <c r="BF380" i="20" s="1"/>
  <c r="AI291" i="20"/>
  <c r="AY291" i="20" s="1"/>
  <c r="AZ291" i="20" s="1"/>
  <c r="BA291" i="20" s="1"/>
  <c r="BB291" i="20" s="1"/>
  <c r="BC291" i="20" s="1"/>
  <c r="AI271" i="20"/>
  <c r="AT271" i="20" s="1"/>
  <c r="AU271" i="20" s="1"/>
  <c r="AV271" i="20" s="1"/>
  <c r="AW271" i="20" s="1"/>
  <c r="AX271" i="20" s="1"/>
  <c r="AY271" i="20" s="1"/>
  <c r="AZ271" i="20" s="1"/>
  <c r="BA271" i="20" s="1"/>
  <c r="BB271" i="20" s="1"/>
  <c r="BC271" i="20" s="1"/>
  <c r="AI410" i="20"/>
  <c r="AT410" i="20" s="1"/>
  <c r="AU410" i="20" s="1"/>
  <c r="AV410" i="20" s="1"/>
  <c r="AW410" i="20" s="1"/>
  <c r="AX410" i="20" s="1"/>
  <c r="AY410" i="20" s="1"/>
  <c r="AZ410" i="20" s="1"/>
  <c r="BA410" i="20" s="1"/>
  <c r="BB410" i="20" s="1"/>
  <c r="BC410" i="20" s="1"/>
  <c r="BD410" i="20" s="1"/>
  <c r="BE410" i="20" s="1"/>
  <c r="BF410" i="20" s="1"/>
  <c r="AI390" i="20"/>
  <c r="AT390" i="20" s="1"/>
  <c r="AU390" i="20" s="1"/>
  <c r="AV390" i="20" s="1"/>
  <c r="AW390" i="20" s="1"/>
  <c r="AX390" i="20" s="1"/>
  <c r="AY390" i="20" s="1"/>
  <c r="AZ390" i="20" s="1"/>
  <c r="BA390" i="20" s="1"/>
  <c r="BB390" i="20" s="1"/>
  <c r="BC390" i="20" s="1"/>
  <c r="BD390" i="20" s="1"/>
  <c r="BE390" i="20" s="1"/>
  <c r="AI281" i="20"/>
  <c r="AT281" i="20" s="1"/>
  <c r="AU281" i="20" s="1"/>
  <c r="AV281" i="20" s="1"/>
  <c r="AW281" i="20" s="1"/>
  <c r="AX281" i="20" s="1"/>
  <c r="AY281" i="20" s="1"/>
  <c r="AZ281" i="20" s="1"/>
  <c r="BA281" i="20" s="1"/>
  <c r="BB281" i="20" s="1"/>
  <c r="BC281" i="20" s="1"/>
  <c r="AI261" i="20"/>
  <c r="AH834" i="20"/>
  <c r="AH812" i="20"/>
  <c r="AH801" i="20"/>
  <c r="AN801" i="20" s="1"/>
  <c r="AH845" i="20"/>
  <c r="AH823" i="20"/>
  <c r="AH790" i="20"/>
  <c r="AH734" i="20"/>
  <c r="AH767" i="20"/>
  <c r="AH745" i="20"/>
  <c r="AH756" i="20"/>
  <c r="AH723" i="20"/>
  <c r="AH778" i="20"/>
  <c r="AH650" i="20"/>
  <c r="AH628" i="20"/>
  <c r="AH639" i="20"/>
  <c r="AH572" i="20"/>
  <c r="AO572" i="20" s="1"/>
  <c r="AP572" i="20" s="1"/>
  <c r="AQ572" i="20" s="1"/>
  <c r="AR572" i="20" s="1"/>
  <c r="AS572" i="20" s="1"/>
  <c r="AT572" i="20" s="1"/>
  <c r="AU572" i="20" s="1"/>
  <c r="AV572" i="20" s="1"/>
  <c r="AW572" i="20" s="1"/>
  <c r="AX572" i="20" s="1"/>
  <c r="AY572" i="20" s="1"/>
  <c r="AZ572" i="20" s="1"/>
  <c r="BA572" i="20" s="1"/>
  <c r="BB572" i="20" s="1"/>
  <c r="BC572" i="20" s="1"/>
  <c r="BD572" i="20" s="1"/>
  <c r="BE572" i="20" s="1"/>
  <c r="BF572" i="20" s="1"/>
  <c r="BG572" i="20" s="1"/>
  <c r="BH572" i="20" s="1"/>
  <c r="BI572" i="20" s="1"/>
  <c r="BJ572" i="20" s="1"/>
  <c r="BK572" i="20" s="1"/>
  <c r="BL572" i="20" s="1"/>
  <c r="BM572" i="20" s="1"/>
  <c r="BN572" i="20" s="1"/>
  <c r="AH528" i="20"/>
  <c r="AT528" i="20" s="1"/>
  <c r="AU528" i="20" s="1"/>
  <c r="AV528" i="20" s="1"/>
  <c r="AW528" i="20" s="1"/>
  <c r="AX528" i="20" s="1"/>
  <c r="AY528" i="20" s="1"/>
  <c r="AZ528" i="20" s="1"/>
  <c r="BA528" i="20" s="1"/>
  <c r="BB528" i="20" s="1"/>
  <c r="BC528" i="20" s="1"/>
  <c r="BD528" i="20" s="1"/>
  <c r="BE528" i="20" s="1"/>
  <c r="BF528" i="20" s="1"/>
  <c r="BG528" i="20" s="1"/>
  <c r="BH528" i="20" s="1"/>
  <c r="BI528" i="20" s="1"/>
  <c r="BJ528" i="20" s="1"/>
  <c r="BK528" i="20" s="1"/>
  <c r="BL528" i="20" s="1"/>
  <c r="BM528" i="20" s="1"/>
  <c r="BN528" i="20" s="1"/>
  <c r="AH661" i="20"/>
  <c r="AH561" i="20"/>
  <c r="AO561" i="20" s="1"/>
  <c r="AP561" i="20" s="1"/>
  <c r="AQ561" i="20" s="1"/>
  <c r="AR561" i="20" s="1"/>
  <c r="AS561" i="20" s="1"/>
  <c r="AT561" i="20" s="1"/>
  <c r="AU561" i="20" s="1"/>
  <c r="AV561" i="20" s="1"/>
  <c r="AW561" i="20" s="1"/>
  <c r="AX561" i="20" s="1"/>
  <c r="AY561" i="20" s="1"/>
  <c r="AZ561" i="20" s="1"/>
  <c r="BA561" i="20" s="1"/>
  <c r="BB561" i="20" s="1"/>
  <c r="BC561" i="20" s="1"/>
  <c r="BD561" i="20" s="1"/>
  <c r="BE561" i="20" s="1"/>
  <c r="BF561" i="20" s="1"/>
  <c r="BG561" i="20" s="1"/>
  <c r="BH561" i="20" s="1"/>
  <c r="BI561" i="20" s="1"/>
  <c r="BJ561" i="20" s="1"/>
  <c r="BK561" i="20" s="1"/>
  <c r="BL561" i="20" s="1"/>
  <c r="BM561" i="20" s="1"/>
  <c r="BN561" i="20" s="1"/>
  <c r="AH539" i="20"/>
  <c r="AO539" i="20" s="1"/>
  <c r="AP539" i="20" s="1"/>
  <c r="AQ539" i="20" s="1"/>
  <c r="AR539" i="20" s="1"/>
  <c r="AS539" i="20" s="1"/>
  <c r="AT539" i="20" s="1"/>
  <c r="AU539" i="20" s="1"/>
  <c r="AV539" i="20" s="1"/>
  <c r="AW539" i="20" s="1"/>
  <c r="AX539" i="20" s="1"/>
  <c r="AY539" i="20" s="1"/>
  <c r="AZ539" i="20" s="1"/>
  <c r="BA539" i="20" s="1"/>
  <c r="BB539" i="20" s="1"/>
  <c r="BC539" i="20" s="1"/>
  <c r="BD539" i="20" s="1"/>
  <c r="BE539" i="20" s="1"/>
  <c r="BF539" i="20" s="1"/>
  <c r="BG539" i="20" s="1"/>
  <c r="BH539" i="20" s="1"/>
  <c r="BI539" i="20" s="1"/>
  <c r="BJ539" i="20" s="1"/>
  <c r="BK539" i="20" s="1"/>
  <c r="BL539" i="20" s="1"/>
  <c r="BM539" i="20" s="1"/>
  <c r="BN539" i="20" s="1"/>
  <c r="AH672" i="20"/>
  <c r="AH617" i="20"/>
  <c r="AH517" i="20"/>
  <c r="AT517" i="20" s="1"/>
  <c r="AU517" i="20" s="1"/>
  <c r="AV517" i="20" s="1"/>
  <c r="AW517" i="20" s="1"/>
  <c r="AX517" i="20" s="1"/>
  <c r="AY517" i="20" s="1"/>
  <c r="AZ517" i="20" s="1"/>
  <c r="BA517" i="20" s="1"/>
  <c r="BB517" i="20" s="1"/>
  <c r="BC517" i="20" s="1"/>
  <c r="BD517" i="20" s="1"/>
  <c r="BE517" i="20" s="1"/>
  <c r="AH550" i="20"/>
  <c r="AO550" i="20" s="1"/>
  <c r="AP550" i="20" s="1"/>
  <c r="AQ550" i="20" s="1"/>
  <c r="AR550" i="20" s="1"/>
  <c r="AS550" i="20" s="1"/>
  <c r="AT550" i="20" s="1"/>
  <c r="AU550" i="20" s="1"/>
  <c r="AV550" i="20" s="1"/>
  <c r="AW550" i="20" s="1"/>
  <c r="AX550" i="20" s="1"/>
  <c r="AY550" i="20" s="1"/>
  <c r="AZ550" i="20" s="1"/>
  <c r="BA550" i="20" s="1"/>
  <c r="BB550" i="20" s="1"/>
  <c r="BC550" i="20" s="1"/>
  <c r="BD550" i="20" s="1"/>
  <c r="BE550" i="20" s="1"/>
  <c r="BF550" i="20" s="1"/>
  <c r="BG550" i="20" s="1"/>
  <c r="BH550" i="20" s="1"/>
  <c r="BI550" i="20" s="1"/>
  <c r="BJ550" i="20" s="1"/>
  <c r="BK550" i="20" s="1"/>
  <c r="BL550" i="20" s="1"/>
  <c r="BM550" i="20" s="1"/>
  <c r="BN550" i="20" s="1"/>
  <c r="AI446" i="20"/>
  <c r="AI426" i="20"/>
  <c r="AI456" i="20"/>
  <c r="AI436" i="20"/>
  <c r="AI466" i="20"/>
  <c r="AI416" i="20"/>
  <c r="AI349" i="20"/>
  <c r="AI329" i="20"/>
  <c r="AI309" i="20"/>
  <c r="AI339" i="20"/>
  <c r="AI319" i="20"/>
  <c r="AI299" i="20"/>
  <c r="AI396" i="20"/>
  <c r="AT396" i="20" s="1"/>
  <c r="AU396" i="20" s="1"/>
  <c r="AV396" i="20" s="1"/>
  <c r="AW396" i="20" s="1"/>
  <c r="AX396" i="20" s="1"/>
  <c r="AY396" i="20" s="1"/>
  <c r="AZ396" i="20" s="1"/>
  <c r="BA396" i="20" s="1"/>
  <c r="BB396" i="20" s="1"/>
  <c r="BC396" i="20" s="1"/>
  <c r="BD396" i="20" s="1"/>
  <c r="BE396" i="20" s="1"/>
  <c r="BF396" i="20" s="1"/>
  <c r="AI376" i="20"/>
  <c r="AT376" i="20" s="1"/>
  <c r="AU376" i="20" s="1"/>
  <c r="AV376" i="20" s="1"/>
  <c r="AW376" i="20" s="1"/>
  <c r="AX376" i="20" s="1"/>
  <c r="AY376" i="20" s="1"/>
  <c r="AZ376" i="20" s="1"/>
  <c r="BA376" i="20" s="1"/>
  <c r="BB376" i="20" s="1"/>
  <c r="BC376" i="20" s="1"/>
  <c r="BD376" i="20" s="1"/>
  <c r="BE376" i="20" s="1"/>
  <c r="BF376" i="20" s="1"/>
  <c r="AI277" i="20"/>
  <c r="AT277" i="20" s="1"/>
  <c r="AU277" i="20" s="1"/>
  <c r="AV277" i="20" s="1"/>
  <c r="AW277" i="20" s="1"/>
  <c r="AX277" i="20" s="1"/>
  <c r="AY277" i="20" s="1"/>
  <c r="AZ277" i="20" s="1"/>
  <c r="BA277" i="20" s="1"/>
  <c r="BB277" i="20" s="1"/>
  <c r="BC277" i="20" s="1"/>
  <c r="AI257" i="20"/>
  <c r="AI287" i="20"/>
  <c r="AY287" i="20" s="1"/>
  <c r="AZ287" i="20" s="1"/>
  <c r="BA287" i="20" s="1"/>
  <c r="BB287" i="20" s="1"/>
  <c r="BC287" i="20" s="1"/>
  <c r="AI267" i="20"/>
  <c r="AT267" i="20" s="1"/>
  <c r="AU267" i="20" s="1"/>
  <c r="AV267" i="20" s="1"/>
  <c r="AW267" i="20" s="1"/>
  <c r="AX267" i="20" s="1"/>
  <c r="AY267" i="20" s="1"/>
  <c r="AZ267" i="20" s="1"/>
  <c r="BA267" i="20" s="1"/>
  <c r="BB267" i="20" s="1"/>
  <c r="BC267" i="20" s="1"/>
  <c r="AI406" i="20"/>
  <c r="AT406" i="20" s="1"/>
  <c r="AU406" i="20" s="1"/>
  <c r="AV406" i="20" s="1"/>
  <c r="AW406" i="20" s="1"/>
  <c r="AX406" i="20" s="1"/>
  <c r="AY406" i="20" s="1"/>
  <c r="AZ406" i="20" s="1"/>
  <c r="BA406" i="20" s="1"/>
  <c r="BB406" i="20" s="1"/>
  <c r="BC406" i="20" s="1"/>
  <c r="BD406" i="20" s="1"/>
  <c r="BE406" i="20" s="1"/>
  <c r="BF406" i="20" s="1"/>
  <c r="AI386" i="20"/>
  <c r="AT386" i="20" s="1"/>
  <c r="AU386" i="20" s="1"/>
  <c r="AV386" i="20" s="1"/>
  <c r="AW386" i="20" s="1"/>
  <c r="AX386" i="20" s="1"/>
  <c r="AY386" i="20" s="1"/>
  <c r="AZ386" i="20" s="1"/>
  <c r="BA386" i="20" s="1"/>
  <c r="BB386" i="20" s="1"/>
  <c r="BC386" i="20" s="1"/>
  <c r="BD386" i="20" s="1"/>
  <c r="BE386" i="20" s="1"/>
  <c r="BF386" i="20" s="1"/>
  <c r="AJ468" i="20"/>
  <c r="AJ351" i="20"/>
  <c r="AJ464" i="20"/>
  <c r="AJ347" i="20"/>
  <c r="AI725" i="20"/>
  <c r="AJ458" i="20"/>
  <c r="AJ341" i="20"/>
  <c r="AI721" i="20"/>
  <c r="AJ454" i="20"/>
  <c r="AJ337" i="20"/>
  <c r="AJ448" i="20"/>
  <c r="AJ331" i="20"/>
  <c r="AJ444" i="20"/>
  <c r="AJ327" i="20"/>
  <c r="AJ438" i="20"/>
  <c r="AJ321" i="20"/>
  <c r="AJ434" i="20"/>
  <c r="AJ317" i="20"/>
  <c r="AI847" i="20"/>
  <c r="AI674" i="20"/>
  <c r="AI663" i="20"/>
  <c r="AI652" i="20"/>
  <c r="AI641" i="20"/>
  <c r="AI630" i="20"/>
  <c r="AI619" i="20"/>
  <c r="AJ428" i="20"/>
  <c r="AJ311" i="20"/>
  <c r="AI843" i="20"/>
  <c r="AI670" i="20"/>
  <c r="AI659" i="20"/>
  <c r="AI648" i="20"/>
  <c r="AI637" i="20"/>
  <c r="AI626" i="20"/>
  <c r="AI615" i="20"/>
  <c r="AJ424" i="20"/>
  <c r="AJ307" i="20"/>
  <c r="AI836" i="20"/>
  <c r="AJ418" i="20"/>
  <c r="AJ301" i="20"/>
  <c r="AI832" i="20"/>
  <c r="AJ414" i="20"/>
  <c r="AJ297" i="20"/>
  <c r="AI825" i="20"/>
  <c r="AI814" i="20"/>
  <c r="AI810" i="20"/>
  <c r="AI792" i="20"/>
  <c r="AI769" i="20"/>
  <c r="AI758" i="20"/>
  <c r="AI747" i="20"/>
  <c r="AI780" i="20"/>
  <c r="AI736" i="20"/>
  <c r="AI788" i="20"/>
  <c r="AI765" i="20"/>
  <c r="AI754" i="20"/>
  <c r="AI776" i="20"/>
  <c r="AI743" i="20"/>
  <c r="AI732" i="20"/>
  <c r="AH793" i="20"/>
  <c r="AH848" i="20"/>
  <c r="AH826" i="20"/>
  <c r="AM826" i="20" s="1"/>
  <c r="AH804" i="20"/>
  <c r="AN804" i="20" s="1"/>
  <c r="AH837" i="20"/>
  <c r="AH815" i="20"/>
  <c r="AH781" i="20"/>
  <c r="AH759" i="20"/>
  <c r="AH737" i="20"/>
  <c r="AH726" i="20"/>
  <c r="AH748" i="20"/>
  <c r="AH770" i="20"/>
  <c r="AH575" i="20"/>
  <c r="AO575" i="20" s="1"/>
  <c r="AP575" i="20" s="1"/>
  <c r="AQ575" i="20" s="1"/>
  <c r="AR575" i="20" s="1"/>
  <c r="AS575" i="20" s="1"/>
  <c r="AT575" i="20" s="1"/>
  <c r="AU575" i="20" s="1"/>
  <c r="AV575" i="20" s="1"/>
  <c r="AW575" i="20" s="1"/>
  <c r="AX575" i="20" s="1"/>
  <c r="AY575" i="20" s="1"/>
  <c r="AZ575" i="20" s="1"/>
  <c r="BA575" i="20" s="1"/>
  <c r="BB575" i="20" s="1"/>
  <c r="BC575" i="20" s="1"/>
  <c r="BD575" i="20" s="1"/>
  <c r="BE575" i="20" s="1"/>
  <c r="BF575" i="20" s="1"/>
  <c r="BG575" i="20" s="1"/>
  <c r="BH575" i="20" s="1"/>
  <c r="BI575" i="20" s="1"/>
  <c r="BJ575" i="20" s="1"/>
  <c r="BK575" i="20" s="1"/>
  <c r="BL575" i="20" s="1"/>
  <c r="BM575" i="20" s="1"/>
  <c r="BN575" i="20" s="1"/>
  <c r="AH553" i="20"/>
  <c r="AO553" i="20" s="1"/>
  <c r="AP553" i="20" s="1"/>
  <c r="AQ553" i="20" s="1"/>
  <c r="AR553" i="20" s="1"/>
  <c r="AS553" i="20" s="1"/>
  <c r="AT553" i="20" s="1"/>
  <c r="AU553" i="20" s="1"/>
  <c r="AV553" i="20" s="1"/>
  <c r="AW553" i="20" s="1"/>
  <c r="AX553" i="20" s="1"/>
  <c r="AY553" i="20" s="1"/>
  <c r="AZ553" i="20" s="1"/>
  <c r="BA553" i="20" s="1"/>
  <c r="BB553" i="20" s="1"/>
  <c r="BC553" i="20" s="1"/>
  <c r="BD553" i="20" s="1"/>
  <c r="BE553" i="20" s="1"/>
  <c r="BF553" i="20" s="1"/>
  <c r="BG553" i="20" s="1"/>
  <c r="BH553" i="20" s="1"/>
  <c r="BI553" i="20" s="1"/>
  <c r="BJ553" i="20" s="1"/>
  <c r="BK553" i="20" s="1"/>
  <c r="BL553" i="20" s="1"/>
  <c r="BM553" i="20" s="1"/>
  <c r="BN553" i="20" s="1"/>
  <c r="AH531" i="20"/>
  <c r="AT531" i="20" s="1"/>
  <c r="AU531" i="20" s="1"/>
  <c r="AV531" i="20" s="1"/>
  <c r="AW531" i="20" s="1"/>
  <c r="AX531" i="20" s="1"/>
  <c r="AY531" i="20" s="1"/>
  <c r="AZ531" i="20" s="1"/>
  <c r="BA531" i="20" s="1"/>
  <c r="BB531" i="20" s="1"/>
  <c r="BC531" i="20" s="1"/>
  <c r="BD531" i="20" s="1"/>
  <c r="BE531" i="20" s="1"/>
  <c r="BF531" i="20" s="1"/>
  <c r="BG531" i="20" s="1"/>
  <c r="BH531" i="20" s="1"/>
  <c r="BI531" i="20" s="1"/>
  <c r="BJ531" i="20" s="1"/>
  <c r="BK531" i="20" s="1"/>
  <c r="BL531" i="20" s="1"/>
  <c r="BM531" i="20" s="1"/>
  <c r="BN531" i="20" s="1"/>
  <c r="AH664" i="20"/>
  <c r="AH675" i="20"/>
  <c r="AH620" i="20"/>
  <c r="AH653" i="20"/>
  <c r="AH631" i="20"/>
  <c r="AM631" i="20" s="1"/>
  <c r="AH564" i="20"/>
  <c r="AO564" i="20" s="1"/>
  <c r="AP564" i="20" s="1"/>
  <c r="AQ564" i="20" s="1"/>
  <c r="AR564" i="20" s="1"/>
  <c r="AS564" i="20" s="1"/>
  <c r="AT564" i="20" s="1"/>
  <c r="AU564" i="20" s="1"/>
  <c r="AV564" i="20" s="1"/>
  <c r="AW564" i="20" s="1"/>
  <c r="AX564" i="20" s="1"/>
  <c r="AY564" i="20" s="1"/>
  <c r="AZ564" i="20" s="1"/>
  <c r="BA564" i="20" s="1"/>
  <c r="BB564" i="20" s="1"/>
  <c r="BC564" i="20" s="1"/>
  <c r="BD564" i="20" s="1"/>
  <c r="BE564" i="20" s="1"/>
  <c r="BF564" i="20" s="1"/>
  <c r="BG564" i="20" s="1"/>
  <c r="BH564" i="20" s="1"/>
  <c r="BI564" i="20" s="1"/>
  <c r="BJ564" i="20" s="1"/>
  <c r="BK564" i="20" s="1"/>
  <c r="BL564" i="20" s="1"/>
  <c r="BM564" i="20" s="1"/>
  <c r="BN564" i="20" s="1"/>
  <c r="AH542" i="20"/>
  <c r="AO542" i="20" s="1"/>
  <c r="AP542" i="20" s="1"/>
  <c r="AQ542" i="20" s="1"/>
  <c r="AR542" i="20" s="1"/>
  <c r="AS542" i="20" s="1"/>
  <c r="AT542" i="20" s="1"/>
  <c r="AU542" i="20" s="1"/>
  <c r="AV542" i="20" s="1"/>
  <c r="AW542" i="20" s="1"/>
  <c r="AX542" i="20" s="1"/>
  <c r="AY542" i="20" s="1"/>
  <c r="AZ542" i="20" s="1"/>
  <c r="BA542" i="20" s="1"/>
  <c r="BB542" i="20" s="1"/>
  <c r="BC542" i="20" s="1"/>
  <c r="BD542" i="20" s="1"/>
  <c r="BE542" i="20" s="1"/>
  <c r="BF542" i="20" s="1"/>
  <c r="BG542" i="20" s="1"/>
  <c r="BH542" i="20" s="1"/>
  <c r="BI542" i="20" s="1"/>
  <c r="BJ542" i="20" s="1"/>
  <c r="BK542" i="20" s="1"/>
  <c r="BL542" i="20" s="1"/>
  <c r="BM542" i="20" s="1"/>
  <c r="BN542" i="20" s="1"/>
  <c r="AH642" i="20"/>
  <c r="AM642" i="20" s="1"/>
  <c r="AN642" i="20" s="1"/>
  <c r="AO642" i="20" s="1"/>
  <c r="AP642" i="20" s="1"/>
  <c r="AQ642" i="20" s="1"/>
  <c r="AR642" i="20" s="1"/>
  <c r="AS642" i="20" s="1"/>
  <c r="AT642" i="20" s="1"/>
  <c r="AU642" i="20" s="1"/>
  <c r="AV642" i="20" s="1"/>
  <c r="AW642" i="20" s="1"/>
  <c r="AX642" i="20" s="1"/>
  <c r="AY642" i="20" s="1"/>
  <c r="AZ642" i="20" s="1"/>
  <c r="BA642" i="20" s="1"/>
  <c r="BB642" i="20" s="1"/>
  <c r="BC642" i="20" s="1"/>
  <c r="BD642" i="20" s="1"/>
  <c r="BE642" i="20" s="1"/>
  <c r="BF642" i="20" s="1"/>
  <c r="BG642" i="20" s="1"/>
  <c r="BH642" i="20" s="1"/>
  <c r="BI642" i="20" s="1"/>
  <c r="BJ642" i="20" s="1"/>
  <c r="AH520" i="20"/>
  <c r="AT520" i="20" s="1"/>
  <c r="AU520" i="20" s="1"/>
  <c r="AV520" i="20" s="1"/>
  <c r="AW520" i="20" s="1"/>
  <c r="AX520" i="20" s="1"/>
  <c r="AY520" i="20" s="1"/>
  <c r="AZ520" i="20" s="1"/>
  <c r="BA520" i="20" s="1"/>
  <c r="BB520" i="20" s="1"/>
  <c r="BC520" i="20" s="1"/>
  <c r="BD520" i="20" s="1"/>
  <c r="BE520" i="20" s="1"/>
  <c r="AI459" i="20"/>
  <c r="AI439" i="20"/>
  <c r="AI419" i="20"/>
  <c r="AI469" i="20"/>
  <c r="AI449" i="20"/>
  <c r="AI429" i="20"/>
  <c r="AI352" i="20"/>
  <c r="AI332" i="20"/>
  <c r="AT332" i="20" s="1"/>
  <c r="AU332" i="20" s="1"/>
  <c r="AV332" i="20" s="1"/>
  <c r="AW332" i="20" s="1"/>
  <c r="AX332" i="20" s="1"/>
  <c r="AY332" i="20" s="1"/>
  <c r="AZ332" i="20" s="1"/>
  <c r="BA332" i="20" s="1"/>
  <c r="BB332" i="20" s="1"/>
  <c r="BC332" i="20" s="1"/>
  <c r="BD332" i="20" s="1"/>
  <c r="BE332" i="20" s="1"/>
  <c r="BF332" i="20" s="1"/>
  <c r="BG332" i="20" s="1"/>
  <c r="BH332" i="20" s="1"/>
  <c r="BI332" i="20" s="1"/>
  <c r="BJ332" i="20" s="1"/>
  <c r="BK332" i="20" s="1"/>
  <c r="BL332" i="20" s="1"/>
  <c r="BM332" i="20" s="1"/>
  <c r="BN332" i="20" s="1"/>
  <c r="AI312" i="20"/>
  <c r="AI342" i="20"/>
  <c r="AI322" i="20"/>
  <c r="AI302" i="20"/>
  <c r="AI409" i="20"/>
  <c r="AT409" i="20" s="1"/>
  <c r="AU409" i="20" s="1"/>
  <c r="AV409" i="20" s="1"/>
  <c r="AW409" i="20" s="1"/>
  <c r="AX409" i="20" s="1"/>
  <c r="AY409" i="20" s="1"/>
  <c r="AZ409" i="20" s="1"/>
  <c r="BA409" i="20" s="1"/>
  <c r="BB409" i="20" s="1"/>
  <c r="BC409" i="20" s="1"/>
  <c r="BD409" i="20" s="1"/>
  <c r="BE409" i="20" s="1"/>
  <c r="BF409" i="20" s="1"/>
  <c r="AI389" i="20"/>
  <c r="AT389" i="20" s="1"/>
  <c r="AU389" i="20" s="1"/>
  <c r="AV389" i="20" s="1"/>
  <c r="AW389" i="20" s="1"/>
  <c r="AX389" i="20" s="1"/>
  <c r="AY389" i="20" s="1"/>
  <c r="AZ389" i="20" s="1"/>
  <c r="BA389" i="20" s="1"/>
  <c r="BB389" i="20" s="1"/>
  <c r="BC389" i="20" s="1"/>
  <c r="BD389" i="20" s="1"/>
  <c r="BE389" i="20" s="1"/>
  <c r="BF389" i="20" s="1"/>
  <c r="AI280" i="20"/>
  <c r="AT280" i="20" s="1"/>
  <c r="AU280" i="20" s="1"/>
  <c r="AV280" i="20" s="1"/>
  <c r="AW280" i="20" s="1"/>
  <c r="AX280" i="20" s="1"/>
  <c r="AY280" i="20" s="1"/>
  <c r="AZ280" i="20" s="1"/>
  <c r="BA280" i="20" s="1"/>
  <c r="BB280" i="20" s="1"/>
  <c r="BC280" i="20" s="1"/>
  <c r="AI260" i="20"/>
  <c r="AI270" i="20"/>
  <c r="AT270" i="20" s="1"/>
  <c r="AU270" i="20" s="1"/>
  <c r="AV270" i="20" s="1"/>
  <c r="AW270" i="20" s="1"/>
  <c r="AX270" i="20" s="1"/>
  <c r="AY270" i="20" s="1"/>
  <c r="AZ270" i="20" s="1"/>
  <c r="BA270" i="20" s="1"/>
  <c r="BB270" i="20" s="1"/>
  <c r="BC270" i="20" s="1"/>
  <c r="AI399" i="20"/>
  <c r="AT399" i="20" s="1"/>
  <c r="AU399" i="20" s="1"/>
  <c r="AV399" i="20" s="1"/>
  <c r="AW399" i="20" s="1"/>
  <c r="AX399" i="20" s="1"/>
  <c r="AY399" i="20" s="1"/>
  <c r="AZ399" i="20" s="1"/>
  <c r="BA399" i="20" s="1"/>
  <c r="BB399" i="20" s="1"/>
  <c r="BC399" i="20" s="1"/>
  <c r="BD399" i="20" s="1"/>
  <c r="BE399" i="20" s="1"/>
  <c r="BF399" i="20" s="1"/>
  <c r="AI379" i="20"/>
  <c r="AT379" i="20" s="1"/>
  <c r="AU379" i="20" s="1"/>
  <c r="AV379" i="20" s="1"/>
  <c r="AW379" i="20" s="1"/>
  <c r="AX379" i="20" s="1"/>
  <c r="AY379" i="20" s="1"/>
  <c r="AZ379" i="20" s="1"/>
  <c r="BA379" i="20" s="1"/>
  <c r="BB379" i="20" s="1"/>
  <c r="BC379" i="20" s="1"/>
  <c r="BD379" i="20" s="1"/>
  <c r="BE379" i="20" s="1"/>
  <c r="BF379" i="20" s="1"/>
  <c r="AI290" i="20"/>
  <c r="AY290" i="20" s="1"/>
  <c r="AZ290" i="20" s="1"/>
  <c r="BA290" i="20" s="1"/>
  <c r="BB290" i="20" s="1"/>
  <c r="BC290" i="20" s="1"/>
  <c r="AH789" i="20"/>
  <c r="AH844" i="20"/>
  <c r="AH822" i="20"/>
  <c r="AH800" i="20"/>
  <c r="AN800" i="20" s="1"/>
  <c r="AO800" i="20" s="1"/>
  <c r="AP800" i="20" s="1"/>
  <c r="AQ800" i="20" s="1"/>
  <c r="AR800" i="20" s="1"/>
  <c r="AS800" i="20" s="1"/>
  <c r="AT800" i="20" s="1"/>
  <c r="AU800" i="20" s="1"/>
  <c r="AV800" i="20" s="1"/>
  <c r="AW800" i="20" s="1"/>
  <c r="AX800" i="20" s="1"/>
  <c r="AY800" i="20" s="1"/>
  <c r="AZ800" i="20" s="1"/>
  <c r="BA800" i="20" s="1"/>
  <c r="BB800" i="20" s="1"/>
  <c r="BC800" i="20" s="1"/>
  <c r="BD800" i="20" s="1"/>
  <c r="BE800" i="20" s="1"/>
  <c r="BF800" i="20" s="1"/>
  <c r="BG800" i="20" s="1"/>
  <c r="BH800" i="20" s="1"/>
  <c r="BI800" i="20" s="1"/>
  <c r="BJ800" i="20" s="1"/>
  <c r="BK800" i="20" s="1"/>
  <c r="BL800" i="20" s="1"/>
  <c r="BM800" i="20" s="1"/>
  <c r="BN800" i="20" s="1"/>
  <c r="AH833" i="20"/>
  <c r="AH811" i="20"/>
  <c r="AM811" i="20" s="1"/>
  <c r="AN811" i="20" s="1"/>
  <c r="AO811" i="20" s="1"/>
  <c r="AP811" i="20" s="1"/>
  <c r="AQ811" i="20" s="1"/>
  <c r="AR811" i="20" s="1"/>
  <c r="AS811" i="20" s="1"/>
  <c r="AT811" i="20" s="1"/>
  <c r="AU811" i="20" s="1"/>
  <c r="AV811" i="20" s="1"/>
  <c r="AW811" i="20" s="1"/>
  <c r="AX811" i="20" s="1"/>
  <c r="AY811" i="20" s="1"/>
  <c r="AZ811" i="20" s="1"/>
  <c r="BA811" i="20" s="1"/>
  <c r="BB811" i="20" s="1"/>
  <c r="BC811" i="20" s="1"/>
  <c r="BD811" i="20" s="1"/>
  <c r="BE811" i="20" s="1"/>
  <c r="BF811" i="20" s="1"/>
  <c r="BG811" i="20" s="1"/>
  <c r="BH811" i="20" s="1"/>
  <c r="BI811" i="20" s="1"/>
  <c r="BJ811" i="20" s="1"/>
  <c r="BK811" i="20" s="1"/>
  <c r="BL811" i="20" s="1"/>
  <c r="BM811" i="20" s="1"/>
  <c r="BN811" i="20" s="1"/>
  <c r="AH777" i="20"/>
  <c r="AH755" i="20"/>
  <c r="AH733" i="20"/>
  <c r="AN733" i="20" s="1"/>
  <c r="AO733" i="20" s="1"/>
  <c r="AP733" i="20" s="1"/>
  <c r="AQ733" i="20" s="1"/>
  <c r="AR733" i="20" s="1"/>
  <c r="AS733" i="20" s="1"/>
  <c r="AT733" i="20" s="1"/>
  <c r="AU733" i="20" s="1"/>
  <c r="AV733" i="20" s="1"/>
  <c r="AW733" i="20" s="1"/>
  <c r="AX733" i="20" s="1"/>
  <c r="AY733" i="20" s="1"/>
  <c r="AZ733" i="20" s="1"/>
  <c r="BA733" i="20" s="1"/>
  <c r="BB733" i="20" s="1"/>
  <c r="BC733" i="20" s="1"/>
  <c r="BD733" i="20" s="1"/>
  <c r="BE733" i="20" s="1"/>
  <c r="BF733" i="20" s="1"/>
  <c r="BG733" i="20" s="1"/>
  <c r="BH733" i="20" s="1"/>
  <c r="BI733" i="20" s="1"/>
  <c r="BJ733" i="20" s="1"/>
  <c r="BK733" i="20" s="1"/>
  <c r="BL733" i="20" s="1"/>
  <c r="BM733" i="20" s="1"/>
  <c r="BN733" i="20" s="1"/>
  <c r="AH766" i="20"/>
  <c r="AM766" i="20" s="1"/>
  <c r="AN766" i="20" s="1"/>
  <c r="AO766" i="20" s="1"/>
  <c r="AP766" i="20" s="1"/>
  <c r="AQ766" i="20" s="1"/>
  <c r="AR766" i="20" s="1"/>
  <c r="AS766" i="20" s="1"/>
  <c r="AT766" i="20" s="1"/>
  <c r="AU766" i="20" s="1"/>
  <c r="AV766" i="20" s="1"/>
  <c r="AW766" i="20" s="1"/>
  <c r="AX766" i="20" s="1"/>
  <c r="AY766" i="20" s="1"/>
  <c r="AZ766" i="20" s="1"/>
  <c r="BA766" i="20" s="1"/>
  <c r="BB766" i="20" s="1"/>
  <c r="BC766" i="20" s="1"/>
  <c r="BD766" i="20" s="1"/>
  <c r="BE766" i="20" s="1"/>
  <c r="BF766" i="20" s="1"/>
  <c r="BG766" i="20" s="1"/>
  <c r="BH766" i="20" s="1"/>
  <c r="BI766" i="20" s="1"/>
  <c r="BJ766" i="20" s="1"/>
  <c r="BK766" i="20" s="1"/>
  <c r="BL766" i="20" s="1"/>
  <c r="BM766" i="20" s="1"/>
  <c r="BN766" i="20" s="1"/>
  <c r="AH722" i="20"/>
  <c r="AH744" i="20"/>
  <c r="AH571" i="20"/>
  <c r="AO571" i="20" s="1"/>
  <c r="AP571" i="20" s="1"/>
  <c r="AQ571" i="20" s="1"/>
  <c r="AR571" i="20" s="1"/>
  <c r="AS571" i="20" s="1"/>
  <c r="AT571" i="20" s="1"/>
  <c r="AU571" i="20" s="1"/>
  <c r="AV571" i="20" s="1"/>
  <c r="AW571" i="20" s="1"/>
  <c r="AX571" i="20" s="1"/>
  <c r="AY571" i="20" s="1"/>
  <c r="AZ571" i="20" s="1"/>
  <c r="BA571" i="20" s="1"/>
  <c r="BB571" i="20" s="1"/>
  <c r="BC571" i="20" s="1"/>
  <c r="BD571" i="20" s="1"/>
  <c r="BE571" i="20" s="1"/>
  <c r="BF571" i="20" s="1"/>
  <c r="BG571" i="20" s="1"/>
  <c r="BH571" i="20" s="1"/>
  <c r="BI571" i="20" s="1"/>
  <c r="BJ571" i="20" s="1"/>
  <c r="BK571" i="20" s="1"/>
  <c r="BL571" i="20" s="1"/>
  <c r="BM571" i="20" s="1"/>
  <c r="BN571" i="20" s="1"/>
  <c r="AH549" i="20"/>
  <c r="AO549" i="20" s="1"/>
  <c r="AP549" i="20" s="1"/>
  <c r="AQ549" i="20" s="1"/>
  <c r="AR549" i="20" s="1"/>
  <c r="AS549" i="20" s="1"/>
  <c r="AT549" i="20" s="1"/>
  <c r="AU549" i="20" s="1"/>
  <c r="AV549" i="20" s="1"/>
  <c r="AW549" i="20" s="1"/>
  <c r="AX549" i="20" s="1"/>
  <c r="AY549" i="20" s="1"/>
  <c r="AZ549" i="20" s="1"/>
  <c r="BA549" i="20" s="1"/>
  <c r="BB549" i="20" s="1"/>
  <c r="BC549" i="20" s="1"/>
  <c r="BD549" i="20" s="1"/>
  <c r="BE549" i="20" s="1"/>
  <c r="BF549" i="20" s="1"/>
  <c r="BG549" i="20" s="1"/>
  <c r="BH549" i="20" s="1"/>
  <c r="BI549" i="20" s="1"/>
  <c r="BJ549" i="20" s="1"/>
  <c r="BK549" i="20" s="1"/>
  <c r="BL549" i="20" s="1"/>
  <c r="BM549" i="20" s="1"/>
  <c r="BN549" i="20" s="1"/>
  <c r="AH527" i="20"/>
  <c r="AT527" i="20" s="1"/>
  <c r="AU527" i="20" s="1"/>
  <c r="AV527" i="20" s="1"/>
  <c r="AW527" i="20" s="1"/>
  <c r="AX527" i="20" s="1"/>
  <c r="AY527" i="20" s="1"/>
  <c r="AZ527" i="20" s="1"/>
  <c r="BA527" i="20" s="1"/>
  <c r="BB527" i="20" s="1"/>
  <c r="BC527" i="20" s="1"/>
  <c r="BD527" i="20" s="1"/>
  <c r="BE527" i="20" s="1"/>
  <c r="BF527" i="20" s="1"/>
  <c r="BG527" i="20" s="1"/>
  <c r="BH527" i="20" s="1"/>
  <c r="BI527" i="20" s="1"/>
  <c r="BJ527" i="20" s="1"/>
  <c r="BK527" i="20" s="1"/>
  <c r="BL527" i="20" s="1"/>
  <c r="BM527" i="20" s="1"/>
  <c r="BN527" i="20" s="1"/>
  <c r="AH560" i="20"/>
  <c r="AO560" i="20" s="1"/>
  <c r="AP560" i="20" s="1"/>
  <c r="AQ560" i="20" s="1"/>
  <c r="AR560" i="20" s="1"/>
  <c r="AS560" i="20" s="1"/>
  <c r="AT560" i="20" s="1"/>
  <c r="AU560" i="20" s="1"/>
  <c r="AV560" i="20" s="1"/>
  <c r="AW560" i="20" s="1"/>
  <c r="AX560" i="20" s="1"/>
  <c r="AY560" i="20" s="1"/>
  <c r="AZ560" i="20" s="1"/>
  <c r="BA560" i="20" s="1"/>
  <c r="BB560" i="20" s="1"/>
  <c r="BC560" i="20" s="1"/>
  <c r="BD560" i="20" s="1"/>
  <c r="BE560" i="20" s="1"/>
  <c r="BF560" i="20" s="1"/>
  <c r="BG560" i="20" s="1"/>
  <c r="BH560" i="20" s="1"/>
  <c r="BI560" i="20" s="1"/>
  <c r="BJ560" i="20" s="1"/>
  <c r="BK560" i="20" s="1"/>
  <c r="BL560" i="20" s="1"/>
  <c r="BM560" i="20" s="1"/>
  <c r="BN560" i="20" s="1"/>
  <c r="AH538" i="20"/>
  <c r="AO538" i="20" s="1"/>
  <c r="AP538" i="20" s="1"/>
  <c r="AQ538" i="20" s="1"/>
  <c r="AR538" i="20" s="1"/>
  <c r="AS538" i="20" s="1"/>
  <c r="AT538" i="20" s="1"/>
  <c r="AU538" i="20" s="1"/>
  <c r="AV538" i="20" s="1"/>
  <c r="AW538" i="20" s="1"/>
  <c r="AX538" i="20" s="1"/>
  <c r="AY538" i="20" s="1"/>
  <c r="AZ538" i="20" s="1"/>
  <c r="BA538" i="20" s="1"/>
  <c r="BB538" i="20" s="1"/>
  <c r="BC538" i="20" s="1"/>
  <c r="BD538" i="20" s="1"/>
  <c r="BE538" i="20" s="1"/>
  <c r="BF538" i="20" s="1"/>
  <c r="BG538" i="20" s="1"/>
  <c r="BH538" i="20" s="1"/>
  <c r="BI538" i="20" s="1"/>
  <c r="BJ538" i="20" s="1"/>
  <c r="BK538" i="20" s="1"/>
  <c r="BL538" i="20" s="1"/>
  <c r="BM538" i="20" s="1"/>
  <c r="BN538" i="20" s="1"/>
  <c r="AH671" i="20"/>
  <c r="AH638" i="20"/>
  <c r="AH516" i="20"/>
  <c r="AT516" i="20" s="1"/>
  <c r="AU516" i="20" s="1"/>
  <c r="AV516" i="20" s="1"/>
  <c r="AW516" i="20" s="1"/>
  <c r="AX516" i="20" s="1"/>
  <c r="AY516" i="20" s="1"/>
  <c r="AZ516" i="20" s="1"/>
  <c r="BA516" i="20" s="1"/>
  <c r="BB516" i="20" s="1"/>
  <c r="BC516" i="20" s="1"/>
  <c r="BD516" i="20" s="1"/>
  <c r="BE516" i="20" s="1"/>
  <c r="AH649" i="20"/>
  <c r="AH627" i="20"/>
  <c r="AH660" i="20"/>
  <c r="AH616" i="20"/>
  <c r="AI455" i="20"/>
  <c r="AI435" i="20"/>
  <c r="AI415" i="20"/>
  <c r="AI465" i="20"/>
  <c r="AI445" i="20"/>
  <c r="AT445" i="20" s="1"/>
  <c r="AU445" i="20" s="1"/>
  <c r="AV445" i="20" s="1"/>
  <c r="AW445" i="20" s="1"/>
  <c r="AX445" i="20" s="1"/>
  <c r="AY445" i="20" s="1"/>
  <c r="AZ445" i="20" s="1"/>
  <c r="BA445" i="20" s="1"/>
  <c r="BB445" i="20" s="1"/>
  <c r="BC445" i="20" s="1"/>
  <c r="BD445" i="20" s="1"/>
  <c r="BE445" i="20" s="1"/>
  <c r="BF445" i="20" s="1"/>
  <c r="AI425" i="20"/>
  <c r="AI348" i="20"/>
  <c r="AI328" i="20"/>
  <c r="AI308" i="20"/>
  <c r="AI338" i="20"/>
  <c r="AI318" i="20"/>
  <c r="AI298" i="20"/>
  <c r="AI405" i="20"/>
  <c r="AT405" i="20" s="1"/>
  <c r="AU405" i="20" s="1"/>
  <c r="AV405" i="20" s="1"/>
  <c r="AW405" i="20" s="1"/>
  <c r="AX405" i="20" s="1"/>
  <c r="AY405" i="20" s="1"/>
  <c r="AZ405" i="20" s="1"/>
  <c r="BA405" i="20" s="1"/>
  <c r="BB405" i="20" s="1"/>
  <c r="BC405" i="20" s="1"/>
  <c r="BD405" i="20" s="1"/>
  <c r="BE405" i="20" s="1"/>
  <c r="BF405" i="20" s="1"/>
  <c r="AI385" i="20"/>
  <c r="AT385" i="20" s="1"/>
  <c r="AU385" i="20" s="1"/>
  <c r="AV385" i="20" s="1"/>
  <c r="AW385" i="20" s="1"/>
  <c r="AX385" i="20" s="1"/>
  <c r="AY385" i="20" s="1"/>
  <c r="AZ385" i="20" s="1"/>
  <c r="BA385" i="20" s="1"/>
  <c r="BB385" i="20" s="1"/>
  <c r="BC385" i="20" s="1"/>
  <c r="BD385" i="20" s="1"/>
  <c r="BE385" i="20" s="1"/>
  <c r="BF385" i="20" s="1"/>
  <c r="AI276" i="20"/>
  <c r="AT276" i="20" s="1"/>
  <c r="AU276" i="20" s="1"/>
  <c r="AV276" i="20" s="1"/>
  <c r="AW276" i="20" s="1"/>
  <c r="AX276" i="20" s="1"/>
  <c r="AY276" i="20" s="1"/>
  <c r="AZ276" i="20" s="1"/>
  <c r="BA276" i="20" s="1"/>
  <c r="BB276" i="20" s="1"/>
  <c r="BC276" i="20" s="1"/>
  <c r="AI256" i="20"/>
  <c r="AI395" i="20"/>
  <c r="AT395" i="20" s="1"/>
  <c r="AU395" i="20" s="1"/>
  <c r="AV395" i="20" s="1"/>
  <c r="AW395" i="20" s="1"/>
  <c r="AX395" i="20" s="1"/>
  <c r="AY395" i="20" s="1"/>
  <c r="AZ395" i="20" s="1"/>
  <c r="BA395" i="20" s="1"/>
  <c r="BB395" i="20" s="1"/>
  <c r="BC395" i="20" s="1"/>
  <c r="BD395" i="20" s="1"/>
  <c r="BE395" i="20" s="1"/>
  <c r="BF395" i="20" s="1"/>
  <c r="AI375" i="20"/>
  <c r="AT375" i="20" s="1"/>
  <c r="AU375" i="20" s="1"/>
  <c r="AV375" i="20" s="1"/>
  <c r="AW375" i="20" s="1"/>
  <c r="AX375" i="20" s="1"/>
  <c r="AY375" i="20" s="1"/>
  <c r="AZ375" i="20" s="1"/>
  <c r="BA375" i="20" s="1"/>
  <c r="BB375" i="20" s="1"/>
  <c r="BC375" i="20" s="1"/>
  <c r="BD375" i="20" s="1"/>
  <c r="BE375" i="20" s="1"/>
  <c r="BF375" i="20" s="1"/>
  <c r="AI286" i="20"/>
  <c r="AY286" i="20" s="1"/>
  <c r="AZ286" i="20" s="1"/>
  <c r="BA286" i="20" s="1"/>
  <c r="BB286" i="20" s="1"/>
  <c r="BC286" i="20" s="1"/>
  <c r="AI266" i="20"/>
  <c r="AT266" i="20" s="1"/>
  <c r="AU266" i="20" s="1"/>
  <c r="AV266" i="20" s="1"/>
  <c r="AW266" i="20" s="1"/>
  <c r="AX266" i="20" s="1"/>
  <c r="AY266" i="20" s="1"/>
  <c r="AZ266" i="20" s="1"/>
  <c r="BA266" i="20" s="1"/>
  <c r="BB266" i="20" s="1"/>
  <c r="BC266" i="20" s="1"/>
  <c r="AI795" i="20"/>
  <c r="AI783" i="20"/>
  <c r="AM783" i="20" s="1"/>
  <c r="AN783" i="20" s="1"/>
  <c r="AO783" i="20" s="1"/>
  <c r="AP783" i="20" s="1"/>
  <c r="AQ783" i="20" s="1"/>
  <c r="AR783" i="20" s="1"/>
  <c r="AS783" i="20" s="1"/>
  <c r="AT783" i="20" s="1"/>
  <c r="AU783" i="20" s="1"/>
  <c r="AV783" i="20" s="1"/>
  <c r="AW783" i="20" s="1"/>
  <c r="AX783" i="20" s="1"/>
  <c r="AY783" i="20" s="1"/>
  <c r="AZ783" i="20" s="1"/>
  <c r="BA783" i="20" s="1"/>
  <c r="BB783" i="20" s="1"/>
  <c r="BC783" i="20" s="1"/>
  <c r="BD783" i="20" s="1"/>
  <c r="BE783" i="20" s="1"/>
  <c r="BF783" i="20" s="1"/>
  <c r="BG783" i="20" s="1"/>
  <c r="BH783" i="20" s="1"/>
  <c r="BI783" i="20" s="1"/>
  <c r="BJ783" i="20" s="1"/>
  <c r="BK783" i="20" s="1"/>
  <c r="BL783" i="20" s="1"/>
  <c r="BM783" i="20" s="1"/>
  <c r="BN783" i="20" s="1"/>
  <c r="AI739" i="20"/>
  <c r="AN739" i="20" s="1"/>
  <c r="AO739" i="20" s="1"/>
  <c r="AP739" i="20" s="1"/>
  <c r="AQ739" i="20" s="1"/>
  <c r="AR739" i="20" s="1"/>
  <c r="AS739" i="20" s="1"/>
  <c r="AT739" i="20" s="1"/>
  <c r="AU739" i="20" s="1"/>
  <c r="AV739" i="20" s="1"/>
  <c r="AW739" i="20" s="1"/>
  <c r="AX739" i="20" s="1"/>
  <c r="AY739" i="20" s="1"/>
  <c r="AZ739" i="20" s="1"/>
  <c r="BA739" i="20" s="1"/>
  <c r="BB739" i="20" s="1"/>
  <c r="BC739" i="20" s="1"/>
  <c r="BD739" i="20" s="1"/>
  <c r="BE739" i="20" s="1"/>
  <c r="BF739" i="20" s="1"/>
  <c r="BG739" i="20" s="1"/>
  <c r="BH739" i="20" s="1"/>
  <c r="BI739" i="20" s="1"/>
  <c r="BJ739" i="20" s="1"/>
  <c r="BK739" i="20" s="1"/>
  <c r="BL739" i="20" s="1"/>
  <c r="BM739" i="20" s="1"/>
  <c r="BN739" i="20" s="1"/>
  <c r="AI772" i="20"/>
  <c r="AM772" i="20" s="1"/>
  <c r="AN772" i="20" s="1"/>
  <c r="AO772" i="20" s="1"/>
  <c r="AP772" i="20" s="1"/>
  <c r="AQ772" i="20" s="1"/>
  <c r="AR772" i="20" s="1"/>
  <c r="AS772" i="20" s="1"/>
  <c r="AT772" i="20" s="1"/>
  <c r="AU772" i="20" s="1"/>
  <c r="AV772" i="20" s="1"/>
  <c r="AW772" i="20" s="1"/>
  <c r="AX772" i="20" s="1"/>
  <c r="AY772" i="20" s="1"/>
  <c r="AZ772" i="20" s="1"/>
  <c r="BA772" i="20" s="1"/>
  <c r="BB772" i="20" s="1"/>
  <c r="BC772" i="20" s="1"/>
  <c r="BD772" i="20" s="1"/>
  <c r="BE772" i="20" s="1"/>
  <c r="BF772" i="20" s="1"/>
  <c r="BG772" i="20" s="1"/>
  <c r="BH772" i="20" s="1"/>
  <c r="BI772" i="20" s="1"/>
  <c r="BJ772" i="20" s="1"/>
  <c r="BK772" i="20" s="1"/>
  <c r="BL772" i="20" s="1"/>
  <c r="BM772" i="20" s="1"/>
  <c r="BN772" i="20" s="1"/>
  <c r="AI750" i="20"/>
  <c r="AM750" i="20" s="1"/>
  <c r="AN750" i="20" s="1"/>
  <c r="AO750" i="20" s="1"/>
  <c r="AP750" i="20" s="1"/>
  <c r="AQ750" i="20" s="1"/>
  <c r="AR750" i="20" s="1"/>
  <c r="AS750" i="20" s="1"/>
  <c r="AT750" i="20" s="1"/>
  <c r="AU750" i="20" s="1"/>
  <c r="AV750" i="20" s="1"/>
  <c r="AW750" i="20" s="1"/>
  <c r="AX750" i="20" s="1"/>
  <c r="AY750" i="20" s="1"/>
  <c r="AZ750" i="20" s="1"/>
  <c r="BA750" i="20" s="1"/>
  <c r="BB750" i="20" s="1"/>
  <c r="BC750" i="20" s="1"/>
  <c r="BD750" i="20" s="1"/>
  <c r="BE750" i="20" s="1"/>
  <c r="BF750" i="20" s="1"/>
  <c r="BG750" i="20" s="1"/>
  <c r="BH750" i="20" s="1"/>
  <c r="BI750" i="20" s="1"/>
  <c r="BJ750" i="20" s="1"/>
  <c r="BK750" i="20" s="1"/>
  <c r="BL750" i="20" s="1"/>
  <c r="BM750" i="20" s="1"/>
  <c r="BN750" i="20" s="1"/>
  <c r="AI761" i="20"/>
  <c r="AM761" i="20" s="1"/>
  <c r="AN761" i="20" s="1"/>
  <c r="AO761" i="20" s="1"/>
  <c r="AP761" i="20" s="1"/>
  <c r="AQ761" i="20" s="1"/>
  <c r="AR761" i="20" s="1"/>
  <c r="AS761" i="20" s="1"/>
  <c r="AT761" i="20" s="1"/>
  <c r="AU761" i="20" s="1"/>
  <c r="AV761" i="20" s="1"/>
  <c r="AW761" i="20" s="1"/>
  <c r="AX761" i="20" s="1"/>
  <c r="AY761" i="20" s="1"/>
  <c r="AZ761" i="20" s="1"/>
  <c r="BA761" i="20" s="1"/>
  <c r="BB761" i="20" s="1"/>
  <c r="BC761" i="20" s="1"/>
  <c r="BD761" i="20" s="1"/>
  <c r="BE761" i="20" s="1"/>
  <c r="BF761" i="20" s="1"/>
  <c r="BG761" i="20" s="1"/>
  <c r="BH761" i="20" s="1"/>
  <c r="BI761" i="20" s="1"/>
  <c r="BJ761" i="20" s="1"/>
  <c r="BK761" i="20" s="1"/>
  <c r="BL761" i="20" s="1"/>
  <c r="BM761" i="20" s="1"/>
  <c r="BN761" i="20" s="1"/>
  <c r="AI791" i="20"/>
  <c r="AI779" i="20"/>
  <c r="AI757" i="20"/>
  <c r="AI768" i="20"/>
  <c r="AI746" i="20"/>
  <c r="AI735" i="20"/>
  <c r="AL37" i="20"/>
  <c r="AL93" i="20"/>
  <c r="AL55" i="20"/>
  <c r="AL73" i="20"/>
  <c r="AH836" i="20"/>
  <c r="AH814" i="20"/>
  <c r="AH792" i="20"/>
  <c r="AH847" i="20"/>
  <c r="AH825" i="20"/>
  <c r="AH803" i="20"/>
  <c r="AN803" i="20" s="1"/>
  <c r="AO803" i="20" s="1"/>
  <c r="AP803" i="20" s="1"/>
  <c r="AQ803" i="20" s="1"/>
  <c r="AR803" i="20" s="1"/>
  <c r="AS803" i="20" s="1"/>
  <c r="AT803" i="20" s="1"/>
  <c r="AU803" i="20" s="1"/>
  <c r="AV803" i="20" s="1"/>
  <c r="AW803" i="20" s="1"/>
  <c r="AX803" i="20" s="1"/>
  <c r="AY803" i="20" s="1"/>
  <c r="AZ803" i="20" s="1"/>
  <c r="BA803" i="20" s="1"/>
  <c r="BB803" i="20" s="1"/>
  <c r="BC803" i="20" s="1"/>
  <c r="BD803" i="20" s="1"/>
  <c r="BE803" i="20" s="1"/>
  <c r="BF803" i="20" s="1"/>
  <c r="BG803" i="20" s="1"/>
  <c r="BH803" i="20" s="1"/>
  <c r="BI803" i="20" s="1"/>
  <c r="BJ803" i="20" s="1"/>
  <c r="BK803" i="20" s="1"/>
  <c r="BL803" i="20" s="1"/>
  <c r="BM803" i="20" s="1"/>
  <c r="BN803" i="20" s="1"/>
  <c r="AH725" i="20"/>
  <c r="AH780" i="20"/>
  <c r="AH758" i="20"/>
  <c r="AH769" i="20"/>
  <c r="AH736" i="20"/>
  <c r="AH747" i="20"/>
  <c r="AH674" i="20"/>
  <c r="AH641" i="20"/>
  <c r="AM641" i="20" s="1"/>
  <c r="AN641" i="20" s="1"/>
  <c r="AO641" i="20" s="1"/>
  <c r="AP641" i="20" s="1"/>
  <c r="AQ641" i="20" s="1"/>
  <c r="AR641" i="20" s="1"/>
  <c r="AS641" i="20" s="1"/>
  <c r="AT641" i="20" s="1"/>
  <c r="AU641" i="20" s="1"/>
  <c r="AV641" i="20" s="1"/>
  <c r="AW641" i="20" s="1"/>
  <c r="AX641" i="20" s="1"/>
  <c r="AY641" i="20" s="1"/>
  <c r="AZ641" i="20" s="1"/>
  <c r="BA641" i="20" s="1"/>
  <c r="BB641" i="20" s="1"/>
  <c r="BC641" i="20" s="1"/>
  <c r="BD641" i="20" s="1"/>
  <c r="BE641" i="20" s="1"/>
  <c r="BF641" i="20" s="1"/>
  <c r="BG641" i="20" s="1"/>
  <c r="BH641" i="20" s="1"/>
  <c r="BI641" i="20" s="1"/>
  <c r="BJ641" i="20" s="1"/>
  <c r="BK641" i="20" s="1"/>
  <c r="BL641" i="20" s="1"/>
  <c r="BM641" i="20" s="1"/>
  <c r="BN641" i="20" s="1"/>
  <c r="AH619" i="20"/>
  <c r="AH519" i="20"/>
  <c r="AT519" i="20" s="1"/>
  <c r="AU519" i="20" s="1"/>
  <c r="AV519" i="20" s="1"/>
  <c r="AW519" i="20" s="1"/>
  <c r="AX519" i="20" s="1"/>
  <c r="AY519" i="20" s="1"/>
  <c r="AZ519" i="20" s="1"/>
  <c r="BA519" i="20" s="1"/>
  <c r="BB519" i="20" s="1"/>
  <c r="BC519" i="20" s="1"/>
  <c r="BD519" i="20" s="1"/>
  <c r="BE519" i="20" s="1"/>
  <c r="AH652" i="20"/>
  <c r="AM652" i="20" s="1"/>
  <c r="AN652" i="20" s="1"/>
  <c r="AO652" i="20" s="1"/>
  <c r="AP652" i="20" s="1"/>
  <c r="AQ652" i="20" s="1"/>
  <c r="AR652" i="20" s="1"/>
  <c r="AS652" i="20" s="1"/>
  <c r="AT652" i="20" s="1"/>
  <c r="AU652" i="20" s="1"/>
  <c r="AV652" i="20" s="1"/>
  <c r="AW652" i="20" s="1"/>
  <c r="AX652" i="20" s="1"/>
  <c r="AY652" i="20" s="1"/>
  <c r="AZ652" i="20" s="1"/>
  <c r="BA652" i="20" s="1"/>
  <c r="BB652" i="20" s="1"/>
  <c r="BC652" i="20" s="1"/>
  <c r="BD652" i="20" s="1"/>
  <c r="BE652" i="20" s="1"/>
  <c r="BF652" i="20" s="1"/>
  <c r="BG652" i="20" s="1"/>
  <c r="BH652" i="20" s="1"/>
  <c r="BI652" i="20" s="1"/>
  <c r="BJ652" i="20" s="1"/>
  <c r="BK652" i="20" s="1"/>
  <c r="BL652" i="20" s="1"/>
  <c r="BM652" i="20" s="1"/>
  <c r="BN652" i="20" s="1"/>
  <c r="AH541" i="20"/>
  <c r="AO541" i="20" s="1"/>
  <c r="AP541" i="20" s="1"/>
  <c r="AQ541" i="20" s="1"/>
  <c r="AR541" i="20" s="1"/>
  <c r="AS541" i="20" s="1"/>
  <c r="AT541" i="20" s="1"/>
  <c r="AU541" i="20" s="1"/>
  <c r="AV541" i="20" s="1"/>
  <c r="AW541" i="20" s="1"/>
  <c r="AX541" i="20" s="1"/>
  <c r="AY541" i="20" s="1"/>
  <c r="AZ541" i="20" s="1"/>
  <c r="BA541" i="20" s="1"/>
  <c r="BB541" i="20" s="1"/>
  <c r="BC541" i="20" s="1"/>
  <c r="BD541" i="20" s="1"/>
  <c r="BE541" i="20" s="1"/>
  <c r="BF541" i="20" s="1"/>
  <c r="BG541" i="20" s="1"/>
  <c r="BH541" i="20" s="1"/>
  <c r="BI541" i="20" s="1"/>
  <c r="BJ541" i="20" s="1"/>
  <c r="BK541" i="20" s="1"/>
  <c r="BL541" i="20" s="1"/>
  <c r="BM541" i="20" s="1"/>
  <c r="BN541" i="20" s="1"/>
  <c r="AH574" i="20"/>
  <c r="AO574" i="20" s="1"/>
  <c r="AP574" i="20" s="1"/>
  <c r="AQ574" i="20" s="1"/>
  <c r="AR574" i="20" s="1"/>
  <c r="AS574" i="20" s="1"/>
  <c r="AT574" i="20" s="1"/>
  <c r="AU574" i="20" s="1"/>
  <c r="AV574" i="20" s="1"/>
  <c r="AW574" i="20" s="1"/>
  <c r="AX574" i="20" s="1"/>
  <c r="AY574" i="20" s="1"/>
  <c r="AZ574" i="20" s="1"/>
  <c r="BA574" i="20" s="1"/>
  <c r="BB574" i="20" s="1"/>
  <c r="BC574" i="20" s="1"/>
  <c r="BD574" i="20" s="1"/>
  <c r="BE574" i="20" s="1"/>
  <c r="BF574" i="20" s="1"/>
  <c r="BG574" i="20" s="1"/>
  <c r="BH574" i="20" s="1"/>
  <c r="BI574" i="20" s="1"/>
  <c r="BJ574" i="20" s="1"/>
  <c r="BK574" i="20" s="1"/>
  <c r="BL574" i="20" s="1"/>
  <c r="BM574" i="20" s="1"/>
  <c r="BN574" i="20" s="1"/>
  <c r="AH552" i="20"/>
  <c r="AO552" i="20" s="1"/>
  <c r="AP552" i="20" s="1"/>
  <c r="AQ552" i="20" s="1"/>
  <c r="AR552" i="20" s="1"/>
  <c r="AS552" i="20" s="1"/>
  <c r="AT552" i="20" s="1"/>
  <c r="AU552" i="20" s="1"/>
  <c r="AV552" i="20" s="1"/>
  <c r="AW552" i="20" s="1"/>
  <c r="AX552" i="20" s="1"/>
  <c r="AY552" i="20" s="1"/>
  <c r="AZ552" i="20" s="1"/>
  <c r="BA552" i="20" s="1"/>
  <c r="BB552" i="20" s="1"/>
  <c r="BC552" i="20" s="1"/>
  <c r="BD552" i="20" s="1"/>
  <c r="BE552" i="20" s="1"/>
  <c r="BF552" i="20" s="1"/>
  <c r="BG552" i="20" s="1"/>
  <c r="BH552" i="20" s="1"/>
  <c r="BI552" i="20" s="1"/>
  <c r="BJ552" i="20" s="1"/>
  <c r="BK552" i="20" s="1"/>
  <c r="BL552" i="20" s="1"/>
  <c r="BM552" i="20" s="1"/>
  <c r="BN552" i="20" s="1"/>
  <c r="AH530" i="20"/>
  <c r="AT530" i="20" s="1"/>
  <c r="AU530" i="20" s="1"/>
  <c r="AV530" i="20" s="1"/>
  <c r="AW530" i="20" s="1"/>
  <c r="AX530" i="20" s="1"/>
  <c r="AY530" i="20" s="1"/>
  <c r="AZ530" i="20" s="1"/>
  <c r="BA530" i="20" s="1"/>
  <c r="BB530" i="20" s="1"/>
  <c r="BC530" i="20" s="1"/>
  <c r="BD530" i="20" s="1"/>
  <c r="BE530" i="20" s="1"/>
  <c r="BF530" i="20" s="1"/>
  <c r="BG530" i="20" s="1"/>
  <c r="BH530" i="20" s="1"/>
  <c r="BI530" i="20" s="1"/>
  <c r="BJ530" i="20" s="1"/>
  <c r="BK530" i="20" s="1"/>
  <c r="BL530" i="20" s="1"/>
  <c r="BM530" i="20" s="1"/>
  <c r="BN530" i="20" s="1"/>
  <c r="AH630" i="20"/>
  <c r="AH663" i="20"/>
  <c r="AH563" i="20"/>
  <c r="AO563" i="20" s="1"/>
  <c r="AP563" i="20" s="1"/>
  <c r="AQ563" i="20" s="1"/>
  <c r="AR563" i="20" s="1"/>
  <c r="AS563" i="20" s="1"/>
  <c r="AT563" i="20" s="1"/>
  <c r="AU563" i="20" s="1"/>
  <c r="AV563" i="20" s="1"/>
  <c r="AW563" i="20" s="1"/>
  <c r="AX563" i="20" s="1"/>
  <c r="AY563" i="20" s="1"/>
  <c r="AZ563" i="20" s="1"/>
  <c r="BA563" i="20" s="1"/>
  <c r="BB563" i="20" s="1"/>
  <c r="BC563" i="20" s="1"/>
  <c r="BD563" i="20" s="1"/>
  <c r="BE563" i="20" s="1"/>
  <c r="BF563" i="20" s="1"/>
  <c r="BG563" i="20" s="1"/>
  <c r="BH563" i="20" s="1"/>
  <c r="BI563" i="20" s="1"/>
  <c r="BJ563" i="20" s="1"/>
  <c r="BK563" i="20" s="1"/>
  <c r="BL563" i="20" s="1"/>
  <c r="BM563" i="20" s="1"/>
  <c r="BN563" i="20" s="1"/>
  <c r="AI458" i="20"/>
  <c r="AT458" i="20" s="1"/>
  <c r="AU458" i="20" s="1"/>
  <c r="AV458" i="20" s="1"/>
  <c r="AW458" i="20" s="1"/>
  <c r="AX458" i="20" s="1"/>
  <c r="AY458" i="20" s="1"/>
  <c r="AZ458" i="20" s="1"/>
  <c r="BA458" i="20" s="1"/>
  <c r="BB458" i="20" s="1"/>
  <c r="BC458" i="20" s="1"/>
  <c r="BD458" i="20" s="1"/>
  <c r="BE458" i="20" s="1"/>
  <c r="BF458" i="20" s="1"/>
  <c r="AI438" i="20"/>
  <c r="AT438" i="20" s="1"/>
  <c r="AU438" i="20" s="1"/>
  <c r="AV438" i="20" s="1"/>
  <c r="AW438" i="20" s="1"/>
  <c r="AX438" i="20" s="1"/>
  <c r="AY438" i="20" s="1"/>
  <c r="AZ438" i="20" s="1"/>
  <c r="BA438" i="20" s="1"/>
  <c r="BB438" i="20" s="1"/>
  <c r="BC438" i="20" s="1"/>
  <c r="BD438" i="20" s="1"/>
  <c r="BE438" i="20" s="1"/>
  <c r="BF438" i="20" s="1"/>
  <c r="AI418" i="20"/>
  <c r="AT418" i="20" s="1"/>
  <c r="AU418" i="20" s="1"/>
  <c r="AV418" i="20" s="1"/>
  <c r="AW418" i="20" s="1"/>
  <c r="AX418" i="20" s="1"/>
  <c r="AY418" i="20" s="1"/>
  <c r="AZ418" i="20" s="1"/>
  <c r="BA418" i="20" s="1"/>
  <c r="BB418" i="20" s="1"/>
  <c r="BC418" i="20" s="1"/>
  <c r="BD418" i="20" s="1"/>
  <c r="BE418" i="20" s="1"/>
  <c r="BF418" i="20" s="1"/>
  <c r="AI468" i="20"/>
  <c r="AI448" i="20"/>
  <c r="AI428" i="20"/>
  <c r="AI341" i="20"/>
  <c r="AI321" i="20"/>
  <c r="AI301" i="20"/>
  <c r="AI311" i="20"/>
  <c r="AT311" i="20" s="1"/>
  <c r="AU311" i="20" s="1"/>
  <c r="AV311" i="20" s="1"/>
  <c r="AW311" i="20" s="1"/>
  <c r="AX311" i="20" s="1"/>
  <c r="AY311" i="20" s="1"/>
  <c r="AZ311" i="20" s="1"/>
  <c r="BA311" i="20" s="1"/>
  <c r="BB311" i="20" s="1"/>
  <c r="BC311" i="20" s="1"/>
  <c r="BD311" i="20" s="1"/>
  <c r="BE311" i="20" s="1"/>
  <c r="BF311" i="20" s="1"/>
  <c r="BG311" i="20" s="1"/>
  <c r="BH311" i="20" s="1"/>
  <c r="BI311" i="20" s="1"/>
  <c r="BJ311" i="20" s="1"/>
  <c r="BK311" i="20" s="1"/>
  <c r="BL311" i="20" s="1"/>
  <c r="BM311" i="20" s="1"/>
  <c r="BN311" i="20" s="1"/>
  <c r="AI351" i="20"/>
  <c r="AT351" i="20" s="1"/>
  <c r="AU351" i="20" s="1"/>
  <c r="AV351" i="20" s="1"/>
  <c r="AW351" i="20" s="1"/>
  <c r="AX351" i="20" s="1"/>
  <c r="AY351" i="20" s="1"/>
  <c r="AZ351" i="20" s="1"/>
  <c r="BA351" i="20" s="1"/>
  <c r="BB351" i="20" s="1"/>
  <c r="BC351" i="20" s="1"/>
  <c r="BD351" i="20" s="1"/>
  <c r="BE351" i="20" s="1"/>
  <c r="BF351" i="20" s="1"/>
  <c r="BG351" i="20" s="1"/>
  <c r="BH351" i="20" s="1"/>
  <c r="BI351" i="20" s="1"/>
  <c r="BJ351" i="20" s="1"/>
  <c r="BK351" i="20" s="1"/>
  <c r="BL351" i="20" s="1"/>
  <c r="BM351" i="20" s="1"/>
  <c r="BN351" i="20" s="1"/>
  <c r="AI331" i="20"/>
  <c r="AI398" i="20"/>
  <c r="AT398" i="20" s="1"/>
  <c r="AU398" i="20" s="1"/>
  <c r="AV398" i="20" s="1"/>
  <c r="AW398" i="20" s="1"/>
  <c r="AX398" i="20" s="1"/>
  <c r="AY398" i="20" s="1"/>
  <c r="AZ398" i="20" s="1"/>
  <c r="BA398" i="20" s="1"/>
  <c r="BB398" i="20" s="1"/>
  <c r="BC398" i="20" s="1"/>
  <c r="BD398" i="20" s="1"/>
  <c r="BE398" i="20" s="1"/>
  <c r="BF398" i="20" s="1"/>
  <c r="AI378" i="20"/>
  <c r="AT378" i="20" s="1"/>
  <c r="AU378" i="20" s="1"/>
  <c r="AV378" i="20" s="1"/>
  <c r="AW378" i="20" s="1"/>
  <c r="AX378" i="20" s="1"/>
  <c r="AY378" i="20" s="1"/>
  <c r="AZ378" i="20" s="1"/>
  <c r="BA378" i="20" s="1"/>
  <c r="BB378" i="20" s="1"/>
  <c r="BC378" i="20" s="1"/>
  <c r="BD378" i="20" s="1"/>
  <c r="BE378" i="20" s="1"/>
  <c r="BF378" i="20" s="1"/>
  <c r="AI289" i="20"/>
  <c r="AY289" i="20" s="1"/>
  <c r="AZ289" i="20" s="1"/>
  <c r="BA289" i="20" s="1"/>
  <c r="BB289" i="20" s="1"/>
  <c r="BC289" i="20" s="1"/>
  <c r="AI279" i="20"/>
  <c r="AT279" i="20" s="1"/>
  <c r="AU279" i="20" s="1"/>
  <c r="AV279" i="20" s="1"/>
  <c r="AW279" i="20" s="1"/>
  <c r="AX279" i="20" s="1"/>
  <c r="AY279" i="20" s="1"/>
  <c r="AZ279" i="20" s="1"/>
  <c r="BA279" i="20" s="1"/>
  <c r="BB279" i="20" s="1"/>
  <c r="BC279" i="20" s="1"/>
  <c r="AI259" i="20"/>
  <c r="AI269" i="20"/>
  <c r="AT269" i="20" s="1"/>
  <c r="AU269" i="20" s="1"/>
  <c r="AV269" i="20" s="1"/>
  <c r="AW269" i="20" s="1"/>
  <c r="AX269" i="20" s="1"/>
  <c r="AY269" i="20" s="1"/>
  <c r="AZ269" i="20" s="1"/>
  <c r="BA269" i="20" s="1"/>
  <c r="BB269" i="20" s="1"/>
  <c r="BC269" i="20" s="1"/>
  <c r="AI408" i="20"/>
  <c r="AT408" i="20" s="1"/>
  <c r="AU408" i="20" s="1"/>
  <c r="AV408" i="20" s="1"/>
  <c r="AW408" i="20" s="1"/>
  <c r="AX408" i="20" s="1"/>
  <c r="AY408" i="20" s="1"/>
  <c r="AZ408" i="20" s="1"/>
  <c r="BA408" i="20" s="1"/>
  <c r="BB408" i="20" s="1"/>
  <c r="BC408" i="20" s="1"/>
  <c r="BD408" i="20" s="1"/>
  <c r="BE408" i="20" s="1"/>
  <c r="BF408" i="20" s="1"/>
  <c r="AI388" i="20"/>
  <c r="AT388" i="20" s="1"/>
  <c r="AU388" i="20" s="1"/>
  <c r="AV388" i="20" s="1"/>
  <c r="AW388" i="20" s="1"/>
  <c r="AX388" i="20" s="1"/>
  <c r="AY388" i="20" s="1"/>
  <c r="AZ388" i="20" s="1"/>
  <c r="BA388" i="20" s="1"/>
  <c r="BB388" i="20" s="1"/>
  <c r="BC388" i="20" s="1"/>
  <c r="BD388" i="20" s="1"/>
  <c r="BE388" i="20" s="1"/>
  <c r="BF388" i="20" s="1"/>
  <c r="AJ470" i="20"/>
  <c r="AJ353" i="20"/>
  <c r="AJ466" i="20"/>
  <c r="AJ349" i="20"/>
  <c r="AI727" i="20"/>
  <c r="AJ460" i="20"/>
  <c r="AJ343" i="20"/>
  <c r="AI723" i="20"/>
  <c r="AJ456" i="20"/>
  <c r="AJ339" i="20"/>
  <c r="AJ450" i="20"/>
  <c r="AJ333" i="20"/>
  <c r="AJ446" i="20"/>
  <c r="AJ329" i="20"/>
  <c r="AJ440" i="20"/>
  <c r="AJ323" i="20"/>
  <c r="AJ436" i="20"/>
  <c r="AJ319" i="20"/>
  <c r="AI849" i="20"/>
  <c r="AI676" i="20"/>
  <c r="AI665" i="20"/>
  <c r="AI654" i="20"/>
  <c r="AI643" i="20"/>
  <c r="AI632" i="20"/>
  <c r="AI621" i="20"/>
  <c r="AJ430" i="20"/>
  <c r="AJ313" i="20"/>
  <c r="AI845" i="20"/>
  <c r="AI672" i="20"/>
  <c r="AI661" i="20"/>
  <c r="AI650" i="20"/>
  <c r="AI639" i="20"/>
  <c r="AI628" i="20"/>
  <c r="AI617" i="20"/>
  <c r="AJ426" i="20"/>
  <c r="AJ309" i="20"/>
  <c r="AI838" i="20"/>
  <c r="AJ420" i="20"/>
  <c r="AJ303" i="20"/>
  <c r="AI834" i="20"/>
  <c r="AJ416" i="20"/>
  <c r="AJ299" i="20"/>
  <c r="AI827" i="20"/>
  <c r="AI823" i="20"/>
  <c r="AI816" i="20"/>
  <c r="AI812" i="20"/>
  <c r="AI794" i="20"/>
  <c r="AI771" i="20"/>
  <c r="AI760" i="20"/>
  <c r="AI749" i="20"/>
  <c r="AI738" i="20"/>
  <c r="AI782" i="20"/>
  <c r="AI790" i="20"/>
  <c r="AI767" i="20"/>
  <c r="AI756" i="20"/>
  <c r="AI745" i="20"/>
  <c r="AI734" i="20"/>
  <c r="AI778" i="20"/>
  <c r="AL133" i="20"/>
  <c r="AL136" i="20"/>
  <c r="AM136" i="20" s="1"/>
  <c r="AN136" i="20" s="1"/>
  <c r="AL135" i="20"/>
  <c r="AM135" i="20" s="1"/>
  <c r="AL134" i="20"/>
  <c r="AM134" i="20" s="1"/>
  <c r="AL132" i="20"/>
  <c r="AM132" i="20" s="1"/>
  <c r="AL137" i="20"/>
  <c r="AM137" i="20" s="1"/>
  <c r="AN137" i="20" s="1"/>
  <c r="AO137" i="20" s="1"/>
  <c r="AH802" i="20"/>
  <c r="AN802" i="20" s="1"/>
  <c r="AO802" i="20" s="1"/>
  <c r="AP802" i="20" s="1"/>
  <c r="AQ802" i="20" s="1"/>
  <c r="AR802" i="20" s="1"/>
  <c r="AS802" i="20" s="1"/>
  <c r="AT802" i="20" s="1"/>
  <c r="AU802" i="20" s="1"/>
  <c r="AV802" i="20" s="1"/>
  <c r="AW802" i="20" s="1"/>
  <c r="AX802" i="20" s="1"/>
  <c r="AY802" i="20" s="1"/>
  <c r="AZ802" i="20" s="1"/>
  <c r="BA802" i="20" s="1"/>
  <c r="BB802" i="20" s="1"/>
  <c r="BC802" i="20" s="1"/>
  <c r="BD802" i="20" s="1"/>
  <c r="BE802" i="20" s="1"/>
  <c r="BF802" i="20" s="1"/>
  <c r="BG802" i="20" s="1"/>
  <c r="BH802" i="20" s="1"/>
  <c r="BI802" i="20" s="1"/>
  <c r="BJ802" i="20" s="1"/>
  <c r="BK802" i="20" s="1"/>
  <c r="BL802" i="20" s="1"/>
  <c r="BM802" i="20" s="1"/>
  <c r="BN802" i="20" s="1"/>
  <c r="AH846" i="20"/>
  <c r="AH824" i="20"/>
  <c r="AH791" i="20"/>
  <c r="AH835" i="20"/>
  <c r="AH813" i="20"/>
  <c r="AM813" i="20" s="1"/>
  <c r="AN813" i="20" s="1"/>
  <c r="AO813" i="20" s="1"/>
  <c r="AP813" i="20" s="1"/>
  <c r="AQ813" i="20" s="1"/>
  <c r="AR813" i="20" s="1"/>
  <c r="AS813" i="20" s="1"/>
  <c r="AT813" i="20" s="1"/>
  <c r="AU813" i="20" s="1"/>
  <c r="AV813" i="20" s="1"/>
  <c r="AW813" i="20" s="1"/>
  <c r="AX813" i="20" s="1"/>
  <c r="AY813" i="20" s="1"/>
  <c r="AZ813" i="20" s="1"/>
  <c r="BA813" i="20" s="1"/>
  <c r="BB813" i="20" s="1"/>
  <c r="BC813" i="20" s="1"/>
  <c r="BD813" i="20" s="1"/>
  <c r="BE813" i="20" s="1"/>
  <c r="BF813" i="20" s="1"/>
  <c r="BG813" i="20" s="1"/>
  <c r="BH813" i="20" s="1"/>
  <c r="BI813" i="20" s="1"/>
  <c r="BJ813" i="20" s="1"/>
  <c r="BK813" i="20" s="1"/>
  <c r="BL813" i="20" s="1"/>
  <c r="BM813" i="20" s="1"/>
  <c r="BN813" i="20" s="1"/>
  <c r="AH768" i="20"/>
  <c r="AH746" i="20"/>
  <c r="AH724" i="20"/>
  <c r="AH779" i="20"/>
  <c r="AH735" i="20"/>
  <c r="AH757" i="20"/>
  <c r="AH662" i="20"/>
  <c r="AH562" i="20"/>
  <c r="AO562" i="20" s="1"/>
  <c r="AP562" i="20" s="1"/>
  <c r="AQ562" i="20" s="1"/>
  <c r="AR562" i="20" s="1"/>
  <c r="AS562" i="20" s="1"/>
  <c r="AT562" i="20" s="1"/>
  <c r="AU562" i="20" s="1"/>
  <c r="AV562" i="20" s="1"/>
  <c r="AW562" i="20" s="1"/>
  <c r="AX562" i="20" s="1"/>
  <c r="AY562" i="20" s="1"/>
  <c r="AZ562" i="20" s="1"/>
  <c r="BA562" i="20" s="1"/>
  <c r="BB562" i="20" s="1"/>
  <c r="BC562" i="20" s="1"/>
  <c r="BD562" i="20" s="1"/>
  <c r="BE562" i="20" s="1"/>
  <c r="BF562" i="20" s="1"/>
  <c r="BG562" i="20" s="1"/>
  <c r="BH562" i="20" s="1"/>
  <c r="BI562" i="20" s="1"/>
  <c r="BJ562" i="20" s="1"/>
  <c r="BK562" i="20" s="1"/>
  <c r="BL562" i="20" s="1"/>
  <c r="BM562" i="20" s="1"/>
  <c r="BN562" i="20" s="1"/>
  <c r="AH540" i="20"/>
  <c r="AO540" i="20" s="1"/>
  <c r="AP540" i="20" s="1"/>
  <c r="AQ540" i="20" s="1"/>
  <c r="AR540" i="20" s="1"/>
  <c r="AS540" i="20" s="1"/>
  <c r="AT540" i="20" s="1"/>
  <c r="AU540" i="20" s="1"/>
  <c r="AV540" i="20" s="1"/>
  <c r="AW540" i="20" s="1"/>
  <c r="AX540" i="20" s="1"/>
  <c r="AY540" i="20" s="1"/>
  <c r="AZ540" i="20" s="1"/>
  <c r="BA540" i="20" s="1"/>
  <c r="BB540" i="20" s="1"/>
  <c r="BC540" i="20" s="1"/>
  <c r="BD540" i="20" s="1"/>
  <c r="BE540" i="20" s="1"/>
  <c r="BF540" i="20" s="1"/>
  <c r="BG540" i="20" s="1"/>
  <c r="BH540" i="20" s="1"/>
  <c r="BI540" i="20" s="1"/>
  <c r="BJ540" i="20" s="1"/>
  <c r="BK540" i="20" s="1"/>
  <c r="BL540" i="20" s="1"/>
  <c r="BM540" i="20" s="1"/>
  <c r="BN540" i="20" s="1"/>
  <c r="AH573" i="20"/>
  <c r="AO573" i="20" s="1"/>
  <c r="AH551" i="20"/>
  <c r="AO551" i="20" s="1"/>
  <c r="AP551" i="20" s="1"/>
  <c r="AQ551" i="20" s="1"/>
  <c r="AR551" i="20" s="1"/>
  <c r="AS551" i="20" s="1"/>
  <c r="AT551" i="20" s="1"/>
  <c r="AU551" i="20" s="1"/>
  <c r="AV551" i="20" s="1"/>
  <c r="AW551" i="20" s="1"/>
  <c r="AX551" i="20" s="1"/>
  <c r="AY551" i="20" s="1"/>
  <c r="AZ551" i="20" s="1"/>
  <c r="BA551" i="20" s="1"/>
  <c r="BB551" i="20" s="1"/>
  <c r="BC551" i="20" s="1"/>
  <c r="BD551" i="20" s="1"/>
  <c r="BE551" i="20" s="1"/>
  <c r="BF551" i="20" s="1"/>
  <c r="BG551" i="20" s="1"/>
  <c r="BH551" i="20" s="1"/>
  <c r="BI551" i="20" s="1"/>
  <c r="BJ551" i="20" s="1"/>
  <c r="BK551" i="20" s="1"/>
  <c r="BL551" i="20" s="1"/>
  <c r="BM551" i="20" s="1"/>
  <c r="BN551" i="20" s="1"/>
  <c r="AH673" i="20"/>
  <c r="AH640" i="20"/>
  <c r="AH618" i="20"/>
  <c r="AH518" i="20"/>
  <c r="AT518" i="20" s="1"/>
  <c r="AU518" i="20" s="1"/>
  <c r="AV518" i="20" s="1"/>
  <c r="AW518" i="20" s="1"/>
  <c r="AX518" i="20" s="1"/>
  <c r="AY518" i="20" s="1"/>
  <c r="AZ518" i="20" s="1"/>
  <c r="BA518" i="20" s="1"/>
  <c r="BB518" i="20" s="1"/>
  <c r="BC518" i="20" s="1"/>
  <c r="BD518" i="20" s="1"/>
  <c r="BE518" i="20" s="1"/>
  <c r="AH529" i="20"/>
  <c r="AT529" i="20" s="1"/>
  <c r="AU529" i="20" s="1"/>
  <c r="AV529" i="20" s="1"/>
  <c r="AW529" i="20" s="1"/>
  <c r="AX529" i="20" s="1"/>
  <c r="AY529" i="20" s="1"/>
  <c r="AZ529" i="20" s="1"/>
  <c r="BA529" i="20" s="1"/>
  <c r="BB529" i="20" s="1"/>
  <c r="BC529" i="20" s="1"/>
  <c r="BD529" i="20" s="1"/>
  <c r="BE529" i="20" s="1"/>
  <c r="BF529" i="20" s="1"/>
  <c r="BG529" i="20" s="1"/>
  <c r="BH529" i="20" s="1"/>
  <c r="BI529" i="20" s="1"/>
  <c r="BJ529" i="20" s="1"/>
  <c r="BK529" i="20" s="1"/>
  <c r="BL529" i="20" s="1"/>
  <c r="BM529" i="20" s="1"/>
  <c r="BN529" i="20" s="1"/>
  <c r="AH651" i="20"/>
  <c r="AM651" i="20" s="1"/>
  <c r="AN651" i="20" s="1"/>
  <c r="AO651" i="20" s="1"/>
  <c r="AP651" i="20" s="1"/>
  <c r="AQ651" i="20" s="1"/>
  <c r="AR651" i="20" s="1"/>
  <c r="AS651" i="20" s="1"/>
  <c r="AT651" i="20" s="1"/>
  <c r="AU651" i="20" s="1"/>
  <c r="AV651" i="20" s="1"/>
  <c r="AW651" i="20" s="1"/>
  <c r="AX651" i="20" s="1"/>
  <c r="AY651" i="20" s="1"/>
  <c r="AZ651" i="20" s="1"/>
  <c r="BA651" i="20" s="1"/>
  <c r="BB651" i="20" s="1"/>
  <c r="BC651" i="20" s="1"/>
  <c r="BD651" i="20" s="1"/>
  <c r="BE651" i="20" s="1"/>
  <c r="BF651" i="20" s="1"/>
  <c r="BG651" i="20" s="1"/>
  <c r="BH651" i="20" s="1"/>
  <c r="BI651" i="20" s="1"/>
  <c r="BJ651" i="20" s="1"/>
  <c r="BK651" i="20" s="1"/>
  <c r="BL651" i="20" s="1"/>
  <c r="BM651" i="20" s="1"/>
  <c r="BN651" i="20" s="1"/>
  <c r="AH629" i="20"/>
  <c r="AI467" i="20"/>
  <c r="AI447" i="20"/>
  <c r="AI427" i="20"/>
  <c r="AT427" i="20" s="1"/>
  <c r="AU427" i="20" s="1"/>
  <c r="AV427" i="20" s="1"/>
  <c r="AW427" i="20" s="1"/>
  <c r="AX427" i="20" s="1"/>
  <c r="AY427" i="20" s="1"/>
  <c r="AZ427" i="20" s="1"/>
  <c r="BA427" i="20" s="1"/>
  <c r="BB427" i="20" s="1"/>
  <c r="BC427" i="20" s="1"/>
  <c r="BD427" i="20" s="1"/>
  <c r="BE427" i="20" s="1"/>
  <c r="BF427" i="20" s="1"/>
  <c r="AI457" i="20"/>
  <c r="AI437" i="20"/>
  <c r="AI417" i="20"/>
  <c r="AI340" i="20"/>
  <c r="AI320" i="20"/>
  <c r="AI300" i="20"/>
  <c r="AI350" i="20"/>
  <c r="AI330" i="20"/>
  <c r="AI310" i="20"/>
  <c r="AI407" i="20"/>
  <c r="AT407" i="20" s="1"/>
  <c r="AI387" i="20"/>
  <c r="AT387" i="20" s="1"/>
  <c r="AU387" i="20" s="1"/>
  <c r="AV387" i="20" s="1"/>
  <c r="AW387" i="20" s="1"/>
  <c r="AX387" i="20" s="1"/>
  <c r="AY387" i="20" s="1"/>
  <c r="AZ387" i="20" s="1"/>
  <c r="BA387" i="20" s="1"/>
  <c r="BB387" i="20" s="1"/>
  <c r="BC387" i="20" s="1"/>
  <c r="BD387" i="20" s="1"/>
  <c r="BE387" i="20" s="1"/>
  <c r="BF387" i="20" s="1"/>
  <c r="AI288" i="20"/>
  <c r="AY288" i="20" s="1"/>
  <c r="AI268" i="20"/>
  <c r="AT268" i="20" s="1"/>
  <c r="AU268" i="20" s="1"/>
  <c r="AV268" i="20" s="1"/>
  <c r="AW268" i="20" s="1"/>
  <c r="AX268" i="20" s="1"/>
  <c r="AY268" i="20" s="1"/>
  <c r="AZ268" i="20" s="1"/>
  <c r="BA268" i="20" s="1"/>
  <c r="BB268" i="20" s="1"/>
  <c r="BC268" i="20" s="1"/>
  <c r="AI397" i="20"/>
  <c r="AT397" i="20" s="1"/>
  <c r="AU397" i="20" s="1"/>
  <c r="AV397" i="20" s="1"/>
  <c r="AW397" i="20" s="1"/>
  <c r="AX397" i="20" s="1"/>
  <c r="AY397" i="20" s="1"/>
  <c r="AZ397" i="20" s="1"/>
  <c r="BA397" i="20" s="1"/>
  <c r="BB397" i="20" s="1"/>
  <c r="BC397" i="20" s="1"/>
  <c r="BD397" i="20" s="1"/>
  <c r="BE397" i="20" s="1"/>
  <c r="BF397" i="20" s="1"/>
  <c r="AI377" i="20"/>
  <c r="AT377" i="20" s="1"/>
  <c r="AU377" i="20" s="1"/>
  <c r="AV377" i="20" s="1"/>
  <c r="AW377" i="20" s="1"/>
  <c r="AX377" i="20" s="1"/>
  <c r="AY377" i="20" s="1"/>
  <c r="AZ377" i="20" s="1"/>
  <c r="BA377" i="20" s="1"/>
  <c r="BB377" i="20" s="1"/>
  <c r="BC377" i="20" s="1"/>
  <c r="BD377" i="20" s="1"/>
  <c r="BE377" i="20" s="1"/>
  <c r="BF377" i="20" s="1"/>
  <c r="AI278" i="20"/>
  <c r="AT278" i="20" s="1"/>
  <c r="AU278" i="20" s="1"/>
  <c r="AV278" i="20" s="1"/>
  <c r="AW278" i="20" s="1"/>
  <c r="AX278" i="20" s="1"/>
  <c r="AY278" i="20" s="1"/>
  <c r="AZ278" i="20" s="1"/>
  <c r="BA278" i="20" s="1"/>
  <c r="BB278" i="20" s="1"/>
  <c r="BC278" i="20" s="1"/>
  <c r="AI258" i="20"/>
  <c r="BE522" i="20"/>
  <c r="BM787" i="20"/>
  <c r="BL892" i="20"/>
  <c r="BF451" i="20"/>
  <c r="BF338" i="20"/>
  <c r="BE931" i="20"/>
  <c r="BI914" i="20"/>
  <c r="BI934" i="20"/>
  <c r="BH909" i="20"/>
  <c r="BK939" i="20"/>
  <c r="BF390" i="20"/>
  <c r="BF514" i="20"/>
  <c r="BG373" i="20"/>
  <c r="BC272" i="20"/>
  <c r="BF411" i="20"/>
  <c r="BF381" i="20"/>
  <c r="BF401" i="20"/>
  <c r="BC292" i="20"/>
  <c r="BC282" i="20"/>
  <c r="BD254" i="20"/>
  <c r="AY724" i="20" l="1"/>
  <c r="AZ724" i="20" s="1"/>
  <c r="BA724" i="20" s="1"/>
  <c r="BB724" i="20" s="1"/>
  <c r="BC724" i="20" s="1"/>
  <c r="BD724" i="20" s="1"/>
  <c r="BE724" i="20" s="1"/>
  <c r="BF724" i="20" s="1"/>
  <c r="BG724" i="20" s="1"/>
  <c r="BH724" i="20" s="1"/>
  <c r="BI724" i="20" s="1"/>
  <c r="BJ724" i="20" s="1"/>
  <c r="BK724" i="20" s="1"/>
  <c r="BL724" i="20" s="1"/>
  <c r="BM724" i="20" s="1"/>
  <c r="BN724" i="20" s="1"/>
  <c r="AM835" i="20"/>
  <c r="AN835" i="20" s="1"/>
  <c r="AO835" i="20" s="1"/>
  <c r="AP835" i="20" s="1"/>
  <c r="AQ835" i="20" s="1"/>
  <c r="AR835" i="20" s="1"/>
  <c r="AS835" i="20" s="1"/>
  <c r="AT835" i="20" s="1"/>
  <c r="AU835" i="20" s="1"/>
  <c r="AV835" i="20" s="1"/>
  <c r="AW835" i="20" s="1"/>
  <c r="AX835" i="20" s="1"/>
  <c r="AY835" i="20" s="1"/>
  <c r="AZ835" i="20" s="1"/>
  <c r="BA835" i="20" s="1"/>
  <c r="BB835" i="20" s="1"/>
  <c r="BC835" i="20" s="1"/>
  <c r="BD835" i="20" s="1"/>
  <c r="BE835" i="20" s="1"/>
  <c r="BF835" i="20" s="1"/>
  <c r="BG835" i="20" s="1"/>
  <c r="BH835" i="20" s="1"/>
  <c r="BI835" i="20" s="1"/>
  <c r="BJ835" i="20" s="1"/>
  <c r="BK835" i="20" s="1"/>
  <c r="BL835" i="20" s="1"/>
  <c r="BM835" i="20" s="1"/>
  <c r="BN835" i="20" s="1"/>
  <c r="AT318" i="20"/>
  <c r="AU318" i="20" s="1"/>
  <c r="AV318" i="20" s="1"/>
  <c r="AW318" i="20" s="1"/>
  <c r="AX318" i="20" s="1"/>
  <c r="AY318" i="20" s="1"/>
  <c r="AZ318" i="20" s="1"/>
  <c r="BA318" i="20" s="1"/>
  <c r="BB318" i="20" s="1"/>
  <c r="BC318" i="20" s="1"/>
  <c r="BD318" i="20" s="1"/>
  <c r="BE318" i="20" s="1"/>
  <c r="BF318" i="20" s="1"/>
  <c r="BG318" i="20" s="1"/>
  <c r="BH318" i="20" s="1"/>
  <c r="BI318" i="20" s="1"/>
  <c r="BJ318" i="20" s="1"/>
  <c r="BK318" i="20" s="1"/>
  <c r="BL318" i="20" s="1"/>
  <c r="BM318" i="20" s="1"/>
  <c r="BN318" i="20" s="1"/>
  <c r="AM660" i="20"/>
  <c r="AN660" i="20" s="1"/>
  <c r="AO660" i="20" s="1"/>
  <c r="AP660" i="20" s="1"/>
  <c r="AQ660" i="20" s="1"/>
  <c r="AR660" i="20" s="1"/>
  <c r="AS660" i="20" s="1"/>
  <c r="AT660" i="20" s="1"/>
  <c r="AU660" i="20" s="1"/>
  <c r="AV660" i="20" s="1"/>
  <c r="AW660" i="20" s="1"/>
  <c r="AX660" i="20" s="1"/>
  <c r="AY660" i="20" s="1"/>
  <c r="AZ660" i="20" s="1"/>
  <c r="BA660" i="20" s="1"/>
  <c r="BB660" i="20" s="1"/>
  <c r="BC660" i="20" s="1"/>
  <c r="BD660" i="20" s="1"/>
  <c r="BE660" i="20" s="1"/>
  <c r="BF660" i="20" s="1"/>
  <c r="BG660" i="20" s="1"/>
  <c r="BH660" i="20" s="1"/>
  <c r="BI660" i="20" s="1"/>
  <c r="BJ660" i="20" s="1"/>
  <c r="BK660" i="20" s="1"/>
  <c r="BL660" i="20" s="1"/>
  <c r="BM660" i="20" s="1"/>
  <c r="BN660" i="20" s="1"/>
  <c r="AM777" i="20"/>
  <c r="AN777" i="20" s="1"/>
  <c r="AO777" i="20" s="1"/>
  <c r="AP777" i="20" s="1"/>
  <c r="AQ777" i="20" s="1"/>
  <c r="AR777" i="20" s="1"/>
  <c r="AS777" i="20" s="1"/>
  <c r="AT777" i="20" s="1"/>
  <c r="AU777" i="20" s="1"/>
  <c r="AV777" i="20" s="1"/>
  <c r="AW777" i="20" s="1"/>
  <c r="AX777" i="20" s="1"/>
  <c r="AY777" i="20" s="1"/>
  <c r="AZ777" i="20" s="1"/>
  <c r="BA777" i="20" s="1"/>
  <c r="BB777" i="20" s="1"/>
  <c r="BC777" i="20" s="1"/>
  <c r="BD777" i="20" s="1"/>
  <c r="BE777" i="20" s="1"/>
  <c r="BF777" i="20" s="1"/>
  <c r="BG777" i="20" s="1"/>
  <c r="BH777" i="20" s="1"/>
  <c r="BI777" i="20" s="1"/>
  <c r="BJ777" i="20" s="1"/>
  <c r="BK777" i="20" s="1"/>
  <c r="BL777" i="20" s="1"/>
  <c r="BM777" i="20" s="1"/>
  <c r="BN777" i="20" s="1"/>
  <c r="AM748" i="20"/>
  <c r="AN748" i="20" s="1"/>
  <c r="AO748" i="20" s="1"/>
  <c r="AP748" i="20" s="1"/>
  <c r="AQ748" i="20" s="1"/>
  <c r="AR748" i="20" s="1"/>
  <c r="AS748" i="20" s="1"/>
  <c r="AT748" i="20" s="1"/>
  <c r="AU748" i="20" s="1"/>
  <c r="AV748" i="20" s="1"/>
  <c r="AW748" i="20" s="1"/>
  <c r="AX748" i="20" s="1"/>
  <c r="AY748" i="20" s="1"/>
  <c r="AZ748" i="20" s="1"/>
  <c r="BA748" i="20" s="1"/>
  <c r="BB748" i="20" s="1"/>
  <c r="BC748" i="20" s="1"/>
  <c r="BD748" i="20" s="1"/>
  <c r="BE748" i="20" s="1"/>
  <c r="BF748" i="20" s="1"/>
  <c r="BG748" i="20" s="1"/>
  <c r="BH748" i="20" s="1"/>
  <c r="BI748" i="20" s="1"/>
  <c r="BJ748" i="20" s="1"/>
  <c r="BK748" i="20" s="1"/>
  <c r="BL748" i="20" s="1"/>
  <c r="BM748" i="20" s="1"/>
  <c r="BN748" i="20" s="1"/>
  <c r="AM779" i="20"/>
  <c r="AT428" i="20"/>
  <c r="AU428" i="20" s="1"/>
  <c r="AV428" i="20" s="1"/>
  <c r="AW428" i="20" s="1"/>
  <c r="AX428" i="20" s="1"/>
  <c r="AY428" i="20" s="1"/>
  <c r="AZ428" i="20" s="1"/>
  <c r="BA428" i="20" s="1"/>
  <c r="BB428" i="20" s="1"/>
  <c r="BC428" i="20" s="1"/>
  <c r="BD428" i="20" s="1"/>
  <c r="BE428" i="20" s="1"/>
  <c r="BF428" i="20" s="1"/>
  <c r="AT469" i="20"/>
  <c r="AU469" i="20" s="1"/>
  <c r="AV469" i="20" s="1"/>
  <c r="AW469" i="20" s="1"/>
  <c r="AX469" i="20" s="1"/>
  <c r="AY469" i="20" s="1"/>
  <c r="AZ469" i="20" s="1"/>
  <c r="BA469" i="20" s="1"/>
  <c r="BB469" i="20" s="1"/>
  <c r="BC469" i="20" s="1"/>
  <c r="BD469" i="20" s="1"/>
  <c r="BE469" i="20" s="1"/>
  <c r="BF469" i="20" s="1"/>
  <c r="AT310" i="20"/>
  <c r="AU310" i="20" s="1"/>
  <c r="AV310" i="20" s="1"/>
  <c r="AW310" i="20" s="1"/>
  <c r="AX310" i="20" s="1"/>
  <c r="AY310" i="20" s="1"/>
  <c r="AZ310" i="20" s="1"/>
  <c r="BA310" i="20" s="1"/>
  <c r="BB310" i="20" s="1"/>
  <c r="BC310" i="20" s="1"/>
  <c r="BD310" i="20" s="1"/>
  <c r="BE310" i="20" s="1"/>
  <c r="BF310" i="20" s="1"/>
  <c r="BG310" i="20" s="1"/>
  <c r="BH310" i="20" s="1"/>
  <c r="BI310" i="20" s="1"/>
  <c r="BJ310" i="20" s="1"/>
  <c r="BK310" i="20" s="1"/>
  <c r="BL310" i="20" s="1"/>
  <c r="BM310" i="20" s="1"/>
  <c r="BN310" i="20" s="1"/>
  <c r="AM847" i="20"/>
  <c r="AN847" i="20" s="1"/>
  <c r="AO847" i="20" s="1"/>
  <c r="AP847" i="20" s="1"/>
  <c r="AQ847" i="20" s="1"/>
  <c r="AR847" i="20" s="1"/>
  <c r="AS847" i="20" s="1"/>
  <c r="AT847" i="20" s="1"/>
  <c r="AU847" i="20" s="1"/>
  <c r="AV847" i="20" s="1"/>
  <c r="AW847" i="20" s="1"/>
  <c r="AX847" i="20" s="1"/>
  <c r="AY847" i="20" s="1"/>
  <c r="AZ847" i="20" s="1"/>
  <c r="BA847" i="20" s="1"/>
  <c r="BB847" i="20" s="1"/>
  <c r="BC847" i="20" s="1"/>
  <c r="BD847" i="20" s="1"/>
  <c r="BE847" i="20" s="1"/>
  <c r="BF847" i="20" s="1"/>
  <c r="BG847" i="20" s="1"/>
  <c r="BH847" i="20" s="1"/>
  <c r="BI847" i="20" s="1"/>
  <c r="BJ847" i="20" s="1"/>
  <c r="BK847" i="20" s="1"/>
  <c r="BL847" i="20" s="1"/>
  <c r="BM847" i="20" s="1"/>
  <c r="BN847" i="20" s="1"/>
  <c r="AT298" i="20"/>
  <c r="AU298" i="20" s="1"/>
  <c r="AV298" i="20" s="1"/>
  <c r="AW298" i="20" s="1"/>
  <c r="AX298" i="20" s="1"/>
  <c r="AY298" i="20" s="1"/>
  <c r="AZ298" i="20" s="1"/>
  <c r="BA298" i="20" s="1"/>
  <c r="BB298" i="20" s="1"/>
  <c r="BC298" i="20" s="1"/>
  <c r="BD298" i="20" s="1"/>
  <c r="BE298" i="20" s="1"/>
  <c r="BF298" i="20" s="1"/>
  <c r="BG298" i="20" s="1"/>
  <c r="BH298" i="20" s="1"/>
  <c r="BI298" i="20" s="1"/>
  <c r="BJ298" i="20" s="1"/>
  <c r="BK298" i="20" s="1"/>
  <c r="BL298" i="20" s="1"/>
  <c r="BM298" i="20" s="1"/>
  <c r="BN298" i="20" s="1"/>
  <c r="AT328" i="20"/>
  <c r="AU328" i="20" s="1"/>
  <c r="AV328" i="20" s="1"/>
  <c r="AW328" i="20" s="1"/>
  <c r="AX328" i="20" s="1"/>
  <c r="AY328" i="20" s="1"/>
  <c r="AZ328" i="20" s="1"/>
  <c r="BA328" i="20" s="1"/>
  <c r="BB328" i="20" s="1"/>
  <c r="BC328" i="20" s="1"/>
  <c r="BD328" i="20" s="1"/>
  <c r="BE328" i="20" s="1"/>
  <c r="BF328" i="20" s="1"/>
  <c r="BG328" i="20" s="1"/>
  <c r="BH328" i="20" s="1"/>
  <c r="BI328" i="20" s="1"/>
  <c r="BJ328" i="20" s="1"/>
  <c r="BK328" i="20" s="1"/>
  <c r="BL328" i="20" s="1"/>
  <c r="BM328" i="20" s="1"/>
  <c r="BN328" i="20" s="1"/>
  <c r="AT331" i="20"/>
  <c r="AU331" i="20" s="1"/>
  <c r="AV331" i="20" s="1"/>
  <c r="AW331" i="20" s="1"/>
  <c r="AX331" i="20" s="1"/>
  <c r="AY331" i="20" s="1"/>
  <c r="AZ331" i="20" s="1"/>
  <c r="BA331" i="20" s="1"/>
  <c r="BB331" i="20" s="1"/>
  <c r="BC331" i="20" s="1"/>
  <c r="BD331" i="20" s="1"/>
  <c r="BE331" i="20" s="1"/>
  <c r="BF331" i="20" s="1"/>
  <c r="BG331" i="20" s="1"/>
  <c r="BH331" i="20" s="1"/>
  <c r="BI331" i="20" s="1"/>
  <c r="BJ331" i="20" s="1"/>
  <c r="BK331" i="20" s="1"/>
  <c r="BL331" i="20" s="1"/>
  <c r="BM331" i="20" s="1"/>
  <c r="BN331" i="20" s="1"/>
  <c r="AT321" i="20"/>
  <c r="AU321" i="20" s="1"/>
  <c r="AV321" i="20" s="1"/>
  <c r="AW321" i="20" s="1"/>
  <c r="AX321" i="20" s="1"/>
  <c r="AY321" i="20" s="1"/>
  <c r="AZ321" i="20" s="1"/>
  <c r="BA321" i="20" s="1"/>
  <c r="BB321" i="20" s="1"/>
  <c r="BC321" i="20" s="1"/>
  <c r="BD321" i="20" s="1"/>
  <c r="BE321" i="20" s="1"/>
  <c r="BF321" i="20" s="1"/>
  <c r="BG321" i="20" s="1"/>
  <c r="BH321" i="20" s="1"/>
  <c r="BI321" i="20" s="1"/>
  <c r="BJ321" i="20" s="1"/>
  <c r="BK321" i="20" s="1"/>
  <c r="BL321" i="20" s="1"/>
  <c r="BM321" i="20" s="1"/>
  <c r="BN321" i="20" s="1"/>
  <c r="AM664" i="20"/>
  <c r="AN664" i="20" s="1"/>
  <c r="AO664" i="20" s="1"/>
  <c r="AP664" i="20" s="1"/>
  <c r="AQ664" i="20" s="1"/>
  <c r="AR664" i="20" s="1"/>
  <c r="AS664" i="20" s="1"/>
  <c r="AT664" i="20" s="1"/>
  <c r="AU664" i="20" s="1"/>
  <c r="AV664" i="20" s="1"/>
  <c r="AW664" i="20" s="1"/>
  <c r="AX664" i="20" s="1"/>
  <c r="AY664" i="20" s="1"/>
  <c r="AZ664" i="20" s="1"/>
  <c r="BA664" i="20" s="1"/>
  <c r="BB664" i="20" s="1"/>
  <c r="BC664" i="20" s="1"/>
  <c r="BD664" i="20" s="1"/>
  <c r="BE664" i="20" s="1"/>
  <c r="BF664" i="20" s="1"/>
  <c r="BG664" i="20" s="1"/>
  <c r="BH664" i="20" s="1"/>
  <c r="BI664" i="20" s="1"/>
  <c r="BJ664" i="20" s="1"/>
  <c r="BK664" i="20" s="1"/>
  <c r="BL664" i="20" s="1"/>
  <c r="BM664" i="20" s="1"/>
  <c r="BN664" i="20" s="1"/>
  <c r="AM759" i="20"/>
  <c r="AN759" i="20" s="1"/>
  <c r="AO759" i="20" s="1"/>
  <c r="AP759" i="20" s="1"/>
  <c r="AQ759" i="20" s="1"/>
  <c r="AR759" i="20" s="1"/>
  <c r="AS759" i="20" s="1"/>
  <c r="AT759" i="20" s="1"/>
  <c r="AU759" i="20" s="1"/>
  <c r="AV759" i="20" s="1"/>
  <c r="AW759" i="20" s="1"/>
  <c r="AX759" i="20" s="1"/>
  <c r="AY759" i="20" s="1"/>
  <c r="AZ759" i="20" s="1"/>
  <c r="BA759" i="20" s="1"/>
  <c r="BB759" i="20" s="1"/>
  <c r="BC759" i="20" s="1"/>
  <c r="BD759" i="20" s="1"/>
  <c r="BE759" i="20" s="1"/>
  <c r="BF759" i="20" s="1"/>
  <c r="BG759" i="20" s="1"/>
  <c r="BH759" i="20" s="1"/>
  <c r="BI759" i="20" s="1"/>
  <c r="BJ759" i="20" s="1"/>
  <c r="BK759" i="20" s="1"/>
  <c r="BL759" i="20" s="1"/>
  <c r="BM759" i="20" s="1"/>
  <c r="BN759" i="20" s="1"/>
  <c r="AT439" i="20"/>
  <c r="AU439" i="20" s="1"/>
  <c r="AV439" i="20" s="1"/>
  <c r="AW439" i="20" s="1"/>
  <c r="AX439" i="20" s="1"/>
  <c r="AY439" i="20" s="1"/>
  <c r="AZ439" i="20" s="1"/>
  <c r="BA439" i="20" s="1"/>
  <c r="BB439" i="20" s="1"/>
  <c r="BC439" i="20" s="1"/>
  <c r="BD439" i="20" s="1"/>
  <c r="BE439" i="20" s="1"/>
  <c r="BF439" i="20" s="1"/>
  <c r="BG439" i="20" s="1"/>
  <c r="AT465" i="20"/>
  <c r="AU465" i="20" s="1"/>
  <c r="AV465" i="20" s="1"/>
  <c r="AW465" i="20" s="1"/>
  <c r="AX465" i="20" s="1"/>
  <c r="AY465" i="20" s="1"/>
  <c r="AZ465" i="20" s="1"/>
  <c r="BA465" i="20" s="1"/>
  <c r="BB465" i="20" s="1"/>
  <c r="BC465" i="20" s="1"/>
  <c r="BD465" i="20" s="1"/>
  <c r="BE465" i="20" s="1"/>
  <c r="BF465" i="20" s="1"/>
  <c r="BG465" i="20" s="1"/>
  <c r="AM755" i="20"/>
  <c r="AN755" i="20" s="1"/>
  <c r="AO755" i="20" s="1"/>
  <c r="AP755" i="20" s="1"/>
  <c r="AQ755" i="20" s="1"/>
  <c r="AR755" i="20" s="1"/>
  <c r="AS755" i="20" s="1"/>
  <c r="AT755" i="20" s="1"/>
  <c r="AU755" i="20" s="1"/>
  <c r="AV755" i="20" s="1"/>
  <c r="AW755" i="20" s="1"/>
  <c r="AX755" i="20" s="1"/>
  <c r="AY755" i="20" s="1"/>
  <c r="AZ755" i="20" s="1"/>
  <c r="BA755" i="20" s="1"/>
  <c r="BB755" i="20" s="1"/>
  <c r="BC755" i="20" s="1"/>
  <c r="BD755" i="20" s="1"/>
  <c r="BE755" i="20" s="1"/>
  <c r="BF755" i="20" s="1"/>
  <c r="BG755" i="20" s="1"/>
  <c r="BH755" i="20" s="1"/>
  <c r="BI755" i="20" s="1"/>
  <c r="BJ755" i="20" s="1"/>
  <c r="BK755" i="20" s="1"/>
  <c r="BL755" i="20" s="1"/>
  <c r="BM755" i="20" s="1"/>
  <c r="BN755" i="20" s="1"/>
  <c r="AT302" i="20"/>
  <c r="AU302" i="20" s="1"/>
  <c r="AV302" i="20" s="1"/>
  <c r="AW302" i="20" s="1"/>
  <c r="AX302" i="20" s="1"/>
  <c r="AY302" i="20" s="1"/>
  <c r="AZ302" i="20" s="1"/>
  <c r="BA302" i="20" s="1"/>
  <c r="BB302" i="20" s="1"/>
  <c r="BC302" i="20" s="1"/>
  <c r="BD302" i="20" s="1"/>
  <c r="BE302" i="20" s="1"/>
  <c r="BF302" i="20" s="1"/>
  <c r="BG302" i="20" s="1"/>
  <c r="BH302" i="20" s="1"/>
  <c r="BI302" i="20" s="1"/>
  <c r="BJ302" i="20" s="1"/>
  <c r="BK302" i="20" s="1"/>
  <c r="BL302" i="20" s="1"/>
  <c r="BM302" i="20" s="1"/>
  <c r="BN302" i="20" s="1"/>
  <c r="AM814" i="20"/>
  <c r="AN814" i="20" s="1"/>
  <c r="AO814" i="20" s="1"/>
  <c r="AP814" i="20" s="1"/>
  <c r="AQ814" i="20" s="1"/>
  <c r="AR814" i="20" s="1"/>
  <c r="AS814" i="20" s="1"/>
  <c r="AT814" i="20" s="1"/>
  <c r="AU814" i="20" s="1"/>
  <c r="AV814" i="20" s="1"/>
  <c r="AW814" i="20" s="1"/>
  <c r="AX814" i="20" s="1"/>
  <c r="AY814" i="20" s="1"/>
  <c r="AZ814" i="20" s="1"/>
  <c r="BA814" i="20" s="1"/>
  <c r="BB814" i="20" s="1"/>
  <c r="BC814" i="20" s="1"/>
  <c r="BD814" i="20" s="1"/>
  <c r="BE814" i="20" s="1"/>
  <c r="BF814" i="20" s="1"/>
  <c r="BG814" i="20" s="1"/>
  <c r="BH814" i="20" s="1"/>
  <c r="BI814" i="20" s="1"/>
  <c r="BJ814" i="20" s="1"/>
  <c r="BK814" i="20" s="1"/>
  <c r="BL814" i="20" s="1"/>
  <c r="BM814" i="20" s="1"/>
  <c r="BN814" i="20" s="1"/>
  <c r="AM780" i="20"/>
  <c r="AN780" i="20" s="1"/>
  <c r="AO780" i="20" s="1"/>
  <c r="AP780" i="20" s="1"/>
  <c r="AQ780" i="20" s="1"/>
  <c r="AR780" i="20" s="1"/>
  <c r="AS780" i="20" s="1"/>
  <c r="AT780" i="20" s="1"/>
  <c r="AU780" i="20" s="1"/>
  <c r="AV780" i="20" s="1"/>
  <c r="AW780" i="20" s="1"/>
  <c r="AX780" i="20" s="1"/>
  <c r="AY780" i="20" s="1"/>
  <c r="AZ780" i="20" s="1"/>
  <c r="BA780" i="20" s="1"/>
  <c r="BB780" i="20" s="1"/>
  <c r="BC780" i="20" s="1"/>
  <c r="BD780" i="20" s="1"/>
  <c r="BE780" i="20" s="1"/>
  <c r="BF780" i="20" s="1"/>
  <c r="BG780" i="20" s="1"/>
  <c r="BH780" i="20" s="1"/>
  <c r="BI780" i="20" s="1"/>
  <c r="BJ780" i="20" s="1"/>
  <c r="BK780" i="20" s="1"/>
  <c r="BL780" i="20" s="1"/>
  <c r="BM780" i="20" s="1"/>
  <c r="BN780" i="20" s="1"/>
  <c r="AT300" i="20"/>
  <c r="AU300" i="20" s="1"/>
  <c r="AV300" i="20" s="1"/>
  <c r="AW300" i="20" s="1"/>
  <c r="AX300" i="20" s="1"/>
  <c r="AY300" i="20" s="1"/>
  <c r="AZ300" i="20" s="1"/>
  <c r="BA300" i="20" s="1"/>
  <c r="BB300" i="20" s="1"/>
  <c r="BC300" i="20" s="1"/>
  <c r="BD300" i="20" s="1"/>
  <c r="BE300" i="20" s="1"/>
  <c r="BF300" i="20" s="1"/>
  <c r="BG300" i="20" s="1"/>
  <c r="BH300" i="20" s="1"/>
  <c r="BI300" i="20" s="1"/>
  <c r="BJ300" i="20" s="1"/>
  <c r="BK300" i="20" s="1"/>
  <c r="BL300" i="20" s="1"/>
  <c r="BM300" i="20" s="1"/>
  <c r="BN300" i="20" s="1"/>
  <c r="AM638" i="20"/>
  <c r="AN638" i="20" s="1"/>
  <c r="AO638" i="20" s="1"/>
  <c r="AP638" i="20" s="1"/>
  <c r="AQ638" i="20" s="1"/>
  <c r="AR638" i="20" s="1"/>
  <c r="AS638" i="20" s="1"/>
  <c r="AT638" i="20" s="1"/>
  <c r="AU638" i="20" s="1"/>
  <c r="AV638" i="20" s="1"/>
  <c r="AW638" i="20" s="1"/>
  <c r="AX638" i="20" s="1"/>
  <c r="AY638" i="20" s="1"/>
  <c r="AZ638" i="20" s="1"/>
  <c r="BA638" i="20" s="1"/>
  <c r="BB638" i="20" s="1"/>
  <c r="BC638" i="20" s="1"/>
  <c r="BD638" i="20" s="1"/>
  <c r="BE638" i="20" s="1"/>
  <c r="BF638" i="20" s="1"/>
  <c r="BG638" i="20" s="1"/>
  <c r="BH638" i="20" s="1"/>
  <c r="BI638" i="20" s="1"/>
  <c r="BJ638" i="20" s="1"/>
  <c r="BK638" i="20" s="1"/>
  <c r="BL638" i="20" s="1"/>
  <c r="BM638" i="20" s="1"/>
  <c r="BN638" i="20" s="1"/>
  <c r="AM662" i="20"/>
  <c r="AN662" i="20" s="1"/>
  <c r="AO662" i="20" s="1"/>
  <c r="AP662" i="20" s="1"/>
  <c r="AQ662" i="20" s="1"/>
  <c r="AR662" i="20" s="1"/>
  <c r="AS662" i="20" s="1"/>
  <c r="AT662" i="20" s="1"/>
  <c r="AU662" i="20" s="1"/>
  <c r="AV662" i="20" s="1"/>
  <c r="AW662" i="20" s="1"/>
  <c r="AX662" i="20" s="1"/>
  <c r="AY662" i="20" s="1"/>
  <c r="AZ662" i="20" s="1"/>
  <c r="BA662" i="20" s="1"/>
  <c r="BB662" i="20" s="1"/>
  <c r="BC662" i="20" s="1"/>
  <c r="BD662" i="20" s="1"/>
  <c r="BE662" i="20" s="1"/>
  <c r="BF662" i="20" s="1"/>
  <c r="BG662" i="20" s="1"/>
  <c r="BH662" i="20" s="1"/>
  <c r="BI662" i="20" s="1"/>
  <c r="BJ662" i="20" s="1"/>
  <c r="BK662" i="20" s="1"/>
  <c r="BL662" i="20" s="1"/>
  <c r="BM662" i="20" s="1"/>
  <c r="BN662" i="20" s="1"/>
  <c r="AT348" i="20"/>
  <c r="AU348" i="20" s="1"/>
  <c r="AV348" i="20" s="1"/>
  <c r="AW348" i="20" s="1"/>
  <c r="AX348" i="20" s="1"/>
  <c r="AY348" i="20" s="1"/>
  <c r="AZ348" i="20" s="1"/>
  <c r="BA348" i="20" s="1"/>
  <c r="BB348" i="20" s="1"/>
  <c r="BC348" i="20" s="1"/>
  <c r="BD348" i="20" s="1"/>
  <c r="BE348" i="20" s="1"/>
  <c r="BF348" i="20" s="1"/>
  <c r="BG348" i="20" s="1"/>
  <c r="BH348" i="20" s="1"/>
  <c r="BI348" i="20" s="1"/>
  <c r="BJ348" i="20" s="1"/>
  <c r="BK348" i="20" s="1"/>
  <c r="BL348" i="20" s="1"/>
  <c r="BM348" i="20" s="1"/>
  <c r="BN348" i="20" s="1"/>
  <c r="AY722" i="20"/>
  <c r="AZ722" i="20" s="1"/>
  <c r="BA722" i="20" s="1"/>
  <c r="BB722" i="20" s="1"/>
  <c r="BC722" i="20" s="1"/>
  <c r="BD722" i="20" s="1"/>
  <c r="BE722" i="20" s="1"/>
  <c r="BF722" i="20" s="1"/>
  <c r="BG722" i="20" s="1"/>
  <c r="BH722" i="20" s="1"/>
  <c r="BI722" i="20" s="1"/>
  <c r="BJ722" i="20" s="1"/>
  <c r="BK722" i="20" s="1"/>
  <c r="BL722" i="20" s="1"/>
  <c r="BM722" i="20" s="1"/>
  <c r="AM822" i="20"/>
  <c r="AN822" i="20" s="1"/>
  <c r="AO822" i="20" s="1"/>
  <c r="AP822" i="20" s="1"/>
  <c r="AQ822" i="20" s="1"/>
  <c r="AR822" i="20" s="1"/>
  <c r="AS822" i="20" s="1"/>
  <c r="AT822" i="20" s="1"/>
  <c r="AU822" i="20" s="1"/>
  <c r="AV822" i="20" s="1"/>
  <c r="AW822" i="20" s="1"/>
  <c r="AX822" i="20" s="1"/>
  <c r="AY822" i="20" s="1"/>
  <c r="AZ822" i="20" s="1"/>
  <c r="BA822" i="20" s="1"/>
  <c r="BB822" i="20" s="1"/>
  <c r="BC822" i="20" s="1"/>
  <c r="BD822" i="20" s="1"/>
  <c r="BE822" i="20" s="1"/>
  <c r="BF822" i="20" s="1"/>
  <c r="BG822" i="20" s="1"/>
  <c r="BH822" i="20" s="1"/>
  <c r="BI822" i="20" s="1"/>
  <c r="BJ822" i="20" s="1"/>
  <c r="BK822" i="20" s="1"/>
  <c r="BL822" i="20" s="1"/>
  <c r="BM822" i="20" s="1"/>
  <c r="BN822" i="20" s="1"/>
  <c r="AT320" i="20"/>
  <c r="AU320" i="20" s="1"/>
  <c r="AV320" i="20" s="1"/>
  <c r="AW320" i="20" s="1"/>
  <c r="AX320" i="20" s="1"/>
  <c r="AY320" i="20" s="1"/>
  <c r="AZ320" i="20" s="1"/>
  <c r="BA320" i="20" s="1"/>
  <c r="BB320" i="20" s="1"/>
  <c r="BC320" i="20" s="1"/>
  <c r="BD320" i="20" s="1"/>
  <c r="BE320" i="20" s="1"/>
  <c r="BF320" i="20" s="1"/>
  <c r="BG320" i="20" s="1"/>
  <c r="BH320" i="20" s="1"/>
  <c r="BI320" i="20" s="1"/>
  <c r="BJ320" i="20" s="1"/>
  <c r="BK320" i="20" s="1"/>
  <c r="BL320" i="20" s="1"/>
  <c r="BM320" i="20" s="1"/>
  <c r="BN320" i="20" s="1"/>
  <c r="AY725" i="20"/>
  <c r="AZ725" i="20" s="1"/>
  <c r="BA725" i="20" s="1"/>
  <c r="BB725" i="20" s="1"/>
  <c r="BC725" i="20" s="1"/>
  <c r="BD725" i="20" s="1"/>
  <c r="BE725" i="20" s="1"/>
  <c r="BF725" i="20" s="1"/>
  <c r="BG725" i="20" s="1"/>
  <c r="BH725" i="20" s="1"/>
  <c r="BI725" i="20" s="1"/>
  <c r="BJ725" i="20" s="1"/>
  <c r="BK725" i="20" s="1"/>
  <c r="BL725" i="20" s="1"/>
  <c r="BM725" i="20" s="1"/>
  <c r="BN725" i="20" s="1"/>
  <c r="AM844" i="20"/>
  <c r="AN844" i="20" s="1"/>
  <c r="AO844" i="20" s="1"/>
  <c r="AP844" i="20" s="1"/>
  <c r="AQ844" i="20" s="1"/>
  <c r="AR844" i="20" s="1"/>
  <c r="AS844" i="20" s="1"/>
  <c r="AT844" i="20" s="1"/>
  <c r="AU844" i="20" s="1"/>
  <c r="AV844" i="20" s="1"/>
  <c r="AW844" i="20" s="1"/>
  <c r="AX844" i="20" s="1"/>
  <c r="AY844" i="20" s="1"/>
  <c r="AZ844" i="20" s="1"/>
  <c r="BA844" i="20" s="1"/>
  <c r="BB844" i="20" s="1"/>
  <c r="BC844" i="20" s="1"/>
  <c r="BD844" i="20" s="1"/>
  <c r="BE844" i="20" s="1"/>
  <c r="BF844" i="20" s="1"/>
  <c r="BG844" i="20" s="1"/>
  <c r="BH844" i="20" s="1"/>
  <c r="BI844" i="20" s="1"/>
  <c r="BJ844" i="20" s="1"/>
  <c r="BK844" i="20" s="1"/>
  <c r="BL844" i="20" s="1"/>
  <c r="BM844" i="20" s="1"/>
  <c r="BN844" i="20" s="1"/>
  <c r="AT330" i="20"/>
  <c r="AU330" i="20" s="1"/>
  <c r="AV330" i="20" s="1"/>
  <c r="AW330" i="20" s="1"/>
  <c r="AX330" i="20" s="1"/>
  <c r="AY330" i="20" s="1"/>
  <c r="AZ330" i="20" s="1"/>
  <c r="BA330" i="20" s="1"/>
  <c r="BB330" i="20" s="1"/>
  <c r="BC330" i="20" s="1"/>
  <c r="BD330" i="20" s="1"/>
  <c r="BE330" i="20" s="1"/>
  <c r="BF330" i="20" s="1"/>
  <c r="BG330" i="20" s="1"/>
  <c r="BH330" i="20" s="1"/>
  <c r="BI330" i="20" s="1"/>
  <c r="BJ330" i="20" s="1"/>
  <c r="BK330" i="20" s="1"/>
  <c r="BL330" i="20" s="1"/>
  <c r="BM330" i="20" s="1"/>
  <c r="BN330" i="20" s="1"/>
  <c r="AM824" i="20"/>
  <c r="AN824" i="20" s="1"/>
  <c r="AO824" i="20" s="1"/>
  <c r="AP824" i="20" s="1"/>
  <c r="AQ824" i="20" s="1"/>
  <c r="AR824" i="20" s="1"/>
  <c r="AS824" i="20" s="1"/>
  <c r="AT824" i="20" s="1"/>
  <c r="AU824" i="20" s="1"/>
  <c r="AV824" i="20" s="1"/>
  <c r="AW824" i="20" s="1"/>
  <c r="AX824" i="20" s="1"/>
  <c r="AY824" i="20" s="1"/>
  <c r="AZ824" i="20" s="1"/>
  <c r="BA824" i="20" s="1"/>
  <c r="BB824" i="20" s="1"/>
  <c r="BC824" i="20" s="1"/>
  <c r="BD824" i="20" s="1"/>
  <c r="BE824" i="20" s="1"/>
  <c r="BF824" i="20" s="1"/>
  <c r="BG824" i="20" s="1"/>
  <c r="BH824" i="20" s="1"/>
  <c r="BI824" i="20" s="1"/>
  <c r="BJ824" i="20" s="1"/>
  <c r="BK824" i="20" s="1"/>
  <c r="BL824" i="20" s="1"/>
  <c r="BM824" i="20" s="1"/>
  <c r="BN824" i="20" s="1"/>
  <c r="AT301" i="20"/>
  <c r="AU301" i="20" s="1"/>
  <c r="AV301" i="20" s="1"/>
  <c r="AW301" i="20" s="1"/>
  <c r="AX301" i="20" s="1"/>
  <c r="AY301" i="20" s="1"/>
  <c r="AZ301" i="20" s="1"/>
  <c r="BA301" i="20" s="1"/>
  <c r="BB301" i="20" s="1"/>
  <c r="BC301" i="20" s="1"/>
  <c r="BD301" i="20" s="1"/>
  <c r="BE301" i="20" s="1"/>
  <c r="BF301" i="20" s="1"/>
  <c r="BG301" i="20" s="1"/>
  <c r="BH301" i="20" s="1"/>
  <c r="BI301" i="20" s="1"/>
  <c r="BJ301" i="20" s="1"/>
  <c r="BK301" i="20" s="1"/>
  <c r="BL301" i="20" s="1"/>
  <c r="BM301" i="20" s="1"/>
  <c r="BN301" i="20" s="1"/>
  <c r="AT448" i="20"/>
  <c r="AU448" i="20" s="1"/>
  <c r="AV448" i="20" s="1"/>
  <c r="AW448" i="20" s="1"/>
  <c r="AX448" i="20" s="1"/>
  <c r="AY448" i="20" s="1"/>
  <c r="AZ448" i="20" s="1"/>
  <c r="BA448" i="20" s="1"/>
  <c r="BB448" i="20" s="1"/>
  <c r="BC448" i="20" s="1"/>
  <c r="BD448" i="20" s="1"/>
  <c r="BE448" i="20" s="1"/>
  <c r="BF448" i="20" s="1"/>
  <c r="BG448" i="20" s="1"/>
  <c r="AM674" i="20"/>
  <c r="AN674" i="20" s="1"/>
  <c r="AO674" i="20" s="1"/>
  <c r="AP674" i="20" s="1"/>
  <c r="AQ674" i="20" s="1"/>
  <c r="AR674" i="20" s="1"/>
  <c r="AS674" i="20" s="1"/>
  <c r="AT674" i="20" s="1"/>
  <c r="AU674" i="20" s="1"/>
  <c r="AV674" i="20" s="1"/>
  <c r="AW674" i="20" s="1"/>
  <c r="AX674" i="20" s="1"/>
  <c r="AY674" i="20" s="1"/>
  <c r="AZ674" i="20" s="1"/>
  <c r="BA674" i="20" s="1"/>
  <c r="BB674" i="20" s="1"/>
  <c r="BC674" i="20" s="1"/>
  <c r="BD674" i="20" s="1"/>
  <c r="BE674" i="20" s="1"/>
  <c r="BF674" i="20" s="1"/>
  <c r="BG674" i="20" s="1"/>
  <c r="BH674" i="20" s="1"/>
  <c r="BI674" i="20" s="1"/>
  <c r="BJ674" i="20" s="1"/>
  <c r="BK674" i="20" s="1"/>
  <c r="BL674" i="20" s="1"/>
  <c r="BM674" i="20" s="1"/>
  <c r="BN674" i="20" s="1"/>
  <c r="AM758" i="20"/>
  <c r="AN758" i="20" s="1"/>
  <c r="AO758" i="20" s="1"/>
  <c r="AP758" i="20" s="1"/>
  <c r="AQ758" i="20" s="1"/>
  <c r="AR758" i="20" s="1"/>
  <c r="AS758" i="20" s="1"/>
  <c r="AT758" i="20" s="1"/>
  <c r="AU758" i="20" s="1"/>
  <c r="AV758" i="20" s="1"/>
  <c r="AW758" i="20" s="1"/>
  <c r="AX758" i="20" s="1"/>
  <c r="AY758" i="20" s="1"/>
  <c r="AZ758" i="20" s="1"/>
  <c r="BA758" i="20" s="1"/>
  <c r="BB758" i="20" s="1"/>
  <c r="BC758" i="20" s="1"/>
  <c r="BD758" i="20" s="1"/>
  <c r="BE758" i="20" s="1"/>
  <c r="BF758" i="20" s="1"/>
  <c r="BG758" i="20" s="1"/>
  <c r="BH758" i="20" s="1"/>
  <c r="BI758" i="20" s="1"/>
  <c r="BJ758" i="20" s="1"/>
  <c r="BK758" i="20" s="1"/>
  <c r="BL758" i="20" s="1"/>
  <c r="BM758" i="20" s="1"/>
  <c r="BN758" i="20" s="1"/>
  <c r="AM825" i="20"/>
  <c r="AN825" i="20" s="1"/>
  <c r="AO825" i="20" s="1"/>
  <c r="AP825" i="20" s="1"/>
  <c r="AQ825" i="20" s="1"/>
  <c r="AR825" i="20" s="1"/>
  <c r="AS825" i="20" s="1"/>
  <c r="AT825" i="20" s="1"/>
  <c r="AU825" i="20" s="1"/>
  <c r="AV825" i="20" s="1"/>
  <c r="AW825" i="20" s="1"/>
  <c r="AX825" i="20" s="1"/>
  <c r="AY825" i="20" s="1"/>
  <c r="AZ825" i="20" s="1"/>
  <c r="BA825" i="20" s="1"/>
  <c r="BB825" i="20" s="1"/>
  <c r="BC825" i="20" s="1"/>
  <c r="BD825" i="20" s="1"/>
  <c r="BE825" i="20" s="1"/>
  <c r="BF825" i="20" s="1"/>
  <c r="BG825" i="20" s="1"/>
  <c r="BH825" i="20" s="1"/>
  <c r="BI825" i="20" s="1"/>
  <c r="BJ825" i="20" s="1"/>
  <c r="BK825" i="20" s="1"/>
  <c r="BL825" i="20" s="1"/>
  <c r="BM825" i="20" s="1"/>
  <c r="AM836" i="20"/>
  <c r="AN836" i="20" s="1"/>
  <c r="AO836" i="20" s="1"/>
  <c r="AP836" i="20" s="1"/>
  <c r="AQ836" i="20" s="1"/>
  <c r="AR836" i="20" s="1"/>
  <c r="AS836" i="20" s="1"/>
  <c r="AT836" i="20" s="1"/>
  <c r="AU836" i="20" s="1"/>
  <c r="AV836" i="20" s="1"/>
  <c r="AW836" i="20" s="1"/>
  <c r="AX836" i="20" s="1"/>
  <c r="AY836" i="20" s="1"/>
  <c r="AZ836" i="20" s="1"/>
  <c r="BA836" i="20" s="1"/>
  <c r="BB836" i="20" s="1"/>
  <c r="BC836" i="20" s="1"/>
  <c r="BD836" i="20" s="1"/>
  <c r="BE836" i="20" s="1"/>
  <c r="BF836" i="20" s="1"/>
  <c r="BG836" i="20" s="1"/>
  <c r="BH836" i="20" s="1"/>
  <c r="BI836" i="20" s="1"/>
  <c r="BJ836" i="20" s="1"/>
  <c r="BK836" i="20" s="1"/>
  <c r="BL836" i="20" s="1"/>
  <c r="BM836" i="20" s="1"/>
  <c r="BN836" i="20" s="1"/>
  <c r="AT308" i="20"/>
  <c r="AU308" i="20" s="1"/>
  <c r="AV308" i="20" s="1"/>
  <c r="AW308" i="20" s="1"/>
  <c r="AX308" i="20" s="1"/>
  <c r="AY308" i="20" s="1"/>
  <c r="AZ308" i="20" s="1"/>
  <c r="BA308" i="20" s="1"/>
  <c r="BB308" i="20" s="1"/>
  <c r="BC308" i="20" s="1"/>
  <c r="BD308" i="20" s="1"/>
  <c r="BE308" i="20" s="1"/>
  <c r="BF308" i="20" s="1"/>
  <c r="BG308" i="20" s="1"/>
  <c r="BH308" i="20" s="1"/>
  <c r="BI308" i="20" s="1"/>
  <c r="BJ308" i="20" s="1"/>
  <c r="BK308" i="20" s="1"/>
  <c r="BL308" i="20" s="1"/>
  <c r="BM308" i="20" s="1"/>
  <c r="BN308" i="20" s="1"/>
  <c r="AL64" i="20"/>
  <c r="AL67" i="20"/>
  <c r="AL63" i="20"/>
  <c r="AL65" i="20"/>
  <c r="AL68" i="20"/>
  <c r="AL62" i="20"/>
  <c r="AL66" i="20"/>
  <c r="AL104" i="20"/>
  <c r="AL100" i="20"/>
  <c r="AL106" i="20"/>
  <c r="AL101" i="20"/>
  <c r="AL105" i="20"/>
  <c r="AL103" i="20"/>
  <c r="AL102" i="20"/>
  <c r="AL44" i="20"/>
  <c r="AL48" i="20"/>
  <c r="AL47" i="20"/>
  <c r="AL49" i="20"/>
  <c r="AL50" i="20"/>
  <c r="AL45" i="20"/>
  <c r="AL46" i="20"/>
  <c r="AL82" i="20"/>
  <c r="AL81" i="20"/>
  <c r="AL84" i="20"/>
  <c r="AL80" i="20"/>
  <c r="AL83" i="20"/>
  <c r="AL85" i="20"/>
  <c r="AL86" i="20"/>
  <c r="AN735" i="20"/>
  <c r="AO735" i="20" s="1"/>
  <c r="AP735" i="20" s="1"/>
  <c r="AQ735" i="20" s="1"/>
  <c r="AR735" i="20" s="1"/>
  <c r="AS735" i="20" s="1"/>
  <c r="AT735" i="20" s="1"/>
  <c r="AU735" i="20" s="1"/>
  <c r="AV735" i="20" s="1"/>
  <c r="AW735" i="20" s="1"/>
  <c r="AX735" i="20" s="1"/>
  <c r="AY735" i="20" s="1"/>
  <c r="AZ735" i="20" s="1"/>
  <c r="BA735" i="20" s="1"/>
  <c r="BB735" i="20" s="1"/>
  <c r="BC735" i="20" s="1"/>
  <c r="BD735" i="20" s="1"/>
  <c r="BE735" i="20" s="1"/>
  <c r="BF735" i="20" s="1"/>
  <c r="BG735" i="20" s="1"/>
  <c r="BH735" i="20" s="1"/>
  <c r="BI735" i="20" s="1"/>
  <c r="BJ735" i="20" s="1"/>
  <c r="BK735" i="20" s="1"/>
  <c r="BL735" i="20" s="1"/>
  <c r="BM735" i="20" s="1"/>
  <c r="BN735" i="20" s="1"/>
  <c r="AM640" i="20"/>
  <c r="AN640" i="20" s="1"/>
  <c r="AO640" i="20" s="1"/>
  <c r="AP640" i="20" s="1"/>
  <c r="AQ640" i="20" s="1"/>
  <c r="AR640" i="20" s="1"/>
  <c r="AS640" i="20" s="1"/>
  <c r="AT640" i="20" s="1"/>
  <c r="AU640" i="20" s="1"/>
  <c r="AV640" i="20" s="1"/>
  <c r="AW640" i="20" s="1"/>
  <c r="AX640" i="20" s="1"/>
  <c r="AY640" i="20" s="1"/>
  <c r="AZ640" i="20" s="1"/>
  <c r="BA640" i="20" s="1"/>
  <c r="BB640" i="20" s="1"/>
  <c r="BC640" i="20" s="1"/>
  <c r="BD640" i="20" s="1"/>
  <c r="BE640" i="20" s="1"/>
  <c r="BF640" i="20" s="1"/>
  <c r="BG640" i="20" s="1"/>
  <c r="BH640" i="20" s="1"/>
  <c r="BI640" i="20" s="1"/>
  <c r="BJ640" i="20" s="1"/>
  <c r="BK640" i="20" s="1"/>
  <c r="BL640" i="20" s="1"/>
  <c r="BM640" i="20" s="1"/>
  <c r="BN640" i="20" s="1"/>
  <c r="AM768" i="20"/>
  <c r="AN768" i="20" s="1"/>
  <c r="AO768" i="20" s="1"/>
  <c r="AP768" i="20" s="1"/>
  <c r="AQ768" i="20" s="1"/>
  <c r="AR768" i="20" s="1"/>
  <c r="AS768" i="20" s="1"/>
  <c r="AT768" i="20" s="1"/>
  <c r="AU768" i="20" s="1"/>
  <c r="AV768" i="20" s="1"/>
  <c r="AW768" i="20" s="1"/>
  <c r="AX768" i="20" s="1"/>
  <c r="AY768" i="20" s="1"/>
  <c r="AZ768" i="20" s="1"/>
  <c r="BA768" i="20" s="1"/>
  <c r="BB768" i="20" s="1"/>
  <c r="BC768" i="20" s="1"/>
  <c r="BD768" i="20" s="1"/>
  <c r="BE768" i="20" s="1"/>
  <c r="BF768" i="20" s="1"/>
  <c r="BG768" i="20" s="1"/>
  <c r="BH768" i="20" s="1"/>
  <c r="BI768" i="20" s="1"/>
  <c r="BJ768" i="20" s="1"/>
  <c r="BK768" i="20" s="1"/>
  <c r="BL768" i="20" s="1"/>
  <c r="BM768" i="20" s="1"/>
  <c r="BN768" i="20" s="1"/>
  <c r="AM629" i="20"/>
  <c r="AN629" i="20" s="1"/>
  <c r="AO629" i="20" s="1"/>
  <c r="AP629" i="20" s="1"/>
  <c r="AQ629" i="20" s="1"/>
  <c r="AR629" i="20" s="1"/>
  <c r="AS629" i="20" s="1"/>
  <c r="AT629" i="20" s="1"/>
  <c r="AU629" i="20" s="1"/>
  <c r="AV629" i="20" s="1"/>
  <c r="AW629" i="20" s="1"/>
  <c r="AX629" i="20" s="1"/>
  <c r="AY629" i="20" s="1"/>
  <c r="AZ629" i="20" s="1"/>
  <c r="BA629" i="20" s="1"/>
  <c r="BB629" i="20" s="1"/>
  <c r="BC629" i="20" s="1"/>
  <c r="BD629" i="20" s="1"/>
  <c r="BE629" i="20" s="1"/>
  <c r="BF629" i="20" s="1"/>
  <c r="BG629" i="20" s="1"/>
  <c r="BH629" i="20" s="1"/>
  <c r="BI629" i="20" s="1"/>
  <c r="BJ629" i="20" s="1"/>
  <c r="BK629" i="20" s="1"/>
  <c r="BL629" i="20" s="1"/>
  <c r="BM629" i="20" s="1"/>
  <c r="BN629" i="20" s="1"/>
  <c r="AT415" i="20"/>
  <c r="AU415" i="20" s="1"/>
  <c r="AV415" i="20" s="1"/>
  <c r="AW415" i="20" s="1"/>
  <c r="AX415" i="20" s="1"/>
  <c r="AY415" i="20" s="1"/>
  <c r="AZ415" i="20" s="1"/>
  <c r="BA415" i="20" s="1"/>
  <c r="BB415" i="20" s="1"/>
  <c r="BC415" i="20" s="1"/>
  <c r="BD415" i="20" s="1"/>
  <c r="BE415" i="20" s="1"/>
  <c r="BF415" i="20" s="1"/>
  <c r="BG415" i="20" s="1"/>
  <c r="AM747" i="20"/>
  <c r="AN747" i="20" s="1"/>
  <c r="AO747" i="20" s="1"/>
  <c r="AP747" i="20" s="1"/>
  <c r="AQ747" i="20" s="1"/>
  <c r="AR747" i="20" s="1"/>
  <c r="AS747" i="20" s="1"/>
  <c r="AT747" i="20" s="1"/>
  <c r="AU747" i="20" s="1"/>
  <c r="AV747" i="20" s="1"/>
  <c r="AW747" i="20" s="1"/>
  <c r="AX747" i="20" s="1"/>
  <c r="AY747" i="20" s="1"/>
  <c r="AZ747" i="20" s="1"/>
  <c r="BA747" i="20" s="1"/>
  <c r="BB747" i="20" s="1"/>
  <c r="BC747" i="20" s="1"/>
  <c r="BD747" i="20" s="1"/>
  <c r="BE747" i="20" s="1"/>
  <c r="BF747" i="20" s="1"/>
  <c r="BG747" i="20" s="1"/>
  <c r="BH747" i="20" s="1"/>
  <c r="BI747" i="20" s="1"/>
  <c r="BJ747" i="20" s="1"/>
  <c r="BK747" i="20" s="1"/>
  <c r="BL747" i="20" s="1"/>
  <c r="BM747" i="20" s="1"/>
  <c r="BN747" i="20" s="1"/>
  <c r="AT350" i="20"/>
  <c r="AU350" i="20" s="1"/>
  <c r="AV350" i="20" s="1"/>
  <c r="AW350" i="20" s="1"/>
  <c r="AX350" i="20" s="1"/>
  <c r="AY350" i="20" s="1"/>
  <c r="AZ350" i="20" s="1"/>
  <c r="BA350" i="20" s="1"/>
  <c r="BB350" i="20" s="1"/>
  <c r="BC350" i="20" s="1"/>
  <c r="BD350" i="20" s="1"/>
  <c r="BE350" i="20" s="1"/>
  <c r="BF350" i="20" s="1"/>
  <c r="BG350" i="20" s="1"/>
  <c r="BH350" i="20" s="1"/>
  <c r="BI350" i="20" s="1"/>
  <c r="BJ350" i="20" s="1"/>
  <c r="BK350" i="20" s="1"/>
  <c r="BL350" i="20" s="1"/>
  <c r="BM350" i="20" s="1"/>
  <c r="BN350" i="20" s="1"/>
  <c r="AT447" i="20"/>
  <c r="AU447" i="20" s="1"/>
  <c r="AV447" i="20" s="1"/>
  <c r="AW447" i="20" s="1"/>
  <c r="AX447" i="20" s="1"/>
  <c r="AY447" i="20" s="1"/>
  <c r="AZ447" i="20" s="1"/>
  <c r="BA447" i="20" s="1"/>
  <c r="BB447" i="20" s="1"/>
  <c r="BC447" i="20" s="1"/>
  <c r="BD447" i="20" s="1"/>
  <c r="BE447" i="20" s="1"/>
  <c r="BF447" i="20" s="1"/>
  <c r="BG447" i="20" s="1"/>
  <c r="AM673" i="20"/>
  <c r="AN673" i="20" s="1"/>
  <c r="AO673" i="20" s="1"/>
  <c r="AP673" i="20" s="1"/>
  <c r="AQ673" i="20" s="1"/>
  <c r="AR673" i="20" s="1"/>
  <c r="AS673" i="20" s="1"/>
  <c r="AT673" i="20" s="1"/>
  <c r="AU673" i="20" s="1"/>
  <c r="AV673" i="20" s="1"/>
  <c r="AW673" i="20" s="1"/>
  <c r="AX673" i="20" s="1"/>
  <c r="AY673" i="20" s="1"/>
  <c r="AZ673" i="20" s="1"/>
  <c r="BA673" i="20" s="1"/>
  <c r="BB673" i="20" s="1"/>
  <c r="BC673" i="20" s="1"/>
  <c r="BD673" i="20" s="1"/>
  <c r="BE673" i="20" s="1"/>
  <c r="BF673" i="20" s="1"/>
  <c r="BG673" i="20" s="1"/>
  <c r="BH673" i="20" s="1"/>
  <c r="BI673" i="20" s="1"/>
  <c r="BJ673" i="20" s="1"/>
  <c r="BK673" i="20" s="1"/>
  <c r="BL673" i="20" s="1"/>
  <c r="BM673" i="20" s="1"/>
  <c r="BN673" i="20" s="1"/>
  <c r="AM846" i="20"/>
  <c r="AN846" i="20" s="1"/>
  <c r="AO846" i="20" s="1"/>
  <c r="AP846" i="20" s="1"/>
  <c r="AQ846" i="20" s="1"/>
  <c r="AR846" i="20" s="1"/>
  <c r="AS846" i="20" s="1"/>
  <c r="AT846" i="20" s="1"/>
  <c r="AU846" i="20" s="1"/>
  <c r="AV846" i="20" s="1"/>
  <c r="AW846" i="20" s="1"/>
  <c r="AX846" i="20" s="1"/>
  <c r="AY846" i="20" s="1"/>
  <c r="AZ846" i="20" s="1"/>
  <c r="BA846" i="20" s="1"/>
  <c r="BB846" i="20" s="1"/>
  <c r="BC846" i="20" s="1"/>
  <c r="BD846" i="20" s="1"/>
  <c r="BE846" i="20" s="1"/>
  <c r="BF846" i="20" s="1"/>
  <c r="BG846" i="20" s="1"/>
  <c r="BH846" i="20" s="1"/>
  <c r="BI846" i="20" s="1"/>
  <c r="BJ846" i="20" s="1"/>
  <c r="BK846" i="20" s="1"/>
  <c r="BL846" i="20" s="1"/>
  <c r="BM846" i="20" s="1"/>
  <c r="BN846" i="20" s="1"/>
  <c r="AM663" i="20"/>
  <c r="AN663" i="20" s="1"/>
  <c r="AO663" i="20" s="1"/>
  <c r="AP663" i="20" s="1"/>
  <c r="AQ663" i="20" s="1"/>
  <c r="AR663" i="20" s="1"/>
  <c r="AS663" i="20" s="1"/>
  <c r="AT663" i="20" s="1"/>
  <c r="AU663" i="20" s="1"/>
  <c r="AV663" i="20" s="1"/>
  <c r="AW663" i="20" s="1"/>
  <c r="AX663" i="20" s="1"/>
  <c r="AY663" i="20" s="1"/>
  <c r="AZ663" i="20" s="1"/>
  <c r="BA663" i="20" s="1"/>
  <c r="BB663" i="20" s="1"/>
  <c r="BC663" i="20" s="1"/>
  <c r="BD663" i="20" s="1"/>
  <c r="BE663" i="20" s="1"/>
  <c r="BF663" i="20" s="1"/>
  <c r="BG663" i="20" s="1"/>
  <c r="BH663" i="20" s="1"/>
  <c r="BI663" i="20" s="1"/>
  <c r="BJ663" i="20" s="1"/>
  <c r="BK663" i="20" s="1"/>
  <c r="BL663" i="20" s="1"/>
  <c r="BM663" i="20" s="1"/>
  <c r="BN663" i="20" s="1"/>
  <c r="AM39" i="20"/>
  <c r="AT425" i="20"/>
  <c r="AU425" i="20" s="1"/>
  <c r="AV425" i="20" s="1"/>
  <c r="AW425" i="20" s="1"/>
  <c r="AX425" i="20" s="1"/>
  <c r="AY425" i="20" s="1"/>
  <c r="AZ425" i="20" s="1"/>
  <c r="BA425" i="20" s="1"/>
  <c r="BB425" i="20" s="1"/>
  <c r="BC425" i="20" s="1"/>
  <c r="BD425" i="20" s="1"/>
  <c r="BE425" i="20" s="1"/>
  <c r="BF425" i="20" s="1"/>
  <c r="BG425" i="20" s="1"/>
  <c r="AT435" i="20"/>
  <c r="AU435" i="20" s="1"/>
  <c r="AV435" i="20" s="1"/>
  <c r="AW435" i="20" s="1"/>
  <c r="AX435" i="20" s="1"/>
  <c r="AY435" i="20" s="1"/>
  <c r="AZ435" i="20" s="1"/>
  <c r="BA435" i="20" s="1"/>
  <c r="BB435" i="20" s="1"/>
  <c r="BC435" i="20" s="1"/>
  <c r="BD435" i="20" s="1"/>
  <c r="BE435" i="20" s="1"/>
  <c r="BF435" i="20" s="1"/>
  <c r="BG435" i="20" s="1"/>
  <c r="AY726" i="20"/>
  <c r="AZ726" i="20" s="1"/>
  <c r="BA726" i="20" s="1"/>
  <c r="BB726" i="20" s="1"/>
  <c r="BC726" i="20" s="1"/>
  <c r="BD726" i="20" s="1"/>
  <c r="BE726" i="20" s="1"/>
  <c r="BF726" i="20" s="1"/>
  <c r="BG726" i="20" s="1"/>
  <c r="BH726" i="20" s="1"/>
  <c r="BI726" i="20" s="1"/>
  <c r="BJ726" i="20" s="1"/>
  <c r="BK726" i="20" s="1"/>
  <c r="BL726" i="20" s="1"/>
  <c r="BM726" i="20" s="1"/>
  <c r="BN726" i="20" s="1"/>
  <c r="AM815" i="20"/>
  <c r="AN815" i="20" s="1"/>
  <c r="AM848" i="20"/>
  <c r="AN848" i="20" s="1"/>
  <c r="AT468" i="20"/>
  <c r="AU468" i="20" s="1"/>
  <c r="AV468" i="20" s="1"/>
  <c r="AW468" i="20" s="1"/>
  <c r="AX468" i="20" s="1"/>
  <c r="AY468" i="20" s="1"/>
  <c r="AZ468" i="20" s="1"/>
  <c r="BA468" i="20" s="1"/>
  <c r="BB468" i="20" s="1"/>
  <c r="BC468" i="20" s="1"/>
  <c r="BD468" i="20" s="1"/>
  <c r="BE468" i="20" s="1"/>
  <c r="BF468" i="20" s="1"/>
  <c r="BG468" i="20" s="1"/>
  <c r="AT419" i="20"/>
  <c r="AU419" i="20" s="1"/>
  <c r="AV419" i="20" s="1"/>
  <c r="AW419" i="20" s="1"/>
  <c r="AX419" i="20" s="1"/>
  <c r="AY419" i="20" s="1"/>
  <c r="AZ419" i="20" s="1"/>
  <c r="BA419" i="20" s="1"/>
  <c r="BB419" i="20" s="1"/>
  <c r="BC419" i="20" s="1"/>
  <c r="BD419" i="20" s="1"/>
  <c r="BE419" i="20" s="1"/>
  <c r="BF419" i="20" s="1"/>
  <c r="BG419" i="20" s="1"/>
  <c r="AT455" i="20"/>
  <c r="AU455" i="20" s="1"/>
  <c r="AV455" i="20" s="1"/>
  <c r="AW455" i="20" s="1"/>
  <c r="AX455" i="20" s="1"/>
  <c r="AY455" i="20" s="1"/>
  <c r="AZ455" i="20" s="1"/>
  <c r="BA455" i="20" s="1"/>
  <c r="BB455" i="20" s="1"/>
  <c r="BC455" i="20" s="1"/>
  <c r="BD455" i="20" s="1"/>
  <c r="BE455" i="20" s="1"/>
  <c r="BF455" i="20" s="1"/>
  <c r="BG455" i="20" s="1"/>
  <c r="AM649" i="20"/>
  <c r="AN649" i="20" s="1"/>
  <c r="AO649" i="20" s="1"/>
  <c r="AP649" i="20" s="1"/>
  <c r="AQ649" i="20" s="1"/>
  <c r="AR649" i="20" s="1"/>
  <c r="AS649" i="20" s="1"/>
  <c r="AT649" i="20" s="1"/>
  <c r="AU649" i="20" s="1"/>
  <c r="AV649" i="20" s="1"/>
  <c r="AW649" i="20" s="1"/>
  <c r="AX649" i="20" s="1"/>
  <c r="AY649" i="20" s="1"/>
  <c r="AZ649" i="20" s="1"/>
  <c r="BA649" i="20" s="1"/>
  <c r="BB649" i="20" s="1"/>
  <c r="BC649" i="20" s="1"/>
  <c r="BD649" i="20" s="1"/>
  <c r="BE649" i="20" s="1"/>
  <c r="BF649" i="20" s="1"/>
  <c r="BG649" i="20" s="1"/>
  <c r="BH649" i="20" s="1"/>
  <c r="BI649" i="20" s="1"/>
  <c r="BJ649" i="20" s="1"/>
  <c r="BK649" i="20" s="1"/>
  <c r="BL649" i="20" s="1"/>
  <c r="BM649" i="20" s="1"/>
  <c r="BN649" i="20" s="1"/>
  <c r="AM833" i="20"/>
  <c r="AN833" i="20" s="1"/>
  <c r="AO833" i="20" s="1"/>
  <c r="AP833" i="20" s="1"/>
  <c r="AQ833" i="20" s="1"/>
  <c r="AR833" i="20" s="1"/>
  <c r="AS833" i="20" s="1"/>
  <c r="AT833" i="20" s="1"/>
  <c r="AU833" i="20" s="1"/>
  <c r="AV833" i="20" s="1"/>
  <c r="AW833" i="20" s="1"/>
  <c r="AX833" i="20" s="1"/>
  <c r="AY833" i="20" s="1"/>
  <c r="AZ833" i="20" s="1"/>
  <c r="BA833" i="20" s="1"/>
  <c r="BB833" i="20" s="1"/>
  <c r="BC833" i="20" s="1"/>
  <c r="BD833" i="20" s="1"/>
  <c r="BE833" i="20" s="1"/>
  <c r="BF833" i="20" s="1"/>
  <c r="BG833" i="20" s="1"/>
  <c r="BH833" i="20" s="1"/>
  <c r="BI833" i="20" s="1"/>
  <c r="BJ833" i="20" s="1"/>
  <c r="BK833" i="20" s="1"/>
  <c r="BL833" i="20" s="1"/>
  <c r="BM833" i="20" s="1"/>
  <c r="BN833" i="20" s="1"/>
  <c r="AT312" i="20"/>
  <c r="AU312" i="20" s="1"/>
  <c r="AV312" i="20" s="1"/>
  <c r="AW312" i="20" s="1"/>
  <c r="AX312" i="20" s="1"/>
  <c r="AY312" i="20" s="1"/>
  <c r="AZ312" i="20" s="1"/>
  <c r="BA312" i="20" s="1"/>
  <c r="BB312" i="20" s="1"/>
  <c r="BC312" i="20" s="1"/>
  <c r="BD312" i="20" s="1"/>
  <c r="BE312" i="20" s="1"/>
  <c r="BF312" i="20" s="1"/>
  <c r="BG312" i="20" s="1"/>
  <c r="BH312" i="20" s="1"/>
  <c r="BI312" i="20" s="1"/>
  <c r="BJ312" i="20" s="1"/>
  <c r="BK312" i="20" s="1"/>
  <c r="BL312" i="20" s="1"/>
  <c r="BM312" i="20" s="1"/>
  <c r="BN312" i="20" s="1"/>
  <c r="AT449" i="20"/>
  <c r="AU449" i="20" s="1"/>
  <c r="AV449" i="20" s="1"/>
  <c r="AW449" i="20" s="1"/>
  <c r="AX449" i="20" s="1"/>
  <c r="AY449" i="20" s="1"/>
  <c r="AZ449" i="20" s="1"/>
  <c r="BA449" i="20" s="1"/>
  <c r="BB449" i="20" s="1"/>
  <c r="BC449" i="20" s="1"/>
  <c r="BD449" i="20" s="1"/>
  <c r="BE449" i="20" s="1"/>
  <c r="BF449" i="20" s="1"/>
  <c r="BG449" i="20" s="1"/>
  <c r="AT459" i="20"/>
  <c r="AU459" i="20" s="1"/>
  <c r="AV459" i="20" s="1"/>
  <c r="AW459" i="20" s="1"/>
  <c r="AX459" i="20" s="1"/>
  <c r="AY459" i="20" s="1"/>
  <c r="AZ459" i="20" s="1"/>
  <c r="BA459" i="20" s="1"/>
  <c r="BB459" i="20" s="1"/>
  <c r="BC459" i="20" s="1"/>
  <c r="BD459" i="20" s="1"/>
  <c r="BE459" i="20" s="1"/>
  <c r="BF459" i="20" s="1"/>
  <c r="BG459" i="20" s="1"/>
  <c r="AM675" i="20"/>
  <c r="AN675" i="20" s="1"/>
  <c r="AO675" i="20" s="1"/>
  <c r="AP675" i="20" s="1"/>
  <c r="AQ675" i="20" s="1"/>
  <c r="AR675" i="20" s="1"/>
  <c r="AS675" i="20" s="1"/>
  <c r="AT675" i="20" s="1"/>
  <c r="AU675" i="20" s="1"/>
  <c r="AV675" i="20" s="1"/>
  <c r="AW675" i="20" s="1"/>
  <c r="AX675" i="20" s="1"/>
  <c r="AY675" i="20" s="1"/>
  <c r="AZ675" i="20" s="1"/>
  <c r="BA675" i="20" s="1"/>
  <c r="BB675" i="20" s="1"/>
  <c r="BC675" i="20" s="1"/>
  <c r="BD675" i="20" s="1"/>
  <c r="BE675" i="20" s="1"/>
  <c r="BF675" i="20" s="1"/>
  <c r="BG675" i="20" s="1"/>
  <c r="BH675" i="20" s="1"/>
  <c r="BI675" i="20" s="1"/>
  <c r="BJ675" i="20" s="1"/>
  <c r="BK675" i="20" s="1"/>
  <c r="BL675" i="20" s="1"/>
  <c r="BM675" i="20" s="1"/>
  <c r="BN675" i="20" s="1"/>
  <c r="AN737" i="20"/>
  <c r="AO737" i="20" s="1"/>
  <c r="AP737" i="20" s="1"/>
  <c r="AQ737" i="20" s="1"/>
  <c r="AR737" i="20" s="1"/>
  <c r="AS737" i="20" s="1"/>
  <c r="AT737" i="20" s="1"/>
  <c r="AU737" i="20" s="1"/>
  <c r="AV737" i="20" s="1"/>
  <c r="AW737" i="20" s="1"/>
  <c r="AX737" i="20" s="1"/>
  <c r="AY737" i="20" s="1"/>
  <c r="AZ737" i="20" s="1"/>
  <c r="BA737" i="20" s="1"/>
  <c r="BB737" i="20" s="1"/>
  <c r="BC737" i="20" s="1"/>
  <c r="BD737" i="20" s="1"/>
  <c r="BE737" i="20" s="1"/>
  <c r="BF737" i="20" s="1"/>
  <c r="BG737" i="20" s="1"/>
  <c r="BH737" i="20" s="1"/>
  <c r="BI737" i="20" s="1"/>
  <c r="BJ737" i="20" s="1"/>
  <c r="BK737" i="20" s="1"/>
  <c r="BL737" i="20" s="1"/>
  <c r="BM737" i="20" s="1"/>
  <c r="BN737" i="20" s="1"/>
  <c r="AM837" i="20"/>
  <c r="AN837" i="20" s="1"/>
  <c r="AT466" i="20"/>
  <c r="AU466" i="20" s="1"/>
  <c r="AV466" i="20" s="1"/>
  <c r="AW466" i="20" s="1"/>
  <c r="AX466" i="20" s="1"/>
  <c r="AY466" i="20" s="1"/>
  <c r="AZ466" i="20" s="1"/>
  <c r="BA466" i="20" s="1"/>
  <c r="BB466" i="20" s="1"/>
  <c r="BC466" i="20" s="1"/>
  <c r="BD466" i="20" s="1"/>
  <c r="BE466" i="20" s="1"/>
  <c r="BF466" i="20" s="1"/>
  <c r="BG466" i="20" s="1"/>
  <c r="AT446" i="20"/>
  <c r="AU446" i="20" s="1"/>
  <c r="AV446" i="20" s="1"/>
  <c r="AW446" i="20" s="1"/>
  <c r="AX446" i="20" s="1"/>
  <c r="AY446" i="20" s="1"/>
  <c r="AZ446" i="20" s="1"/>
  <c r="BA446" i="20" s="1"/>
  <c r="BB446" i="20" s="1"/>
  <c r="BC446" i="20" s="1"/>
  <c r="BD446" i="20" s="1"/>
  <c r="BE446" i="20" s="1"/>
  <c r="BF446" i="20" s="1"/>
  <c r="BG446" i="20" s="1"/>
  <c r="AM672" i="20"/>
  <c r="AN672" i="20" s="1"/>
  <c r="AO672" i="20" s="1"/>
  <c r="AP672" i="20" s="1"/>
  <c r="AQ672" i="20" s="1"/>
  <c r="AR672" i="20" s="1"/>
  <c r="AS672" i="20" s="1"/>
  <c r="AT672" i="20" s="1"/>
  <c r="AU672" i="20" s="1"/>
  <c r="AV672" i="20" s="1"/>
  <c r="AW672" i="20" s="1"/>
  <c r="AX672" i="20" s="1"/>
  <c r="AY672" i="20" s="1"/>
  <c r="AZ672" i="20" s="1"/>
  <c r="BA672" i="20" s="1"/>
  <c r="BB672" i="20" s="1"/>
  <c r="BC672" i="20" s="1"/>
  <c r="BD672" i="20" s="1"/>
  <c r="BE672" i="20" s="1"/>
  <c r="BF672" i="20" s="1"/>
  <c r="BG672" i="20" s="1"/>
  <c r="BH672" i="20" s="1"/>
  <c r="BI672" i="20" s="1"/>
  <c r="BJ672" i="20" s="1"/>
  <c r="BK672" i="20" s="1"/>
  <c r="BL672" i="20" s="1"/>
  <c r="BM672" i="20" s="1"/>
  <c r="BN672" i="20" s="1"/>
  <c r="AM650" i="20"/>
  <c r="AN650" i="20" s="1"/>
  <c r="AO650" i="20" s="1"/>
  <c r="AP650" i="20" s="1"/>
  <c r="AQ650" i="20" s="1"/>
  <c r="AR650" i="20" s="1"/>
  <c r="AS650" i="20" s="1"/>
  <c r="AT650" i="20" s="1"/>
  <c r="AU650" i="20" s="1"/>
  <c r="AV650" i="20" s="1"/>
  <c r="AW650" i="20" s="1"/>
  <c r="AX650" i="20" s="1"/>
  <c r="AY650" i="20" s="1"/>
  <c r="AZ650" i="20" s="1"/>
  <c r="BA650" i="20" s="1"/>
  <c r="BB650" i="20" s="1"/>
  <c r="BC650" i="20" s="1"/>
  <c r="BD650" i="20" s="1"/>
  <c r="BE650" i="20" s="1"/>
  <c r="BF650" i="20" s="1"/>
  <c r="BG650" i="20" s="1"/>
  <c r="BH650" i="20" s="1"/>
  <c r="BI650" i="20" s="1"/>
  <c r="BJ650" i="20" s="1"/>
  <c r="BK650" i="20" s="1"/>
  <c r="BL650" i="20" s="1"/>
  <c r="BM650" i="20" s="1"/>
  <c r="BN650" i="20" s="1"/>
  <c r="AM745" i="20"/>
  <c r="AN745" i="20" s="1"/>
  <c r="AO745" i="20" s="1"/>
  <c r="AP745" i="20" s="1"/>
  <c r="AQ745" i="20" s="1"/>
  <c r="AR745" i="20" s="1"/>
  <c r="AS745" i="20" s="1"/>
  <c r="AT745" i="20" s="1"/>
  <c r="AU745" i="20" s="1"/>
  <c r="AV745" i="20" s="1"/>
  <c r="AW745" i="20" s="1"/>
  <c r="AX745" i="20" s="1"/>
  <c r="AY745" i="20" s="1"/>
  <c r="AZ745" i="20" s="1"/>
  <c r="BA745" i="20" s="1"/>
  <c r="BB745" i="20" s="1"/>
  <c r="BC745" i="20" s="1"/>
  <c r="BD745" i="20" s="1"/>
  <c r="BE745" i="20" s="1"/>
  <c r="BF745" i="20" s="1"/>
  <c r="BG745" i="20" s="1"/>
  <c r="BH745" i="20" s="1"/>
  <c r="BI745" i="20" s="1"/>
  <c r="BJ745" i="20" s="1"/>
  <c r="BK745" i="20" s="1"/>
  <c r="BL745" i="20" s="1"/>
  <c r="BM745" i="20" s="1"/>
  <c r="BN745" i="20" s="1"/>
  <c r="AM834" i="20"/>
  <c r="AM919" i="20" s="1"/>
  <c r="AT313" i="20"/>
  <c r="AU313" i="20" s="1"/>
  <c r="AT460" i="20"/>
  <c r="AU460" i="20" s="1"/>
  <c r="AV460" i="20" s="1"/>
  <c r="AW460" i="20" s="1"/>
  <c r="AX460" i="20" s="1"/>
  <c r="AY460" i="20" s="1"/>
  <c r="AZ460" i="20" s="1"/>
  <c r="BA460" i="20" s="1"/>
  <c r="BB460" i="20" s="1"/>
  <c r="BC460" i="20" s="1"/>
  <c r="BD460" i="20" s="1"/>
  <c r="BE460" i="20" s="1"/>
  <c r="BF460" i="20" s="1"/>
  <c r="BG460" i="20" s="1"/>
  <c r="AT450" i="20"/>
  <c r="AU450" i="20" s="1"/>
  <c r="AV450" i="20" s="1"/>
  <c r="AW450" i="20" s="1"/>
  <c r="AX450" i="20" s="1"/>
  <c r="AY450" i="20" s="1"/>
  <c r="AZ450" i="20" s="1"/>
  <c r="BA450" i="20" s="1"/>
  <c r="BB450" i="20" s="1"/>
  <c r="BC450" i="20" s="1"/>
  <c r="BD450" i="20" s="1"/>
  <c r="BE450" i="20" s="1"/>
  <c r="BF450" i="20" s="1"/>
  <c r="BG450" i="20" s="1"/>
  <c r="AM654" i="20"/>
  <c r="AN654" i="20" s="1"/>
  <c r="AO654" i="20" s="1"/>
  <c r="AP654" i="20" s="1"/>
  <c r="AQ654" i="20" s="1"/>
  <c r="AR654" i="20" s="1"/>
  <c r="AS654" i="20" s="1"/>
  <c r="AT654" i="20" s="1"/>
  <c r="AU654" i="20" s="1"/>
  <c r="AV654" i="20" s="1"/>
  <c r="AW654" i="20" s="1"/>
  <c r="AX654" i="20" s="1"/>
  <c r="AY654" i="20" s="1"/>
  <c r="AZ654" i="20" s="1"/>
  <c r="BA654" i="20" s="1"/>
  <c r="BB654" i="20" s="1"/>
  <c r="BC654" i="20" s="1"/>
  <c r="BD654" i="20" s="1"/>
  <c r="BE654" i="20" s="1"/>
  <c r="BF654" i="20" s="1"/>
  <c r="BG654" i="20" s="1"/>
  <c r="BH654" i="20" s="1"/>
  <c r="BI654" i="20" s="1"/>
  <c r="BJ654" i="20" s="1"/>
  <c r="BK654" i="20" s="1"/>
  <c r="BL654" i="20" s="1"/>
  <c r="BM654" i="20" s="1"/>
  <c r="BN654" i="20" s="1"/>
  <c r="AM749" i="20"/>
  <c r="AN749" i="20" s="1"/>
  <c r="AO749" i="20" s="1"/>
  <c r="AP749" i="20" s="1"/>
  <c r="AQ749" i="20" s="1"/>
  <c r="AR749" i="20" s="1"/>
  <c r="AS749" i="20" s="1"/>
  <c r="AT749" i="20" s="1"/>
  <c r="AU749" i="20" s="1"/>
  <c r="AV749" i="20" s="1"/>
  <c r="AW749" i="20" s="1"/>
  <c r="AX749" i="20" s="1"/>
  <c r="AY749" i="20" s="1"/>
  <c r="AZ749" i="20" s="1"/>
  <c r="BA749" i="20" s="1"/>
  <c r="BB749" i="20" s="1"/>
  <c r="BC749" i="20" s="1"/>
  <c r="BD749" i="20" s="1"/>
  <c r="BE749" i="20" s="1"/>
  <c r="BF749" i="20" s="1"/>
  <c r="BG749" i="20" s="1"/>
  <c r="BH749" i="20" s="1"/>
  <c r="BI749" i="20" s="1"/>
  <c r="BJ749" i="20" s="1"/>
  <c r="BK749" i="20" s="1"/>
  <c r="BL749" i="20" s="1"/>
  <c r="BM749" i="20" s="1"/>
  <c r="BN749" i="20" s="1"/>
  <c r="AM827" i="20"/>
  <c r="AN827" i="20" s="1"/>
  <c r="AO827" i="20" s="1"/>
  <c r="AP827" i="20" s="1"/>
  <c r="AQ827" i="20" s="1"/>
  <c r="AR827" i="20" s="1"/>
  <c r="AS827" i="20" s="1"/>
  <c r="AT827" i="20" s="1"/>
  <c r="AU827" i="20" s="1"/>
  <c r="AV827" i="20" s="1"/>
  <c r="AW827" i="20" s="1"/>
  <c r="AX827" i="20" s="1"/>
  <c r="AY827" i="20" s="1"/>
  <c r="AZ827" i="20" s="1"/>
  <c r="BA827" i="20" s="1"/>
  <c r="BB827" i="20" s="1"/>
  <c r="BC827" i="20" s="1"/>
  <c r="BD827" i="20" s="1"/>
  <c r="BE827" i="20" s="1"/>
  <c r="BF827" i="20" s="1"/>
  <c r="BG827" i="20" s="1"/>
  <c r="BH827" i="20" s="1"/>
  <c r="BI827" i="20" s="1"/>
  <c r="BJ827" i="20" s="1"/>
  <c r="BK827" i="20" s="1"/>
  <c r="BL827" i="20" s="1"/>
  <c r="BM827" i="20" s="1"/>
  <c r="BN827" i="20" s="1"/>
  <c r="AM838" i="20"/>
  <c r="AN838" i="20" s="1"/>
  <c r="AO838" i="20" s="1"/>
  <c r="AP838" i="20" s="1"/>
  <c r="AQ838" i="20" s="1"/>
  <c r="AR838" i="20" s="1"/>
  <c r="AS838" i="20" s="1"/>
  <c r="AT838" i="20" s="1"/>
  <c r="AU838" i="20" s="1"/>
  <c r="AV838" i="20" s="1"/>
  <c r="AW838" i="20" s="1"/>
  <c r="AX838" i="20" s="1"/>
  <c r="AY838" i="20" s="1"/>
  <c r="AZ838" i="20" s="1"/>
  <c r="BA838" i="20" s="1"/>
  <c r="BB838" i="20" s="1"/>
  <c r="BC838" i="20" s="1"/>
  <c r="BD838" i="20" s="1"/>
  <c r="BE838" i="20" s="1"/>
  <c r="BF838" i="20" s="1"/>
  <c r="BG838" i="20" s="1"/>
  <c r="BH838" i="20" s="1"/>
  <c r="BI838" i="20" s="1"/>
  <c r="BJ838" i="20" s="1"/>
  <c r="BK838" i="20" s="1"/>
  <c r="BL838" i="20" s="1"/>
  <c r="BM838" i="20" s="1"/>
  <c r="AT258" i="20"/>
  <c r="AU258" i="20" s="1"/>
  <c r="AV258" i="20" s="1"/>
  <c r="AW258" i="20" s="1"/>
  <c r="AX258" i="20" s="1"/>
  <c r="AY258" i="20" s="1"/>
  <c r="AZ258" i="20" s="1"/>
  <c r="BA258" i="20" s="1"/>
  <c r="BB258" i="20" s="1"/>
  <c r="BC258" i="20" s="1"/>
  <c r="BF516" i="20"/>
  <c r="AO211" i="20"/>
  <c r="AO213" i="20"/>
  <c r="AO209" i="20"/>
  <c r="AO215" i="20"/>
  <c r="AO212" i="20"/>
  <c r="AO214" i="20"/>
  <c r="AO210" i="20"/>
  <c r="AP137" i="20"/>
  <c r="AQ137" i="20" s="1"/>
  <c r="AN945" i="20"/>
  <c r="AO804" i="20"/>
  <c r="AM145" i="20"/>
  <c r="AM147" i="20"/>
  <c r="AM144" i="20"/>
  <c r="AM150" i="20"/>
  <c r="AM149" i="20"/>
  <c r="AM146" i="20"/>
  <c r="AM148" i="20"/>
  <c r="AN132" i="20"/>
  <c r="AY881" i="20"/>
  <c r="AZ288" i="20"/>
  <c r="AM185" i="20"/>
  <c r="AM189" i="20"/>
  <c r="AM188" i="20"/>
  <c r="AM186" i="20"/>
  <c r="AM183" i="20"/>
  <c r="AM187" i="20"/>
  <c r="AM184" i="20"/>
  <c r="AL161" i="20"/>
  <c r="AL163" i="20"/>
  <c r="AL160" i="20"/>
  <c r="AL158" i="20"/>
  <c r="AL157" i="20"/>
  <c r="AL159" i="20"/>
  <c r="AL162" i="20"/>
  <c r="AL58" i="20"/>
  <c r="AM55" i="20"/>
  <c r="AM57" i="20"/>
  <c r="AM56" i="20"/>
  <c r="AL263" i="20"/>
  <c r="AL856" i="20" s="1"/>
  <c r="AM255" i="20"/>
  <c r="AT417" i="20"/>
  <c r="AU417" i="20" s="1"/>
  <c r="AV417" i="20" s="1"/>
  <c r="AW417" i="20" s="1"/>
  <c r="AX417" i="20" s="1"/>
  <c r="AY417" i="20" s="1"/>
  <c r="AZ417" i="20" s="1"/>
  <c r="BA417" i="20" s="1"/>
  <c r="BB417" i="20" s="1"/>
  <c r="BC417" i="20" s="1"/>
  <c r="BD417" i="20" s="1"/>
  <c r="BE417" i="20" s="1"/>
  <c r="BF417" i="20" s="1"/>
  <c r="BG417" i="20" s="1"/>
  <c r="AM920" i="20"/>
  <c r="AN779" i="20"/>
  <c r="AM210" i="20"/>
  <c r="AM214" i="20"/>
  <c r="AM213" i="20"/>
  <c r="AM211" i="20"/>
  <c r="AM215" i="20"/>
  <c r="AM212" i="20"/>
  <c r="AM209" i="20"/>
  <c r="AL176" i="20"/>
  <c r="AL174" i="20"/>
  <c r="AL173" i="20"/>
  <c r="AL171" i="20"/>
  <c r="AL172" i="20"/>
  <c r="AL170" i="20"/>
  <c r="AL175" i="20"/>
  <c r="AO801" i="20"/>
  <c r="AN916" i="20"/>
  <c r="AL96" i="20"/>
  <c r="AM95" i="20"/>
  <c r="AM93" i="20"/>
  <c r="AM94" i="20"/>
  <c r="AM616" i="20"/>
  <c r="AN616" i="20" s="1"/>
  <c r="AO616" i="20" s="1"/>
  <c r="AP616" i="20" s="1"/>
  <c r="AQ616" i="20" s="1"/>
  <c r="AR616" i="20" s="1"/>
  <c r="AS616" i="20" s="1"/>
  <c r="AT616" i="20" s="1"/>
  <c r="AU616" i="20" s="1"/>
  <c r="AV616" i="20" s="1"/>
  <c r="AW616" i="20" s="1"/>
  <c r="AX616" i="20" s="1"/>
  <c r="AY616" i="20" s="1"/>
  <c r="AZ616" i="20" s="1"/>
  <c r="BA616" i="20" s="1"/>
  <c r="BB616" i="20" s="1"/>
  <c r="BC616" i="20" s="1"/>
  <c r="BD616" i="20" s="1"/>
  <c r="BE616" i="20" s="1"/>
  <c r="BF616" i="20" s="1"/>
  <c r="BG616" i="20" s="1"/>
  <c r="BH616" i="20" s="1"/>
  <c r="BI616" i="20" s="1"/>
  <c r="BJ616" i="20" s="1"/>
  <c r="BK616" i="20" s="1"/>
  <c r="BL616" i="20" s="1"/>
  <c r="BM616" i="20" s="1"/>
  <c r="BN616" i="20" s="1"/>
  <c r="AM789" i="20"/>
  <c r="AN789" i="20" s="1"/>
  <c r="AO789" i="20" s="1"/>
  <c r="AP789" i="20" s="1"/>
  <c r="AQ789" i="20" s="1"/>
  <c r="AR789" i="20" s="1"/>
  <c r="AS789" i="20" s="1"/>
  <c r="AT789" i="20" s="1"/>
  <c r="AU789" i="20" s="1"/>
  <c r="AV789" i="20" s="1"/>
  <c r="AW789" i="20" s="1"/>
  <c r="AX789" i="20" s="1"/>
  <c r="AY789" i="20" s="1"/>
  <c r="AZ789" i="20" s="1"/>
  <c r="BA789" i="20" s="1"/>
  <c r="BB789" i="20" s="1"/>
  <c r="BC789" i="20" s="1"/>
  <c r="BD789" i="20" s="1"/>
  <c r="BE789" i="20" s="1"/>
  <c r="BF789" i="20" s="1"/>
  <c r="BG789" i="20" s="1"/>
  <c r="BH789" i="20" s="1"/>
  <c r="BI789" i="20" s="1"/>
  <c r="BJ789" i="20" s="1"/>
  <c r="BK789" i="20" s="1"/>
  <c r="BL789" i="20" s="1"/>
  <c r="BM789" i="20" s="1"/>
  <c r="BN789" i="20" s="1"/>
  <c r="AM744" i="20"/>
  <c r="AN744" i="20" s="1"/>
  <c r="AO744" i="20" s="1"/>
  <c r="AP744" i="20" s="1"/>
  <c r="AQ744" i="20" s="1"/>
  <c r="AR744" i="20" s="1"/>
  <c r="AS744" i="20" s="1"/>
  <c r="AT744" i="20" s="1"/>
  <c r="AU744" i="20" s="1"/>
  <c r="AV744" i="20" s="1"/>
  <c r="AW744" i="20" s="1"/>
  <c r="AX744" i="20" s="1"/>
  <c r="AY744" i="20" s="1"/>
  <c r="AZ744" i="20" s="1"/>
  <c r="BA744" i="20" s="1"/>
  <c r="BB744" i="20" s="1"/>
  <c r="BC744" i="20" s="1"/>
  <c r="BD744" i="20" s="1"/>
  <c r="BE744" i="20" s="1"/>
  <c r="BF744" i="20" s="1"/>
  <c r="BG744" i="20" s="1"/>
  <c r="BH744" i="20" s="1"/>
  <c r="BI744" i="20" s="1"/>
  <c r="BJ744" i="20" s="1"/>
  <c r="BK744" i="20" s="1"/>
  <c r="BL744" i="20" s="1"/>
  <c r="BM744" i="20" s="1"/>
  <c r="BN744" i="20" s="1"/>
  <c r="AN631" i="20"/>
  <c r="AM933" i="20"/>
  <c r="AM770" i="20"/>
  <c r="AN770" i="20" s="1"/>
  <c r="AO770" i="20" s="1"/>
  <c r="AP770" i="20" s="1"/>
  <c r="AQ770" i="20" s="1"/>
  <c r="AR770" i="20" s="1"/>
  <c r="AS770" i="20" s="1"/>
  <c r="AT770" i="20" s="1"/>
  <c r="AU770" i="20" s="1"/>
  <c r="AV770" i="20" s="1"/>
  <c r="AW770" i="20" s="1"/>
  <c r="AX770" i="20" s="1"/>
  <c r="AY770" i="20" s="1"/>
  <c r="AZ770" i="20" s="1"/>
  <c r="BA770" i="20" s="1"/>
  <c r="BB770" i="20" s="1"/>
  <c r="BC770" i="20" s="1"/>
  <c r="BD770" i="20" s="1"/>
  <c r="BE770" i="20" s="1"/>
  <c r="BF770" i="20" s="1"/>
  <c r="BG770" i="20" s="1"/>
  <c r="BH770" i="20" s="1"/>
  <c r="BI770" i="20" s="1"/>
  <c r="BJ770" i="20" s="1"/>
  <c r="BK770" i="20" s="1"/>
  <c r="BL770" i="20" s="1"/>
  <c r="BM770" i="20" s="1"/>
  <c r="BN770" i="20" s="1"/>
  <c r="AT299" i="20"/>
  <c r="AU299" i="20" s="1"/>
  <c r="AV299" i="20" s="1"/>
  <c r="AW299" i="20" s="1"/>
  <c r="AX299" i="20" s="1"/>
  <c r="AY299" i="20" s="1"/>
  <c r="AZ299" i="20" s="1"/>
  <c r="BA299" i="20" s="1"/>
  <c r="BB299" i="20" s="1"/>
  <c r="BC299" i="20" s="1"/>
  <c r="BD299" i="20" s="1"/>
  <c r="BE299" i="20" s="1"/>
  <c r="BF299" i="20" s="1"/>
  <c r="BG299" i="20" s="1"/>
  <c r="BH299" i="20" s="1"/>
  <c r="BI299" i="20" s="1"/>
  <c r="BJ299" i="20" s="1"/>
  <c r="BK299" i="20" s="1"/>
  <c r="BL299" i="20" s="1"/>
  <c r="BM299" i="20" s="1"/>
  <c r="BN299" i="20" s="1"/>
  <c r="AT329" i="20"/>
  <c r="AU329" i="20" s="1"/>
  <c r="AV329" i="20" s="1"/>
  <c r="AW329" i="20" s="1"/>
  <c r="AX329" i="20" s="1"/>
  <c r="AY329" i="20" s="1"/>
  <c r="AZ329" i="20" s="1"/>
  <c r="BA329" i="20" s="1"/>
  <c r="BB329" i="20" s="1"/>
  <c r="BC329" i="20" s="1"/>
  <c r="BD329" i="20" s="1"/>
  <c r="BE329" i="20" s="1"/>
  <c r="BF329" i="20" s="1"/>
  <c r="BG329" i="20" s="1"/>
  <c r="BH329" i="20" s="1"/>
  <c r="BI329" i="20" s="1"/>
  <c r="BJ329" i="20" s="1"/>
  <c r="BK329" i="20" s="1"/>
  <c r="BL329" i="20" s="1"/>
  <c r="BM329" i="20" s="1"/>
  <c r="BN329" i="20" s="1"/>
  <c r="AT436" i="20"/>
  <c r="AU436" i="20" s="1"/>
  <c r="AV436" i="20" s="1"/>
  <c r="AW436" i="20" s="1"/>
  <c r="AX436" i="20" s="1"/>
  <c r="AY436" i="20" s="1"/>
  <c r="AZ436" i="20" s="1"/>
  <c r="BA436" i="20" s="1"/>
  <c r="BB436" i="20" s="1"/>
  <c r="BC436" i="20" s="1"/>
  <c r="BD436" i="20" s="1"/>
  <c r="BE436" i="20" s="1"/>
  <c r="BF436" i="20" s="1"/>
  <c r="BG436" i="20" s="1"/>
  <c r="AM778" i="20"/>
  <c r="AN778" i="20" s="1"/>
  <c r="AO778" i="20" s="1"/>
  <c r="AP778" i="20" s="1"/>
  <c r="AQ778" i="20" s="1"/>
  <c r="AR778" i="20" s="1"/>
  <c r="AS778" i="20" s="1"/>
  <c r="AT778" i="20" s="1"/>
  <c r="AU778" i="20" s="1"/>
  <c r="AV778" i="20" s="1"/>
  <c r="AW778" i="20" s="1"/>
  <c r="AX778" i="20" s="1"/>
  <c r="AY778" i="20" s="1"/>
  <c r="AZ778" i="20" s="1"/>
  <c r="BA778" i="20" s="1"/>
  <c r="BB778" i="20" s="1"/>
  <c r="BC778" i="20" s="1"/>
  <c r="BD778" i="20" s="1"/>
  <c r="BE778" i="20" s="1"/>
  <c r="BF778" i="20" s="1"/>
  <c r="BG778" i="20" s="1"/>
  <c r="BH778" i="20" s="1"/>
  <c r="BI778" i="20" s="1"/>
  <c r="BJ778" i="20" s="1"/>
  <c r="BK778" i="20" s="1"/>
  <c r="BL778" i="20" s="1"/>
  <c r="BM778" i="20" s="1"/>
  <c r="BN778" i="20" s="1"/>
  <c r="AM767" i="20"/>
  <c r="AN767" i="20" s="1"/>
  <c r="AO767" i="20" s="1"/>
  <c r="AP767" i="20" s="1"/>
  <c r="AQ767" i="20" s="1"/>
  <c r="AR767" i="20" s="1"/>
  <c r="AS767" i="20" s="1"/>
  <c r="AT767" i="20" s="1"/>
  <c r="AU767" i="20" s="1"/>
  <c r="AV767" i="20" s="1"/>
  <c r="AW767" i="20" s="1"/>
  <c r="AX767" i="20" s="1"/>
  <c r="AY767" i="20" s="1"/>
  <c r="AZ767" i="20" s="1"/>
  <c r="BA767" i="20" s="1"/>
  <c r="BB767" i="20" s="1"/>
  <c r="BC767" i="20" s="1"/>
  <c r="BD767" i="20" s="1"/>
  <c r="BE767" i="20" s="1"/>
  <c r="BF767" i="20" s="1"/>
  <c r="BG767" i="20" s="1"/>
  <c r="BH767" i="20" s="1"/>
  <c r="BI767" i="20" s="1"/>
  <c r="BJ767" i="20" s="1"/>
  <c r="BK767" i="20" s="1"/>
  <c r="BL767" i="20" s="1"/>
  <c r="BM767" i="20" s="1"/>
  <c r="BN767" i="20" s="1"/>
  <c r="AM845" i="20"/>
  <c r="AN845" i="20" s="1"/>
  <c r="AO845" i="20" s="1"/>
  <c r="AP845" i="20" s="1"/>
  <c r="AQ845" i="20" s="1"/>
  <c r="AR845" i="20" s="1"/>
  <c r="AS845" i="20" s="1"/>
  <c r="AT845" i="20" s="1"/>
  <c r="AU845" i="20" s="1"/>
  <c r="AV845" i="20" s="1"/>
  <c r="AW845" i="20" s="1"/>
  <c r="AX845" i="20" s="1"/>
  <c r="AY845" i="20" s="1"/>
  <c r="AZ845" i="20" s="1"/>
  <c r="BA845" i="20" s="1"/>
  <c r="BB845" i="20" s="1"/>
  <c r="BC845" i="20" s="1"/>
  <c r="BD845" i="20" s="1"/>
  <c r="BE845" i="20" s="1"/>
  <c r="BF845" i="20" s="1"/>
  <c r="BG845" i="20" s="1"/>
  <c r="BH845" i="20" s="1"/>
  <c r="BI845" i="20" s="1"/>
  <c r="BJ845" i="20" s="1"/>
  <c r="BK845" i="20" s="1"/>
  <c r="BL845" i="20" s="1"/>
  <c r="BM845" i="20" s="1"/>
  <c r="BN845" i="20" s="1"/>
  <c r="AT303" i="20"/>
  <c r="AU303" i="20" s="1"/>
  <c r="AV303" i="20" s="1"/>
  <c r="AW303" i="20" s="1"/>
  <c r="AX303" i="20" s="1"/>
  <c r="AY303" i="20" s="1"/>
  <c r="AZ303" i="20" s="1"/>
  <c r="BA303" i="20" s="1"/>
  <c r="BB303" i="20" s="1"/>
  <c r="BC303" i="20" s="1"/>
  <c r="BD303" i="20" s="1"/>
  <c r="BE303" i="20" s="1"/>
  <c r="BF303" i="20" s="1"/>
  <c r="BG303" i="20" s="1"/>
  <c r="BH303" i="20" s="1"/>
  <c r="BI303" i="20" s="1"/>
  <c r="BJ303" i="20" s="1"/>
  <c r="BK303" i="20" s="1"/>
  <c r="BL303" i="20" s="1"/>
  <c r="BM303" i="20" s="1"/>
  <c r="BN303" i="20" s="1"/>
  <c r="AT333" i="20"/>
  <c r="AU333" i="20" s="1"/>
  <c r="AV333" i="20" s="1"/>
  <c r="AW333" i="20" s="1"/>
  <c r="AX333" i="20" s="1"/>
  <c r="AY333" i="20" s="1"/>
  <c r="AZ333" i="20" s="1"/>
  <c r="BA333" i="20" s="1"/>
  <c r="BB333" i="20" s="1"/>
  <c r="BC333" i="20" s="1"/>
  <c r="BD333" i="20" s="1"/>
  <c r="BE333" i="20" s="1"/>
  <c r="BF333" i="20" s="1"/>
  <c r="BG333" i="20" s="1"/>
  <c r="BH333" i="20" s="1"/>
  <c r="BI333" i="20" s="1"/>
  <c r="BJ333" i="20" s="1"/>
  <c r="BK333" i="20" s="1"/>
  <c r="BL333" i="20" s="1"/>
  <c r="BM333" i="20" s="1"/>
  <c r="BN333" i="20" s="1"/>
  <c r="AT470" i="20"/>
  <c r="AU470" i="20" s="1"/>
  <c r="AV470" i="20" s="1"/>
  <c r="AW470" i="20" s="1"/>
  <c r="AX470" i="20" s="1"/>
  <c r="AY470" i="20" s="1"/>
  <c r="AZ470" i="20" s="1"/>
  <c r="BA470" i="20" s="1"/>
  <c r="BB470" i="20" s="1"/>
  <c r="BC470" i="20" s="1"/>
  <c r="BD470" i="20" s="1"/>
  <c r="BE470" i="20" s="1"/>
  <c r="BF470" i="20" s="1"/>
  <c r="BG470" i="20" s="1"/>
  <c r="AM794" i="20"/>
  <c r="AN794" i="20" s="1"/>
  <c r="AO794" i="20" s="1"/>
  <c r="AP794" i="20" s="1"/>
  <c r="AQ794" i="20" s="1"/>
  <c r="AR794" i="20" s="1"/>
  <c r="AS794" i="20" s="1"/>
  <c r="AT794" i="20" s="1"/>
  <c r="AU794" i="20" s="1"/>
  <c r="AV794" i="20" s="1"/>
  <c r="AW794" i="20" s="1"/>
  <c r="AX794" i="20" s="1"/>
  <c r="AY794" i="20" s="1"/>
  <c r="AZ794" i="20" s="1"/>
  <c r="BA794" i="20" s="1"/>
  <c r="BB794" i="20" s="1"/>
  <c r="BC794" i="20" s="1"/>
  <c r="BD794" i="20" s="1"/>
  <c r="BE794" i="20" s="1"/>
  <c r="BF794" i="20" s="1"/>
  <c r="BG794" i="20" s="1"/>
  <c r="BH794" i="20" s="1"/>
  <c r="BI794" i="20" s="1"/>
  <c r="BJ794" i="20" s="1"/>
  <c r="BK794" i="20" s="1"/>
  <c r="BL794" i="20" s="1"/>
  <c r="BM794" i="20" s="1"/>
  <c r="BN794" i="20" s="1"/>
  <c r="AM621" i="20"/>
  <c r="AN621" i="20" s="1"/>
  <c r="AO621" i="20" s="1"/>
  <c r="AP621" i="20" s="1"/>
  <c r="AQ621" i="20" s="1"/>
  <c r="AR621" i="20" s="1"/>
  <c r="AS621" i="20" s="1"/>
  <c r="AT621" i="20" s="1"/>
  <c r="AU621" i="20" s="1"/>
  <c r="AV621" i="20" s="1"/>
  <c r="AW621" i="20" s="1"/>
  <c r="AX621" i="20" s="1"/>
  <c r="AY621" i="20" s="1"/>
  <c r="AZ621" i="20" s="1"/>
  <c r="BA621" i="20" s="1"/>
  <c r="BB621" i="20" s="1"/>
  <c r="BC621" i="20" s="1"/>
  <c r="BD621" i="20" s="1"/>
  <c r="BE621" i="20" s="1"/>
  <c r="BF621" i="20" s="1"/>
  <c r="BG621" i="20" s="1"/>
  <c r="BH621" i="20" s="1"/>
  <c r="BI621" i="20" s="1"/>
  <c r="BJ621" i="20" s="1"/>
  <c r="BK621" i="20" s="1"/>
  <c r="BL621" i="20" s="1"/>
  <c r="BM621" i="20" s="1"/>
  <c r="BN621" i="20" s="1"/>
  <c r="AY727" i="20"/>
  <c r="AZ727" i="20" s="1"/>
  <c r="BA727" i="20" s="1"/>
  <c r="BB727" i="20" s="1"/>
  <c r="BC727" i="20" s="1"/>
  <c r="BD727" i="20" s="1"/>
  <c r="BE727" i="20" s="1"/>
  <c r="BF727" i="20" s="1"/>
  <c r="BG727" i="20" s="1"/>
  <c r="BH727" i="20" s="1"/>
  <c r="BI727" i="20" s="1"/>
  <c r="BJ727" i="20" s="1"/>
  <c r="BK727" i="20" s="1"/>
  <c r="BL727" i="20" s="1"/>
  <c r="BM727" i="20" s="1"/>
  <c r="BN727" i="20" s="1"/>
  <c r="AM771" i="20"/>
  <c r="AN771" i="20" s="1"/>
  <c r="AO771" i="20" s="1"/>
  <c r="AP771" i="20" s="1"/>
  <c r="AQ771" i="20" s="1"/>
  <c r="AR771" i="20" s="1"/>
  <c r="AS771" i="20" s="1"/>
  <c r="AT771" i="20" s="1"/>
  <c r="AU771" i="20" s="1"/>
  <c r="AV771" i="20" s="1"/>
  <c r="AW771" i="20" s="1"/>
  <c r="AX771" i="20" s="1"/>
  <c r="AY771" i="20" s="1"/>
  <c r="AZ771" i="20" s="1"/>
  <c r="BA771" i="20" s="1"/>
  <c r="BB771" i="20" s="1"/>
  <c r="BC771" i="20" s="1"/>
  <c r="BD771" i="20" s="1"/>
  <c r="BE771" i="20" s="1"/>
  <c r="BF771" i="20" s="1"/>
  <c r="BG771" i="20" s="1"/>
  <c r="BH771" i="20" s="1"/>
  <c r="BI771" i="20" s="1"/>
  <c r="BJ771" i="20" s="1"/>
  <c r="BK771" i="20" s="1"/>
  <c r="BL771" i="20" s="1"/>
  <c r="BM771" i="20" s="1"/>
  <c r="BN771" i="20" s="1"/>
  <c r="AM849" i="20"/>
  <c r="AN849" i="20" s="1"/>
  <c r="AO849" i="20" s="1"/>
  <c r="AP849" i="20" s="1"/>
  <c r="AQ849" i="20" s="1"/>
  <c r="AR849" i="20" s="1"/>
  <c r="AS849" i="20" s="1"/>
  <c r="AT849" i="20" s="1"/>
  <c r="AU849" i="20" s="1"/>
  <c r="AV849" i="20" s="1"/>
  <c r="AW849" i="20" s="1"/>
  <c r="AX849" i="20" s="1"/>
  <c r="AY849" i="20" s="1"/>
  <c r="AZ849" i="20" s="1"/>
  <c r="BA849" i="20" s="1"/>
  <c r="BB849" i="20" s="1"/>
  <c r="BC849" i="20" s="1"/>
  <c r="BD849" i="20" s="1"/>
  <c r="BE849" i="20" s="1"/>
  <c r="BF849" i="20" s="1"/>
  <c r="BG849" i="20" s="1"/>
  <c r="BH849" i="20" s="1"/>
  <c r="BI849" i="20" s="1"/>
  <c r="BJ849" i="20" s="1"/>
  <c r="BK849" i="20" s="1"/>
  <c r="BL849" i="20" s="1"/>
  <c r="BM849" i="20" s="1"/>
  <c r="BN849" i="20" s="1"/>
  <c r="AM38" i="20"/>
  <c r="AT256" i="20"/>
  <c r="AU256" i="20" s="1"/>
  <c r="AV256" i="20" s="1"/>
  <c r="AW256" i="20" s="1"/>
  <c r="AX256" i="20" s="1"/>
  <c r="AY256" i="20" s="1"/>
  <c r="AZ256" i="20" s="1"/>
  <c r="BA256" i="20" s="1"/>
  <c r="BB256" i="20" s="1"/>
  <c r="BC256" i="20" s="1"/>
  <c r="BD256" i="20" s="1"/>
  <c r="AN201" i="20"/>
  <c r="AN200" i="20"/>
  <c r="AN199" i="20"/>
  <c r="AN202" i="20"/>
  <c r="AN196" i="20"/>
  <c r="AN198" i="20"/>
  <c r="AN197" i="20"/>
  <c r="AL148" i="20"/>
  <c r="AL150" i="20"/>
  <c r="AL138" i="20"/>
  <c r="AL149" i="20"/>
  <c r="AL147" i="20"/>
  <c r="AL144" i="20"/>
  <c r="AL146" i="20"/>
  <c r="AL145" i="20"/>
  <c r="AO136" i="20"/>
  <c r="AN210" i="20"/>
  <c r="AN214" i="20"/>
  <c r="AN211" i="20"/>
  <c r="AN215" i="20"/>
  <c r="AN212" i="20"/>
  <c r="AN213" i="20"/>
  <c r="AN209" i="20"/>
  <c r="AM173" i="20"/>
  <c r="AM176" i="20"/>
  <c r="AM170" i="20"/>
  <c r="AM174" i="20"/>
  <c r="AM171" i="20"/>
  <c r="AM175" i="20"/>
  <c r="AM172" i="20"/>
  <c r="AM198" i="20"/>
  <c r="AM200" i="20"/>
  <c r="AM197" i="20"/>
  <c r="AM199" i="20"/>
  <c r="AM201" i="20"/>
  <c r="AM202" i="20"/>
  <c r="AM196" i="20"/>
  <c r="AL186" i="20"/>
  <c r="AL184" i="20"/>
  <c r="AL183" i="20"/>
  <c r="AL189" i="20"/>
  <c r="AL187" i="20"/>
  <c r="AL185" i="20"/>
  <c r="AL188" i="20"/>
  <c r="AT322" i="20"/>
  <c r="AU322" i="20" s="1"/>
  <c r="AV322" i="20" s="1"/>
  <c r="AW322" i="20" s="1"/>
  <c r="AX322" i="20" s="1"/>
  <c r="AY322" i="20" s="1"/>
  <c r="AZ322" i="20" s="1"/>
  <c r="BA322" i="20" s="1"/>
  <c r="BB322" i="20" s="1"/>
  <c r="BC322" i="20" s="1"/>
  <c r="BD322" i="20" s="1"/>
  <c r="BE322" i="20" s="1"/>
  <c r="BF322" i="20" s="1"/>
  <c r="BG322" i="20" s="1"/>
  <c r="BH322" i="20" s="1"/>
  <c r="BI322" i="20" s="1"/>
  <c r="BJ322" i="20" s="1"/>
  <c r="BK322" i="20" s="1"/>
  <c r="BL322" i="20" s="1"/>
  <c r="BM322" i="20" s="1"/>
  <c r="BN322" i="20" s="1"/>
  <c r="AT352" i="20"/>
  <c r="AU352" i="20" s="1"/>
  <c r="AV352" i="20" s="1"/>
  <c r="AW352" i="20" s="1"/>
  <c r="AX352" i="20" s="1"/>
  <c r="AY352" i="20" s="1"/>
  <c r="AZ352" i="20" s="1"/>
  <c r="BA352" i="20" s="1"/>
  <c r="BB352" i="20" s="1"/>
  <c r="BC352" i="20" s="1"/>
  <c r="BD352" i="20" s="1"/>
  <c r="BE352" i="20" s="1"/>
  <c r="BF352" i="20" s="1"/>
  <c r="BG352" i="20" s="1"/>
  <c r="BH352" i="20" s="1"/>
  <c r="BI352" i="20" s="1"/>
  <c r="BJ352" i="20" s="1"/>
  <c r="BK352" i="20" s="1"/>
  <c r="BL352" i="20" s="1"/>
  <c r="BM352" i="20" s="1"/>
  <c r="BN352" i="20" s="1"/>
  <c r="AM653" i="20"/>
  <c r="AN653" i="20" s="1"/>
  <c r="AO653" i="20" s="1"/>
  <c r="AP653" i="20" s="1"/>
  <c r="AQ653" i="20" s="1"/>
  <c r="AR653" i="20" s="1"/>
  <c r="AS653" i="20" s="1"/>
  <c r="AT653" i="20" s="1"/>
  <c r="AU653" i="20" s="1"/>
  <c r="AV653" i="20" s="1"/>
  <c r="AW653" i="20" s="1"/>
  <c r="AX653" i="20" s="1"/>
  <c r="AY653" i="20" s="1"/>
  <c r="AZ653" i="20" s="1"/>
  <c r="BA653" i="20" s="1"/>
  <c r="BB653" i="20" s="1"/>
  <c r="BC653" i="20" s="1"/>
  <c r="BD653" i="20" s="1"/>
  <c r="BE653" i="20" s="1"/>
  <c r="BF653" i="20" s="1"/>
  <c r="BG653" i="20" s="1"/>
  <c r="BH653" i="20" s="1"/>
  <c r="BI653" i="20" s="1"/>
  <c r="BJ653" i="20" s="1"/>
  <c r="BK653" i="20" s="1"/>
  <c r="BL653" i="20" s="1"/>
  <c r="BM653" i="20" s="1"/>
  <c r="BN653" i="20" s="1"/>
  <c r="AM781" i="20"/>
  <c r="AN781" i="20" s="1"/>
  <c r="AO781" i="20" s="1"/>
  <c r="AP781" i="20" s="1"/>
  <c r="AQ781" i="20" s="1"/>
  <c r="AR781" i="20" s="1"/>
  <c r="AS781" i="20" s="1"/>
  <c r="AT781" i="20" s="1"/>
  <c r="AU781" i="20" s="1"/>
  <c r="AV781" i="20" s="1"/>
  <c r="AW781" i="20" s="1"/>
  <c r="AX781" i="20" s="1"/>
  <c r="AY781" i="20" s="1"/>
  <c r="AZ781" i="20" s="1"/>
  <c r="BA781" i="20" s="1"/>
  <c r="BB781" i="20" s="1"/>
  <c r="BC781" i="20" s="1"/>
  <c r="BD781" i="20" s="1"/>
  <c r="BE781" i="20" s="1"/>
  <c r="BF781" i="20" s="1"/>
  <c r="BG781" i="20" s="1"/>
  <c r="BH781" i="20" s="1"/>
  <c r="BI781" i="20" s="1"/>
  <c r="BJ781" i="20" s="1"/>
  <c r="BK781" i="20" s="1"/>
  <c r="BL781" i="20" s="1"/>
  <c r="BM781" i="20" s="1"/>
  <c r="BN781" i="20" s="1"/>
  <c r="AM941" i="20"/>
  <c r="AN826" i="20"/>
  <c r="AT319" i="20"/>
  <c r="AU319" i="20" s="1"/>
  <c r="AV319" i="20" s="1"/>
  <c r="AW319" i="20" s="1"/>
  <c r="AX319" i="20" s="1"/>
  <c r="AY319" i="20" s="1"/>
  <c r="AZ319" i="20" s="1"/>
  <c r="BA319" i="20" s="1"/>
  <c r="BB319" i="20" s="1"/>
  <c r="BC319" i="20" s="1"/>
  <c r="BD319" i="20" s="1"/>
  <c r="BE319" i="20" s="1"/>
  <c r="BF319" i="20" s="1"/>
  <c r="BG319" i="20" s="1"/>
  <c r="BH319" i="20" s="1"/>
  <c r="BI319" i="20" s="1"/>
  <c r="BJ319" i="20" s="1"/>
  <c r="BK319" i="20" s="1"/>
  <c r="BL319" i="20" s="1"/>
  <c r="BM319" i="20" s="1"/>
  <c r="BN319" i="20" s="1"/>
  <c r="AT349" i="20"/>
  <c r="AU349" i="20" s="1"/>
  <c r="AV349" i="20" s="1"/>
  <c r="AW349" i="20" s="1"/>
  <c r="AX349" i="20" s="1"/>
  <c r="AY349" i="20" s="1"/>
  <c r="AZ349" i="20" s="1"/>
  <c r="BA349" i="20" s="1"/>
  <c r="BB349" i="20" s="1"/>
  <c r="BC349" i="20" s="1"/>
  <c r="BD349" i="20" s="1"/>
  <c r="BE349" i="20" s="1"/>
  <c r="BF349" i="20" s="1"/>
  <c r="BG349" i="20" s="1"/>
  <c r="BH349" i="20" s="1"/>
  <c r="BI349" i="20" s="1"/>
  <c r="BJ349" i="20" s="1"/>
  <c r="BK349" i="20" s="1"/>
  <c r="BL349" i="20" s="1"/>
  <c r="BM349" i="20" s="1"/>
  <c r="BN349" i="20" s="1"/>
  <c r="AT456" i="20"/>
  <c r="AU456" i="20" s="1"/>
  <c r="AV456" i="20" s="1"/>
  <c r="AW456" i="20" s="1"/>
  <c r="AX456" i="20" s="1"/>
  <c r="AY456" i="20" s="1"/>
  <c r="AZ456" i="20" s="1"/>
  <c r="BA456" i="20" s="1"/>
  <c r="BB456" i="20" s="1"/>
  <c r="BC456" i="20" s="1"/>
  <c r="BD456" i="20" s="1"/>
  <c r="BE456" i="20" s="1"/>
  <c r="BF456" i="20" s="1"/>
  <c r="BG456" i="20" s="1"/>
  <c r="AM639" i="20"/>
  <c r="AN639" i="20" s="1"/>
  <c r="AO639" i="20" s="1"/>
  <c r="AP639" i="20" s="1"/>
  <c r="AQ639" i="20" s="1"/>
  <c r="AR639" i="20" s="1"/>
  <c r="AS639" i="20" s="1"/>
  <c r="AT639" i="20" s="1"/>
  <c r="AU639" i="20" s="1"/>
  <c r="AV639" i="20" s="1"/>
  <c r="AW639" i="20" s="1"/>
  <c r="AX639" i="20" s="1"/>
  <c r="AY639" i="20" s="1"/>
  <c r="AZ639" i="20" s="1"/>
  <c r="BA639" i="20" s="1"/>
  <c r="BB639" i="20" s="1"/>
  <c r="BC639" i="20" s="1"/>
  <c r="BD639" i="20" s="1"/>
  <c r="BE639" i="20" s="1"/>
  <c r="BF639" i="20" s="1"/>
  <c r="BG639" i="20" s="1"/>
  <c r="BH639" i="20" s="1"/>
  <c r="BI639" i="20" s="1"/>
  <c r="BJ639" i="20" s="1"/>
  <c r="BK639" i="20" s="1"/>
  <c r="BL639" i="20" s="1"/>
  <c r="BM639" i="20" s="1"/>
  <c r="BN639" i="20" s="1"/>
  <c r="AY723" i="20"/>
  <c r="AZ723" i="20" s="1"/>
  <c r="BA723" i="20" s="1"/>
  <c r="BB723" i="20" s="1"/>
  <c r="BC723" i="20" s="1"/>
  <c r="BD723" i="20" s="1"/>
  <c r="BE723" i="20" s="1"/>
  <c r="BF723" i="20" s="1"/>
  <c r="BG723" i="20" s="1"/>
  <c r="BH723" i="20" s="1"/>
  <c r="BI723" i="20" s="1"/>
  <c r="BJ723" i="20" s="1"/>
  <c r="BK723" i="20" s="1"/>
  <c r="BL723" i="20" s="1"/>
  <c r="BM723" i="20" s="1"/>
  <c r="BN723" i="20" s="1"/>
  <c r="AN734" i="20"/>
  <c r="AO734" i="20" s="1"/>
  <c r="AP734" i="20" s="1"/>
  <c r="AQ734" i="20" s="1"/>
  <c r="AR734" i="20" s="1"/>
  <c r="AS734" i="20" s="1"/>
  <c r="AT734" i="20" s="1"/>
  <c r="AU734" i="20" s="1"/>
  <c r="AV734" i="20" s="1"/>
  <c r="AW734" i="20" s="1"/>
  <c r="AX734" i="20" s="1"/>
  <c r="AY734" i="20" s="1"/>
  <c r="AZ734" i="20" s="1"/>
  <c r="BA734" i="20" s="1"/>
  <c r="BB734" i="20" s="1"/>
  <c r="BC734" i="20" s="1"/>
  <c r="BD734" i="20" s="1"/>
  <c r="BE734" i="20" s="1"/>
  <c r="BF734" i="20" s="1"/>
  <c r="BG734" i="20" s="1"/>
  <c r="BH734" i="20" s="1"/>
  <c r="BI734" i="20" s="1"/>
  <c r="BJ734" i="20" s="1"/>
  <c r="BK734" i="20" s="1"/>
  <c r="BL734" i="20" s="1"/>
  <c r="BM734" i="20" s="1"/>
  <c r="BN734" i="20" s="1"/>
  <c r="AT323" i="20"/>
  <c r="AU323" i="20" s="1"/>
  <c r="AV323" i="20" s="1"/>
  <c r="AW323" i="20" s="1"/>
  <c r="AX323" i="20" s="1"/>
  <c r="AY323" i="20" s="1"/>
  <c r="AZ323" i="20" s="1"/>
  <c r="BA323" i="20" s="1"/>
  <c r="BB323" i="20" s="1"/>
  <c r="BC323" i="20" s="1"/>
  <c r="BD323" i="20" s="1"/>
  <c r="BE323" i="20" s="1"/>
  <c r="BF323" i="20" s="1"/>
  <c r="BG323" i="20" s="1"/>
  <c r="BH323" i="20" s="1"/>
  <c r="BI323" i="20" s="1"/>
  <c r="BJ323" i="20" s="1"/>
  <c r="BK323" i="20" s="1"/>
  <c r="BL323" i="20" s="1"/>
  <c r="BM323" i="20" s="1"/>
  <c r="BN323" i="20" s="1"/>
  <c r="AT353" i="20"/>
  <c r="AU353" i="20" s="1"/>
  <c r="AV353" i="20" s="1"/>
  <c r="AW353" i="20" s="1"/>
  <c r="AX353" i="20" s="1"/>
  <c r="AY353" i="20" s="1"/>
  <c r="AZ353" i="20" s="1"/>
  <c r="BA353" i="20" s="1"/>
  <c r="BB353" i="20" s="1"/>
  <c r="BC353" i="20" s="1"/>
  <c r="BD353" i="20" s="1"/>
  <c r="BE353" i="20" s="1"/>
  <c r="BF353" i="20" s="1"/>
  <c r="BG353" i="20" s="1"/>
  <c r="BH353" i="20" s="1"/>
  <c r="BI353" i="20" s="1"/>
  <c r="BJ353" i="20" s="1"/>
  <c r="BK353" i="20" s="1"/>
  <c r="BL353" i="20" s="1"/>
  <c r="BM353" i="20" s="1"/>
  <c r="BN353" i="20" s="1"/>
  <c r="AT420" i="20"/>
  <c r="AU420" i="20" s="1"/>
  <c r="AV420" i="20" s="1"/>
  <c r="AW420" i="20" s="1"/>
  <c r="AX420" i="20" s="1"/>
  <c r="AY420" i="20" s="1"/>
  <c r="AZ420" i="20" s="1"/>
  <c r="BA420" i="20" s="1"/>
  <c r="BB420" i="20" s="1"/>
  <c r="BC420" i="20" s="1"/>
  <c r="BD420" i="20" s="1"/>
  <c r="BE420" i="20" s="1"/>
  <c r="BF420" i="20" s="1"/>
  <c r="BG420" i="20" s="1"/>
  <c r="AM665" i="20"/>
  <c r="AN665" i="20" s="1"/>
  <c r="AO665" i="20" s="1"/>
  <c r="AP665" i="20" s="1"/>
  <c r="AQ665" i="20" s="1"/>
  <c r="AR665" i="20" s="1"/>
  <c r="AS665" i="20" s="1"/>
  <c r="AT665" i="20" s="1"/>
  <c r="AU665" i="20" s="1"/>
  <c r="AV665" i="20" s="1"/>
  <c r="AW665" i="20" s="1"/>
  <c r="AX665" i="20" s="1"/>
  <c r="AY665" i="20" s="1"/>
  <c r="AZ665" i="20" s="1"/>
  <c r="BA665" i="20" s="1"/>
  <c r="BB665" i="20" s="1"/>
  <c r="BC665" i="20" s="1"/>
  <c r="BD665" i="20" s="1"/>
  <c r="BE665" i="20" s="1"/>
  <c r="BF665" i="20" s="1"/>
  <c r="BG665" i="20" s="1"/>
  <c r="BH665" i="20" s="1"/>
  <c r="BI665" i="20" s="1"/>
  <c r="BJ665" i="20" s="1"/>
  <c r="BK665" i="20" s="1"/>
  <c r="BL665" i="20" s="1"/>
  <c r="BM665" i="20" s="1"/>
  <c r="BN665" i="20" s="1"/>
  <c r="AM676" i="20"/>
  <c r="AN676" i="20" s="1"/>
  <c r="AO676" i="20" s="1"/>
  <c r="AP676" i="20" s="1"/>
  <c r="AQ676" i="20" s="1"/>
  <c r="AR676" i="20" s="1"/>
  <c r="AS676" i="20" s="1"/>
  <c r="AT676" i="20" s="1"/>
  <c r="AU676" i="20" s="1"/>
  <c r="AV676" i="20" s="1"/>
  <c r="AW676" i="20" s="1"/>
  <c r="AX676" i="20" s="1"/>
  <c r="AY676" i="20" s="1"/>
  <c r="AZ676" i="20" s="1"/>
  <c r="BA676" i="20" s="1"/>
  <c r="BB676" i="20" s="1"/>
  <c r="BC676" i="20" s="1"/>
  <c r="BD676" i="20" s="1"/>
  <c r="BE676" i="20" s="1"/>
  <c r="BF676" i="20" s="1"/>
  <c r="BG676" i="20" s="1"/>
  <c r="BH676" i="20" s="1"/>
  <c r="BI676" i="20" s="1"/>
  <c r="BJ676" i="20" s="1"/>
  <c r="BK676" i="20" s="1"/>
  <c r="BL676" i="20" s="1"/>
  <c r="BM676" i="20" s="1"/>
  <c r="BN676" i="20" s="1"/>
  <c r="AM760" i="20"/>
  <c r="AN760" i="20" s="1"/>
  <c r="AO760" i="20" s="1"/>
  <c r="AP760" i="20" s="1"/>
  <c r="AQ760" i="20" s="1"/>
  <c r="AR760" i="20" s="1"/>
  <c r="AS760" i="20" s="1"/>
  <c r="AT760" i="20" s="1"/>
  <c r="AU760" i="20" s="1"/>
  <c r="AV760" i="20" s="1"/>
  <c r="AW760" i="20" s="1"/>
  <c r="AX760" i="20" s="1"/>
  <c r="AY760" i="20" s="1"/>
  <c r="AZ760" i="20" s="1"/>
  <c r="BA760" i="20" s="1"/>
  <c r="BB760" i="20" s="1"/>
  <c r="BC760" i="20" s="1"/>
  <c r="BD760" i="20" s="1"/>
  <c r="BE760" i="20" s="1"/>
  <c r="BF760" i="20" s="1"/>
  <c r="BG760" i="20" s="1"/>
  <c r="BH760" i="20" s="1"/>
  <c r="BI760" i="20" s="1"/>
  <c r="BJ760" i="20" s="1"/>
  <c r="BK760" i="20" s="1"/>
  <c r="BL760" i="20" s="1"/>
  <c r="BM760" i="20" s="1"/>
  <c r="BN760" i="20" s="1"/>
  <c r="AN738" i="20"/>
  <c r="AO738" i="20" s="1"/>
  <c r="AP738" i="20" s="1"/>
  <c r="AQ738" i="20" s="1"/>
  <c r="AR738" i="20" s="1"/>
  <c r="AS738" i="20" s="1"/>
  <c r="AT738" i="20" s="1"/>
  <c r="AU738" i="20" s="1"/>
  <c r="AV738" i="20" s="1"/>
  <c r="AW738" i="20" s="1"/>
  <c r="AX738" i="20" s="1"/>
  <c r="AY738" i="20" s="1"/>
  <c r="AZ738" i="20" s="1"/>
  <c r="BA738" i="20" s="1"/>
  <c r="BB738" i="20" s="1"/>
  <c r="BC738" i="20" s="1"/>
  <c r="BD738" i="20" s="1"/>
  <c r="BE738" i="20" s="1"/>
  <c r="BF738" i="20" s="1"/>
  <c r="BG738" i="20" s="1"/>
  <c r="BH738" i="20" s="1"/>
  <c r="BI738" i="20" s="1"/>
  <c r="BJ738" i="20" s="1"/>
  <c r="BK738" i="20" s="1"/>
  <c r="BL738" i="20" s="1"/>
  <c r="BM738" i="20" s="1"/>
  <c r="BN738" i="20" s="1"/>
  <c r="AT259" i="20"/>
  <c r="AU259" i="20" s="1"/>
  <c r="AV259" i="20" s="1"/>
  <c r="AW259" i="20" s="1"/>
  <c r="AX259" i="20" s="1"/>
  <c r="AY259" i="20" s="1"/>
  <c r="AZ259" i="20" s="1"/>
  <c r="BA259" i="20" s="1"/>
  <c r="BB259" i="20" s="1"/>
  <c r="BC259" i="20" s="1"/>
  <c r="BD259" i="20" s="1"/>
  <c r="AT260" i="20"/>
  <c r="AU260" i="20" s="1"/>
  <c r="AV260" i="20" s="1"/>
  <c r="AW260" i="20" s="1"/>
  <c r="AX260" i="20" s="1"/>
  <c r="AY260" i="20" s="1"/>
  <c r="AZ260" i="20" s="1"/>
  <c r="BA260" i="20" s="1"/>
  <c r="BB260" i="20" s="1"/>
  <c r="BC260" i="20" s="1"/>
  <c r="BD260" i="20" s="1"/>
  <c r="AT309" i="20"/>
  <c r="AU309" i="20" s="1"/>
  <c r="AV309" i="20" s="1"/>
  <c r="AW309" i="20" s="1"/>
  <c r="AX309" i="20" s="1"/>
  <c r="AY309" i="20" s="1"/>
  <c r="AZ309" i="20" s="1"/>
  <c r="BA309" i="20" s="1"/>
  <c r="BB309" i="20" s="1"/>
  <c r="BC309" i="20" s="1"/>
  <c r="BD309" i="20" s="1"/>
  <c r="BE309" i="20" s="1"/>
  <c r="BF309" i="20" s="1"/>
  <c r="BG309" i="20" s="1"/>
  <c r="BH309" i="20" s="1"/>
  <c r="BI309" i="20" s="1"/>
  <c r="BJ309" i="20" s="1"/>
  <c r="BK309" i="20" s="1"/>
  <c r="BL309" i="20" s="1"/>
  <c r="BM309" i="20" s="1"/>
  <c r="BN309" i="20" s="1"/>
  <c r="AM823" i="20"/>
  <c r="AT882" i="20"/>
  <c r="AU407" i="20"/>
  <c r="AT437" i="20"/>
  <c r="AU437" i="20" s="1"/>
  <c r="AV437" i="20" s="1"/>
  <c r="AW437" i="20" s="1"/>
  <c r="AX437" i="20" s="1"/>
  <c r="AY437" i="20" s="1"/>
  <c r="AZ437" i="20" s="1"/>
  <c r="BA437" i="20" s="1"/>
  <c r="BB437" i="20" s="1"/>
  <c r="BC437" i="20" s="1"/>
  <c r="BD437" i="20" s="1"/>
  <c r="BE437" i="20" s="1"/>
  <c r="BF437" i="20" s="1"/>
  <c r="BG437" i="20" s="1"/>
  <c r="AT467" i="20"/>
  <c r="AU467" i="20" s="1"/>
  <c r="AV467" i="20" s="1"/>
  <c r="AW467" i="20" s="1"/>
  <c r="AX467" i="20" s="1"/>
  <c r="AY467" i="20" s="1"/>
  <c r="AZ467" i="20" s="1"/>
  <c r="BA467" i="20" s="1"/>
  <c r="BB467" i="20" s="1"/>
  <c r="BC467" i="20" s="1"/>
  <c r="BD467" i="20" s="1"/>
  <c r="BE467" i="20" s="1"/>
  <c r="BF467" i="20" s="1"/>
  <c r="BG467" i="20" s="1"/>
  <c r="AM792" i="20"/>
  <c r="AN792" i="20" s="1"/>
  <c r="AO792" i="20" s="1"/>
  <c r="AP792" i="20" s="1"/>
  <c r="AQ792" i="20" s="1"/>
  <c r="AR792" i="20" s="1"/>
  <c r="AS792" i="20" s="1"/>
  <c r="AT792" i="20" s="1"/>
  <c r="AU792" i="20" s="1"/>
  <c r="AV792" i="20" s="1"/>
  <c r="AW792" i="20" s="1"/>
  <c r="AX792" i="20" s="1"/>
  <c r="AY792" i="20" s="1"/>
  <c r="AZ792" i="20" s="1"/>
  <c r="BA792" i="20" s="1"/>
  <c r="BB792" i="20" s="1"/>
  <c r="BC792" i="20" s="1"/>
  <c r="BD792" i="20" s="1"/>
  <c r="BE792" i="20" s="1"/>
  <c r="BF792" i="20" s="1"/>
  <c r="BG792" i="20" s="1"/>
  <c r="BH792" i="20" s="1"/>
  <c r="BI792" i="20" s="1"/>
  <c r="BJ792" i="20" s="1"/>
  <c r="BK792" i="20" s="1"/>
  <c r="BL792" i="20" s="1"/>
  <c r="BM792" i="20" s="1"/>
  <c r="BN792" i="20" s="1"/>
  <c r="AM619" i="20"/>
  <c r="AN619" i="20" s="1"/>
  <c r="AO619" i="20" s="1"/>
  <c r="AP619" i="20" s="1"/>
  <c r="AQ619" i="20" s="1"/>
  <c r="AR619" i="20" s="1"/>
  <c r="AS619" i="20" s="1"/>
  <c r="AT619" i="20" s="1"/>
  <c r="AU619" i="20" s="1"/>
  <c r="AV619" i="20" s="1"/>
  <c r="AW619" i="20" s="1"/>
  <c r="AX619" i="20" s="1"/>
  <c r="AY619" i="20" s="1"/>
  <c r="AZ619" i="20" s="1"/>
  <c r="BA619" i="20" s="1"/>
  <c r="BB619" i="20" s="1"/>
  <c r="BC619" i="20" s="1"/>
  <c r="BD619" i="20" s="1"/>
  <c r="BE619" i="20" s="1"/>
  <c r="BF619" i="20" s="1"/>
  <c r="BG619" i="20" s="1"/>
  <c r="BH619" i="20" s="1"/>
  <c r="BI619" i="20" s="1"/>
  <c r="BJ619" i="20" s="1"/>
  <c r="BK619" i="20" s="1"/>
  <c r="BL619" i="20" s="1"/>
  <c r="BM619" i="20" s="1"/>
  <c r="BN619" i="20" s="1"/>
  <c r="AN736" i="20"/>
  <c r="AO736" i="20" s="1"/>
  <c r="AP736" i="20" s="1"/>
  <c r="AQ736" i="20" s="1"/>
  <c r="AR736" i="20" s="1"/>
  <c r="AS736" i="20" s="1"/>
  <c r="AT736" i="20" s="1"/>
  <c r="AU736" i="20" s="1"/>
  <c r="AV736" i="20" s="1"/>
  <c r="AW736" i="20" s="1"/>
  <c r="AX736" i="20" s="1"/>
  <c r="AY736" i="20" s="1"/>
  <c r="AZ736" i="20" s="1"/>
  <c r="BA736" i="20" s="1"/>
  <c r="BB736" i="20" s="1"/>
  <c r="BC736" i="20" s="1"/>
  <c r="BD736" i="20" s="1"/>
  <c r="BE736" i="20" s="1"/>
  <c r="BF736" i="20" s="1"/>
  <c r="BG736" i="20" s="1"/>
  <c r="BH736" i="20" s="1"/>
  <c r="BI736" i="20" s="1"/>
  <c r="BJ736" i="20" s="1"/>
  <c r="BK736" i="20" s="1"/>
  <c r="BL736" i="20" s="1"/>
  <c r="BM736" i="20" s="1"/>
  <c r="BN736" i="20" s="1"/>
  <c r="AM37" i="20"/>
  <c r="AL40" i="20"/>
  <c r="AT457" i="20"/>
  <c r="AM618" i="20"/>
  <c r="AN618" i="20" s="1"/>
  <c r="AO618" i="20" s="1"/>
  <c r="AP618" i="20" s="1"/>
  <c r="AQ618" i="20" s="1"/>
  <c r="AR618" i="20" s="1"/>
  <c r="AS618" i="20" s="1"/>
  <c r="AT618" i="20" s="1"/>
  <c r="AU618" i="20" s="1"/>
  <c r="AV618" i="20" s="1"/>
  <c r="AW618" i="20" s="1"/>
  <c r="AX618" i="20" s="1"/>
  <c r="AY618" i="20" s="1"/>
  <c r="AZ618" i="20" s="1"/>
  <c r="BA618" i="20" s="1"/>
  <c r="BB618" i="20" s="1"/>
  <c r="BC618" i="20" s="1"/>
  <c r="BD618" i="20" s="1"/>
  <c r="BE618" i="20" s="1"/>
  <c r="BF618" i="20" s="1"/>
  <c r="BG618" i="20" s="1"/>
  <c r="BH618" i="20" s="1"/>
  <c r="BI618" i="20" s="1"/>
  <c r="BJ618" i="20" s="1"/>
  <c r="BK618" i="20" s="1"/>
  <c r="BL618" i="20" s="1"/>
  <c r="BM618" i="20" s="1"/>
  <c r="BN618" i="20" s="1"/>
  <c r="AM791" i="20"/>
  <c r="AN791" i="20" s="1"/>
  <c r="AO791" i="20" s="1"/>
  <c r="AP791" i="20" s="1"/>
  <c r="AQ791" i="20" s="1"/>
  <c r="AR791" i="20" s="1"/>
  <c r="AS791" i="20" s="1"/>
  <c r="AT791" i="20" s="1"/>
  <c r="AU791" i="20" s="1"/>
  <c r="AV791" i="20" s="1"/>
  <c r="AW791" i="20" s="1"/>
  <c r="AX791" i="20" s="1"/>
  <c r="AY791" i="20" s="1"/>
  <c r="AZ791" i="20" s="1"/>
  <c r="BA791" i="20" s="1"/>
  <c r="BB791" i="20" s="1"/>
  <c r="BC791" i="20" s="1"/>
  <c r="BD791" i="20" s="1"/>
  <c r="BE791" i="20" s="1"/>
  <c r="BF791" i="20" s="1"/>
  <c r="BG791" i="20" s="1"/>
  <c r="BH791" i="20" s="1"/>
  <c r="BI791" i="20" s="1"/>
  <c r="BJ791" i="20" s="1"/>
  <c r="BK791" i="20" s="1"/>
  <c r="BL791" i="20" s="1"/>
  <c r="BM791" i="20" s="1"/>
  <c r="BN791" i="20" s="1"/>
  <c r="AO908" i="20"/>
  <c r="AP573" i="20"/>
  <c r="AM757" i="20"/>
  <c r="AN757" i="20" s="1"/>
  <c r="AO757" i="20" s="1"/>
  <c r="AP757" i="20" s="1"/>
  <c r="AQ757" i="20" s="1"/>
  <c r="AR757" i="20" s="1"/>
  <c r="AS757" i="20" s="1"/>
  <c r="AT757" i="20" s="1"/>
  <c r="AU757" i="20" s="1"/>
  <c r="AV757" i="20" s="1"/>
  <c r="AW757" i="20" s="1"/>
  <c r="AX757" i="20" s="1"/>
  <c r="AY757" i="20" s="1"/>
  <c r="AZ757" i="20" s="1"/>
  <c r="BA757" i="20" s="1"/>
  <c r="BB757" i="20" s="1"/>
  <c r="BC757" i="20" s="1"/>
  <c r="BD757" i="20" s="1"/>
  <c r="BE757" i="20" s="1"/>
  <c r="BF757" i="20" s="1"/>
  <c r="BG757" i="20" s="1"/>
  <c r="BH757" i="20" s="1"/>
  <c r="BI757" i="20" s="1"/>
  <c r="BJ757" i="20" s="1"/>
  <c r="BK757" i="20" s="1"/>
  <c r="BL757" i="20" s="1"/>
  <c r="BM757" i="20" s="1"/>
  <c r="BN757" i="20" s="1"/>
  <c r="AM746" i="20"/>
  <c r="AN746" i="20" s="1"/>
  <c r="AO746" i="20" s="1"/>
  <c r="AP746" i="20" s="1"/>
  <c r="AQ746" i="20" s="1"/>
  <c r="AR746" i="20" s="1"/>
  <c r="AS746" i="20" s="1"/>
  <c r="AT746" i="20" s="1"/>
  <c r="AU746" i="20" s="1"/>
  <c r="AV746" i="20" s="1"/>
  <c r="AW746" i="20" s="1"/>
  <c r="AX746" i="20" s="1"/>
  <c r="AY746" i="20" s="1"/>
  <c r="AZ746" i="20" s="1"/>
  <c r="BA746" i="20" s="1"/>
  <c r="BB746" i="20" s="1"/>
  <c r="BC746" i="20" s="1"/>
  <c r="BD746" i="20" s="1"/>
  <c r="BE746" i="20" s="1"/>
  <c r="BF746" i="20" s="1"/>
  <c r="BG746" i="20" s="1"/>
  <c r="BH746" i="20" s="1"/>
  <c r="BI746" i="20" s="1"/>
  <c r="BJ746" i="20" s="1"/>
  <c r="BK746" i="20" s="1"/>
  <c r="BL746" i="20" s="1"/>
  <c r="BM746" i="20" s="1"/>
  <c r="BN746" i="20" s="1"/>
  <c r="AN135" i="20"/>
  <c r="AN134" i="20"/>
  <c r="AM133" i="20"/>
  <c r="AL209" i="20"/>
  <c r="AL215" i="20"/>
  <c r="AL212" i="20"/>
  <c r="AL214" i="20"/>
  <c r="AL211" i="20"/>
  <c r="AL210" i="20"/>
  <c r="AL213" i="20"/>
  <c r="AL199" i="20"/>
  <c r="AL198" i="20"/>
  <c r="AL201" i="20"/>
  <c r="AL196" i="20"/>
  <c r="AL197" i="20"/>
  <c r="AL200" i="20"/>
  <c r="AL202" i="20"/>
  <c r="AM630" i="20"/>
  <c r="AN630" i="20" s="1"/>
  <c r="AO630" i="20" s="1"/>
  <c r="AP630" i="20" s="1"/>
  <c r="AQ630" i="20" s="1"/>
  <c r="AR630" i="20" s="1"/>
  <c r="AS630" i="20" s="1"/>
  <c r="AT630" i="20" s="1"/>
  <c r="AU630" i="20" s="1"/>
  <c r="AV630" i="20" s="1"/>
  <c r="AW630" i="20" s="1"/>
  <c r="AX630" i="20" s="1"/>
  <c r="AY630" i="20" s="1"/>
  <c r="AZ630" i="20" s="1"/>
  <c r="BA630" i="20" s="1"/>
  <c r="BB630" i="20" s="1"/>
  <c r="BC630" i="20" s="1"/>
  <c r="BD630" i="20" s="1"/>
  <c r="BE630" i="20" s="1"/>
  <c r="BF630" i="20" s="1"/>
  <c r="BG630" i="20" s="1"/>
  <c r="BH630" i="20" s="1"/>
  <c r="BI630" i="20" s="1"/>
  <c r="BJ630" i="20" s="1"/>
  <c r="BK630" i="20" s="1"/>
  <c r="BL630" i="20" s="1"/>
  <c r="BM630" i="20" s="1"/>
  <c r="BN630" i="20" s="1"/>
  <c r="AM769" i="20"/>
  <c r="AN769" i="20" s="1"/>
  <c r="AO769" i="20" s="1"/>
  <c r="AP769" i="20" s="1"/>
  <c r="AQ769" i="20" s="1"/>
  <c r="AR769" i="20" s="1"/>
  <c r="AS769" i="20" s="1"/>
  <c r="AT769" i="20" s="1"/>
  <c r="AU769" i="20" s="1"/>
  <c r="AV769" i="20" s="1"/>
  <c r="AW769" i="20" s="1"/>
  <c r="AX769" i="20" s="1"/>
  <c r="AY769" i="20" s="1"/>
  <c r="AZ769" i="20" s="1"/>
  <c r="BA769" i="20" s="1"/>
  <c r="BB769" i="20" s="1"/>
  <c r="BC769" i="20" s="1"/>
  <c r="BD769" i="20" s="1"/>
  <c r="BE769" i="20" s="1"/>
  <c r="BF769" i="20" s="1"/>
  <c r="BG769" i="20" s="1"/>
  <c r="BH769" i="20" s="1"/>
  <c r="BI769" i="20" s="1"/>
  <c r="BJ769" i="20" s="1"/>
  <c r="BK769" i="20" s="1"/>
  <c r="BL769" i="20" s="1"/>
  <c r="BM769" i="20" s="1"/>
  <c r="BN769" i="20" s="1"/>
  <c r="AM75" i="20"/>
  <c r="AM74" i="20"/>
  <c r="AL76" i="20"/>
  <c r="AM73" i="20"/>
  <c r="AM627" i="20"/>
  <c r="AN627" i="20" s="1"/>
  <c r="AO627" i="20" s="1"/>
  <c r="AP627" i="20" s="1"/>
  <c r="AQ627" i="20" s="1"/>
  <c r="AR627" i="20" s="1"/>
  <c r="AS627" i="20" s="1"/>
  <c r="AT627" i="20" s="1"/>
  <c r="AU627" i="20" s="1"/>
  <c r="AV627" i="20" s="1"/>
  <c r="AW627" i="20" s="1"/>
  <c r="AX627" i="20" s="1"/>
  <c r="AY627" i="20" s="1"/>
  <c r="AZ627" i="20" s="1"/>
  <c r="BA627" i="20" s="1"/>
  <c r="BB627" i="20" s="1"/>
  <c r="BC627" i="20" s="1"/>
  <c r="BD627" i="20" s="1"/>
  <c r="BE627" i="20" s="1"/>
  <c r="BF627" i="20" s="1"/>
  <c r="BG627" i="20" s="1"/>
  <c r="BH627" i="20" s="1"/>
  <c r="BI627" i="20" s="1"/>
  <c r="BJ627" i="20" s="1"/>
  <c r="BK627" i="20" s="1"/>
  <c r="BL627" i="20" s="1"/>
  <c r="BM627" i="20" s="1"/>
  <c r="BN627" i="20" s="1"/>
  <c r="AM671" i="20"/>
  <c r="AN671" i="20" s="1"/>
  <c r="AO671" i="20" s="1"/>
  <c r="AP671" i="20" s="1"/>
  <c r="AQ671" i="20" s="1"/>
  <c r="AR671" i="20" s="1"/>
  <c r="AS671" i="20" s="1"/>
  <c r="AT671" i="20" s="1"/>
  <c r="AU671" i="20" s="1"/>
  <c r="AV671" i="20" s="1"/>
  <c r="AW671" i="20" s="1"/>
  <c r="AX671" i="20" s="1"/>
  <c r="AY671" i="20" s="1"/>
  <c r="AZ671" i="20" s="1"/>
  <c r="BA671" i="20" s="1"/>
  <c r="BB671" i="20" s="1"/>
  <c r="BC671" i="20" s="1"/>
  <c r="BD671" i="20" s="1"/>
  <c r="BE671" i="20" s="1"/>
  <c r="BF671" i="20" s="1"/>
  <c r="BG671" i="20" s="1"/>
  <c r="BH671" i="20" s="1"/>
  <c r="BI671" i="20" s="1"/>
  <c r="BJ671" i="20" s="1"/>
  <c r="BK671" i="20" s="1"/>
  <c r="BL671" i="20" s="1"/>
  <c r="BM671" i="20" s="1"/>
  <c r="BN671" i="20" s="1"/>
  <c r="AT429" i="20"/>
  <c r="AU429" i="20" s="1"/>
  <c r="AV429" i="20" s="1"/>
  <c r="AW429" i="20" s="1"/>
  <c r="AX429" i="20" s="1"/>
  <c r="AY429" i="20" s="1"/>
  <c r="AZ429" i="20" s="1"/>
  <c r="BA429" i="20" s="1"/>
  <c r="BB429" i="20" s="1"/>
  <c r="BC429" i="20" s="1"/>
  <c r="BD429" i="20" s="1"/>
  <c r="BE429" i="20" s="1"/>
  <c r="BF429" i="20" s="1"/>
  <c r="BG429" i="20" s="1"/>
  <c r="AM793" i="20"/>
  <c r="AN793" i="20" s="1"/>
  <c r="AO793" i="20" s="1"/>
  <c r="AP793" i="20" s="1"/>
  <c r="AQ793" i="20" s="1"/>
  <c r="AR793" i="20" s="1"/>
  <c r="AS793" i="20" s="1"/>
  <c r="AT793" i="20" s="1"/>
  <c r="AU793" i="20" s="1"/>
  <c r="AV793" i="20" s="1"/>
  <c r="AW793" i="20" s="1"/>
  <c r="AX793" i="20" s="1"/>
  <c r="AY793" i="20" s="1"/>
  <c r="AZ793" i="20" s="1"/>
  <c r="BA793" i="20" s="1"/>
  <c r="BB793" i="20" s="1"/>
  <c r="BC793" i="20" s="1"/>
  <c r="BD793" i="20" s="1"/>
  <c r="BE793" i="20" s="1"/>
  <c r="BF793" i="20" s="1"/>
  <c r="BG793" i="20" s="1"/>
  <c r="BH793" i="20" s="1"/>
  <c r="BI793" i="20" s="1"/>
  <c r="BJ793" i="20" s="1"/>
  <c r="BK793" i="20" s="1"/>
  <c r="BL793" i="20" s="1"/>
  <c r="BM793" i="20" s="1"/>
  <c r="BN793" i="20" s="1"/>
  <c r="AM620" i="20"/>
  <c r="AN620" i="20" s="1"/>
  <c r="AO620" i="20" s="1"/>
  <c r="AP620" i="20" s="1"/>
  <c r="AQ620" i="20" s="1"/>
  <c r="AR620" i="20" s="1"/>
  <c r="AS620" i="20" s="1"/>
  <c r="AT620" i="20" s="1"/>
  <c r="AU620" i="20" s="1"/>
  <c r="AV620" i="20" s="1"/>
  <c r="AW620" i="20" s="1"/>
  <c r="AX620" i="20" s="1"/>
  <c r="AY620" i="20" s="1"/>
  <c r="AZ620" i="20" s="1"/>
  <c r="BA620" i="20" s="1"/>
  <c r="BB620" i="20" s="1"/>
  <c r="BC620" i="20" s="1"/>
  <c r="BD620" i="20" s="1"/>
  <c r="BE620" i="20" s="1"/>
  <c r="BF620" i="20" s="1"/>
  <c r="BG620" i="20" s="1"/>
  <c r="BH620" i="20" s="1"/>
  <c r="BI620" i="20" s="1"/>
  <c r="BJ620" i="20" s="1"/>
  <c r="BK620" i="20" s="1"/>
  <c r="BL620" i="20" s="1"/>
  <c r="BM620" i="20" s="1"/>
  <c r="BN620" i="20" s="1"/>
  <c r="AT416" i="20"/>
  <c r="AU416" i="20" s="1"/>
  <c r="AV416" i="20" s="1"/>
  <c r="AW416" i="20" s="1"/>
  <c r="AX416" i="20" s="1"/>
  <c r="AY416" i="20" s="1"/>
  <c r="AZ416" i="20" s="1"/>
  <c r="BA416" i="20" s="1"/>
  <c r="BB416" i="20" s="1"/>
  <c r="BC416" i="20" s="1"/>
  <c r="BD416" i="20" s="1"/>
  <c r="BE416" i="20" s="1"/>
  <c r="BF416" i="20" s="1"/>
  <c r="BG416" i="20" s="1"/>
  <c r="AT426" i="20"/>
  <c r="AU426" i="20" s="1"/>
  <c r="AV426" i="20" s="1"/>
  <c r="AW426" i="20" s="1"/>
  <c r="AX426" i="20" s="1"/>
  <c r="AY426" i="20" s="1"/>
  <c r="AZ426" i="20" s="1"/>
  <c r="BA426" i="20" s="1"/>
  <c r="BB426" i="20" s="1"/>
  <c r="BC426" i="20" s="1"/>
  <c r="BD426" i="20" s="1"/>
  <c r="BE426" i="20" s="1"/>
  <c r="BF426" i="20" s="1"/>
  <c r="BG426" i="20" s="1"/>
  <c r="AM617" i="20"/>
  <c r="AN617" i="20" s="1"/>
  <c r="AO617" i="20" s="1"/>
  <c r="AP617" i="20" s="1"/>
  <c r="AQ617" i="20" s="1"/>
  <c r="AR617" i="20" s="1"/>
  <c r="AS617" i="20" s="1"/>
  <c r="AT617" i="20" s="1"/>
  <c r="AU617" i="20" s="1"/>
  <c r="AV617" i="20" s="1"/>
  <c r="AW617" i="20" s="1"/>
  <c r="AX617" i="20" s="1"/>
  <c r="AY617" i="20" s="1"/>
  <c r="AZ617" i="20" s="1"/>
  <c r="BA617" i="20" s="1"/>
  <c r="BB617" i="20" s="1"/>
  <c r="BC617" i="20" s="1"/>
  <c r="BD617" i="20" s="1"/>
  <c r="BE617" i="20" s="1"/>
  <c r="BF617" i="20" s="1"/>
  <c r="BG617" i="20" s="1"/>
  <c r="BH617" i="20" s="1"/>
  <c r="BI617" i="20" s="1"/>
  <c r="BJ617" i="20" s="1"/>
  <c r="AM790" i="20"/>
  <c r="AM661" i="20"/>
  <c r="AN661" i="20" s="1"/>
  <c r="AO661" i="20" s="1"/>
  <c r="AP661" i="20" s="1"/>
  <c r="AQ661" i="20" s="1"/>
  <c r="AR661" i="20" s="1"/>
  <c r="AS661" i="20" s="1"/>
  <c r="AT661" i="20" s="1"/>
  <c r="AU661" i="20" s="1"/>
  <c r="AV661" i="20" s="1"/>
  <c r="AW661" i="20" s="1"/>
  <c r="AX661" i="20" s="1"/>
  <c r="AY661" i="20" s="1"/>
  <c r="AZ661" i="20" s="1"/>
  <c r="BA661" i="20" s="1"/>
  <c r="BB661" i="20" s="1"/>
  <c r="BC661" i="20" s="1"/>
  <c r="BD661" i="20" s="1"/>
  <c r="BE661" i="20" s="1"/>
  <c r="BF661" i="20" s="1"/>
  <c r="BG661" i="20" s="1"/>
  <c r="BH661" i="20" s="1"/>
  <c r="BI661" i="20" s="1"/>
  <c r="BJ661" i="20" s="1"/>
  <c r="BK661" i="20" s="1"/>
  <c r="BL661" i="20" s="1"/>
  <c r="BM661" i="20" s="1"/>
  <c r="BN661" i="20" s="1"/>
  <c r="AM628" i="20"/>
  <c r="AN628" i="20" s="1"/>
  <c r="AO628" i="20" s="1"/>
  <c r="AP628" i="20" s="1"/>
  <c r="AQ628" i="20" s="1"/>
  <c r="AR628" i="20" s="1"/>
  <c r="AS628" i="20" s="1"/>
  <c r="AT628" i="20" s="1"/>
  <c r="AU628" i="20" s="1"/>
  <c r="AV628" i="20" s="1"/>
  <c r="AW628" i="20" s="1"/>
  <c r="AX628" i="20" s="1"/>
  <c r="AY628" i="20" s="1"/>
  <c r="AZ628" i="20" s="1"/>
  <c r="BA628" i="20" s="1"/>
  <c r="BB628" i="20" s="1"/>
  <c r="BC628" i="20" s="1"/>
  <c r="BD628" i="20" s="1"/>
  <c r="BE628" i="20" s="1"/>
  <c r="BF628" i="20" s="1"/>
  <c r="BG628" i="20" s="1"/>
  <c r="BH628" i="20" s="1"/>
  <c r="BI628" i="20" s="1"/>
  <c r="BJ628" i="20" s="1"/>
  <c r="BK628" i="20" s="1"/>
  <c r="BL628" i="20" s="1"/>
  <c r="BM628" i="20" s="1"/>
  <c r="BN628" i="20" s="1"/>
  <c r="AM756" i="20"/>
  <c r="AN756" i="20" s="1"/>
  <c r="AO756" i="20" s="1"/>
  <c r="AP756" i="20" s="1"/>
  <c r="AQ756" i="20" s="1"/>
  <c r="AR756" i="20" s="1"/>
  <c r="AS756" i="20" s="1"/>
  <c r="AT756" i="20" s="1"/>
  <c r="AU756" i="20" s="1"/>
  <c r="AV756" i="20" s="1"/>
  <c r="AW756" i="20" s="1"/>
  <c r="AX756" i="20" s="1"/>
  <c r="AY756" i="20" s="1"/>
  <c r="AZ756" i="20" s="1"/>
  <c r="BA756" i="20" s="1"/>
  <c r="BB756" i="20" s="1"/>
  <c r="BC756" i="20" s="1"/>
  <c r="BD756" i="20" s="1"/>
  <c r="BE756" i="20" s="1"/>
  <c r="BF756" i="20" s="1"/>
  <c r="BG756" i="20" s="1"/>
  <c r="BH756" i="20" s="1"/>
  <c r="BI756" i="20" s="1"/>
  <c r="BJ756" i="20" s="1"/>
  <c r="BK756" i="20" s="1"/>
  <c r="BL756" i="20" s="1"/>
  <c r="BM756" i="20" s="1"/>
  <c r="BN756" i="20" s="1"/>
  <c r="AM812" i="20"/>
  <c r="AT440" i="20"/>
  <c r="AU440" i="20" s="1"/>
  <c r="AV440" i="20" s="1"/>
  <c r="AW440" i="20" s="1"/>
  <c r="AX440" i="20" s="1"/>
  <c r="AY440" i="20" s="1"/>
  <c r="AZ440" i="20" s="1"/>
  <c r="BA440" i="20" s="1"/>
  <c r="BB440" i="20" s="1"/>
  <c r="BC440" i="20" s="1"/>
  <c r="BD440" i="20" s="1"/>
  <c r="BE440" i="20" s="1"/>
  <c r="BF440" i="20" s="1"/>
  <c r="BG440" i="20" s="1"/>
  <c r="AT430" i="20"/>
  <c r="AU430" i="20" s="1"/>
  <c r="AV430" i="20" s="1"/>
  <c r="AW430" i="20" s="1"/>
  <c r="AX430" i="20" s="1"/>
  <c r="AY430" i="20" s="1"/>
  <c r="AZ430" i="20" s="1"/>
  <c r="BA430" i="20" s="1"/>
  <c r="BB430" i="20" s="1"/>
  <c r="BC430" i="20" s="1"/>
  <c r="BD430" i="20" s="1"/>
  <c r="BE430" i="20" s="1"/>
  <c r="BF430" i="20" s="1"/>
  <c r="BG430" i="20" s="1"/>
  <c r="AM643" i="20"/>
  <c r="AN643" i="20" s="1"/>
  <c r="AO643" i="20" s="1"/>
  <c r="AP643" i="20" s="1"/>
  <c r="AQ643" i="20" s="1"/>
  <c r="AR643" i="20" s="1"/>
  <c r="AS643" i="20" s="1"/>
  <c r="AT643" i="20" s="1"/>
  <c r="AU643" i="20" s="1"/>
  <c r="AV643" i="20" s="1"/>
  <c r="AW643" i="20" s="1"/>
  <c r="AX643" i="20" s="1"/>
  <c r="AY643" i="20" s="1"/>
  <c r="AZ643" i="20" s="1"/>
  <c r="BA643" i="20" s="1"/>
  <c r="BB643" i="20" s="1"/>
  <c r="BC643" i="20" s="1"/>
  <c r="BD643" i="20" s="1"/>
  <c r="BE643" i="20" s="1"/>
  <c r="BF643" i="20" s="1"/>
  <c r="BG643" i="20" s="1"/>
  <c r="BH643" i="20" s="1"/>
  <c r="BI643" i="20" s="1"/>
  <c r="BJ643" i="20" s="1"/>
  <c r="BK643" i="20" s="1"/>
  <c r="BL643" i="20" s="1"/>
  <c r="BM643" i="20" s="1"/>
  <c r="BN643" i="20" s="1"/>
  <c r="AM632" i="20"/>
  <c r="AN632" i="20" s="1"/>
  <c r="AO632" i="20" s="1"/>
  <c r="AP632" i="20" s="1"/>
  <c r="AQ632" i="20" s="1"/>
  <c r="AR632" i="20" s="1"/>
  <c r="AS632" i="20" s="1"/>
  <c r="AT632" i="20" s="1"/>
  <c r="AU632" i="20" s="1"/>
  <c r="AV632" i="20" s="1"/>
  <c r="AW632" i="20" s="1"/>
  <c r="AX632" i="20" s="1"/>
  <c r="AY632" i="20" s="1"/>
  <c r="AZ632" i="20" s="1"/>
  <c r="BA632" i="20" s="1"/>
  <c r="BB632" i="20" s="1"/>
  <c r="BC632" i="20" s="1"/>
  <c r="BD632" i="20" s="1"/>
  <c r="BE632" i="20" s="1"/>
  <c r="BF632" i="20" s="1"/>
  <c r="BG632" i="20" s="1"/>
  <c r="BH632" i="20" s="1"/>
  <c r="BI632" i="20" s="1"/>
  <c r="BJ632" i="20" s="1"/>
  <c r="BK632" i="20" s="1"/>
  <c r="BL632" i="20" s="1"/>
  <c r="BM632" i="20" s="1"/>
  <c r="BN632" i="20" s="1"/>
  <c r="AM782" i="20"/>
  <c r="AN782" i="20" s="1"/>
  <c r="AO782" i="20" s="1"/>
  <c r="AP782" i="20" s="1"/>
  <c r="AQ782" i="20" s="1"/>
  <c r="AR782" i="20" s="1"/>
  <c r="AS782" i="20" s="1"/>
  <c r="AT782" i="20" s="1"/>
  <c r="AU782" i="20" s="1"/>
  <c r="AV782" i="20" s="1"/>
  <c r="AW782" i="20" s="1"/>
  <c r="AX782" i="20" s="1"/>
  <c r="AY782" i="20" s="1"/>
  <c r="AZ782" i="20" s="1"/>
  <c r="BA782" i="20" s="1"/>
  <c r="BB782" i="20" s="1"/>
  <c r="BC782" i="20" s="1"/>
  <c r="BD782" i="20" s="1"/>
  <c r="BE782" i="20" s="1"/>
  <c r="BF782" i="20" s="1"/>
  <c r="BG782" i="20" s="1"/>
  <c r="BH782" i="20" s="1"/>
  <c r="BI782" i="20" s="1"/>
  <c r="BJ782" i="20" s="1"/>
  <c r="BK782" i="20" s="1"/>
  <c r="BL782" i="20" s="1"/>
  <c r="BM782" i="20" s="1"/>
  <c r="BN782" i="20" s="1"/>
  <c r="AM816" i="20"/>
  <c r="AN816" i="20" s="1"/>
  <c r="AO816" i="20" s="1"/>
  <c r="AP816" i="20" s="1"/>
  <c r="AQ816" i="20" s="1"/>
  <c r="AR816" i="20" s="1"/>
  <c r="AS816" i="20" s="1"/>
  <c r="AT816" i="20" s="1"/>
  <c r="AU816" i="20" s="1"/>
  <c r="AV816" i="20" s="1"/>
  <c r="AW816" i="20" s="1"/>
  <c r="AX816" i="20" s="1"/>
  <c r="AY816" i="20" s="1"/>
  <c r="AZ816" i="20" s="1"/>
  <c r="BA816" i="20" s="1"/>
  <c r="BB816" i="20" s="1"/>
  <c r="BC816" i="20" s="1"/>
  <c r="BD816" i="20" s="1"/>
  <c r="BE816" i="20" s="1"/>
  <c r="BF816" i="20" s="1"/>
  <c r="BG816" i="20" s="1"/>
  <c r="BH816" i="20" s="1"/>
  <c r="BI816" i="20" s="1"/>
  <c r="BJ816" i="20" s="1"/>
  <c r="BK816" i="20" s="1"/>
  <c r="BL816" i="20" s="1"/>
  <c r="BM816" i="20" s="1"/>
  <c r="BN816" i="20" s="1"/>
  <c r="AT261" i="20"/>
  <c r="AU261" i="20" s="1"/>
  <c r="AV261" i="20" s="1"/>
  <c r="AW261" i="20" s="1"/>
  <c r="AX261" i="20" s="1"/>
  <c r="AY261" i="20" s="1"/>
  <c r="AZ261" i="20" s="1"/>
  <c r="BA261" i="20" s="1"/>
  <c r="BB261" i="20" s="1"/>
  <c r="BC261" i="20" s="1"/>
  <c r="BD261" i="20" s="1"/>
  <c r="AT257" i="20"/>
  <c r="AU257" i="20" s="1"/>
  <c r="AV257" i="20" s="1"/>
  <c r="AW257" i="20" s="1"/>
  <c r="AX257" i="20" s="1"/>
  <c r="AY257" i="20" s="1"/>
  <c r="AZ257" i="20" s="1"/>
  <c r="BA257" i="20" s="1"/>
  <c r="BB257" i="20" s="1"/>
  <c r="BC257" i="20" s="1"/>
  <c r="BD257" i="20" s="1"/>
  <c r="AM622" i="20"/>
  <c r="AN622" i="20" s="1"/>
  <c r="AO622" i="20" s="1"/>
  <c r="AP622" i="20" s="1"/>
  <c r="AQ622" i="20" s="1"/>
  <c r="AR622" i="20" s="1"/>
  <c r="AS622" i="20" s="1"/>
  <c r="AT622" i="20" s="1"/>
  <c r="AU622" i="20" s="1"/>
  <c r="AV622" i="20" s="1"/>
  <c r="AW622" i="20" s="1"/>
  <c r="AX622" i="20" s="1"/>
  <c r="AY622" i="20" s="1"/>
  <c r="AZ622" i="20" s="1"/>
  <c r="BA622" i="20" s="1"/>
  <c r="BB622" i="20" s="1"/>
  <c r="BC622" i="20" s="1"/>
  <c r="BD622" i="20" s="1"/>
  <c r="BE622" i="20" s="1"/>
  <c r="BF622" i="20" s="1"/>
  <c r="BG622" i="20" s="1"/>
  <c r="BH622" i="20" s="1"/>
  <c r="BI622" i="20" s="1"/>
  <c r="BJ622" i="20" s="1"/>
  <c r="BK622" i="20" s="1"/>
  <c r="BL622" i="20" s="1"/>
  <c r="BM622" i="20" s="1"/>
  <c r="BN622" i="20" s="1"/>
  <c r="AM795" i="20"/>
  <c r="AN795" i="20" s="1"/>
  <c r="AO795" i="20" s="1"/>
  <c r="AP795" i="20" s="1"/>
  <c r="AQ795" i="20" s="1"/>
  <c r="AR795" i="20" s="1"/>
  <c r="AS795" i="20" s="1"/>
  <c r="AT795" i="20" s="1"/>
  <c r="AU795" i="20" s="1"/>
  <c r="AV795" i="20" s="1"/>
  <c r="AW795" i="20" s="1"/>
  <c r="AX795" i="20" s="1"/>
  <c r="AY795" i="20" s="1"/>
  <c r="AZ795" i="20" s="1"/>
  <c r="BA795" i="20" s="1"/>
  <c r="BB795" i="20" s="1"/>
  <c r="BC795" i="20" s="1"/>
  <c r="BD795" i="20" s="1"/>
  <c r="BE795" i="20" s="1"/>
  <c r="BF795" i="20" s="1"/>
  <c r="BG795" i="20" s="1"/>
  <c r="BH795" i="20" s="1"/>
  <c r="BI795" i="20" s="1"/>
  <c r="BJ795" i="20" s="1"/>
  <c r="BK795" i="20" s="1"/>
  <c r="BL795" i="20" s="1"/>
  <c r="BM795" i="20" s="1"/>
  <c r="BN795" i="20" s="1"/>
  <c r="BF520" i="20"/>
  <c r="BG445" i="20"/>
  <c r="BG409" i="20"/>
  <c r="BF521" i="20"/>
  <c r="BF522" i="20"/>
  <c r="BG386" i="20"/>
  <c r="BF517" i="20"/>
  <c r="BF518" i="20"/>
  <c r="BG406" i="20"/>
  <c r="BG438" i="20"/>
  <c r="BG378" i="20"/>
  <c r="BF519" i="20"/>
  <c r="BD258" i="20"/>
  <c r="BD262" i="20"/>
  <c r="BN787" i="20"/>
  <c r="BN892" i="20" s="1"/>
  <c r="BM892" i="20"/>
  <c r="BL939" i="20"/>
  <c r="BK642" i="20"/>
  <c r="BJ934" i="20"/>
  <c r="BJ914" i="20"/>
  <c r="BI909" i="20"/>
  <c r="BG338" i="20"/>
  <c r="BF931" i="20"/>
  <c r="BG376" i="20"/>
  <c r="BG377" i="20"/>
  <c r="BG385" i="20"/>
  <c r="BG379" i="20"/>
  <c r="BG469" i="20"/>
  <c r="BG514" i="20"/>
  <c r="BG381" i="20"/>
  <c r="BG397" i="20"/>
  <c r="BG411" i="20"/>
  <c r="BG399" i="20"/>
  <c r="BG401" i="20"/>
  <c r="BG471" i="20"/>
  <c r="BG458" i="20"/>
  <c r="BG380" i="20"/>
  <c r="BG375" i="20"/>
  <c r="BG398" i="20"/>
  <c r="BG421" i="20"/>
  <c r="BD271" i="20"/>
  <c r="BD268" i="20"/>
  <c r="BD267" i="20"/>
  <c r="BH373" i="20"/>
  <c r="BG388" i="20"/>
  <c r="BG387" i="20"/>
  <c r="BG405" i="20"/>
  <c r="BG391" i="20"/>
  <c r="BD272" i="20"/>
  <c r="BG389" i="20"/>
  <c r="BG441" i="20"/>
  <c r="BG408" i="20"/>
  <c r="BG395" i="20"/>
  <c r="BG427" i="20"/>
  <c r="BG410" i="20"/>
  <c r="BD269" i="20"/>
  <c r="BG461" i="20"/>
  <c r="BG428" i="20"/>
  <c r="BG451" i="20"/>
  <c r="BG396" i="20"/>
  <c r="BD266" i="20"/>
  <c r="BG418" i="20"/>
  <c r="BD270" i="20"/>
  <c r="BG390" i="20"/>
  <c r="BD292" i="20"/>
  <c r="BD282" i="20"/>
  <c r="BD276" i="20"/>
  <c r="BD289" i="20"/>
  <c r="BD278" i="20"/>
  <c r="BD279" i="20"/>
  <c r="BD291" i="20"/>
  <c r="BD286" i="20"/>
  <c r="BD290" i="20"/>
  <c r="BD281" i="20"/>
  <c r="BD287" i="20"/>
  <c r="BD280" i="20"/>
  <c r="BD277" i="20"/>
  <c r="BE254" i="20"/>
  <c r="BG516" i="20" l="1"/>
  <c r="AM50" i="20"/>
  <c r="AM48" i="20"/>
  <c r="AM44" i="20"/>
  <c r="AM47" i="20"/>
  <c r="AM46" i="20"/>
  <c r="AM45" i="20"/>
  <c r="AM49" i="20"/>
  <c r="AM67" i="20"/>
  <c r="AM62" i="20"/>
  <c r="AM66" i="20"/>
  <c r="AM64" i="20"/>
  <c r="AM65" i="20"/>
  <c r="AM63" i="20"/>
  <c r="AM68" i="20"/>
  <c r="AM86" i="20"/>
  <c r="AM82" i="20"/>
  <c r="AM81" i="20"/>
  <c r="AM84" i="20"/>
  <c r="AM85" i="20"/>
  <c r="AM80" i="20"/>
  <c r="AM83" i="20"/>
  <c r="AM106" i="20"/>
  <c r="AM105" i="20"/>
  <c r="AM100" i="20"/>
  <c r="AM103" i="20"/>
  <c r="AM102" i="20"/>
  <c r="AM101" i="20"/>
  <c r="AM104" i="20"/>
  <c r="AQ215" i="20"/>
  <c r="AQ210" i="20"/>
  <c r="AQ209" i="20"/>
  <c r="AQ212" i="20"/>
  <c r="AQ214" i="20"/>
  <c r="AQ213" i="20"/>
  <c r="AQ211" i="20"/>
  <c r="AR137" i="20"/>
  <c r="AM940" i="20"/>
  <c r="AM942" i="20"/>
  <c r="AM943" i="20"/>
  <c r="AT906" i="20"/>
  <c r="AN834" i="20"/>
  <c r="AN919" i="20" s="1"/>
  <c r="AN94" i="20"/>
  <c r="AN39" i="20"/>
  <c r="AN74" i="20"/>
  <c r="AU882" i="20"/>
  <c r="AV407" i="20"/>
  <c r="AN823" i="20"/>
  <c r="AM918" i="20"/>
  <c r="AP801" i="20"/>
  <c r="AO916" i="20"/>
  <c r="AM263" i="20"/>
  <c r="AM856" i="20" s="1"/>
  <c r="AN255" i="20"/>
  <c r="AN263" i="20" s="1"/>
  <c r="AN856" i="20" s="1"/>
  <c r="AN55" i="20"/>
  <c r="AM58" i="20"/>
  <c r="AO132" i="20"/>
  <c r="AN146" i="20"/>
  <c r="AN150" i="20"/>
  <c r="AN148" i="20"/>
  <c r="AN144" i="20"/>
  <c r="AN149" i="20"/>
  <c r="AN145" i="20"/>
  <c r="AN147" i="20"/>
  <c r="AP210" i="20"/>
  <c r="AP213" i="20"/>
  <c r="AP212" i="20"/>
  <c r="AP215" i="20"/>
  <c r="AP214" i="20"/>
  <c r="AP209" i="20"/>
  <c r="AP211" i="20"/>
  <c r="AU906" i="20"/>
  <c r="AV313" i="20"/>
  <c r="AN920" i="20"/>
  <c r="AO779" i="20"/>
  <c r="AO815" i="20"/>
  <c r="AN940" i="20"/>
  <c r="AN185" i="20"/>
  <c r="AN189" i="20"/>
  <c r="AN186" i="20"/>
  <c r="AN183" i="20"/>
  <c r="AN187" i="20"/>
  <c r="AN184" i="20"/>
  <c r="AN188" i="20"/>
  <c r="AO135" i="20"/>
  <c r="AM917" i="20"/>
  <c r="AN812" i="20"/>
  <c r="AM915" i="20"/>
  <c r="AN790" i="20"/>
  <c r="AO848" i="20"/>
  <c r="AN943" i="20"/>
  <c r="AN75" i="20"/>
  <c r="AN37" i="20"/>
  <c r="AM40" i="20"/>
  <c r="AO198" i="20"/>
  <c r="AO197" i="20"/>
  <c r="AO196" i="20"/>
  <c r="AO201" i="20"/>
  <c r="AO199" i="20"/>
  <c r="AO200" i="20"/>
  <c r="AO202" i="20"/>
  <c r="AP136" i="20"/>
  <c r="AQ136" i="20" s="1"/>
  <c r="AN73" i="20"/>
  <c r="AM76" i="20"/>
  <c r="AM158" i="20"/>
  <c r="AM161" i="20"/>
  <c r="AM162" i="20"/>
  <c r="AM160" i="20"/>
  <c r="AM157" i="20"/>
  <c r="AM163" i="20"/>
  <c r="AM159" i="20"/>
  <c r="AN133" i="20"/>
  <c r="AN138" i="20" s="1"/>
  <c r="AO837" i="20"/>
  <c r="AN942" i="20"/>
  <c r="AN38" i="20"/>
  <c r="AN93" i="20"/>
  <c r="AM96" i="20"/>
  <c r="AN56" i="20"/>
  <c r="AZ881" i="20"/>
  <c r="BA288" i="20"/>
  <c r="AM138" i="20"/>
  <c r="AO945" i="20"/>
  <c r="AP804" i="20"/>
  <c r="AN173" i="20"/>
  <c r="AN170" i="20"/>
  <c r="AN174" i="20"/>
  <c r="AN171" i="20"/>
  <c r="AN175" i="20"/>
  <c r="AN176" i="20"/>
  <c r="AN172" i="20"/>
  <c r="AO134" i="20"/>
  <c r="AQ573" i="20"/>
  <c r="AP908" i="20"/>
  <c r="AT932" i="20"/>
  <c r="AU457" i="20"/>
  <c r="AO826" i="20"/>
  <c r="AN941" i="20"/>
  <c r="AN933" i="20"/>
  <c r="AO631" i="20"/>
  <c r="AN95" i="20"/>
  <c r="AN57" i="20"/>
  <c r="BH430" i="20"/>
  <c r="BG519" i="20"/>
  <c r="BG518" i="20"/>
  <c r="BG522" i="20"/>
  <c r="BH405" i="20"/>
  <c r="BG520" i="20"/>
  <c r="BG517" i="20"/>
  <c r="BG521" i="20"/>
  <c r="BE258" i="20"/>
  <c r="BE257" i="20"/>
  <c r="BE259" i="20"/>
  <c r="BH398" i="20"/>
  <c r="BE256" i="20"/>
  <c r="BE260" i="20"/>
  <c r="BE261" i="20"/>
  <c r="BE262" i="20"/>
  <c r="BH338" i="20"/>
  <c r="BG931" i="20"/>
  <c r="BK617" i="20"/>
  <c r="BJ909" i="20"/>
  <c r="BK914" i="20"/>
  <c r="BL642" i="20"/>
  <c r="BK934" i="20"/>
  <c r="BM939" i="20"/>
  <c r="BN722" i="20"/>
  <c r="BN838" i="20"/>
  <c r="BN825" i="20"/>
  <c r="BH411" i="20"/>
  <c r="BH459" i="20"/>
  <c r="BH377" i="20"/>
  <c r="BH447" i="20"/>
  <c r="BH427" i="20"/>
  <c r="BH389" i="20"/>
  <c r="BH514" i="20"/>
  <c r="BH390" i="20"/>
  <c r="BH396" i="20"/>
  <c r="BH428" i="20"/>
  <c r="BH439" i="20"/>
  <c r="BH401" i="20"/>
  <c r="BH381" i="20"/>
  <c r="BH451" i="20"/>
  <c r="BH426" i="20"/>
  <c r="BH448" i="20"/>
  <c r="BH376" i="20"/>
  <c r="BH420" i="20"/>
  <c r="BH375" i="20"/>
  <c r="BH397" i="20"/>
  <c r="BH465" i="20"/>
  <c r="BH395" i="20"/>
  <c r="BH456" i="20"/>
  <c r="BH429" i="20"/>
  <c r="BH416" i="20"/>
  <c r="BH468" i="20"/>
  <c r="BH418" i="20"/>
  <c r="BH466" i="20"/>
  <c r="BH467" i="20"/>
  <c r="BH469" i="20"/>
  <c r="BH380" i="20"/>
  <c r="BH419" i="20"/>
  <c r="BH455" i="20"/>
  <c r="BH408" i="20"/>
  <c r="BH415" i="20"/>
  <c r="BH391" i="20"/>
  <c r="BH387" i="20"/>
  <c r="BH400" i="20"/>
  <c r="BH460" i="20"/>
  <c r="BH421" i="20"/>
  <c r="BH417" i="20"/>
  <c r="BH461" i="20"/>
  <c r="BH385" i="20"/>
  <c r="BH435" i="20"/>
  <c r="BH379" i="20"/>
  <c r="BH440" i="20"/>
  <c r="BH446" i="20"/>
  <c r="BH410" i="20"/>
  <c r="BH441" i="20"/>
  <c r="BH450" i="20"/>
  <c r="BH438" i="20"/>
  <c r="BH386" i="20"/>
  <c r="BH471" i="20"/>
  <c r="BH399" i="20"/>
  <c r="BE271" i="20"/>
  <c r="BH425" i="20"/>
  <c r="BH406" i="20"/>
  <c r="BH449" i="20"/>
  <c r="BH388" i="20"/>
  <c r="BH409" i="20"/>
  <c r="BH378" i="20"/>
  <c r="BH470" i="20"/>
  <c r="BE268" i="20"/>
  <c r="BE269" i="20"/>
  <c r="BE270" i="20"/>
  <c r="BE266" i="20"/>
  <c r="BE272" i="20"/>
  <c r="BI373" i="20"/>
  <c r="BH445" i="20"/>
  <c r="BE267" i="20"/>
  <c r="BH437" i="20"/>
  <c r="BH436" i="20"/>
  <c r="BI436" i="20" s="1"/>
  <c r="BH458" i="20"/>
  <c r="BE280" i="20"/>
  <c r="BE290" i="20"/>
  <c r="BE282" i="20"/>
  <c r="BE289" i="20"/>
  <c r="BE278" i="20"/>
  <c r="BE291" i="20"/>
  <c r="BE286" i="20"/>
  <c r="BE277" i="20"/>
  <c r="BE287" i="20"/>
  <c r="BE281" i="20"/>
  <c r="BE279" i="20"/>
  <c r="BE276" i="20"/>
  <c r="BE292" i="20"/>
  <c r="BF254" i="20"/>
  <c r="BH516" i="20" l="1"/>
  <c r="AO834" i="20"/>
  <c r="AO919" i="20" s="1"/>
  <c r="AN102" i="20"/>
  <c r="AN103" i="20"/>
  <c r="AN106" i="20"/>
  <c r="AN101" i="20"/>
  <c r="AN104" i="20"/>
  <c r="AN100" i="20"/>
  <c r="AN105" i="20"/>
  <c r="AS137" i="20"/>
  <c r="AR209" i="20"/>
  <c r="AR211" i="20"/>
  <c r="AR213" i="20"/>
  <c r="AR215" i="20"/>
  <c r="AR210" i="20"/>
  <c r="AR212" i="20"/>
  <c r="AR214" i="20"/>
  <c r="AN81" i="20"/>
  <c r="AN83" i="20"/>
  <c r="AN86" i="20"/>
  <c r="AN85" i="20"/>
  <c r="AN80" i="20"/>
  <c r="AN84" i="20"/>
  <c r="AN82" i="20"/>
  <c r="AN65" i="20"/>
  <c r="AN64" i="20"/>
  <c r="AN66" i="20"/>
  <c r="AN62" i="20"/>
  <c r="AN67" i="20"/>
  <c r="AN63" i="20"/>
  <c r="AN68" i="20"/>
  <c r="AQ201" i="20"/>
  <c r="AQ197" i="20"/>
  <c r="AQ200" i="20"/>
  <c r="AQ196" i="20"/>
  <c r="AR136" i="20"/>
  <c r="AQ202" i="20"/>
  <c r="AQ198" i="20"/>
  <c r="AQ199" i="20"/>
  <c r="AN46" i="20"/>
  <c r="AN44" i="20"/>
  <c r="AN47" i="20"/>
  <c r="AN50" i="20"/>
  <c r="AN48" i="20"/>
  <c r="AN45" i="20"/>
  <c r="AN49" i="20"/>
  <c r="AO57" i="20"/>
  <c r="AO95" i="20"/>
  <c r="AO94" i="20"/>
  <c r="AO38" i="20"/>
  <c r="AO790" i="20"/>
  <c r="AN915" i="20"/>
  <c r="AO56" i="20"/>
  <c r="AP834" i="20"/>
  <c r="AO75" i="20"/>
  <c r="AV882" i="20"/>
  <c r="AW407" i="20"/>
  <c r="AP826" i="20"/>
  <c r="AO941" i="20"/>
  <c r="AR573" i="20"/>
  <c r="AQ908" i="20"/>
  <c r="AP837" i="20"/>
  <c r="AO942" i="20"/>
  <c r="AP199" i="20"/>
  <c r="AP202" i="20"/>
  <c r="AP197" i="20"/>
  <c r="AP198" i="20"/>
  <c r="AP200" i="20"/>
  <c r="AP196" i="20"/>
  <c r="AP201" i="20"/>
  <c r="AN917" i="20"/>
  <c r="AO812" i="20"/>
  <c r="AO920" i="20"/>
  <c r="AP779" i="20"/>
  <c r="AW313" i="20"/>
  <c r="AV906" i="20"/>
  <c r="AP945" i="20"/>
  <c r="AQ804" i="20"/>
  <c r="AN162" i="20"/>
  <c r="AN161" i="20"/>
  <c r="AN159" i="20"/>
  <c r="AN160" i="20"/>
  <c r="AN158" i="20"/>
  <c r="AN163" i="20"/>
  <c r="AN157" i="20"/>
  <c r="AO133" i="20"/>
  <c r="AO186" i="20"/>
  <c r="AO184" i="20"/>
  <c r="AO188" i="20"/>
  <c r="AO185" i="20"/>
  <c r="AO183" i="20"/>
  <c r="AO187" i="20"/>
  <c r="AO189" i="20"/>
  <c r="AP135" i="20"/>
  <c r="AQ135" i="20" s="1"/>
  <c r="AO823" i="20"/>
  <c r="AN918" i="20"/>
  <c r="AO73" i="20"/>
  <c r="AN76" i="20"/>
  <c r="AP815" i="20"/>
  <c r="AO940" i="20"/>
  <c r="AO55" i="20"/>
  <c r="AN58" i="20"/>
  <c r="AP916" i="20"/>
  <c r="AQ801" i="20"/>
  <c r="AO933" i="20"/>
  <c r="AP631" i="20"/>
  <c r="AU932" i="20"/>
  <c r="AV457" i="20"/>
  <c r="AO174" i="20"/>
  <c r="AO170" i="20"/>
  <c r="AO171" i="20"/>
  <c r="AO173" i="20"/>
  <c r="AO172" i="20"/>
  <c r="AO175" i="20"/>
  <c r="AO176" i="20"/>
  <c r="AP134" i="20"/>
  <c r="AQ134" i="20" s="1"/>
  <c r="AO74" i="20"/>
  <c r="BA881" i="20"/>
  <c r="BB288" i="20"/>
  <c r="AO93" i="20"/>
  <c r="AN96" i="20"/>
  <c r="AN40" i="20"/>
  <c r="AO37" i="20"/>
  <c r="AP848" i="20"/>
  <c r="AO943" i="20"/>
  <c r="AO145" i="20"/>
  <c r="AO149" i="20"/>
  <c r="AO146" i="20"/>
  <c r="AO150" i="20"/>
  <c r="AO147" i="20"/>
  <c r="AO144" i="20"/>
  <c r="AO148" i="20"/>
  <c r="AP132" i="20"/>
  <c r="AQ132" i="20" s="1"/>
  <c r="AO39" i="20"/>
  <c r="BN939" i="20"/>
  <c r="BH521" i="20"/>
  <c r="BH522" i="20"/>
  <c r="BH518" i="20"/>
  <c r="BH519" i="20"/>
  <c r="BH517" i="20"/>
  <c r="BH520" i="20"/>
  <c r="BF256" i="20"/>
  <c r="BF257" i="20"/>
  <c r="BF262" i="20"/>
  <c r="BF258" i="20"/>
  <c r="BF261" i="20"/>
  <c r="BF260" i="20"/>
  <c r="BF259" i="20"/>
  <c r="BM642" i="20"/>
  <c r="BL934" i="20"/>
  <c r="BL914" i="20"/>
  <c r="BL617" i="20"/>
  <c r="BK909" i="20"/>
  <c r="BI338" i="20"/>
  <c r="BH931" i="20"/>
  <c r="BI458" i="20"/>
  <c r="BI514" i="20"/>
  <c r="BI516" i="20" s="1"/>
  <c r="BF269" i="20"/>
  <c r="BI399" i="20"/>
  <c r="BI397" i="20"/>
  <c r="BI420" i="20"/>
  <c r="BI445" i="20"/>
  <c r="BI385" i="20"/>
  <c r="BI460" i="20"/>
  <c r="BI400" i="20"/>
  <c r="BI415" i="20"/>
  <c r="BF280" i="20"/>
  <c r="BI438" i="20"/>
  <c r="BI427" i="20"/>
  <c r="BF271" i="20"/>
  <c r="BI428" i="20"/>
  <c r="BF272" i="20"/>
  <c r="BI448" i="20"/>
  <c r="BI408" i="20"/>
  <c r="BI470" i="20"/>
  <c r="BI449" i="20"/>
  <c r="BJ373" i="20"/>
  <c r="BI456" i="20"/>
  <c r="BI468" i="20"/>
  <c r="BI386" i="20"/>
  <c r="BI378" i="20"/>
  <c r="BJ378" i="20" s="1"/>
  <c r="BI455" i="20"/>
  <c r="BI437" i="20"/>
  <c r="BI405" i="20"/>
  <c r="BI395" i="20"/>
  <c r="BI469" i="20"/>
  <c r="BI417" i="20"/>
  <c r="BI410" i="20"/>
  <c r="BF270" i="20"/>
  <c r="BI380" i="20"/>
  <c r="BF268" i="20"/>
  <c r="BI409" i="20"/>
  <c r="BI425" i="20"/>
  <c r="BI411" i="20"/>
  <c r="BI466" i="20"/>
  <c r="BI381" i="20"/>
  <c r="BI441" i="20"/>
  <c r="BI376" i="20"/>
  <c r="BI416" i="20"/>
  <c r="BI379" i="20"/>
  <c r="BI439" i="20"/>
  <c r="BI375" i="20"/>
  <c r="BI461" i="20"/>
  <c r="BI450" i="20"/>
  <c r="BI451" i="20"/>
  <c r="BJ451" i="20" s="1"/>
  <c r="BI419" i="20"/>
  <c r="BI396" i="20"/>
  <c r="BI406" i="20"/>
  <c r="BI447" i="20"/>
  <c r="BJ447" i="20" s="1"/>
  <c r="BI467" i="20"/>
  <c r="BI418" i="20"/>
  <c r="BI387" i="20"/>
  <c r="BI401" i="20"/>
  <c r="BJ401" i="20" s="1"/>
  <c r="BI390" i="20"/>
  <c r="BF267" i="20"/>
  <c r="BI459" i="20"/>
  <c r="BI465" i="20"/>
  <c r="BJ465" i="20" s="1"/>
  <c r="BI435" i="20"/>
  <c r="BF266" i="20"/>
  <c r="BI440" i="20"/>
  <c r="BI421" i="20"/>
  <c r="BI391" i="20"/>
  <c r="BI430" i="20"/>
  <c r="BI388" i="20"/>
  <c r="BI389" i="20"/>
  <c r="BI398" i="20"/>
  <c r="BI471" i="20"/>
  <c r="BI446" i="20"/>
  <c r="BI426" i="20"/>
  <c r="BI429" i="20"/>
  <c r="BI377" i="20"/>
  <c r="BF292" i="20"/>
  <c r="BF278" i="20"/>
  <c r="BF282" i="20"/>
  <c r="BF276" i="20"/>
  <c r="BF279" i="20"/>
  <c r="BF281" i="20"/>
  <c r="BF291" i="20"/>
  <c r="BF287" i="20"/>
  <c r="BF290" i="20"/>
  <c r="BF277" i="20"/>
  <c r="BF286" i="20"/>
  <c r="BF289" i="20"/>
  <c r="BG254" i="20"/>
  <c r="AP57" i="20" l="1"/>
  <c r="AO62" i="20"/>
  <c r="AO66" i="20"/>
  <c r="AO63" i="20"/>
  <c r="AO67" i="20"/>
  <c r="AO64" i="20"/>
  <c r="AO68" i="20"/>
  <c r="AO65" i="20"/>
  <c r="AO82" i="20"/>
  <c r="AO86" i="20"/>
  <c r="AO80" i="20"/>
  <c r="AO81" i="20"/>
  <c r="AO85" i="20"/>
  <c r="AO83" i="20"/>
  <c r="AO84" i="20"/>
  <c r="AQ187" i="20"/>
  <c r="AQ185" i="20"/>
  <c r="AQ186" i="20"/>
  <c r="AQ189" i="20"/>
  <c r="AQ184" i="20"/>
  <c r="AR135" i="20"/>
  <c r="AQ183" i="20"/>
  <c r="AQ188" i="20"/>
  <c r="AS209" i="20"/>
  <c r="AS213" i="20"/>
  <c r="AS212" i="20"/>
  <c r="AT137" i="20"/>
  <c r="AS211" i="20"/>
  <c r="AS210" i="20"/>
  <c r="AS215" i="20"/>
  <c r="AS214" i="20"/>
  <c r="AO47" i="20"/>
  <c r="AO48" i="20"/>
  <c r="AO45" i="20"/>
  <c r="AO49" i="20"/>
  <c r="AO46" i="20"/>
  <c r="AO50" i="20"/>
  <c r="AO44" i="20"/>
  <c r="AO105" i="20"/>
  <c r="AO104" i="20"/>
  <c r="AO102" i="20"/>
  <c r="AO100" i="20"/>
  <c r="AO106" i="20"/>
  <c r="AO101" i="20"/>
  <c r="AO103" i="20"/>
  <c r="AQ176" i="20"/>
  <c r="AQ171" i="20"/>
  <c r="AQ170" i="20"/>
  <c r="AQ175" i="20"/>
  <c r="AQ174" i="20"/>
  <c r="AQ173" i="20"/>
  <c r="AQ172" i="20"/>
  <c r="AR134" i="20"/>
  <c r="AS136" i="20"/>
  <c r="AR200" i="20"/>
  <c r="AR196" i="20"/>
  <c r="AR198" i="20"/>
  <c r="AR199" i="20"/>
  <c r="AR201" i="20"/>
  <c r="AR197" i="20"/>
  <c r="AR202" i="20"/>
  <c r="AQ149" i="20"/>
  <c r="AQ145" i="20"/>
  <c r="AQ148" i="20"/>
  <c r="AQ144" i="20"/>
  <c r="AR132" i="20"/>
  <c r="AQ150" i="20"/>
  <c r="AQ146" i="20"/>
  <c r="AQ147" i="20"/>
  <c r="AP75" i="20"/>
  <c r="AP39" i="20"/>
  <c r="AP93" i="20"/>
  <c r="AO96" i="20"/>
  <c r="AQ916" i="20"/>
  <c r="AR801" i="20"/>
  <c r="AP147" i="20"/>
  <c r="AP145" i="20"/>
  <c r="AP150" i="20"/>
  <c r="AP144" i="20"/>
  <c r="AP148" i="20"/>
  <c r="AP149" i="20"/>
  <c r="AP146" i="20"/>
  <c r="BB881" i="20"/>
  <c r="BC288" i="20"/>
  <c r="AP940" i="20"/>
  <c r="AQ815" i="20"/>
  <c r="AP823" i="20"/>
  <c r="AO918" i="20"/>
  <c r="AO161" i="20"/>
  <c r="AO158" i="20"/>
  <c r="AO159" i="20"/>
  <c r="AO162" i="20"/>
  <c r="AO160" i="20"/>
  <c r="AO157" i="20"/>
  <c r="AO163" i="20"/>
  <c r="AP133" i="20"/>
  <c r="AQ133" i="20" s="1"/>
  <c r="AQ945" i="20"/>
  <c r="AR804" i="20"/>
  <c r="AX313" i="20"/>
  <c r="AW906" i="20"/>
  <c r="AS573" i="20"/>
  <c r="AR908" i="20"/>
  <c r="AW882" i="20"/>
  <c r="AX407" i="20"/>
  <c r="AO138" i="20"/>
  <c r="AQ631" i="20"/>
  <c r="AP933" i="20"/>
  <c r="AP920" i="20"/>
  <c r="AQ779" i="20"/>
  <c r="AP919" i="20"/>
  <c r="AQ834" i="20"/>
  <c r="AO915" i="20"/>
  <c r="AP790" i="20"/>
  <c r="AP37" i="20"/>
  <c r="AO40" i="20"/>
  <c r="AP171" i="20"/>
  <c r="AP175" i="20"/>
  <c r="AP172" i="20"/>
  <c r="AP176" i="20"/>
  <c r="AP173" i="20"/>
  <c r="AP170" i="20"/>
  <c r="AP174" i="20"/>
  <c r="AV932" i="20"/>
  <c r="AW457" i="20"/>
  <c r="AP183" i="20"/>
  <c r="AP187" i="20"/>
  <c r="AP184" i="20"/>
  <c r="AP188" i="20"/>
  <c r="AP185" i="20"/>
  <c r="AP189" i="20"/>
  <c r="AP186" i="20"/>
  <c r="AO917" i="20"/>
  <c r="AP812" i="20"/>
  <c r="AP95" i="20"/>
  <c r="AQ848" i="20"/>
  <c r="AP943" i="20"/>
  <c r="AP74" i="20"/>
  <c r="AP55" i="20"/>
  <c r="AO58" i="20"/>
  <c r="AP73" i="20"/>
  <c r="AO76" i="20"/>
  <c r="AP942" i="20"/>
  <c r="AQ837" i="20"/>
  <c r="AP941" i="20"/>
  <c r="AQ826" i="20"/>
  <c r="AP94" i="20"/>
  <c r="AP56" i="20"/>
  <c r="AP38" i="20"/>
  <c r="BJ429" i="20"/>
  <c r="BI519" i="20"/>
  <c r="BI518" i="20"/>
  <c r="BI520" i="20"/>
  <c r="BI521" i="20"/>
  <c r="BI517" i="20"/>
  <c r="BJ440" i="20"/>
  <c r="BI522" i="20"/>
  <c r="BJ405" i="20"/>
  <c r="BG258" i="20"/>
  <c r="BG259" i="20"/>
  <c r="BG262" i="20"/>
  <c r="BJ376" i="20"/>
  <c r="BJ411" i="20"/>
  <c r="BJ380" i="20"/>
  <c r="BG260" i="20"/>
  <c r="BG257" i="20"/>
  <c r="BG261" i="20"/>
  <c r="BG256" i="20"/>
  <c r="BM914" i="20"/>
  <c r="BJ338" i="20"/>
  <c r="BI931" i="20"/>
  <c r="BM617" i="20"/>
  <c r="BL909" i="20"/>
  <c r="BN642" i="20"/>
  <c r="BN934" i="20" s="1"/>
  <c r="BM934" i="20"/>
  <c r="BJ458" i="20"/>
  <c r="BJ399" i="20"/>
  <c r="BJ426" i="20"/>
  <c r="BJ398" i="20"/>
  <c r="BJ430" i="20"/>
  <c r="BJ459" i="20"/>
  <c r="BJ387" i="20"/>
  <c r="BJ406" i="20"/>
  <c r="BJ450" i="20"/>
  <c r="BJ379" i="20"/>
  <c r="BJ381" i="20"/>
  <c r="BJ409" i="20"/>
  <c r="BJ455" i="20"/>
  <c r="BJ468" i="20"/>
  <c r="BJ470" i="20"/>
  <c r="BJ514" i="20"/>
  <c r="BJ516" i="20" s="1"/>
  <c r="BJ377" i="20"/>
  <c r="BJ471" i="20"/>
  <c r="BJ388" i="20"/>
  <c r="BJ421" i="20"/>
  <c r="BJ435" i="20"/>
  <c r="BJ390" i="20"/>
  <c r="BJ467" i="20"/>
  <c r="BJ375" i="20"/>
  <c r="BJ416" i="20"/>
  <c r="BJ466" i="20"/>
  <c r="BJ410" i="20"/>
  <c r="BJ395" i="20"/>
  <c r="BJ408" i="20"/>
  <c r="BJ415" i="20"/>
  <c r="BG270" i="20"/>
  <c r="BJ427" i="20"/>
  <c r="BG271" i="20"/>
  <c r="BJ438" i="20"/>
  <c r="BJ456" i="20"/>
  <c r="BJ449" i="20"/>
  <c r="BJ385" i="20"/>
  <c r="BJ428" i="20"/>
  <c r="BJ397" i="20"/>
  <c r="BG272" i="20"/>
  <c r="BJ446" i="20"/>
  <c r="BJ389" i="20"/>
  <c r="BJ391" i="20"/>
  <c r="BG266" i="20"/>
  <c r="BG267" i="20"/>
  <c r="BJ418" i="20"/>
  <c r="BJ396" i="20"/>
  <c r="BJ461" i="20"/>
  <c r="BJ448" i="20"/>
  <c r="BJ439" i="20"/>
  <c r="BJ441" i="20"/>
  <c r="BJ425" i="20"/>
  <c r="BJ417" i="20"/>
  <c r="BJ437" i="20"/>
  <c r="BJ386" i="20"/>
  <c r="BJ436" i="20"/>
  <c r="BJ420" i="20"/>
  <c r="BG268" i="20"/>
  <c r="BG269" i="20"/>
  <c r="BK373" i="20"/>
  <c r="BJ419" i="20"/>
  <c r="BJ469" i="20"/>
  <c r="BJ400" i="20"/>
  <c r="BJ460" i="20"/>
  <c r="BK460" i="20" s="1"/>
  <c r="BJ445" i="20"/>
  <c r="BG281" i="20"/>
  <c r="BG282" i="20"/>
  <c r="BG290" i="20"/>
  <c r="BG286" i="20"/>
  <c r="BG277" i="20"/>
  <c r="BG292" i="20"/>
  <c r="BG279" i="20"/>
  <c r="BG278" i="20"/>
  <c r="BG280" i="20"/>
  <c r="BG287" i="20"/>
  <c r="BG276" i="20"/>
  <c r="BG289" i="20"/>
  <c r="BG291" i="20"/>
  <c r="BH254" i="20"/>
  <c r="AQ56" i="20" l="1"/>
  <c r="AQ38" i="20"/>
  <c r="AQ95" i="20"/>
  <c r="AQ94" i="20"/>
  <c r="AQ74" i="20"/>
  <c r="AQ39" i="20"/>
  <c r="AP82" i="20"/>
  <c r="AP86" i="20"/>
  <c r="AQ73" i="20"/>
  <c r="AP83" i="20"/>
  <c r="AP80" i="20"/>
  <c r="AP84" i="20"/>
  <c r="AP81" i="20"/>
  <c r="AP85" i="20"/>
  <c r="AQ75" i="20"/>
  <c r="AS132" i="20"/>
  <c r="AR146" i="20"/>
  <c r="AR148" i="20"/>
  <c r="AR150" i="20"/>
  <c r="AR145" i="20"/>
  <c r="AR147" i="20"/>
  <c r="AR149" i="20"/>
  <c r="AR144" i="20"/>
  <c r="AR171" i="20"/>
  <c r="AR173" i="20"/>
  <c r="AS134" i="20"/>
  <c r="AR175" i="20"/>
  <c r="AR170" i="20"/>
  <c r="AR172" i="20"/>
  <c r="AR174" i="20"/>
  <c r="AR176" i="20"/>
  <c r="AT213" i="20"/>
  <c r="G157" i="20" s="1"/>
  <c r="AT210" i="20"/>
  <c r="D157" i="20" s="1"/>
  <c r="AT212" i="20"/>
  <c r="F157" i="20" s="1"/>
  <c r="AT211" i="20"/>
  <c r="E157" i="20" s="1"/>
  <c r="AT215" i="20"/>
  <c r="I157" i="20" s="1"/>
  <c r="AU137" i="20"/>
  <c r="AT209" i="20"/>
  <c r="C157" i="20" s="1"/>
  <c r="AT214" i="20"/>
  <c r="H157" i="20" s="1"/>
  <c r="AQ158" i="20"/>
  <c r="AQ163" i="20"/>
  <c r="AQ157" i="20"/>
  <c r="AQ160" i="20"/>
  <c r="AQ162" i="20"/>
  <c r="AR133" i="20"/>
  <c r="AQ159" i="20"/>
  <c r="AQ161" i="20"/>
  <c r="AP102" i="20"/>
  <c r="AP106" i="20"/>
  <c r="AQ93" i="20"/>
  <c r="AP103" i="20"/>
  <c r="AP100" i="20"/>
  <c r="AP104" i="20"/>
  <c r="AP101" i="20"/>
  <c r="AP105" i="20"/>
  <c r="AQ138" i="20"/>
  <c r="AT136" i="20"/>
  <c r="AS198" i="20"/>
  <c r="AS196" i="20"/>
  <c r="AS201" i="20"/>
  <c r="AS197" i="20"/>
  <c r="AS199" i="20"/>
  <c r="AS202" i="20"/>
  <c r="AS200" i="20"/>
  <c r="AP65" i="20"/>
  <c r="AP64" i="20"/>
  <c r="AQ55" i="20"/>
  <c r="AP68" i="20"/>
  <c r="AP63" i="20"/>
  <c r="AP66" i="20"/>
  <c r="AP67" i="20"/>
  <c r="AP62" i="20"/>
  <c r="AQ37" i="20"/>
  <c r="AP47" i="20"/>
  <c r="AP45" i="20"/>
  <c r="AP48" i="20"/>
  <c r="AP44" i="20"/>
  <c r="AP49" i="20"/>
  <c r="AP46" i="20"/>
  <c r="AP50" i="20"/>
  <c r="AR187" i="20"/>
  <c r="AR189" i="20"/>
  <c r="AS135" i="20"/>
  <c r="AR184" i="20"/>
  <c r="AR186" i="20"/>
  <c r="AR188" i="20"/>
  <c r="AR183" i="20"/>
  <c r="AR185" i="20"/>
  <c r="AQ57" i="20"/>
  <c r="AP58" i="20"/>
  <c r="AR848" i="20"/>
  <c r="AQ943" i="20"/>
  <c r="AX882" i="20"/>
  <c r="AY407" i="20"/>
  <c r="AR834" i="20"/>
  <c r="AQ919" i="20"/>
  <c r="AR837" i="20"/>
  <c r="AQ942" i="20"/>
  <c r="AP40" i="20"/>
  <c r="AR631" i="20"/>
  <c r="AQ933" i="20"/>
  <c r="AP157" i="20"/>
  <c r="AP160" i="20"/>
  <c r="AP162" i="20"/>
  <c r="AP161" i="20"/>
  <c r="AP163" i="20"/>
  <c r="AP158" i="20"/>
  <c r="AP159" i="20"/>
  <c r="BC881" i="20"/>
  <c r="BD288" i="20"/>
  <c r="AP917" i="20"/>
  <c r="AQ812" i="20"/>
  <c r="AQ790" i="20"/>
  <c r="AP915" i="20"/>
  <c r="AQ920" i="20"/>
  <c r="AR779" i="20"/>
  <c r="AY313" i="20"/>
  <c r="AX906" i="20"/>
  <c r="AQ823" i="20"/>
  <c r="AP918" i="20"/>
  <c r="AS801" i="20"/>
  <c r="AR916" i="20"/>
  <c r="AQ941" i="20"/>
  <c r="AR826" i="20"/>
  <c r="AP76" i="20"/>
  <c r="AW932" i="20"/>
  <c r="AX457" i="20"/>
  <c r="AS908" i="20"/>
  <c r="AT573" i="20"/>
  <c r="AR945" i="20"/>
  <c r="AS804" i="20"/>
  <c r="AQ940" i="20"/>
  <c r="AR815" i="20"/>
  <c r="AP138" i="20"/>
  <c r="AP96" i="20"/>
  <c r="BN914" i="20"/>
  <c r="BJ521" i="20"/>
  <c r="BJ520" i="20"/>
  <c r="BJ519" i="20"/>
  <c r="BJ522" i="20"/>
  <c r="BJ518" i="20"/>
  <c r="BJ517" i="20"/>
  <c r="BH260" i="20"/>
  <c r="BH262" i="20"/>
  <c r="BH256" i="20"/>
  <c r="BH259" i="20"/>
  <c r="BH261" i="20"/>
  <c r="BH258" i="20"/>
  <c r="BH257" i="20"/>
  <c r="BN617" i="20"/>
  <c r="BN909" i="20" s="1"/>
  <c r="BM909" i="20"/>
  <c r="BK338" i="20"/>
  <c r="BJ931" i="20"/>
  <c r="BH270" i="20"/>
  <c r="BK375" i="20"/>
  <c r="BK514" i="20"/>
  <c r="BK516" i="20" s="1"/>
  <c r="BK386" i="20"/>
  <c r="BK425" i="20"/>
  <c r="BH267" i="20"/>
  <c r="BK446" i="20"/>
  <c r="BK387" i="20"/>
  <c r="BK379" i="20"/>
  <c r="BK381" i="20"/>
  <c r="BK445" i="20"/>
  <c r="BK456" i="20"/>
  <c r="BK388" i="20"/>
  <c r="BK447" i="20"/>
  <c r="BK421" i="20"/>
  <c r="BK398" i="20"/>
  <c r="BK470" i="20"/>
  <c r="BK458" i="20"/>
  <c r="BK410" i="20"/>
  <c r="BK385" i="20"/>
  <c r="BK380" i="20"/>
  <c r="BK459" i="20"/>
  <c r="BK426" i="20"/>
  <c r="BK451" i="20"/>
  <c r="BK449" i="20"/>
  <c r="BK427" i="20"/>
  <c r="BK471" i="20"/>
  <c r="BK441" i="20"/>
  <c r="BH266" i="20"/>
  <c r="BK466" i="20"/>
  <c r="BK465" i="20"/>
  <c r="BK428" i="20"/>
  <c r="BK377" i="20"/>
  <c r="BK400" i="20"/>
  <c r="BK378" i="20"/>
  <c r="BK411" i="20"/>
  <c r="BK450" i="20"/>
  <c r="BH269" i="20"/>
  <c r="BH268" i="20"/>
  <c r="BK401" i="20"/>
  <c r="BK455" i="20"/>
  <c r="BK467" i="20"/>
  <c r="BK420" i="20"/>
  <c r="BK417" i="20"/>
  <c r="BK439" i="20"/>
  <c r="BK396" i="20"/>
  <c r="BK391" i="20"/>
  <c r="BK397" i="20"/>
  <c r="BH272" i="20"/>
  <c r="BK468" i="20"/>
  <c r="BH271" i="20"/>
  <c r="BL373" i="20"/>
  <c r="BK419" i="20"/>
  <c r="BK408" i="20"/>
  <c r="BK395" i="20"/>
  <c r="BK437" i="20"/>
  <c r="BL437" i="20" s="1"/>
  <c r="BK461" i="20"/>
  <c r="BK469" i="20"/>
  <c r="BK405" i="20"/>
  <c r="BK376" i="20"/>
  <c r="BK406" i="20"/>
  <c r="BK430" i="20"/>
  <c r="BK399" i="20"/>
  <c r="BK416" i="20"/>
  <c r="BK440" i="20"/>
  <c r="BK409" i="20"/>
  <c r="BK435" i="20"/>
  <c r="BK436" i="20"/>
  <c r="BK448" i="20"/>
  <c r="BK418" i="20"/>
  <c r="BK389" i="20"/>
  <c r="BK415" i="20"/>
  <c r="BK429" i="20"/>
  <c r="BK390" i="20"/>
  <c r="BK438" i="20"/>
  <c r="BH292" i="20"/>
  <c r="BH291" i="20"/>
  <c r="BH279" i="20"/>
  <c r="BH277" i="20"/>
  <c r="BH290" i="20"/>
  <c r="BH276" i="20"/>
  <c r="BH280" i="20"/>
  <c r="BH282" i="20"/>
  <c r="BH289" i="20"/>
  <c r="BH286" i="20"/>
  <c r="BH287" i="20"/>
  <c r="BH278" i="20"/>
  <c r="BH281" i="20"/>
  <c r="BI254" i="20"/>
  <c r="AR57" i="20" l="1"/>
  <c r="AR95" i="20"/>
  <c r="AR75" i="20"/>
  <c r="AR56" i="20"/>
  <c r="AS186" i="20"/>
  <c r="AT135" i="20"/>
  <c r="AS183" i="20"/>
  <c r="AS184" i="20"/>
  <c r="AS187" i="20"/>
  <c r="AS188" i="20"/>
  <c r="AS189" i="20"/>
  <c r="AS185" i="20"/>
  <c r="AT197" i="20"/>
  <c r="D156" i="20" s="1"/>
  <c r="AT199" i="20"/>
  <c r="F156" i="20" s="1"/>
  <c r="AT201" i="20"/>
  <c r="H156" i="20" s="1"/>
  <c r="AT196" i="20"/>
  <c r="C156" i="20" s="1"/>
  <c r="AT198" i="20"/>
  <c r="E156" i="20" s="1"/>
  <c r="AT200" i="20"/>
  <c r="G156" i="20" s="1"/>
  <c r="AU136" i="20"/>
  <c r="AT202" i="20"/>
  <c r="I156" i="20" s="1"/>
  <c r="AS133" i="20"/>
  <c r="AR162" i="20"/>
  <c r="AR157" i="20"/>
  <c r="AR158" i="20"/>
  <c r="AR159" i="20"/>
  <c r="AR163" i="20"/>
  <c r="AR161" i="20"/>
  <c r="AR160" i="20"/>
  <c r="AS170" i="20"/>
  <c r="AS176" i="20"/>
  <c r="AS171" i="20"/>
  <c r="AS175" i="20"/>
  <c r="AS173" i="20"/>
  <c r="AS172" i="20"/>
  <c r="AS174" i="20"/>
  <c r="AT134" i="20"/>
  <c r="AQ66" i="20"/>
  <c r="AQ68" i="20"/>
  <c r="AQ63" i="20"/>
  <c r="AQ65" i="20"/>
  <c r="AR55" i="20"/>
  <c r="AQ67" i="20"/>
  <c r="AQ62" i="20"/>
  <c r="AQ64" i="20"/>
  <c r="AQ58" i="20"/>
  <c r="AU210" i="20"/>
  <c r="AU214" i="20"/>
  <c r="AU211" i="20"/>
  <c r="AU215" i="20"/>
  <c r="AU209" i="20"/>
  <c r="AV137" i="20"/>
  <c r="AU212" i="20"/>
  <c r="AU213" i="20"/>
  <c r="AR39" i="20"/>
  <c r="AQ45" i="20"/>
  <c r="AQ49" i="20"/>
  <c r="AQ50" i="20"/>
  <c r="AQ47" i="20"/>
  <c r="AR37" i="20"/>
  <c r="AQ46" i="20"/>
  <c r="AQ44" i="20"/>
  <c r="AQ48" i="20"/>
  <c r="AQ40" i="20"/>
  <c r="AR38" i="20"/>
  <c r="AQ81" i="20"/>
  <c r="AQ82" i="20"/>
  <c r="AQ80" i="20"/>
  <c r="AQ83" i="20"/>
  <c r="AR73" i="20"/>
  <c r="AQ85" i="20"/>
  <c r="AQ86" i="20"/>
  <c r="AQ84" i="20"/>
  <c r="AQ76" i="20"/>
  <c r="AR74" i="20"/>
  <c r="AQ103" i="20"/>
  <c r="AQ101" i="20"/>
  <c r="AQ102" i="20"/>
  <c r="AQ100" i="20"/>
  <c r="AR93" i="20"/>
  <c r="AQ106" i="20"/>
  <c r="AQ105" i="20"/>
  <c r="AQ104" i="20"/>
  <c r="AQ96" i="20"/>
  <c r="AR138" i="20"/>
  <c r="AT132" i="20"/>
  <c r="AS145" i="20"/>
  <c r="AS147" i="20"/>
  <c r="AS149" i="20"/>
  <c r="AS144" i="20"/>
  <c r="AS146" i="20"/>
  <c r="AS148" i="20"/>
  <c r="AS150" i="20"/>
  <c r="AS138" i="20"/>
  <c r="AR94" i="20"/>
  <c r="AU573" i="20"/>
  <c r="AT908" i="20"/>
  <c r="AT801" i="20"/>
  <c r="AS916" i="20"/>
  <c r="AZ313" i="20"/>
  <c r="AY906" i="20"/>
  <c r="AS834" i="20"/>
  <c r="AR919" i="20"/>
  <c r="AR943" i="20"/>
  <c r="AS848" i="20"/>
  <c r="AR940" i="20"/>
  <c r="AS815" i="20"/>
  <c r="AS631" i="20"/>
  <c r="AR933" i="20"/>
  <c r="AS945" i="20"/>
  <c r="AT804" i="20"/>
  <c r="AX932" i="20"/>
  <c r="AY457" i="20"/>
  <c r="AR941" i="20"/>
  <c r="AS826" i="20"/>
  <c r="AR790" i="20"/>
  <c r="AQ915" i="20"/>
  <c r="BD881" i="20"/>
  <c r="BE288" i="20"/>
  <c r="AY882" i="20"/>
  <c r="AZ407" i="20"/>
  <c r="AQ918" i="20"/>
  <c r="AR823" i="20"/>
  <c r="AR920" i="20"/>
  <c r="AS779" i="20"/>
  <c r="AQ917" i="20"/>
  <c r="AR812" i="20"/>
  <c r="AR942" i="20"/>
  <c r="AS837" i="20"/>
  <c r="BK518" i="20"/>
  <c r="BL435" i="20"/>
  <c r="BL399" i="20"/>
  <c r="BL405" i="20"/>
  <c r="BL418" i="20"/>
  <c r="BL429" i="20"/>
  <c r="BK517" i="20"/>
  <c r="BK522" i="20"/>
  <c r="BK519" i="20"/>
  <c r="BK520" i="20"/>
  <c r="BK521" i="20"/>
  <c r="BI259" i="20"/>
  <c r="BI257" i="20"/>
  <c r="BI256" i="20"/>
  <c r="BI258" i="20"/>
  <c r="BI262" i="20"/>
  <c r="BI261" i="20"/>
  <c r="BI260" i="20"/>
  <c r="BL338" i="20"/>
  <c r="BK931" i="20"/>
  <c r="BI270" i="20"/>
  <c r="BL438" i="20"/>
  <c r="BL440" i="20"/>
  <c r="BL406" i="20"/>
  <c r="BL408" i="20"/>
  <c r="E149" i="20"/>
  <c r="E29" i="20"/>
  <c r="D149" i="20"/>
  <c r="D29" i="20"/>
  <c r="G149" i="20"/>
  <c r="G29" i="20"/>
  <c r="F149" i="20"/>
  <c r="F29" i="20"/>
  <c r="C149" i="20"/>
  <c r="C29" i="20"/>
  <c r="I149" i="20"/>
  <c r="I29" i="20"/>
  <c r="H149" i="20"/>
  <c r="H29" i="20"/>
  <c r="BL425" i="20"/>
  <c r="BL514" i="20"/>
  <c r="BL516" i="20" s="1"/>
  <c r="BL390" i="20"/>
  <c r="BL389" i="20"/>
  <c r="BL436" i="20"/>
  <c r="BL416" i="20"/>
  <c r="BL376" i="20"/>
  <c r="BL461" i="20"/>
  <c r="BL419" i="20"/>
  <c r="BL387" i="20"/>
  <c r="BL415" i="20"/>
  <c r="BL448" i="20"/>
  <c r="BL409" i="20"/>
  <c r="BL430" i="20"/>
  <c r="BL469" i="20"/>
  <c r="BL395" i="20"/>
  <c r="BL381" i="20"/>
  <c r="BL468" i="20"/>
  <c r="BL391" i="20"/>
  <c r="BL420" i="20"/>
  <c r="BL411" i="20"/>
  <c r="BL428" i="20"/>
  <c r="BL449" i="20"/>
  <c r="BL380" i="20"/>
  <c r="BL386" i="20"/>
  <c r="BL398" i="20"/>
  <c r="BL379" i="20"/>
  <c r="BL396" i="20"/>
  <c r="BL467" i="20"/>
  <c r="BL378" i="20"/>
  <c r="BL465" i="20"/>
  <c r="BL441" i="20"/>
  <c r="BL451" i="20"/>
  <c r="BL421" i="20"/>
  <c r="BL458" i="20"/>
  <c r="BI268" i="20"/>
  <c r="BI267" i="20"/>
  <c r="BI266" i="20"/>
  <c r="BL447" i="20"/>
  <c r="BI269" i="20"/>
  <c r="BM373" i="20"/>
  <c r="BL446" i="20"/>
  <c r="BL470" i="20"/>
  <c r="BL445" i="20"/>
  <c r="BI272" i="20"/>
  <c r="BL439" i="20"/>
  <c r="BL455" i="20"/>
  <c r="BL400" i="20"/>
  <c r="BL466" i="20"/>
  <c r="BM466" i="20" s="1"/>
  <c r="BL471" i="20"/>
  <c r="BL426" i="20"/>
  <c r="BL385" i="20"/>
  <c r="BL388" i="20"/>
  <c r="BM388" i="20" s="1"/>
  <c r="BL375" i="20"/>
  <c r="BM375" i="20" s="1"/>
  <c r="BL460" i="20"/>
  <c r="BM460" i="20" s="1"/>
  <c r="BL456" i="20"/>
  <c r="BM456" i="20" s="1"/>
  <c r="BI271" i="20"/>
  <c r="BL397" i="20"/>
  <c r="BM397" i="20" s="1"/>
  <c r="BL417" i="20"/>
  <c r="BL401" i="20"/>
  <c r="BM401" i="20" s="1"/>
  <c r="BL450" i="20"/>
  <c r="BM450" i="20" s="1"/>
  <c r="BL377" i="20"/>
  <c r="BM377" i="20" s="1"/>
  <c r="BL427" i="20"/>
  <c r="BL459" i="20"/>
  <c r="BM459" i="20" s="1"/>
  <c r="BL410" i="20"/>
  <c r="BM410" i="20" s="1"/>
  <c r="BI279" i="20"/>
  <c r="BI286" i="20"/>
  <c r="BI280" i="20"/>
  <c r="BI289" i="20"/>
  <c r="BI287" i="20"/>
  <c r="BI282" i="20"/>
  <c r="BI276" i="20"/>
  <c r="BI291" i="20"/>
  <c r="BI281" i="20"/>
  <c r="BI278" i="20"/>
  <c r="BI290" i="20"/>
  <c r="BI277" i="20"/>
  <c r="BI292" i="20"/>
  <c r="BJ254" i="20"/>
  <c r="AS57" i="20" l="1"/>
  <c r="AS94" i="20"/>
  <c r="AS74" i="20"/>
  <c r="AS38" i="20"/>
  <c r="G151" i="20"/>
  <c r="G31" i="20"/>
  <c r="C151" i="20"/>
  <c r="C31" i="20"/>
  <c r="H30" i="20"/>
  <c r="H150" i="20"/>
  <c r="E30" i="20"/>
  <c r="E150" i="20"/>
  <c r="H151" i="20"/>
  <c r="H31" i="20"/>
  <c r="E31" i="20"/>
  <c r="E151" i="20"/>
  <c r="D150" i="20"/>
  <c r="D30" i="20"/>
  <c r="I31" i="20"/>
  <c r="I151" i="20"/>
  <c r="D151" i="20"/>
  <c r="D31" i="20"/>
  <c r="G30" i="20"/>
  <c r="G150" i="20"/>
  <c r="F30" i="20"/>
  <c r="F150" i="20"/>
  <c r="F31" i="20"/>
  <c r="F151" i="20"/>
  <c r="I150" i="20"/>
  <c r="I30" i="20"/>
  <c r="C30" i="20"/>
  <c r="C150" i="20"/>
  <c r="AR82" i="20"/>
  <c r="AR86" i="20"/>
  <c r="AS73" i="20"/>
  <c r="AR80" i="20"/>
  <c r="AR81" i="20"/>
  <c r="AR83" i="20"/>
  <c r="AR84" i="20"/>
  <c r="AR85" i="20"/>
  <c r="AR76" i="20"/>
  <c r="AS39" i="20"/>
  <c r="AU197" i="20"/>
  <c r="AU199" i="20"/>
  <c r="AU201" i="20"/>
  <c r="AU196" i="20"/>
  <c r="AU198" i="20"/>
  <c r="AU200" i="20"/>
  <c r="AU202" i="20"/>
  <c r="AV136" i="20"/>
  <c r="AR106" i="20"/>
  <c r="AR103" i="20"/>
  <c r="AS93" i="20"/>
  <c r="AR102" i="20"/>
  <c r="AR104" i="20"/>
  <c r="AR101" i="20"/>
  <c r="AR100" i="20"/>
  <c r="AR105" i="20"/>
  <c r="AR96" i="20"/>
  <c r="AR62" i="20"/>
  <c r="AR66" i="20"/>
  <c r="AS55" i="20"/>
  <c r="AR63" i="20"/>
  <c r="AR67" i="20"/>
  <c r="AR64" i="20"/>
  <c r="AR65" i="20"/>
  <c r="AR68" i="20"/>
  <c r="AR58" i="20"/>
  <c r="AT183" i="20"/>
  <c r="C155" i="20" s="1"/>
  <c r="AU135" i="20"/>
  <c r="AT185" i="20"/>
  <c r="E155" i="20" s="1"/>
  <c r="AT187" i="20"/>
  <c r="G155" i="20" s="1"/>
  <c r="AT184" i="20"/>
  <c r="D155" i="20" s="1"/>
  <c r="AT186" i="20"/>
  <c r="F155" i="20" s="1"/>
  <c r="AT188" i="20"/>
  <c r="H155" i="20" s="1"/>
  <c r="AT189" i="20"/>
  <c r="I155" i="20" s="1"/>
  <c r="AS95" i="20"/>
  <c r="AR49" i="20"/>
  <c r="AR44" i="20"/>
  <c r="AR40" i="20"/>
  <c r="AR47" i="20"/>
  <c r="AR45" i="20"/>
  <c r="AR46" i="20"/>
  <c r="AR48" i="20"/>
  <c r="AS37" i="20"/>
  <c r="AR50" i="20"/>
  <c r="AS75" i="20"/>
  <c r="AT133" i="20"/>
  <c r="AT138" i="20" s="1"/>
  <c r="AS160" i="20"/>
  <c r="AS157" i="20"/>
  <c r="AS158" i="20"/>
  <c r="AS163" i="20"/>
  <c r="AS161" i="20"/>
  <c r="AS159" i="20"/>
  <c r="AS162" i="20"/>
  <c r="AT149" i="20"/>
  <c r="H152" i="20" s="1"/>
  <c r="AT145" i="20"/>
  <c r="D152" i="20" s="1"/>
  <c r="AT146" i="20"/>
  <c r="E152" i="20" s="1"/>
  <c r="AT150" i="20"/>
  <c r="I152" i="20" s="1"/>
  <c r="AT144" i="20"/>
  <c r="C152" i="20" s="1"/>
  <c r="AT148" i="20"/>
  <c r="G152" i="20" s="1"/>
  <c r="AT147" i="20"/>
  <c r="F152" i="20" s="1"/>
  <c r="AU132" i="20"/>
  <c r="AV209" i="20"/>
  <c r="AW137" i="20"/>
  <c r="AV212" i="20"/>
  <c r="AV213" i="20"/>
  <c r="AV214" i="20"/>
  <c r="AV210" i="20"/>
  <c r="AV215" i="20"/>
  <c r="AV211" i="20"/>
  <c r="AT173" i="20"/>
  <c r="F154" i="20" s="1"/>
  <c r="AT175" i="20"/>
  <c r="H154" i="20" s="1"/>
  <c r="AT170" i="20"/>
  <c r="C154" i="20" s="1"/>
  <c r="AT172" i="20"/>
  <c r="E154" i="20" s="1"/>
  <c r="AT174" i="20"/>
  <c r="G154" i="20" s="1"/>
  <c r="AT176" i="20"/>
  <c r="I154" i="20" s="1"/>
  <c r="AT171" i="20"/>
  <c r="D154" i="20" s="1"/>
  <c r="AU134" i="20"/>
  <c r="AS56" i="20"/>
  <c r="AS790" i="20"/>
  <c r="AR915" i="20"/>
  <c r="AT834" i="20"/>
  <c r="AS919" i="20"/>
  <c r="AT837" i="20"/>
  <c r="AS942" i="20"/>
  <c r="AS920" i="20"/>
  <c r="AT779" i="20"/>
  <c r="AT848" i="20"/>
  <c r="AS943" i="20"/>
  <c r="BE881" i="20"/>
  <c r="BF288" i="20"/>
  <c r="AZ882" i="20"/>
  <c r="BA407" i="20"/>
  <c r="AT826" i="20"/>
  <c r="AS941" i="20"/>
  <c r="AT945" i="20"/>
  <c r="AU804" i="20"/>
  <c r="AT631" i="20"/>
  <c r="AS933" i="20"/>
  <c r="BA313" i="20"/>
  <c r="AZ906" i="20"/>
  <c r="AY932" i="20"/>
  <c r="AZ457" i="20"/>
  <c r="AU801" i="20"/>
  <c r="AT916" i="20"/>
  <c r="AR917" i="20"/>
  <c r="AS812" i="20"/>
  <c r="AR918" i="20"/>
  <c r="AS823" i="20"/>
  <c r="AT815" i="20"/>
  <c r="AS940" i="20"/>
  <c r="AV573" i="20"/>
  <c r="AU908" i="20"/>
  <c r="BM455" i="20"/>
  <c r="BM471" i="20"/>
  <c r="BM427" i="20"/>
  <c r="BM417" i="20"/>
  <c r="BM385" i="20"/>
  <c r="BM439" i="20"/>
  <c r="BM400" i="20"/>
  <c r="BM379" i="20"/>
  <c r="BL518" i="20"/>
  <c r="BL521" i="20"/>
  <c r="BL522" i="20"/>
  <c r="BL520" i="20"/>
  <c r="BL517" i="20"/>
  <c r="BL519" i="20"/>
  <c r="BM448" i="20"/>
  <c r="BJ260" i="20"/>
  <c r="BJ256" i="20"/>
  <c r="BM391" i="20"/>
  <c r="BM469" i="20"/>
  <c r="BM415" i="20"/>
  <c r="BJ261" i="20"/>
  <c r="BJ257" i="20"/>
  <c r="BJ262" i="20"/>
  <c r="BJ259" i="20"/>
  <c r="BM408" i="20"/>
  <c r="BJ258" i="20"/>
  <c r="BM338" i="20"/>
  <c r="BL931" i="20"/>
  <c r="BM440" i="20"/>
  <c r="BM395" i="20"/>
  <c r="BM461" i="20"/>
  <c r="BM389" i="20"/>
  <c r="BM425" i="20"/>
  <c r="BM381" i="20"/>
  <c r="BM409" i="20"/>
  <c r="I148" i="20"/>
  <c r="I28" i="20"/>
  <c r="E148" i="20"/>
  <c r="E28" i="20"/>
  <c r="H148" i="20"/>
  <c r="H28" i="20"/>
  <c r="D148" i="20"/>
  <c r="D28" i="20"/>
  <c r="G148" i="20"/>
  <c r="G28" i="20"/>
  <c r="C148" i="20"/>
  <c r="C28" i="20"/>
  <c r="F148" i="20"/>
  <c r="F28" i="20"/>
  <c r="BM446" i="20"/>
  <c r="BM449" i="20"/>
  <c r="BM380" i="20"/>
  <c r="BM406" i="20"/>
  <c r="BM426" i="20"/>
  <c r="BM405" i="20"/>
  <c r="BM398" i="20"/>
  <c r="BM430" i="20"/>
  <c r="BM387" i="20"/>
  <c r="BM416" i="20"/>
  <c r="BM514" i="20"/>
  <c r="BM516" i="20" s="1"/>
  <c r="BM429" i="20"/>
  <c r="BM421" i="20"/>
  <c r="BM378" i="20"/>
  <c r="BM441" i="20"/>
  <c r="BM396" i="20"/>
  <c r="BJ286" i="20"/>
  <c r="BJ266" i="20"/>
  <c r="BM458" i="20"/>
  <c r="BM419" i="20"/>
  <c r="BM420" i="20"/>
  <c r="BJ269" i="20"/>
  <c r="BM376" i="20"/>
  <c r="BM468" i="20"/>
  <c r="BM470" i="20"/>
  <c r="BM399" i="20"/>
  <c r="BM467" i="20"/>
  <c r="BJ267" i="20"/>
  <c r="BJ271" i="20"/>
  <c r="BJ272" i="20"/>
  <c r="BN373" i="20"/>
  <c r="BM435" i="20"/>
  <c r="BM451" i="20"/>
  <c r="BM436" i="20"/>
  <c r="BM428" i="20"/>
  <c r="BM386" i="20"/>
  <c r="BM438" i="20"/>
  <c r="BJ268" i="20"/>
  <c r="BM445" i="20"/>
  <c r="BM437" i="20"/>
  <c r="BM418" i="20"/>
  <c r="BM465" i="20"/>
  <c r="BM447" i="20"/>
  <c r="BM390" i="20"/>
  <c r="BM411" i="20"/>
  <c r="BJ270" i="20"/>
  <c r="BJ281" i="20"/>
  <c r="BJ277" i="20"/>
  <c r="BJ276" i="20"/>
  <c r="BJ290" i="20"/>
  <c r="BJ287" i="20"/>
  <c r="BJ280" i="20"/>
  <c r="BJ279" i="20"/>
  <c r="BJ282" i="20"/>
  <c r="BJ289" i="20"/>
  <c r="BJ292" i="20"/>
  <c r="BJ278" i="20"/>
  <c r="BJ291" i="20"/>
  <c r="BK254" i="20"/>
  <c r="Y590" i="11"/>
  <c r="Y407" i="11"/>
  <c r="AT95" i="20" l="1"/>
  <c r="AT75" i="20"/>
  <c r="Y409" i="11"/>
  <c r="Y413" i="11"/>
  <c r="AT56" i="20"/>
  <c r="AT38" i="20"/>
  <c r="AT74" i="20"/>
  <c r="AT94" i="20"/>
  <c r="AU171" i="20"/>
  <c r="AU172" i="20"/>
  <c r="AU175" i="20"/>
  <c r="AU176" i="20"/>
  <c r="AU173" i="20"/>
  <c r="AU174" i="20"/>
  <c r="AU170" i="20"/>
  <c r="AV134" i="20"/>
  <c r="AT57" i="20"/>
  <c r="AS46" i="20"/>
  <c r="AS50" i="20"/>
  <c r="AS40" i="20"/>
  <c r="AS47" i="20"/>
  <c r="AS44" i="20"/>
  <c r="AS45" i="20"/>
  <c r="AS49" i="20"/>
  <c r="AT37" i="20"/>
  <c r="AS48" i="20"/>
  <c r="AU186" i="20"/>
  <c r="AV135" i="20"/>
  <c r="AU183" i="20"/>
  <c r="AU184" i="20"/>
  <c r="AU187" i="20"/>
  <c r="AU188" i="20"/>
  <c r="AU185" i="20"/>
  <c r="AU189" i="20"/>
  <c r="AS67" i="20"/>
  <c r="AS68" i="20"/>
  <c r="AT55" i="20"/>
  <c r="AS62" i="20"/>
  <c r="AS66" i="20"/>
  <c r="AS63" i="20"/>
  <c r="AS64" i="20"/>
  <c r="AS65" i="20"/>
  <c r="AS58" i="20"/>
  <c r="AS81" i="20"/>
  <c r="AS83" i="20"/>
  <c r="AS85" i="20"/>
  <c r="AS84" i="20"/>
  <c r="AT73" i="20"/>
  <c r="AU75" i="20" s="1"/>
  <c r="AS86" i="20"/>
  <c r="AS82" i="20"/>
  <c r="AS80" i="20"/>
  <c r="AS76" i="20"/>
  <c r="AW210" i="20"/>
  <c r="AW213" i="20"/>
  <c r="AW215" i="20"/>
  <c r="AW212" i="20"/>
  <c r="AW214" i="20"/>
  <c r="AW209" i="20"/>
  <c r="AW211" i="20"/>
  <c r="AX137" i="20"/>
  <c r="AU133" i="20"/>
  <c r="AU138" i="20" s="1"/>
  <c r="AT157" i="20"/>
  <c r="C153" i="20" s="1"/>
  <c r="AT160" i="20"/>
  <c r="F153" i="20" s="1"/>
  <c r="AT161" i="20"/>
  <c r="G153" i="20" s="1"/>
  <c r="AT163" i="20"/>
  <c r="I153" i="20" s="1"/>
  <c r="AT159" i="20"/>
  <c r="E153" i="20" s="1"/>
  <c r="AT158" i="20"/>
  <c r="D153" i="20" s="1"/>
  <c r="AT162" i="20"/>
  <c r="H153" i="20" s="1"/>
  <c r="AV196" i="20"/>
  <c r="AV197" i="20"/>
  <c r="AV202" i="20"/>
  <c r="AV200" i="20"/>
  <c r="AV198" i="20"/>
  <c r="AV201" i="20"/>
  <c r="AV199" i="20"/>
  <c r="AW136" i="20"/>
  <c r="AT39" i="20"/>
  <c r="AU145" i="20"/>
  <c r="AU146" i="20"/>
  <c r="AU144" i="20"/>
  <c r="AU149" i="20"/>
  <c r="AU150" i="20"/>
  <c r="AU148" i="20"/>
  <c r="AU147" i="20"/>
  <c r="AV132" i="20"/>
  <c r="AS106" i="20"/>
  <c r="AS105" i="20"/>
  <c r="AS104" i="20"/>
  <c r="AT93" i="20"/>
  <c r="AS102" i="20"/>
  <c r="AS103" i="20"/>
  <c r="AS100" i="20"/>
  <c r="AS101" i="20"/>
  <c r="AS96" i="20"/>
  <c r="AT933" i="20"/>
  <c r="AU631" i="20"/>
  <c r="AT920" i="20"/>
  <c r="AU779" i="20"/>
  <c r="AV908" i="20"/>
  <c r="AW573" i="20"/>
  <c r="AT823" i="20"/>
  <c r="AS918" i="20"/>
  <c r="AU945" i="20"/>
  <c r="AV804" i="20"/>
  <c r="BA882" i="20"/>
  <c r="BB407" i="20"/>
  <c r="AU848" i="20"/>
  <c r="AT943" i="20"/>
  <c r="AU834" i="20"/>
  <c r="AT919" i="20"/>
  <c r="AU826" i="20"/>
  <c r="AT941" i="20"/>
  <c r="BF881" i="20"/>
  <c r="BG288" i="20"/>
  <c r="AV801" i="20"/>
  <c r="AU916" i="20"/>
  <c r="BA906" i="20"/>
  <c r="BB313" i="20"/>
  <c r="AU815" i="20"/>
  <c r="AT940" i="20"/>
  <c r="AS917" i="20"/>
  <c r="AT812" i="20"/>
  <c r="BA457" i="20"/>
  <c r="AZ932" i="20"/>
  <c r="AU837" i="20"/>
  <c r="AT942" i="20"/>
  <c r="AS915" i="20"/>
  <c r="AT790" i="20"/>
  <c r="BN427" i="20"/>
  <c r="BN436" i="20"/>
  <c r="BM520" i="20"/>
  <c r="BM519" i="20"/>
  <c r="BM522" i="20"/>
  <c r="BM518" i="20"/>
  <c r="BM521" i="20"/>
  <c r="BM517" i="20"/>
  <c r="BK258" i="20"/>
  <c r="BK257" i="20"/>
  <c r="BK261" i="20"/>
  <c r="BK256" i="20"/>
  <c r="BK259" i="20"/>
  <c r="BK260" i="20"/>
  <c r="BK262" i="20"/>
  <c r="BN338" i="20"/>
  <c r="BN931" i="20" s="1"/>
  <c r="BM931" i="20"/>
  <c r="BN514" i="20"/>
  <c r="BN516" i="20" s="1"/>
  <c r="BN416" i="20"/>
  <c r="BN429" i="20"/>
  <c r="BN390" i="20"/>
  <c r="BN437" i="20"/>
  <c r="BN387" i="20"/>
  <c r="BN468" i="20"/>
  <c r="BN421" i="20"/>
  <c r="BN375" i="20"/>
  <c r="BN460" i="20"/>
  <c r="BK271" i="20"/>
  <c r="BK270" i="20"/>
  <c r="BN447" i="20"/>
  <c r="BN445" i="20"/>
  <c r="BN378" i="20"/>
  <c r="BN446" i="20"/>
  <c r="BN397" i="20"/>
  <c r="BK266" i="20"/>
  <c r="BN385" i="20"/>
  <c r="BN449" i="20"/>
  <c r="BK269" i="20"/>
  <c r="BN415" i="20"/>
  <c r="BN388" i="20"/>
  <c r="BN419" i="20"/>
  <c r="BN417" i="20"/>
  <c r="BN428" i="20"/>
  <c r="BN435" i="20"/>
  <c r="BN379" i="20"/>
  <c r="BN466" i="20"/>
  <c r="BN469" i="20"/>
  <c r="BN450" i="20"/>
  <c r="BN455" i="20"/>
  <c r="BN465" i="20"/>
  <c r="BN380" i="20"/>
  <c r="BN456" i="20"/>
  <c r="BN467" i="20"/>
  <c r="BK268" i="20"/>
  <c r="BN410" i="20"/>
  <c r="BN405" i="20"/>
  <c r="BN396" i="20"/>
  <c r="BN438" i="20"/>
  <c r="BK272" i="20"/>
  <c r="BN391" i="20"/>
  <c r="BN448" i="20"/>
  <c r="BN459" i="20"/>
  <c r="BN458" i="20"/>
  <c r="BN440" i="20"/>
  <c r="BN471" i="20"/>
  <c r="BN406" i="20"/>
  <c r="BN441" i="20"/>
  <c r="BN376" i="20"/>
  <c r="BN408" i="20"/>
  <c r="BN377" i="20"/>
  <c r="BN425" i="20"/>
  <c r="BN411" i="20"/>
  <c r="BN418" i="20"/>
  <c r="BN426" i="20"/>
  <c r="BN461" i="20"/>
  <c r="BN401" i="20"/>
  <c r="BN399" i="20"/>
  <c r="BN389" i="20"/>
  <c r="BN420" i="20"/>
  <c r="BN470" i="20"/>
  <c r="BN430" i="20"/>
  <c r="BN386" i="20"/>
  <c r="BN451" i="20"/>
  <c r="BN400" i="20"/>
  <c r="BN398" i="20"/>
  <c r="BN395" i="20"/>
  <c r="BN439" i="20"/>
  <c r="BN409" i="20"/>
  <c r="BK267" i="20"/>
  <c r="BN381" i="20"/>
  <c r="BK276" i="20"/>
  <c r="BK292" i="20"/>
  <c r="BK280" i="20"/>
  <c r="BK279" i="20"/>
  <c r="BK287" i="20"/>
  <c r="BK278" i="20"/>
  <c r="BK277" i="20"/>
  <c r="BK286" i="20"/>
  <c r="BK291" i="20"/>
  <c r="BK289" i="20"/>
  <c r="BK281" i="20"/>
  <c r="BK282" i="20"/>
  <c r="BK290" i="20"/>
  <c r="BL254" i="20"/>
  <c r="Z590" i="11"/>
  <c r="Z592" i="11" s="1"/>
  <c r="Z407" i="11"/>
  <c r="AU56" i="20" l="1"/>
  <c r="Z413" i="11"/>
  <c r="Z409" i="11"/>
  <c r="AU39" i="20"/>
  <c r="AT105" i="20"/>
  <c r="AT100" i="20"/>
  <c r="AU93" i="20"/>
  <c r="AT104" i="20"/>
  <c r="AT106" i="20"/>
  <c r="AT102" i="20"/>
  <c r="AT103" i="20"/>
  <c r="AT101" i="20"/>
  <c r="AT96" i="20"/>
  <c r="AW201" i="20"/>
  <c r="AW199" i="20"/>
  <c r="AW202" i="20"/>
  <c r="AX136" i="20"/>
  <c r="AW196" i="20"/>
  <c r="AW197" i="20"/>
  <c r="AW200" i="20"/>
  <c r="AW198" i="20"/>
  <c r="AU94" i="20"/>
  <c r="AU163" i="20"/>
  <c r="AU157" i="20"/>
  <c r="AV133" i="20"/>
  <c r="AV138" i="20" s="1"/>
  <c r="AU162" i="20"/>
  <c r="AU160" i="20"/>
  <c r="AU161" i="20"/>
  <c r="AU158" i="20"/>
  <c r="AU159" i="20"/>
  <c r="AT67" i="20"/>
  <c r="AT68" i="20"/>
  <c r="AT62" i="20"/>
  <c r="AT66" i="20"/>
  <c r="AT63" i="20"/>
  <c r="AT64" i="20"/>
  <c r="AT65" i="20"/>
  <c r="AU55" i="20"/>
  <c r="AT58" i="20"/>
  <c r="AX209" i="20"/>
  <c r="AX214" i="20"/>
  <c r="AX212" i="20"/>
  <c r="AX211" i="20"/>
  <c r="AX210" i="20"/>
  <c r="AX215" i="20"/>
  <c r="AX213" i="20"/>
  <c r="AY137" i="20"/>
  <c r="AT84" i="20"/>
  <c r="AT81" i="20"/>
  <c r="AT85" i="20"/>
  <c r="AU73" i="20"/>
  <c r="AT82" i="20"/>
  <c r="AT86" i="20"/>
  <c r="AT83" i="20"/>
  <c r="AT80" i="20"/>
  <c r="AT76" i="20"/>
  <c r="AV188" i="20"/>
  <c r="AV186" i="20"/>
  <c r="AV183" i="20"/>
  <c r="AV187" i="20"/>
  <c r="AW135" i="20"/>
  <c r="AV184" i="20"/>
  <c r="AV185" i="20"/>
  <c r="AV189" i="20"/>
  <c r="AT50" i="20"/>
  <c r="AT47" i="20"/>
  <c r="AT40" i="20"/>
  <c r="AT44" i="20"/>
  <c r="AT48" i="20"/>
  <c r="AT45" i="20"/>
  <c r="AT49" i="20"/>
  <c r="AU37" i="20"/>
  <c r="AT46" i="20"/>
  <c r="AU74" i="20"/>
  <c r="AV144" i="20"/>
  <c r="AV146" i="20"/>
  <c r="AV148" i="20"/>
  <c r="AV150" i="20"/>
  <c r="AV145" i="20"/>
  <c r="AV147" i="20"/>
  <c r="AV149" i="20"/>
  <c r="AW132" i="20"/>
  <c r="AU57" i="20"/>
  <c r="AU95" i="20"/>
  <c r="AV172" i="20"/>
  <c r="AV171" i="20"/>
  <c r="AV176" i="20"/>
  <c r="AV173" i="20"/>
  <c r="AV170" i="20"/>
  <c r="AV175" i="20"/>
  <c r="AV174" i="20"/>
  <c r="AW134" i="20"/>
  <c r="AU38" i="20"/>
  <c r="AV834" i="20"/>
  <c r="AU919" i="20"/>
  <c r="AV945" i="20"/>
  <c r="AW804" i="20"/>
  <c r="AT915" i="20"/>
  <c r="AU790" i="20"/>
  <c r="AT917" i="20"/>
  <c r="AU812" i="20"/>
  <c r="AU823" i="20"/>
  <c r="AT918" i="20"/>
  <c r="AW801" i="20"/>
  <c r="AV916" i="20"/>
  <c r="AV826" i="20"/>
  <c r="AU941" i="20"/>
  <c r="AV848" i="20"/>
  <c r="AU943" i="20"/>
  <c r="AX573" i="20"/>
  <c r="AW908" i="20"/>
  <c r="AV631" i="20"/>
  <c r="AU933" i="20"/>
  <c r="AU920" i="20"/>
  <c r="AV779" i="20"/>
  <c r="AV837" i="20"/>
  <c r="AU942" i="20"/>
  <c r="BA932" i="20"/>
  <c r="BB457" i="20"/>
  <c r="AV815" i="20"/>
  <c r="AU940" i="20"/>
  <c r="BC313" i="20"/>
  <c r="BB906" i="20"/>
  <c r="BG881" i="20"/>
  <c r="BH288" i="20"/>
  <c r="BB882" i="20"/>
  <c r="BC407" i="20"/>
  <c r="BN522" i="20"/>
  <c r="BN517" i="20"/>
  <c r="BN519" i="20"/>
  <c r="BN521" i="20"/>
  <c r="BN520" i="20"/>
  <c r="BN518" i="20"/>
  <c r="BL262" i="20"/>
  <c r="BL261" i="20"/>
  <c r="BL260" i="20"/>
  <c r="BL259" i="20"/>
  <c r="BL257" i="20"/>
  <c r="BL256" i="20"/>
  <c r="BL258" i="20"/>
  <c r="BL272" i="20"/>
  <c r="BL266" i="20"/>
  <c r="BL270" i="20"/>
  <c r="BL268" i="20"/>
  <c r="BL271" i="20"/>
  <c r="BL267" i="20"/>
  <c r="BL269" i="20"/>
  <c r="BL290" i="20"/>
  <c r="BL291" i="20"/>
  <c r="BL281" i="20"/>
  <c r="BL277" i="20"/>
  <c r="BL279" i="20"/>
  <c r="BL280" i="20"/>
  <c r="BL289" i="20"/>
  <c r="BL292" i="20"/>
  <c r="BL287" i="20"/>
  <c r="BL282" i="20"/>
  <c r="BL286" i="20"/>
  <c r="BL278" i="20"/>
  <c r="BL276" i="20"/>
  <c r="BM254" i="20"/>
  <c r="AA590" i="11"/>
  <c r="AA592" i="11" s="1"/>
  <c r="AA407" i="11"/>
  <c r="AA413" i="11" l="1"/>
  <c r="AA409" i="11"/>
  <c r="AV57" i="20"/>
  <c r="AV38" i="20"/>
  <c r="AV74" i="20"/>
  <c r="AV95" i="20"/>
  <c r="AV39" i="20"/>
  <c r="AW173" i="20"/>
  <c r="AX134" i="20"/>
  <c r="AW170" i="20"/>
  <c r="AW175" i="20"/>
  <c r="AW174" i="20"/>
  <c r="AW176" i="20"/>
  <c r="AW172" i="20"/>
  <c r="AW171" i="20"/>
  <c r="AU82" i="20"/>
  <c r="AV73" i="20"/>
  <c r="AU86" i="20"/>
  <c r="AU80" i="20"/>
  <c r="AU81" i="20"/>
  <c r="AU83" i="20"/>
  <c r="AU85" i="20"/>
  <c r="AU84" i="20"/>
  <c r="AU76" i="20"/>
  <c r="AY211" i="20"/>
  <c r="AY212" i="20"/>
  <c r="AY215" i="20"/>
  <c r="AY213" i="20"/>
  <c r="AY210" i="20"/>
  <c r="AY209" i="20"/>
  <c r="AY214" i="20"/>
  <c r="AZ137" i="20"/>
  <c r="AW145" i="20"/>
  <c r="AX132" i="20"/>
  <c r="AW146" i="20"/>
  <c r="AW147" i="20"/>
  <c r="AW150" i="20"/>
  <c r="AW144" i="20"/>
  <c r="AW148" i="20"/>
  <c r="AW149" i="20"/>
  <c r="AU67" i="20"/>
  <c r="AU65" i="20"/>
  <c r="AV55" i="20"/>
  <c r="AU63" i="20"/>
  <c r="AU66" i="20"/>
  <c r="AU64" i="20"/>
  <c r="AU62" i="20"/>
  <c r="AU58" i="20"/>
  <c r="AU68" i="20"/>
  <c r="AV94" i="20"/>
  <c r="AU105" i="20"/>
  <c r="AV93" i="20"/>
  <c r="AU103" i="20"/>
  <c r="AU100" i="20"/>
  <c r="AU106" i="20"/>
  <c r="AU104" i="20"/>
  <c r="AU101" i="20"/>
  <c r="AU102" i="20"/>
  <c r="AU96" i="20"/>
  <c r="AW185" i="20"/>
  <c r="AW186" i="20"/>
  <c r="AW187" i="20"/>
  <c r="AW189" i="20"/>
  <c r="AW184" i="20"/>
  <c r="AX135" i="20"/>
  <c r="AW188" i="20"/>
  <c r="AW183" i="20"/>
  <c r="AV162" i="20"/>
  <c r="AW133" i="20"/>
  <c r="AW138" i="20" s="1"/>
  <c r="AV157" i="20"/>
  <c r="AV163" i="20"/>
  <c r="AV158" i="20"/>
  <c r="AV159" i="20"/>
  <c r="AV160" i="20"/>
  <c r="AV161" i="20"/>
  <c r="AX202" i="20"/>
  <c r="AX200" i="20"/>
  <c r="AX197" i="20"/>
  <c r="AX201" i="20"/>
  <c r="AX199" i="20"/>
  <c r="AY136" i="20"/>
  <c r="AX198" i="20"/>
  <c r="AX196" i="20"/>
  <c r="AV75" i="20"/>
  <c r="AV56" i="20"/>
  <c r="AU45" i="20"/>
  <c r="AU49" i="20"/>
  <c r="AU46" i="20"/>
  <c r="AU47" i="20"/>
  <c r="AU40" i="20"/>
  <c r="AU44" i="20"/>
  <c r="AU48" i="20"/>
  <c r="AU50" i="20"/>
  <c r="AV37" i="20"/>
  <c r="BC882" i="20"/>
  <c r="BD407" i="20"/>
  <c r="BB932" i="20"/>
  <c r="BC457" i="20"/>
  <c r="AV790" i="20"/>
  <c r="AU915" i="20"/>
  <c r="BC906" i="20"/>
  <c r="BD313" i="20"/>
  <c r="AV943" i="20"/>
  <c r="AW848" i="20"/>
  <c r="AW916" i="20"/>
  <c r="AX801" i="20"/>
  <c r="AV823" i="20"/>
  <c r="AU918" i="20"/>
  <c r="AW631" i="20"/>
  <c r="AV933" i="20"/>
  <c r="BH881" i="20"/>
  <c r="BI288" i="20"/>
  <c r="AX908" i="20"/>
  <c r="AY573" i="20"/>
  <c r="AU917" i="20"/>
  <c r="AV812" i="20"/>
  <c r="AW945" i="20"/>
  <c r="AX804" i="20"/>
  <c r="AW834" i="20"/>
  <c r="AV919" i="20"/>
  <c r="AV920" i="20"/>
  <c r="AW779" i="20"/>
  <c r="AV940" i="20"/>
  <c r="AW815" i="20"/>
  <c r="AV942" i="20"/>
  <c r="AW837" i="20"/>
  <c r="AV941" i="20"/>
  <c r="AW826" i="20"/>
  <c r="BM257" i="20"/>
  <c r="BM262" i="20"/>
  <c r="BM258" i="20"/>
  <c r="BM260" i="20"/>
  <c r="BM259" i="20"/>
  <c r="BM256" i="20"/>
  <c r="BM261" i="20"/>
  <c r="BM269" i="20"/>
  <c r="BM267" i="20"/>
  <c r="BM271" i="20"/>
  <c r="BM270" i="20"/>
  <c r="BM266" i="20"/>
  <c r="BM272" i="20"/>
  <c r="BM268" i="20"/>
  <c r="BM278" i="20"/>
  <c r="BM292" i="20"/>
  <c r="BM276" i="20"/>
  <c r="BM282" i="20"/>
  <c r="BM291" i="20"/>
  <c r="BM287" i="20"/>
  <c r="BM280" i="20"/>
  <c r="BM279" i="20"/>
  <c r="BM281" i="20"/>
  <c r="BM289" i="20"/>
  <c r="BM277" i="20"/>
  <c r="BM286" i="20"/>
  <c r="BM290" i="20"/>
  <c r="BN254" i="20"/>
  <c r="AB590" i="11"/>
  <c r="AB407" i="11"/>
  <c r="AW75" i="20" l="1"/>
  <c r="AW38" i="20"/>
  <c r="AW56" i="20"/>
  <c r="AW94" i="20"/>
  <c r="AV46" i="20"/>
  <c r="AV45" i="20"/>
  <c r="AV47" i="20"/>
  <c r="AV49" i="20"/>
  <c r="AV50" i="20"/>
  <c r="AV40" i="20"/>
  <c r="AV44" i="20"/>
  <c r="AV48" i="20"/>
  <c r="AW37" i="20"/>
  <c r="AW57" i="20"/>
  <c r="AW95" i="20"/>
  <c r="AV106" i="20"/>
  <c r="AW93" i="20"/>
  <c r="AV104" i="20"/>
  <c r="AV102" i="20"/>
  <c r="AV100" i="20"/>
  <c r="AV103" i="20"/>
  <c r="AV105" i="20"/>
  <c r="AV101" i="20"/>
  <c r="AV96" i="20"/>
  <c r="AW74" i="20"/>
  <c r="AX144" i="20"/>
  <c r="AX150" i="20"/>
  <c r="AX148" i="20"/>
  <c r="AX147" i="20"/>
  <c r="AX145" i="20"/>
  <c r="AX146" i="20"/>
  <c r="AX149" i="20"/>
  <c r="AY132" i="20"/>
  <c r="AV62" i="20"/>
  <c r="AV66" i="20"/>
  <c r="AV58" i="20"/>
  <c r="AV63" i="20"/>
  <c r="AV64" i="20"/>
  <c r="AV68" i="20"/>
  <c r="AV65" i="20"/>
  <c r="AW55" i="20"/>
  <c r="AV67" i="20"/>
  <c r="AY201" i="20"/>
  <c r="AZ136" i="20"/>
  <c r="AY196" i="20"/>
  <c r="AY198" i="20"/>
  <c r="AY200" i="20"/>
  <c r="AY202" i="20"/>
  <c r="AY197" i="20"/>
  <c r="AY199" i="20"/>
  <c r="AW157" i="20"/>
  <c r="AX133" i="20"/>
  <c r="AW162" i="20"/>
  <c r="AW161" i="20"/>
  <c r="AW159" i="20"/>
  <c r="AW163" i="20"/>
  <c r="AW160" i="20"/>
  <c r="AW158" i="20"/>
  <c r="AX185" i="20"/>
  <c r="AX183" i="20"/>
  <c r="AX189" i="20"/>
  <c r="AY135" i="20"/>
  <c r="AX184" i="20"/>
  <c r="AX186" i="20"/>
  <c r="AX188" i="20"/>
  <c r="AX187" i="20"/>
  <c r="AW39" i="20"/>
  <c r="AV83" i="20"/>
  <c r="AW73" i="20"/>
  <c r="AV80" i="20"/>
  <c r="AV81" i="20"/>
  <c r="AV84" i="20"/>
  <c r="AV85" i="20"/>
  <c r="AV86" i="20"/>
  <c r="AV82" i="20"/>
  <c r="AV76" i="20"/>
  <c r="AX173" i="20"/>
  <c r="AX175" i="20"/>
  <c r="AX170" i="20"/>
  <c r="AY134" i="20"/>
  <c r="AX172" i="20"/>
  <c r="AX174" i="20"/>
  <c r="AX176" i="20"/>
  <c r="AX171" i="20"/>
  <c r="BA137" i="20"/>
  <c r="AZ212" i="20"/>
  <c r="AZ209" i="20"/>
  <c r="AZ213" i="20"/>
  <c r="AZ210" i="20"/>
  <c r="AZ211" i="20"/>
  <c r="AZ214" i="20"/>
  <c r="AZ215" i="20"/>
  <c r="AX848" i="20"/>
  <c r="AW943" i="20"/>
  <c r="BC932" i="20"/>
  <c r="BD457" i="20"/>
  <c r="AX826" i="20"/>
  <c r="AW941" i="20"/>
  <c r="AX815" i="20"/>
  <c r="AW940" i="20"/>
  <c r="AV917" i="20"/>
  <c r="AW812" i="20"/>
  <c r="AV918" i="20"/>
  <c r="AW823" i="20"/>
  <c r="AZ573" i="20"/>
  <c r="AY908" i="20"/>
  <c r="AX834" i="20"/>
  <c r="AW919" i="20"/>
  <c r="AY801" i="20"/>
  <c r="AX916" i="20"/>
  <c r="AV915" i="20"/>
  <c r="AW790" i="20"/>
  <c r="BD882" i="20"/>
  <c r="BE407" i="20"/>
  <c r="AX837" i="20"/>
  <c r="AW942" i="20"/>
  <c r="AW920" i="20"/>
  <c r="AX779" i="20"/>
  <c r="AX945" i="20"/>
  <c r="AY804" i="20"/>
  <c r="BI881" i="20"/>
  <c r="BJ288" i="20"/>
  <c r="AW933" i="20"/>
  <c r="AX631" i="20"/>
  <c r="BE313" i="20"/>
  <c r="BD906" i="20"/>
  <c r="BN258" i="20"/>
  <c r="BN256" i="20"/>
  <c r="BN262" i="20"/>
  <c r="BN260" i="20"/>
  <c r="BN257" i="20"/>
  <c r="BN261" i="20"/>
  <c r="BN259" i="20"/>
  <c r="BN266" i="20"/>
  <c r="BN270" i="20"/>
  <c r="BN268" i="20"/>
  <c r="BN271" i="20"/>
  <c r="BN269" i="20"/>
  <c r="BN272" i="20"/>
  <c r="BN267" i="20"/>
  <c r="BN292" i="20"/>
  <c r="BN290" i="20"/>
  <c r="BN286" i="20"/>
  <c r="BN278" i="20"/>
  <c r="BN279" i="20"/>
  <c r="BN287" i="20"/>
  <c r="BN276" i="20"/>
  <c r="BN291" i="20"/>
  <c r="BN277" i="20"/>
  <c r="BN289" i="20"/>
  <c r="BN281" i="20"/>
  <c r="BN280" i="20"/>
  <c r="BN282" i="20"/>
  <c r="AC590" i="11"/>
  <c r="AC407" i="11"/>
  <c r="AX94" i="20" l="1"/>
  <c r="AX75" i="20"/>
  <c r="AX95" i="20"/>
  <c r="AX39" i="20"/>
  <c r="AY170" i="20"/>
  <c r="AY171" i="20"/>
  <c r="AY174" i="20"/>
  <c r="AY175" i="20"/>
  <c r="AZ134" i="20"/>
  <c r="AY172" i="20"/>
  <c r="AY173" i="20"/>
  <c r="AY176" i="20"/>
  <c r="AX159" i="20"/>
  <c r="AY133" i="20"/>
  <c r="AX158" i="20"/>
  <c r="AX160" i="20"/>
  <c r="AX161" i="20"/>
  <c r="AX157" i="20"/>
  <c r="AX163" i="20"/>
  <c r="AX162" i="20"/>
  <c r="AZ201" i="20"/>
  <c r="AZ196" i="20"/>
  <c r="AZ199" i="20"/>
  <c r="AZ197" i="20"/>
  <c r="AZ200" i="20"/>
  <c r="BA136" i="20"/>
  <c r="AZ202" i="20"/>
  <c r="AZ198" i="20"/>
  <c r="AW65" i="20"/>
  <c r="AW62" i="20"/>
  <c r="AW58" i="20"/>
  <c r="AW63" i="20"/>
  <c r="AW64" i="20"/>
  <c r="AW68" i="20"/>
  <c r="AX55" i="20"/>
  <c r="AW66" i="20"/>
  <c r="AW67" i="20"/>
  <c r="AX56" i="20"/>
  <c r="BA213" i="20"/>
  <c r="BA214" i="20"/>
  <c r="BA211" i="20"/>
  <c r="BA210" i="20"/>
  <c r="BA215" i="20"/>
  <c r="BA209" i="20"/>
  <c r="BB137" i="20"/>
  <c r="BA212" i="20"/>
  <c r="AX138" i="20"/>
  <c r="AX57" i="20"/>
  <c r="AW81" i="20"/>
  <c r="AW85" i="20"/>
  <c r="AW86" i="20"/>
  <c r="AW82" i="20"/>
  <c r="AW83" i="20"/>
  <c r="AW80" i="20"/>
  <c r="AX73" i="20"/>
  <c r="AW84" i="20"/>
  <c r="AW76" i="20"/>
  <c r="AY183" i="20"/>
  <c r="AY188" i="20"/>
  <c r="AY187" i="20"/>
  <c r="AY185" i="20"/>
  <c r="AY186" i="20"/>
  <c r="AY189" i="20"/>
  <c r="AZ135" i="20"/>
  <c r="AY184" i="20"/>
  <c r="AX38" i="20"/>
  <c r="AY148" i="20"/>
  <c r="AY144" i="20"/>
  <c r="AY149" i="20"/>
  <c r="AY147" i="20"/>
  <c r="AY145" i="20"/>
  <c r="AY150" i="20"/>
  <c r="AY146" i="20"/>
  <c r="AZ132" i="20"/>
  <c r="AY138" i="20"/>
  <c r="AX74" i="20"/>
  <c r="AW104" i="20"/>
  <c r="AW103" i="20"/>
  <c r="AX93" i="20"/>
  <c r="AW105" i="20"/>
  <c r="AW100" i="20"/>
  <c r="AW102" i="20"/>
  <c r="AW101" i="20"/>
  <c r="AW106" i="20"/>
  <c r="AW96" i="20"/>
  <c r="AW48" i="20"/>
  <c r="AW45" i="20"/>
  <c r="AX37" i="20"/>
  <c r="AW49" i="20"/>
  <c r="AW50" i="20"/>
  <c r="AW46" i="20"/>
  <c r="AW47" i="20"/>
  <c r="AW44" i="20"/>
  <c r="AW40" i="20"/>
  <c r="AY945" i="20"/>
  <c r="AZ804" i="20"/>
  <c r="AX790" i="20"/>
  <c r="AW915" i="20"/>
  <c r="AW917" i="20"/>
  <c r="AX812" i="20"/>
  <c r="BJ881" i="20"/>
  <c r="BK288" i="20"/>
  <c r="AY837" i="20"/>
  <c r="AX942" i="20"/>
  <c r="AY826" i="20"/>
  <c r="AX941" i="20"/>
  <c r="AY848" i="20"/>
  <c r="AX943" i="20"/>
  <c r="AZ908" i="20"/>
  <c r="BA573" i="20"/>
  <c r="BF313" i="20"/>
  <c r="BE906" i="20"/>
  <c r="AX920" i="20"/>
  <c r="AY779" i="20"/>
  <c r="BE882" i="20"/>
  <c r="BF407" i="20"/>
  <c r="AY834" i="20"/>
  <c r="AX919" i="20"/>
  <c r="AX823" i="20"/>
  <c r="AW918" i="20"/>
  <c r="BD932" i="20"/>
  <c r="BE457" i="20"/>
  <c r="AY631" i="20"/>
  <c r="AX933" i="20"/>
  <c r="AY916" i="20"/>
  <c r="AZ801" i="20"/>
  <c r="AY815" i="20"/>
  <c r="AX940" i="20"/>
  <c r="AD590" i="11"/>
  <c r="AD407" i="11"/>
  <c r="AY95" i="20" l="1"/>
  <c r="AY57" i="20"/>
  <c r="AY75" i="20"/>
  <c r="AY38" i="20"/>
  <c r="AX40" i="20"/>
  <c r="AX45" i="20"/>
  <c r="AY37" i="20"/>
  <c r="AX46" i="20"/>
  <c r="AX50" i="20"/>
  <c r="AX47" i="20"/>
  <c r="AX44" i="20"/>
  <c r="AX48" i="20"/>
  <c r="AX49" i="20"/>
  <c r="AY74" i="20"/>
  <c r="AZ185" i="20"/>
  <c r="AZ188" i="20"/>
  <c r="BA135" i="20"/>
  <c r="AZ187" i="20"/>
  <c r="AZ189" i="20"/>
  <c r="AZ186" i="20"/>
  <c r="AZ184" i="20"/>
  <c r="AZ183" i="20"/>
  <c r="AX67" i="20"/>
  <c r="AY55" i="20"/>
  <c r="AX64" i="20"/>
  <c r="AX66" i="20"/>
  <c r="AX63" i="20"/>
  <c r="AX65" i="20"/>
  <c r="AX62" i="20"/>
  <c r="AX58" i="20"/>
  <c r="AX68" i="20"/>
  <c r="AX106" i="20"/>
  <c r="AX100" i="20"/>
  <c r="AX101" i="20"/>
  <c r="AX103" i="20"/>
  <c r="AX105" i="20"/>
  <c r="AX104" i="20"/>
  <c r="AX102" i="20"/>
  <c r="AY93" i="20"/>
  <c r="AX96" i="20"/>
  <c r="AX84" i="20"/>
  <c r="AX85" i="20"/>
  <c r="AX82" i="20"/>
  <c r="AY73" i="20"/>
  <c r="AX86" i="20"/>
  <c r="AX81" i="20"/>
  <c r="AX80" i="20"/>
  <c r="AX83" i="20"/>
  <c r="AX76" i="20"/>
  <c r="BB215" i="20"/>
  <c r="BB213" i="20"/>
  <c r="BB211" i="20"/>
  <c r="BB210" i="20"/>
  <c r="BB209" i="20"/>
  <c r="BB214" i="20"/>
  <c r="BB212" i="20"/>
  <c r="BC137" i="20"/>
  <c r="AY56" i="20"/>
  <c r="BA197" i="20"/>
  <c r="BA200" i="20"/>
  <c r="BB136" i="20"/>
  <c r="BA201" i="20"/>
  <c r="BA198" i="20"/>
  <c r="BA199" i="20"/>
  <c r="BA202" i="20"/>
  <c r="BA196" i="20"/>
  <c r="AY157" i="20"/>
  <c r="AY163" i="20"/>
  <c r="AY160" i="20"/>
  <c r="AY162" i="20"/>
  <c r="AZ133" i="20"/>
  <c r="AY158" i="20"/>
  <c r="AY159" i="20"/>
  <c r="AY161" i="20"/>
  <c r="AZ147" i="20"/>
  <c r="AZ149" i="20"/>
  <c r="AZ144" i="20"/>
  <c r="AZ150" i="20"/>
  <c r="AZ148" i="20"/>
  <c r="AZ146" i="20"/>
  <c r="AZ145" i="20"/>
  <c r="BA132" i="20"/>
  <c r="AZ138" i="20"/>
  <c r="AY94" i="20"/>
  <c r="AY39" i="20"/>
  <c r="AZ173" i="20"/>
  <c r="AZ176" i="20"/>
  <c r="AZ171" i="20"/>
  <c r="AZ174" i="20"/>
  <c r="AZ175" i="20"/>
  <c r="BA134" i="20"/>
  <c r="AZ172" i="20"/>
  <c r="AZ170" i="20"/>
  <c r="BA801" i="20"/>
  <c r="AZ916" i="20"/>
  <c r="AY933" i="20"/>
  <c r="AZ631" i="20"/>
  <c r="BF882" i="20"/>
  <c r="BG407" i="20"/>
  <c r="AY941" i="20"/>
  <c r="AZ826" i="20"/>
  <c r="AY823" i="20"/>
  <c r="AX918" i="20"/>
  <c r="BG313" i="20"/>
  <c r="BF906" i="20"/>
  <c r="AX917" i="20"/>
  <c r="AY812" i="20"/>
  <c r="AX915" i="20"/>
  <c r="AY790" i="20"/>
  <c r="AZ815" i="20"/>
  <c r="AY940" i="20"/>
  <c r="BE932" i="20"/>
  <c r="BF457" i="20"/>
  <c r="AY920" i="20"/>
  <c r="AZ779" i="20"/>
  <c r="AY943" i="20"/>
  <c r="AZ848" i="20"/>
  <c r="AY942" i="20"/>
  <c r="AZ837" i="20"/>
  <c r="AZ945" i="20"/>
  <c r="BA804" i="20"/>
  <c r="AZ834" i="20"/>
  <c r="AY919" i="20"/>
  <c r="BB573" i="20"/>
  <c r="BA908" i="20"/>
  <c r="BK881" i="20"/>
  <c r="BL288" i="20"/>
  <c r="AE590" i="11"/>
  <c r="AE407" i="11"/>
  <c r="AZ56" i="20" l="1"/>
  <c r="AZ94" i="20"/>
  <c r="AZ39" i="20"/>
  <c r="AZ38" i="20"/>
  <c r="BB199" i="20"/>
  <c r="BC136" i="20"/>
  <c r="BB196" i="20"/>
  <c r="BB200" i="20"/>
  <c r="BB197" i="20"/>
  <c r="BB198" i="20"/>
  <c r="BB201" i="20"/>
  <c r="BB202" i="20"/>
  <c r="BD137" i="20"/>
  <c r="BC209" i="20"/>
  <c r="BC211" i="20"/>
  <c r="BC213" i="20"/>
  <c r="BC215" i="20"/>
  <c r="BC214" i="20"/>
  <c r="BC212" i="20"/>
  <c r="BC210" i="20"/>
  <c r="AZ57" i="20"/>
  <c r="AZ74" i="20"/>
  <c r="BA176" i="20"/>
  <c r="BA170" i="20"/>
  <c r="BA173" i="20"/>
  <c r="BA174" i="20"/>
  <c r="BA171" i="20"/>
  <c r="BB134" i="20"/>
  <c r="BA175" i="20"/>
  <c r="BA172" i="20"/>
  <c r="BA185" i="20"/>
  <c r="BB135" i="20"/>
  <c r="BA189" i="20"/>
  <c r="BA183" i="20"/>
  <c r="BA188" i="20"/>
  <c r="BA186" i="20"/>
  <c r="BA187" i="20"/>
  <c r="BA184" i="20"/>
  <c r="AZ163" i="20"/>
  <c r="AZ160" i="20"/>
  <c r="AZ157" i="20"/>
  <c r="AZ161" i="20"/>
  <c r="BA133" i="20"/>
  <c r="BA138" i="20" s="1"/>
  <c r="AZ162" i="20"/>
  <c r="AZ159" i="20"/>
  <c r="AZ158" i="20"/>
  <c r="AZ73" i="20"/>
  <c r="AY86" i="20"/>
  <c r="AY83" i="20"/>
  <c r="AY82" i="20"/>
  <c r="AY80" i="20"/>
  <c r="AY81" i="20"/>
  <c r="AY84" i="20"/>
  <c r="AY85" i="20"/>
  <c r="AY76" i="20"/>
  <c r="AY65" i="20"/>
  <c r="AY66" i="20"/>
  <c r="AY63" i="20"/>
  <c r="AY64" i="20"/>
  <c r="AY68" i="20"/>
  <c r="AZ55" i="20"/>
  <c r="BA56" i="20" s="1"/>
  <c r="AY62" i="20"/>
  <c r="AY58" i="20"/>
  <c r="AY67" i="20"/>
  <c r="AZ75" i="20"/>
  <c r="BA144" i="20"/>
  <c r="BA146" i="20"/>
  <c r="BA150" i="20"/>
  <c r="BA148" i="20"/>
  <c r="BA145" i="20"/>
  <c r="BB132" i="20"/>
  <c r="BA149" i="20"/>
  <c r="BA147" i="20"/>
  <c r="AY105" i="20"/>
  <c r="AY106" i="20"/>
  <c r="AY101" i="20"/>
  <c r="AY100" i="20"/>
  <c r="AZ93" i="20"/>
  <c r="AY102" i="20"/>
  <c r="AY103" i="20"/>
  <c r="AY104" i="20"/>
  <c r="AY96" i="20"/>
  <c r="AY40" i="20"/>
  <c r="AY50" i="20"/>
  <c r="AY45" i="20"/>
  <c r="AY46" i="20"/>
  <c r="AY47" i="20"/>
  <c r="AY44" i="20"/>
  <c r="AY48" i="20"/>
  <c r="AY49" i="20"/>
  <c r="AZ37" i="20"/>
  <c r="AZ95" i="20"/>
  <c r="BB908" i="20"/>
  <c r="BC573" i="20"/>
  <c r="BA815" i="20"/>
  <c r="AZ940" i="20"/>
  <c r="AY918" i="20"/>
  <c r="AZ823" i="20"/>
  <c r="BL881" i="20"/>
  <c r="BM288" i="20"/>
  <c r="BA837" i="20"/>
  <c r="AZ942" i="20"/>
  <c r="AZ920" i="20"/>
  <c r="BA779" i="20"/>
  <c r="AZ790" i="20"/>
  <c r="AY915" i="20"/>
  <c r="BG882" i="20"/>
  <c r="BH407" i="20"/>
  <c r="BA834" i="20"/>
  <c r="AZ919" i="20"/>
  <c r="BG906" i="20"/>
  <c r="BH313" i="20"/>
  <c r="BA826" i="20"/>
  <c r="AZ941" i="20"/>
  <c r="BA916" i="20"/>
  <c r="BB801" i="20"/>
  <c r="BA945" i="20"/>
  <c r="BB804" i="20"/>
  <c r="BA848" i="20"/>
  <c r="AZ943" i="20"/>
  <c r="BF932" i="20"/>
  <c r="BG457" i="20"/>
  <c r="AY917" i="20"/>
  <c r="AZ812" i="20"/>
  <c r="BA631" i="20"/>
  <c r="AZ933" i="20"/>
  <c r="AF590" i="11"/>
  <c r="AF407" i="11"/>
  <c r="BA75" i="20" l="1"/>
  <c r="AZ47" i="20"/>
  <c r="BA37" i="20"/>
  <c r="AZ49" i="20"/>
  <c r="AZ45" i="20"/>
  <c r="AZ44" i="20"/>
  <c r="AZ48" i="20"/>
  <c r="AZ40" i="20"/>
  <c r="AZ46" i="20"/>
  <c r="AZ50" i="20"/>
  <c r="BA39" i="20"/>
  <c r="BA38" i="20"/>
  <c r="AZ102" i="20"/>
  <c r="AZ106" i="20"/>
  <c r="AZ100" i="20"/>
  <c r="AZ103" i="20"/>
  <c r="AZ101" i="20"/>
  <c r="AZ105" i="20"/>
  <c r="AZ104" i="20"/>
  <c r="BA93" i="20"/>
  <c r="AZ96" i="20"/>
  <c r="AZ62" i="20"/>
  <c r="AZ66" i="20"/>
  <c r="AZ58" i="20"/>
  <c r="AZ67" i="20"/>
  <c r="AZ68" i="20"/>
  <c r="AZ65" i="20"/>
  <c r="BA55" i="20"/>
  <c r="AZ63" i="20"/>
  <c r="AZ64" i="20"/>
  <c r="BA74" i="20"/>
  <c r="BC196" i="20"/>
  <c r="BC200" i="20"/>
  <c r="BC199" i="20"/>
  <c r="BC197" i="20"/>
  <c r="BC201" i="20"/>
  <c r="BD136" i="20"/>
  <c r="BC198" i="20"/>
  <c r="BC202" i="20"/>
  <c r="BB147" i="20"/>
  <c r="BB148" i="20"/>
  <c r="BB145" i="20"/>
  <c r="BC132" i="20"/>
  <c r="BB144" i="20"/>
  <c r="BB150" i="20"/>
  <c r="BB149" i="20"/>
  <c r="BB146" i="20"/>
  <c r="BB184" i="20"/>
  <c r="BB189" i="20"/>
  <c r="BB188" i="20"/>
  <c r="BC135" i="20"/>
  <c r="BB186" i="20"/>
  <c r="BB185" i="20"/>
  <c r="BB187" i="20"/>
  <c r="BB183" i="20"/>
  <c r="BA57" i="20"/>
  <c r="BB57" i="20" s="1"/>
  <c r="BD213" i="20"/>
  <c r="BD211" i="20"/>
  <c r="BD215" i="20"/>
  <c r="BD212" i="20"/>
  <c r="BD209" i="20"/>
  <c r="BD214" i="20"/>
  <c r="BE137" i="20"/>
  <c r="BD210" i="20"/>
  <c r="BA95" i="20"/>
  <c r="AZ85" i="20"/>
  <c r="AZ86" i="20"/>
  <c r="AZ81" i="20"/>
  <c r="AZ80" i="20"/>
  <c r="AZ82" i="20"/>
  <c r="AZ83" i="20"/>
  <c r="AZ84" i="20"/>
  <c r="BA73" i="20"/>
  <c r="AZ76" i="20"/>
  <c r="BA159" i="20"/>
  <c r="BA163" i="20"/>
  <c r="BA161" i="20"/>
  <c r="BB133" i="20"/>
  <c r="BA158" i="20"/>
  <c r="BA157" i="20"/>
  <c r="BA162" i="20"/>
  <c r="BA160" i="20"/>
  <c r="BB172" i="20"/>
  <c r="BB170" i="20"/>
  <c r="BB176" i="20"/>
  <c r="BB174" i="20"/>
  <c r="BC134" i="20"/>
  <c r="BB173" i="20"/>
  <c r="BB175" i="20"/>
  <c r="BB171" i="20"/>
  <c r="BA94" i="20"/>
  <c r="BA943" i="20"/>
  <c r="BB848" i="20"/>
  <c r="BA942" i="20"/>
  <c r="BB837" i="20"/>
  <c r="BD573" i="20"/>
  <c r="BC908" i="20"/>
  <c r="BG932" i="20"/>
  <c r="BH457" i="20"/>
  <c r="BB945" i="20"/>
  <c r="BC804" i="20"/>
  <c r="BA920" i="20"/>
  <c r="BB779" i="20"/>
  <c r="BM881" i="20"/>
  <c r="BN288" i="20"/>
  <c r="BN881" i="20" s="1"/>
  <c r="BA933" i="20"/>
  <c r="BB631" i="20"/>
  <c r="BA941" i="20"/>
  <c r="BB826" i="20"/>
  <c r="BA919" i="20"/>
  <c r="BB834" i="20"/>
  <c r="BB815" i="20"/>
  <c r="BA940" i="20"/>
  <c r="AZ917" i="20"/>
  <c r="BA812" i="20"/>
  <c r="BC801" i="20"/>
  <c r="BB916" i="20"/>
  <c r="BI313" i="20"/>
  <c r="BH906" i="20"/>
  <c r="BH882" i="20"/>
  <c r="BI407" i="20"/>
  <c r="BA790" i="20"/>
  <c r="AZ915" i="20"/>
  <c r="BA823" i="20"/>
  <c r="AZ918" i="20"/>
  <c r="AG590" i="11"/>
  <c r="AG407" i="11"/>
  <c r="BB94" i="20" l="1"/>
  <c r="BB39" i="20"/>
  <c r="BB161" i="20"/>
  <c r="BB158" i="20"/>
  <c r="BB159" i="20"/>
  <c r="BB162" i="20"/>
  <c r="BC133" i="20"/>
  <c r="BC138" i="20" s="1"/>
  <c r="BB163" i="20"/>
  <c r="BB157" i="20"/>
  <c r="BB160" i="20"/>
  <c r="BC146" i="20"/>
  <c r="BC150" i="20"/>
  <c r="BC148" i="20"/>
  <c r="BC145" i="20"/>
  <c r="BD132" i="20"/>
  <c r="BC147" i="20"/>
  <c r="BC149" i="20"/>
  <c r="BC144" i="20"/>
  <c r="BB56" i="20"/>
  <c r="BA62" i="20"/>
  <c r="BA66" i="20"/>
  <c r="BA58" i="20"/>
  <c r="BA68" i="20"/>
  <c r="BA64" i="20"/>
  <c r="BB55" i="20"/>
  <c r="BA65" i="20"/>
  <c r="BA63" i="20"/>
  <c r="BA67" i="20"/>
  <c r="BA86" i="20"/>
  <c r="BA85" i="20"/>
  <c r="BA80" i="20"/>
  <c r="BA83" i="20"/>
  <c r="BA84" i="20"/>
  <c r="BA82" i="20"/>
  <c r="BA81" i="20"/>
  <c r="BB73" i="20"/>
  <c r="BA76" i="20"/>
  <c r="BB95" i="20"/>
  <c r="BB74" i="20"/>
  <c r="BA104" i="20"/>
  <c r="BA105" i="20"/>
  <c r="BA106" i="20"/>
  <c r="BA101" i="20"/>
  <c r="BA100" i="20"/>
  <c r="BA102" i="20"/>
  <c r="BA103" i="20"/>
  <c r="BB93" i="20"/>
  <c r="BA96" i="20"/>
  <c r="BB38" i="20"/>
  <c r="BA45" i="20"/>
  <c r="BA49" i="20"/>
  <c r="BB37" i="20"/>
  <c r="BA46" i="20"/>
  <c r="BA44" i="20"/>
  <c r="BA48" i="20"/>
  <c r="BA40" i="20"/>
  <c r="BA50" i="20"/>
  <c r="BA47" i="20"/>
  <c r="BC171" i="20"/>
  <c r="BC173" i="20"/>
  <c r="BC174" i="20"/>
  <c r="BD134" i="20"/>
  <c r="BC175" i="20"/>
  <c r="BC176" i="20"/>
  <c r="BC172" i="20"/>
  <c r="BC170" i="20"/>
  <c r="BE214" i="20"/>
  <c r="BE210" i="20"/>
  <c r="BE212" i="20"/>
  <c r="BE215" i="20"/>
  <c r="BE209" i="20"/>
  <c r="BF137" i="20"/>
  <c r="BE211" i="20"/>
  <c r="BE213" i="20"/>
  <c r="BC185" i="20"/>
  <c r="BC189" i="20"/>
  <c r="BC183" i="20"/>
  <c r="BC184" i="20"/>
  <c r="BC187" i="20"/>
  <c r="BD135" i="20"/>
  <c r="BC188" i="20"/>
  <c r="BC186" i="20"/>
  <c r="BB138" i="20"/>
  <c r="BD202" i="20"/>
  <c r="BD200" i="20"/>
  <c r="BD196" i="20"/>
  <c r="BD201" i="20"/>
  <c r="BE136" i="20"/>
  <c r="BD198" i="20"/>
  <c r="BD199" i="20"/>
  <c r="BD197" i="20"/>
  <c r="BB75" i="20"/>
  <c r="BB790" i="20"/>
  <c r="BA915" i="20"/>
  <c r="BA917" i="20"/>
  <c r="BB812" i="20"/>
  <c r="BC815" i="20"/>
  <c r="BB940" i="20"/>
  <c r="BE573" i="20"/>
  <c r="BD908" i="20"/>
  <c r="BI906" i="20"/>
  <c r="BJ313" i="20"/>
  <c r="BC834" i="20"/>
  <c r="BB919" i="20"/>
  <c r="BC631" i="20"/>
  <c r="BB933" i="20"/>
  <c r="BB920" i="20"/>
  <c r="BC779" i="20"/>
  <c r="BH932" i="20"/>
  <c r="BI457" i="20"/>
  <c r="BC848" i="20"/>
  <c r="BB943" i="20"/>
  <c r="BA918" i="20"/>
  <c r="BB823" i="20"/>
  <c r="BI882" i="20"/>
  <c r="BJ407" i="20"/>
  <c r="BC837" i="20"/>
  <c r="BB942" i="20"/>
  <c r="BC916" i="20"/>
  <c r="BD801" i="20"/>
  <c r="BC826" i="20"/>
  <c r="BB941" i="20"/>
  <c r="BC945" i="20"/>
  <c r="BD804" i="20"/>
  <c r="AH590" i="11"/>
  <c r="AH407" i="11"/>
  <c r="AH413" i="11" l="1"/>
  <c r="AH409" i="11"/>
  <c r="BC94" i="20"/>
  <c r="BC57" i="20"/>
  <c r="BC39" i="20"/>
  <c r="BC75" i="20"/>
  <c r="BC56" i="20"/>
  <c r="BD171" i="20"/>
  <c r="BD175" i="20"/>
  <c r="BD176" i="20"/>
  <c r="BD172" i="20"/>
  <c r="BD170" i="20"/>
  <c r="BD174" i="20"/>
  <c r="BD173" i="20"/>
  <c r="BE134" i="20"/>
  <c r="BC38" i="20"/>
  <c r="BB66" i="20"/>
  <c r="BB63" i="20"/>
  <c r="BB64" i="20"/>
  <c r="BB67" i="20"/>
  <c r="BB62" i="20"/>
  <c r="BB68" i="20"/>
  <c r="BC55" i="20"/>
  <c r="BB65" i="20"/>
  <c r="BB58" i="20"/>
  <c r="BB85" i="20"/>
  <c r="BC73" i="20"/>
  <c r="BB83" i="20"/>
  <c r="BB81" i="20"/>
  <c r="BB82" i="20"/>
  <c r="BB86" i="20"/>
  <c r="BB84" i="20"/>
  <c r="BB80" i="20"/>
  <c r="BB76" i="20"/>
  <c r="BE201" i="20"/>
  <c r="BE199" i="20"/>
  <c r="BF136" i="20"/>
  <c r="BE198" i="20"/>
  <c r="BE196" i="20"/>
  <c r="BE200" i="20"/>
  <c r="BE197" i="20"/>
  <c r="BE202" i="20"/>
  <c r="BD188" i="20"/>
  <c r="BD183" i="20"/>
  <c r="BE135" i="20"/>
  <c r="BD184" i="20"/>
  <c r="BD189" i="20"/>
  <c r="BD186" i="20"/>
  <c r="BD185" i="20"/>
  <c r="BD187" i="20"/>
  <c r="BG137" i="20"/>
  <c r="BF209" i="20"/>
  <c r="BF215" i="20"/>
  <c r="BF210" i="20"/>
  <c r="BF214" i="20"/>
  <c r="BF211" i="20"/>
  <c r="BF213" i="20"/>
  <c r="BF212" i="20"/>
  <c r="BB102" i="20"/>
  <c r="BB104" i="20"/>
  <c r="BB100" i="20"/>
  <c r="BB101" i="20"/>
  <c r="BB103" i="20"/>
  <c r="BB106" i="20"/>
  <c r="BC93" i="20"/>
  <c r="BB105" i="20"/>
  <c r="BB96" i="20"/>
  <c r="BC74" i="20"/>
  <c r="BB45" i="20"/>
  <c r="BB49" i="20"/>
  <c r="BB44" i="20"/>
  <c r="BB50" i="20"/>
  <c r="BB48" i="20"/>
  <c r="BC37" i="20"/>
  <c r="BB40" i="20"/>
  <c r="BB46" i="20"/>
  <c r="BB47" i="20"/>
  <c r="BC95" i="20"/>
  <c r="BD144" i="20"/>
  <c r="BD148" i="20"/>
  <c r="BD149" i="20"/>
  <c r="BD146" i="20"/>
  <c r="BE132" i="20"/>
  <c r="BD147" i="20"/>
  <c r="BD150" i="20"/>
  <c r="BD145" i="20"/>
  <c r="BC160" i="20"/>
  <c r="BC161" i="20"/>
  <c r="BD133" i="20"/>
  <c r="BC162" i="20"/>
  <c r="BC157" i="20"/>
  <c r="BC163" i="20"/>
  <c r="BC159" i="20"/>
  <c r="BC158" i="20"/>
  <c r="BC823" i="20"/>
  <c r="BB918" i="20"/>
  <c r="BI932" i="20"/>
  <c r="BJ457" i="20"/>
  <c r="BK313" i="20"/>
  <c r="BJ906" i="20"/>
  <c r="BF573" i="20"/>
  <c r="BE908" i="20"/>
  <c r="BJ882" i="20"/>
  <c r="BK407" i="20"/>
  <c r="BD631" i="20"/>
  <c r="BC933" i="20"/>
  <c r="BC941" i="20"/>
  <c r="BD826" i="20"/>
  <c r="BC942" i="20"/>
  <c r="BD837" i="20"/>
  <c r="BC920" i="20"/>
  <c r="BD779" i="20"/>
  <c r="BC940" i="20"/>
  <c r="BD815" i="20"/>
  <c r="BB915" i="20"/>
  <c r="BC790" i="20"/>
  <c r="BD945" i="20"/>
  <c r="BE804" i="20"/>
  <c r="BE801" i="20"/>
  <c r="BD916" i="20"/>
  <c r="BD848" i="20"/>
  <c r="BC943" i="20"/>
  <c r="BC919" i="20"/>
  <c r="BD834" i="20"/>
  <c r="BB917" i="20"/>
  <c r="BC812" i="20"/>
  <c r="AI590" i="11"/>
  <c r="AI407" i="11"/>
  <c r="AI409" i="11" l="1"/>
  <c r="AI413" i="11"/>
  <c r="BD57" i="20"/>
  <c r="BD56" i="20"/>
  <c r="BD74" i="20"/>
  <c r="BD95" i="20"/>
  <c r="BD157" i="20"/>
  <c r="BD159" i="20"/>
  <c r="BD160" i="20"/>
  <c r="BD158" i="20"/>
  <c r="BD161" i="20"/>
  <c r="BD163" i="20"/>
  <c r="BD162" i="20"/>
  <c r="BE133" i="20"/>
  <c r="BE138" i="20" s="1"/>
  <c r="BE188" i="20"/>
  <c r="BE185" i="20"/>
  <c r="BE183" i="20"/>
  <c r="BF135" i="20"/>
  <c r="BE187" i="20"/>
  <c r="BE186" i="20"/>
  <c r="BE189" i="20"/>
  <c r="BE184" i="20"/>
  <c r="BF200" i="20"/>
  <c r="BF196" i="20"/>
  <c r="BF197" i="20"/>
  <c r="BF198" i="20"/>
  <c r="BF201" i="20"/>
  <c r="BF202" i="20"/>
  <c r="BF199" i="20"/>
  <c r="BG136" i="20"/>
  <c r="BC49" i="20"/>
  <c r="BC46" i="20"/>
  <c r="BC47" i="20"/>
  <c r="BC50" i="20"/>
  <c r="BC44" i="20"/>
  <c r="BC48" i="20"/>
  <c r="BC40" i="20"/>
  <c r="BC45" i="20"/>
  <c r="BD37" i="20"/>
  <c r="BD39" i="20"/>
  <c r="BG212" i="20"/>
  <c r="BG210" i="20"/>
  <c r="BG211" i="20"/>
  <c r="BG214" i="20"/>
  <c r="BG209" i="20"/>
  <c r="BG215" i="20"/>
  <c r="BH137" i="20"/>
  <c r="BG213" i="20"/>
  <c r="BD38" i="20"/>
  <c r="BD138" i="20"/>
  <c r="BE150" i="20"/>
  <c r="BE144" i="20"/>
  <c r="BF132" i="20"/>
  <c r="BE148" i="20"/>
  <c r="BE146" i="20"/>
  <c r="BE147" i="20"/>
  <c r="BE149" i="20"/>
  <c r="BE145" i="20"/>
  <c r="BC103" i="20"/>
  <c r="BC106" i="20"/>
  <c r="BC102" i="20"/>
  <c r="BD93" i="20"/>
  <c r="BC101" i="20"/>
  <c r="BC105" i="20"/>
  <c r="BC104" i="20"/>
  <c r="BC100" i="20"/>
  <c r="BC96" i="20"/>
  <c r="BD75" i="20"/>
  <c r="BD73" i="20"/>
  <c r="BC86" i="20"/>
  <c r="BC81" i="20"/>
  <c r="BC80" i="20"/>
  <c r="BC85" i="20"/>
  <c r="BC84" i="20"/>
  <c r="BC82" i="20"/>
  <c r="BC83" i="20"/>
  <c r="BC76" i="20"/>
  <c r="BC62" i="20"/>
  <c r="BC58" i="20"/>
  <c r="BC63" i="20"/>
  <c r="BD55" i="20"/>
  <c r="BC68" i="20"/>
  <c r="BC65" i="20"/>
  <c r="BC66" i="20"/>
  <c r="BC67" i="20"/>
  <c r="BC64" i="20"/>
  <c r="BE174" i="20"/>
  <c r="BE172" i="20"/>
  <c r="BE173" i="20"/>
  <c r="BF134" i="20"/>
  <c r="BE170" i="20"/>
  <c r="BE171" i="20"/>
  <c r="BE176" i="20"/>
  <c r="BE175" i="20"/>
  <c r="BD94" i="20"/>
  <c r="BE837" i="20"/>
  <c r="BD942" i="20"/>
  <c r="BE815" i="20"/>
  <c r="BD940" i="20"/>
  <c r="BK882" i="20"/>
  <c r="BL407" i="20"/>
  <c r="BE834" i="20"/>
  <c r="BD919" i="20"/>
  <c r="BD790" i="20"/>
  <c r="BC915" i="20"/>
  <c r="BL313" i="20"/>
  <c r="BK906" i="20"/>
  <c r="BD823" i="20"/>
  <c r="BC918" i="20"/>
  <c r="BE848" i="20"/>
  <c r="BD943" i="20"/>
  <c r="BE945" i="20"/>
  <c r="BF804" i="20"/>
  <c r="BF908" i="20"/>
  <c r="BG573" i="20"/>
  <c r="BC917" i="20"/>
  <c r="BD812" i="20"/>
  <c r="BE916" i="20"/>
  <c r="BF801" i="20"/>
  <c r="BD920" i="20"/>
  <c r="BE779" i="20"/>
  <c r="BE826" i="20"/>
  <c r="BD941" i="20"/>
  <c r="BE631" i="20"/>
  <c r="BD933" i="20"/>
  <c r="BJ932" i="20"/>
  <c r="BK457" i="20"/>
  <c r="AJ590" i="11"/>
  <c r="AJ407" i="11"/>
  <c r="AJ409" i="11" l="1"/>
  <c r="AJ413" i="11"/>
  <c r="BE94" i="20"/>
  <c r="BE75" i="20"/>
  <c r="BE38" i="20"/>
  <c r="BD63" i="20"/>
  <c r="BD67" i="20"/>
  <c r="BD64" i="20"/>
  <c r="BD65" i="20"/>
  <c r="BD62" i="20"/>
  <c r="BD66" i="20"/>
  <c r="BD58" i="20"/>
  <c r="BD68" i="20"/>
  <c r="BE55" i="20"/>
  <c r="BD84" i="20"/>
  <c r="BD85" i="20"/>
  <c r="BE73" i="20"/>
  <c r="BD82" i="20"/>
  <c r="BD81" i="20"/>
  <c r="BD80" i="20"/>
  <c r="BD86" i="20"/>
  <c r="BD83" i="20"/>
  <c r="BD76" i="20"/>
  <c r="BH212" i="20"/>
  <c r="BH214" i="20"/>
  <c r="BH209" i="20"/>
  <c r="BH211" i="20"/>
  <c r="BH213" i="20"/>
  <c r="BH215" i="20"/>
  <c r="BI137" i="20"/>
  <c r="BH210" i="20"/>
  <c r="BD48" i="20"/>
  <c r="BD46" i="20"/>
  <c r="BD47" i="20"/>
  <c r="BD44" i="20"/>
  <c r="BD40" i="20"/>
  <c r="BE37" i="20"/>
  <c r="BD45" i="20"/>
  <c r="BD50" i="20"/>
  <c r="BD49" i="20"/>
  <c r="BE160" i="20"/>
  <c r="BE162" i="20"/>
  <c r="BE157" i="20"/>
  <c r="BE158" i="20"/>
  <c r="BE163" i="20"/>
  <c r="BE159" i="20"/>
  <c r="BE161" i="20"/>
  <c r="BF133" i="20"/>
  <c r="BF138" i="20" s="1"/>
  <c r="BE57" i="20"/>
  <c r="BF149" i="20"/>
  <c r="BG132" i="20"/>
  <c r="BF144" i="20"/>
  <c r="BF148" i="20"/>
  <c r="BF145" i="20"/>
  <c r="BF147" i="20"/>
  <c r="BF146" i="20"/>
  <c r="BF150" i="20"/>
  <c r="BG198" i="20"/>
  <c r="BH136" i="20"/>
  <c r="BG197" i="20"/>
  <c r="BG199" i="20"/>
  <c r="BG200" i="20"/>
  <c r="BG202" i="20"/>
  <c r="BG201" i="20"/>
  <c r="BG196" i="20"/>
  <c r="BF183" i="20"/>
  <c r="BF189" i="20"/>
  <c r="BG135" i="20"/>
  <c r="BF184" i="20"/>
  <c r="BF185" i="20"/>
  <c r="BF188" i="20"/>
  <c r="BF186" i="20"/>
  <c r="BF187" i="20"/>
  <c r="BE74" i="20"/>
  <c r="BF173" i="20"/>
  <c r="BF176" i="20"/>
  <c r="BG134" i="20"/>
  <c r="BF170" i="20"/>
  <c r="BF175" i="20"/>
  <c r="BF174" i="20"/>
  <c r="BF172" i="20"/>
  <c r="BF171" i="20"/>
  <c r="BD103" i="20"/>
  <c r="BE93" i="20"/>
  <c r="BD104" i="20"/>
  <c r="BD102" i="20"/>
  <c r="BD101" i="20"/>
  <c r="BD106" i="20"/>
  <c r="BD105" i="20"/>
  <c r="BD100" i="20"/>
  <c r="BD96" i="20"/>
  <c r="BE56" i="20"/>
  <c r="BE39" i="20"/>
  <c r="BE95" i="20"/>
  <c r="BG801" i="20"/>
  <c r="BF916" i="20"/>
  <c r="BF834" i="20"/>
  <c r="BE919" i="20"/>
  <c r="BF826" i="20"/>
  <c r="BE941" i="20"/>
  <c r="BH573" i="20"/>
  <c r="BG908" i="20"/>
  <c r="BD915" i="20"/>
  <c r="BE790" i="20"/>
  <c r="BL882" i="20"/>
  <c r="BM407" i="20"/>
  <c r="BE940" i="20"/>
  <c r="BF815" i="20"/>
  <c r="BE920" i="20"/>
  <c r="BF779" i="20"/>
  <c r="BE943" i="20"/>
  <c r="BF848" i="20"/>
  <c r="BL906" i="20"/>
  <c r="BM313" i="20"/>
  <c r="BE823" i="20"/>
  <c r="BD918" i="20"/>
  <c r="BK932" i="20"/>
  <c r="BL457" i="20"/>
  <c r="BF631" i="20"/>
  <c r="BE933" i="20"/>
  <c r="BD917" i="20"/>
  <c r="BE812" i="20"/>
  <c r="BF945" i="20"/>
  <c r="BG804" i="20"/>
  <c r="BF837" i="20"/>
  <c r="BE942" i="20"/>
  <c r="AK590" i="11"/>
  <c r="AK407" i="11"/>
  <c r="AK413" i="11" l="1"/>
  <c r="AK409" i="11"/>
  <c r="BF56" i="20"/>
  <c r="BF39" i="20"/>
  <c r="BF95" i="20"/>
  <c r="BF74" i="20"/>
  <c r="BG172" i="20"/>
  <c r="BG170" i="20"/>
  <c r="BG176" i="20"/>
  <c r="BG174" i="20"/>
  <c r="BG173" i="20"/>
  <c r="BH134" i="20"/>
  <c r="BG175" i="20"/>
  <c r="BG171" i="20"/>
  <c r="BF38" i="20"/>
  <c r="BG146" i="20"/>
  <c r="BG150" i="20"/>
  <c r="BG149" i="20"/>
  <c r="BH132" i="20"/>
  <c r="BG147" i="20"/>
  <c r="BG144" i="20"/>
  <c r="BG145" i="20"/>
  <c r="BG148" i="20"/>
  <c r="BF75" i="20"/>
  <c r="BE45" i="20"/>
  <c r="BE49" i="20"/>
  <c r="BE46" i="20"/>
  <c r="BE40" i="20"/>
  <c r="BE50" i="20"/>
  <c r="BE44" i="20"/>
  <c r="BE48" i="20"/>
  <c r="BF37" i="20"/>
  <c r="BE47" i="20"/>
  <c r="BE81" i="20"/>
  <c r="BE82" i="20"/>
  <c r="BE86" i="20"/>
  <c r="BE84" i="20"/>
  <c r="BE80" i="20"/>
  <c r="BE83" i="20"/>
  <c r="BE85" i="20"/>
  <c r="BF73" i="20"/>
  <c r="BE76" i="20"/>
  <c r="BF93" i="20"/>
  <c r="BE100" i="20"/>
  <c r="BE105" i="20"/>
  <c r="BE102" i="20"/>
  <c r="BE103" i="20"/>
  <c r="BE104" i="20"/>
  <c r="BE101" i="20"/>
  <c r="BE106" i="20"/>
  <c r="BE96" i="20"/>
  <c r="BG188" i="20"/>
  <c r="BG189" i="20"/>
  <c r="BG183" i="20"/>
  <c r="BG187" i="20"/>
  <c r="BG186" i="20"/>
  <c r="BG184" i="20"/>
  <c r="BG185" i="20"/>
  <c r="BH135" i="20"/>
  <c r="BG133" i="20"/>
  <c r="BG138" i="20" s="1"/>
  <c r="BF159" i="20"/>
  <c r="BF158" i="20"/>
  <c r="BF161" i="20"/>
  <c r="BF162" i="20"/>
  <c r="BF163" i="20"/>
  <c r="BF160" i="20"/>
  <c r="BF157" i="20"/>
  <c r="BH196" i="20"/>
  <c r="BH201" i="20"/>
  <c r="BH198" i="20"/>
  <c r="BH197" i="20"/>
  <c r="BH202" i="20"/>
  <c r="BI136" i="20"/>
  <c r="BH199" i="20"/>
  <c r="BH200" i="20"/>
  <c r="BF94" i="20"/>
  <c r="BF57" i="20"/>
  <c r="BJ137" i="20"/>
  <c r="BI212" i="20"/>
  <c r="BI213" i="20"/>
  <c r="BI211" i="20"/>
  <c r="BI215" i="20"/>
  <c r="BI210" i="20"/>
  <c r="BI209" i="20"/>
  <c r="BI214" i="20"/>
  <c r="BE64" i="20"/>
  <c r="BE68" i="20"/>
  <c r="BE66" i="20"/>
  <c r="BE62" i="20"/>
  <c r="BE63" i="20"/>
  <c r="BE67" i="20"/>
  <c r="BF55" i="20"/>
  <c r="BE58" i="20"/>
  <c r="BE65" i="20"/>
  <c r="BG945" i="20"/>
  <c r="BH804" i="20"/>
  <c r="BM906" i="20"/>
  <c r="BN313" i="20"/>
  <c r="BN906" i="20" s="1"/>
  <c r="BG815" i="20"/>
  <c r="BF940" i="20"/>
  <c r="BH908" i="20"/>
  <c r="BI573" i="20"/>
  <c r="BG834" i="20"/>
  <c r="BF919" i="20"/>
  <c r="BM882" i="20"/>
  <c r="BN407" i="20"/>
  <c r="BN882" i="20" s="1"/>
  <c r="BG631" i="20"/>
  <c r="BF933" i="20"/>
  <c r="BF920" i="20"/>
  <c r="BG779" i="20"/>
  <c r="BE915" i="20"/>
  <c r="BF790" i="20"/>
  <c r="BM457" i="20"/>
  <c r="BL932" i="20"/>
  <c r="BG837" i="20"/>
  <c r="BF942" i="20"/>
  <c r="BE917" i="20"/>
  <c r="BF812" i="20"/>
  <c r="BF823" i="20"/>
  <c r="BE918" i="20"/>
  <c r="BG848" i="20"/>
  <c r="BF943" i="20"/>
  <c r="BG826" i="20"/>
  <c r="BF941" i="20"/>
  <c r="BH801" i="20"/>
  <c r="BG916" i="20"/>
  <c r="AL590" i="11"/>
  <c r="AL407" i="11"/>
  <c r="AL409" i="11" l="1"/>
  <c r="AL413" i="11"/>
  <c r="BG94" i="20"/>
  <c r="BG74" i="20"/>
  <c r="BG95" i="20"/>
  <c r="BG57" i="20"/>
  <c r="BH187" i="20"/>
  <c r="BH183" i="20"/>
  <c r="BH189" i="20"/>
  <c r="BH185" i="20"/>
  <c r="BH188" i="20"/>
  <c r="BI135" i="20"/>
  <c r="BH186" i="20"/>
  <c r="BH184" i="20"/>
  <c r="BF101" i="20"/>
  <c r="BF105" i="20"/>
  <c r="BF106" i="20"/>
  <c r="BF103" i="20"/>
  <c r="BF104" i="20"/>
  <c r="BF100" i="20"/>
  <c r="BF102" i="20"/>
  <c r="BG93" i="20"/>
  <c r="BF96" i="20"/>
  <c r="BG37" i="20"/>
  <c r="BF48" i="20"/>
  <c r="BF40" i="20"/>
  <c r="BF49" i="20"/>
  <c r="BF45" i="20"/>
  <c r="BF46" i="20"/>
  <c r="BF50" i="20"/>
  <c r="BF47" i="20"/>
  <c r="BF44" i="20"/>
  <c r="BG75" i="20"/>
  <c r="BF65" i="20"/>
  <c r="BG55" i="20"/>
  <c r="BF64" i="20"/>
  <c r="BF58" i="20"/>
  <c r="BF68" i="20"/>
  <c r="BF67" i="20"/>
  <c r="BF63" i="20"/>
  <c r="BF62" i="20"/>
  <c r="BF66" i="20"/>
  <c r="BG56" i="20"/>
  <c r="BH176" i="20"/>
  <c r="BH174" i="20"/>
  <c r="BH173" i="20"/>
  <c r="BH171" i="20"/>
  <c r="BI134" i="20"/>
  <c r="BH172" i="20"/>
  <c r="BH170" i="20"/>
  <c r="BH175" i="20"/>
  <c r="BI201" i="20"/>
  <c r="BJ136" i="20"/>
  <c r="BI199" i="20"/>
  <c r="BI196" i="20"/>
  <c r="BI200" i="20"/>
  <c r="BI198" i="20"/>
  <c r="BI197" i="20"/>
  <c r="BI202" i="20"/>
  <c r="BH148" i="20"/>
  <c r="BI132" i="20"/>
  <c r="BH146" i="20"/>
  <c r="BH144" i="20"/>
  <c r="BH145" i="20"/>
  <c r="BH150" i="20"/>
  <c r="BH147" i="20"/>
  <c r="BH149" i="20"/>
  <c r="BG38" i="20"/>
  <c r="BJ212" i="20"/>
  <c r="BJ210" i="20"/>
  <c r="BJ215" i="20"/>
  <c r="BJ209" i="20"/>
  <c r="BK137" i="20"/>
  <c r="BJ213" i="20"/>
  <c r="BJ214" i="20"/>
  <c r="BJ211" i="20"/>
  <c r="BG163" i="20"/>
  <c r="BG161" i="20"/>
  <c r="BG158" i="20"/>
  <c r="BG160" i="20"/>
  <c r="BG162" i="20"/>
  <c r="BG157" i="20"/>
  <c r="BG159" i="20"/>
  <c r="BH133" i="20"/>
  <c r="BG73" i="20"/>
  <c r="BF86" i="20"/>
  <c r="BF81" i="20"/>
  <c r="BF80" i="20"/>
  <c r="BF85" i="20"/>
  <c r="BF84" i="20"/>
  <c r="BF82" i="20"/>
  <c r="BF83" i="20"/>
  <c r="BF76" i="20"/>
  <c r="BG39" i="20"/>
  <c r="BI801" i="20"/>
  <c r="BH916" i="20"/>
  <c r="BG823" i="20"/>
  <c r="BF918" i="20"/>
  <c r="BH945" i="20"/>
  <c r="BI804" i="20"/>
  <c r="BF917" i="20"/>
  <c r="BG812" i="20"/>
  <c r="BG920" i="20"/>
  <c r="BH779" i="20"/>
  <c r="BG933" i="20"/>
  <c r="BH631" i="20"/>
  <c r="BH837" i="20"/>
  <c r="BG942" i="20"/>
  <c r="BH826" i="20"/>
  <c r="BG941" i="20"/>
  <c r="BH848" i="20"/>
  <c r="BG943" i="20"/>
  <c r="BM932" i="20"/>
  <c r="BN457" i="20"/>
  <c r="BN932" i="20" s="1"/>
  <c r="BH834" i="20"/>
  <c r="BG919" i="20"/>
  <c r="BH815" i="20"/>
  <c r="BG940" i="20"/>
  <c r="BF915" i="20"/>
  <c r="BG790" i="20"/>
  <c r="BJ573" i="20"/>
  <c r="BI908" i="20"/>
  <c r="AM590" i="11"/>
  <c r="AM407" i="11"/>
  <c r="AM409" i="11" l="1"/>
  <c r="AM413" i="11"/>
  <c r="BH39" i="20"/>
  <c r="BH95" i="20"/>
  <c r="BH94" i="20"/>
  <c r="BH56" i="20"/>
  <c r="BH38" i="20"/>
  <c r="BG85" i="20"/>
  <c r="BH73" i="20"/>
  <c r="BG80" i="20"/>
  <c r="BG84" i="20"/>
  <c r="BG81" i="20"/>
  <c r="BG86" i="20"/>
  <c r="BG82" i="20"/>
  <c r="BG83" i="20"/>
  <c r="BG76" i="20"/>
  <c r="BI175" i="20"/>
  <c r="BJ134" i="20"/>
  <c r="BI171" i="20"/>
  <c r="BI173" i="20"/>
  <c r="BI170" i="20"/>
  <c r="BI174" i="20"/>
  <c r="BI176" i="20"/>
  <c r="BI172" i="20"/>
  <c r="BH75" i="20"/>
  <c r="BH163" i="20"/>
  <c r="BH158" i="20"/>
  <c r="BH159" i="20"/>
  <c r="BH161" i="20"/>
  <c r="BH162" i="20"/>
  <c r="BH157" i="20"/>
  <c r="BH160" i="20"/>
  <c r="BI133" i="20"/>
  <c r="BI138" i="20" s="1"/>
  <c r="BK209" i="20"/>
  <c r="BK211" i="20"/>
  <c r="BK213" i="20"/>
  <c r="BK215" i="20"/>
  <c r="BK210" i="20"/>
  <c r="BL137" i="20"/>
  <c r="BK214" i="20"/>
  <c r="BK212" i="20"/>
  <c r="BG48" i="20"/>
  <c r="BG49" i="20"/>
  <c r="BG46" i="20"/>
  <c r="BH37" i="20"/>
  <c r="BG47" i="20"/>
  <c r="BG44" i="20"/>
  <c r="BG40" i="20"/>
  <c r="BG45" i="20"/>
  <c r="BG50" i="20"/>
  <c r="BI185" i="20"/>
  <c r="BI187" i="20"/>
  <c r="BI184" i="20"/>
  <c r="BI188" i="20"/>
  <c r="BI186" i="20"/>
  <c r="BJ135" i="20"/>
  <c r="BI183" i="20"/>
  <c r="BI189" i="20"/>
  <c r="BI149" i="20"/>
  <c r="BI150" i="20"/>
  <c r="BI144" i="20"/>
  <c r="BJ132" i="20"/>
  <c r="BI148" i="20"/>
  <c r="BI147" i="20"/>
  <c r="BI145" i="20"/>
  <c r="BI146" i="20"/>
  <c r="BJ196" i="20"/>
  <c r="BJ198" i="20"/>
  <c r="BJ202" i="20"/>
  <c r="BJ199" i="20"/>
  <c r="BJ200" i="20"/>
  <c r="BJ197" i="20"/>
  <c r="BJ201" i="20"/>
  <c r="BK136" i="20"/>
  <c r="BH74" i="20"/>
  <c r="BG65" i="20"/>
  <c r="BG62" i="20"/>
  <c r="BG66" i="20"/>
  <c r="BG63" i="20"/>
  <c r="BG64" i="20"/>
  <c r="BG68" i="20"/>
  <c r="BH55" i="20"/>
  <c r="BG58" i="20"/>
  <c r="BG67" i="20"/>
  <c r="BH138" i="20"/>
  <c r="BG104" i="20"/>
  <c r="BG106" i="20"/>
  <c r="BG103" i="20"/>
  <c r="BG102" i="20"/>
  <c r="BG101" i="20"/>
  <c r="BG105" i="20"/>
  <c r="BH93" i="20"/>
  <c r="BG100" i="20"/>
  <c r="BG96" i="20"/>
  <c r="BH57" i="20"/>
  <c r="BI834" i="20"/>
  <c r="BH919" i="20"/>
  <c r="BH920" i="20"/>
  <c r="BI779" i="20"/>
  <c r="BI945" i="20"/>
  <c r="BJ804" i="20"/>
  <c r="BH823" i="20"/>
  <c r="BG918" i="20"/>
  <c r="BI826" i="20"/>
  <c r="BH941" i="20"/>
  <c r="BJ908" i="20"/>
  <c r="BK573" i="20"/>
  <c r="BI848" i="20"/>
  <c r="BH943" i="20"/>
  <c r="BI837" i="20"/>
  <c r="BH942" i="20"/>
  <c r="BH790" i="20"/>
  <c r="BG915" i="20"/>
  <c r="BI815" i="20"/>
  <c r="BH940" i="20"/>
  <c r="BI631" i="20"/>
  <c r="BH933" i="20"/>
  <c r="BG917" i="20"/>
  <c r="BH812" i="20"/>
  <c r="BI916" i="20"/>
  <c r="BJ801" i="20"/>
  <c r="AN590" i="11"/>
  <c r="AN407" i="11"/>
  <c r="AN409" i="11" l="1"/>
  <c r="AN413" i="11"/>
  <c r="BI74" i="20"/>
  <c r="BI57" i="20"/>
  <c r="BI38" i="20"/>
  <c r="BI39" i="20"/>
  <c r="BH101" i="20"/>
  <c r="BH102" i="20"/>
  <c r="BH106" i="20"/>
  <c r="BH104" i="20"/>
  <c r="BH100" i="20"/>
  <c r="BI93" i="20"/>
  <c r="BH105" i="20"/>
  <c r="BH103" i="20"/>
  <c r="BH96" i="20"/>
  <c r="BH66" i="20"/>
  <c r="BH58" i="20"/>
  <c r="BH67" i="20"/>
  <c r="BH64" i="20"/>
  <c r="BH65" i="20"/>
  <c r="BH62" i="20"/>
  <c r="BH63" i="20"/>
  <c r="BH68" i="20"/>
  <c r="BI55" i="20"/>
  <c r="BL136" i="20"/>
  <c r="BK196" i="20"/>
  <c r="BK198" i="20"/>
  <c r="BK197" i="20"/>
  <c r="BK201" i="20"/>
  <c r="BK199" i="20"/>
  <c r="BK200" i="20"/>
  <c r="BK202" i="20"/>
  <c r="BJ189" i="20"/>
  <c r="BJ187" i="20"/>
  <c r="BJ186" i="20"/>
  <c r="BJ184" i="20"/>
  <c r="BK135" i="20"/>
  <c r="BJ185" i="20"/>
  <c r="BJ183" i="20"/>
  <c r="BJ188" i="20"/>
  <c r="BI94" i="20"/>
  <c r="BJ171" i="20"/>
  <c r="BJ172" i="20"/>
  <c r="BJ170" i="20"/>
  <c r="BJ175" i="20"/>
  <c r="BJ173" i="20"/>
  <c r="BJ176" i="20"/>
  <c r="BK134" i="20"/>
  <c r="BJ174" i="20"/>
  <c r="BJ148" i="20"/>
  <c r="BJ146" i="20"/>
  <c r="BK132" i="20"/>
  <c r="BJ145" i="20"/>
  <c r="BJ150" i="20"/>
  <c r="BJ144" i="20"/>
  <c r="BJ149" i="20"/>
  <c r="BJ147" i="20"/>
  <c r="BI157" i="20"/>
  <c r="BI161" i="20"/>
  <c r="BI162" i="20"/>
  <c r="BI160" i="20"/>
  <c r="BI163" i="20"/>
  <c r="BI158" i="20"/>
  <c r="BI159" i="20"/>
  <c r="BJ133" i="20"/>
  <c r="BI75" i="20"/>
  <c r="BL212" i="20"/>
  <c r="BL214" i="20"/>
  <c r="BL209" i="20"/>
  <c r="BL211" i="20"/>
  <c r="BL213" i="20"/>
  <c r="BL215" i="20"/>
  <c r="BM137" i="20"/>
  <c r="BL210" i="20"/>
  <c r="BI95" i="20"/>
  <c r="BH85" i="20"/>
  <c r="BH86" i="20"/>
  <c r="BI73" i="20"/>
  <c r="BH83" i="20"/>
  <c r="BH81" i="20"/>
  <c r="BH82" i="20"/>
  <c r="BH80" i="20"/>
  <c r="BH84" i="20"/>
  <c r="BH76" i="20"/>
  <c r="BH45" i="20"/>
  <c r="BH49" i="20"/>
  <c r="BH50" i="20"/>
  <c r="BI37" i="20"/>
  <c r="BH44" i="20"/>
  <c r="BH46" i="20"/>
  <c r="BH40" i="20"/>
  <c r="BH47" i="20"/>
  <c r="BH48" i="20"/>
  <c r="BI56" i="20"/>
  <c r="BK908" i="20"/>
  <c r="BL573" i="20"/>
  <c r="BI919" i="20"/>
  <c r="BJ834" i="20"/>
  <c r="BI942" i="20"/>
  <c r="BJ837" i="20"/>
  <c r="BI823" i="20"/>
  <c r="BH918" i="20"/>
  <c r="BK801" i="20"/>
  <c r="BJ916" i="20"/>
  <c r="BJ815" i="20"/>
  <c r="BI940" i="20"/>
  <c r="BJ631" i="20"/>
  <c r="BI933" i="20"/>
  <c r="BI790" i="20"/>
  <c r="BH915" i="20"/>
  <c r="BJ945" i="20"/>
  <c r="BK804" i="20"/>
  <c r="BI920" i="20"/>
  <c r="BJ779" i="20"/>
  <c r="BH917" i="20"/>
  <c r="BI812" i="20"/>
  <c r="BJ848" i="20"/>
  <c r="BI943" i="20"/>
  <c r="BI941" i="20"/>
  <c r="BJ826" i="20"/>
  <c r="AO590" i="11"/>
  <c r="AO407" i="11"/>
  <c r="BJ74" i="20" l="1"/>
  <c r="AO413" i="11"/>
  <c r="AO409" i="11"/>
  <c r="BJ38" i="20"/>
  <c r="BJ56" i="20"/>
  <c r="BJ95" i="20"/>
  <c r="BJ75" i="20"/>
  <c r="BI83" i="20"/>
  <c r="BI80" i="20"/>
  <c r="BI82" i="20"/>
  <c r="BJ73" i="20"/>
  <c r="BI86" i="20"/>
  <c r="BI81" i="20"/>
  <c r="BI85" i="20"/>
  <c r="BI84" i="20"/>
  <c r="BI76" i="20"/>
  <c r="BJ57" i="20"/>
  <c r="BJ39" i="20"/>
  <c r="BM214" i="20"/>
  <c r="BM215" i="20"/>
  <c r="BM212" i="20"/>
  <c r="BM211" i="20"/>
  <c r="BN137" i="20"/>
  <c r="BM210" i="20"/>
  <c r="BM209" i="20"/>
  <c r="BM213" i="20"/>
  <c r="BK149" i="20"/>
  <c r="BK150" i="20"/>
  <c r="BK146" i="20"/>
  <c r="BL132" i="20"/>
  <c r="BK144" i="20"/>
  <c r="BK148" i="20"/>
  <c r="BK145" i="20"/>
  <c r="BK147" i="20"/>
  <c r="BJ94" i="20"/>
  <c r="BK186" i="20"/>
  <c r="BK188" i="20"/>
  <c r="BL135" i="20"/>
  <c r="BK185" i="20"/>
  <c r="BK189" i="20"/>
  <c r="BK187" i="20"/>
  <c r="BK184" i="20"/>
  <c r="BK183" i="20"/>
  <c r="BL202" i="20"/>
  <c r="BM136" i="20"/>
  <c r="BL199" i="20"/>
  <c r="BL197" i="20"/>
  <c r="BL198" i="20"/>
  <c r="BL196" i="20"/>
  <c r="BL200" i="20"/>
  <c r="BL201" i="20"/>
  <c r="BK133" i="20"/>
  <c r="BK138" i="20" s="1"/>
  <c r="BJ158" i="20"/>
  <c r="BJ159" i="20"/>
  <c r="BJ162" i="20"/>
  <c r="BJ157" i="20"/>
  <c r="BJ163" i="20"/>
  <c r="BJ160" i="20"/>
  <c r="BJ161" i="20"/>
  <c r="BK171" i="20"/>
  <c r="BK175" i="20"/>
  <c r="BL134" i="20"/>
  <c r="BK173" i="20"/>
  <c r="BK170" i="20"/>
  <c r="BK174" i="20"/>
  <c r="BK172" i="20"/>
  <c r="BK176" i="20"/>
  <c r="BI63" i="20"/>
  <c r="BI67" i="20"/>
  <c r="BI68" i="20"/>
  <c r="BI62" i="20"/>
  <c r="BI66" i="20"/>
  <c r="BI58" i="20"/>
  <c r="BI64" i="20"/>
  <c r="BI65" i="20"/>
  <c r="BJ55" i="20"/>
  <c r="BI106" i="20"/>
  <c r="BI101" i="20"/>
  <c r="BI100" i="20"/>
  <c r="BI104" i="20"/>
  <c r="BI103" i="20"/>
  <c r="BI105" i="20"/>
  <c r="BI102" i="20"/>
  <c r="BJ93" i="20"/>
  <c r="BI96" i="20"/>
  <c r="BI46" i="20"/>
  <c r="BI50" i="20"/>
  <c r="BI47" i="20"/>
  <c r="BJ37" i="20"/>
  <c r="BI44" i="20"/>
  <c r="BI48" i="20"/>
  <c r="BI40" i="20"/>
  <c r="BI45" i="20"/>
  <c r="BI49" i="20"/>
  <c r="BJ138" i="20"/>
  <c r="BK945" i="20"/>
  <c r="BL804" i="20"/>
  <c r="BK826" i="20"/>
  <c r="BJ941" i="20"/>
  <c r="BI917" i="20"/>
  <c r="BJ812" i="20"/>
  <c r="BI918" i="20"/>
  <c r="BJ823" i="20"/>
  <c r="BK848" i="20"/>
  <c r="BJ943" i="20"/>
  <c r="BK916" i="20"/>
  <c r="BL801" i="20"/>
  <c r="BK815" i="20"/>
  <c r="BJ940" i="20"/>
  <c r="BK837" i="20"/>
  <c r="BJ942" i="20"/>
  <c r="BM573" i="20"/>
  <c r="BL908" i="20"/>
  <c r="BK631" i="20"/>
  <c r="BJ933" i="20"/>
  <c r="BK834" i="20"/>
  <c r="BJ919" i="20"/>
  <c r="BJ920" i="20"/>
  <c r="BK779" i="20"/>
  <c r="BI915" i="20"/>
  <c r="BJ790" i="20"/>
  <c r="AP590" i="11"/>
  <c r="AP407" i="11"/>
  <c r="BK56" i="20" l="1"/>
  <c r="BK74" i="20"/>
  <c r="AP413" i="11"/>
  <c r="AP409" i="11"/>
  <c r="BK95" i="20"/>
  <c r="BK75" i="20"/>
  <c r="BK94" i="20"/>
  <c r="BK39" i="20"/>
  <c r="BL173" i="20"/>
  <c r="BL171" i="20"/>
  <c r="BL174" i="20"/>
  <c r="BL175" i="20"/>
  <c r="BL172" i="20"/>
  <c r="BL176" i="20"/>
  <c r="BM134" i="20"/>
  <c r="BL170" i="20"/>
  <c r="BL188" i="20"/>
  <c r="BL183" i="20"/>
  <c r="BM135" i="20"/>
  <c r="BL187" i="20"/>
  <c r="BL189" i="20"/>
  <c r="BL184" i="20"/>
  <c r="BL186" i="20"/>
  <c r="BL185" i="20"/>
  <c r="BK57" i="20"/>
  <c r="BJ47" i="20"/>
  <c r="BJ44" i="20"/>
  <c r="BJ40" i="20"/>
  <c r="BJ45" i="20"/>
  <c r="BJ49" i="20"/>
  <c r="BJ46" i="20"/>
  <c r="BJ50" i="20"/>
  <c r="BK37" i="20"/>
  <c r="BJ48" i="20"/>
  <c r="BM196" i="20"/>
  <c r="BN136" i="20"/>
  <c r="BM200" i="20"/>
  <c r="BM202" i="20"/>
  <c r="BM201" i="20"/>
  <c r="BM199" i="20"/>
  <c r="BM198" i="20"/>
  <c r="BM197" i="20"/>
  <c r="BL147" i="20"/>
  <c r="BL150" i="20"/>
  <c r="BL146" i="20"/>
  <c r="BL148" i="20"/>
  <c r="BL145" i="20"/>
  <c r="BL149" i="20"/>
  <c r="BL144" i="20"/>
  <c r="BM132" i="20"/>
  <c r="BN211" i="20"/>
  <c r="BN215" i="20"/>
  <c r="BN212" i="20"/>
  <c r="BN213" i="20"/>
  <c r="BN214" i="20"/>
  <c r="BN210" i="20"/>
  <c r="BN209" i="20"/>
  <c r="BJ106" i="20"/>
  <c r="BJ102" i="20"/>
  <c r="BJ103" i="20"/>
  <c r="BJ105" i="20"/>
  <c r="BJ101" i="20"/>
  <c r="BJ100" i="20"/>
  <c r="BJ104" i="20"/>
  <c r="BK93" i="20"/>
  <c r="BJ96" i="20"/>
  <c r="BJ64" i="20"/>
  <c r="BJ62" i="20"/>
  <c r="BJ58" i="20"/>
  <c r="BJ68" i="20"/>
  <c r="BJ67" i="20"/>
  <c r="BJ65" i="20"/>
  <c r="BJ66" i="20"/>
  <c r="BK55" i="20"/>
  <c r="BJ63" i="20"/>
  <c r="BK161" i="20"/>
  <c r="BK159" i="20"/>
  <c r="BK158" i="20"/>
  <c r="BK163" i="20"/>
  <c r="BK160" i="20"/>
  <c r="BK157" i="20"/>
  <c r="BK162" i="20"/>
  <c r="BL133" i="20"/>
  <c r="BL138" i="20" s="1"/>
  <c r="BJ81" i="20"/>
  <c r="BJ83" i="20"/>
  <c r="BJ85" i="20"/>
  <c r="BJ80" i="20"/>
  <c r="BJ82" i="20"/>
  <c r="BJ84" i="20"/>
  <c r="BJ86" i="20"/>
  <c r="BK73" i="20"/>
  <c r="BJ76" i="20"/>
  <c r="BK38" i="20"/>
  <c r="BK823" i="20"/>
  <c r="BJ918" i="20"/>
  <c r="BK933" i="20"/>
  <c r="BL631" i="20"/>
  <c r="BL837" i="20"/>
  <c r="BK942" i="20"/>
  <c r="BK941" i="20"/>
  <c r="BL826" i="20"/>
  <c r="BK920" i="20"/>
  <c r="BL779" i="20"/>
  <c r="BM801" i="20"/>
  <c r="BL916" i="20"/>
  <c r="BJ915" i="20"/>
  <c r="BK790" i="20"/>
  <c r="BJ917" i="20"/>
  <c r="BK812" i="20"/>
  <c r="BL945" i="20"/>
  <c r="BM804" i="20"/>
  <c r="BL834" i="20"/>
  <c r="BK919" i="20"/>
  <c r="BN573" i="20"/>
  <c r="BN908" i="20" s="1"/>
  <c r="BM908" i="20"/>
  <c r="BL815" i="20"/>
  <c r="BK940" i="20"/>
  <c r="BL848" i="20"/>
  <c r="BK943" i="20"/>
  <c r="AQ590" i="11"/>
  <c r="AQ407" i="11"/>
  <c r="AQ409" i="11" l="1"/>
  <c r="AQ413" i="11"/>
  <c r="BL38" i="20"/>
  <c r="BK85" i="20"/>
  <c r="BK80" i="20"/>
  <c r="BK82" i="20"/>
  <c r="BK84" i="20"/>
  <c r="BK81" i="20"/>
  <c r="BK83" i="20"/>
  <c r="BL73" i="20"/>
  <c r="BK86" i="20"/>
  <c r="BK76" i="20"/>
  <c r="BK64" i="20"/>
  <c r="BK68" i="20"/>
  <c r="BL55" i="20"/>
  <c r="BK66" i="20"/>
  <c r="BK65" i="20"/>
  <c r="BK62" i="20"/>
  <c r="BK63" i="20"/>
  <c r="BK67" i="20"/>
  <c r="BK58" i="20"/>
  <c r="BK45" i="20"/>
  <c r="BK49" i="20"/>
  <c r="BK50" i="20"/>
  <c r="BK40" i="20"/>
  <c r="BK44" i="20"/>
  <c r="BK48" i="20"/>
  <c r="BL37" i="20"/>
  <c r="BK46" i="20"/>
  <c r="BK47" i="20"/>
  <c r="BL57" i="20"/>
  <c r="BK102" i="20"/>
  <c r="BK105" i="20"/>
  <c r="BK100" i="20"/>
  <c r="BK104" i="20"/>
  <c r="BK103" i="20"/>
  <c r="BK106" i="20"/>
  <c r="BL93" i="20"/>
  <c r="BK101" i="20"/>
  <c r="BK96" i="20"/>
  <c r="BL95" i="20"/>
  <c r="BL75" i="20"/>
  <c r="BN199" i="20"/>
  <c r="BN201" i="20"/>
  <c r="BN198" i="20"/>
  <c r="BN200" i="20"/>
  <c r="BN202" i="20"/>
  <c r="BN197" i="20"/>
  <c r="BN196" i="20"/>
  <c r="BL39" i="20"/>
  <c r="BL74" i="20"/>
  <c r="BM183" i="20"/>
  <c r="BM186" i="20"/>
  <c r="BM189" i="20"/>
  <c r="BM184" i="20"/>
  <c r="BN135" i="20"/>
  <c r="BM185" i="20"/>
  <c r="BM188" i="20"/>
  <c r="BM187" i="20"/>
  <c r="BM176" i="20"/>
  <c r="BN134" i="20"/>
  <c r="BM171" i="20"/>
  <c r="BM174" i="20"/>
  <c r="BM172" i="20"/>
  <c r="BM173" i="20"/>
  <c r="BM170" i="20"/>
  <c r="BM175" i="20"/>
  <c r="BL94" i="20"/>
  <c r="BM133" i="20"/>
  <c r="BL163" i="20"/>
  <c r="BL158" i="20"/>
  <c r="BL157" i="20"/>
  <c r="BL159" i="20"/>
  <c r="BL160" i="20"/>
  <c r="BL162" i="20"/>
  <c r="BL161" i="20"/>
  <c r="BM145" i="20"/>
  <c r="BM149" i="20"/>
  <c r="BM144" i="20"/>
  <c r="BM150" i="20"/>
  <c r="BM148" i="20"/>
  <c r="BN132" i="20"/>
  <c r="BM147" i="20"/>
  <c r="BM146" i="20"/>
  <c r="BM138" i="20"/>
  <c r="BL56" i="20"/>
  <c r="BM815" i="20"/>
  <c r="BL940" i="20"/>
  <c r="BM834" i="20"/>
  <c r="BL919" i="20"/>
  <c r="BN801" i="20"/>
  <c r="BN916" i="20" s="1"/>
  <c r="BM916" i="20"/>
  <c r="BK917" i="20"/>
  <c r="BL812" i="20"/>
  <c r="BM631" i="20"/>
  <c r="BL933" i="20"/>
  <c r="BM945" i="20"/>
  <c r="BN804" i="20"/>
  <c r="BN945" i="20" s="1"/>
  <c r="BL790" i="20"/>
  <c r="BK915" i="20"/>
  <c r="BL920" i="20"/>
  <c r="BM779" i="20"/>
  <c r="BM826" i="20"/>
  <c r="BL941" i="20"/>
  <c r="BL943" i="20"/>
  <c r="BM848" i="20"/>
  <c r="BM837" i="20"/>
  <c r="BL942" i="20"/>
  <c r="BK918" i="20"/>
  <c r="BL823" i="20"/>
  <c r="AR590" i="11"/>
  <c r="AR407" i="11"/>
  <c r="AR409" i="11" l="1"/>
  <c r="AR413" i="11"/>
  <c r="BM39" i="20"/>
  <c r="BM56" i="20"/>
  <c r="BM94" i="20"/>
  <c r="BM74" i="20"/>
  <c r="BN150" i="20"/>
  <c r="BN149" i="20"/>
  <c r="BN148" i="20"/>
  <c r="BN146" i="20"/>
  <c r="BN147" i="20"/>
  <c r="BN145" i="20"/>
  <c r="BN144" i="20"/>
  <c r="BM75" i="20"/>
  <c r="BL103" i="20"/>
  <c r="BL104" i="20"/>
  <c r="BL106" i="20"/>
  <c r="BL101" i="20"/>
  <c r="BL105" i="20"/>
  <c r="BL100" i="20"/>
  <c r="BM93" i="20"/>
  <c r="BL102" i="20"/>
  <c r="BL96" i="20"/>
  <c r="BM158" i="20"/>
  <c r="BM163" i="20"/>
  <c r="BN133" i="20"/>
  <c r="BM162" i="20"/>
  <c r="BM157" i="20"/>
  <c r="BM159" i="20"/>
  <c r="BM160" i="20"/>
  <c r="BM161" i="20"/>
  <c r="BN173" i="20"/>
  <c r="BN175" i="20"/>
  <c r="BN170" i="20"/>
  <c r="BN176" i="20"/>
  <c r="BN172" i="20"/>
  <c r="BN174" i="20"/>
  <c r="BN171" i="20"/>
  <c r="BM95" i="20"/>
  <c r="BL82" i="20"/>
  <c r="BL84" i="20"/>
  <c r="BL83" i="20"/>
  <c r="BL81" i="20"/>
  <c r="BL85" i="20"/>
  <c r="BL80" i="20"/>
  <c r="BL86" i="20"/>
  <c r="BM73" i="20"/>
  <c r="BL76" i="20"/>
  <c r="BN183" i="20"/>
  <c r="BN185" i="20"/>
  <c r="BN187" i="20"/>
  <c r="BN189" i="20"/>
  <c r="BN184" i="20"/>
  <c r="BN186" i="20"/>
  <c r="BN188" i="20"/>
  <c r="BL46" i="20"/>
  <c r="BL44" i="20"/>
  <c r="BL48" i="20"/>
  <c r="BM37" i="20"/>
  <c r="BL45" i="20"/>
  <c r="BL49" i="20"/>
  <c r="BL50" i="20"/>
  <c r="BL40" i="20"/>
  <c r="BL47" i="20"/>
  <c r="BM38" i="20"/>
  <c r="BM57" i="20"/>
  <c r="BL63" i="20"/>
  <c r="BL67" i="20"/>
  <c r="BL58" i="20"/>
  <c r="BL64" i="20"/>
  <c r="BL65" i="20"/>
  <c r="BM55" i="20"/>
  <c r="BL62" i="20"/>
  <c r="BL66" i="20"/>
  <c r="BL68" i="20"/>
  <c r="BM943" i="20"/>
  <c r="BN848" i="20"/>
  <c r="BN943" i="20" s="1"/>
  <c r="BM919" i="20"/>
  <c r="BN834" i="20"/>
  <c r="BN919" i="20" s="1"/>
  <c r="BM823" i="20"/>
  <c r="BL918" i="20"/>
  <c r="BM920" i="20"/>
  <c r="BN779" i="20"/>
  <c r="BN920" i="20" s="1"/>
  <c r="BL917" i="20"/>
  <c r="BM812" i="20"/>
  <c r="BN837" i="20"/>
  <c r="BN942" i="20" s="1"/>
  <c r="BM942" i="20"/>
  <c r="BM941" i="20"/>
  <c r="BN826" i="20"/>
  <c r="BN941" i="20" s="1"/>
  <c r="BL915" i="20"/>
  <c r="BM790" i="20"/>
  <c r="BN631" i="20"/>
  <c r="BN933" i="20" s="1"/>
  <c r="BM933" i="20"/>
  <c r="BM940" i="20"/>
  <c r="BN815" i="20"/>
  <c r="BN940" i="20" s="1"/>
  <c r="AS590" i="11"/>
  <c r="AS407" i="11"/>
  <c r="AS413" i="11" l="1"/>
  <c r="AS409" i="11"/>
  <c r="BN74" i="20"/>
  <c r="BN95" i="20"/>
  <c r="BN38" i="20"/>
  <c r="BN94" i="20"/>
  <c r="BN39" i="20"/>
  <c r="BM85" i="20"/>
  <c r="BN73" i="20"/>
  <c r="BM81" i="20"/>
  <c r="BM80" i="20"/>
  <c r="BM84" i="20"/>
  <c r="BM82" i="20"/>
  <c r="BM86" i="20"/>
  <c r="BM83" i="20"/>
  <c r="BM76" i="20"/>
  <c r="BM65" i="20"/>
  <c r="BM62" i="20"/>
  <c r="BM66" i="20"/>
  <c r="BM58" i="20"/>
  <c r="BM63" i="20"/>
  <c r="BM67" i="20"/>
  <c r="BM64" i="20"/>
  <c r="BM68" i="20"/>
  <c r="BN55" i="20"/>
  <c r="BN160" i="20"/>
  <c r="BN162" i="20"/>
  <c r="BN159" i="20"/>
  <c r="BN161" i="20"/>
  <c r="BN163" i="20"/>
  <c r="BN158" i="20"/>
  <c r="BN157" i="20"/>
  <c r="BN75" i="20"/>
  <c r="BM101" i="20"/>
  <c r="BM103" i="20"/>
  <c r="BM100" i="20"/>
  <c r="BM102" i="20"/>
  <c r="BM104" i="20"/>
  <c r="BM106" i="20"/>
  <c r="BN93" i="20"/>
  <c r="BM105" i="20"/>
  <c r="BM96" i="20"/>
  <c r="BN57" i="20"/>
  <c r="BM44" i="20"/>
  <c r="BM48" i="20"/>
  <c r="BM45" i="20"/>
  <c r="BM46" i="20"/>
  <c r="BM47" i="20"/>
  <c r="BN37" i="20"/>
  <c r="BM40" i="20"/>
  <c r="BM49" i="20"/>
  <c r="BM50" i="20"/>
  <c r="BN138" i="20"/>
  <c r="BN56" i="20"/>
  <c r="BN790" i="20"/>
  <c r="BN915" i="20" s="1"/>
  <c r="BM915" i="20"/>
  <c r="BM917" i="20"/>
  <c r="BN812" i="20"/>
  <c r="BN917" i="20" s="1"/>
  <c r="BM918" i="20"/>
  <c r="BN823" i="20"/>
  <c r="BN918" i="20" s="1"/>
  <c r="AT590" i="11"/>
  <c r="AT407" i="11"/>
  <c r="AT413" i="11" l="1"/>
  <c r="AT409" i="11"/>
  <c r="BN46" i="20"/>
  <c r="BN44" i="20"/>
  <c r="BN40" i="20"/>
  <c r="BN50" i="20"/>
  <c r="BN45" i="20"/>
  <c r="BN49" i="20"/>
  <c r="BN47" i="20"/>
  <c r="BN48" i="20"/>
  <c r="BN66" i="20"/>
  <c r="BN64" i="20"/>
  <c r="BN68" i="20"/>
  <c r="BN58" i="20"/>
  <c r="BN62" i="20"/>
  <c r="BN65" i="20"/>
  <c r="BN63" i="20"/>
  <c r="BN67" i="20"/>
  <c r="BN82" i="20"/>
  <c r="BN83" i="20"/>
  <c r="BN86" i="20"/>
  <c r="BN81" i="20"/>
  <c r="BN80" i="20"/>
  <c r="BN85" i="20"/>
  <c r="BN84" i="20"/>
  <c r="BN76" i="20"/>
  <c r="BN100" i="20"/>
  <c r="BN102" i="20"/>
  <c r="BN103" i="20"/>
  <c r="BN106" i="20"/>
  <c r="BN104" i="20"/>
  <c r="BN101" i="20"/>
  <c r="BN105" i="20"/>
  <c r="BN96" i="20"/>
  <c r="AU590" i="11"/>
  <c r="AU407" i="11"/>
  <c r="AU409" i="11" l="1"/>
  <c r="AU413" i="11"/>
  <c r="AV590" i="11"/>
  <c r="AV407" i="11"/>
  <c r="AV409" i="11" l="1"/>
  <c r="AV413" i="11"/>
  <c r="AW590" i="11"/>
  <c r="AW407" i="11"/>
  <c r="AW413" i="11" l="1"/>
  <c r="AW409" i="11"/>
  <c r="AX590" i="11"/>
  <c r="AX407" i="11"/>
  <c r="AX413" i="11" l="1"/>
  <c r="AX409" i="11"/>
  <c r="AY590" i="11"/>
  <c r="AY407" i="11"/>
  <c r="AY409" i="11" l="1"/>
  <c r="AY413" i="11"/>
  <c r="AZ590" i="11"/>
  <c r="AZ407" i="11"/>
  <c r="AZ409" i="11" l="1"/>
  <c r="AZ413" i="11"/>
  <c r="BA590" i="11"/>
  <c r="BA407" i="11"/>
  <c r="BA413" i="11" l="1"/>
  <c r="BA409" i="11"/>
  <c r="AL4" i="20" l="1"/>
  <c r="B11" i="20"/>
  <c r="AM4" i="20" l="1"/>
  <c r="Y119" i="11"/>
  <c r="Z119" i="11" s="1"/>
  <c r="AA119" i="11" s="1"/>
  <c r="AB119" i="11" s="1"/>
  <c r="AC119" i="11" s="1"/>
  <c r="AD119" i="11" s="1"/>
  <c r="AE119" i="11" s="1"/>
  <c r="AF119" i="11" s="1"/>
  <c r="AG119" i="11" s="1"/>
  <c r="AH119" i="11" s="1"/>
  <c r="AI119" i="11" s="1"/>
  <c r="AJ119" i="11" s="1"/>
  <c r="AK119" i="11" s="1"/>
  <c r="AL119" i="11" s="1"/>
  <c r="AM119" i="11" s="1"/>
  <c r="AN119" i="11" s="1"/>
  <c r="AO119" i="11" s="1"/>
  <c r="AP119" i="11" s="1"/>
  <c r="AQ119" i="11" s="1"/>
  <c r="AR119" i="11" s="1"/>
  <c r="AS119" i="11" s="1"/>
  <c r="AT119" i="11" s="1"/>
  <c r="AU119" i="11" s="1"/>
  <c r="AV119" i="11" s="1"/>
  <c r="AW119" i="11" s="1"/>
  <c r="AX119" i="11" s="1"/>
  <c r="AY119" i="11" s="1"/>
  <c r="AZ119" i="11" s="1"/>
  <c r="BA119" i="11" s="1"/>
  <c r="Y114" i="11"/>
  <c r="Z114" i="11" s="1"/>
  <c r="AA114" i="11" s="1"/>
  <c r="AB114" i="11" s="1"/>
  <c r="AC114" i="11" s="1"/>
  <c r="AD114" i="11" s="1"/>
  <c r="AE114" i="11" s="1"/>
  <c r="AF114" i="11" s="1"/>
  <c r="AG114" i="11" s="1"/>
  <c r="AH114" i="11" s="1"/>
  <c r="AI114" i="11" s="1"/>
  <c r="AJ114" i="11" s="1"/>
  <c r="AK114" i="11" s="1"/>
  <c r="AL114" i="11" s="1"/>
  <c r="AM114" i="11" s="1"/>
  <c r="AN114" i="11" s="1"/>
  <c r="AO114" i="11" s="1"/>
  <c r="AP114" i="11" s="1"/>
  <c r="AQ114" i="11" s="1"/>
  <c r="AR114" i="11" s="1"/>
  <c r="AS114" i="11" s="1"/>
  <c r="AT114" i="11" s="1"/>
  <c r="AU114" i="11" s="1"/>
  <c r="AV114" i="11" s="1"/>
  <c r="AW114" i="11" s="1"/>
  <c r="AX114" i="11" s="1"/>
  <c r="AY114" i="11" s="1"/>
  <c r="AZ114" i="11" s="1"/>
  <c r="BA114" i="11" s="1"/>
  <c r="Y111" i="11"/>
  <c r="Y107" i="11"/>
  <c r="Z107" i="11" s="1"/>
  <c r="AA107" i="11" s="1"/>
  <c r="AB107" i="11" s="1"/>
  <c r="AC107" i="11" s="1"/>
  <c r="AD107" i="11" s="1"/>
  <c r="AE107" i="11" s="1"/>
  <c r="AF107" i="11" s="1"/>
  <c r="AG107" i="11" s="1"/>
  <c r="AH107" i="11" s="1"/>
  <c r="AI107" i="11" s="1"/>
  <c r="AJ107" i="11" s="1"/>
  <c r="AK107" i="11" s="1"/>
  <c r="AL107" i="11" s="1"/>
  <c r="AM107" i="11" s="1"/>
  <c r="AN107" i="11" s="1"/>
  <c r="AO107" i="11" s="1"/>
  <c r="AP107" i="11" s="1"/>
  <c r="AQ107" i="11" s="1"/>
  <c r="AR107" i="11" s="1"/>
  <c r="AS107" i="11" s="1"/>
  <c r="AT107" i="11" s="1"/>
  <c r="AU107" i="11" s="1"/>
  <c r="AV107" i="11" s="1"/>
  <c r="AW107" i="11" s="1"/>
  <c r="AX107" i="11" s="1"/>
  <c r="AY107" i="11" s="1"/>
  <c r="AZ107" i="11" s="1"/>
  <c r="BA107" i="11" s="1"/>
  <c r="Y104" i="11"/>
  <c r="Z104" i="11" s="1"/>
  <c r="AA104" i="11" s="1"/>
  <c r="AB104" i="11" s="1"/>
  <c r="AC104" i="11" s="1"/>
  <c r="AD104" i="11" s="1"/>
  <c r="AE104" i="11" s="1"/>
  <c r="AF104" i="11" s="1"/>
  <c r="AG104" i="11" s="1"/>
  <c r="AH104" i="11" s="1"/>
  <c r="AI104" i="11" s="1"/>
  <c r="AJ104" i="11" s="1"/>
  <c r="AK104" i="11" s="1"/>
  <c r="AL104" i="11" s="1"/>
  <c r="AM104" i="11" s="1"/>
  <c r="AN104" i="11" s="1"/>
  <c r="AO104" i="11" s="1"/>
  <c r="AP104" i="11" s="1"/>
  <c r="AQ104" i="11" s="1"/>
  <c r="AR104" i="11" s="1"/>
  <c r="AS104" i="11" s="1"/>
  <c r="AT104" i="11" s="1"/>
  <c r="AU104" i="11" s="1"/>
  <c r="AV104" i="11" s="1"/>
  <c r="AW104" i="11" s="1"/>
  <c r="AX104" i="11" s="1"/>
  <c r="AY104" i="11" s="1"/>
  <c r="AZ104" i="11" s="1"/>
  <c r="BA104" i="11" s="1"/>
  <c r="Y101" i="11"/>
  <c r="Z101" i="11" s="1"/>
  <c r="AA101" i="11" s="1"/>
  <c r="AB101" i="11" s="1"/>
  <c r="AC101" i="11" s="1"/>
  <c r="AD101" i="11" s="1"/>
  <c r="AE101" i="11" s="1"/>
  <c r="AF101" i="11" s="1"/>
  <c r="AG101" i="11" s="1"/>
  <c r="AH101" i="11" s="1"/>
  <c r="AI101" i="11" s="1"/>
  <c r="AJ101" i="11" s="1"/>
  <c r="AK101" i="11" s="1"/>
  <c r="AL101" i="11" s="1"/>
  <c r="AM101" i="11" s="1"/>
  <c r="AN101" i="11" s="1"/>
  <c r="AO101" i="11" s="1"/>
  <c r="AP101" i="11" s="1"/>
  <c r="AQ101" i="11" s="1"/>
  <c r="AR101" i="11" s="1"/>
  <c r="AS101" i="11" s="1"/>
  <c r="AT101" i="11" s="1"/>
  <c r="AU101" i="11" s="1"/>
  <c r="AV101" i="11" s="1"/>
  <c r="AW101" i="11" s="1"/>
  <c r="AX101" i="11" s="1"/>
  <c r="AY101" i="11" s="1"/>
  <c r="AZ101" i="11" s="1"/>
  <c r="BA101" i="11" s="1"/>
  <c r="Y97" i="1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Y94" i="11"/>
  <c r="Z94" i="11" s="1"/>
  <c r="AA94" i="11" s="1"/>
  <c r="AB94" i="11" s="1"/>
  <c r="AC94" i="11" s="1"/>
  <c r="AD94" i="11" s="1"/>
  <c r="AE94" i="11" s="1"/>
  <c r="AF94" i="11" s="1"/>
  <c r="AG94" i="11" s="1"/>
  <c r="AH94" i="11" s="1"/>
  <c r="AI94" i="11" s="1"/>
  <c r="AJ94" i="11" s="1"/>
  <c r="AK94" i="11" s="1"/>
  <c r="AL94" i="11" s="1"/>
  <c r="AM94" i="11" s="1"/>
  <c r="AN94" i="11" s="1"/>
  <c r="AO94" i="11" s="1"/>
  <c r="AP94" i="11" s="1"/>
  <c r="AQ94" i="11" s="1"/>
  <c r="AR94" i="11" s="1"/>
  <c r="AS94" i="11" s="1"/>
  <c r="AT94" i="11" s="1"/>
  <c r="AU94" i="11" s="1"/>
  <c r="AV94" i="11" s="1"/>
  <c r="AW94" i="11" s="1"/>
  <c r="AX94" i="11" s="1"/>
  <c r="AY94" i="11" s="1"/>
  <c r="AZ94" i="11" s="1"/>
  <c r="BA94" i="11" s="1"/>
  <c r="Y91" i="11"/>
  <c r="Z91" i="11" s="1"/>
  <c r="AA91" i="11" s="1"/>
  <c r="AB91" i="11" s="1"/>
  <c r="AC91" i="11" s="1"/>
  <c r="AD91" i="11" s="1"/>
  <c r="AE91" i="11" s="1"/>
  <c r="AF91" i="11" s="1"/>
  <c r="AG91" i="11" s="1"/>
  <c r="AH91" i="11" s="1"/>
  <c r="AI91" i="11" s="1"/>
  <c r="AJ91" i="11" s="1"/>
  <c r="AK91" i="11" s="1"/>
  <c r="AL91" i="11" s="1"/>
  <c r="AM91" i="11" s="1"/>
  <c r="AN91" i="11" s="1"/>
  <c r="AO91" i="11" s="1"/>
  <c r="AP91" i="11" s="1"/>
  <c r="AQ91" i="11" s="1"/>
  <c r="AR91" i="11" s="1"/>
  <c r="AS91" i="11" s="1"/>
  <c r="AT91" i="11" s="1"/>
  <c r="AU91" i="11" s="1"/>
  <c r="AV91" i="11" s="1"/>
  <c r="AW91" i="11" s="1"/>
  <c r="AX91" i="11" s="1"/>
  <c r="AY91" i="11" s="1"/>
  <c r="AZ91" i="11" s="1"/>
  <c r="BA91" i="11" s="1"/>
  <c r="Z111" i="11" l="1"/>
  <c r="AN4" i="20"/>
  <c r="AA111" i="11" l="1"/>
  <c r="AO4" i="20"/>
  <c r="Y78" i="11"/>
  <c r="Z78" i="11" s="1"/>
  <c r="AA78" i="11" s="1"/>
  <c r="AB78" i="11" s="1"/>
  <c r="AC78" i="11" s="1"/>
  <c r="AD78" i="11" s="1"/>
  <c r="AE78" i="11" s="1"/>
  <c r="AF78" i="11" s="1"/>
  <c r="AG78" i="11" s="1"/>
  <c r="AH78" i="11" s="1"/>
  <c r="AI78" i="11" s="1"/>
  <c r="AJ78" i="11" s="1"/>
  <c r="AK78" i="11" s="1"/>
  <c r="AL78" i="11" s="1"/>
  <c r="AM78" i="11" s="1"/>
  <c r="AN78" i="11" s="1"/>
  <c r="AO78" i="11" s="1"/>
  <c r="AP78" i="11" s="1"/>
  <c r="AQ78" i="11" s="1"/>
  <c r="AR78" i="11" s="1"/>
  <c r="AS78" i="11" s="1"/>
  <c r="AT78" i="11" s="1"/>
  <c r="AU78" i="11" s="1"/>
  <c r="AV78" i="11" s="1"/>
  <c r="AW78" i="11" s="1"/>
  <c r="AX78" i="11" s="1"/>
  <c r="AY78" i="11" s="1"/>
  <c r="AZ78" i="11" s="1"/>
  <c r="BA78" i="11" s="1"/>
  <c r="W80" i="11"/>
  <c r="W81" i="11"/>
  <c r="W82" i="11"/>
  <c r="W83" i="11"/>
  <c r="W79" i="11"/>
  <c r="Y86" i="11"/>
  <c r="Z86" i="11" s="1"/>
  <c r="AA86" i="11" s="1"/>
  <c r="AB86" i="11" s="1"/>
  <c r="AC86" i="11" s="1"/>
  <c r="AD86" i="11" s="1"/>
  <c r="AE86" i="11" s="1"/>
  <c r="AF86" i="11" s="1"/>
  <c r="AG86" i="11" s="1"/>
  <c r="AH86" i="11" s="1"/>
  <c r="AI86" i="11" s="1"/>
  <c r="AJ86" i="11" s="1"/>
  <c r="AK86" i="11" s="1"/>
  <c r="AL86" i="11" s="1"/>
  <c r="AM86" i="11" s="1"/>
  <c r="AN86" i="11" s="1"/>
  <c r="AO86" i="11" s="1"/>
  <c r="AP86" i="11" s="1"/>
  <c r="AQ86" i="11" s="1"/>
  <c r="AR86" i="11" s="1"/>
  <c r="AS86" i="11" s="1"/>
  <c r="AT86" i="11" s="1"/>
  <c r="AU86" i="11" s="1"/>
  <c r="AV86" i="11" s="1"/>
  <c r="AW86" i="11" s="1"/>
  <c r="AX86" i="11" s="1"/>
  <c r="AY86" i="11" s="1"/>
  <c r="AZ86" i="11" s="1"/>
  <c r="BA86" i="11" s="1"/>
  <c r="X55" i="11"/>
  <c r="Y51" i="11"/>
  <c r="Y47" i="11"/>
  <c r="Z47" i="11" s="1"/>
  <c r="AA47" i="11" s="1"/>
  <c r="AB47" i="11" s="1"/>
  <c r="AC47" i="11" s="1"/>
  <c r="AD47" i="11" s="1"/>
  <c r="AE47" i="11" s="1"/>
  <c r="AF47" i="11" s="1"/>
  <c r="AG47" i="11" s="1"/>
  <c r="AH47" i="11" s="1"/>
  <c r="AI47" i="11" s="1"/>
  <c r="AJ47" i="11" s="1"/>
  <c r="AK47" i="11" s="1"/>
  <c r="AL47" i="11" s="1"/>
  <c r="AM47" i="11" s="1"/>
  <c r="AN47" i="11" s="1"/>
  <c r="AO47" i="11" s="1"/>
  <c r="AP47" i="11" s="1"/>
  <c r="AQ47" i="11" s="1"/>
  <c r="AR47" i="11" s="1"/>
  <c r="AS47" i="11" s="1"/>
  <c r="AT47" i="11" s="1"/>
  <c r="AU47" i="11" s="1"/>
  <c r="AV47" i="11" s="1"/>
  <c r="AW47" i="11" s="1"/>
  <c r="AX47" i="11" s="1"/>
  <c r="AY47" i="11" s="1"/>
  <c r="AZ47" i="11" s="1"/>
  <c r="BA47" i="11" s="1"/>
  <c r="Y4" i="11"/>
  <c r="Z4" i="11" s="1"/>
  <c r="AA4" i="11" s="1"/>
  <c r="AB4" i="11" s="1"/>
  <c r="AC4" i="11" s="1"/>
  <c r="AD4" i="11" s="1"/>
  <c r="AE4" i="11" s="1"/>
  <c r="AF4" i="11" s="1"/>
  <c r="AG4" i="11" s="1"/>
  <c r="AH4" i="11" s="1"/>
  <c r="AI4" i="11" s="1"/>
  <c r="AJ4" i="11" s="1"/>
  <c r="AK4" i="11" s="1"/>
  <c r="AL4" i="11" s="1"/>
  <c r="AM4" i="11" s="1"/>
  <c r="AN4" i="11" s="1"/>
  <c r="AO4" i="11" s="1"/>
  <c r="AP4" i="11" s="1"/>
  <c r="AQ4" i="11" s="1"/>
  <c r="AR4" i="11" s="1"/>
  <c r="AS4" i="11" s="1"/>
  <c r="AT4" i="11" s="1"/>
  <c r="AU4" i="11" s="1"/>
  <c r="AV4" i="11" s="1"/>
  <c r="AW4" i="11" s="1"/>
  <c r="AX4" i="11" s="1"/>
  <c r="AY4" i="11" s="1"/>
  <c r="AZ4" i="11" s="1"/>
  <c r="BA4" i="11" s="1"/>
  <c r="AB111" i="11" l="1"/>
  <c r="AC111" i="11" s="1"/>
  <c r="AD111" i="11" s="1"/>
  <c r="AE111" i="11" s="1"/>
  <c r="AF111" i="11" s="1"/>
  <c r="AG111" i="11" s="1"/>
  <c r="AH111" i="11" s="1"/>
  <c r="AP4" i="20"/>
  <c r="Y55" i="11"/>
  <c r="Z51" i="11"/>
  <c r="AI111" i="11" l="1"/>
  <c r="AQ4" i="20"/>
  <c r="AA51" i="11"/>
  <c r="Z55" i="11"/>
  <c r="N70" i="18"/>
  <c r="N71" i="18" s="1"/>
  <c r="N72" i="18" s="1"/>
  <c r="N73" i="18" s="1"/>
  <c r="N74" i="18" s="1"/>
  <c r="N75" i="18" s="1"/>
  <c r="N76" i="18" s="1"/>
  <c r="N77" i="18" s="1"/>
  <c r="N78" i="18" s="1"/>
  <c r="N79" i="18" s="1"/>
  <c r="N80" i="18" s="1"/>
  <c r="N81" i="18" s="1"/>
  <c r="N82" i="18" s="1"/>
  <c r="N83" i="18" s="1"/>
  <c r="N84" i="18" s="1"/>
  <c r="N85" i="18" s="1"/>
  <c r="N86" i="18" s="1"/>
  <c r="N87" i="18" s="1"/>
  <c r="N88" i="18" s="1"/>
  <c r="N89" i="18" s="1"/>
  <c r="N90" i="18" s="1"/>
  <c r="N91" i="18" s="1"/>
  <c r="N92" i="18" s="1"/>
  <c r="N93" i="18" s="1"/>
  <c r="N94" i="18" s="1"/>
  <c r="N95" i="18" s="1"/>
  <c r="N96" i="18" s="1"/>
  <c r="N97" i="18" s="1"/>
  <c r="N98" i="18" s="1"/>
  <c r="AJ111" i="11" l="1"/>
  <c r="AK111" i="11" s="1"/>
  <c r="AL111" i="11" s="1"/>
  <c r="AM111" i="11" s="1"/>
  <c r="AN111" i="11" s="1"/>
  <c r="AO111" i="11" s="1"/>
  <c r="AP111" i="11" s="1"/>
  <c r="AQ111" i="11" s="1"/>
  <c r="AR111" i="11" s="1"/>
  <c r="AR4" i="20"/>
  <c r="AB51" i="11"/>
  <c r="AA55" i="11"/>
  <c r="Q68" i="18"/>
  <c r="O98" i="18"/>
  <c r="O69" i="18"/>
  <c r="O70" i="18"/>
  <c r="O71" i="18"/>
  <c r="O72" i="18"/>
  <c r="O73" i="18"/>
  <c r="O74" i="18"/>
  <c r="O75" i="18"/>
  <c r="O76" i="18"/>
  <c r="O77" i="18"/>
  <c r="O78" i="18"/>
  <c r="O79" i="18"/>
  <c r="O80" i="18"/>
  <c r="O81" i="18"/>
  <c r="O82" i="18"/>
  <c r="O83" i="18"/>
  <c r="O84" i="18"/>
  <c r="O85" i="18"/>
  <c r="O86" i="18"/>
  <c r="O87" i="18"/>
  <c r="O88" i="18"/>
  <c r="O89" i="18"/>
  <c r="O90" i="18"/>
  <c r="O91" i="18"/>
  <c r="O92" i="18"/>
  <c r="O93" i="18"/>
  <c r="O94" i="18"/>
  <c r="O95" i="18"/>
  <c r="O96" i="18"/>
  <c r="O97" i="18"/>
  <c r="O68" i="18"/>
  <c r="P36" i="18"/>
  <c r="P37" i="18"/>
  <c r="P38" i="18"/>
  <c r="P39" i="18"/>
  <c r="P40" i="18"/>
  <c r="P41" i="18"/>
  <c r="P42" i="18"/>
  <c r="P43" i="18"/>
  <c r="P44" i="18"/>
  <c r="P45" i="18"/>
  <c r="P46" i="18"/>
  <c r="P47" i="18"/>
  <c r="P48" i="18"/>
  <c r="P49" i="18"/>
  <c r="P50" i="18"/>
  <c r="P51" i="18"/>
  <c r="P52" i="18"/>
  <c r="P53" i="18"/>
  <c r="P54" i="18"/>
  <c r="P55" i="18"/>
  <c r="P56" i="18"/>
  <c r="P57" i="18"/>
  <c r="P58" i="18"/>
  <c r="P59" i="18"/>
  <c r="P60" i="18"/>
  <c r="P61" i="18"/>
  <c r="P62" i="18"/>
  <c r="P63" i="18"/>
  <c r="P64" i="18"/>
  <c r="P35" i="18"/>
  <c r="K36" i="18"/>
  <c r="L36" i="18"/>
  <c r="M36" i="18"/>
  <c r="K37" i="18"/>
  <c r="L37" i="18"/>
  <c r="M37" i="18"/>
  <c r="K38" i="18"/>
  <c r="L38" i="18"/>
  <c r="M38" i="18"/>
  <c r="K39" i="18"/>
  <c r="L39" i="18"/>
  <c r="M39" i="18"/>
  <c r="K40" i="18"/>
  <c r="L40" i="18"/>
  <c r="M40" i="18"/>
  <c r="K41" i="18"/>
  <c r="L41" i="18"/>
  <c r="M41" i="18"/>
  <c r="K42" i="18"/>
  <c r="L42" i="18"/>
  <c r="M42" i="18"/>
  <c r="K43" i="18"/>
  <c r="L43" i="18"/>
  <c r="M43" i="18"/>
  <c r="K44" i="18"/>
  <c r="L44" i="18"/>
  <c r="M44" i="18"/>
  <c r="K45" i="18"/>
  <c r="L45" i="18"/>
  <c r="M45" i="18"/>
  <c r="K46" i="18"/>
  <c r="L46" i="18"/>
  <c r="M46" i="18"/>
  <c r="K47" i="18"/>
  <c r="L47" i="18"/>
  <c r="M47" i="18"/>
  <c r="K48" i="18"/>
  <c r="L48" i="18"/>
  <c r="M48" i="18"/>
  <c r="K49" i="18"/>
  <c r="L49" i="18"/>
  <c r="M49" i="18"/>
  <c r="K50" i="18"/>
  <c r="L50" i="18"/>
  <c r="M50" i="18"/>
  <c r="K51" i="18"/>
  <c r="L51" i="18"/>
  <c r="M51" i="18"/>
  <c r="K52" i="18"/>
  <c r="L52" i="18"/>
  <c r="M52" i="18"/>
  <c r="K53" i="18"/>
  <c r="L53" i="18"/>
  <c r="M53" i="18"/>
  <c r="K54" i="18"/>
  <c r="L54" i="18"/>
  <c r="M54" i="18"/>
  <c r="K55" i="18"/>
  <c r="L55" i="18"/>
  <c r="M55" i="18"/>
  <c r="K56" i="18"/>
  <c r="L56" i="18"/>
  <c r="M56" i="18"/>
  <c r="K57" i="18"/>
  <c r="L57" i="18"/>
  <c r="M57" i="18"/>
  <c r="K58" i="18"/>
  <c r="L58" i="18"/>
  <c r="M58" i="18"/>
  <c r="K59" i="18"/>
  <c r="L59" i="18"/>
  <c r="M59" i="18"/>
  <c r="K60" i="18"/>
  <c r="L60" i="18"/>
  <c r="M60" i="18"/>
  <c r="K61" i="18"/>
  <c r="L61" i="18"/>
  <c r="M61" i="18"/>
  <c r="K62" i="18"/>
  <c r="L62" i="18"/>
  <c r="M62" i="18"/>
  <c r="K63" i="18"/>
  <c r="L63" i="18"/>
  <c r="M63" i="18"/>
  <c r="K64" i="18"/>
  <c r="L64" i="18"/>
  <c r="M64" i="18"/>
  <c r="L35" i="18"/>
  <c r="M35" i="18"/>
  <c r="K35" i="18"/>
  <c r="G77" i="18"/>
  <c r="F77" i="18"/>
  <c r="E77" i="18"/>
  <c r="R68" i="18" l="1"/>
  <c r="S68" i="18" s="1"/>
  <c r="T68" i="18" s="1"/>
  <c r="U68" i="18" s="1"/>
  <c r="V68" i="18" s="1"/>
  <c r="W68" i="18" s="1"/>
  <c r="X68" i="18" s="1"/>
  <c r="Y68" i="18" s="1"/>
  <c r="Z68" i="18" s="1"/>
  <c r="AA68" i="18" s="1"/>
  <c r="AB68" i="18" s="1"/>
  <c r="AC68" i="18" s="1"/>
  <c r="AD68" i="18" s="1"/>
  <c r="AE68" i="18" s="1"/>
  <c r="AF68" i="18" s="1"/>
  <c r="AG68" i="18" s="1"/>
  <c r="AH68" i="18" s="1"/>
  <c r="AI68" i="18" s="1"/>
  <c r="AJ68" i="18" s="1"/>
  <c r="AK68" i="18" s="1"/>
  <c r="AL68" i="18" s="1"/>
  <c r="AM68" i="18" s="1"/>
  <c r="AN68" i="18" s="1"/>
  <c r="AO68" i="18" s="1"/>
  <c r="AP68" i="18" s="1"/>
  <c r="AQ68" i="18" s="1"/>
  <c r="AR68" i="18" s="1"/>
  <c r="AS68" i="18" s="1"/>
  <c r="AS98" i="18" s="1"/>
  <c r="Q101" i="18"/>
  <c r="R101" i="18" s="1"/>
  <c r="S101" i="18" s="1"/>
  <c r="T101" i="18" s="1"/>
  <c r="U101" i="18" s="1"/>
  <c r="V101" i="18" s="1"/>
  <c r="W101" i="18" s="1"/>
  <c r="X101" i="18" s="1"/>
  <c r="Y101" i="18" s="1"/>
  <c r="Z101" i="18" s="1"/>
  <c r="AA101" i="18" s="1"/>
  <c r="AB101" i="18" s="1"/>
  <c r="AC101" i="18" s="1"/>
  <c r="AD101" i="18" s="1"/>
  <c r="AE101" i="18" s="1"/>
  <c r="AF101" i="18" s="1"/>
  <c r="AG101" i="18" s="1"/>
  <c r="AH101" i="18" s="1"/>
  <c r="AI101" i="18" s="1"/>
  <c r="AJ101" i="18" s="1"/>
  <c r="AK101" i="18" s="1"/>
  <c r="AL101" i="18" s="1"/>
  <c r="AM101" i="18" s="1"/>
  <c r="AN101" i="18" s="1"/>
  <c r="AO101" i="18" s="1"/>
  <c r="AP101" i="18" s="1"/>
  <c r="AQ101" i="18" s="1"/>
  <c r="AR101" i="18" s="1"/>
  <c r="AS101" i="18" s="1"/>
  <c r="AR97" i="18"/>
  <c r="AS111" i="11"/>
  <c r="AS4" i="20"/>
  <c r="AQ97" i="18"/>
  <c r="AO97" i="18"/>
  <c r="AP97" i="18"/>
  <c r="AP98" i="18"/>
  <c r="AN98" i="18"/>
  <c r="AC51" i="11"/>
  <c r="AB55" i="11"/>
  <c r="AL96" i="18"/>
  <c r="AP96" i="18"/>
  <c r="AQ96" i="18"/>
  <c r="AS96" i="18"/>
  <c r="AO96" i="18"/>
  <c r="AL95" i="18"/>
  <c r="AK95" i="18"/>
  <c r="AS95" i="18"/>
  <c r="AM95" i="18"/>
  <c r="AN95" i="18"/>
  <c r="AR95" i="18"/>
  <c r="AO95" i="18"/>
  <c r="W41" i="11"/>
  <c r="W42" i="11"/>
  <c r="W43" i="11"/>
  <c r="W44" i="11"/>
  <c r="W40" i="11"/>
  <c r="S41" i="11"/>
  <c r="S42" i="11"/>
  <c r="S43" i="11"/>
  <c r="S44" i="11"/>
  <c r="S40" i="11"/>
  <c r="X28" i="11"/>
  <c r="X39" i="11" s="1"/>
  <c r="B232" i="11"/>
  <c r="B200" i="11"/>
  <c r="B189" i="11"/>
  <c r="B179" i="11"/>
  <c r="B162" i="11"/>
  <c r="B153" i="11"/>
  <c r="B231" i="11"/>
  <c r="B224" i="11"/>
  <c r="B199" i="11"/>
  <c r="B188" i="11"/>
  <c r="G195" i="11"/>
  <c r="G184" i="11"/>
  <c r="X384" i="11"/>
  <c r="X385" i="11"/>
  <c r="X386" i="11"/>
  <c r="X387" i="11"/>
  <c r="X599" i="11" s="1"/>
  <c r="X388" i="11"/>
  <c r="AR96" i="18" l="1"/>
  <c r="AM96" i="18"/>
  <c r="AS94" i="18"/>
  <c r="AR98" i="18"/>
  <c r="AN97" i="18"/>
  <c r="AM97" i="18"/>
  <c r="AQ95" i="18"/>
  <c r="AP95" i="18"/>
  <c r="AN96" i="18"/>
  <c r="AK96" i="18"/>
  <c r="AQ98" i="18"/>
  <c r="AS97" i="18"/>
  <c r="AO98" i="18"/>
  <c r="AT111" i="11"/>
  <c r="AU111" i="11" s="1"/>
  <c r="AV111" i="11" s="1"/>
  <c r="AW111" i="11" s="1"/>
  <c r="AX111" i="11" s="1"/>
  <c r="AY111" i="11" s="1"/>
  <c r="AZ111" i="11" s="1"/>
  <c r="BA111" i="11" s="1"/>
  <c r="AT4" i="20"/>
  <c r="AD51" i="11"/>
  <c r="AC55" i="11"/>
  <c r="X389" i="11"/>
  <c r="AU4" i="20" l="1"/>
  <c r="AE51" i="11"/>
  <c r="AD55" i="11"/>
  <c r="H288" i="16"/>
  <c r="G288" i="16"/>
  <c r="F288" i="16"/>
  <c r="E288" i="16"/>
  <c r="D288" i="16"/>
  <c r="C288" i="16"/>
  <c r="H287" i="16"/>
  <c r="G287" i="16"/>
  <c r="F287" i="16"/>
  <c r="E287" i="16"/>
  <c r="D287" i="16"/>
  <c r="C287" i="16"/>
  <c r="H286" i="16"/>
  <c r="G286" i="16"/>
  <c r="F286" i="16"/>
  <c r="E286" i="16"/>
  <c r="D286" i="16"/>
  <c r="C286" i="16"/>
  <c r="H285" i="16"/>
  <c r="G285" i="16"/>
  <c r="F285" i="16"/>
  <c r="E285" i="16"/>
  <c r="D285" i="16"/>
  <c r="C285" i="16"/>
  <c r="H284" i="16"/>
  <c r="G284" i="16"/>
  <c r="F284" i="16"/>
  <c r="E284" i="16"/>
  <c r="D284" i="16"/>
  <c r="C284" i="16"/>
  <c r="H283" i="16"/>
  <c r="G283" i="16"/>
  <c r="F283" i="16"/>
  <c r="E283" i="16"/>
  <c r="D283" i="16"/>
  <c r="C283" i="16"/>
  <c r="H282" i="16"/>
  <c r="G282" i="16"/>
  <c r="F282" i="16"/>
  <c r="E282" i="16"/>
  <c r="D282" i="16"/>
  <c r="C282" i="16"/>
  <c r="H281" i="16"/>
  <c r="G281" i="16"/>
  <c r="F281" i="16"/>
  <c r="E281" i="16"/>
  <c r="D281" i="16"/>
  <c r="C281" i="16"/>
  <c r="H280" i="16"/>
  <c r="G280" i="16"/>
  <c r="F280" i="16"/>
  <c r="E280" i="16"/>
  <c r="D280" i="16"/>
  <c r="C280" i="16"/>
  <c r="H279" i="16"/>
  <c r="G279" i="16"/>
  <c r="F279" i="16"/>
  <c r="E279" i="16"/>
  <c r="D279" i="16"/>
  <c r="C279" i="16"/>
  <c r="H278" i="16"/>
  <c r="G278" i="16"/>
  <c r="F278" i="16"/>
  <c r="E278" i="16"/>
  <c r="D278" i="16"/>
  <c r="C278" i="16"/>
  <c r="H277" i="16"/>
  <c r="G277" i="16"/>
  <c r="F277" i="16"/>
  <c r="E277" i="16"/>
  <c r="D277" i="16"/>
  <c r="C277" i="16"/>
  <c r="H276" i="16"/>
  <c r="G276" i="16"/>
  <c r="F276" i="16"/>
  <c r="E276" i="16"/>
  <c r="D276" i="16"/>
  <c r="C276" i="16"/>
  <c r="H275" i="16"/>
  <c r="G275" i="16"/>
  <c r="F275" i="16"/>
  <c r="E275" i="16"/>
  <c r="D275" i="16"/>
  <c r="C275" i="16"/>
  <c r="H274" i="16"/>
  <c r="G274" i="16"/>
  <c r="F274" i="16"/>
  <c r="E274" i="16"/>
  <c r="D274" i="16"/>
  <c r="C274" i="16"/>
  <c r="H273" i="16"/>
  <c r="G273" i="16"/>
  <c r="F273" i="16"/>
  <c r="E273" i="16"/>
  <c r="D273" i="16"/>
  <c r="C273" i="16"/>
  <c r="H272" i="16"/>
  <c r="G272" i="16"/>
  <c r="F272" i="16"/>
  <c r="E272" i="16"/>
  <c r="D272" i="16"/>
  <c r="C272" i="16"/>
  <c r="H271" i="16"/>
  <c r="G271" i="16"/>
  <c r="F271" i="16"/>
  <c r="E271" i="16"/>
  <c r="D271" i="16"/>
  <c r="C271" i="16"/>
  <c r="H270" i="16"/>
  <c r="G270" i="16"/>
  <c r="F270" i="16"/>
  <c r="E270" i="16"/>
  <c r="D270" i="16"/>
  <c r="C270" i="16"/>
  <c r="H269" i="16"/>
  <c r="G269" i="16"/>
  <c r="F269" i="16"/>
  <c r="E269" i="16"/>
  <c r="D269" i="16"/>
  <c r="C269" i="16"/>
  <c r="H268" i="16"/>
  <c r="G268" i="16"/>
  <c r="F268" i="16"/>
  <c r="E268" i="16"/>
  <c r="D268" i="16"/>
  <c r="C268" i="16"/>
  <c r="H267" i="16"/>
  <c r="G267" i="16"/>
  <c r="F267" i="16"/>
  <c r="E267" i="16"/>
  <c r="D267" i="16"/>
  <c r="C267" i="16"/>
  <c r="H266" i="16"/>
  <c r="G266" i="16"/>
  <c r="F266" i="16"/>
  <c r="E266" i="16"/>
  <c r="D266" i="16"/>
  <c r="C266" i="16"/>
  <c r="H265" i="16"/>
  <c r="G265" i="16"/>
  <c r="F265" i="16"/>
  <c r="E265" i="16"/>
  <c r="D265" i="16"/>
  <c r="C265" i="16"/>
  <c r="H264" i="16"/>
  <c r="G264" i="16"/>
  <c r="F264" i="16"/>
  <c r="E264" i="16"/>
  <c r="D264" i="16"/>
  <c r="C264" i="16"/>
  <c r="H263" i="16"/>
  <c r="G263" i="16"/>
  <c r="F263" i="16"/>
  <c r="E263" i="16"/>
  <c r="D263" i="16"/>
  <c r="C263" i="16"/>
  <c r="H262" i="16"/>
  <c r="G262" i="16"/>
  <c r="F262" i="16"/>
  <c r="E262" i="16"/>
  <c r="D262" i="16"/>
  <c r="C262" i="16"/>
  <c r="H261" i="16"/>
  <c r="G261" i="16"/>
  <c r="F261" i="16"/>
  <c r="E261" i="16"/>
  <c r="D261" i="16"/>
  <c r="C261" i="16"/>
  <c r="H260" i="16"/>
  <c r="G260" i="16"/>
  <c r="F260" i="16"/>
  <c r="E260" i="16"/>
  <c r="D260" i="16"/>
  <c r="C260" i="16"/>
  <c r="H259" i="16"/>
  <c r="G259" i="16"/>
  <c r="F259" i="16"/>
  <c r="E259" i="16"/>
  <c r="D259" i="16"/>
  <c r="C259" i="16"/>
  <c r="H258" i="16"/>
  <c r="G258" i="16"/>
  <c r="F258" i="16"/>
  <c r="E258" i="16"/>
  <c r="D258" i="16"/>
  <c r="C258" i="16"/>
  <c r="H257" i="16"/>
  <c r="G257" i="16"/>
  <c r="F257" i="16"/>
  <c r="NZ376" i="16" s="1"/>
  <c r="E257" i="16"/>
  <c r="NY376" i="16" s="1"/>
  <c r="D257" i="16"/>
  <c r="NX376" i="16" s="1"/>
  <c r="C257" i="16"/>
  <c r="NW376" i="16" s="1"/>
  <c r="H256" i="16"/>
  <c r="G256" i="16"/>
  <c r="F256" i="16"/>
  <c r="E256" i="16"/>
  <c r="D256" i="16"/>
  <c r="C256" i="16"/>
  <c r="H255" i="16"/>
  <c r="G255" i="16"/>
  <c r="F255" i="16"/>
  <c r="E255" i="16"/>
  <c r="D255" i="16"/>
  <c r="C255" i="16"/>
  <c r="H254" i="16"/>
  <c r="G254" i="16"/>
  <c r="F254" i="16"/>
  <c r="E254" i="16"/>
  <c r="D254" i="16"/>
  <c r="C254" i="16"/>
  <c r="H253" i="16"/>
  <c r="G253" i="16"/>
  <c r="F253" i="16"/>
  <c r="E253" i="16"/>
  <c r="D253" i="16"/>
  <c r="C253" i="16"/>
  <c r="C389" i="21" l="1"/>
  <c r="OH376" i="16"/>
  <c r="C397" i="21" s="1"/>
  <c r="OP376" i="16"/>
  <c r="C405" i="21" s="1"/>
  <c r="OX376" i="16"/>
  <c r="C413" i="21" s="1"/>
  <c r="PF376" i="16"/>
  <c r="C421" i="21" s="1"/>
  <c r="PN376" i="16"/>
  <c r="C429" i="21" s="1"/>
  <c r="PV376" i="16"/>
  <c r="C437" i="21" s="1"/>
  <c r="QH376" i="16"/>
  <c r="C449" i="21" s="1"/>
  <c r="QP376" i="16"/>
  <c r="C457" i="21" s="1"/>
  <c r="QX376" i="16"/>
  <c r="C465" i="21" s="1"/>
  <c r="RF376" i="16"/>
  <c r="C473" i="21" s="1"/>
  <c r="RR376" i="16"/>
  <c r="C485" i="21" s="1"/>
  <c r="RZ376" i="16"/>
  <c r="SL376" i="16"/>
  <c r="C505" i="21" s="1"/>
  <c r="ST376" i="16"/>
  <c r="C513" i="21" s="1"/>
  <c r="TB376" i="16"/>
  <c r="C521" i="21" s="1"/>
  <c r="TJ376" i="16"/>
  <c r="C529" i="21" s="1"/>
  <c r="TN376" i="16"/>
  <c r="C533" i="21" s="1"/>
  <c r="TV376" i="16"/>
  <c r="C541" i="21" s="1"/>
  <c r="UD376" i="16"/>
  <c r="C549" i="21" s="1"/>
  <c r="C585" i="21"/>
  <c r="UP376" i="16"/>
  <c r="C597" i="21"/>
  <c r="VB376" i="16"/>
  <c r="C573" i="21" s="1"/>
  <c r="C386" i="21"/>
  <c r="OE376" i="16"/>
  <c r="C394" i="21" s="1"/>
  <c r="OM376" i="16"/>
  <c r="C402" i="21" s="1"/>
  <c r="OU376" i="16"/>
  <c r="C410" i="21" s="1"/>
  <c r="PC376" i="16"/>
  <c r="C418" i="21" s="1"/>
  <c r="PK376" i="16"/>
  <c r="C426" i="21" s="1"/>
  <c r="PS376" i="16"/>
  <c r="C434" i="21" s="1"/>
  <c r="PW376" i="16"/>
  <c r="C438" i="21" s="1"/>
  <c r="QI376" i="16"/>
  <c r="C450" i="21" s="1"/>
  <c r="QQ376" i="16"/>
  <c r="C458" i="21" s="1"/>
  <c r="QY376" i="16"/>
  <c r="C466" i="21" s="1"/>
  <c r="RG376" i="16"/>
  <c r="C474" i="21" s="1"/>
  <c r="RO376" i="16"/>
  <c r="C482" i="21" s="1"/>
  <c r="RW376" i="16"/>
  <c r="C490" i="21" s="1"/>
  <c r="SE376" i="16"/>
  <c r="C498" i="21" s="1"/>
  <c r="SM376" i="16"/>
  <c r="C506" i="21" s="1"/>
  <c r="SU376" i="16"/>
  <c r="C514" i="21" s="1"/>
  <c r="TC376" i="16"/>
  <c r="C522" i="21" s="1"/>
  <c r="TK376" i="16"/>
  <c r="C530" i="21" s="1"/>
  <c r="TS376" i="16"/>
  <c r="C538" i="21" s="1"/>
  <c r="UA376" i="16"/>
  <c r="C546" i="21" s="1"/>
  <c r="C578" i="21"/>
  <c r="UI376" i="16"/>
  <c r="C554" i="21" s="1"/>
  <c r="C586" i="21"/>
  <c r="UQ376" i="16"/>
  <c r="C562" i="21" s="1"/>
  <c r="C590" i="21"/>
  <c r="UU376" i="16"/>
  <c r="C598" i="21"/>
  <c r="VC376" i="16"/>
  <c r="C387" i="21"/>
  <c r="OB376" i="16"/>
  <c r="C391" i="21" s="1"/>
  <c r="OF376" i="16"/>
  <c r="C395" i="21" s="1"/>
  <c r="OJ376" i="16"/>
  <c r="C399" i="21" s="1"/>
  <c r="ON376" i="16"/>
  <c r="C403" i="21" s="1"/>
  <c r="OR376" i="16"/>
  <c r="C407" i="21" s="1"/>
  <c r="OV376" i="16"/>
  <c r="C411" i="21" s="1"/>
  <c r="OZ376" i="16"/>
  <c r="C415" i="21" s="1"/>
  <c r="PD376" i="16"/>
  <c r="C419" i="21" s="1"/>
  <c r="PH376" i="16"/>
  <c r="C423" i="21" s="1"/>
  <c r="PL376" i="16"/>
  <c r="C427" i="21" s="1"/>
  <c r="PP376" i="16"/>
  <c r="C431" i="21" s="1"/>
  <c r="PT376" i="16"/>
  <c r="C435" i="21" s="1"/>
  <c r="PX376" i="16"/>
  <c r="C439" i="21" s="1"/>
  <c r="QB376" i="16"/>
  <c r="C443" i="21" s="1"/>
  <c r="QF376" i="16"/>
  <c r="C447" i="21" s="1"/>
  <c r="QJ376" i="16"/>
  <c r="C451" i="21" s="1"/>
  <c r="QN376" i="16"/>
  <c r="C455" i="21" s="1"/>
  <c r="QR376" i="16"/>
  <c r="C459" i="21" s="1"/>
  <c r="QV376" i="16"/>
  <c r="C463" i="21" s="1"/>
  <c r="QZ376" i="16"/>
  <c r="C467" i="21" s="1"/>
  <c r="RD376" i="16"/>
  <c r="C471" i="21" s="1"/>
  <c r="RH376" i="16"/>
  <c r="C475" i="21" s="1"/>
  <c r="RL376" i="16"/>
  <c r="C479" i="21" s="1"/>
  <c r="RP376" i="16"/>
  <c r="C483" i="21" s="1"/>
  <c r="RT376" i="16"/>
  <c r="C487" i="21" s="1"/>
  <c r="RX376" i="16"/>
  <c r="C491" i="21" s="1"/>
  <c r="SB376" i="16"/>
  <c r="C495" i="21" s="1"/>
  <c r="SF376" i="16"/>
  <c r="C499" i="21" s="1"/>
  <c r="SJ376" i="16"/>
  <c r="C503" i="21" s="1"/>
  <c r="SN376" i="16"/>
  <c r="C507" i="21" s="1"/>
  <c r="SR376" i="16"/>
  <c r="C511" i="21" s="1"/>
  <c r="SV376" i="16"/>
  <c r="C515" i="21" s="1"/>
  <c r="SZ376" i="16"/>
  <c r="C519" i="21" s="1"/>
  <c r="TD376" i="16"/>
  <c r="C523" i="21" s="1"/>
  <c r="TH376" i="16"/>
  <c r="C527" i="21" s="1"/>
  <c r="TL376" i="16"/>
  <c r="C531" i="21" s="1"/>
  <c r="TP376" i="16"/>
  <c r="C535" i="21" s="1"/>
  <c r="TT376" i="16"/>
  <c r="C539" i="21" s="1"/>
  <c r="TX376" i="16"/>
  <c r="C543" i="21" s="1"/>
  <c r="UB376" i="16"/>
  <c r="C547" i="21" s="1"/>
  <c r="UF376" i="16"/>
  <c r="C551" i="21" s="1"/>
  <c r="C579" i="21"/>
  <c r="UJ376" i="16"/>
  <c r="C555" i="21" s="1"/>
  <c r="C583" i="21"/>
  <c r="UN376" i="16"/>
  <c r="C559" i="21" s="1"/>
  <c r="C587" i="21"/>
  <c r="UR376" i="16"/>
  <c r="C563" i="21" s="1"/>
  <c r="C591" i="21"/>
  <c r="UV376" i="16"/>
  <c r="C567" i="21" s="1"/>
  <c r="C595" i="21"/>
  <c r="UZ376" i="16"/>
  <c r="C571" i="21" s="1"/>
  <c r="C599" i="21"/>
  <c r="VD376" i="16"/>
  <c r="C575" i="21" s="1"/>
  <c r="OD376" i="16"/>
  <c r="C393" i="21" s="1"/>
  <c r="OL376" i="16"/>
  <c r="C401" i="21" s="1"/>
  <c r="OT376" i="16"/>
  <c r="C409" i="21" s="1"/>
  <c r="PB376" i="16"/>
  <c r="C417" i="21" s="1"/>
  <c r="PJ376" i="16"/>
  <c r="C425" i="21" s="1"/>
  <c r="PR376" i="16"/>
  <c r="C433" i="21" s="1"/>
  <c r="PZ376" i="16"/>
  <c r="C441" i="21" s="1"/>
  <c r="QD376" i="16"/>
  <c r="C445" i="21" s="1"/>
  <c r="QL376" i="16"/>
  <c r="C453" i="21" s="1"/>
  <c r="QT376" i="16"/>
  <c r="C461" i="21" s="1"/>
  <c r="C493" i="21"/>
  <c r="RB376" i="16"/>
  <c r="C469" i="21" s="1"/>
  <c r="RJ376" i="16"/>
  <c r="C477" i="21" s="1"/>
  <c r="RN376" i="16"/>
  <c r="C481" i="21" s="1"/>
  <c r="RV376" i="16"/>
  <c r="C489" i="21" s="1"/>
  <c r="SD376" i="16"/>
  <c r="C497" i="21" s="1"/>
  <c r="SH376" i="16"/>
  <c r="C501" i="21" s="1"/>
  <c r="SP376" i="16"/>
  <c r="C509" i="21" s="1"/>
  <c r="SX376" i="16"/>
  <c r="C517" i="21" s="1"/>
  <c r="TF376" i="16"/>
  <c r="C525" i="21" s="1"/>
  <c r="C561" i="21"/>
  <c r="TR376" i="16"/>
  <c r="C537" i="21" s="1"/>
  <c r="TZ376" i="16"/>
  <c r="C545" i="21" s="1"/>
  <c r="UH376" i="16"/>
  <c r="C553" i="21" s="1"/>
  <c r="C581" i="21"/>
  <c r="UL376" i="16"/>
  <c r="C557" i="21" s="1"/>
  <c r="C589" i="21"/>
  <c r="UT376" i="16"/>
  <c r="C565" i="21" s="1"/>
  <c r="C593" i="21"/>
  <c r="UX376" i="16"/>
  <c r="C569" i="21" s="1"/>
  <c r="C601" i="21"/>
  <c r="VF376" i="16"/>
  <c r="C577" i="21" s="1"/>
  <c r="OA376" i="16"/>
  <c r="C390" i="21" s="1"/>
  <c r="OI376" i="16"/>
  <c r="C398" i="21" s="1"/>
  <c r="OQ376" i="16"/>
  <c r="C406" i="21" s="1"/>
  <c r="OY376" i="16"/>
  <c r="C414" i="21" s="1"/>
  <c r="PG376" i="16"/>
  <c r="C422" i="21" s="1"/>
  <c r="PO376" i="16"/>
  <c r="C430" i="21" s="1"/>
  <c r="QA376" i="16"/>
  <c r="C442" i="21" s="1"/>
  <c r="QE376" i="16"/>
  <c r="C446" i="21" s="1"/>
  <c r="QM376" i="16"/>
  <c r="C454" i="21" s="1"/>
  <c r="QU376" i="16"/>
  <c r="C462" i="21" s="1"/>
  <c r="RC376" i="16"/>
  <c r="C470" i="21" s="1"/>
  <c r="RK376" i="16"/>
  <c r="C478" i="21" s="1"/>
  <c r="RS376" i="16"/>
  <c r="C486" i="21" s="1"/>
  <c r="SA376" i="16"/>
  <c r="C494" i="21" s="1"/>
  <c r="SI376" i="16"/>
  <c r="C502" i="21" s="1"/>
  <c r="SQ376" i="16"/>
  <c r="C510" i="21" s="1"/>
  <c r="SY376" i="16"/>
  <c r="C518" i="21" s="1"/>
  <c r="TG376" i="16"/>
  <c r="C526" i="21" s="1"/>
  <c r="TO376" i="16"/>
  <c r="C534" i="21" s="1"/>
  <c r="C566" i="21"/>
  <c r="TW376" i="16"/>
  <c r="C542" i="21" s="1"/>
  <c r="C574" i="21"/>
  <c r="UE376" i="16"/>
  <c r="C550" i="21" s="1"/>
  <c r="C582" i="21"/>
  <c r="UM376" i="16"/>
  <c r="C558" i="21" s="1"/>
  <c r="C594" i="21"/>
  <c r="UY376" i="16"/>
  <c r="C570" i="21" s="1"/>
  <c r="C388" i="21"/>
  <c r="OC376" i="16"/>
  <c r="C392" i="21" s="1"/>
  <c r="OG376" i="16"/>
  <c r="C396" i="21" s="1"/>
  <c r="OK376" i="16"/>
  <c r="C400" i="21" s="1"/>
  <c r="OO376" i="16"/>
  <c r="C404" i="21" s="1"/>
  <c r="OS376" i="16"/>
  <c r="C408" i="21" s="1"/>
  <c r="OW376" i="16"/>
  <c r="C412" i="21" s="1"/>
  <c r="PA376" i="16"/>
  <c r="C416" i="21" s="1"/>
  <c r="PE376" i="16"/>
  <c r="C420" i="21" s="1"/>
  <c r="PI376" i="16"/>
  <c r="C424" i="21" s="1"/>
  <c r="PM376" i="16"/>
  <c r="C428" i="21" s="1"/>
  <c r="PQ376" i="16"/>
  <c r="C432" i="21" s="1"/>
  <c r="PU376" i="16"/>
  <c r="C436" i="21" s="1"/>
  <c r="PY376" i="16"/>
  <c r="C440" i="21" s="1"/>
  <c r="QC376" i="16"/>
  <c r="C444" i="21" s="1"/>
  <c r="QG376" i="16"/>
  <c r="C448" i="21" s="1"/>
  <c r="QK376" i="16"/>
  <c r="C452" i="21" s="1"/>
  <c r="QO376" i="16"/>
  <c r="C456" i="21" s="1"/>
  <c r="QS376" i="16"/>
  <c r="C460" i="21" s="1"/>
  <c r="QW376" i="16"/>
  <c r="C464" i="21" s="1"/>
  <c r="RA376" i="16"/>
  <c r="C468" i="21" s="1"/>
  <c r="RE376" i="16"/>
  <c r="C472" i="21" s="1"/>
  <c r="RI376" i="16"/>
  <c r="C476" i="21" s="1"/>
  <c r="RM376" i="16"/>
  <c r="C480" i="21" s="1"/>
  <c r="RQ376" i="16"/>
  <c r="C484" i="21" s="1"/>
  <c r="RU376" i="16"/>
  <c r="C488" i="21" s="1"/>
  <c r="RY376" i="16"/>
  <c r="C492" i="21" s="1"/>
  <c r="SC376" i="16"/>
  <c r="C496" i="21" s="1"/>
  <c r="SG376" i="16"/>
  <c r="C500" i="21" s="1"/>
  <c r="SK376" i="16"/>
  <c r="C504" i="21" s="1"/>
  <c r="SO376" i="16"/>
  <c r="C508" i="21" s="1"/>
  <c r="SS376" i="16"/>
  <c r="C512" i="21" s="1"/>
  <c r="SW376" i="16"/>
  <c r="C516" i="21" s="1"/>
  <c r="TA376" i="16"/>
  <c r="C520" i="21" s="1"/>
  <c r="TE376" i="16"/>
  <c r="C524" i="21" s="1"/>
  <c r="TI376" i="16"/>
  <c r="C528" i="21" s="1"/>
  <c r="TM376" i="16"/>
  <c r="C532" i="21" s="1"/>
  <c r="TQ376" i="16"/>
  <c r="C536" i="21" s="1"/>
  <c r="TU376" i="16"/>
  <c r="C540" i="21" s="1"/>
  <c r="TY376" i="16"/>
  <c r="C544" i="21" s="1"/>
  <c r="UC376" i="16"/>
  <c r="C548" i="21" s="1"/>
  <c r="UG376" i="16"/>
  <c r="C552" i="21" s="1"/>
  <c r="C580" i="21"/>
  <c r="UK376" i="16"/>
  <c r="C556" i="21" s="1"/>
  <c r="C584" i="21"/>
  <c r="UO376" i="16"/>
  <c r="C560" i="21" s="1"/>
  <c r="C588" i="21"/>
  <c r="US376" i="16"/>
  <c r="C564" i="21" s="1"/>
  <c r="C592" i="21"/>
  <c r="UW376" i="16"/>
  <c r="C568" i="21" s="1"/>
  <c r="C596" i="21"/>
  <c r="VA376" i="16"/>
  <c r="C572" i="21" s="1"/>
  <c r="C600" i="21"/>
  <c r="VE376" i="16"/>
  <c r="C576" i="21" s="1"/>
  <c r="AV4" i="20"/>
  <c r="AF51" i="11"/>
  <c r="AE55" i="11"/>
  <c r="X59" i="11"/>
  <c r="X502" i="11" s="1"/>
  <c r="X62" i="11"/>
  <c r="X510" i="11" s="1"/>
  <c r="Y102" i="11"/>
  <c r="Z102" i="11" s="1"/>
  <c r="AA102" i="11" s="1"/>
  <c r="AB102" i="11" s="1"/>
  <c r="AC102" i="11" s="1"/>
  <c r="AD102" i="11" s="1"/>
  <c r="AE102" i="11" s="1"/>
  <c r="AF102" i="11" s="1"/>
  <c r="AG102" i="11" s="1"/>
  <c r="X170" i="11"/>
  <c r="X629" i="11" s="1"/>
  <c r="X630" i="11" s="1"/>
  <c r="P10" i="18"/>
  <c r="Q10" i="18" s="1"/>
  <c r="P11" i="18"/>
  <c r="Q11" i="18" s="1"/>
  <c r="P12" i="18"/>
  <c r="Q12" i="18" s="1"/>
  <c r="P13" i="18"/>
  <c r="Q13" i="18" s="1"/>
  <c r="P14" i="18"/>
  <c r="Q14" i="18" s="1"/>
  <c r="P15" i="18"/>
  <c r="Q15" i="18" s="1"/>
  <c r="Q19" i="18"/>
  <c r="R19" i="18" s="1"/>
  <c r="S19" i="18" s="1"/>
  <c r="T19" i="18" s="1"/>
  <c r="U19" i="18" s="1"/>
  <c r="V19" i="18" s="1"/>
  <c r="W19" i="18" s="1"/>
  <c r="X19" i="18" s="1"/>
  <c r="Y19" i="18" s="1"/>
  <c r="Z19" i="18" s="1"/>
  <c r="AA19" i="18" s="1"/>
  <c r="AB19" i="18" s="1"/>
  <c r="AC19" i="18" s="1"/>
  <c r="AD19" i="18" s="1"/>
  <c r="AE19" i="18" s="1"/>
  <c r="AF19" i="18" s="1"/>
  <c r="AG19" i="18" s="1"/>
  <c r="AH19" i="18" s="1"/>
  <c r="AI19" i="18" s="1"/>
  <c r="AJ19" i="18" s="1"/>
  <c r="AK19" i="18" s="1"/>
  <c r="AL19" i="18" s="1"/>
  <c r="AM19" i="18" s="1"/>
  <c r="AN19" i="18" s="1"/>
  <c r="AO19" i="18" s="1"/>
  <c r="AP19" i="18" s="1"/>
  <c r="AQ19" i="18" s="1"/>
  <c r="AR19" i="18" s="1"/>
  <c r="AS19" i="18" s="1"/>
  <c r="B18" i="18"/>
  <c r="B19" i="18"/>
  <c r="B20" i="18"/>
  <c r="B21" i="18"/>
  <c r="B22" i="18"/>
  <c r="B17" i="18"/>
  <c r="N36" i="18"/>
  <c r="Y170" i="11" l="1"/>
  <c r="Y629" i="11" s="1"/>
  <c r="X321" i="11"/>
  <c r="AW4" i="20"/>
  <c r="AH102" i="11"/>
  <c r="AI102" i="11" s="1"/>
  <c r="AJ102" i="11" s="1"/>
  <c r="AK102" i="11" s="1"/>
  <c r="AL102" i="11" s="1"/>
  <c r="AM102" i="11" s="1"/>
  <c r="AN102" i="11" s="1"/>
  <c r="AO102" i="11" s="1"/>
  <c r="AP102" i="11" s="1"/>
  <c r="AQ102" i="11" s="1"/>
  <c r="AR102" i="11" s="1"/>
  <c r="AS102" i="11" s="1"/>
  <c r="AT102" i="11" s="1"/>
  <c r="AU102" i="11" s="1"/>
  <c r="AV102" i="11" s="1"/>
  <c r="AW102" i="11" s="1"/>
  <c r="AX102" i="11" s="1"/>
  <c r="AY102" i="11" s="1"/>
  <c r="AZ102" i="11" s="1"/>
  <c r="BA102" i="11" s="1"/>
  <c r="Z70" i="11"/>
  <c r="AD70" i="11"/>
  <c r="AH70" i="11"/>
  <c r="AL70" i="11"/>
  <c r="AP70" i="11"/>
  <c r="AT70" i="11"/>
  <c r="AX70" i="11"/>
  <c r="X70" i="11"/>
  <c r="AF70" i="11"/>
  <c r="AR70" i="11"/>
  <c r="AG70" i="11"/>
  <c r="AA70" i="11"/>
  <c r="AE70" i="11"/>
  <c r="AI70" i="11"/>
  <c r="AM70" i="11"/>
  <c r="AQ70" i="11"/>
  <c r="AU70" i="11"/>
  <c r="AY70" i="11"/>
  <c r="AB70" i="11"/>
  <c r="AN70" i="11"/>
  <c r="Y70" i="11"/>
  <c r="AJ70" i="11"/>
  <c r="AV70" i="11"/>
  <c r="AZ70" i="11"/>
  <c r="AC70" i="11"/>
  <c r="AW70" i="11"/>
  <c r="AK70" i="11"/>
  <c r="BA70" i="11"/>
  <c r="AO70" i="11"/>
  <c r="AS70" i="11"/>
  <c r="Z66" i="11"/>
  <c r="Z521" i="11" s="1"/>
  <c r="Z522" i="11" s="1"/>
  <c r="AD66" i="11"/>
  <c r="AD521" i="11" s="1"/>
  <c r="AH66" i="11"/>
  <c r="AH521" i="11" s="1"/>
  <c r="AL66" i="11"/>
  <c r="AL521" i="11" s="1"/>
  <c r="AP66" i="11"/>
  <c r="AP521" i="11" s="1"/>
  <c r="AT66" i="11"/>
  <c r="AT521" i="11" s="1"/>
  <c r="AX66" i="11"/>
  <c r="AX521" i="11" s="1"/>
  <c r="AA66" i="11"/>
  <c r="AA521" i="11" s="1"/>
  <c r="AA522" i="11" s="1"/>
  <c r="AE66" i="11"/>
  <c r="AE521" i="11" s="1"/>
  <c r="AI66" i="11"/>
  <c r="AI521" i="11" s="1"/>
  <c r="AM66" i="11"/>
  <c r="AM521" i="11" s="1"/>
  <c r="AQ66" i="11"/>
  <c r="AQ521" i="11" s="1"/>
  <c r="AU66" i="11"/>
  <c r="AU521" i="11" s="1"/>
  <c r="AY66" i="11"/>
  <c r="AY521" i="11" s="1"/>
  <c r="AF66" i="11"/>
  <c r="AF521" i="11" s="1"/>
  <c r="AN66" i="11"/>
  <c r="AN521" i="11" s="1"/>
  <c r="AV66" i="11"/>
  <c r="AV521" i="11" s="1"/>
  <c r="X66" i="11"/>
  <c r="X521" i="11" s="1"/>
  <c r="X523" i="11" s="1"/>
  <c r="BA66" i="11"/>
  <c r="BA521" i="11" s="1"/>
  <c r="Y66" i="11"/>
  <c r="Y521" i="11" s="1"/>
  <c r="Y522" i="11" s="1"/>
  <c r="AG66" i="11"/>
  <c r="AO66" i="11"/>
  <c r="AO521" i="11" s="1"/>
  <c r="AW66" i="11"/>
  <c r="AW521" i="11" s="1"/>
  <c r="AK66" i="11"/>
  <c r="AK521" i="11" s="1"/>
  <c r="AB66" i="11"/>
  <c r="AB521" i="11" s="1"/>
  <c r="AJ66" i="11"/>
  <c r="AJ521" i="11" s="1"/>
  <c r="AR66" i="11"/>
  <c r="AR521" i="11" s="1"/>
  <c r="AZ66" i="11"/>
  <c r="AZ521" i="11" s="1"/>
  <c r="AC66" i="11"/>
  <c r="AC521" i="11" s="1"/>
  <c r="AS66" i="11"/>
  <c r="AS521" i="11" s="1"/>
  <c r="AB58" i="11"/>
  <c r="AB499" i="11" s="1"/>
  <c r="AF58" i="11"/>
  <c r="AF499" i="11" s="1"/>
  <c r="AJ58" i="11"/>
  <c r="AJ499" i="11" s="1"/>
  <c r="AN58" i="11"/>
  <c r="AN499" i="11" s="1"/>
  <c r="AR58" i="11"/>
  <c r="AR499" i="11" s="1"/>
  <c r="AV58" i="11"/>
  <c r="AV499" i="11" s="1"/>
  <c r="AZ58" i="11"/>
  <c r="AZ499" i="11" s="1"/>
  <c r="Y58" i="11"/>
  <c r="Y499" i="11" s="1"/>
  <c r="Y500" i="11" s="1"/>
  <c r="AC58" i="11"/>
  <c r="AC499" i="11" s="1"/>
  <c r="AG58" i="11"/>
  <c r="AK58" i="11"/>
  <c r="AK499" i="11" s="1"/>
  <c r="AO58" i="11"/>
  <c r="AO499" i="11" s="1"/>
  <c r="AS58" i="11"/>
  <c r="AS499" i="11" s="1"/>
  <c r="AW58" i="11"/>
  <c r="AW499" i="11" s="1"/>
  <c r="BA58" i="11"/>
  <c r="BA499" i="11" s="1"/>
  <c r="AD58" i="11"/>
  <c r="AD499" i="11" s="1"/>
  <c r="AL58" i="11"/>
  <c r="AL499" i="11" s="1"/>
  <c r="AT58" i="11"/>
  <c r="AT499" i="11" s="1"/>
  <c r="X58" i="11"/>
  <c r="X499" i="11" s="1"/>
  <c r="X501" i="11" s="1"/>
  <c r="AA58" i="11"/>
  <c r="AA499" i="11" s="1"/>
  <c r="AA500" i="11" s="1"/>
  <c r="AE58" i="11"/>
  <c r="AE499" i="11" s="1"/>
  <c r="AM58" i="11"/>
  <c r="AM499" i="11" s="1"/>
  <c r="AU58" i="11"/>
  <c r="AU499" i="11" s="1"/>
  <c r="AQ58" i="11"/>
  <c r="AQ499" i="11" s="1"/>
  <c r="Z58" i="11"/>
  <c r="Z499" i="11" s="1"/>
  <c r="Z500" i="11" s="1"/>
  <c r="AH58" i="11"/>
  <c r="AH499" i="11" s="1"/>
  <c r="AP58" i="11"/>
  <c r="AP499" i="11" s="1"/>
  <c r="AX58" i="11"/>
  <c r="AX499" i="11" s="1"/>
  <c r="AI58" i="11"/>
  <c r="AI499" i="11" s="1"/>
  <c r="AY58" i="11"/>
  <c r="AY499" i="11" s="1"/>
  <c r="AA69" i="11"/>
  <c r="AA530" i="11" s="1"/>
  <c r="AA531" i="11" s="1"/>
  <c r="AE69" i="11"/>
  <c r="AE530" i="11" s="1"/>
  <c r="AI69" i="11"/>
  <c r="AI530" i="11" s="1"/>
  <c r="AM69" i="11"/>
  <c r="AM530" i="11" s="1"/>
  <c r="AQ69" i="11"/>
  <c r="AQ530" i="11" s="1"/>
  <c r="Z69" i="11"/>
  <c r="Z530" i="11" s="1"/>
  <c r="Z531" i="11" s="1"/>
  <c r="AF69" i="11"/>
  <c r="AF530" i="11" s="1"/>
  <c r="AK69" i="11"/>
  <c r="AK530" i="11" s="1"/>
  <c r="AP69" i="11"/>
  <c r="AP530" i="11" s="1"/>
  <c r="AU69" i="11"/>
  <c r="AU530" i="11" s="1"/>
  <c r="AY69" i="11"/>
  <c r="AY530" i="11" s="1"/>
  <c r="AH69" i="11"/>
  <c r="AH530" i="11" s="1"/>
  <c r="AW69" i="11"/>
  <c r="AW530" i="11" s="1"/>
  <c r="AJ69" i="11"/>
  <c r="AJ530" i="11" s="1"/>
  <c r="AX69" i="11"/>
  <c r="AX530" i="11" s="1"/>
  <c r="AB69" i="11"/>
  <c r="AB530" i="11" s="1"/>
  <c r="AG69" i="11"/>
  <c r="AL69" i="11"/>
  <c r="AL530" i="11" s="1"/>
  <c r="AR69" i="11"/>
  <c r="AR530" i="11" s="1"/>
  <c r="AV69" i="11"/>
  <c r="AV530" i="11" s="1"/>
  <c r="AZ69" i="11"/>
  <c r="AZ530" i="11" s="1"/>
  <c r="X69" i="11"/>
  <c r="X530" i="11" s="1"/>
  <c r="X532" i="11" s="1"/>
  <c r="AC69" i="11"/>
  <c r="AC530" i="11" s="1"/>
  <c r="AS69" i="11"/>
  <c r="AS530" i="11" s="1"/>
  <c r="Y69" i="11"/>
  <c r="Y530" i="11" s="1"/>
  <c r="Y531" i="11" s="1"/>
  <c r="AO69" i="11"/>
  <c r="AO530" i="11" s="1"/>
  <c r="AN69" i="11"/>
  <c r="AN530" i="11" s="1"/>
  <c r="BA69" i="11"/>
  <c r="BA530" i="11" s="1"/>
  <c r="AD69" i="11"/>
  <c r="AD530" i="11" s="1"/>
  <c r="AT69" i="11"/>
  <c r="AT530" i="11" s="1"/>
  <c r="AA65" i="11"/>
  <c r="AA518" i="11" s="1"/>
  <c r="AA519" i="11" s="1"/>
  <c r="AE65" i="11"/>
  <c r="AE518" i="11" s="1"/>
  <c r="AI65" i="11"/>
  <c r="AI518" i="11" s="1"/>
  <c r="AM65" i="11"/>
  <c r="AM518" i="11" s="1"/>
  <c r="AQ65" i="11"/>
  <c r="AQ518" i="11" s="1"/>
  <c r="AU65" i="11"/>
  <c r="AU518" i="11" s="1"/>
  <c r="AY65" i="11"/>
  <c r="AY518" i="11" s="1"/>
  <c r="AB65" i="11"/>
  <c r="AB518" i="11" s="1"/>
  <c r="AF65" i="11"/>
  <c r="AF518" i="11" s="1"/>
  <c r="AJ65" i="11"/>
  <c r="AJ518" i="11" s="1"/>
  <c r="AN65" i="11"/>
  <c r="AN518" i="11" s="1"/>
  <c r="AR65" i="11"/>
  <c r="AR518" i="11" s="1"/>
  <c r="AV65" i="11"/>
  <c r="AV518" i="11" s="1"/>
  <c r="AZ65" i="11"/>
  <c r="AZ518" i="11" s="1"/>
  <c r="AC65" i="11"/>
  <c r="AC518" i="11" s="1"/>
  <c r="AK65" i="11"/>
  <c r="AK518" i="11" s="1"/>
  <c r="AS65" i="11"/>
  <c r="AS518" i="11" s="1"/>
  <c r="BA65" i="11"/>
  <c r="BA518" i="11" s="1"/>
  <c r="Z65" i="11"/>
  <c r="Z518" i="11" s="1"/>
  <c r="Z519" i="11" s="1"/>
  <c r="AX65" i="11"/>
  <c r="AX518" i="11" s="1"/>
  <c r="AD65" i="11"/>
  <c r="AD518" i="11" s="1"/>
  <c r="AL65" i="11"/>
  <c r="AL518" i="11" s="1"/>
  <c r="AT65" i="11"/>
  <c r="AT518" i="11" s="1"/>
  <c r="X65" i="11"/>
  <c r="X518" i="11" s="1"/>
  <c r="X520" i="11" s="1"/>
  <c r="AP65" i="11"/>
  <c r="AP518" i="11" s="1"/>
  <c r="Y65" i="11"/>
  <c r="Y518" i="11" s="1"/>
  <c r="Y519" i="11" s="1"/>
  <c r="AG65" i="11"/>
  <c r="AO65" i="11"/>
  <c r="AO518" i="11" s="1"/>
  <c r="AW65" i="11"/>
  <c r="AW518" i="11" s="1"/>
  <c r="AH65" i="11"/>
  <c r="AH518" i="11" s="1"/>
  <c r="Y57" i="11"/>
  <c r="Y496" i="11" s="1"/>
  <c r="Y497" i="11" s="1"/>
  <c r="AC57" i="11"/>
  <c r="AC496" i="11" s="1"/>
  <c r="AG57" i="11"/>
  <c r="AK57" i="11"/>
  <c r="AK496" i="11" s="1"/>
  <c r="AO57" i="11"/>
  <c r="AO496" i="11" s="1"/>
  <c r="AS57" i="11"/>
  <c r="AS496" i="11" s="1"/>
  <c r="AW57" i="11"/>
  <c r="AW496" i="11" s="1"/>
  <c r="BA57" i="11"/>
  <c r="BA496" i="11" s="1"/>
  <c r="Z57" i="11"/>
  <c r="Z496" i="11" s="1"/>
  <c r="Z497" i="11" s="1"/>
  <c r="AD57" i="11"/>
  <c r="AD496" i="11" s="1"/>
  <c r="AH57" i="11"/>
  <c r="AH496" i="11" s="1"/>
  <c r="AL57" i="11"/>
  <c r="AL496" i="11" s="1"/>
  <c r="AP57" i="11"/>
  <c r="AP496" i="11" s="1"/>
  <c r="AT57" i="11"/>
  <c r="AT496" i="11" s="1"/>
  <c r="AX57" i="11"/>
  <c r="AX496" i="11" s="1"/>
  <c r="AA57" i="11"/>
  <c r="AA496" i="11" s="1"/>
  <c r="AA497" i="11" s="1"/>
  <c r="AI57" i="11"/>
  <c r="AI496" i="11" s="1"/>
  <c r="AQ57" i="11"/>
  <c r="AQ496" i="11" s="1"/>
  <c r="AY57" i="11"/>
  <c r="AY496" i="11" s="1"/>
  <c r="X57" i="11"/>
  <c r="X496" i="11" s="1"/>
  <c r="X498" i="11" s="1"/>
  <c r="AB57" i="11"/>
  <c r="AB496" i="11" s="1"/>
  <c r="AJ57" i="11"/>
  <c r="AJ496" i="11" s="1"/>
  <c r="AR57" i="11"/>
  <c r="AR496" i="11" s="1"/>
  <c r="AZ57" i="11"/>
  <c r="AZ496" i="11" s="1"/>
  <c r="AV57" i="11"/>
  <c r="AV496" i="11" s="1"/>
  <c r="AE57" i="11"/>
  <c r="AE496" i="11" s="1"/>
  <c r="AM57" i="11"/>
  <c r="AM496" i="11" s="1"/>
  <c r="AU57" i="11"/>
  <c r="AU496" i="11" s="1"/>
  <c r="AF57" i="11"/>
  <c r="AF496" i="11" s="1"/>
  <c r="AN57" i="11"/>
  <c r="AN496" i="11" s="1"/>
  <c r="AB68" i="11"/>
  <c r="AB527" i="11" s="1"/>
  <c r="AF68" i="11"/>
  <c r="AF527" i="11" s="1"/>
  <c r="AJ68" i="11"/>
  <c r="AJ527" i="11" s="1"/>
  <c r="AN68" i="11"/>
  <c r="AN527" i="11" s="1"/>
  <c r="AR68" i="11"/>
  <c r="AR527" i="11" s="1"/>
  <c r="AV68" i="11"/>
  <c r="AV527" i="11" s="1"/>
  <c r="AZ68" i="11"/>
  <c r="AZ527" i="11" s="1"/>
  <c r="AC68" i="11"/>
  <c r="AC527" i="11" s="1"/>
  <c r="AH68" i="11"/>
  <c r="AH527" i="11" s="1"/>
  <c r="AM68" i="11"/>
  <c r="AM527" i="11" s="1"/>
  <c r="AS68" i="11"/>
  <c r="AS527" i="11" s="1"/>
  <c r="AX68" i="11"/>
  <c r="AX527" i="11" s="1"/>
  <c r="Z68" i="11"/>
  <c r="Z527" i="11" s="1"/>
  <c r="Z528" i="11" s="1"/>
  <c r="AU68" i="11"/>
  <c r="AU527" i="11" s="1"/>
  <c r="AA68" i="11"/>
  <c r="AA527" i="11" s="1"/>
  <c r="AA528" i="11" s="1"/>
  <c r="AQ68" i="11"/>
  <c r="AQ527" i="11" s="1"/>
  <c r="Y68" i="11"/>
  <c r="Y527" i="11" s="1"/>
  <c r="Y528" i="11" s="1"/>
  <c r="AD68" i="11"/>
  <c r="AD527" i="11" s="1"/>
  <c r="AI68" i="11"/>
  <c r="AI527" i="11" s="1"/>
  <c r="AO68" i="11"/>
  <c r="AO527" i="11" s="1"/>
  <c r="AT68" i="11"/>
  <c r="AT527" i="11" s="1"/>
  <c r="AY68" i="11"/>
  <c r="AY527" i="11" s="1"/>
  <c r="AP68" i="11"/>
  <c r="AP527" i="11" s="1"/>
  <c r="X68" i="11"/>
  <c r="X527" i="11" s="1"/>
  <c r="X529" i="11" s="1"/>
  <c r="AG68" i="11"/>
  <c r="AE68" i="11"/>
  <c r="AE527" i="11" s="1"/>
  <c r="AK68" i="11"/>
  <c r="AK527" i="11" s="1"/>
  <c r="BA68" i="11"/>
  <c r="BA527" i="11" s="1"/>
  <c r="AL68" i="11"/>
  <c r="AL527" i="11" s="1"/>
  <c r="AW68" i="11"/>
  <c r="AW527" i="11" s="1"/>
  <c r="AA60" i="11"/>
  <c r="AA504" i="11" s="1"/>
  <c r="AA505" i="11" s="1"/>
  <c r="AE60" i="11"/>
  <c r="AE504" i="11" s="1"/>
  <c r="AI60" i="11"/>
  <c r="AI504" i="11" s="1"/>
  <c r="AM60" i="11"/>
  <c r="AM504" i="11" s="1"/>
  <c r="AQ60" i="11"/>
  <c r="AQ504" i="11" s="1"/>
  <c r="AU60" i="11"/>
  <c r="AU504" i="11" s="1"/>
  <c r="AY60" i="11"/>
  <c r="AY504" i="11" s="1"/>
  <c r="AB60" i="11"/>
  <c r="AB504" i="11" s="1"/>
  <c r="AF60" i="11"/>
  <c r="AF504" i="11" s="1"/>
  <c r="AJ60" i="11"/>
  <c r="AJ504" i="11" s="1"/>
  <c r="AN60" i="11"/>
  <c r="AN504" i="11" s="1"/>
  <c r="AR60" i="11"/>
  <c r="AR504" i="11" s="1"/>
  <c r="AV60" i="11"/>
  <c r="AV504" i="11" s="1"/>
  <c r="AZ60" i="11"/>
  <c r="AZ504" i="11" s="1"/>
  <c r="Y60" i="11"/>
  <c r="Y504" i="11" s="1"/>
  <c r="Y505" i="11" s="1"/>
  <c r="AG60" i="11"/>
  <c r="AO60" i="11"/>
  <c r="AO504" i="11" s="1"/>
  <c r="AW60" i="11"/>
  <c r="AW504" i="11" s="1"/>
  <c r="AD60" i="11"/>
  <c r="AD504" i="11" s="1"/>
  <c r="Z60" i="11"/>
  <c r="Z504" i="11" s="1"/>
  <c r="Z505" i="11" s="1"/>
  <c r="AH60" i="11"/>
  <c r="AH504" i="11" s="1"/>
  <c r="AP60" i="11"/>
  <c r="AP504" i="11" s="1"/>
  <c r="AX60" i="11"/>
  <c r="AX504" i="11" s="1"/>
  <c r="AL60" i="11"/>
  <c r="AL504" i="11" s="1"/>
  <c r="AC60" i="11"/>
  <c r="AC504" i="11" s="1"/>
  <c r="AK60" i="11"/>
  <c r="AK504" i="11" s="1"/>
  <c r="AS60" i="11"/>
  <c r="AS504" i="11" s="1"/>
  <c r="BA60" i="11"/>
  <c r="BA504" i="11" s="1"/>
  <c r="X60" i="11"/>
  <c r="X504" i="11" s="1"/>
  <c r="X506" i="11" s="1"/>
  <c r="AT60" i="11"/>
  <c r="AT504" i="11" s="1"/>
  <c r="Z56" i="11"/>
  <c r="Z493" i="11" s="1"/>
  <c r="Z494" i="11" s="1"/>
  <c r="AD56" i="11"/>
  <c r="AD493" i="11" s="1"/>
  <c r="AH56" i="11"/>
  <c r="AH493" i="11" s="1"/>
  <c r="AL56" i="11"/>
  <c r="AL493" i="11" s="1"/>
  <c r="AP56" i="11"/>
  <c r="AP493" i="11" s="1"/>
  <c r="AT56" i="11"/>
  <c r="AT493" i="11" s="1"/>
  <c r="AX56" i="11"/>
  <c r="AX493" i="11" s="1"/>
  <c r="AA56" i="11"/>
  <c r="AA493" i="11" s="1"/>
  <c r="AA494" i="11" s="1"/>
  <c r="AE56" i="11"/>
  <c r="AE493" i="11" s="1"/>
  <c r="AI56" i="11"/>
  <c r="AI493" i="11" s="1"/>
  <c r="AM56" i="11"/>
  <c r="AM493" i="11" s="1"/>
  <c r="AQ56" i="11"/>
  <c r="AQ493" i="11" s="1"/>
  <c r="AU56" i="11"/>
  <c r="AU493" i="11" s="1"/>
  <c r="AY56" i="11"/>
  <c r="AY493" i="11" s="1"/>
  <c r="AF56" i="11"/>
  <c r="AF493" i="11" s="1"/>
  <c r="AN56" i="11"/>
  <c r="AN493" i="11" s="1"/>
  <c r="AV56" i="11"/>
  <c r="AV493" i="11" s="1"/>
  <c r="AS56" i="11"/>
  <c r="AS493" i="11" s="1"/>
  <c r="Y56" i="11"/>
  <c r="Y493" i="11" s="1"/>
  <c r="Y494" i="11" s="1"/>
  <c r="AG56" i="11"/>
  <c r="AO56" i="11"/>
  <c r="AO493" i="11" s="1"/>
  <c r="AW56" i="11"/>
  <c r="AW493" i="11" s="1"/>
  <c r="X56" i="11"/>
  <c r="X493" i="11" s="1"/>
  <c r="X495" i="11" s="1"/>
  <c r="AC56" i="11"/>
  <c r="AC493" i="11" s="1"/>
  <c r="BA56" i="11"/>
  <c r="BA493" i="11" s="1"/>
  <c r="AB56" i="11"/>
  <c r="AB493" i="11" s="1"/>
  <c r="AJ56" i="11"/>
  <c r="AJ493" i="11" s="1"/>
  <c r="AR56" i="11"/>
  <c r="AR493" i="11" s="1"/>
  <c r="AZ56" i="11"/>
  <c r="AZ493" i="11" s="1"/>
  <c r="AK56" i="11"/>
  <c r="AK493" i="11" s="1"/>
  <c r="AK5" i="20"/>
  <c r="X5" i="11"/>
  <c r="Y92" i="11"/>
  <c r="Z92" i="11" s="1"/>
  <c r="AA92" i="11" s="1"/>
  <c r="AB92" i="11" s="1"/>
  <c r="AC92" i="11" s="1"/>
  <c r="AD92" i="11" s="1"/>
  <c r="AE92" i="11" s="1"/>
  <c r="AF92" i="11" s="1"/>
  <c r="AG92" i="11" s="1"/>
  <c r="AH92" i="11" s="1"/>
  <c r="AI92" i="11" s="1"/>
  <c r="AJ92" i="11" s="1"/>
  <c r="AK92" i="11" s="1"/>
  <c r="AL92" i="11" s="1"/>
  <c r="AM92" i="11" s="1"/>
  <c r="AN92" i="11" s="1"/>
  <c r="AO92" i="11" s="1"/>
  <c r="AP92" i="11" s="1"/>
  <c r="AQ92" i="11" s="1"/>
  <c r="AR92" i="11" s="1"/>
  <c r="AS92" i="11" s="1"/>
  <c r="AT92" i="11" s="1"/>
  <c r="AU92" i="11" s="1"/>
  <c r="AV92" i="11" s="1"/>
  <c r="AW92" i="11" s="1"/>
  <c r="AX92" i="11" s="1"/>
  <c r="AY92" i="11" s="1"/>
  <c r="AZ92" i="11" s="1"/>
  <c r="BA92" i="11" s="1"/>
  <c r="Y67" i="11"/>
  <c r="Y524" i="11" s="1"/>
  <c r="Y525" i="11" s="1"/>
  <c r="AC67" i="11"/>
  <c r="AC524" i="11" s="1"/>
  <c r="AG67" i="11"/>
  <c r="AK67" i="11"/>
  <c r="AK524" i="11" s="1"/>
  <c r="AO67" i="11"/>
  <c r="AO524" i="11" s="1"/>
  <c r="AS67" i="11"/>
  <c r="AS524" i="11" s="1"/>
  <c r="AW67" i="11"/>
  <c r="AW524" i="11" s="1"/>
  <c r="BA67" i="11"/>
  <c r="BA524" i="11" s="1"/>
  <c r="Z67" i="11"/>
  <c r="Z524" i="11" s="1"/>
  <c r="Z525" i="11" s="1"/>
  <c r="AE67" i="11"/>
  <c r="AE524" i="11" s="1"/>
  <c r="AJ67" i="11"/>
  <c r="AJ524" i="11" s="1"/>
  <c r="AP67" i="11"/>
  <c r="AP524" i="11" s="1"/>
  <c r="AU67" i="11"/>
  <c r="AU524" i="11" s="1"/>
  <c r="AZ67" i="11"/>
  <c r="AZ524" i="11" s="1"/>
  <c r="AN67" i="11"/>
  <c r="AN524" i="11" s="1"/>
  <c r="AA67" i="11"/>
  <c r="AA524" i="11" s="1"/>
  <c r="AA525" i="11" s="1"/>
  <c r="AF67" i="11"/>
  <c r="AF524" i="11" s="1"/>
  <c r="AL67" i="11"/>
  <c r="AL524" i="11" s="1"/>
  <c r="AQ67" i="11"/>
  <c r="AQ524" i="11" s="1"/>
  <c r="AV67" i="11"/>
  <c r="AV524" i="11" s="1"/>
  <c r="AX67" i="11"/>
  <c r="AX524" i="11" s="1"/>
  <c r="AD67" i="11"/>
  <c r="AD524" i="11" s="1"/>
  <c r="AT67" i="11"/>
  <c r="AT524" i="11" s="1"/>
  <c r="AB67" i="11"/>
  <c r="AB524" i="11" s="1"/>
  <c r="AH67" i="11"/>
  <c r="AH524" i="11" s="1"/>
  <c r="AM67" i="11"/>
  <c r="AM524" i="11" s="1"/>
  <c r="AR67" i="11"/>
  <c r="AR524" i="11" s="1"/>
  <c r="AI67" i="11"/>
  <c r="AI524" i="11" s="1"/>
  <c r="AY67" i="11"/>
  <c r="AY524" i="11" s="1"/>
  <c r="X67" i="11"/>
  <c r="X524" i="11" s="1"/>
  <c r="X526" i="11" s="1"/>
  <c r="Y63" i="11"/>
  <c r="Y512" i="11" s="1"/>
  <c r="Y513" i="11" s="1"/>
  <c r="AC63" i="11"/>
  <c r="AC512" i="11" s="1"/>
  <c r="AG63" i="11"/>
  <c r="AK63" i="11"/>
  <c r="AK512" i="11" s="1"/>
  <c r="AO63" i="11"/>
  <c r="AO512" i="11" s="1"/>
  <c r="AS63" i="11"/>
  <c r="AS512" i="11" s="1"/>
  <c r="AW63" i="11"/>
  <c r="AW512" i="11" s="1"/>
  <c r="BA63" i="11"/>
  <c r="BA512" i="11" s="1"/>
  <c r="Z63" i="11"/>
  <c r="Z512" i="11" s="1"/>
  <c r="Z513" i="11" s="1"/>
  <c r="AD63" i="11"/>
  <c r="AD512" i="11" s="1"/>
  <c r="AH63" i="11"/>
  <c r="AH512" i="11" s="1"/>
  <c r="AL63" i="11"/>
  <c r="AL512" i="11" s="1"/>
  <c r="AP63" i="11"/>
  <c r="AP512" i="11" s="1"/>
  <c r="AT63" i="11"/>
  <c r="AT512" i="11" s="1"/>
  <c r="AX63" i="11"/>
  <c r="AX512" i="11" s="1"/>
  <c r="AE63" i="11"/>
  <c r="AE512" i="11" s="1"/>
  <c r="AM63" i="11"/>
  <c r="AM512" i="11" s="1"/>
  <c r="AU63" i="11"/>
  <c r="AU512" i="11" s="1"/>
  <c r="AJ63" i="11"/>
  <c r="AJ512" i="11" s="1"/>
  <c r="AF63" i="11"/>
  <c r="AF512" i="11" s="1"/>
  <c r="AN63" i="11"/>
  <c r="AN512" i="11" s="1"/>
  <c r="AV63" i="11"/>
  <c r="AV512" i="11" s="1"/>
  <c r="AR63" i="11"/>
  <c r="AR512" i="11" s="1"/>
  <c r="AA63" i="11"/>
  <c r="AA512" i="11" s="1"/>
  <c r="AA513" i="11" s="1"/>
  <c r="AI63" i="11"/>
  <c r="AI512" i="11" s="1"/>
  <c r="AQ63" i="11"/>
  <c r="AQ512" i="11" s="1"/>
  <c r="AY63" i="11"/>
  <c r="AY512" i="11" s="1"/>
  <c r="AB63" i="11"/>
  <c r="AB512" i="11" s="1"/>
  <c r="AZ63" i="11"/>
  <c r="AZ512" i="11" s="1"/>
  <c r="X63" i="11"/>
  <c r="X512" i="11" s="1"/>
  <c r="X514" i="11" s="1"/>
  <c r="AG51" i="11"/>
  <c r="AF55" i="11"/>
  <c r="AB29" i="11"/>
  <c r="AB430" i="11" s="1"/>
  <c r="AF29" i="11"/>
  <c r="AF430" i="11" s="1"/>
  <c r="AJ29" i="11"/>
  <c r="AJ430" i="11" s="1"/>
  <c r="AN29" i="11"/>
  <c r="AN430" i="11" s="1"/>
  <c r="AR29" i="11"/>
  <c r="AR430" i="11" s="1"/>
  <c r="AV29" i="11"/>
  <c r="AV430" i="11" s="1"/>
  <c r="AZ29" i="11"/>
  <c r="AZ430" i="11" s="1"/>
  <c r="Y29" i="11"/>
  <c r="Y430" i="11" s="1"/>
  <c r="AC29" i="11"/>
  <c r="AC430" i="11" s="1"/>
  <c r="AG29" i="11"/>
  <c r="AG430" i="11" s="1"/>
  <c r="AK29" i="11"/>
  <c r="AK430" i="11" s="1"/>
  <c r="AO29" i="11"/>
  <c r="AO430" i="11" s="1"/>
  <c r="AS29" i="11"/>
  <c r="AS430" i="11" s="1"/>
  <c r="AW29" i="11"/>
  <c r="AW430" i="11" s="1"/>
  <c r="BA29" i="11"/>
  <c r="BA430" i="11" s="1"/>
  <c r="Z29" i="11"/>
  <c r="Z430" i="11" s="1"/>
  <c r="AD29" i="11"/>
  <c r="AD430" i="11" s="1"/>
  <c r="AH29" i="11"/>
  <c r="AH430" i="11" s="1"/>
  <c r="AL29" i="11"/>
  <c r="AL430" i="11" s="1"/>
  <c r="AP29" i="11"/>
  <c r="AP430" i="11" s="1"/>
  <c r="AT29" i="11"/>
  <c r="AT430" i="11" s="1"/>
  <c r="AX29" i="11"/>
  <c r="AX430" i="11" s="1"/>
  <c r="AA29" i="11"/>
  <c r="AA430" i="11" s="1"/>
  <c r="AQ29" i="11"/>
  <c r="AQ430" i="11" s="1"/>
  <c r="AM29" i="11"/>
  <c r="AM430" i="11" s="1"/>
  <c r="AE29" i="11"/>
  <c r="AE430" i="11" s="1"/>
  <c r="AU29" i="11"/>
  <c r="AU430" i="11" s="1"/>
  <c r="AI29" i="11"/>
  <c r="AI430" i="11" s="1"/>
  <c r="AY29" i="11"/>
  <c r="AY430" i="11" s="1"/>
  <c r="X29" i="11"/>
  <c r="X430" i="11" s="1"/>
  <c r="X432" i="11" s="1"/>
  <c r="X447" i="11" s="1"/>
  <c r="AA50" i="18"/>
  <c r="AQ50" i="18"/>
  <c r="AJ50" i="18"/>
  <c r="AC50" i="18"/>
  <c r="AS50" i="18"/>
  <c r="AH50" i="18"/>
  <c r="AE50" i="18"/>
  <c r="X50" i="18"/>
  <c r="AN50" i="18"/>
  <c r="AG50" i="18"/>
  <c r="Z50" i="18"/>
  <c r="AD50" i="18"/>
  <c r="AI50" i="18"/>
  <c r="AB50" i="18"/>
  <c r="AR50" i="18"/>
  <c r="AK50" i="18"/>
  <c r="AK84" i="18" s="1"/>
  <c r="AP50" i="18"/>
  <c r="AT50" i="18"/>
  <c r="W50" i="18"/>
  <c r="AO50" i="18"/>
  <c r="AM50" i="18"/>
  <c r="AM84" i="18" s="1"/>
  <c r="V50" i="18"/>
  <c r="AF50" i="18"/>
  <c r="AF84" i="18" s="1"/>
  <c r="AL50" i="18"/>
  <c r="AL84" i="18" s="1"/>
  <c r="Y50" i="18"/>
  <c r="AN54" i="18"/>
  <c r="AO54" i="18"/>
  <c r="AL52" i="18"/>
  <c r="AM52" i="18"/>
  <c r="AN53" i="18"/>
  <c r="AO53" i="18"/>
  <c r="AT53" i="18"/>
  <c r="AM54" i="18"/>
  <c r="AR54" i="18"/>
  <c r="AS54" i="18"/>
  <c r="AP52" i="18"/>
  <c r="AQ52" i="18"/>
  <c r="AR53" i="18"/>
  <c r="AS53" i="18"/>
  <c r="AQ53" i="18"/>
  <c r="AQ54" i="18"/>
  <c r="AK54" i="18"/>
  <c r="AT54" i="18"/>
  <c r="AO52" i="18"/>
  <c r="AO86" i="18" s="1"/>
  <c r="AT52" i="18"/>
  <c r="AK52" i="18"/>
  <c r="AK53" i="18"/>
  <c r="AL53" i="18"/>
  <c r="AN52" i="18"/>
  <c r="AM53" i="18"/>
  <c r="AP54" i="18"/>
  <c r="AP88" i="18" s="1"/>
  <c r="AP53" i="18"/>
  <c r="AR52" i="18"/>
  <c r="AR86" i="18" s="1"/>
  <c r="AL54" i="18"/>
  <c r="AS52" i="18"/>
  <c r="AS86" i="18" s="1"/>
  <c r="X32" i="11"/>
  <c r="X436" i="11" s="1"/>
  <c r="X438" i="11" s="1"/>
  <c r="X450" i="11" s="1"/>
  <c r="AA32" i="11"/>
  <c r="AA436" i="11" s="1"/>
  <c r="AE32" i="11"/>
  <c r="AE436" i="11" s="1"/>
  <c r="AI32" i="11"/>
  <c r="AI436" i="11" s="1"/>
  <c r="AM32" i="11"/>
  <c r="AM436" i="11" s="1"/>
  <c r="AQ32" i="11"/>
  <c r="AQ436" i="11" s="1"/>
  <c r="AU32" i="11"/>
  <c r="AU436" i="11" s="1"/>
  <c r="AY32" i="11"/>
  <c r="AY436" i="11" s="1"/>
  <c r="AD32" i="11"/>
  <c r="AD436" i="11" s="1"/>
  <c r="AP32" i="11"/>
  <c r="AP436" i="11" s="1"/>
  <c r="AB32" i="11"/>
  <c r="AB436" i="11" s="1"/>
  <c r="AF32" i="11"/>
  <c r="AF436" i="11" s="1"/>
  <c r="AJ32" i="11"/>
  <c r="AJ436" i="11" s="1"/>
  <c r="AN32" i="11"/>
  <c r="AN436" i="11" s="1"/>
  <c r="AR32" i="11"/>
  <c r="AR436" i="11" s="1"/>
  <c r="AV32" i="11"/>
  <c r="AV436" i="11" s="1"/>
  <c r="AZ32" i="11"/>
  <c r="AZ436" i="11" s="1"/>
  <c r="Z32" i="11"/>
  <c r="Z436" i="11" s="1"/>
  <c r="AL32" i="11"/>
  <c r="AL436" i="11" s="1"/>
  <c r="AX32" i="11"/>
  <c r="AX436" i="11" s="1"/>
  <c r="Y32" i="11"/>
  <c r="Y436" i="11" s="1"/>
  <c r="AC32" i="11"/>
  <c r="AC436" i="11" s="1"/>
  <c r="AG32" i="11"/>
  <c r="AG436" i="11" s="1"/>
  <c r="AK32" i="11"/>
  <c r="AK436" i="11" s="1"/>
  <c r="AO32" i="11"/>
  <c r="AO436" i="11" s="1"/>
  <c r="AS32" i="11"/>
  <c r="AS436" i="11" s="1"/>
  <c r="AW32" i="11"/>
  <c r="AW436" i="11" s="1"/>
  <c r="BA32" i="11"/>
  <c r="BA436" i="11" s="1"/>
  <c r="AH32" i="11"/>
  <c r="AH436" i="11" s="1"/>
  <c r="AT32" i="11"/>
  <c r="AT436" i="11" s="1"/>
  <c r="AP43" i="18"/>
  <c r="AO43" i="18"/>
  <c r="AQ42" i="18"/>
  <c r="AP42" i="18"/>
  <c r="AT44" i="18"/>
  <c r="AQ44" i="18"/>
  <c r="AL40" i="18"/>
  <c r="AQ40" i="18"/>
  <c r="AR40" i="18"/>
  <c r="AN41" i="18"/>
  <c r="AK41" i="18"/>
  <c r="AN43" i="18"/>
  <c r="AS43" i="18"/>
  <c r="AS77" i="18" s="1"/>
  <c r="AO42" i="18"/>
  <c r="AT42" i="18"/>
  <c r="AK44" i="18"/>
  <c r="AS44" i="18"/>
  <c r="AS78" i="18" s="1"/>
  <c r="AP40" i="18"/>
  <c r="AK40" i="18"/>
  <c r="AS40" i="18"/>
  <c r="AL41" i="18"/>
  <c r="AR41" i="18"/>
  <c r="AM43" i="18"/>
  <c r="AR43" i="18"/>
  <c r="AT43" i="18"/>
  <c r="AN42" i="18"/>
  <c r="AS42" i="18"/>
  <c r="AK42" i="18"/>
  <c r="AL44" i="18"/>
  <c r="AO44" i="18"/>
  <c r="AN44" i="18"/>
  <c r="AT40" i="18"/>
  <c r="AO40" i="18"/>
  <c r="AO41" i="18"/>
  <c r="AP41" i="18"/>
  <c r="AM41" i="18"/>
  <c r="AQ43" i="18"/>
  <c r="AM44" i="18"/>
  <c r="AT41" i="18"/>
  <c r="AM42" i="18"/>
  <c r="AN40" i="18"/>
  <c r="AL43" i="18"/>
  <c r="AR42" i="18"/>
  <c r="AR44" i="18"/>
  <c r="AQ41" i="18"/>
  <c r="AS41" i="18"/>
  <c r="AS75" i="18" s="1"/>
  <c r="AK43" i="18"/>
  <c r="AL42" i="18"/>
  <c r="AM40" i="18"/>
  <c r="AP44" i="18"/>
  <c r="AS58" i="18"/>
  <c r="AK58" i="18"/>
  <c r="AR58" i="18"/>
  <c r="AN59" i="18"/>
  <c r="AS59" i="18"/>
  <c r="AT59" i="18"/>
  <c r="AQ55" i="18"/>
  <c r="AL55" i="18"/>
  <c r="AM56" i="18"/>
  <c r="AN56" i="18"/>
  <c r="AS56" i="18"/>
  <c r="AT57" i="18"/>
  <c r="AQ57" i="18"/>
  <c r="AL58" i="18"/>
  <c r="AN58" i="18"/>
  <c r="AR59" i="18"/>
  <c r="AQ59" i="18"/>
  <c r="AK59" i="18"/>
  <c r="AO55" i="18"/>
  <c r="AP55" i="18"/>
  <c r="AQ56" i="18"/>
  <c r="AR56" i="18"/>
  <c r="AT56" i="18"/>
  <c r="AK57" i="18"/>
  <c r="AN57" i="18"/>
  <c r="AP58" i="18"/>
  <c r="AM58" i="18"/>
  <c r="AM59" i="18"/>
  <c r="AL59" i="18"/>
  <c r="AN55" i="18"/>
  <c r="AS55" i="18"/>
  <c r="AT55" i="18"/>
  <c r="AP56" i="18"/>
  <c r="AL56" i="18"/>
  <c r="AL57" i="18"/>
  <c r="AO57" i="18"/>
  <c r="AR57" i="18"/>
  <c r="AT58" i="18"/>
  <c r="AK55" i="18"/>
  <c r="AK56" i="18"/>
  <c r="AR55" i="18"/>
  <c r="AQ58" i="18"/>
  <c r="AO59" i="18"/>
  <c r="AO93" i="18" s="1"/>
  <c r="AM55" i="18"/>
  <c r="AO56" i="18"/>
  <c r="AP57" i="18"/>
  <c r="AO58" i="18"/>
  <c r="AP59" i="18"/>
  <c r="AP93" i="18" s="1"/>
  <c r="AM57" i="18"/>
  <c r="AS57" i="18"/>
  <c r="AO46" i="18"/>
  <c r="AT46" i="18"/>
  <c r="AN46" i="18"/>
  <c r="AN80" i="18" s="1"/>
  <c r="AN47" i="18"/>
  <c r="AN81" i="18" s="1"/>
  <c r="AL47" i="18"/>
  <c r="AL81" i="18" s="1"/>
  <c r="AQ47" i="18"/>
  <c r="AQ81" i="18" s="1"/>
  <c r="AM48" i="18"/>
  <c r="AM82" i="18" s="1"/>
  <c r="AO48" i="18"/>
  <c r="AO82" i="18" s="1"/>
  <c r="AT48" i="18"/>
  <c r="AT49" i="18"/>
  <c r="AN49" i="18"/>
  <c r="AN83" i="18" s="1"/>
  <c r="AL45" i="18"/>
  <c r="AQ45" i="18"/>
  <c r="AR45" i="18"/>
  <c r="AS46" i="18"/>
  <c r="AK46" i="18"/>
  <c r="AR46" i="18"/>
  <c r="AR80" i="18" s="1"/>
  <c r="AR47" i="18"/>
  <c r="AR81" i="18" s="1"/>
  <c r="AP47" i="18"/>
  <c r="AP81" i="18" s="1"/>
  <c r="AM47" i="18"/>
  <c r="AM81" i="18" s="1"/>
  <c r="AQ48" i="18"/>
  <c r="AQ82" i="18" s="1"/>
  <c r="AS48" i="18"/>
  <c r="AS82" i="18" s="1"/>
  <c r="AK48" i="18"/>
  <c r="AK82" i="18" s="1"/>
  <c r="AK49" i="18"/>
  <c r="AK83" i="18" s="1"/>
  <c r="AR49" i="18"/>
  <c r="AR83" i="18" s="1"/>
  <c r="AP45" i="18"/>
  <c r="AK45" i="18"/>
  <c r="AS45" i="18"/>
  <c r="AL46" i="18"/>
  <c r="AM46" i="18"/>
  <c r="AO47" i="18"/>
  <c r="AO81" i="18" s="1"/>
  <c r="AT47" i="18"/>
  <c r="AN48" i="18"/>
  <c r="AN82" i="18" s="1"/>
  <c r="AL48" i="18"/>
  <c r="AL82" i="18" s="1"/>
  <c r="AL49" i="18"/>
  <c r="AL83" i="18" s="1"/>
  <c r="AM49" i="18"/>
  <c r="AM83" i="18" s="1"/>
  <c r="AO49" i="18"/>
  <c r="AO83" i="18" s="1"/>
  <c r="AT45" i="18"/>
  <c r="AO45" i="18"/>
  <c r="AQ46" i="18"/>
  <c r="AS49" i="18"/>
  <c r="AS83" i="18" s="1"/>
  <c r="AP46" i="18"/>
  <c r="AP80" i="18" s="1"/>
  <c r="AQ49" i="18"/>
  <c r="AQ83" i="18" s="1"/>
  <c r="AR48" i="18"/>
  <c r="AR82" i="18" s="1"/>
  <c r="AM45" i="18"/>
  <c r="AK47" i="18"/>
  <c r="AK81" i="18" s="1"/>
  <c r="AS47" i="18"/>
  <c r="AS81" i="18" s="1"/>
  <c r="AP48" i="18"/>
  <c r="AP82" i="18" s="1"/>
  <c r="AP49" i="18"/>
  <c r="AP83" i="18" s="1"/>
  <c r="AN45" i="18"/>
  <c r="AM35" i="18"/>
  <c r="AP35" i="18"/>
  <c r="AN39" i="18"/>
  <c r="AS39" i="18"/>
  <c r="AT39" i="18"/>
  <c r="AP36" i="18"/>
  <c r="AL36" i="18"/>
  <c r="AO38" i="18"/>
  <c r="AT38" i="18"/>
  <c r="AQ38" i="18"/>
  <c r="AL37" i="18"/>
  <c r="AS37" i="18"/>
  <c r="AR37" i="18"/>
  <c r="AO35" i="18"/>
  <c r="AT35" i="18"/>
  <c r="AR39" i="18"/>
  <c r="AQ39" i="18"/>
  <c r="AK39" i="18"/>
  <c r="AK36" i="18"/>
  <c r="AT36" i="18"/>
  <c r="AS38" i="18"/>
  <c r="AK38" i="18"/>
  <c r="AR38" i="18"/>
  <c r="AP37" i="18"/>
  <c r="AM37" i="18"/>
  <c r="AO37" i="18"/>
  <c r="AN35" i="18"/>
  <c r="AS35" i="18"/>
  <c r="AQ35" i="18"/>
  <c r="AM39" i="18"/>
  <c r="AL39" i="18"/>
  <c r="AM36" i="18"/>
  <c r="AN36" i="18"/>
  <c r="AO36" i="18"/>
  <c r="AL38" i="18"/>
  <c r="AN38" i="18"/>
  <c r="AT37" i="18"/>
  <c r="AQ37" i="18"/>
  <c r="AP39" i="18"/>
  <c r="AQ36" i="18"/>
  <c r="AM38" i="18"/>
  <c r="AR35" i="18"/>
  <c r="AR36" i="18"/>
  <c r="AK35" i="18"/>
  <c r="AP38" i="18"/>
  <c r="AL35" i="18"/>
  <c r="AS36" i="18"/>
  <c r="AK37" i="18"/>
  <c r="AO39" i="18"/>
  <c r="AN37" i="18"/>
  <c r="U35" i="18"/>
  <c r="R35" i="18"/>
  <c r="R69" i="18" s="1"/>
  <c r="AH35" i="18"/>
  <c r="AE35" i="18"/>
  <c r="AB35" i="18"/>
  <c r="Y35" i="18"/>
  <c r="V35" i="18"/>
  <c r="S35" i="18"/>
  <c r="S69" i="18" s="1"/>
  <c r="AI35" i="18"/>
  <c r="AF35" i="18"/>
  <c r="AC35" i="18"/>
  <c r="Z35" i="18"/>
  <c r="W35" i="18"/>
  <c r="X35" i="18"/>
  <c r="T35" i="18"/>
  <c r="AG35" i="18"/>
  <c r="Q35" i="18"/>
  <c r="AD35" i="18"/>
  <c r="AA35" i="18"/>
  <c r="AJ35" i="18"/>
  <c r="AA30" i="11"/>
  <c r="AA433" i="11" s="1"/>
  <c r="AE30" i="11"/>
  <c r="AE433" i="11" s="1"/>
  <c r="AI30" i="11"/>
  <c r="AI433" i="11" s="1"/>
  <c r="AM30" i="11"/>
  <c r="AM433" i="11" s="1"/>
  <c r="AQ30" i="11"/>
  <c r="AQ433" i="11" s="1"/>
  <c r="AU30" i="11"/>
  <c r="AU433" i="11" s="1"/>
  <c r="AY30" i="11"/>
  <c r="AY433" i="11" s="1"/>
  <c r="AB30" i="11"/>
  <c r="AB433" i="11" s="1"/>
  <c r="AF30" i="11"/>
  <c r="AF433" i="11" s="1"/>
  <c r="AJ30" i="11"/>
  <c r="AJ433" i="11" s="1"/>
  <c r="AN30" i="11"/>
  <c r="AN433" i="11" s="1"/>
  <c r="AR30" i="11"/>
  <c r="AR433" i="11" s="1"/>
  <c r="AV30" i="11"/>
  <c r="AV433" i="11" s="1"/>
  <c r="AZ30" i="11"/>
  <c r="AZ433" i="11" s="1"/>
  <c r="X30" i="11"/>
  <c r="X433" i="11" s="1"/>
  <c r="X435" i="11" s="1"/>
  <c r="X448" i="11" s="1"/>
  <c r="Y30" i="11"/>
  <c r="Y433" i="11" s="1"/>
  <c r="AC30" i="11"/>
  <c r="AC433" i="11" s="1"/>
  <c r="AG30" i="11"/>
  <c r="AG433" i="11" s="1"/>
  <c r="AK30" i="11"/>
  <c r="AK433" i="11" s="1"/>
  <c r="AO30" i="11"/>
  <c r="AO433" i="11" s="1"/>
  <c r="AS30" i="11"/>
  <c r="AS433" i="11" s="1"/>
  <c r="AW30" i="11"/>
  <c r="AW433" i="11" s="1"/>
  <c r="BA30" i="11"/>
  <c r="BA433" i="11" s="1"/>
  <c r="AD30" i="11"/>
  <c r="AD433" i="11" s="1"/>
  <c r="AT30" i="11"/>
  <c r="AT433" i="11" s="1"/>
  <c r="AH30" i="11"/>
  <c r="AH433" i="11" s="1"/>
  <c r="AX30" i="11"/>
  <c r="AX433" i="11" s="1"/>
  <c r="Z30" i="11"/>
  <c r="Z433" i="11" s="1"/>
  <c r="AL30" i="11"/>
  <c r="AL433" i="11" s="1"/>
  <c r="AP30" i="11"/>
  <c r="AP433" i="11" s="1"/>
  <c r="R36" i="18"/>
  <c r="R70" i="18" s="1"/>
  <c r="AH36" i="18"/>
  <c r="AE36" i="18"/>
  <c r="AB36" i="18"/>
  <c r="Y36" i="18"/>
  <c r="V36" i="18"/>
  <c r="S36" i="18"/>
  <c r="AI36" i="18"/>
  <c r="AF36" i="18"/>
  <c r="AC36" i="18"/>
  <c r="Z36" i="18"/>
  <c r="W36" i="18"/>
  <c r="T36" i="18"/>
  <c r="AJ36" i="18"/>
  <c r="Q36" i="18"/>
  <c r="Q70" i="18" s="1"/>
  <c r="AD36" i="18"/>
  <c r="AA36" i="18"/>
  <c r="X36" i="18"/>
  <c r="U36" i="18"/>
  <c r="AG36" i="18"/>
  <c r="N37" i="18"/>
  <c r="R11" i="18"/>
  <c r="S11" i="18" s="1"/>
  <c r="R15" i="18"/>
  <c r="S15" i="18" s="1"/>
  <c r="R13" i="18"/>
  <c r="R12" i="18"/>
  <c r="R10" i="18"/>
  <c r="R14" i="18"/>
  <c r="AS91" i="18" l="1"/>
  <c r="Q16" i="18"/>
  <c r="AO92" i="18"/>
  <c r="AN92" i="18"/>
  <c r="X127" i="11"/>
  <c r="X129" i="11" s="1"/>
  <c r="X313" i="11" s="1"/>
  <c r="X150" i="11"/>
  <c r="X151" i="11"/>
  <c r="X149" i="11"/>
  <c r="Z170" i="11"/>
  <c r="Z629" i="11" s="1"/>
  <c r="Y321" i="11"/>
  <c r="AQ92" i="18"/>
  <c r="AP92" i="18"/>
  <c r="AR92" i="18"/>
  <c r="AS92" i="18"/>
  <c r="X552" i="11"/>
  <c r="Y532" i="11"/>
  <c r="AC500" i="11"/>
  <c r="AG500" i="11"/>
  <c r="AD500" i="11"/>
  <c r="AE500" i="11"/>
  <c r="AB500" i="11"/>
  <c r="AF500" i="11"/>
  <c r="AB513" i="11"/>
  <c r="AF513" i="11"/>
  <c r="AC513" i="11"/>
  <c r="AG513" i="11"/>
  <c r="AD513" i="11"/>
  <c r="AE513" i="11"/>
  <c r="X550" i="11"/>
  <c r="Y526" i="11"/>
  <c r="X539" i="11"/>
  <c r="Y495" i="11"/>
  <c r="X543" i="11"/>
  <c r="Y506" i="11"/>
  <c r="AD505" i="11"/>
  <c r="AE505" i="11"/>
  <c r="AB505" i="11"/>
  <c r="AC505" i="11"/>
  <c r="AF505" i="11"/>
  <c r="AG505" i="11"/>
  <c r="AC528" i="11"/>
  <c r="AG528" i="11"/>
  <c r="AD528" i="11"/>
  <c r="AF528" i="11"/>
  <c r="AB528" i="11"/>
  <c r="AE528" i="11"/>
  <c r="AD531" i="11"/>
  <c r="AE531" i="11"/>
  <c r="AG531" i="11"/>
  <c r="AB531" i="11"/>
  <c r="AF531" i="11"/>
  <c r="AC531" i="11"/>
  <c r="X541" i="11"/>
  <c r="Y501" i="11"/>
  <c r="X548" i="11"/>
  <c r="Y520" i="11"/>
  <c r="X549" i="11"/>
  <c r="Y523" i="11"/>
  <c r="X540" i="11"/>
  <c r="Y498" i="11"/>
  <c r="AB497" i="11"/>
  <c r="AF497" i="11"/>
  <c r="AG497" i="11"/>
  <c r="AC497" i="11"/>
  <c r="AD497" i="11"/>
  <c r="AE497" i="11"/>
  <c r="AE522" i="11"/>
  <c r="AB522" i="11"/>
  <c r="AF522" i="11"/>
  <c r="AG522" i="11"/>
  <c r="AC522" i="11"/>
  <c r="AD522" i="11"/>
  <c r="AB494" i="11"/>
  <c r="AF494" i="11"/>
  <c r="AG494" i="11"/>
  <c r="AC494" i="11"/>
  <c r="AD494" i="11"/>
  <c r="AE494" i="11"/>
  <c r="X551" i="11"/>
  <c r="Y529" i="11"/>
  <c r="X546" i="11"/>
  <c r="Y514" i="11"/>
  <c r="AB525" i="11"/>
  <c r="AF525" i="11"/>
  <c r="AC525" i="11"/>
  <c r="AG525" i="11"/>
  <c r="AE525" i="11"/>
  <c r="AD525" i="11"/>
  <c r="AD519" i="11"/>
  <c r="AE519" i="11"/>
  <c r="AB519" i="11"/>
  <c r="AG519" i="11"/>
  <c r="AF519" i="11"/>
  <c r="AC519" i="11"/>
  <c r="AG524" i="11"/>
  <c r="F212" i="11"/>
  <c r="F203" i="11"/>
  <c r="AG493" i="11"/>
  <c r="BA533" i="11"/>
  <c r="AZ533" i="11"/>
  <c r="AN533" i="11"/>
  <c r="AQ533" i="11"/>
  <c r="AA533" i="11"/>
  <c r="AA534" i="11" s="1"/>
  <c r="X533" i="11"/>
  <c r="X535" i="11" s="1"/>
  <c r="X511" i="11" s="1"/>
  <c r="X545" i="11" s="1"/>
  <c r="AL533" i="11"/>
  <c r="AG518" i="11"/>
  <c r="F210" i="11"/>
  <c r="AG530" i="11"/>
  <c r="F214" i="11"/>
  <c r="AG521" i="11"/>
  <c r="F211" i="11"/>
  <c r="AK533" i="11"/>
  <c r="AV533" i="11"/>
  <c r="AB533" i="11"/>
  <c r="AM533" i="11"/>
  <c r="AG533" i="11"/>
  <c r="F215" i="11"/>
  <c r="AX533" i="11"/>
  <c r="AH533" i="11"/>
  <c r="AG512" i="11"/>
  <c r="F208" i="11"/>
  <c r="AG504" i="11"/>
  <c r="F206" i="11"/>
  <c r="F205" i="11"/>
  <c r="AG499" i="11"/>
  <c r="AS533" i="11"/>
  <c r="AW533" i="11"/>
  <c r="AJ533" i="11"/>
  <c r="AY533" i="11"/>
  <c r="AI533" i="11"/>
  <c r="AR533" i="11"/>
  <c r="AT533" i="11"/>
  <c r="AD533" i="11"/>
  <c r="AG527" i="11"/>
  <c r="F213" i="11"/>
  <c r="F204" i="11"/>
  <c r="AG496" i="11"/>
  <c r="AO533" i="11"/>
  <c r="AC533" i="11"/>
  <c r="Y533" i="11"/>
  <c r="Y534" i="11" s="1"/>
  <c r="AU533" i="11"/>
  <c r="AE533" i="11"/>
  <c r="AF533" i="11"/>
  <c r="AP533" i="11"/>
  <c r="Z533" i="11"/>
  <c r="Z534" i="11" s="1"/>
  <c r="F192" i="11"/>
  <c r="F193" i="11"/>
  <c r="Y435" i="11"/>
  <c r="AE434" i="11"/>
  <c r="AI434" i="11"/>
  <c r="AB434" i="11"/>
  <c r="AF434" i="11"/>
  <c r="AJ434" i="11"/>
  <c r="AC434" i="11"/>
  <c r="AG434" i="11"/>
  <c r="AK434" i="11"/>
  <c r="AD434" i="11"/>
  <c r="AH434" i="11"/>
  <c r="AC437" i="11"/>
  <c r="AG437" i="11"/>
  <c r="AK437" i="11"/>
  <c r="AD437" i="11"/>
  <c r="AH437" i="11"/>
  <c r="AE437" i="11"/>
  <c r="AI437" i="11"/>
  <c r="AB437" i="11"/>
  <c r="AF437" i="11"/>
  <c r="AJ437" i="11"/>
  <c r="AC431" i="11"/>
  <c r="AG431" i="11"/>
  <c r="AK431" i="11"/>
  <c r="AD431" i="11"/>
  <c r="AH431" i="11"/>
  <c r="AE431" i="11"/>
  <c r="AI431" i="11"/>
  <c r="AB431" i="11"/>
  <c r="AF431" i="11"/>
  <c r="AJ431" i="11"/>
  <c r="Y438" i="11"/>
  <c r="Y432" i="11"/>
  <c r="Y447" i="11" s="1"/>
  <c r="X443" i="11"/>
  <c r="X449" i="11" s="1"/>
  <c r="F191" i="11"/>
  <c r="X75" i="11"/>
  <c r="X73" i="11"/>
  <c r="X74" i="11"/>
  <c r="X115" i="11"/>
  <c r="X117" i="11" s="1"/>
  <c r="X309" i="11" s="1"/>
  <c r="Y5" i="11"/>
  <c r="X105" i="11"/>
  <c r="X108" i="11" s="1"/>
  <c r="X31" i="11"/>
  <c r="T70" i="18"/>
  <c r="AD84" i="18"/>
  <c r="AH84" i="18"/>
  <c r="X70" i="18"/>
  <c r="AS70" i="18"/>
  <c r="U70" i="18"/>
  <c r="AD70" i="18"/>
  <c r="AS76" i="18"/>
  <c r="AJ69" i="18"/>
  <c r="AA70" i="18"/>
  <c r="AR69" i="18"/>
  <c r="W69" i="18"/>
  <c r="AP69" i="18"/>
  <c r="AI69" i="18"/>
  <c r="AN69" i="18"/>
  <c r="U69" i="18"/>
  <c r="AB69" i="18"/>
  <c r="AG69" i="18"/>
  <c r="AA69" i="18"/>
  <c r="AQ80" i="18"/>
  <c r="AS80" i="18"/>
  <c r="AO80" i="18"/>
  <c r="AL5" i="20"/>
  <c r="AS69" i="18"/>
  <c r="Z69" i="18"/>
  <c r="AE69" i="18"/>
  <c r="AL69" i="18"/>
  <c r="AO69" i="18"/>
  <c r="T69" i="18"/>
  <c r="AC69" i="18"/>
  <c r="V69" i="18"/>
  <c r="AH69" i="18"/>
  <c r="AQ69" i="18"/>
  <c r="AM69" i="18"/>
  <c r="AD69" i="18"/>
  <c r="X69" i="18"/>
  <c r="AF69" i="18"/>
  <c r="Y69" i="18"/>
  <c r="AK69" i="18"/>
  <c r="AX4" i="20"/>
  <c r="AS74" i="18"/>
  <c r="AG84" i="18"/>
  <c r="AQ84" i="18"/>
  <c r="AP84" i="18"/>
  <c r="AI84" i="18"/>
  <c r="AN84" i="18"/>
  <c r="AS84" i="18"/>
  <c r="AO84" i="18"/>
  <c r="AR84" i="18"/>
  <c r="AE84" i="18"/>
  <c r="AJ84" i="18"/>
  <c r="AC70" i="18"/>
  <c r="V70" i="18"/>
  <c r="AH70" i="18"/>
  <c r="AO70" i="18"/>
  <c r="AP70" i="18"/>
  <c r="AR87" i="18"/>
  <c r="AR88" i="18"/>
  <c r="AP86" i="18"/>
  <c r="AF70" i="18"/>
  <c r="Y70" i="18"/>
  <c r="AN70" i="18"/>
  <c r="AG70" i="18"/>
  <c r="W70" i="18"/>
  <c r="AI70" i="18"/>
  <c r="AB70" i="18"/>
  <c r="AQ70" i="18"/>
  <c r="AM70" i="18"/>
  <c r="Z70" i="18"/>
  <c r="S70" i="18"/>
  <c r="AE70" i="18"/>
  <c r="AR70" i="18"/>
  <c r="AK70" i="18"/>
  <c r="AL70" i="18"/>
  <c r="AQ93" i="18"/>
  <c r="AN86" i="18"/>
  <c r="AQ88" i="18"/>
  <c r="AP87" i="18"/>
  <c r="AQ87" i="18"/>
  <c r="AN87" i="18"/>
  <c r="AN88" i="18"/>
  <c r="AS93" i="18"/>
  <c r="AQ86" i="18"/>
  <c r="AR93" i="18"/>
  <c r="AN93" i="18"/>
  <c r="AS87" i="18"/>
  <c r="AS88" i="18"/>
  <c r="AO87" i="18"/>
  <c r="AO88" i="18"/>
  <c r="AL59" i="11"/>
  <c r="AL502" i="11" s="1"/>
  <c r="AB59" i="11"/>
  <c r="AB502" i="11" s="1"/>
  <c r="AD59" i="11"/>
  <c r="AD502" i="11" s="1"/>
  <c r="AZ59" i="11"/>
  <c r="AZ502" i="11" s="1"/>
  <c r="AY59" i="11"/>
  <c r="AY502" i="11" s="1"/>
  <c r="AQ59" i="11"/>
  <c r="AQ502" i="11" s="1"/>
  <c r="AW59" i="11"/>
  <c r="AW502" i="11" s="1"/>
  <c r="AN59" i="11"/>
  <c r="AN502" i="11" s="1"/>
  <c r="AV59" i="11"/>
  <c r="AV502" i="11" s="1"/>
  <c r="AP59" i="11"/>
  <c r="AP502" i="11" s="1"/>
  <c r="Z59" i="11"/>
  <c r="Z502" i="11" s="1"/>
  <c r="AO59" i="11"/>
  <c r="AO502" i="11" s="1"/>
  <c r="AY62" i="11"/>
  <c r="AY510" i="11" s="1"/>
  <c r="BA62" i="11"/>
  <c r="BA510" i="11" s="1"/>
  <c r="AR62" i="11"/>
  <c r="AR510" i="11" s="1"/>
  <c r="AA62" i="11"/>
  <c r="AA510" i="11" s="1"/>
  <c r="AU59" i="11"/>
  <c r="AU502" i="11" s="1"/>
  <c r="BA59" i="11"/>
  <c r="BA502" i="11" s="1"/>
  <c r="AE59" i="11"/>
  <c r="AE502" i="11" s="1"/>
  <c r="AX62" i="11"/>
  <c r="AX510" i="11" s="1"/>
  <c r="AC62" i="11"/>
  <c r="AC510" i="11" s="1"/>
  <c r="AA59" i="11"/>
  <c r="AA502" i="11" s="1"/>
  <c r="AG59" i="11"/>
  <c r="AR59" i="11"/>
  <c r="AR502" i="11" s="1"/>
  <c r="AG62" i="11"/>
  <c r="AV62" i="11"/>
  <c r="AV510" i="11" s="1"/>
  <c r="AJ59" i="11"/>
  <c r="AJ502" i="11" s="1"/>
  <c r="AC59" i="11"/>
  <c r="AC502" i="11" s="1"/>
  <c r="AX59" i="11"/>
  <c r="AX502" i="11" s="1"/>
  <c r="AF59" i="11"/>
  <c r="AF502" i="11" s="1"/>
  <c r="AH59" i="11"/>
  <c r="AH502" i="11" s="1"/>
  <c r="AO62" i="11"/>
  <c r="AO510" i="11" s="1"/>
  <c r="AT62" i="11"/>
  <c r="AT510" i="11" s="1"/>
  <c r="AW62" i="11"/>
  <c r="AW510" i="11" s="1"/>
  <c r="AH62" i="11"/>
  <c r="AH510" i="11" s="1"/>
  <c r="AS62" i="11"/>
  <c r="AS510" i="11" s="1"/>
  <c r="AB62" i="11"/>
  <c r="AB510" i="11" s="1"/>
  <c r="Z62" i="11"/>
  <c r="Z510" i="11" s="1"/>
  <c r="AF62" i="11"/>
  <c r="AF510" i="11" s="1"/>
  <c r="AS59" i="11"/>
  <c r="AS502" i="11" s="1"/>
  <c r="AT59" i="11"/>
  <c r="AT502" i="11" s="1"/>
  <c r="AK59" i="11"/>
  <c r="AK502" i="11" s="1"/>
  <c r="AI59" i="11"/>
  <c r="AI502" i="11" s="1"/>
  <c r="AU62" i="11"/>
  <c r="AU510" i="11" s="1"/>
  <c r="AP62" i="11"/>
  <c r="AP510" i="11" s="1"/>
  <c r="AE62" i="11"/>
  <c r="AE510" i="11" s="1"/>
  <c r="AD62" i="11"/>
  <c r="AD510" i="11" s="1"/>
  <c r="AJ62" i="11"/>
  <c r="AJ510" i="11" s="1"/>
  <c r="AM59" i="11"/>
  <c r="AM502" i="11" s="1"/>
  <c r="Y59" i="11"/>
  <c r="Y502" i="11" s="1"/>
  <c r="X591" i="11"/>
  <c r="AM62" i="11"/>
  <c r="AM510" i="11" s="1"/>
  <c r="AZ62" i="11"/>
  <c r="AZ510" i="11" s="1"/>
  <c r="AN62" i="11"/>
  <c r="AN510" i="11" s="1"/>
  <c r="AL62" i="11"/>
  <c r="AL510" i="11" s="1"/>
  <c r="AQ62" i="11"/>
  <c r="AQ510" i="11" s="1"/>
  <c r="AI62" i="11"/>
  <c r="AI510" i="11" s="1"/>
  <c r="AK62" i="11"/>
  <c r="AK510" i="11" s="1"/>
  <c r="Y62" i="11"/>
  <c r="Y510" i="11" s="1"/>
  <c r="AV31" i="11"/>
  <c r="AV442" i="11" s="1"/>
  <c r="AF31" i="11"/>
  <c r="AF442" i="11" s="1"/>
  <c r="AL31" i="11"/>
  <c r="AL442" i="11" s="1"/>
  <c r="AU31" i="11"/>
  <c r="AU442" i="11" s="1"/>
  <c r="AA31" i="11"/>
  <c r="AA442" i="11" s="1"/>
  <c r="BA31" i="11"/>
  <c r="BA442" i="11" s="1"/>
  <c r="AK31" i="11"/>
  <c r="AK442" i="11" s="1"/>
  <c r="AZ31" i="11"/>
  <c r="AZ442" i="11" s="1"/>
  <c r="AJ31" i="11"/>
  <c r="AJ442" i="11" s="1"/>
  <c r="F195" i="11" s="1"/>
  <c r="AE31" i="11"/>
  <c r="AE442" i="11" s="1"/>
  <c r="AX31" i="11"/>
  <c r="AX442" i="11" s="1"/>
  <c r="AH31" i="11"/>
  <c r="AH442" i="11" s="1"/>
  <c r="AW31" i="11"/>
  <c r="AW442" i="11" s="1"/>
  <c r="AG31" i="11"/>
  <c r="AG442" i="11" s="1"/>
  <c r="AY31" i="11"/>
  <c r="AY442" i="11" s="1"/>
  <c r="AM31" i="11"/>
  <c r="AM442" i="11" s="1"/>
  <c r="AT31" i="11"/>
  <c r="AT442" i="11" s="1"/>
  <c r="AD31" i="11"/>
  <c r="AD442" i="11" s="1"/>
  <c r="AS31" i="11"/>
  <c r="AS442" i="11" s="1"/>
  <c r="AC31" i="11"/>
  <c r="AC442" i="11" s="1"/>
  <c r="AR31" i="11"/>
  <c r="AR442" i="11" s="1"/>
  <c r="AB31" i="11"/>
  <c r="AB442" i="11" s="1"/>
  <c r="AI31" i="11"/>
  <c r="AI442" i="11" s="1"/>
  <c r="AQ31" i="11"/>
  <c r="AQ442" i="11" s="1"/>
  <c r="AP31" i="11"/>
  <c r="AP442" i="11" s="1"/>
  <c r="Z31" i="11"/>
  <c r="Z442" i="11" s="1"/>
  <c r="AO31" i="11"/>
  <c r="AO442" i="11" s="1"/>
  <c r="Y31" i="11"/>
  <c r="Y442" i="11" s="1"/>
  <c r="AN31" i="11"/>
  <c r="AN442" i="11" s="1"/>
  <c r="AH51" i="11"/>
  <c r="AG55" i="11"/>
  <c r="AJ70" i="18"/>
  <c r="W37" i="18"/>
  <c r="T37" i="18"/>
  <c r="AG37" i="18"/>
  <c r="AA37" i="18"/>
  <c r="X37" i="18"/>
  <c r="U37" i="18"/>
  <c r="R37" i="18"/>
  <c r="R71" i="18" s="1"/>
  <c r="Z37" i="18"/>
  <c r="AE37" i="18"/>
  <c r="AB37" i="18"/>
  <c r="Y37" i="18"/>
  <c r="AH37" i="18"/>
  <c r="Q37" i="18"/>
  <c r="Q71" i="18" s="1"/>
  <c r="S37" i="18"/>
  <c r="S71" i="18" s="1"/>
  <c r="AI37" i="18"/>
  <c r="AF37" i="18"/>
  <c r="AS71" i="18" s="1"/>
  <c r="AC37" i="18"/>
  <c r="V37" i="18"/>
  <c r="AJ37" i="18"/>
  <c r="AJ71" i="18" s="1"/>
  <c r="AD37" i="18"/>
  <c r="N38" i="18"/>
  <c r="T11" i="18"/>
  <c r="S14" i="18"/>
  <c r="S12" i="18"/>
  <c r="T15" i="18"/>
  <c r="S10" i="18"/>
  <c r="S13" i="18"/>
  <c r="X593" i="11" l="1"/>
  <c r="X594" i="11" s="1"/>
  <c r="X157" i="11"/>
  <c r="X159" i="11"/>
  <c r="X155" i="11"/>
  <c r="X156" i="11"/>
  <c r="X158" i="11"/>
  <c r="Y591" i="11"/>
  <c r="Y592" i="11" s="1"/>
  <c r="Y150" i="11"/>
  <c r="Y151" i="11"/>
  <c r="Y149" i="11"/>
  <c r="AA170" i="11"/>
  <c r="AA629" i="11" s="1"/>
  <c r="Z321" i="11"/>
  <c r="V71" i="18"/>
  <c r="X573" i="11"/>
  <c r="X570" i="11"/>
  <c r="X574" i="11"/>
  <c r="X571" i="11"/>
  <c r="X572" i="11"/>
  <c r="AE534" i="11"/>
  <c r="AB534" i="11"/>
  <c r="AF534" i="11"/>
  <c r="AC534" i="11"/>
  <c r="AG534" i="11"/>
  <c r="AD534" i="11"/>
  <c r="Y550" i="11"/>
  <c r="Z526" i="11"/>
  <c r="Y546" i="11"/>
  <c r="Z514" i="11"/>
  <c r="Y549" i="11"/>
  <c r="Z523" i="11"/>
  <c r="Y541" i="11"/>
  <c r="Z501" i="11"/>
  <c r="Y543" i="11"/>
  <c r="Z506" i="11"/>
  <c r="X503" i="11"/>
  <c r="Y552" i="11"/>
  <c r="Z532" i="11"/>
  <c r="X553" i="11"/>
  <c r="Y535" i="11"/>
  <c r="Y551" i="11"/>
  <c r="Z529" i="11"/>
  <c r="Y540" i="11"/>
  <c r="Z498" i="11"/>
  <c r="Y548" i="11"/>
  <c r="Z520" i="11"/>
  <c r="Y539" i="11"/>
  <c r="Y503" i="11"/>
  <c r="Z495" i="11"/>
  <c r="AG510" i="11"/>
  <c r="F217" i="11"/>
  <c r="AG502" i="11"/>
  <c r="F216" i="11"/>
  <c r="Z435" i="11"/>
  <c r="Y448" i="11"/>
  <c r="Z438" i="11"/>
  <c r="Y450" i="11"/>
  <c r="Z432" i="11"/>
  <c r="Z447" i="11" s="1"/>
  <c r="Y443" i="11"/>
  <c r="Y449" i="11" s="1"/>
  <c r="X36" i="11"/>
  <c r="X442" i="11"/>
  <c r="Y73" i="11"/>
  <c r="AA73" i="11"/>
  <c r="AB74" i="11"/>
  <c r="AA74" i="11"/>
  <c r="Z74" i="11"/>
  <c r="AB73" i="11"/>
  <c r="Z73" i="11"/>
  <c r="AA75" i="11"/>
  <c r="AB75" i="11"/>
  <c r="Y75" i="11"/>
  <c r="Z75" i="11"/>
  <c r="Y74" i="11"/>
  <c r="Y36" i="11"/>
  <c r="Y115" i="11"/>
  <c r="Y117" i="11" s="1"/>
  <c r="Y309" i="11" s="1"/>
  <c r="Y127" i="11"/>
  <c r="Y129" i="11" s="1"/>
  <c r="Y313" i="11" s="1"/>
  <c r="Z5" i="11"/>
  <c r="Y105" i="11"/>
  <c r="Y108" i="11" s="1"/>
  <c r="Y191" i="11" s="1"/>
  <c r="W649" i="11" s="1"/>
  <c r="X35" i="11"/>
  <c r="X34" i="11"/>
  <c r="AB71" i="18"/>
  <c r="U71" i="18"/>
  <c r="AH71" i="18"/>
  <c r="T71" i="18"/>
  <c r="AE71" i="18"/>
  <c r="X71" i="18"/>
  <c r="W71" i="18"/>
  <c r="AL195" i="20"/>
  <c r="AL156" i="20"/>
  <c r="AL208" i="20"/>
  <c r="AL182" i="20"/>
  <c r="AL169" i="20"/>
  <c r="AL143" i="20"/>
  <c r="AF71" i="18"/>
  <c r="AC71" i="18"/>
  <c r="AM71" i="18"/>
  <c r="AD71" i="18"/>
  <c r="Z71" i="18"/>
  <c r="AA71" i="18"/>
  <c r="AI71" i="18"/>
  <c r="Y71" i="18"/>
  <c r="AG71" i="18"/>
  <c r="AK71" i="18"/>
  <c r="AN71" i="18"/>
  <c r="AO71" i="18"/>
  <c r="AL71" i="18"/>
  <c r="AR71" i="18"/>
  <c r="AQ71" i="18"/>
  <c r="AP71" i="18"/>
  <c r="AM5" i="20"/>
  <c r="AL99" i="20"/>
  <c r="AL61" i="20"/>
  <c r="AL43" i="20"/>
  <c r="AL79" i="20"/>
  <c r="AY4" i="20"/>
  <c r="X82" i="11"/>
  <c r="X83" i="11"/>
  <c r="X81" i="11"/>
  <c r="X80" i="11"/>
  <c r="X79" i="11"/>
  <c r="Y35" i="11"/>
  <c r="Y34" i="11"/>
  <c r="AI51" i="11"/>
  <c r="AH55" i="11"/>
  <c r="AB38" i="18"/>
  <c r="Y38" i="18"/>
  <c r="V38" i="18"/>
  <c r="AE38" i="18"/>
  <c r="W38" i="18"/>
  <c r="AF38" i="18"/>
  <c r="AS72" i="18" s="1"/>
  <c r="AC38" i="18"/>
  <c r="Z38" i="18"/>
  <c r="Q38" i="18"/>
  <c r="Q72" i="18" s="1"/>
  <c r="AA38" i="18"/>
  <c r="T38" i="18"/>
  <c r="AJ38" i="18"/>
  <c r="AG38" i="18"/>
  <c r="AD38" i="18"/>
  <c r="S38" i="18"/>
  <c r="S72" i="18" s="1"/>
  <c r="X38" i="18"/>
  <c r="U38" i="18"/>
  <c r="R38" i="18"/>
  <c r="R72" i="18" s="1"/>
  <c r="AH38" i="18"/>
  <c r="AI38" i="18"/>
  <c r="N39" i="18"/>
  <c r="T13" i="18"/>
  <c r="U15" i="18"/>
  <c r="T10" i="18"/>
  <c r="S16" i="18"/>
  <c r="T12" i="18"/>
  <c r="U11" i="18"/>
  <c r="T14" i="18"/>
  <c r="Y593" i="11" l="1"/>
  <c r="Y594" i="11" s="1"/>
  <c r="X608" i="11"/>
  <c r="X610" i="11"/>
  <c r="X611" i="11" s="1"/>
  <c r="X616" i="11"/>
  <c r="X617" i="11"/>
  <c r="Y157" i="11"/>
  <c r="Y156" i="11"/>
  <c r="Y155" i="11"/>
  <c r="Y158" i="11"/>
  <c r="Y159" i="11"/>
  <c r="X160" i="11"/>
  <c r="AC75" i="11"/>
  <c r="Z151" i="11"/>
  <c r="Z150" i="11"/>
  <c r="Z149" i="11"/>
  <c r="X453" i="11"/>
  <c r="X600" i="11"/>
  <c r="X602" i="11" s="1"/>
  <c r="X603" i="11" s="1"/>
  <c r="X466" i="11"/>
  <c r="AB170" i="11"/>
  <c r="AB629" i="11" s="1"/>
  <c r="AA321" i="11"/>
  <c r="AB573" i="11"/>
  <c r="AB574" i="11"/>
  <c r="AB572" i="11"/>
  <c r="AB571" i="11"/>
  <c r="AB570" i="11"/>
  <c r="Z571" i="11"/>
  <c r="Z572" i="11"/>
  <c r="Z573" i="11"/>
  <c r="Z574" i="11"/>
  <c r="Z570" i="11"/>
  <c r="X575" i="11"/>
  <c r="Y572" i="11"/>
  <c r="Y571" i="11"/>
  <c r="Y570" i="11"/>
  <c r="Y573" i="11"/>
  <c r="Y574" i="11"/>
  <c r="AA570" i="11"/>
  <c r="AA573" i="11"/>
  <c r="AA572" i="11"/>
  <c r="AA571" i="11"/>
  <c r="AA574" i="11"/>
  <c r="X452" i="11"/>
  <c r="X454" i="11"/>
  <c r="Y466" i="11"/>
  <c r="Y467" i="11"/>
  <c r="Y468" i="11"/>
  <c r="Y470" i="11"/>
  <c r="Y469" i="11"/>
  <c r="X470" i="11"/>
  <c r="X469" i="11"/>
  <c r="X468" i="11"/>
  <c r="X467" i="11"/>
  <c r="AA523" i="11"/>
  <c r="Z549" i="11"/>
  <c r="AA526" i="11"/>
  <c r="Z550" i="11"/>
  <c r="AA520" i="11"/>
  <c r="Z548" i="11"/>
  <c r="AA529" i="11"/>
  <c r="Z551" i="11"/>
  <c r="AA532" i="11"/>
  <c r="Z552" i="11"/>
  <c r="X542" i="11"/>
  <c r="AA495" i="11"/>
  <c r="Z539" i="11"/>
  <c r="AA506" i="11"/>
  <c r="Z543" i="11"/>
  <c r="AA501" i="11"/>
  <c r="Z541" i="11"/>
  <c r="AA514" i="11"/>
  <c r="Z546" i="11"/>
  <c r="Y542" i="11"/>
  <c r="AA498" i="11"/>
  <c r="Z540" i="11"/>
  <c r="Y511" i="11"/>
  <c r="Y545" i="11" s="1"/>
  <c r="Y553" i="11"/>
  <c r="Z535" i="11"/>
  <c r="Z503" i="11" s="1"/>
  <c r="X40" i="11"/>
  <c r="F218" i="11"/>
  <c r="AA438" i="11"/>
  <c r="Z450" i="11"/>
  <c r="AA435" i="11"/>
  <c r="Z448" i="11"/>
  <c r="AA432" i="11"/>
  <c r="AA447" i="11" s="1"/>
  <c r="Z443" i="11"/>
  <c r="Z449" i="11" s="1"/>
  <c r="Y40" i="11"/>
  <c r="F196" i="11"/>
  <c r="AA5" i="11"/>
  <c r="Z34" i="11"/>
  <c r="Z127" i="11"/>
  <c r="Z129" i="11" s="1"/>
  <c r="Z313" i="11" s="1"/>
  <c r="AC73" i="11"/>
  <c r="Z35" i="11"/>
  <c r="AC74" i="11"/>
  <c r="Z36" i="11"/>
  <c r="Z591" i="11"/>
  <c r="Z105" i="11"/>
  <c r="Z115" i="11"/>
  <c r="Z117" i="11" s="1"/>
  <c r="Z309" i="11" s="1"/>
  <c r="X43" i="11"/>
  <c r="X42" i="11"/>
  <c r="X41" i="11"/>
  <c r="X44" i="11"/>
  <c r="U72" i="18"/>
  <c r="W72" i="18"/>
  <c r="X72" i="18"/>
  <c r="T72" i="18"/>
  <c r="V72" i="18"/>
  <c r="Z81" i="11"/>
  <c r="AL69" i="20"/>
  <c r="AL221" i="20" s="1"/>
  <c r="AL981" i="20" s="1"/>
  <c r="B178" i="20" s="1"/>
  <c r="AL107" i="20"/>
  <c r="AL223" i="20" s="1"/>
  <c r="AL983" i="20" s="1"/>
  <c r="B180" i="20" s="1"/>
  <c r="AL87" i="20"/>
  <c r="AL222" i="20" s="1"/>
  <c r="AL982" i="20" s="1"/>
  <c r="B179" i="20" s="1"/>
  <c r="AL51" i="20"/>
  <c r="AL220" i="20" s="1"/>
  <c r="AL980" i="20" s="1"/>
  <c r="B177" i="20" s="1"/>
  <c r="AM670" i="20"/>
  <c r="AM659" i="20"/>
  <c r="AM648" i="20"/>
  <c r="AM637" i="20"/>
  <c r="AM626" i="20"/>
  <c r="AM615" i="20"/>
  <c r="AM843" i="20"/>
  <c r="AM832" i="20"/>
  <c r="AM810" i="20"/>
  <c r="AM821" i="20"/>
  <c r="AM754" i="20"/>
  <c r="AM765" i="20"/>
  <c r="AM890" i="20" s="1"/>
  <c r="AM743" i="20"/>
  <c r="AM776" i="20"/>
  <c r="AM891" i="20" s="1"/>
  <c r="AM788" i="20"/>
  <c r="AM523" i="20"/>
  <c r="AM858" i="20" s="1"/>
  <c r="AM414" i="20"/>
  <c r="AM464" i="20"/>
  <c r="AM424" i="20"/>
  <c r="AM454" i="20"/>
  <c r="AM434" i="20"/>
  <c r="AM431" i="20"/>
  <c r="AM444" i="20"/>
  <c r="AM347" i="20"/>
  <c r="AM307" i="20"/>
  <c r="AM327" i="20"/>
  <c r="AM337" i="20"/>
  <c r="AM317" i="20"/>
  <c r="AM297" i="20"/>
  <c r="Z82" i="11"/>
  <c r="AL164" i="20"/>
  <c r="AL225" i="20" s="1"/>
  <c r="AL985" i="20" s="1"/>
  <c r="B182" i="20" s="1"/>
  <c r="AL190" i="20"/>
  <c r="AL227" i="20" s="1"/>
  <c r="AL987" i="20" s="1"/>
  <c r="B184" i="20" s="1"/>
  <c r="AL216" i="20"/>
  <c r="AL229" i="20" s="1"/>
  <c r="AL989" i="20" s="1"/>
  <c r="B186" i="20" s="1"/>
  <c r="AL151" i="20"/>
  <c r="AL224" i="20" s="1"/>
  <c r="AL984" i="20" s="1"/>
  <c r="B181" i="20" s="1"/>
  <c r="AL177" i="20"/>
  <c r="AL226" i="20" s="1"/>
  <c r="AL986" i="20" s="1"/>
  <c r="B183" i="20" s="1"/>
  <c r="AL203" i="20"/>
  <c r="AL228" i="20" s="1"/>
  <c r="AL988" i="20" s="1"/>
  <c r="B185" i="20" s="1"/>
  <c r="AM195" i="20"/>
  <c r="AM156" i="20"/>
  <c r="AM143" i="20"/>
  <c r="AM182" i="20"/>
  <c r="AM169" i="20"/>
  <c r="AM208" i="20"/>
  <c r="AN5" i="20"/>
  <c r="AN799" i="20" s="1"/>
  <c r="Z72" i="18"/>
  <c r="AB72" i="18"/>
  <c r="AG72" i="18"/>
  <c r="AO72" i="18"/>
  <c r="AI72" i="18"/>
  <c r="AQ72" i="18"/>
  <c r="AJ72" i="18"/>
  <c r="AR72" i="18"/>
  <c r="AE72" i="18"/>
  <c r="AM72" i="18"/>
  <c r="AC72" i="18"/>
  <c r="AK72" i="18"/>
  <c r="AH72" i="18"/>
  <c r="AP72" i="18"/>
  <c r="AD72" i="18"/>
  <c r="AL72" i="18"/>
  <c r="AA72" i="18"/>
  <c r="AF72" i="18"/>
  <c r="AN72" i="18"/>
  <c r="Y72" i="18"/>
  <c r="AM99" i="20"/>
  <c r="AM107" i="20" s="1"/>
  <c r="AM223" i="20" s="1"/>
  <c r="AM43" i="20"/>
  <c r="AM51" i="20" s="1"/>
  <c r="AM220" i="20" s="1"/>
  <c r="AM61" i="20"/>
  <c r="AM69" i="20" s="1"/>
  <c r="AM221" i="20" s="1"/>
  <c r="AM79" i="20"/>
  <c r="AM87" i="20" s="1"/>
  <c r="AM222" i="20" s="1"/>
  <c r="Z79" i="11"/>
  <c r="AZ4" i="20"/>
  <c r="Z80" i="11"/>
  <c r="Z83" i="11"/>
  <c r="AA81" i="11"/>
  <c r="Y79" i="11"/>
  <c r="Y80" i="11"/>
  <c r="AA82" i="11"/>
  <c r="AA83" i="11"/>
  <c r="AA79" i="11"/>
  <c r="AA80" i="11"/>
  <c r="Y83" i="11"/>
  <c r="Y81" i="11"/>
  <c r="Y82" i="11"/>
  <c r="AB83" i="11"/>
  <c r="AB81" i="11"/>
  <c r="AB80" i="11"/>
  <c r="AB82" i="11"/>
  <c r="AB79" i="11"/>
  <c r="X84" i="11"/>
  <c r="Y44" i="11"/>
  <c r="Y43" i="11"/>
  <c r="Y41" i="11"/>
  <c r="Y42" i="11"/>
  <c r="AJ51" i="11"/>
  <c r="AI55" i="11"/>
  <c r="U39" i="18"/>
  <c r="R39" i="18"/>
  <c r="R73" i="18" s="1"/>
  <c r="AH39" i="18"/>
  <c r="AE39" i="18"/>
  <c r="Q39" i="18"/>
  <c r="Q73" i="18" s="1"/>
  <c r="AC39" i="18"/>
  <c r="Z39" i="18"/>
  <c r="W39" i="18"/>
  <c r="AB39" i="18"/>
  <c r="AJ39" i="18"/>
  <c r="AG39" i="18"/>
  <c r="AA39" i="18"/>
  <c r="X39" i="18"/>
  <c r="V39" i="18"/>
  <c r="AI39" i="18"/>
  <c r="AD39" i="18"/>
  <c r="AF39" i="18"/>
  <c r="AS73" i="18" s="1"/>
  <c r="Y39" i="18"/>
  <c r="S39" i="18"/>
  <c r="S73" i="18" s="1"/>
  <c r="T39" i="18"/>
  <c r="N40" i="18"/>
  <c r="V15" i="18"/>
  <c r="V11" i="18"/>
  <c r="U10" i="18"/>
  <c r="T16" i="18"/>
  <c r="U13" i="18"/>
  <c r="U14" i="18"/>
  <c r="U12" i="18"/>
  <c r="Z593" i="11" l="1"/>
  <c r="X556" i="11"/>
  <c r="X557" i="11"/>
  <c r="X558" i="11"/>
  <c r="Y610" i="11"/>
  <c r="Y608" i="11"/>
  <c r="X622" i="11"/>
  <c r="X621" i="11"/>
  <c r="X618" i="11"/>
  <c r="X620" i="11"/>
  <c r="X619" i="11"/>
  <c r="Y616" i="11"/>
  <c r="Y617" i="11"/>
  <c r="Y160" i="11"/>
  <c r="AD75" i="11"/>
  <c r="AA151" i="11"/>
  <c r="AA150" i="11"/>
  <c r="AA149" i="11"/>
  <c r="Z156" i="11"/>
  <c r="Z159" i="11"/>
  <c r="Z158" i="11"/>
  <c r="Z155" i="11"/>
  <c r="Z157" i="11"/>
  <c r="X460" i="11"/>
  <c r="X476" i="11" s="1"/>
  <c r="Y454" i="11"/>
  <c r="Y600" i="11"/>
  <c r="Y602" i="11" s="1"/>
  <c r="X458" i="11"/>
  <c r="X474" i="11" s="1"/>
  <c r="AC170" i="11"/>
  <c r="AC629" i="11" s="1"/>
  <c r="AB321" i="11"/>
  <c r="X471" i="11"/>
  <c r="AC80" i="11"/>
  <c r="AC572" i="11"/>
  <c r="AC573" i="11"/>
  <c r="AC574" i="11"/>
  <c r="AC571" i="11"/>
  <c r="AC570" i="11"/>
  <c r="X461" i="11"/>
  <c r="X477" i="11" s="1"/>
  <c r="X462" i="11"/>
  <c r="X478" i="11" s="1"/>
  <c r="Y556" i="11"/>
  <c r="X459" i="11"/>
  <c r="X475" i="11" s="1"/>
  <c r="Z594" i="11"/>
  <c r="Y557" i="11"/>
  <c r="Y558" i="11"/>
  <c r="Y452" i="11"/>
  <c r="Y453" i="11"/>
  <c r="Z466" i="11"/>
  <c r="Z467" i="11"/>
  <c r="Z468" i="11"/>
  <c r="Z469" i="11"/>
  <c r="Z470" i="11"/>
  <c r="AA35" i="11"/>
  <c r="AA34" i="11"/>
  <c r="AA591" i="11"/>
  <c r="Z542" i="11"/>
  <c r="AB495" i="11"/>
  <c r="AA539" i="11"/>
  <c r="AA552" i="11"/>
  <c r="AB532" i="11"/>
  <c r="AB520" i="11"/>
  <c r="AA548" i="11"/>
  <c r="AB523" i="11"/>
  <c r="AA549" i="11"/>
  <c r="AB501" i="11"/>
  <c r="AA541" i="11"/>
  <c r="Z511" i="11"/>
  <c r="Z545" i="11" s="1"/>
  <c r="AB529" i="11"/>
  <c r="AA551" i="11"/>
  <c r="AB526" i="11"/>
  <c r="AA550" i="11"/>
  <c r="AA535" i="11"/>
  <c r="Z553" i="11"/>
  <c r="AB498" i="11"/>
  <c r="AA540" i="11"/>
  <c r="AB514" i="11"/>
  <c r="AA546" i="11"/>
  <c r="AA543" i="11"/>
  <c r="AB506" i="11"/>
  <c r="AA36" i="11"/>
  <c r="AB5" i="11"/>
  <c r="AB35" i="11" s="1"/>
  <c r="AC79" i="11"/>
  <c r="AA127" i="11"/>
  <c r="AA129" i="11" s="1"/>
  <c r="AA313" i="11" s="1"/>
  <c r="AD73" i="11"/>
  <c r="AA448" i="11"/>
  <c r="AB435" i="11"/>
  <c r="AC83" i="11"/>
  <c r="AA450" i="11"/>
  <c r="AB438" i="11"/>
  <c r="AB432" i="11"/>
  <c r="AB447" i="11" s="1"/>
  <c r="AA443" i="11"/>
  <c r="AA449" i="11" s="1"/>
  <c r="AA115" i="11"/>
  <c r="AA117" i="11" s="1"/>
  <c r="AA309" i="11" s="1"/>
  <c r="AA105" i="11"/>
  <c r="AD74" i="11"/>
  <c r="Z44" i="11"/>
  <c r="Y84" i="11"/>
  <c r="Z43" i="11"/>
  <c r="Z40" i="11"/>
  <c r="AC81" i="11"/>
  <c r="AC82" i="11"/>
  <c r="Z41" i="11"/>
  <c r="Z42" i="11"/>
  <c r="X45" i="11"/>
  <c r="T73" i="18"/>
  <c r="V73" i="18"/>
  <c r="AM889" i="20"/>
  <c r="AM895" i="20"/>
  <c r="AL991" i="20"/>
  <c r="AM980" i="20"/>
  <c r="C177" i="20" s="1"/>
  <c r="AM930" i="20"/>
  <c r="AM951" i="20" s="1"/>
  <c r="AL930" i="20"/>
  <c r="AL951" i="20" s="1"/>
  <c r="AL230" i="20"/>
  <c r="AL990" i="20" s="1"/>
  <c r="AL855" i="20"/>
  <c r="AL876" i="20" s="1"/>
  <c r="X73" i="18"/>
  <c r="U73" i="18"/>
  <c r="W73" i="18"/>
  <c r="AL905" i="20"/>
  <c r="AL926" i="20" s="1"/>
  <c r="AM905" i="20"/>
  <c r="AM880" i="20"/>
  <c r="AL880" i="20"/>
  <c r="AL901" i="20" s="1"/>
  <c r="AM855" i="20"/>
  <c r="AO799" i="20"/>
  <c r="AN765" i="20"/>
  <c r="AN890" i="20" s="1"/>
  <c r="AN832" i="20"/>
  <c r="AO832" i="20" s="1"/>
  <c r="AP832" i="20" s="1"/>
  <c r="AQ832" i="20" s="1"/>
  <c r="AR832" i="20" s="1"/>
  <c r="AS832" i="20" s="1"/>
  <c r="AT832" i="20" s="1"/>
  <c r="AU832" i="20" s="1"/>
  <c r="AV832" i="20" s="1"/>
  <c r="AW832" i="20" s="1"/>
  <c r="AX832" i="20" s="1"/>
  <c r="AY832" i="20" s="1"/>
  <c r="AZ832" i="20" s="1"/>
  <c r="BA832" i="20" s="1"/>
  <c r="BB832" i="20" s="1"/>
  <c r="BC832" i="20" s="1"/>
  <c r="BD832" i="20" s="1"/>
  <c r="BE832" i="20" s="1"/>
  <c r="BF832" i="20" s="1"/>
  <c r="BG832" i="20" s="1"/>
  <c r="BH832" i="20" s="1"/>
  <c r="BI832" i="20" s="1"/>
  <c r="BJ832" i="20" s="1"/>
  <c r="BK832" i="20" s="1"/>
  <c r="BL832" i="20" s="1"/>
  <c r="BM832" i="20" s="1"/>
  <c r="BN832" i="20" s="1"/>
  <c r="AN637" i="20"/>
  <c r="AO637" i="20" s="1"/>
  <c r="AP637" i="20" s="1"/>
  <c r="AQ637" i="20" s="1"/>
  <c r="AR637" i="20" s="1"/>
  <c r="AS637" i="20" s="1"/>
  <c r="AT637" i="20" s="1"/>
  <c r="AU637" i="20" s="1"/>
  <c r="AV637" i="20" s="1"/>
  <c r="AW637" i="20" s="1"/>
  <c r="AX637" i="20" s="1"/>
  <c r="AY637" i="20" s="1"/>
  <c r="AZ637" i="20" s="1"/>
  <c r="BA637" i="20" s="1"/>
  <c r="BB637" i="20" s="1"/>
  <c r="BC637" i="20" s="1"/>
  <c r="BD637" i="20" s="1"/>
  <c r="BE637" i="20" s="1"/>
  <c r="BF637" i="20" s="1"/>
  <c r="BG637" i="20" s="1"/>
  <c r="BH637" i="20" s="1"/>
  <c r="BI637" i="20" s="1"/>
  <c r="BJ637" i="20" s="1"/>
  <c r="BK637" i="20" s="1"/>
  <c r="BL637" i="20" s="1"/>
  <c r="BM637" i="20" s="1"/>
  <c r="BN637" i="20" s="1"/>
  <c r="AN754" i="20"/>
  <c r="AN843" i="20"/>
  <c r="AO843" i="20" s="1"/>
  <c r="AP843" i="20" s="1"/>
  <c r="AQ843" i="20" s="1"/>
  <c r="AR843" i="20" s="1"/>
  <c r="AS843" i="20" s="1"/>
  <c r="AT843" i="20" s="1"/>
  <c r="AU843" i="20" s="1"/>
  <c r="AV843" i="20" s="1"/>
  <c r="AW843" i="20" s="1"/>
  <c r="AX843" i="20" s="1"/>
  <c r="AY843" i="20" s="1"/>
  <c r="AZ843" i="20" s="1"/>
  <c r="BA843" i="20" s="1"/>
  <c r="BB843" i="20" s="1"/>
  <c r="BC843" i="20" s="1"/>
  <c r="BD843" i="20" s="1"/>
  <c r="BE843" i="20" s="1"/>
  <c r="BF843" i="20" s="1"/>
  <c r="BG843" i="20" s="1"/>
  <c r="BH843" i="20" s="1"/>
  <c r="BI843" i="20" s="1"/>
  <c r="BJ843" i="20" s="1"/>
  <c r="BK843" i="20" s="1"/>
  <c r="BL843" i="20" s="1"/>
  <c r="BM843" i="20" s="1"/>
  <c r="BN843" i="20" s="1"/>
  <c r="AN648" i="20"/>
  <c r="AO648" i="20" s="1"/>
  <c r="AP648" i="20" s="1"/>
  <c r="AQ648" i="20" s="1"/>
  <c r="AR648" i="20" s="1"/>
  <c r="AS648" i="20" s="1"/>
  <c r="AT648" i="20" s="1"/>
  <c r="AU648" i="20" s="1"/>
  <c r="AV648" i="20" s="1"/>
  <c r="AW648" i="20" s="1"/>
  <c r="AX648" i="20" s="1"/>
  <c r="AY648" i="20" s="1"/>
  <c r="AZ648" i="20" s="1"/>
  <c r="BA648" i="20" s="1"/>
  <c r="BB648" i="20" s="1"/>
  <c r="BC648" i="20" s="1"/>
  <c r="BD648" i="20" s="1"/>
  <c r="BE648" i="20" s="1"/>
  <c r="BF648" i="20" s="1"/>
  <c r="BG648" i="20" s="1"/>
  <c r="BH648" i="20" s="1"/>
  <c r="BI648" i="20" s="1"/>
  <c r="BJ648" i="20" s="1"/>
  <c r="BK648" i="20" s="1"/>
  <c r="BL648" i="20" s="1"/>
  <c r="BM648" i="20" s="1"/>
  <c r="BN648" i="20" s="1"/>
  <c r="AN776" i="20"/>
  <c r="AN891" i="20" s="1"/>
  <c r="AN821" i="20"/>
  <c r="AO821" i="20" s="1"/>
  <c r="AP821" i="20" s="1"/>
  <c r="AQ821" i="20" s="1"/>
  <c r="AR821" i="20" s="1"/>
  <c r="AS821" i="20" s="1"/>
  <c r="AT821" i="20" s="1"/>
  <c r="AU821" i="20" s="1"/>
  <c r="AV821" i="20" s="1"/>
  <c r="AW821" i="20" s="1"/>
  <c r="AX821" i="20" s="1"/>
  <c r="AY821" i="20" s="1"/>
  <c r="AZ821" i="20" s="1"/>
  <c r="BA821" i="20" s="1"/>
  <c r="BB821" i="20" s="1"/>
  <c r="BC821" i="20" s="1"/>
  <c r="BD821" i="20" s="1"/>
  <c r="BE821" i="20" s="1"/>
  <c r="BF821" i="20" s="1"/>
  <c r="BG821" i="20" s="1"/>
  <c r="BH821" i="20" s="1"/>
  <c r="BI821" i="20" s="1"/>
  <c r="BJ821" i="20" s="1"/>
  <c r="BK821" i="20" s="1"/>
  <c r="BL821" i="20" s="1"/>
  <c r="BM821" i="20" s="1"/>
  <c r="BN821" i="20" s="1"/>
  <c r="AN615" i="20"/>
  <c r="AO615" i="20" s="1"/>
  <c r="AP615" i="20" s="1"/>
  <c r="AQ615" i="20" s="1"/>
  <c r="AR615" i="20" s="1"/>
  <c r="AS615" i="20" s="1"/>
  <c r="AT615" i="20" s="1"/>
  <c r="AU615" i="20" s="1"/>
  <c r="AV615" i="20" s="1"/>
  <c r="AW615" i="20" s="1"/>
  <c r="AX615" i="20" s="1"/>
  <c r="AY615" i="20" s="1"/>
  <c r="AZ615" i="20" s="1"/>
  <c r="BA615" i="20" s="1"/>
  <c r="BB615" i="20" s="1"/>
  <c r="BC615" i="20" s="1"/>
  <c r="BD615" i="20" s="1"/>
  <c r="BE615" i="20" s="1"/>
  <c r="BF615" i="20" s="1"/>
  <c r="BG615" i="20" s="1"/>
  <c r="BH615" i="20" s="1"/>
  <c r="BI615" i="20" s="1"/>
  <c r="BJ615" i="20" s="1"/>
  <c r="BK615" i="20" s="1"/>
  <c r="BL615" i="20" s="1"/>
  <c r="BM615" i="20" s="1"/>
  <c r="BN615" i="20" s="1"/>
  <c r="AN659" i="20"/>
  <c r="AO659" i="20" s="1"/>
  <c r="AP659" i="20" s="1"/>
  <c r="AQ659" i="20" s="1"/>
  <c r="AR659" i="20" s="1"/>
  <c r="AS659" i="20" s="1"/>
  <c r="AT659" i="20" s="1"/>
  <c r="AU659" i="20" s="1"/>
  <c r="AV659" i="20" s="1"/>
  <c r="AW659" i="20" s="1"/>
  <c r="AX659" i="20" s="1"/>
  <c r="AY659" i="20" s="1"/>
  <c r="AZ659" i="20" s="1"/>
  <c r="BA659" i="20" s="1"/>
  <c r="BB659" i="20" s="1"/>
  <c r="BC659" i="20" s="1"/>
  <c r="BD659" i="20" s="1"/>
  <c r="BE659" i="20" s="1"/>
  <c r="BF659" i="20" s="1"/>
  <c r="BG659" i="20" s="1"/>
  <c r="BH659" i="20" s="1"/>
  <c r="BI659" i="20" s="1"/>
  <c r="BJ659" i="20" s="1"/>
  <c r="BK659" i="20" s="1"/>
  <c r="BL659" i="20" s="1"/>
  <c r="BM659" i="20" s="1"/>
  <c r="BN659" i="20" s="1"/>
  <c r="AN743" i="20"/>
  <c r="AO743" i="20" s="1"/>
  <c r="AP743" i="20" s="1"/>
  <c r="AQ743" i="20" s="1"/>
  <c r="AR743" i="20" s="1"/>
  <c r="AS743" i="20" s="1"/>
  <c r="AT743" i="20" s="1"/>
  <c r="AU743" i="20" s="1"/>
  <c r="AV743" i="20" s="1"/>
  <c r="AW743" i="20" s="1"/>
  <c r="AX743" i="20" s="1"/>
  <c r="AY743" i="20" s="1"/>
  <c r="AZ743" i="20" s="1"/>
  <c r="BA743" i="20" s="1"/>
  <c r="BB743" i="20" s="1"/>
  <c r="BC743" i="20" s="1"/>
  <c r="BD743" i="20" s="1"/>
  <c r="BE743" i="20" s="1"/>
  <c r="BF743" i="20" s="1"/>
  <c r="BG743" i="20" s="1"/>
  <c r="BH743" i="20" s="1"/>
  <c r="BI743" i="20" s="1"/>
  <c r="BJ743" i="20" s="1"/>
  <c r="BK743" i="20" s="1"/>
  <c r="BL743" i="20" s="1"/>
  <c r="BM743" i="20" s="1"/>
  <c r="BN743" i="20" s="1"/>
  <c r="AN810" i="20"/>
  <c r="AO810" i="20" s="1"/>
  <c r="AP810" i="20" s="1"/>
  <c r="AQ810" i="20" s="1"/>
  <c r="AR810" i="20" s="1"/>
  <c r="AS810" i="20" s="1"/>
  <c r="AT810" i="20" s="1"/>
  <c r="AU810" i="20" s="1"/>
  <c r="AV810" i="20" s="1"/>
  <c r="AW810" i="20" s="1"/>
  <c r="AX810" i="20" s="1"/>
  <c r="AY810" i="20" s="1"/>
  <c r="AZ810" i="20" s="1"/>
  <c r="BA810" i="20" s="1"/>
  <c r="BB810" i="20" s="1"/>
  <c r="BC810" i="20" s="1"/>
  <c r="BD810" i="20" s="1"/>
  <c r="BE810" i="20" s="1"/>
  <c r="BF810" i="20" s="1"/>
  <c r="BG810" i="20" s="1"/>
  <c r="BH810" i="20" s="1"/>
  <c r="BI810" i="20" s="1"/>
  <c r="BJ810" i="20" s="1"/>
  <c r="BK810" i="20" s="1"/>
  <c r="BL810" i="20" s="1"/>
  <c r="BM810" i="20" s="1"/>
  <c r="BN810" i="20" s="1"/>
  <c r="AN626" i="20"/>
  <c r="AO626" i="20" s="1"/>
  <c r="AP626" i="20" s="1"/>
  <c r="AQ626" i="20" s="1"/>
  <c r="AR626" i="20" s="1"/>
  <c r="AS626" i="20" s="1"/>
  <c r="AT626" i="20" s="1"/>
  <c r="AU626" i="20" s="1"/>
  <c r="AV626" i="20" s="1"/>
  <c r="AW626" i="20" s="1"/>
  <c r="AX626" i="20" s="1"/>
  <c r="AY626" i="20" s="1"/>
  <c r="AZ626" i="20" s="1"/>
  <c r="BA626" i="20" s="1"/>
  <c r="BB626" i="20" s="1"/>
  <c r="BC626" i="20" s="1"/>
  <c r="BD626" i="20" s="1"/>
  <c r="BE626" i="20" s="1"/>
  <c r="BF626" i="20" s="1"/>
  <c r="BG626" i="20" s="1"/>
  <c r="BH626" i="20" s="1"/>
  <c r="BI626" i="20" s="1"/>
  <c r="BJ626" i="20" s="1"/>
  <c r="BK626" i="20" s="1"/>
  <c r="BL626" i="20" s="1"/>
  <c r="BM626" i="20" s="1"/>
  <c r="BN626" i="20" s="1"/>
  <c r="AN670" i="20"/>
  <c r="AO670" i="20" s="1"/>
  <c r="AP670" i="20" s="1"/>
  <c r="AQ670" i="20" s="1"/>
  <c r="AR670" i="20" s="1"/>
  <c r="AS670" i="20" s="1"/>
  <c r="AT670" i="20" s="1"/>
  <c r="AU670" i="20" s="1"/>
  <c r="AV670" i="20" s="1"/>
  <c r="AW670" i="20" s="1"/>
  <c r="AX670" i="20" s="1"/>
  <c r="AY670" i="20" s="1"/>
  <c r="AZ670" i="20" s="1"/>
  <c r="BA670" i="20" s="1"/>
  <c r="BB670" i="20" s="1"/>
  <c r="BC670" i="20" s="1"/>
  <c r="BD670" i="20" s="1"/>
  <c r="BE670" i="20" s="1"/>
  <c r="BF670" i="20" s="1"/>
  <c r="BG670" i="20" s="1"/>
  <c r="BH670" i="20" s="1"/>
  <c r="BI670" i="20" s="1"/>
  <c r="BJ670" i="20" s="1"/>
  <c r="BK670" i="20" s="1"/>
  <c r="BL670" i="20" s="1"/>
  <c r="BM670" i="20" s="1"/>
  <c r="BN670" i="20" s="1"/>
  <c r="AM784" i="20"/>
  <c r="AM869" i="20" s="1"/>
  <c r="AM807" i="20"/>
  <c r="AM762" i="20"/>
  <c r="AM867" i="20" s="1"/>
  <c r="AM840" i="20"/>
  <c r="AM965" i="20" s="1"/>
  <c r="AN523" i="20"/>
  <c r="AN858" i="20" s="1"/>
  <c r="AN732" i="20"/>
  <c r="AN721" i="20"/>
  <c r="AM773" i="20"/>
  <c r="AM868" i="20" s="1"/>
  <c r="AM851" i="20"/>
  <c r="AM966" i="20" s="1"/>
  <c r="AM818" i="20"/>
  <c r="AM751" i="20"/>
  <c r="AM866" i="20" s="1"/>
  <c r="AM829" i="20"/>
  <c r="AN788" i="20"/>
  <c r="AM796" i="20"/>
  <c r="AM656" i="20"/>
  <c r="AM958" i="20" s="1"/>
  <c r="AM623" i="20"/>
  <c r="AM667" i="20"/>
  <c r="AM959" i="20" s="1"/>
  <c r="AM634" i="20"/>
  <c r="AM678" i="20"/>
  <c r="AM645" i="20"/>
  <c r="AN444" i="20"/>
  <c r="AM452" i="20"/>
  <c r="AN424" i="20"/>
  <c r="AM432" i="20"/>
  <c r="AM907" i="20" s="1"/>
  <c r="AN431" i="20"/>
  <c r="AO431" i="20" s="1"/>
  <c r="AP431" i="20" s="1"/>
  <c r="AQ431" i="20" s="1"/>
  <c r="AR431" i="20" s="1"/>
  <c r="AS431" i="20" s="1"/>
  <c r="AN464" i="20"/>
  <c r="AM472" i="20"/>
  <c r="AN454" i="20"/>
  <c r="AM462" i="20"/>
  <c r="AN434" i="20"/>
  <c r="AM442" i="20"/>
  <c r="AN414" i="20"/>
  <c r="AM422" i="20"/>
  <c r="AN337" i="20"/>
  <c r="AM345" i="20"/>
  <c r="AN327" i="20"/>
  <c r="AM335" i="20"/>
  <c r="AN297" i="20"/>
  <c r="AM305" i="20"/>
  <c r="AN307" i="20"/>
  <c r="AM315" i="20"/>
  <c r="AN317" i="20"/>
  <c r="AM325" i="20"/>
  <c r="AN347" i="20"/>
  <c r="AM355" i="20"/>
  <c r="AM177" i="20"/>
  <c r="AM226" i="20" s="1"/>
  <c r="AM203" i="20"/>
  <c r="AM228" i="20" s="1"/>
  <c r="AM190" i="20"/>
  <c r="AM227" i="20" s="1"/>
  <c r="AM151" i="20"/>
  <c r="AM224" i="20" s="1"/>
  <c r="AM216" i="20"/>
  <c r="AM229" i="20" s="1"/>
  <c r="AM164" i="20"/>
  <c r="AM225" i="20" s="1"/>
  <c r="AN156" i="20"/>
  <c r="AN195" i="20"/>
  <c r="AN182" i="20"/>
  <c r="AN143" i="20"/>
  <c r="AN208" i="20"/>
  <c r="AN169" i="20"/>
  <c r="AN79" i="20"/>
  <c r="AN87" i="20" s="1"/>
  <c r="AN222" i="20" s="1"/>
  <c r="AN99" i="20"/>
  <c r="AN107" i="20" s="1"/>
  <c r="AN223" i="20" s="1"/>
  <c r="AO5" i="20"/>
  <c r="AO255" i="20" s="1"/>
  <c r="AN43" i="20"/>
  <c r="AN51" i="20" s="1"/>
  <c r="AN220" i="20" s="1"/>
  <c r="AN61" i="20"/>
  <c r="AN69" i="20" s="1"/>
  <c r="AN221" i="20" s="1"/>
  <c r="Y73" i="18"/>
  <c r="AF73" i="18"/>
  <c r="AN73" i="18"/>
  <c r="AB73" i="18"/>
  <c r="AJ73" i="18"/>
  <c r="AR73" i="18"/>
  <c r="AD73" i="18"/>
  <c r="AL73" i="18"/>
  <c r="AA73" i="18"/>
  <c r="AE73" i="18"/>
  <c r="AM73" i="18"/>
  <c r="AC73" i="18"/>
  <c r="AK73" i="18"/>
  <c r="AI73" i="18"/>
  <c r="AQ73" i="18"/>
  <c r="AG73" i="18"/>
  <c r="AO73" i="18"/>
  <c r="Z73" i="18"/>
  <c r="AH73" i="18"/>
  <c r="AP73" i="18"/>
  <c r="Z84" i="11"/>
  <c r="BA4" i="20"/>
  <c r="AA84" i="11"/>
  <c r="AB84" i="11"/>
  <c r="Y45" i="11"/>
  <c r="AK51" i="11"/>
  <c r="AJ55" i="11"/>
  <c r="V40" i="18"/>
  <c r="R40" i="18"/>
  <c r="R74" i="18" s="1"/>
  <c r="AI40" i="18"/>
  <c r="AQ74" i="18" s="1"/>
  <c r="AF40" i="18"/>
  <c r="U40" i="18"/>
  <c r="Z40" i="18"/>
  <c r="W40" i="18"/>
  <c r="T40" i="18"/>
  <c r="AJ40" i="18"/>
  <c r="AR74" i="18" s="1"/>
  <c r="Y40" i="18"/>
  <c r="AH40" i="18"/>
  <c r="AP74" i="18" s="1"/>
  <c r="AE40" i="18"/>
  <c r="AB40" i="18"/>
  <c r="AG40" i="18"/>
  <c r="AO74" i="18" s="1"/>
  <c r="AD40" i="18"/>
  <c r="AC40" i="18"/>
  <c r="AA40" i="18"/>
  <c r="Q40" i="18"/>
  <c r="Q74" i="18" s="1"/>
  <c r="X40" i="18"/>
  <c r="X74" i="18" s="1"/>
  <c r="S40" i="18"/>
  <c r="S74" i="18" s="1"/>
  <c r="N41" i="18"/>
  <c r="V12" i="18"/>
  <c r="W11" i="18"/>
  <c r="V14" i="18"/>
  <c r="V13" i="18"/>
  <c r="V10" i="18"/>
  <c r="U16" i="18"/>
  <c r="W15" i="18"/>
  <c r="AA40" i="11" l="1"/>
  <c r="Z610" i="11"/>
  <c r="Z608" i="11"/>
  <c r="Y618" i="11"/>
  <c r="Y622" i="11"/>
  <c r="Y619" i="11"/>
  <c r="Y621" i="11"/>
  <c r="Y620" i="11"/>
  <c r="X623" i="11"/>
  <c r="X624" i="11" s="1"/>
  <c r="Z616" i="11"/>
  <c r="Z617" i="11"/>
  <c r="AA158" i="11"/>
  <c r="AA159" i="11"/>
  <c r="AA155" i="11"/>
  <c r="AA157" i="11"/>
  <c r="AA156" i="11"/>
  <c r="AE75" i="11"/>
  <c r="AB151" i="11"/>
  <c r="AB150" i="11"/>
  <c r="AB149" i="11"/>
  <c r="Y564" i="11"/>
  <c r="Y580" i="11" s="1"/>
  <c r="Z160" i="11"/>
  <c r="Z453" i="11"/>
  <c r="Z600" i="11"/>
  <c r="Z602" i="11" s="1"/>
  <c r="AD170" i="11"/>
  <c r="AD629" i="11" s="1"/>
  <c r="AC321" i="11"/>
  <c r="Y565" i="11"/>
  <c r="Y581" i="11" s="1"/>
  <c r="AA41" i="11"/>
  <c r="AA43" i="11"/>
  <c r="AA42" i="11"/>
  <c r="AA44" i="11"/>
  <c r="AD82" i="11"/>
  <c r="AD571" i="11"/>
  <c r="AD574" i="11"/>
  <c r="AD573" i="11"/>
  <c r="AD570" i="11"/>
  <c r="AD572" i="11"/>
  <c r="X479" i="11"/>
  <c r="X482" i="11" s="1"/>
  <c r="X463" i="11"/>
  <c r="Z558" i="11"/>
  <c r="Y459" i="11"/>
  <c r="Y475" i="11" s="1"/>
  <c r="Y462" i="11"/>
  <c r="Y478" i="11" s="1"/>
  <c r="Y461" i="11"/>
  <c r="Y477" i="11" s="1"/>
  <c r="Y460" i="11"/>
  <c r="Y476" i="11" s="1"/>
  <c r="Y562" i="11"/>
  <c r="Y578" i="11" s="1"/>
  <c r="Y458" i="11"/>
  <c r="Y474" i="11" s="1"/>
  <c r="Z452" i="11"/>
  <c r="Z454" i="11"/>
  <c r="Y566" i="11"/>
  <c r="Y582" i="11" s="1"/>
  <c r="Z557" i="11"/>
  <c r="AE73" i="11"/>
  <c r="Y563" i="11"/>
  <c r="Y579" i="11" s="1"/>
  <c r="Z556" i="11"/>
  <c r="AA593" i="11"/>
  <c r="AA470" i="11"/>
  <c r="AA469" i="11"/>
  <c r="AA468" i="11"/>
  <c r="AA466" i="11"/>
  <c r="AA467" i="11"/>
  <c r="AB34" i="11"/>
  <c r="AB115" i="11"/>
  <c r="AB117" i="11" s="1"/>
  <c r="AB309" i="11" s="1"/>
  <c r="AC5" i="11"/>
  <c r="AB36" i="11"/>
  <c r="AB41" i="11" s="1"/>
  <c r="AB591" i="11"/>
  <c r="AB105" i="11"/>
  <c r="AE74" i="11"/>
  <c r="X564" i="11"/>
  <c r="X580" i="11" s="1"/>
  <c r="X563" i="11"/>
  <c r="X579" i="11" s="1"/>
  <c r="X566" i="11"/>
  <c r="X582" i="11" s="1"/>
  <c r="X562" i="11"/>
  <c r="X578" i="11" s="1"/>
  <c r="X565" i="11"/>
  <c r="X581" i="11" s="1"/>
  <c r="AB127" i="11"/>
  <c r="AB129" i="11" s="1"/>
  <c r="AB313" i="11" s="1"/>
  <c r="AC526" i="11"/>
  <c r="AB550" i="11"/>
  <c r="AC523" i="11"/>
  <c r="AB549" i="11"/>
  <c r="AC514" i="11"/>
  <c r="AB546" i="11"/>
  <c r="AB535" i="11"/>
  <c r="AB511" i="11" s="1"/>
  <c r="AB545" i="11" s="1"/>
  <c r="AA553" i="11"/>
  <c r="AC501" i="11"/>
  <c r="AB541" i="11"/>
  <c r="AC495" i="11"/>
  <c r="AB539" i="11"/>
  <c r="AB543" i="11"/>
  <c r="AC506" i="11"/>
  <c r="AC529" i="11"/>
  <c r="AB551" i="11"/>
  <c r="AC520" i="11"/>
  <c r="AB548" i="11"/>
  <c r="AA511" i="11"/>
  <c r="AA545" i="11" s="1"/>
  <c r="AC498" i="11"/>
  <c r="AB540" i="11"/>
  <c r="AB552" i="11"/>
  <c r="AC532" i="11"/>
  <c r="AA503" i="11"/>
  <c r="AB450" i="11"/>
  <c r="AC438" i="11"/>
  <c r="AB448" i="11"/>
  <c r="AC435" i="11"/>
  <c r="AC432" i="11"/>
  <c r="AC447" i="11" s="1"/>
  <c r="AB443" i="11"/>
  <c r="AB449" i="11" s="1"/>
  <c r="AD83" i="11"/>
  <c r="AD80" i="11"/>
  <c r="AD81" i="11"/>
  <c r="AD79" i="11"/>
  <c r="Z45" i="11"/>
  <c r="AC84" i="11"/>
  <c r="B188" i="20"/>
  <c r="C11" i="17"/>
  <c r="B187" i="20"/>
  <c r="AM901" i="20"/>
  <c r="AN74" i="18"/>
  <c r="AM964" i="20"/>
  <c r="AM970" i="20"/>
  <c r="AN889" i="20"/>
  <c r="AN895" i="20"/>
  <c r="AM985" i="20"/>
  <c r="C182" i="20" s="1"/>
  <c r="AM982" i="20"/>
  <c r="C179" i="20" s="1"/>
  <c r="AM983" i="20"/>
  <c r="C180" i="20" s="1"/>
  <c r="AM981" i="20"/>
  <c r="C178" i="20" s="1"/>
  <c r="AM986" i="20"/>
  <c r="C183" i="20" s="1"/>
  <c r="AM984" i="20"/>
  <c r="C181" i="20" s="1"/>
  <c r="AM988" i="20"/>
  <c r="C185" i="20" s="1"/>
  <c r="AN980" i="20"/>
  <c r="D177" i="20" s="1"/>
  <c r="AM989" i="20"/>
  <c r="C186" i="20" s="1"/>
  <c r="AM987" i="20"/>
  <c r="C184" i="20" s="1"/>
  <c r="AN930" i="20"/>
  <c r="AN951" i="20" s="1"/>
  <c r="AM230" i="20"/>
  <c r="AM926" i="20"/>
  <c r="AM876" i="20"/>
  <c r="AN880" i="20"/>
  <c r="AN905" i="20"/>
  <c r="AO754" i="20"/>
  <c r="AO776" i="20"/>
  <c r="AO891" i="20" s="1"/>
  <c r="AO765" i="20"/>
  <c r="AO890" i="20" s="1"/>
  <c r="AN855" i="20"/>
  <c r="AP799" i="20"/>
  <c r="AN818" i="20"/>
  <c r="AN751" i="20"/>
  <c r="AN866" i="20" s="1"/>
  <c r="AO721" i="20"/>
  <c r="AN729" i="20"/>
  <c r="AN840" i="20"/>
  <c r="AN965" i="20" s="1"/>
  <c r="AN807" i="20"/>
  <c r="AO788" i="20"/>
  <c r="AN796" i="20"/>
  <c r="AN851" i="20"/>
  <c r="AN966" i="20" s="1"/>
  <c r="AO732" i="20"/>
  <c r="AN740" i="20"/>
  <c r="AN865" i="20" s="1"/>
  <c r="AN829" i="20"/>
  <c r="AN773" i="20"/>
  <c r="AN868" i="20" s="1"/>
  <c r="AN762" i="20"/>
  <c r="AN867" i="20" s="1"/>
  <c r="AN784" i="20"/>
  <c r="AN869" i="20" s="1"/>
  <c r="AN645" i="20"/>
  <c r="AN634" i="20"/>
  <c r="AN623" i="20"/>
  <c r="AN678" i="20"/>
  <c r="AN667" i="20"/>
  <c r="AN959" i="20" s="1"/>
  <c r="AN656" i="20"/>
  <c r="AN958" i="20" s="1"/>
  <c r="AO559" i="20"/>
  <c r="AO884" i="20" s="1"/>
  <c r="AO969" i="20" s="1"/>
  <c r="AO570" i="20"/>
  <c r="AO537" i="20"/>
  <c r="AO548" i="20"/>
  <c r="AO883" i="20" s="1"/>
  <c r="AO523" i="20"/>
  <c r="AO858" i="20" s="1"/>
  <c r="AN432" i="20"/>
  <c r="AN907" i="20" s="1"/>
  <c r="AO424" i="20"/>
  <c r="AO414" i="20"/>
  <c r="AN422" i="20"/>
  <c r="AN462" i="20"/>
  <c r="AO454" i="20"/>
  <c r="AN442" i="20"/>
  <c r="AO434" i="20"/>
  <c r="AN472" i="20"/>
  <c r="AO464" i="20"/>
  <c r="AO444" i="20"/>
  <c r="AN452" i="20"/>
  <c r="AO347" i="20"/>
  <c r="AN355" i="20"/>
  <c r="AO307" i="20"/>
  <c r="AN315" i="20"/>
  <c r="AN335" i="20"/>
  <c r="AO327" i="20"/>
  <c r="AN325" i="20"/>
  <c r="AO317" i="20"/>
  <c r="AO297" i="20"/>
  <c r="AN305" i="20"/>
  <c r="AN345" i="20"/>
  <c r="AO337" i="20"/>
  <c r="AO374" i="20"/>
  <c r="AP374" i="20" s="1"/>
  <c r="AQ374" i="20" s="1"/>
  <c r="AR374" i="20" s="1"/>
  <c r="AS374" i="20" s="1"/>
  <c r="AO384" i="20"/>
  <c r="AO394" i="20"/>
  <c r="AO404" i="20"/>
  <c r="AP5" i="20"/>
  <c r="AQ5" i="20" s="1"/>
  <c r="AO61" i="20"/>
  <c r="AN177" i="20"/>
  <c r="AN226" i="20" s="1"/>
  <c r="AN203" i="20"/>
  <c r="AN228" i="20" s="1"/>
  <c r="AN216" i="20"/>
  <c r="AN229" i="20" s="1"/>
  <c r="AN164" i="20"/>
  <c r="AN225" i="20" s="1"/>
  <c r="AN151" i="20"/>
  <c r="AN224" i="20" s="1"/>
  <c r="AN190" i="20"/>
  <c r="AN227" i="20" s="1"/>
  <c r="AO143" i="20"/>
  <c r="AO156" i="20"/>
  <c r="AO195" i="20"/>
  <c r="AO169" i="20"/>
  <c r="AO182" i="20"/>
  <c r="AO208" i="20"/>
  <c r="AO43" i="20"/>
  <c r="AO79" i="20"/>
  <c r="AO99" i="20"/>
  <c r="AA74" i="18"/>
  <c r="Y74" i="18"/>
  <c r="BB4" i="20"/>
  <c r="AB74" i="18"/>
  <c r="U74" i="18"/>
  <c r="AC74" i="18"/>
  <c r="AG74" i="18"/>
  <c r="Z74" i="18"/>
  <c r="AE74" i="18"/>
  <c r="T74" i="18"/>
  <c r="AF74" i="18"/>
  <c r="AD74" i="18"/>
  <c r="AH74" i="18"/>
  <c r="AK74" i="18"/>
  <c r="W74" i="18"/>
  <c r="AI74" i="18"/>
  <c r="AL74" i="18"/>
  <c r="AJ74" i="18"/>
  <c r="AM74" i="18"/>
  <c r="V74" i="18"/>
  <c r="AL51" i="11"/>
  <c r="AK55" i="11"/>
  <c r="AD41" i="18"/>
  <c r="AA41" i="18"/>
  <c r="X41" i="18"/>
  <c r="X75" i="18" s="1"/>
  <c r="Y41" i="18"/>
  <c r="R41" i="18"/>
  <c r="R75" i="18" s="1"/>
  <c r="AH41" i="18"/>
  <c r="AE41" i="18"/>
  <c r="AB41" i="18"/>
  <c r="AC41" i="18"/>
  <c r="AI41" i="18"/>
  <c r="AG41" i="18"/>
  <c r="V41" i="18"/>
  <c r="V75" i="18" s="1"/>
  <c r="S41" i="18"/>
  <c r="S75" i="18" s="1"/>
  <c r="AF41" i="18"/>
  <c r="Z41" i="18"/>
  <c r="Z75" i="18" s="1"/>
  <c r="W41" i="18"/>
  <c r="W75" i="18" s="1"/>
  <c r="T41" i="18"/>
  <c r="T75" i="18" s="1"/>
  <c r="AJ41" i="18"/>
  <c r="U41" i="18"/>
  <c r="U75" i="18" s="1"/>
  <c r="Q41" i="18"/>
  <c r="Q75" i="18" s="1"/>
  <c r="N42" i="18"/>
  <c r="W13" i="18"/>
  <c r="X11" i="18"/>
  <c r="W10" i="18"/>
  <c r="V16" i="18"/>
  <c r="X15" i="18"/>
  <c r="W14" i="18"/>
  <c r="W12" i="18"/>
  <c r="Z621" i="11" l="1"/>
  <c r="Z619" i="11"/>
  <c r="Z622" i="11"/>
  <c r="Z618" i="11"/>
  <c r="Z620" i="11"/>
  <c r="AB159" i="11"/>
  <c r="AB158" i="11"/>
  <c r="AB156" i="11"/>
  <c r="AB155" i="11"/>
  <c r="AB157" i="11"/>
  <c r="AC105" i="11"/>
  <c r="AC150" i="11"/>
  <c r="AC151" i="11"/>
  <c r="AC149" i="11"/>
  <c r="AA160" i="11"/>
  <c r="Z563" i="11"/>
  <c r="Z579" i="11" s="1"/>
  <c r="AE170" i="11"/>
  <c r="AE629" i="11" s="1"/>
  <c r="AD321" i="11"/>
  <c r="AB42" i="11"/>
  <c r="AB43" i="11"/>
  <c r="AA45" i="11"/>
  <c r="AE80" i="11"/>
  <c r="AE573" i="11"/>
  <c r="AE572" i="11"/>
  <c r="AE571" i="11"/>
  <c r="AE574" i="11"/>
  <c r="AE570" i="11"/>
  <c r="AE81" i="11"/>
  <c r="Z462" i="11"/>
  <c r="Z478" i="11" s="1"/>
  <c r="Z565" i="11"/>
  <c r="Z581" i="11" s="1"/>
  <c r="Z460" i="11"/>
  <c r="Z476" i="11" s="1"/>
  <c r="Z566" i="11"/>
  <c r="Z582" i="11" s="1"/>
  <c r="Z562" i="11"/>
  <c r="Z578" i="11" s="1"/>
  <c r="Z461" i="11"/>
  <c r="Z477" i="11" s="1"/>
  <c r="Z458" i="11"/>
  <c r="Z474" i="11" s="1"/>
  <c r="Z564" i="11"/>
  <c r="Z580" i="11" s="1"/>
  <c r="Z459" i="11"/>
  <c r="Z475" i="11" s="1"/>
  <c r="X583" i="11"/>
  <c r="X586" i="11" s="1"/>
  <c r="AA594" i="11"/>
  <c r="AB468" i="11"/>
  <c r="AB469" i="11"/>
  <c r="AB466" i="11"/>
  <c r="AB470" i="11"/>
  <c r="AB467" i="11"/>
  <c r="AC36" i="11"/>
  <c r="AB40" i="11"/>
  <c r="AF74" i="11"/>
  <c r="AE82" i="11"/>
  <c r="AE83" i="11"/>
  <c r="AE79" i="11"/>
  <c r="AD5" i="11"/>
  <c r="AF75" i="11"/>
  <c r="AB44" i="11"/>
  <c r="AC34" i="11"/>
  <c r="AC591" i="11"/>
  <c r="AC115" i="11"/>
  <c r="AC117" i="11" s="1"/>
  <c r="AC309" i="11" s="1"/>
  <c r="AF73" i="11"/>
  <c r="AC127" i="11"/>
  <c r="AC129" i="11" s="1"/>
  <c r="AC313" i="11" s="1"/>
  <c r="AC35" i="11"/>
  <c r="X567" i="11"/>
  <c r="AC543" i="11"/>
  <c r="AD506" i="11"/>
  <c r="AD523" i="11"/>
  <c r="AC549" i="11"/>
  <c r="AA542" i="11"/>
  <c r="AD498" i="11"/>
  <c r="AC540" i="11"/>
  <c r="AD520" i="11"/>
  <c r="AC548" i="11"/>
  <c r="AD495" i="11"/>
  <c r="AC539" i="11"/>
  <c r="AC535" i="11"/>
  <c r="AC511" i="11" s="1"/>
  <c r="AC545" i="11" s="1"/>
  <c r="AB553" i="11"/>
  <c r="AC552" i="11"/>
  <c r="AD532" i="11"/>
  <c r="AB503" i="11"/>
  <c r="AD526" i="11"/>
  <c r="AC550" i="11"/>
  <c r="AD529" i="11"/>
  <c r="AC551" i="11"/>
  <c r="AD501" i="11"/>
  <c r="AC541" i="11"/>
  <c r="AD514" i="11"/>
  <c r="AC546" i="11"/>
  <c r="AD84" i="11"/>
  <c r="AC450" i="11"/>
  <c r="AD438" i="11"/>
  <c r="AC448" i="11"/>
  <c r="AD435" i="11"/>
  <c r="AD432" i="11"/>
  <c r="AD447" i="11" s="1"/>
  <c r="AC443" i="11"/>
  <c r="AC449" i="11" s="1"/>
  <c r="AM976" i="20"/>
  <c r="AN901" i="20"/>
  <c r="AN989" i="20"/>
  <c r="D186" i="20" s="1"/>
  <c r="AN964" i="20"/>
  <c r="AN970" i="20"/>
  <c r="AO889" i="20"/>
  <c r="AO895" i="20"/>
  <c r="AN988" i="20"/>
  <c r="D185" i="20" s="1"/>
  <c r="AN986" i="20"/>
  <c r="D183" i="20" s="1"/>
  <c r="AN985" i="20"/>
  <c r="D182" i="20" s="1"/>
  <c r="AN864" i="20"/>
  <c r="AN870" i="20"/>
  <c r="AN982" i="20"/>
  <c r="D179" i="20" s="1"/>
  <c r="AN983" i="20"/>
  <c r="D180" i="20" s="1"/>
  <c r="AN981" i="20"/>
  <c r="D178" i="20" s="1"/>
  <c r="AM990" i="20"/>
  <c r="AM991" i="20"/>
  <c r="AN987" i="20"/>
  <c r="D184" i="20" s="1"/>
  <c r="AN984" i="20"/>
  <c r="D181" i="20" s="1"/>
  <c r="AN230" i="20"/>
  <c r="AN990" i="20" s="1"/>
  <c r="AP255" i="20"/>
  <c r="AQ255" i="20" s="1"/>
  <c r="AR255" i="20" s="1"/>
  <c r="AS255" i="20" s="1"/>
  <c r="AN926" i="20"/>
  <c r="AP776" i="20"/>
  <c r="AP891" i="20" s="1"/>
  <c r="AP765" i="20"/>
  <c r="AP890" i="20" s="1"/>
  <c r="AP754" i="20"/>
  <c r="AO51" i="20"/>
  <c r="AO220" i="20" s="1"/>
  <c r="AO107" i="20"/>
  <c r="AO223" i="20" s="1"/>
  <c r="AO87" i="20"/>
  <c r="AO222" i="20" s="1"/>
  <c r="AO69" i="20"/>
  <c r="AO221" i="20" s="1"/>
  <c r="AQ799" i="20"/>
  <c r="AO773" i="20"/>
  <c r="AO868" i="20" s="1"/>
  <c r="AP732" i="20"/>
  <c r="AO740" i="20"/>
  <c r="AO865" i="20" s="1"/>
  <c r="AO796" i="20"/>
  <c r="AP788" i="20"/>
  <c r="AO840" i="20"/>
  <c r="AO965" i="20" s="1"/>
  <c r="AO784" i="20"/>
  <c r="AO869" i="20" s="1"/>
  <c r="AO751" i="20"/>
  <c r="AO866" i="20" s="1"/>
  <c r="AO762" i="20"/>
  <c r="AO867" i="20" s="1"/>
  <c r="AO851" i="20"/>
  <c r="AO966" i="20" s="1"/>
  <c r="AO807" i="20"/>
  <c r="AO818" i="20"/>
  <c r="AO829" i="20"/>
  <c r="AP721" i="20"/>
  <c r="AO729" i="20"/>
  <c r="AP523" i="20"/>
  <c r="AP858" i="20" s="1"/>
  <c r="AO634" i="20"/>
  <c r="AO667" i="20"/>
  <c r="AO959" i="20" s="1"/>
  <c r="AO623" i="20"/>
  <c r="AO678" i="20"/>
  <c r="AO656" i="20"/>
  <c r="AO958" i="20" s="1"/>
  <c r="AO645" i="20"/>
  <c r="AO578" i="20"/>
  <c r="AP570" i="20"/>
  <c r="AO567" i="20"/>
  <c r="AP559" i="20"/>
  <c r="AP884" i="20" s="1"/>
  <c r="AP969" i="20" s="1"/>
  <c r="AO556" i="20"/>
  <c r="AP548" i="20"/>
  <c r="AP883" i="20" s="1"/>
  <c r="AO534" i="20"/>
  <c r="AO859" i="20" s="1"/>
  <c r="AO944" i="20" s="1"/>
  <c r="AP537" i="20"/>
  <c r="AO545" i="20"/>
  <c r="AO442" i="20"/>
  <c r="AP434" i="20"/>
  <c r="AP444" i="20"/>
  <c r="AO452" i="20"/>
  <c r="AP414" i="20"/>
  <c r="AO422" i="20"/>
  <c r="AO472" i="20"/>
  <c r="AP464" i="20"/>
  <c r="AO462" i="20"/>
  <c r="AP454" i="20"/>
  <c r="AO432" i="20"/>
  <c r="AO907" i="20" s="1"/>
  <c r="AP424" i="20"/>
  <c r="AO345" i="20"/>
  <c r="AP337" i="20"/>
  <c r="AP317" i="20"/>
  <c r="AO325" i="20"/>
  <c r="AP307" i="20"/>
  <c r="AO315" i="20"/>
  <c r="AO335" i="20"/>
  <c r="AP327" i="20"/>
  <c r="AO305" i="20"/>
  <c r="AP297" i="20"/>
  <c r="AP347" i="20"/>
  <c r="AO355" i="20"/>
  <c r="AP404" i="20"/>
  <c r="AO412" i="20"/>
  <c r="AP394" i="20"/>
  <c r="AO402" i="20"/>
  <c r="AP384" i="20"/>
  <c r="AO392" i="20"/>
  <c r="AO263" i="20"/>
  <c r="AO856" i="20" s="1"/>
  <c r="AO382" i="20"/>
  <c r="AO857" i="20" s="1"/>
  <c r="AP182" i="20"/>
  <c r="AP79" i="20"/>
  <c r="AP87" i="20" s="1"/>
  <c r="AP222" i="20" s="1"/>
  <c r="AP143" i="20"/>
  <c r="AP43" i="20"/>
  <c r="AP51" i="20" s="1"/>
  <c r="AP220" i="20" s="1"/>
  <c r="AP156" i="20"/>
  <c r="AP99" i="20"/>
  <c r="AP107" i="20" s="1"/>
  <c r="AP223" i="20" s="1"/>
  <c r="AP208" i="20"/>
  <c r="AP169" i="20"/>
  <c r="AP61" i="20"/>
  <c r="AP69" i="20" s="1"/>
  <c r="AP221" i="20" s="1"/>
  <c r="AP195" i="20"/>
  <c r="AO177" i="20"/>
  <c r="AO226" i="20" s="1"/>
  <c r="AO203" i="20"/>
  <c r="AO228" i="20" s="1"/>
  <c r="AO216" i="20"/>
  <c r="AO229" i="20" s="1"/>
  <c r="AO164" i="20"/>
  <c r="AO225" i="20" s="1"/>
  <c r="AO190" i="20"/>
  <c r="AO227" i="20" s="1"/>
  <c r="AO151" i="20"/>
  <c r="AO224" i="20" s="1"/>
  <c r="AQ195" i="20"/>
  <c r="AQ156" i="20"/>
  <c r="AQ143" i="20"/>
  <c r="AQ182" i="20"/>
  <c r="AQ169" i="20"/>
  <c r="AQ208" i="20"/>
  <c r="AB75" i="18"/>
  <c r="Y75" i="18"/>
  <c r="AG75" i="18"/>
  <c r="AO75" i="18"/>
  <c r="AE75" i="18"/>
  <c r="AM75" i="18"/>
  <c r="AF75" i="18"/>
  <c r="AN75" i="18"/>
  <c r="AI75" i="18"/>
  <c r="AQ75" i="18"/>
  <c r="AH75" i="18"/>
  <c r="AP75" i="18"/>
  <c r="AA75" i="18"/>
  <c r="AJ75" i="18"/>
  <c r="AR75" i="18"/>
  <c r="AC75" i="18"/>
  <c r="AK75" i="18"/>
  <c r="AD75" i="18"/>
  <c r="AL75" i="18"/>
  <c r="AQ79" i="20"/>
  <c r="AQ99" i="20"/>
  <c r="AQ61" i="20"/>
  <c r="AQ43" i="20"/>
  <c r="AQ51" i="20" s="1"/>
  <c r="AQ220" i="20" s="1"/>
  <c r="AR5" i="20"/>
  <c r="BC4" i="20"/>
  <c r="AM51" i="11"/>
  <c r="AL55" i="11"/>
  <c r="AE42" i="18"/>
  <c r="AB42" i="18"/>
  <c r="Y42" i="18"/>
  <c r="Q42" i="18"/>
  <c r="Q76" i="18" s="1"/>
  <c r="AH42" i="18"/>
  <c r="W42" i="18"/>
  <c r="W76" i="18" s="1"/>
  <c r="T42" i="18"/>
  <c r="T76" i="18" s="1"/>
  <c r="AJ42" i="18"/>
  <c r="AG42" i="18"/>
  <c r="Z42" i="18"/>
  <c r="S42" i="18"/>
  <c r="S76" i="18" s="1"/>
  <c r="AF42" i="18"/>
  <c r="R42" i="18"/>
  <c r="R76" i="18" s="1"/>
  <c r="AA42" i="18"/>
  <c r="U42" i="18"/>
  <c r="U76" i="18" s="1"/>
  <c r="AD42" i="18"/>
  <c r="AI42" i="18"/>
  <c r="AC42" i="18"/>
  <c r="X42" i="18"/>
  <c r="X76" i="18" s="1"/>
  <c r="V42" i="18"/>
  <c r="V76" i="18" s="1"/>
  <c r="N43" i="18"/>
  <c r="Y11" i="18"/>
  <c r="X14" i="18"/>
  <c r="X10" i="18"/>
  <c r="W16" i="18"/>
  <c r="X12" i="18"/>
  <c r="Y15" i="18"/>
  <c r="X13" i="18"/>
  <c r="AA608" i="11" l="1"/>
  <c r="AA610" i="11"/>
  <c r="AB160" i="11"/>
  <c r="AA617" i="11"/>
  <c r="AA616" i="11"/>
  <c r="AC157" i="11"/>
  <c r="AC159" i="11"/>
  <c r="AC156" i="11"/>
  <c r="AC158" i="11"/>
  <c r="AC155" i="11"/>
  <c r="AD115" i="11"/>
  <c r="AD117" i="11" s="1"/>
  <c r="AD309" i="11" s="1"/>
  <c r="AD151" i="11"/>
  <c r="AD150" i="11"/>
  <c r="AD149" i="11"/>
  <c r="AA600" i="11"/>
  <c r="AA602" i="11" s="1"/>
  <c r="AF170" i="11"/>
  <c r="AF629" i="11" s="1"/>
  <c r="AE321" i="11"/>
  <c r="AF79" i="11"/>
  <c r="AF82" i="11"/>
  <c r="AF81" i="11"/>
  <c r="AB45" i="11"/>
  <c r="AC41" i="11"/>
  <c r="AF573" i="11"/>
  <c r="AF570" i="11"/>
  <c r="AF574" i="11"/>
  <c r="AF572" i="11"/>
  <c r="AF571" i="11"/>
  <c r="AA454" i="11"/>
  <c r="AA453" i="11"/>
  <c r="AA452" i="11"/>
  <c r="AA557" i="11"/>
  <c r="AA558" i="11"/>
  <c r="AA556" i="11"/>
  <c r="AC467" i="11"/>
  <c r="AC468" i="11"/>
  <c r="AC466" i="11"/>
  <c r="AC470" i="11"/>
  <c r="AC469" i="11"/>
  <c r="AD34" i="11"/>
  <c r="AE84" i="11"/>
  <c r="AG74" i="11"/>
  <c r="AE5" i="11"/>
  <c r="AG75" i="11"/>
  <c r="AD127" i="11"/>
  <c r="AD129" i="11" s="1"/>
  <c r="AD313" i="11" s="1"/>
  <c r="AG73" i="11"/>
  <c r="AC43" i="11"/>
  <c r="AD105" i="11"/>
  <c r="AD108" i="11" s="1"/>
  <c r="AD191" i="11" s="1"/>
  <c r="AD36" i="11"/>
  <c r="AD35" i="11"/>
  <c r="AD591" i="11"/>
  <c r="AF83" i="11"/>
  <c r="AC42" i="11"/>
  <c r="AF80" i="11"/>
  <c r="AC40" i="11"/>
  <c r="AC44" i="11"/>
  <c r="AC503" i="11"/>
  <c r="AC542" i="11" s="1"/>
  <c r="AE520" i="11"/>
  <c r="AD548" i="11"/>
  <c r="AE501" i="11"/>
  <c r="AD541" i="11"/>
  <c r="AE526" i="11"/>
  <c r="AD550" i="11"/>
  <c r="AB542" i="11"/>
  <c r="AD535" i="11"/>
  <c r="AD511" i="11" s="1"/>
  <c r="AD545" i="11" s="1"/>
  <c r="AC553" i="11"/>
  <c r="AE495" i="11"/>
  <c r="AD539" i="11"/>
  <c r="AE498" i="11"/>
  <c r="AD540" i="11"/>
  <c r="AE523" i="11"/>
  <c r="AD549" i="11"/>
  <c r="AD543" i="11"/>
  <c r="AE506" i="11"/>
  <c r="AE514" i="11"/>
  <c r="AD546" i="11"/>
  <c r="AE529" i="11"/>
  <c r="AD551" i="11"/>
  <c r="AD552" i="11"/>
  <c r="AE532" i="11"/>
  <c r="AD450" i="11"/>
  <c r="AE438" i="11"/>
  <c r="AD448" i="11"/>
  <c r="AE435" i="11"/>
  <c r="AE432" i="11"/>
  <c r="AE447" i="11" s="1"/>
  <c r="AD443" i="11"/>
  <c r="AD449" i="11" s="1"/>
  <c r="D188" i="20"/>
  <c r="C188" i="20"/>
  <c r="D11" i="17"/>
  <c r="C187" i="20"/>
  <c r="AN976" i="20"/>
  <c r="AP889" i="20"/>
  <c r="AP895" i="20"/>
  <c r="AO964" i="20"/>
  <c r="AO970" i="20"/>
  <c r="AN876" i="20"/>
  <c r="AO982" i="20"/>
  <c r="E179" i="20" s="1"/>
  <c r="AO984" i="20"/>
  <c r="E181" i="20" s="1"/>
  <c r="AO988" i="20"/>
  <c r="E185" i="20" s="1"/>
  <c r="AO981" i="20"/>
  <c r="E178" i="20" s="1"/>
  <c r="AO983" i="20"/>
  <c r="E180" i="20" s="1"/>
  <c r="AO864" i="20"/>
  <c r="AO870" i="20"/>
  <c r="AO989" i="20"/>
  <c r="E186" i="20" s="1"/>
  <c r="AO987" i="20"/>
  <c r="E184" i="20" s="1"/>
  <c r="AN991" i="20"/>
  <c r="AO986" i="20"/>
  <c r="E183" i="20" s="1"/>
  <c r="AO985" i="20"/>
  <c r="E182" i="20" s="1"/>
  <c r="AO980" i="20"/>
  <c r="E177" i="20" s="1"/>
  <c r="AP930" i="20"/>
  <c r="AP905" i="20"/>
  <c r="AO930" i="20"/>
  <c r="AO951" i="20" s="1"/>
  <c r="AP855" i="20"/>
  <c r="AQ855" i="20"/>
  <c r="AO855" i="20"/>
  <c r="AO230" i="20"/>
  <c r="AO990" i="20" s="1"/>
  <c r="AP263" i="20"/>
  <c r="AP856" i="20" s="1"/>
  <c r="AO905" i="20"/>
  <c r="AO926" i="20" s="1"/>
  <c r="AP880" i="20"/>
  <c r="AO880" i="20"/>
  <c r="AO901" i="20" s="1"/>
  <c r="AQ765" i="20"/>
  <c r="AQ890" i="20" s="1"/>
  <c r="AQ754" i="20"/>
  <c r="AQ776" i="20"/>
  <c r="AQ891" i="20" s="1"/>
  <c r="AP177" i="20"/>
  <c r="AP226" i="20" s="1"/>
  <c r="AP216" i="20"/>
  <c r="AP229" i="20" s="1"/>
  <c r="AP151" i="20"/>
  <c r="AP224" i="20" s="1"/>
  <c r="AP164" i="20"/>
  <c r="AP225" i="20" s="1"/>
  <c r="AP190" i="20"/>
  <c r="AP227" i="20" s="1"/>
  <c r="AQ523" i="20"/>
  <c r="AQ858" i="20" s="1"/>
  <c r="AR799" i="20"/>
  <c r="AQ732" i="20"/>
  <c r="AP740" i="20"/>
  <c r="AP865" i="20" s="1"/>
  <c r="AP851" i="20"/>
  <c r="AP966" i="20" s="1"/>
  <c r="AQ721" i="20"/>
  <c r="AP729" i="20"/>
  <c r="AP751" i="20"/>
  <c r="AP866" i="20" s="1"/>
  <c r="AP829" i="20"/>
  <c r="AP807" i="20"/>
  <c r="AP796" i="20"/>
  <c r="AQ788" i="20"/>
  <c r="AP773" i="20"/>
  <c r="AP868" i="20" s="1"/>
  <c r="AP818" i="20"/>
  <c r="AP840" i="20"/>
  <c r="AP965" i="20" s="1"/>
  <c r="AP762" i="20"/>
  <c r="AP867" i="20" s="1"/>
  <c r="AP784" i="20"/>
  <c r="AP869" i="20" s="1"/>
  <c r="AP645" i="20"/>
  <c r="AP678" i="20"/>
  <c r="AP667" i="20"/>
  <c r="AP959" i="20" s="1"/>
  <c r="AP656" i="20"/>
  <c r="AP958" i="20" s="1"/>
  <c r="AP623" i="20"/>
  <c r="AP634" i="20"/>
  <c r="AQ559" i="20"/>
  <c r="AQ884" i="20" s="1"/>
  <c r="AQ969" i="20" s="1"/>
  <c r="AP567" i="20"/>
  <c r="AP534" i="20"/>
  <c r="AP859" i="20" s="1"/>
  <c r="AP944" i="20" s="1"/>
  <c r="AP556" i="20"/>
  <c r="AQ548" i="20"/>
  <c r="AQ883" i="20" s="1"/>
  <c r="AQ570" i="20"/>
  <c r="AP578" i="20"/>
  <c r="AQ537" i="20"/>
  <c r="AP545" i="20"/>
  <c r="AP432" i="20"/>
  <c r="AP907" i="20" s="1"/>
  <c r="AQ424" i="20"/>
  <c r="AQ444" i="20"/>
  <c r="AP452" i="20"/>
  <c r="AP462" i="20"/>
  <c r="AQ454" i="20"/>
  <c r="AP442" i="20"/>
  <c r="AQ434" i="20"/>
  <c r="AP472" i="20"/>
  <c r="AQ464" i="20"/>
  <c r="AQ414" i="20"/>
  <c r="AP422" i="20"/>
  <c r="AQ327" i="20"/>
  <c r="AP335" i="20"/>
  <c r="AQ347" i="20"/>
  <c r="AP355" i="20"/>
  <c r="AP325" i="20"/>
  <c r="AQ317" i="20"/>
  <c r="AQ297" i="20"/>
  <c r="AP305" i="20"/>
  <c r="AQ337" i="20"/>
  <c r="AP345" i="20"/>
  <c r="AQ307" i="20"/>
  <c r="AP315" i="20"/>
  <c r="AQ394" i="20"/>
  <c r="AP402" i="20"/>
  <c r="AQ384" i="20"/>
  <c r="AP392" i="20"/>
  <c r="AQ404" i="20"/>
  <c r="AP412" i="20"/>
  <c r="AP382" i="20"/>
  <c r="AQ263" i="20"/>
  <c r="AQ856" i="20" s="1"/>
  <c r="AP203" i="20"/>
  <c r="AP228" i="20" s="1"/>
  <c r="AQ151" i="20"/>
  <c r="AQ224" i="20" s="1"/>
  <c r="AQ216" i="20"/>
  <c r="AQ229" i="20" s="1"/>
  <c r="AQ164" i="20"/>
  <c r="AQ225" i="20" s="1"/>
  <c r="AQ177" i="20"/>
  <c r="AQ226" i="20" s="1"/>
  <c r="AQ203" i="20"/>
  <c r="AQ228" i="20" s="1"/>
  <c r="AQ190" i="20"/>
  <c r="AQ227" i="20" s="1"/>
  <c r="AR143" i="20"/>
  <c r="AR195" i="20"/>
  <c r="AR156" i="20"/>
  <c r="AR208" i="20"/>
  <c r="AR169" i="20"/>
  <c r="AR182" i="20"/>
  <c r="Y76" i="18"/>
  <c r="Z76" i="18"/>
  <c r="AA76" i="18"/>
  <c r="AB76" i="18"/>
  <c r="AI76" i="18"/>
  <c r="AQ76" i="18"/>
  <c r="AG76" i="18"/>
  <c r="AO76" i="18"/>
  <c r="AH76" i="18"/>
  <c r="AP76" i="18"/>
  <c r="AE76" i="18"/>
  <c r="AM76" i="18"/>
  <c r="AC76" i="18"/>
  <c r="AK76" i="18"/>
  <c r="AD76" i="18"/>
  <c r="AL76" i="18"/>
  <c r="AF76" i="18"/>
  <c r="AN76" i="18"/>
  <c r="AJ76" i="18"/>
  <c r="AR76" i="18"/>
  <c r="AQ87" i="20"/>
  <c r="AQ222" i="20" s="1"/>
  <c r="AQ69" i="20"/>
  <c r="AQ221" i="20" s="1"/>
  <c r="AQ107" i="20"/>
  <c r="AQ223" i="20" s="1"/>
  <c r="AR99" i="20"/>
  <c r="AR107" i="20" s="1"/>
  <c r="AR223" i="20" s="1"/>
  <c r="AR79" i="20"/>
  <c r="AR87" i="20" s="1"/>
  <c r="AR222" i="20" s="1"/>
  <c r="AR61" i="20"/>
  <c r="AR69" i="20" s="1"/>
  <c r="AR221" i="20" s="1"/>
  <c r="AR43" i="20"/>
  <c r="AS5" i="20"/>
  <c r="BD4" i="20"/>
  <c r="AN51" i="11"/>
  <c r="AM55" i="11"/>
  <c r="T43" i="18"/>
  <c r="T77" i="18" s="1"/>
  <c r="AJ43" i="18"/>
  <c r="AG43" i="18"/>
  <c r="AD43" i="18"/>
  <c r="Q43" i="18"/>
  <c r="Q77" i="18" s="1"/>
  <c r="X43" i="18"/>
  <c r="X77" i="18" s="1"/>
  <c r="U43" i="18"/>
  <c r="U77" i="18" s="1"/>
  <c r="R43" i="18"/>
  <c r="R77" i="18" s="1"/>
  <c r="AH43" i="18"/>
  <c r="AE43" i="18"/>
  <c r="AB43" i="18"/>
  <c r="Y43" i="18"/>
  <c r="AF43" i="18"/>
  <c r="AC43" i="18"/>
  <c r="Z43" i="18"/>
  <c r="AI43" i="18"/>
  <c r="AA43" i="18"/>
  <c r="V43" i="18"/>
  <c r="V77" i="18" s="1"/>
  <c r="S43" i="18"/>
  <c r="S77" i="18" s="1"/>
  <c r="W43" i="18"/>
  <c r="W77" i="18" s="1"/>
  <c r="N44" i="18"/>
  <c r="Z15" i="18"/>
  <c r="Y14" i="18"/>
  <c r="Y10" i="18"/>
  <c r="X16" i="18"/>
  <c r="Y13" i="18"/>
  <c r="Y12" i="18"/>
  <c r="Z11" i="18"/>
  <c r="AD503" i="11" l="1"/>
  <c r="AD542" i="11" s="1"/>
  <c r="AA620" i="11"/>
  <c r="AA619" i="11"/>
  <c r="AA622" i="11"/>
  <c r="AA618" i="11"/>
  <c r="AA621" i="11"/>
  <c r="AD155" i="11"/>
  <c r="AD157" i="11"/>
  <c r="AD156" i="11"/>
  <c r="AD158" i="11"/>
  <c r="AD159" i="11"/>
  <c r="AH74" i="11"/>
  <c r="AE151" i="11"/>
  <c r="AE150" i="11"/>
  <c r="AE149" i="11"/>
  <c r="AC160" i="11"/>
  <c r="AG170" i="11"/>
  <c r="AG629" i="11" s="1"/>
  <c r="AF321" i="11"/>
  <c r="AE127" i="11"/>
  <c r="AE129" i="11" s="1"/>
  <c r="AE313" i="11" s="1"/>
  <c r="AE34" i="11"/>
  <c r="AH73" i="11"/>
  <c r="AE591" i="11"/>
  <c r="AG82" i="11"/>
  <c r="AD43" i="11"/>
  <c r="AD42" i="11"/>
  <c r="AE35" i="11"/>
  <c r="AE115" i="11"/>
  <c r="AE117" i="11" s="1"/>
  <c r="AE309" i="11" s="1"/>
  <c r="AH75" i="11"/>
  <c r="AE36" i="11"/>
  <c r="AF5" i="11"/>
  <c r="AE105" i="11"/>
  <c r="AE108" i="11" s="1"/>
  <c r="AE191" i="11" s="1"/>
  <c r="AF84" i="11"/>
  <c r="AD40" i="11"/>
  <c r="AG572" i="11"/>
  <c r="AG574" i="11"/>
  <c r="AG571" i="11"/>
  <c r="AG570" i="11"/>
  <c r="AG573" i="11"/>
  <c r="AG80" i="11"/>
  <c r="AA565" i="11"/>
  <c r="AA581" i="11" s="1"/>
  <c r="AA458" i="11"/>
  <c r="AA474" i="11" s="1"/>
  <c r="AA566" i="11"/>
  <c r="AA582" i="11" s="1"/>
  <c r="AA461" i="11"/>
  <c r="AA477" i="11" s="1"/>
  <c r="AA562" i="11"/>
  <c r="AA578" i="11" s="1"/>
  <c r="AA563" i="11"/>
  <c r="AA579" i="11" s="1"/>
  <c r="AA459" i="11"/>
  <c r="AA475" i="11" s="1"/>
  <c r="AA462" i="11"/>
  <c r="AA478" i="11" s="1"/>
  <c r="AA564" i="11"/>
  <c r="AA580" i="11" s="1"/>
  <c r="AA460" i="11"/>
  <c r="AA476" i="11" s="1"/>
  <c r="AD466" i="11"/>
  <c r="AD467" i="11"/>
  <c r="AD468" i="11"/>
  <c r="AD469" i="11"/>
  <c r="AD470" i="11"/>
  <c r="AC45" i="11"/>
  <c r="AD44" i="11"/>
  <c r="AG79" i="11"/>
  <c r="AD41" i="11"/>
  <c r="AG83" i="11"/>
  <c r="AG81" i="11"/>
  <c r="AF514" i="11"/>
  <c r="AE546" i="11"/>
  <c r="AF523" i="11"/>
  <c r="AE549" i="11"/>
  <c r="AF526" i="11"/>
  <c r="AE550" i="11"/>
  <c r="AE543" i="11"/>
  <c r="AF506" i="11"/>
  <c r="AE535" i="11"/>
  <c r="AE511" i="11" s="1"/>
  <c r="AE545" i="11" s="1"/>
  <c r="AD553" i="11"/>
  <c r="AF529" i="11"/>
  <c r="AE551" i="11"/>
  <c r="AF498" i="11"/>
  <c r="AE540" i="11"/>
  <c r="AF501" i="11"/>
  <c r="AE541" i="11"/>
  <c r="AE552" i="11"/>
  <c r="AF532" i="11"/>
  <c r="AF495" i="11"/>
  <c r="AE539" i="11"/>
  <c r="AF520" i="11"/>
  <c r="AE548" i="11"/>
  <c r="AE448" i="11"/>
  <c r="AF435" i="11"/>
  <c r="AE450" i="11"/>
  <c r="AF438" i="11"/>
  <c r="AF432" i="11"/>
  <c r="AF447" i="11" s="1"/>
  <c r="AE443" i="11"/>
  <c r="AE449" i="11" s="1"/>
  <c r="AO976" i="20"/>
  <c r="E188" i="20"/>
  <c r="E11" i="17"/>
  <c r="D187" i="20"/>
  <c r="AP926" i="20"/>
  <c r="AP901" i="20"/>
  <c r="AP964" i="20"/>
  <c r="AP970" i="20"/>
  <c r="AP951" i="20"/>
  <c r="AQ889" i="20"/>
  <c r="AQ895" i="20"/>
  <c r="AO876" i="20"/>
  <c r="AP983" i="20"/>
  <c r="F180" i="20" s="1"/>
  <c r="AP987" i="20"/>
  <c r="F184" i="20" s="1"/>
  <c r="AP981" i="20"/>
  <c r="F178" i="20" s="1"/>
  <c r="AP985" i="20"/>
  <c r="F182" i="20" s="1"/>
  <c r="AP988" i="20"/>
  <c r="F185" i="20" s="1"/>
  <c r="AP982" i="20"/>
  <c r="F179" i="20" s="1"/>
  <c r="AP984" i="20"/>
  <c r="F181" i="20" s="1"/>
  <c r="AP864" i="20"/>
  <c r="AP870" i="20"/>
  <c r="AP986" i="20"/>
  <c r="F183" i="20" s="1"/>
  <c r="AP989" i="20"/>
  <c r="F186" i="20" s="1"/>
  <c r="AO991" i="20"/>
  <c r="AP980" i="20"/>
  <c r="F177" i="20" s="1"/>
  <c r="AQ930" i="20"/>
  <c r="AR905" i="20"/>
  <c r="AR930" i="20"/>
  <c r="AQ230" i="20"/>
  <c r="AP230" i="20"/>
  <c r="AP990" i="20" s="1"/>
  <c r="AR880" i="20"/>
  <c r="AQ880" i="20"/>
  <c r="AQ905" i="20"/>
  <c r="AR754" i="20"/>
  <c r="AR776" i="20"/>
  <c r="AR891" i="20" s="1"/>
  <c r="AR765" i="20"/>
  <c r="AR890" i="20" s="1"/>
  <c r="AP857" i="20"/>
  <c r="AR523" i="20"/>
  <c r="AR858" i="20" s="1"/>
  <c r="AS799" i="20"/>
  <c r="AQ840" i="20"/>
  <c r="AQ965" i="20" s="1"/>
  <c r="AQ773" i="20"/>
  <c r="AQ868" i="20" s="1"/>
  <c r="AQ807" i="20"/>
  <c r="AQ751" i="20"/>
  <c r="AQ866" i="20" s="1"/>
  <c r="AQ851" i="20"/>
  <c r="AQ966" i="20" s="1"/>
  <c r="AQ784" i="20"/>
  <c r="AQ869" i="20" s="1"/>
  <c r="AQ762" i="20"/>
  <c r="AQ867" i="20" s="1"/>
  <c r="AQ796" i="20"/>
  <c r="AR788" i="20"/>
  <c r="AQ818" i="20"/>
  <c r="AQ829" i="20"/>
  <c r="AR721" i="20"/>
  <c r="AQ729" i="20"/>
  <c r="AR732" i="20"/>
  <c r="AQ740" i="20"/>
  <c r="AQ865" i="20" s="1"/>
  <c r="AQ678" i="20"/>
  <c r="AQ656" i="20"/>
  <c r="AQ958" i="20" s="1"/>
  <c r="AQ634" i="20"/>
  <c r="AQ623" i="20"/>
  <c r="AQ667" i="20"/>
  <c r="AQ959" i="20" s="1"/>
  <c r="AQ645" i="20"/>
  <c r="AQ578" i="20"/>
  <c r="AR570" i="20"/>
  <c r="AQ534" i="20"/>
  <c r="AQ859" i="20" s="1"/>
  <c r="AQ944" i="20" s="1"/>
  <c r="AR548" i="20"/>
  <c r="AR883" i="20" s="1"/>
  <c r="AQ556" i="20"/>
  <c r="AR537" i="20"/>
  <c r="AQ545" i="20"/>
  <c r="AQ567" i="20"/>
  <c r="AR559" i="20"/>
  <c r="AR884" i="20" s="1"/>
  <c r="AR969" i="20" s="1"/>
  <c r="AR414" i="20"/>
  <c r="AQ422" i="20"/>
  <c r="AR444" i="20"/>
  <c r="AQ452" i="20"/>
  <c r="AQ442" i="20"/>
  <c r="AR434" i="20"/>
  <c r="AQ472" i="20"/>
  <c r="AR464" i="20"/>
  <c r="AQ462" i="20"/>
  <c r="AR454" i="20"/>
  <c r="AQ432" i="20"/>
  <c r="AQ907" i="20" s="1"/>
  <c r="AR424" i="20"/>
  <c r="AR307" i="20"/>
  <c r="AQ315" i="20"/>
  <c r="AR297" i="20"/>
  <c r="AQ305" i="20"/>
  <c r="AR347" i="20"/>
  <c r="AQ355" i="20"/>
  <c r="AR317" i="20"/>
  <c r="AQ325" i="20"/>
  <c r="AQ345" i="20"/>
  <c r="AR337" i="20"/>
  <c r="AQ335" i="20"/>
  <c r="AR327" i="20"/>
  <c r="AR404" i="20"/>
  <c r="AQ412" i="20"/>
  <c r="AR384" i="20"/>
  <c r="AQ392" i="20"/>
  <c r="AR394" i="20"/>
  <c r="AQ402" i="20"/>
  <c r="AQ382" i="20"/>
  <c r="AR263" i="20"/>
  <c r="AR856" i="20" s="1"/>
  <c r="AR164" i="20"/>
  <c r="AR225" i="20" s="1"/>
  <c r="AR190" i="20"/>
  <c r="AR227" i="20" s="1"/>
  <c r="AR203" i="20"/>
  <c r="AR228" i="20" s="1"/>
  <c r="AR177" i="20"/>
  <c r="AR226" i="20" s="1"/>
  <c r="AR151" i="20"/>
  <c r="AR224" i="20" s="1"/>
  <c r="AR216" i="20"/>
  <c r="AR229" i="20" s="1"/>
  <c r="AS143" i="20"/>
  <c r="AS156" i="20"/>
  <c r="AS195" i="20"/>
  <c r="AS208" i="20"/>
  <c r="AS169" i="20"/>
  <c r="AS182" i="20"/>
  <c r="AA77" i="18"/>
  <c r="AF77" i="18"/>
  <c r="AN77" i="18"/>
  <c r="Y77" i="18"/>
  <c r="Z77" i="18"/>
  <c r="AB77" i="18"/>
  <c r="AG77" i="18"/>
  <c r="AO77" i="18"/>
  <c r="AH77" i="18"/>
  <c r="AP77" i="18"/>
  <c r="AI77" i="18"/>
  <c r="AQ77" i="18"/>
  <c r="AD77" i="18"/>
  <c r="AL77" i="18"/>
  <c r="AC77" i="18"/>
  <c r="AK77" i="18"/>
  <c r="AE77" i="18"/>
  <c r="AM77" i="18"/>
  <c r="AJ77" i="18"/>
  <c r="AR77" i="18"/>
  <c r="AR51" i="20"/>
  <c r="AR220" i="20" s="1"/>
  <c r="AS99" i="20"/>
  <c r="AS107" i="20" s="1"/>
  <c r="AS223" i="20" s="1"/>
  <c r="AS79" i="20"/>
  <c r="AS87" i="20" s="1"/>
  <c r="AS222" i="20" s="1"/>
  <c r="AS61" i="20"/>
  <c r="AS69" i="20" s="1"/>
  <c r="AS221" i="20" s="1"/>
  <c r="AS43" i="20"/>
  <c r="AS51" i="20" s="1"/>
  <c r="AS220" i="20" s="1"/>
  <c r="AT5" i="20"/>
  <c r="BE4" i="20"/>
  <c r="AO51" i="11"/>
  <c r="AN55" i="11"/>
  <c r="Y44" i="18"/>
  <c r="V44" i="18"/>
  <c r="V78" i="18" s="1"/>
  <c r="S44" i="18"/>
  <c r="S78" i="18" s="1"/>
  <c r="AI44" i="18"/>
  <c r="X44" i="18"/>
  <c r="X78" i="18" s="1"/>
  <c r="AC44" i="18"/>
  <c r="Z44" i="18"/>
  <c r="W44" i="18"/>
  <c r="W78" i="18" s="1"/>
  <c r="AF44" i="18"/>
  <c r="Q44" i="18"/>
  <c r="Q78" i="18" s="1"/>
  <c r="AG44" i="18"/>
  <c r="AD44" i="18"/>
  <c r="AA44" i="18"/>
  <c r="T44" i="18"/>
  <c r="T78" i="18" s="1"/>
  <c r="AB44" i="18"/>
  <c r="U44" i="18"/>
  <c r="U78" i="18" s="1"/>
  <c r="R44" i="18"/>
  <c r="R78" i="18" s="1"/>
  <c r="AH44" i="18"/>
  <c r="AE44" i="18"/>
  <c r="AJ44" i="18"/>
  <c r="N45" i="18"/>
  <c r="Z12" i="18"/>
  <c r="Z14" i="18"/>
  <c r="AA15" i="18"/>
  <c r="AA11" i="18"/>
  <c r="Z13" i="18"/>
  <c r="Z10" i="18"/>
  <c r="Y16" i="18"/>
  <c r="Q5" i="18"/>
  <c r="R5" i="18" s="1"/>
  <c r="S5" i="18" s="1"/>
  <c r="T5" i="18" s="1"/>
  <c r="U5" i="18" s="1"/>
  <c r="V5" i="18" s="1"/>
  <c r="W5" i="18" s="1"/>
  <c r="X5" i="18" s="1"/>
  <c r="Y5" i="18" s="1"/>
  <c r="Z5" i="18" s="1"/>
  <c r="AA5" i="18" s="1"/>
  <c r="AB5" i="18" s="1"/>
  <c r="AC5" i="18" s="1"/>
  <c r="AD5" i="18" s="1"/>
  <c r="AE5" i="18" s="1"/>
  <c r="AF5" i="18" s="1"/>
  <c r="AG5" i="18" s="1"/>
  <c r="AH5" i="18" s="1"/>
  <c r="AI5" i="18" s="1"/>
  <c r="AJ5" i="18" s="1"/>
  <c r="AK5" i="18" s="1"/>
  <c r="AL5" i="18" s="1"/>
  <c r="AM5" i="18" s="1"/>
  <c r="AN5" i="18" s="1"/>
  <c r="AO5" i="18" s="1"/>
  <c r="AP5" i="18" s="1"/>
  <c r="AQ5" i="18" s="1"/>
  <c r="AR5" i="18" s="1"/>
  <c r="AS5" i="18" s="1"/>
  <c r="Q9" i="18"/>
  <c r="R9" i="18" s="1"/>
  <c r="S9" i="18" s="1"/>
  <c r="T9" i="18" s="1"/>
  <c r="U9" i="18" s="1"/>
  <c r="V9" i="18" s="1"/>
  <c r="W9" i="18" s="1"/>
  <c r="X9" i="18" s="1"/>
  <c r="Y9" i="18" s="1"/>
  <c r="Z9" i="18" s="1"/>
  <c r="AA9" i="18" s="1"/>
  <c r="AB9" i="18" s="1"/>
  <c r="AC9" i="18" s="1"/>
  <c r="AD9" i="18" s="1"/>
  <c r="AE9" i="18" s="1"/>
  <c r="AF9" i="18" s="1"/>
  <c r="AG9" i="18" s="1"/>
  <c r="AH9" i="18" s="1"/>
  <c r="AI9" i="18" s="1"/>
  <c r="AJ9" i="18" s="1"/>
  <c r="AK9" i="18" s="1"/>
  <c r="AL9" i="18" s="1"/>
  <c r="AM9" i="18" s="1"/>
  <c r="AN9" i="18" s="1"/>
  <c r="AO9" i="18" s="1"/>
  <c r="AP9" i="18" s="1"/>
  <c r="AQ9" i="18" s="1"/>
  <c r="AR9" i="18" s="1"/>
  <c r="AS9" i="18" s="1"/>
  <c r="NS376" i="16"/>
  <c r="C382" i="21" s="1"/>
  <c r="NK376" i="16"/>
  <c r="C374" i="21" s="1"/>
  <c r="C366" i="21"/>
  <c r="N248" i="16"/>
  <c r="O248" i="16" s="1"/>
  <c r="P248" i="16" s="1"/>
  <c r="Q248" i="16" s="1"/>
  <c r="R248" i="16" s="1"/>
  <c r="S248" i="16" s="1"/>
  <c r="T248" i="16" s="1"/>
  <c r="U248" i="16" s="1"/>
  <c r="V248" i="16" s="1"/>
  <c r="W248" i="16" s="1"/>
  <c r="X248" i="16" s="1"/>
  <c r="Y248" i="16" s="1"/>
  <c r="Z248" i="16" s="1"/>
  <c r="AA248" i="16" s="1"/>
  <c r="AB248" i="16" s="1"/>
  <c r="AC248" i="16" s="1"/>
  <c r="AD248" i="16" s="1"/>
  <c r="AE248" i="16" s="1"/>
  <c r="AF248" i="16" s="1"/>
  <c r="AG248" i="16" s="1"/>
  <c r="N244" i="16"/>
  <c r="N245" i="16"/>
  <c r="O245" i="16" s="1"/>
  <c r="P245" i="16" s="1"/>
  <c r="Q245" i="16" s="1"/>
  <c r="R245" i="16" s="1"/>
  <c r="S245" i="16" s="1"/>
  <c r="T245" i="16" s="1"/>
  <c r="U245" i="16" s="1"/>
  <c r="V245" i="16" s="1"/>
  <c r="W245" i="16" s="1"/>
  <c r="X245" i="16" s="1"/>
  <c r="Y245" i="16" s="1"/>
  <c r="Z245" i="16" s="1"/>
  <c r="AA245" i="16" s="1"/>
  <c r="AB245" i="16" s="1"/>
  <c r="AC245" i="16" s="1"/>
  <c r="AD245" i="16" s="1"/>
  <c r="AE245" i="16" s="1"/>
  <c r="AF245" i="16" s="1"/>
  <c r="AG245" i="16" s="1"/>
  <c r="N246" i="16"/>
  <c r="N239" i="16" s="1"/>
  <c r="N247" i="16"/>
  <c r="O247" i="16" s="1"/>
  <c r="P247" i="16" s="1"/>
  <c r="Q247" i="16" s="1"/>
  <c r="R247" i="16" s="1"/>
  <c r="S247" i="16" s="1"/>
  <c r="T247" i="16" s="1"/>
  <c r="U247" i="16" s="1"/>
  <c r="V247" i="16" s="1"/>
  <c r="W247" i="16" s="1"/>
  <c r="X247" i="16" s="1"/>
  <c r="Y247" i="16" s="1"/>
  <c r="Z247" i="16" s="1"/>
  <c r="AA247" i="16" s="1"/>
  <c r="AB247" i="16" s="1"/>
  <c r="AC247" i="16" s="1"/>
  <c r="AD247" i="16" s="1"/>
  <c r="AE247" i="16" s="1"/>
  <c r="AF247" i="16" s="1"/>
  <c r="AG247" i="16" s="1"/>
  <c r="C244" i="16"/>
  <c r="C245" i="16"/>
  <c r="D245" i="16" s="1"/>
  <c r="E245" i="16" s="1"/>
  <c r="F245" i="16" s="1"/>
  <c r="G245" i="16" s="1"/>
  <c r="H245" i="16" s="1"/>
  <c r="I245" i="16" s="1"/>
  <c r="J245" i="16" s="1"/>
  <c r="K245" i="16" s="1"/>
  <c r="L245" i="16" s="1"/>
  <c r="M245" i="16" s="1"/>
  <c r="C246" i="16"/>
  <c r="C247" i="16"/>
  <c r="D247" i="16" s="1"/>
  <c r="E247" i="16" s="1"/>
  <c r="F247" i="16" s="1"/>
  <c r="G247" i="16" s="1"/>
  <c r="H247" i="16" s="1"/>
  <c r="I247" i="16" s="1"/>
  <c r="J247" i="16" s="1"/>
  <c r="K247" i="16" s="1"/>
  <c r="L247" i="16" s="1"/>
  <c r="M247" i="16" s="1"/>
  <c r="C248" i="16"/>
  <c r="D248" i="16" s="1"/>
  <c r="E248" i="16" s="1"/>
  <c r="F248" i="16" s="1"/>
  <c r="G248" i="16" s="1"/>
  <c r="H248" i="16" s="1"/>
  <c r="I248" i="16" s="1"/>
  <c r="J248" i="16" s="1"/>
  <c r="K248" i="16" s="1"/>
  <c r="L248" i="16" s="1"/>
  <c r="M248" i="16" s="1"/>
  <c r="N243" i="16"/>
  <c r="N236" i="16" s="1"/>
  <c r="C243" i="16"/>
  <c r="D243" i="16" s="1"/>
  <c r="B248" i="16"/>
  <c r="B244" i="16"/>
  <c r="B245" i="16"/>
  <c r="B246" i="16"/>
  <c r="B247" i="16"/>
  <c r="B243" i="16"/>
  <c r="D235" i="16"/>
  <c r="E235" i="16" s="1"/>
  <c r="F235" i="16" s="1"/>
  <c r="G235" i="16" s="1"/>
  <c r="H235" i="16" s="1"/>
  <c r="I235" i="16" s="1"/>
  <c r="J235" i="16" s="1"/>
  <c r="K235" i="16" s="1"/>
  <c r="L235" i="16" s="1"/>
  <c r="M235" i="16" s="1"/>
  <c r="N235" i="16" s="1"/>
  <c r="O235" i="16" s="1"/>
  <c r="P235" i="16" s="1"/>
  <c r="Q235" i="16" s="1"/>
  <c r="R235" i="16" s="1"/>
  <c r="S235" i="16" s="1"/>
  <c r="T235" i="16" s="1"/>
  <c r="U235" i="16" s="1"/>
  <c r="V235" i="16" s="1"/>
  <c r="W235" i="16" s="1"/>
  <c r="X235" i="16" s="1"/>
  <c r="Y235" i="16" s="1"/>
  <c r="Z235" i="16" s="1"/>
  <c r="AA235" i="16" s="1"/>
  <c r="AB235" i="16" s="1"/>
  <c r="AC235" i="16" s="1"/>
  <c r="AD235" i="16" s="1"/>
  <c r="AE235" i="16" s="1"/>
  <c r="AF235" i="16" s="1"/>
  <c r="AG235" i="16" s="1"/>
  <c r="O246" i="16" l="1"/>
  <c r="P246" i="16" s="1"/>
  <c r="Q246" i="16" s="1"/>
  <c r="R246" i="16" s="1"/>
  <c r="S246" i="16" s="1"/>
  <c r="T246" i="16" s="1"/>
  <c r="U246" i="16" s="1"/>
  <c r="V246" i="16" s="1"/>
  <c r="W246" i="16" s="1"/>
  <c r="X246" i="16" s="1"/>
  <c r="Y246" i="16" s="1"/>
  <c r="Z246" i="16" s="1"/>
  <c r="AA246" i="16" s="1"/>
  <c r="AB246" i="16" s="1"/>
  <c r="AC246" i="16" s="1"/>
  <c r="AD246" i="16" s="1"/>
  <c r="AE246" i="16" s="1"/>
  <c r="AF246" i="16" s="1"/>
  <c r="AG246" i="16" s="1"/>
  <c r="AH571" i="11"/>
  <c r="AE158" i="11"/>
  <c r="AE155" i="11"/>
  <c r="AE157" i="11"/>
  <c r="AE159" i="11"/>
  <c r="AE156" i="11"/>
  <c r="AI74" i="11"/>
  <c r="AF151" i="11"/>
  <c r="AF150" i="11"/>
  <c r="AF149" i="11"/>
  <c r="AD160" i="11"/>
  <c r="AF591" i="11"/>
  <c r="AH170" i="11"/>
  <c r="AH629" i="11" s="1"/>
  <c r="AG321" i="11"/>
  <c r="AH80" i="11"/>
  <c r="AF36" i="11"/>
  <c r="AF127" i="11"/>
  <c r="AF129" i="11" s="1"/>
  <c r="AF313" i="11" s="1"/>
  <c r="AI75" i="11"/>
  <c r="AF34" i="11"/>
  <c r="AF115" i="11"/>
  <c r="AF117" i="11" s="1"/>
  <c r="AF309" i="11" s="1"/>
  <c r="AF35" i="11"/>
  <c r="AI73" i="11"/>
  <c r="AG5" i="11"/>
  <c r="AF105" i="11"/>
  <c r="AF108" i="11" s="1"/>
  <c r="AF191" i="11" s="1"/>
  <c r="AH82" i="11"/>
  <c r="AH79" i="11"/>
  <c r="AH81" i="11"/>
  <c r="AH83" i="11"/>
  <c r="AD45" i="11"/>
  <c r="AG84" i="11"/>
  <c r="AH570" i="11"/>
  <c r="AH574" i="11"/>
  <c r="AE468" i="11"/>
  <c r="AH572" i="11"/>
  <c r="AE466" i="11"/>
  <c r="AE40" i="11"/>
  <c r="AE43" i="11"/>
  <c r="AH573" i="11"/>
  <c r="AE42" i="11"/>
  <c r="AE44" i="11"/>
  <c r="AE469" i="11"/>
  <c r="AE467" i="11"/>
  <c r="AE41" i="11"/>
  <c r="AE470" i="11"/>
  <c r="AE503" i="11"/>
  <c r="AE542" i="11" s="1"/>
  <c r="AG495" i="11"/>
  <c r="AF539" i="11"/>
  <c r="AG501" i="11"/>
  <c r="AF541" i="11"/>
  <c r="AG498" i="11"/>
  <c r="AF540" i="11"/>
  <c r="AG523" i="11"/>
  <c r="AF549" i="11"/>
  <c r="AF552" i="11"/>
  <c r="AG532" i="11"/>
  <c r="AF535" i="11"/>
  <c r="AF503" i="11" s="1"/>
  <c r="AE553" i="11"/>
  <c r="AG526" i="11"/>
  <c r="AF550" i="11"/>
  <c r="AG520" i="11"/>
  <c r="AF548" i="11"/>
  <c r="AG529" i="11"/>
  <c r="AF551" i="11"/>
  <c r="AF543" i="11"/>
  <c r="AG506" i="11"/>
  <c r="AG514" i="11"/>
  <c r="AF546" i="11"/>
  <c r="AF450" i="11"/>
  <c r="AG438" i="11"/>
  <c r="AF448" i="11"/>
  <c r="AG435" i="11"/>
  <c r="AG432" i="11"/>
  <c r="AG447" i="11" s="1"/>
  <c r="AF443" i="11"/>
  <c r="AF449" i="11" s="1"/>
  <c r="F11" i="17"/>
  <c r="E187" i="20"/>
  <c r="F188" i="20"/>
  <c r="AQ980" i="20"/>
  <c r="G177" i="20" s="1"/>
  <c r="AP976" i="20"/>
  <c r="AQ901" i="20"/>
  <c r="AQ951" i="20"/>
  <c r="AQ964" i="20"/>
  <c r="AQ970" i="20"/>
  <c r="AR889" i="20"/>
  <c r="AR895" i="20"/>
  <c r="AQ982" i="20"/>
  <c r="G179" i="20" s="1"/>
  <c r="AQ983" i="20"/>
  <c r="G180" i="20" s="1"/>
  <c r="AP876" i="20"/>
  <c r="AQ988" i="20"/>
  <c r="G185" i="20" s="1"/>
  <c r="AQ981" i="20"/>
  <c r="G178" i="20" s="1"/>
  <c r="AQ987" i="20"/>
  <c r="G184" i="20" s="1"/>
  <c r="AQ864" i="20"/>
  <c r="AQ870" i="20"/>
  <c r="AP991" i="20"/>
  <c r="AQ990" i="20"/>
  <c r="AQ989" i="20"/>
  <c r="G186" i="20" s="1"/>
  <c r="AQ986" i="20"/>
  <c r="G183" i="20" s="1"/>
  <c r="AQ985" i="20"/>
  <c r="G182" i="20" s="1"/>
  <c r="AQ984" i="20"/>
  <c r="G181" i="20" s="1"/>
  <c r="AS905" i="20"/>
  <c r="AS930" i="20"/>
  <c r="AT285" i="20"/>
  <c r="AT275" i="20"/>
  <c r="AT431" i="20"/>
  <c r="AU431" i="20" s="1"/>
  <c r="AV431" i="20" s="1"/>
  <c r="AW431" i="20" s="1"/>
  <c r="AX431" i="20" s="1"/>
  <c r="AY431" i="20" s="1"/>
  <c r="AZ431" i="20" s="1"/>
  <c r="BA431" i="20" s="1"/>
  <c r="BB431" i="20" s="1"/>
  <c r="BC431" i="20" s="1"/>
  <c r="BD431" i="20" s="1"/>
  <c r="BE431" i="20" s="1"/>
  <c r="BF431" i="20" s="1"/>
  <c r="BG431" i="20" s="1"/>
  <c r="BH431" i="20" s="1"/>
  <c r="BI431" i="20" s="1"/>
  <c r="BJ431" i="20" s="1"/>
  <c r="BK431" i="20" s="1"/>
  <c r="BL431" i="20" s="1"/>
  <c r="BM431" i="20" s="1"/>
  <c r="BN431" i="20" s="1"/>
  <c r="AT374" i="20"/>
  <c r="AU374" i="20" s="1"/>
  <c r="AV374" i="20" s="1"/>
  <c r="AW374" i="20" s="1"/>
  <c r="AX374" i="20" s="1"/>
  <c r="AY374" i="20" s="1"/>
  <c r="AZ374" i="20" s="1"/>
  <c r="BA374" i="20" s="1"/>
  <c r="BB374" i="20" s="1"/>
  <c r="BC374" i="20" s="1"/>
  <c r="BD374" i="20" s="1"/>
  <c r="BE374" i="20" s="1"/>
  <c r="BF374" i="20" s="1"/>
  <c r="BG374" i="20" s="1"/>
  <c r="BH374" i="20" s="1"/>
  <c r="BI374" i="20" s="1"/>
  <c r="BJ374" i="20" s="1"/>
  <c r="BK374" i="20" s="1"/>
  <c r="BL374" i="20" s="1"/>
  <c r="BM374" i="20" s="1"/>
  <c r="BN374" i="20" s="1"/>
  <c r="AT255" i="20"/>
  <c r="AR855" i="20"/>
  <c r="AR230" i="20"/>
  <c r="AR990" i="20" s="1"/>
  <c r="AS855" i="20"/>
  <c r="AT515" i="20"/>
  <c r="AU515" i="20" s="1"/>
  <c r="AV515" i="20" s="1"/>
  <c r="AW515" i="20" s="1"/>
  <c r="AX515" i="20" s="1"/>
  <c r="AY515" i="20" s="1"/>
  <c r="AZ515" i="20" s="1"/>
  <c r="BA515" i="20" s="1"/>
  <c r="BB515" i="20" s="1"/>
  <c r="BC515" i="20" s="1"/>
  <c r="BD515" i="20" s="1"/>
  <c r="BE515" i="20" s="1"/>
  <c r="BF515" i="20" s="1"/>
  <c r="BG515" i="20" s="1"/>
  <c r="BH515" i="20" s="1"/>
  <c r="BI515" i="20" s="1"/>
  <c r="BJ515" i="20" s="1"/>
  <c r="BK515" i="20" s="1"/>
  <c r="BL515" i="20" s="1"/>
  <c r="BM515" i="20" s="1"/>
  <c r="BN515" i="20" s="1"/>
  <c r="AT526" i="20"/>
  <c r="AQ926" i="20"/>
  <c r="AS880" i="20"/>
  <c r="AS776" i="20"/>
  <c r="AS891" i="20" s="1"/>
  <c r="AS765" i="20"/>
  <c r="AS890" i="20" s="1"/>
  <c r="AS754" i="20"/>
  <c r="AQ857" i="20"/>
  <c r="AT265" i="20"/>
  <c r="AU265" i="20" s="1"/>
  <c r="AV265" i="20" s="1"/>
  <c r="AW265" i="20" s="1"/>
  <c r="AX265" i="20" s="1"/>
  <c r="AY265" i="20" s="1"/>
  <c r="AZ265" i="20" s="1"/>
  <c r="BA265" i="20" s="1"/>
  <c r="BB265" i="20" s="1"/>
  <c r="BC265" i="20" s="1"/>
  <c r="BD265" i="20" s="1"/>
  <c r="BE265" i="20" s="1"/>
  <c r="BF265" i="20" s="1"/>
  <c r="BG265" i="20" s="1"/>
  <c r="BH265" i="20" s="1"/>
  <c r="BI265" i="20" s="1"/>
  <c r="BJ265" i="20" s="1"/>
  <c r="BK265" i="20" s="1"/>
  <c r="BL265" i="20" s="1"/>
  <c r="BM265" i="20" s="1"/>
  <c r="BN265" i="20" s="1"/>
  <c r="AT43" i="20"/>
  <c r="AT799" i="20"/>
  <c r="AR829" i="20"/>
  <c r="AS788" i="20"/>
  <c r="AR796" i="20"/>
  <c r="AR784" i="20"/>
  <c r="AR869" i="20" s="1"/>
  <c r="AR751" i="20"/>
  <c r="AR866" i="20" s="1"/>
  <c r="AR773" i="20"/>
  <c r="AR868" i="20" s="1"/>
  <c r="AS732" i="20"/>
  <c r="AR740" i="20"/>
  <c r="AR865" i="20" s="1"/>
  <c r="AR818" i="20"/>
  <c r="AR762" i="20"/>
  <c r="AR867" i="20" s="1"/>
  <c r="AR840" i="20"/>
  <c r="AR965" i="20" s="1"/>
  <c r="AS721" i="20"/>
  <c r="AR729" i="20"/>
  <c r="AR851" i="20"/>
  <c r="AR966" i="20" s="1"/>
  <c r="AR807" i="20"/>
  <c r="AR645" i="20"/>
  <c r="AR656" i="20"/>
  <c r="AR958" i="20" s="1"/>
  <c r="AR623" i="20"/>
  <c r="AR634" i="20"/>
  <c r="AR678" i="20"/>
  <c r="AR667" i="20"/>
  <c r="AR959" i="20" s="1"/>
  <c r="AS537" i="20"/>
  <c r="AR545" i="20"/>
  <c r="AR534" i="20"/>
  <c r="AR859" i="20" s="1"/>
  <c r="AR944" i="20" s="1"/>
  <c r="AR951" i="20" s="1"/>
  <c r="AR567" i="20"/>
  <c r="AS559" i="20"/>
  <c r="AS884" i="20" s="1"/>
  <c r="AS969" i="20" s="1"/>
  <c r="AR578" i="20"/>
  <c r="AS570" i="20"/>
  <c r="AS548" i="20"/>
  <c r="AS883" i="20" s="1"/>
  <c r="AR556" i="20"/>
  <c r="AR432" i="20"/>
  <c r="AR907" i="20" s="1"/>
  <c r="AR926" i="20" s="1"/>
  <c r="AS424" i="20"/>
  <c r="AR472" i="20"/>
  <c r="AS464" i="20"/>
  <c r="AS444" i="20"/>
  <c r="AR452" i="20"/>
  <c r="AR462" i="20"/>
  <c r="AS454" i="20"/>
  <c r="AR442" i="20"/>
  <c r="AS434" i="20"/>
  <c r="AS414" i="20"/>
  <c r="AR422" i="20"/>
  <c r="AR335" i="20"/>
  <c r="AS327" i="20"/>
  <c r="AR325" i="20"/>
  <c r="AS317" i="20"/>
  <c r="AS297" i="20"/>
  <c r="AR305" i="20"/>
  <c r="AR345" i="20"/>
  <c r="AS337" i="20"/>
  <c r="AS347" i="20"/>
  <c r="AR355" i="20"/>
  <c r="AS307" i="20"/>
  <c r="AR315" i="20"/>
  <c r="AS384" i="20"/>
  <c r="AR392" i="20"/>
  <c r="AS394" i="20"/>
  <c r="AR402" i="20"/>
  <c r="AS404" i="20"/>
  <c r="AR412" i="20"/>
  <c r="AR382" i="20"/>
  <c r="AS263" i="20"/>
  <c r="AS856" i="20" s="1"/>
  <c r="AS177" i="20"/>
  <c r="AS226" i="20" s="1"/>
  <c r="AS151" i="20"/>
  <c r="AS224" i="20" s="1"/>
  <c r="AS216" i="20"/>
  <c r="AS229" i="20" s="1"/>
  <c r="AS203" i="20"/>
  <c r="AS228" i="20" s="1"/>
  <c r="AS190" i="20"/>
  <c r="AS227" i="20" s="1"/>
  <c r="AS164" i="20"/>
  <c r="AS225" i="20" s="1"/>
  <c r="AT143" i="20"/>
  <c r="AT195" i="20"/>
  <c r="AT156" i="20"/>
  <c r="AT169" i="20"/>
  <c r="AT208" i="20"/>
  <c r="AT182" i="20"/>
  <c r="AB78" i="18"/>
  <c r="Z78" i="18"/>
  <c r="AJ78" i="18"/>
  <c r="AR78" i="18"/>
  <c r="AD78" i="18"/>
  <c r="AL78" i="18"/>
  <c r="AI78" i="18"/>
  <c r="AQ78" i="18"/>
  <c r="AE78" i="18"/>
  <c r="AM78" i="18"/>
  <c r="AG78" i="18"/>
  <c r="AO78" i="18"/>
  <c r="AH78" i="18"/>
  <c r="AP78" i="18"/>
  <c r="AC78" i="18"/>
  <c r="AK78" i="18"/>
  <c r="AA78" i="18"/>
  <c r="AF78" i="18"/>
  <c r="AN78" i="18"/>
  <c r="Y78" i="18"/>
  <c r="AT99" i="20"/>
  <c r="AT79" i="20"/>
  <c r="AT61" i="20"/>
  <c r="AU5" i="20"/>
  <c r="BF4" i="20"/>
  <c r="AP51" i="11"/>
  <c r="AO55" i="11"/>
  <c r="AE45" i="18"/>
  <c r="AB45" i="18"/>
  <c r="U45" i="18"/>
  <c r="AH45" i="18"/>
  <c r="AD45" i="18"/>
  <c r="AI45" i="18"/>
  <c r="AF45" i="18"/>
  <c r="Y45" i="18"/>
  <c r="V45" i="18"/>
  <c r="W45" i="18"/>
  <c r="T45" i="18"/>
  <c r="AJ45" i="18"/>
  <c r="AC45" i="18"/>
  <c r="Z45" i="18"/>
  <c r="Q45" i="18"/>
  <c r="Q79" i="18" s="1"/>
  <c r="AA45" i="18"/>
  <c r="X45" i="18"/>
  <c r="S45" i="18"/>
  <c r="AG45" i="18"/>
  <c r="R45" i="18"/>
  <c r="R79" i="18" s="1"/>
  <c r="N46" i="18"/>
  <c r="C384" i="21"/>
  <c r="AA14" i="18"/>
  <c r="AA13" i="18"/>
  <c r="AB15" i="18"/>
  <c r="AA10" i="18"/>
  <c r="Z16" i="18"/>
  <c r="AB11" i="18"/>
  <c r="AA12" i="18"/>
  <c r="C385" i="21"/>
  <c r="D241" i="16"/>
  <c r="E241" i="16" s="1"/>
  <c r="F241" i="16" s="1"/>
  <c r="G241" i="16" s="1"/>
  <c r="H241" i="16" s="1"/>
  <c r="I241" i="16" s="1"/>
  <c r="J241" i="16" s="1"/>
  <c r="K241" i="16" s="1"/>
  <c r="L241" i="16" s="1"/>
  <c r="N241" i="16"/>
  <c r="O241" i="16" s="1"/>
  <c r="P241" i="16" s="1"/>
  <c r="Q241" i="16" s="1"/>
  <c r="R241" i="16" s="1"/>
  <c r="S241" i="16" s="1"/>
  <c r="T241" i="16" s="1"/>
  <c r="U241" i="16" s="1"/>
  <c r="V241" i="16" s="1"/>
  <c r="X241" i="16"/>
  <c r="Y241" i="16" s="1"/>
  <c r="Z241" i="16" s="1"/>
  <c r="AA241" i="16" s="1"/>
  <c r="AB241" i="16" s="1"/>
  <c r="AC241" i="16" s="1"/>
  <c r="AD241" i="16" s="1"/>
  <c r="AE241" i="16" s="1"/>
  <c r="AF241" i="16" s="1"/>
  <c r="AG241" i="16" s="1"/>
  <c r="C381" i="21"/>
  <c r="C380" i="21"/>
  <c r="C383" i="21"/>
  <c r="N237" i="16"/>
  <c r="O244" i="16"/>
  <c r="P244" i="16" s="1"/>
  <c r="Q244" i="16" s="1"/>
  <c r="R244" i="16" s="1"/>
  <c r="S244" i="16" s="1"/>
  <c r="T244" i="16" s="1"/>
  <c r="U244" i="16" s="1"/>
  <c r="V244" i="16" s="1"/>
  <c r="W244" i="16" s="1"/>
  <c r="X244" i="16" s="1"/>
  <c r="Y244" i="16" s="1"/>
  <c r="Z244" i="16" s="1"/>
  <c r="AA244" i="16" s="1"/>
  <c r="AB244" i="16" s="1"/>
  <c r="AC244" i="16" s="1"/>
  <c r="AD244" i="16" s="1"/>
  <c r="AE244" i="16" s="1"/>
  <c r="AF244" i="16" s="1"/>
  <c r="AG244" i="16" s="1"/>
  <c r="X239" i="16"/>
  <c r="Y239" i="16" s="1"/>
  <c r="Z239" i="16" s="1"/>
  <c r="AA239" i="16" s="1"/>
  <c r="AB239" i="16" s="1"/>
  <c r="AC239" i="16" s="1"/>
  <c r="AD239" i="16" s="1"/>
  <c r="AE239" i="16" s="1"/>
  <c r="AF239" i="16" s="1"/>
  <c r="AG239" i="16" s="1"/>
  <c r="C372" i="21"/>
  <c r="D238" i="16"/>
  <c r="E238" i="16" s="1"/>
  <c r="X238" i="16"/>
  <c r="Y238" i="16" s="1"/>
  <c r="Z238" i="16" s="1"/>
  <c r="AA238" i="16" s="1"/>
  <c r="AB238" i="16" s="1"/>
  <c r="AC238" i="16" s="1"/>
  <c r="AD238" i="16" s="1"/>
  <c r="AE238" i="16" s="1"/>
  <c r="AF238" i="16" s="1"/>
  <c r="AG238" i="16" s="1"/>
  <c r="C373" i="21"/>
  <c r="C379" i="21"/>
  <c r="N238" i="16"/>
  <c r="O238" i="16" s="1"/>
  <c r="P238" i="16" s="1"/>
  <c r="Q238" i="16" s="1"/>
  <c r="R238" i="16" s="1"/>
  <c r="S238" i="16" s="1"/>
  <c r="T238" i="16" s="1"/>
  <c r="U238" i="16" s="1"/>
  <c r="V238" i="16" s="1"/>
  <c r="C371" i="21"/>
  <c r="D240" i="16"/>
  <c r="E240" i="16" s="1"/>
  <c r="N240" i="16"/>
  <c r="O240" i="16" s="1"/>
  <c r="P240" i="16" s="1"/>
  <c r="Q240" i="16" s="1"/>
  <c r="R240" i="16" s="1"/>
  <c r="S240" i="16" s="1"/>
  <c r="T240" i="16" s="1"/>
  <c r="U240" i="16" s="1"/>
  <c r="V240" i="16" s="1"/>
  <c r="X240" i="16"/>
  <c r="Y240" i="16" s="1"/>
  <c r="Z240" i="16" s="1"/>
  <c r="AA240" i="16" s="1"/>
  <c r="AB240" i="16" s="1"/>
  <c r="AC240" i="16" s="1"/>
  <c r="AD240" i="16" s="1"/>
  <c r="AE240" i="16" s="1"/>
  <c r="AF240" i="16" s="1"/>
  <c r="AG240" i="16" s="1"/>
  <c r="O243" i="16"/>
  <c r="P243" i="16" s="1"/>
  <c r="Q243" i="16" s="1"/>
  <c r="R243" i="16" s="1"/>
  <c r="S243" i="16" s="1"/>
  <c r="T243" i="16" s="1"/>
  <c r="U243" i="16" s="1"/>
  <c r="V243" i="16" s="1"/>
  <c r="W243" i="16" s="1"/>
  <c r="X243" i="16" s="1"/>
  <c r="E243" i="16"/>
  <c r="D236" i="16"/>
  <c r="C377" i="21" l="1"/>
  <c r="C376" i="21"/>
  <c r="O239" i="16"/>
  <c r="P239" i="16" s="1"/>
  <c r="Q239" i="16" s="1"/>
  <c r="R239" i="16" s="1"/>
  <c r="S239" i="16" s="1"/>
  <c r="T239" i="16" s="1"/>
  <c r="U239" i="16" s="1"/>
  <c r="V239" i="16" s="1"/>
  <c r="X237" i="16"/>
  <c r="Y237" i="16" s="1"/>
  <c r="Z237" i="16" s="1"/>
  <c r="AA237" i="16" s="1"/>
  <c r="AB237" i="16" s="1"/>
  <c r="AC237" i="16" s="1"/>
  <c r="AD237" i="16" s="1"/>
  <c r="AE237" i="16" s="1"/>
  <c r="AF237" i="16" s="1"/>
  <c r="AG237" i="16" s="1"/>
  <c r="AI571" i="11"/>
  <c r="AE160" i="11"/>
  <c r="AI81" i="11"/>
  <c r="AF155" i="11"/>
  <c r="AF158" i="11"/>
  <c r="AF159" i="11"/>
  <c r="AF157" i="11"/>
  <c r="AF156" i="11"/>
  <c r="AG34" i="11"/>
  <c r="AG150" i="11"/>
  <c r="AG151" i="11"/>
  <c r="AG149" i="11"/>
  <c r="AI573" i="11"/>
  <c r="AI79" i="11"/>
  <c r="AG127" i="11"/>
  <c r="AG129" i="11" s="1"/>
  <c r="AG313" i="11" s="1"/>
  <c r="AG36" i="11"/>
  <c r="AU255" i="20"/>
  <c r="AI170" i="11"/>
  <c r="AI629" i="11" s="1"/>
  <c r="AH321" i="11"/>
  <c r="AF41" i="11"/>
  <c r="AH5" i="11"/>
  <c r="AJ74" i="11"/>
  <c r="AF469" i="11"/>
  <c r="AF44" i="11"/>
  <c r="AF466" i="11"/>
  <c r="AF467" i="11"/>
  <c r="AF42" i="11"/>
  <c r="AF40" i="11"/>
  <c r="AI83" i="11"/>
  <c r="AI574" i="11"/>
  <c r="AI570" i="11"/>
  <c r="AH84" i="11"/>
  <c r="AI82" i="11"/>
  <c r="AI572" i="11"/>
  <c r="AF43" i="11"/>
  <c r="AI80" i="11"/>
  <c r="AF468" i="11"/>
  <c r="AF470" i="11"/>
  <c r="AJ73" i="11"/>
  <c r="AG35" i="11"/>
  <c r="AG105" i="11"/>
  <c r="AG108" i="11" s="1"/>
  <c r="AG191" i="11" s="1"/>
  <c r="AJ75" i="11"/>
  <c r="AG591" i="11"/>
  <c r="AG115" i="11"/>
  <c r="AG117" i="11" s="1"/>
  <c r="AG309" i="11" s="1"/>
  <c r="AE45" i="11"/>
  <c r="AF542" i="11"/>
  <c r="AH514" i="11"/>
  <c r="AG546" i="11"/>
  <c r="AH529" i="11"/>
  <c r="AG551" i="11"/>
  <c r="AG543" i="11"/>
  <c r="AH506" i="11"/>
  <c r="AH520" i="11"/>
  <c r="AG548" i="11"/>
  <c r="AG535" i="11"/>
  <c r="AG503" i="11" s="1"/>
  <c r="AF553" i="11"/>
  <c r="AH523" i="11"/>
  <c r="AG549" i="11"/>
  <c r="AH501" i="11"/>
  <c r="AG541" i="11"/>
  <c r="AG552" i="11"/>
  <c r="AH532" i="11"/>
  <c r="AH495" i="11"/>
  <c r="AG539" i="11"/>
  <c r="AH526" i="11"/>
  <c r="AG550" i="11"/>
  <c r="AH498" i="11"/>
  <c r="AG540" i="11"/>
  <c r="AF511" i="11"/>
  <c r="AF545" i="11" s="1"/>
  <c r="AG450" i="11"/>
  <c r="AH438" i="11"/>
  <c r="AG448" i="11"/>
  <c r="AH435" i="11"/>
  <c r="AH432" i="11"/>
  <c r="AH447" i="11" s="1"/>
  <c r="AG443" i="11"/>
  <c r="AG449" i="11" s="1"/>
  <c r="H188" i="20"/>
  <c r="G188" i="20"/>
  <c r="G11" i="17"/>
  <c r="F187" i="20"/>
  <c r="AR901" i="20"/>
  <c r="AU526" i="20"/>
  <c r="AR980" i="20"/>
  <c r="H177" i="20" s="1"/>
  <c r="AQ976" i="20"/>
  <c r="AR964" i="20"/>
  <c r="AR970" i="20"/>
  <c r="AS889" i="20"/>
  <c r="AS895" i="20"/>
  <c r="AR987" i="20"/>
  <c r="H184" i="20" s="1"/>
  <c r="AQ876" i="20"/>
  <c r="AR983" i="20"/>
  <c r="H180" i="20" s="1"/>
  <c r="AR981" i="20"/>
  <c r="H178" i="20" s="1"/>
  <c r="AR989" i="20"/>
  <c r="H186" i="20" s="1"/>
  <c r="AR864" i="20"/>
  <c r="AR870" i="20"/>
  <c r="AR982" i="20"/>
  <c r="H179" i="20" s="1"/>
  <c r="AR985" i="20"/>
  <c r="H182" i="20" s="1"/>
  <c r="AR988" i="20"/>
  <c r="H185" i="20" s="1"/>
  <c r="AR986" i="20"/>
  <c r="H183" i="20" s="1"/>
  <c r="AQ991" i="20"/>
  <c r="AR984" i="20"/>
  <c r="H181" i="20" s="1"/>
  <c r="AS230" i="20"/>
  <c r="AU275" i="20"/>
  <c r="AT283" i="20"/>
  <c r="AU285" i="20"/>
  <c r="AT293" i="20"/>
  <c r="AT765" i="20"/>
  <c r="AT890" i="20" s="1"/>
  <c r="AT754" i="20"/>
  <c r="AT776" i="20"/>
  <c r="AT891" i="20" s="1"/>
  <c r="AS523" i="20"/>
  <c r="AS858" i="20" s="1"/>
  <c r="AR857" i="20"/>
  <c r="AT216" i="20"/>
  <c r="AT229" i="20" s="1"/>
  <c r="C42" i="20"/>
  <c r="G42" i="20"/>
  <c r="B157" i="20"/>
  <c r="D42" i="20"/>
  <c r="H42" i="20"/>
  <c r="B42" i="20"/>
  <c r="J157" i="20"/>
  <c r="E42" i="20"/>
  <c r="I42" i="20"/>
  <c r="F42" i="20"/>
  <c r="AT203" i="20"/>
  <c r="AT228" i="20" s="1"/>
  <c r="C41" i="20"/>
  <c r="D41" i="20"/>
  <c r="E41" i="20"/>
  <c r="I41" i="20"/>
  <c r="J156" i="20"/>
  <c r="F41" i="20"/>
  <c r="B41" i="20"/>
  <c r="G41" i="20"/>
  <c r="H41" i="20"/>
  <c r="B156" i="20"/>
  <c r="AT190" i="20"/>
  <c r="AT227" i="20" s="1"/>
  <c r="C40" i="20"/>
  <c r="G40" i="20"/>
  <c r="D40" i="20"/>
  <c r="H40" i="20"/>
  <c r="J155" i="20"/>
  <c r="E40" i="20"/>
  <c r="I40" i="20"/>
  <c r="B155" i="20"/>
  <c r="F40" i="20"/>
  <c r="B40" i="20"/>
  <c r="AT177" i="20"/>
  <c r="AT226" i="20" s="1"/>
  <c r="C39" i="20"/>
  <c r="G39" i="20"/>
  <c r="J154" i="20"/>
  <c r="B154" i="20"/>
  <c r="D39" i="20"/>
  <c r="H39" i="20"/>
  <c r="B39" i="20"/>
  <c r="E39" i="20"/>
  <c r="I39" i="20"/>
  <c r="F39" i="20"/>
  <c r="AT164" i="20"/>
  <c r="AT225" i="20" s="1"/>
  <c r="C38" i="20"/>
  <c r="G38" i="20"/>
  <c r="B153" i="20"/>
  <c r="I38" i="20"/>
  <c r="F38" i="20"/>
  <c r="B38" i="20"/>
  <c r="D38" i="20"/>
  <c r="H38" i="20"/>
  <c r="E38" i="20"/>
  <c r="J153" i="20"/>
  <c r="AT151" i="20"/>
  <c r="AT224" i="20" s="1"/>
  <c r="C37" i="20"/>
  <c r="G37" i="20"/>
  <c r="B37" i="20"/>
  <c r="D37" i="20"/>
  <c r="H37" i="20"/>
  <c r="E37" i="20"/>
  <c r="I37" i="20"/>
  <c r="B152" i="20"/>
  <c r="J152" i="20" s="1"/>
  <c r="F37" i="20"/>
  <c r="J37" i="20"/>
  <c r="AT107" i="20"/>
  <c r="AT223" i="20" s="1"/>
  <c r="B151" i="20"/>
  <c r="J151" i="20" s="1"/>
  <c r="B31" i="20"/>
  <c r="J31" i="20" s="1"/>
  <c r="AT51" i="20"/>
  <c r="AT220" i="20" s="1"/>
  <c r="B148" i="20"/>
  <c r="J148" i="20" s="1"/>
  <c r="B28" i="20"/>
  <c r="J28" i="20" s="1"/>
  <c r="AT69" i="20"/>
  <c r="AT221" i="20" s="1"/>
  <c r="B149" i="20"/>
  <c r="J149" i="20" s="1"/>
  <c r="B29" i="20"/>
  <c r="J29" i="20" s="1"/>
  <c r="AT87" i="20"/>
  <c r="AT222" i="20" s="1"/>
  <c r="B150" i="20"/>
  <c r="J150" i="20" s="1"/>
  <c r="B30" i="20"/>
  <c r="J30" i="20" s="1"/>
  <c r="AC79" i="18"/>
  <c r="AD79" i="18"/>
  <c r="AH79" i="18"/>
  <c r="AE79" i="18"/>
  <c r="AG79" i="18"/>
  <c r="AF79" i="18"/>
  <c r="AB79" i="18"/>
  <c r="AU799" i="20"/>
  <c r="AT721" i="20"/>
  <c r="AS729" i="20"/>
  <c r="AS762" i="20"/>
  <c r="AS867" i="20" s="1"/>
  <c r="AT732" i="20"/>
  <c r="AS740" i="20"/>
  <c r="AS865" i="20" s="1"/>
  <c r="AT788" i="20"/>
  <c r="AS796" i="20"/>
  <c r="AS751" i="20"/>
  <c r="AS866" i="20" s="1"/>
  <c r="AS851" i="20"/>
  <c r="AS966" i="20" s="1"/>
  <c r="AS840" i="20"/>
  <c r="AS965" i="20" s="1"/>
  <c r="AS818" i="20"/>
  <c r="AS807" i="20"/>
  <c r="AS773" i="20"/>
  <c r="AS868" i="20" s="1"/>
  <c r="AS784" i="20"/>
  <c r="AS869" i="20" s="1"/>
  <c r="AS829" i="20"/>
  <c r="AS656" i="20"/>
  <c r="AS958" i="20" s="1"/>
  <c r="AS667" i="20"/>
  <c r="AS959" i="20" s="1"/>
  <c r="AS678" i="20"/>
  <c r="AS623" i="20"/>
  <c r="AS645" i="20"/>
  <c r="AS634" i="20"/>
  <c r="AS534" i="20"/>
  <c r="AS859" i="20" s="1"/>
  <c r="AS944" i="20" s="1"/>
  <c r="AS951" i="20" s="1"/>
  <c r="AT559" i="20"/>
  <c r="AT884" i="20" s="1"/>
  <c r="AT969" i="20" s="1"/>
  <c r="AS567" i="20"/>
  <c r="AS578" i="20"/>
  <c r="AT570" i="20"/>
  <c r="AS556" i="20"/>
  <c r="AT548" i="20"/>
  <c r="AT883" i="20" s="1"/>
  <c r="AT537" i="20"/>
  <c r="AS545" i="20"/>
  <c r="AT523" i="20"/>
  <c r="AT858" i="20" s="1"/>
  <c r="AS462" i="20"/>
  <c r="AT454" i="20"/>
  <c r="AS472" i="20"/>
  <c r="AT464" i="20"/>
  <c r="AS442" i="20"/>
  <c r="AT434" i="20"/>
  <c r="AS432" i="20"/>
  <c r="AS907" i="20" s="1"/>
  <c r="AS926" i="20" s="1"/>
  <c r="AT424" i="20"/>
  <c r="AT414" i="20"/>
  <c r="AS422" i="20"/>
  <c r="AT444" i="20"/>
  <c r="AS452" i="20"/>
  <c r="AT337" i="20"/>
  <c r="AS345" i="20"/>
  <c r="AS325" i="20"/>
  <c r="AT317" i="20"/>
  <c r="AT307" i="20"/>
  <c r="AS315" i="20"/>
  <c r="AT327" i="20"/>
  <c r="AS335" i="20"/>
  <c r="AT347" i="20"/>
  <c r="AS355" i="20"/>
  <c r="AT297" i="20"/>
  <c r="AS305" i="20"/>
  <c r="AT394" i="20"/>
  <c r="AS402" i="20"/>
  <c r="AT273" i="20"/>
  <c r="AT404" i="20"/>
  <c r="AS412" i="20"/>
  <c r="AT384" i="20"/>
  <c r="AU384" i="20" s="1"/>
  <c r="AV384" i="20" s="1"/>
  <c r="AW384" i="20" s="1"/>
  <c r="AX384" i="20" s="1"/>
  <c r="AY384" i="20" s="1"/>
  <c r="AZ384" i="20" s="1"/>
  <c r="BA384" i="20" s="1"/>
  <c r="BB384" i="20" s="1"/>
  <c r="BC384" i="20" s="1"/>
  <c r="BD384" i="20" s="1"/>
  <c r="BE384" i="20" s="1"/>
  <c r="BF384" i="20" s="1"/>
  <c r="BG384" i="20" s="1"/>
  <c r="BH384" i="20" s="1"/>
  <c r="BI384" i="20" s="1"/>
  <c r="BJ384" i="20" s="1"/>
  <c r="BK384" i="20" s="1"/>
  <c r="BL384" i="20" s="1"/>
  <c r="BM384" i="20" s="1"/>
  <c r="BN384" i="20" s="1"/>
  <c r="AS392" i="20"/>
  <c r="AS382" i="20"/>
  <c r="AU273" i="20"/>
  <c r="AT263" i="20"/>
  <c r="AT856" i="20" s="1"/>
  <c r="AU143" i="20"/>
  <c r="AU151" i="20" s="1"/>
  <c r="AU224" i="20" s="1"/>
  <c r="AU156" i="20"/>
  <c r="AU164" i="20" s="1"/>
  <c r="AU225" i="20" s="1"/>
  <c r="AU195" i="20"/>
  <c r="AU203" i="20" s="1"/>
  <c r="AU228" i="20" s="1"/>
  <c r="AU182" i="20"/>
  <c r="AU190" i="20" s="1"/>
  <c r="AU227" i="20" s="1"/>
  <c r="AU169" i="20"/>
  <c r="AU177" i="20" s="1"/>
  <c r="AU226" i="20" s="1"/>
  <c r="AU208" i="20"/>
  <c r="AU216" i="20" s="1"/>
  <c r="AU229" i="20" s="1"/>
  <c r="AU99" i="20"/>
  <c r="AU107" i="20" s="1"/>
  <c r="AU223" i="20" s="1"/>
  <c r="AU79" i="20"/>
  <c r="AU87" i="20" s="1"/>
  <c r="AU222" i="20" s="1"/>
  <c r="AU61" i="20"/>
  <c r="AU69" i="20" s="1"/>
  <c r="AU221" i="20" s="1"/>
  <c r="AU43" i="20"/>
  <c r="AU51" i="20" s="1"/>
  <c r="AU220" i="20" s="1"/>
  <c r="AV5" i="20"/>
  <c r="BG4" i="20"/>
  <c r="T79" i="18"/>
  <c r="AL79" i="18"/>
  <c r="U79" i="18"/>
  <c r="AM79" i="18"/>
  <c r="S79" i="18"/>
  <c r="AK79" i="18"/>
  <c r="Z79" i="18"/>
  <c r="AR79" i="18"/>
  <c r="W79" i="18"/>
  <c r="AO79" i="18"/>
  <c r="AI79" i="18"/>
  <c r="X79" i="18"/>
  <c r="AP79" i="18"/>
  <c r="V79" i="18"/>
  <c r="AN79" i="18"/>
  <c r="AA79" i="18"/>
  <c r="AS79" i="18"/>
  <c r="AJ79" i="18"/>
  <c r="Y79" i="18"/>
  <c r="AQ79" i="18"/>
  <c r="AQ51" i="11"/>
  <c r="AP55" i="11"/>
  <c r="R46" i="18"/>
  <c r="R80" i="18" s="1"/>
  <c r="AH46" i="18"/>
  <c r="AE46" i="18"/>
  <c r="AB46" i="18"/>
  <c r="AB80" i="18" s="1"/>
  <c r="Q46" i="18"/>
  <c r="Q80" i="18" s="1"/>
  <c r="V46" i="18"/>
  <c r="S46" i="18"/>
  <c r="S80" i="18" s="1"/>
  <c r="AI46" i="18"/>
  <c r="AF46" i="18"/>
  <c r="Y46" i="18"/>
  <c r="Y80" i="18" s="1"/>
  <c r="Z46" i="18"/>
  <c r="W46" i="18"/>
  <c r="W80" i="18" s="1"/>
  <c r="T46" i="18"/>
  <c r="T80" i="18" s="1"/>
  <c r="AJ46" i="18"/>
  <c r="AG46" i="18"/>
  <c r="AD46" i="18"/>
  <c r="AD80" i="18" s="1"/>
  <c r="AA46" i="18"/>
  <c r="X46" i="18"/>
  <c r="AC46" i="18"/>
  <c r="AC80" i="18" s="1"/>
  <c r="U46" i="18"/>
  <c r="U80" i="18" s="1"/>
  <c r="N47" i="18"/>
  <c r="C369" i="21"/>
  <c r="O237" i="16"/>
  <c r="P237" i="16" s="1"/>
  <c r="Q237" i="16" s="1"/>
  <c r="R237" i="16" s="1"/>
  <c r="S237" i="16" s="1"/>
  <c r="T237" i="16" s="1"/>
  <c r="U237" i="16" s="1"/>
  <c r="V237" i="16" s="1"/>
  <c r="AC11" i="18"/>
  <c r="AB13" i="18"/>
  <c r="AC15" i="18"/>
  <c r="AB14" i="18"/>
  <c r="AB10" i="18"/>
  <c r="AA16" i="18"/>
  <c r="AB12" i="18"/>
  <c r="Y243" i="16"/>
  <c r="Z243" i="16" s="1"/>
  <c r="AA243" i="16" s="1"/>
  <c r="AB243" i="16" s="1"/>
  <c r="AC243" i="16" s="1"/>
  <c r="AD243" i="16" s="1"/>
  <c r="AE243" i="16" s="1"/>
  <c r="AF243" i="16" s="1"/>
  <c r="AG243" i="16" s="1"/>
  <c r="X236" i="16"/>
  <c r="NA376" i="16"/>
  <c r="C364" i="21" s="1"/>
  <c r="F243" i="16"/>
  <c r="G243" i="16" s="1"/>
  <c r="H243" i="16" s="1"/>
  <c r="I243" i="16" s="1"/>
  <c r="J243" i="16" s="1"/>
  <c r="K243" i="16" s="1"/>
  <c r="L243" i="16" s="1"/>
  <c r="M243" i="16" s="1"/>
  <c r="E236" i="16"/>
  <c r="C368" i="21"/>
  <c r="NO376" i="16"/>
  <c r="C378" i="21" s="1"/>
  <c r="F240" i="16"/>
  <c r="G240" i="16" s="1"/>
  <c r="H240" i="16" s="1"/>
  <c r="I240" i="16" s="1"/>
  <c r="J240" i="16" s="1"/>
  <c r="K240" i="16" s="1"/>
  <c r="L240" i="16" s="1"/>
  <c r="F238" i="16"/>
  <c r="G238" i="16" s="1"/>
  <c r="H238" i="16" s="1"/>
  <c r="I238" i="16" s="1"/>
  <c r="J238" i="16" s="1"/>
  <c r="K238" i="16" s="1"/>
  <c r="L238" i="16" s="1"/>
  <c r="C370" i="21"/>
  <c r="O236" i="16"/>
  <c r="P236" i="16" s="1"/>
  <c r="Q236" i="16" s="1"/>
  <c r="R236" i="16" s="1"/>
  <c r="S236" i="16" s="1"/>
  <c r="T236" i="16" s="1"/>
  <c r="U236" i="16" s="1"/>
  <c r="V236" i="16" s="1"/>
  <c r="MZ376" i="16" l="1"/>
  <c r="C363" i="21" s="1"/>
  <c r="Y236" i="16"/>
  <c r="Z236" i="16" s="1"/>
  <c r="AA236" i="16" s="1"/>
  <c r="AB236" i="16" s="1"/>
  <c r="AC236" i="16" s="1"/>
  <c r="AD236" i="16" s="1"/>
  <c r="AE236" i="16" s="1"/>
  <c r="AF236" i="16" s="1"/>
  <c r="AG236" i="16" s="1"/>
  <c r="AG467" i="11"/>
  <c r="NB376" i="16"/>
  <c r="C365" i="21" s="1"/>
  <c r="AH36" i="11"/>
  <c r="AG42" i="11"/>
  <c r="AG155" i="11"/>
  <c r="AG158" i="11"/>
  <c r="AG157" i="11"/>
  <c r="AG156" i="11"/>
  <c r="AG159" i="11"/>
  <c r="AK75" i="11"/>
  <c r="AH151" i="11"/>
  <c r="AH150" i="11"/>
  <c r="AH149" i="11"/>
  <c r="AF160" i="11"/>
  <c r="AH35" i="11"/>
  <c r="AH467" i="11" s="1"/>
  <c r="AH105" i="11"/>
  <c r="AH108" i="11" s="1"/>
  <c r="AH191" i="11" s="1"/>
  <c r="AK73" i="11"/>
  <c r="AI5" i="11"/>
  <c r="AI127" i="11" s="1"/>
  <c r="AI129" i="11" s="1"/>
  <c r="AI313" i="11" s="1"/>
  <c r="AH127" i="11"/>
  <c r="AH129" i="11" s="1"/>
  <c r="AH313" i="11" s="1"/>
  <c r="AK74" i="11"/>
  <c r="AH34" i="11"/>
  <c r="AH591" i="11"/>
  <c r="AH115" i="11"/>
  <c r="AH117" i="11" s="1"/>
  <c r="AH309" i="11" s="1"/>
  <c r="AJ170" i="11"/>
  <c r="AJ629" i="11" s="1"/>
  <c r="AI321" i="11"/>
  <c r="AV255" i="20"/>
  <c r="AF45" i="11"/>
  <c r="AJ79" i="11"/>
  <c r="AJ82" i="11"/>
  <c r="AJ570" i="11"/>
  <c r="AI84" i="11"/>
  <c r="AG468" i="11"/>
  <c r="AG43" i="11"/>
  <c r="AJ574" i="11"/>
  <c r="AG41" i="11"/>
  <c r="AG469" i="11"/>
  <c r="AG466" i="11"/>
  <c r="AG40" i="11"/>
  <c r="AG44" i="11"/>
  <c r="AG470" i="11"/>
  <c r="AJ80" i="11"/>
  <c r="AJ573" i="11"/>
  <c r="AJ83" i="11"/>
  <c r="AJ572" i="11"/>
  <c r="AJ571" i="11"/>
  <c r="AJ81" i="11"/>
  <c r="AH466" i="11"/>
  <c r="AG511" i="11"/>
  <c r="AG542" i="11"/>
  <c r="AI498" i="11"/>
  <c r="AH540" i="11"/>
  <c r="AH543" i="11"/>
  <c r="AI506" i="11"/>
  <c r="AI501" i="11"/>
  <c r="AH541" i="11"/>
  <c r="AH535" i="11"/>
  <c r="AH511" i="11" s="1"/>
  <c r="AH545" i="11" s="1"/>
  <c r="AG553" i="11"/>
  <c r="AI514" i="11"/>
  <c r="AH546" i="11"/>
  <c r="AI526" i="11"/>
  <c r="AH550" i="11"/>
  <c r="AI495" i="11"/>
  <c r="AH539" i="11"/>
  <c r="AH552" i="11"/>
  <c r="AI532" i="11"/>
  <c r="AI523" i="11"/>
  <c r="AH549" i="11"/>
  <c r="AI520" i="11"/>
  <c r="AH548" i="11"/>
  <c r="AI529" i="11"/>
  <c r="AH551" i="11"/>
  <c r="AH448" i="11"/>
  <c r="AI435" i="11"/>
  <c r="AH450" i="11"/>
  <c r="AI438" i="11"/>
  <c r="AI432" i="11"/>
  <c r="AI447" i="11" s="1"/>
  <c r="AH443" i="11"/>
  <c r="AH449" i="11" s="1"/>
  <c r="H11" i="17"/>
  <c r="G187" i="20"/>
  <c r="AR976" i="20"/>
  <c r="AV526" i="20"/>
  <c r="AS901" i="20"/>
  <c r="AS980" i="20"/>
  <c r="I177" i="20" s="1"/>
  <c r="AS964" i="20"/>
  <c r="AS970" i="20"/>
  <c r="AT889" i="20"/>
  <c r="AT895" i="20"/>
  <c r="AS984" i="20"/>
  <c r="I181" i="20" s="1"/>
  <c r="AS987" i="20"/>
  <c r="I184" i="20" s="1"/>
  <c r="AR876" i="20"/>
  <c r="AS864" i="20"/>
  <c r="AS870" i="20"/>
  <c r="AR991" i="20"/>
  <c r="AS981" i="20"/>
  <c r="I178" i="20" s="1"/>
  <c r="AS982" i="20"/>
  <c r="I179" i="20" s="1"/>
  <c r="AS989" i="20"/>
  <c r="I186" i="20" s="1"/>
  <c r="AS983" i="20"/>
  <c r="I180" i="20" s="1"/>
  <c r="AS990" i="20"/>
  <c r="AS988" i="20"/>
  <c r="I185" i="20" s="1"/>
  <c r="AS986" i="20"/>
  <c r="I183" i="20" s="1"/>
  <c r="AS985" i="20"/>
  <c r="I182" i="20" s="1"/>
  <c r="AU905" i="20"/>
  <c r="AT905" i="20"/>
  <c r="AU930" i="20"/>
  <c r="AT930" i="20"/>
  <c r="AV285" i="20"/>
  <c r="AU293" i="20"/>
  <c r="AV275" i="20"/>
  <c r="AU283" i="20"/>
  <c r="AU855" i="20"/>
  <c r="AU230" i="20"/>
  <c r="AU990" i="20" s="1"/>
  <c r="AT855" i="20"/>
  <c r="AT230" i="20"/>
  <c r="AU880" i="20"/>
  <c r="AT880" i="20"/>
  <c r="AU754" i="20"/>
  <c r="AU776" i="20"/>
  <c r="AU891" i="20" s="1"/>
  <c r="AU765" i="20"/>
  <c r="AU890" i="20" s="1"/>
  <c r="AS857" i="20"/>
  <c r="J41" i="20"/>
  <c r="J39" i="20"/>
  <c r="J42" i="20"/>
  <c r="J40" i="20"/>
  <c r="J38" i="20"/>
  <c r="J32" i="20"/>
  <c r="J158" i="20"/>
  <c r="AV799" i="20"/>
  <c r="AT773" i="20"/>
  <c r="AT868" i="20" s="1"/>
  <c r="AT818" i="20"/>
  <c r="AT796" i="20"/>
  <c r="AU788" i="20"/>
  <c r="AT829" i="20"/>
  <c r="AT851" i="20"/>
  <c r="AT966" i="20" s="1"/>
  <c r="AT762" i="20"/>
  <c r="AT867" i="20" s="1"/>
  <c r="AT784" i="20"/>
  <c r="AT869" i="20" s="1"/>
  <c r="AT807" i="20"/>
  <c r="AT751" i="20"/>
  <c r="AT866" i="20" s="1"/>
  <c r="AT840" i="20"/>
  <c r="AT965" i="20" s="1"/>
  <c r="AU732" i="20"/>
  <c r="AT740" i="20"/>
  <c r="AT865" i="20" s="1"/>
  <c r="AU721" i="20"/>
  <c r="AT729" i="20"/>
  <c r="AT634" i="20"/>
  <c r="AT623" i="20"/>
  <c r="AT667" i="20"/>
  <c r="AT959" i="20" s="1"/>
  <c r="AT678" i="20"/>
  <c r="AT645" i="20"/>
  <c r="AT656" i="20"/>
  <c r="AT958" i="20" s="1"/>
  <c r="AT556" i="20"/>
  <c r="AU548" i="20"/>
  <c r="AU883" i="20" s="1"/>
  <c r="AU559" i="20"/>
  <c r="AU884" i="20" s="1"/>
  <c r="AU969" i="20" s="1"/>
  <c r="AT567" i="20"/>
  <c r="AU570" i="20"/>
  <c r="AT578" i="20"/>
  <c r="AU537" i="20"/>
  <c r="AT545" i="20"/>
  <c r="AT534" i="20"/>
  <c r="AT859" i="20" s="1"/>
  <c r="AT944" i="20" s="1"/>
  <c r="AU523" i="20"/>
  <c r="AU858" i="20" s="1"/>
  <c r="AT442" i="20"/>
  <c r="AU434" i="20"/>
  <c r="AT462" i="20"/>
  <c r="AU454" i="20"/>
  <c r="AT432" i="20"/>
  <c r="AT907" i="20" s="1"/>
  <c r="AT926" i="20" s="1"/>
  <c r="AU424" i="20"/>
  <c r="AT472" i="20"/>
  <c r="AU464" i="20"/>
  <c r="AU444" i="20"/>
  <c r="AT452" i="20"/>
  <c r="AU414" i="20"/>
  <c r="AT422" i="20"/>
  <c r="AT325" i="20"/>
  <c r="AU317" i="20"/>
  <c r="AU297" i="20"/>
  <c r="AT305" i="20"/>
  <c r="AU327" i="20"/>
  <c r="AT335" i="20"/>
  <c r="AU347" i="20"/>
  <c r="AT355" i="20"/>
  <c r="AU307" i="20"/>
  <c r="AT315" i="20"/>
  <c r="AT345" i="20"/>
  <c r="AU337" i="20"/>
  <c r="AU404" i="20"/>
  <c r="AT412" i="20"/>
  <c r="AT392" i="20"/>
  <c r="AU394" i="20"/>
  <c r="AT402" i="20"/>
  <c r="AU392" i="20"/>
  <c r="AT382" i="20"/>
  <c r="AT980" i="20" s="1"/>
  <c r="J177" i="20" s="1"/>
  <c r="AV273" i="20"/>
  <c r="AU263" i="20"/>
  <c r="AU856" i="20" s="1"/>
  <c r="AV143" i="20"/>
  <c r="AV151" i="20" s="1"/>
  <c r="AV224" i="20" s="1"/>
  <c r="AV156" i="20"/>
  <c r="AV164" i="20" s="1"/>
  <c r="AV225" i="20" s="1"/>
  <c r="AV195" i="20"/>
  <c r="AV203" i="20" s="1"/>
  <c r="AV228" i="20" s="1"/>
  <c r="AV208" i="20"/>
  <c r="AV216" i="20" s="1"/>
  <c r="AV229" i="20" s="1"/>
  <c r="AV182" i="20"/>
  <c r="AV190" i="20" s="1"/>
  <c r="AV227" i="20" s="1"/>
  <c r="AV169" i="20"/>
  <c r="AV177" i="20" s="1"/>
  <c r="AV226" i="20" s="1"/>
  <c r="AV99" i="20"/>
  <c r="AV107" i="20" s="1"/>
  <c r="AV223" i="20" s="1"/>
  <c r="AV79" i="20"/>
  <c r="AV87" i="20" s="1"/>
  <c r="AV222" i="20" s="1"/>
  <c r="AV43" i="20"/>
  <c r="AV51" i="20" s="1"/>
  <c r="AV220" i="20" s="1"/>
  <c r="AV61" i="20"/>
  <c r="AV69" i="20" s="1"/>
  <c r="AV221" i="20" s="1"/>
  <c r="AW5" i="20"/>
  <c r="V80" i="18"/>
  <c r="AG80" i="18"/>
  <c r="Z80" i="18"/>
  <c r="AE80" i="18"/>
  <c r="X80" i="18"/>
  <c r="AJ80" i="18"/>
  <c r="AM80" i="18"/>
  <c r="AH80" i="18"/>
  <c r="AK80" i="18"/>
  <c r="AI80" i="18"/>
  <c r="AL80" i="18"/>
  <c r="AA80" i="18"/>
  <c r="AF80" i="18"/>
  <c r="BH4" i="20"/>
  <c r="AH42" i="11"/>
  <c r="AR51" i="11"/>
  <c r="AQ55" i="11"/>
  <c r="AA47" i="18"/>
  <c r="AA81" i="18" s="1"/>
  <c r="X47" i="18"/>
  <c r="X81" i="18" s="1"/>
  <c r="U47" i="18"/>
  <c r="U81" i="18" s="1"/>
  <c r="Z47" i="18"/>
  <c r="Z81" i="18" s="1"/>
  <c r="AH47" i="18"/>
  <c r="AH81" i="18" s="1"/>
  <c r="AE47" i="18"/>
  <c r="AE81" i="18" s="1"/>
  <c r="AB47" i="18"/>
  <c r="AB81" i="18" s="1"/>
  <c r="Y47" i="18"/>
  <c r="Y81" i="18" s="1"/>
  <c r="Q47" i="18"/>
  <c r="Q81" i="18" s="1"/>
  <c r="V47" i="18"/>
  <c r="V81" i="18" s="1"/>
  <c r="S47" i="18"/>
  <c r="S81" i="18" s="1"/>
  <c r="AI47" i="18"/>
  <c r="AI81" i="18" s="1"/>
  <c r="AF47" i="18"/>
  <c r="AF81" i="18" s="1"/>
  <c r="AC47" i="18"/>
  <c r="AC81" i="18" s="1"/>
  <c r="AD47" i="18"/>
  <c r="AD81" i="18" s="1"/>
  <c r="W47" i="18"/>
  <c r="W81" i="18" s="1"/>
  <c r="T47" i="18"/>
  <c r="T81" i="18" s="1"/>
  <c r="AJ47" i="18"/>
  <c r="AJ81" i="18" s="1"/>
  <c r="AG47" i="18"/>
  <c r="AG81" i="18" s="1"/>
  <c r="R47" i="18"/>
  <c r="R81" i="18" s="1"/>
  <c r="N48" i="18"/>
  <c r="AC12" i="18"/>
  <c r="AC13" i="18"/>
  <c r="AC14" i="18"/>
  <c r="AC10" i="18"/>
  <c r="AB16" i="18"/>
  <c r="AD15" i="18"/>
  <c r="AD11" i="18"/>
  <c r="F236" i="16"/>
  <c r="G236" i="16" s="1"/>
  <c r="H236" i="16" s="1"/>
  <c r="I236" i="16" s="1"/>
  <c r="J236" i="16" s="1"/>
  <c r="K236" i="16" s="1"/>
  <c r="L236" i="16" s="1"/>
  <c r="C362" i="21"/>
  <c r="Y8" i="11"/>
  <c r="B4" i="11"/>
  <c r="DM42" i="10"/>
  <c r="AH468" i="11" l="1"/>
  <c r="AH44" i="11"/>
  <c r="AH41" i="11"/>
  <c r="AH43" i="11"/>
  <c r="AH470" i="11"/>
  <c r="AH40" i="11"/>
  <c r="AH469" i="11"/>
  <c r="Y202" i="11"/>
  <c r="AK83" i="11"/>
  <c r="AI34" i="11"/>
  <c r="AK573" i="11"/>
  <c r="AL74" i="11"/>
  <c r="AK574" i="11"/>
  <c r="AH158" i="11"/>
  <c r="AH155" i="11"/>
  <c r="AH157" i="11"/>
  <c r="AH156" i="11"/>
  <c r="AH159" i="11"/>
  <c r="AK79" i="11"/>
  <c r="AK570" i="11"/>
  <c r="AK572" i="11"/>
  <c r="AK80" i="11"/>
  <c r="AK571" i="11"/>
  <c r="AI591" i="11"/>
  <c r="AI150" i="11"/>
  <c r="AI151" i="11"/>
  <c r="AI149" i="11"/>
  <c r="AK81" i="11"/>
  <c r="AK82" i="11"/>
  <c r="AG160" i="11"/>
  <c r="AI36" i="11"/>
  <c r="AI115" i="11"/>
  <c r="AI117" i="11" s="1"/>
  <c r="AI309" i="11" s="1"/>
  <c r="AL75" i="11"/>
  <c r="AI35" i="11"/>
  <c r="AI105" i="11"/>
  <c r="AI108" i="11" s="1"/>
  <c r="AI191" i="11" s="1"/>
  <c r="AL73" i="11"/>
  <c r="AJ5" i="11"/>
  <c r="AM73" i="11" s="1"/>
  <c r="AW255" i="20"/>
  <c r="AK170" i="11"/>
  <c r="AK629" i="11" s="1"/>
  <c r="AJ321" i="11"/>
  <c r="AG45" i="11"/>
  <c r="AJ84" i="11"/>
  <c r="AG545" i="11"/>
  <c r="AH503" i="11"/>
  <c r="AH542" i="11" s="1"/>
  <c r="AJ520" i="11"/>
  <c r="AI548" i="11"/>
  <c r="AJ526" i="11"/>
  <c r="AI550" i="11"/>
  <c r="AI535" i="11"/>
  <c r="AI511" i="11" s="1"/>
  <c r="AH553" i="11"/>
  <c r="AJ498" i="11"/>
  <c r="AI540" i="11"/>
  <c r="AJ529" i="11"/>
  <c r="AI551" i="11"/>
  <c r="AJ523" i="11"/>
  <c r="AI549" i="11"/>
  <c r="AJ495" i="11"/>
  <c r="AI539" i="11"/>
  <c r="AJ514" i="11"/>
  <c r="AI546" i="11"/>
  <c r="AJ501" i="11"/>
  <c r="AI541" i="11"/>
  <c r="AI543" i="11"/>
  <c r="AJ506" i="11"/>
  <c r="AI552" i="11"/>
  <c r="AJ532" i="11"/>
  <c r="AI448" i="11"/>
  <c r="AJ435" i="11"/>
  <c r="AI450" i="11"/>
  <c r="AJ438" i="11"/>
  <c r="AJ432" i="11"/>
  <c r="AJ447" i="11" s="1"/>
  <c r="AI443" i="11"/>
  <c r="AI449" i="11" s="1"/>
  <c r="Z8" i="11"/>
  <c r="Y180" i="11"/>
  <c r="W637" i="11" s="1"/>
  <c r="I11" i="17"/>
  <c r="H187" i="20"/>
  <c r="K188" i="20"/>
  <c r="I188" i="20"/>
  <c r="AW526" i="20"/>
  <c r="AS976" i="20"/>
  <c r="AT964" i="20"/>
  <c r="AT970" i="20"/>
  <c r="AU889" i="20"/>
  <c r="AU895" i="20"/>
  <c r="AT901" i="20"/>
  <c r="AT982" i="20"/>
  <c r="J179" i="20" s="1"/>
  <c r="AT984" i="20"/>
  <c r="J181" i="20" s="1"/>
  <c r="AT986" i="20"/>
  <c r="J183" i="20" s="1"/>
  <c r="AS876" i="20"/>
  <c r="AT983" i="20"/>
  <c r="J180" i="20" s="1"/>
  <c r="AT985" i="20"/>
  <c r="J182" i="20" s="1"/>
  <c r="AT864" i="20"/>
  <c r="AT870" i="20"/>
  <c r="AT981" i="20"/>
  <c r="J178" i="20" s="1"/>
  <c r="AT988" i="20"/>
  <c r="J185" i="20" s="1"/>
  <c r="AT987" i="20"/>
  <c r="J184" i="20" s="1"/>
  <c r="AT990" i="20"/>
  <c r="AT989" i="20"/>
  <c r="J186" i="20" s="1"/>
  <c r="AS991" i="20"/>
  <c r="AT951" i="20"/>
  <c r="AV930" i="20"/>
  <c r="AV283" i="20"/>
  <c r="AW275" i="20"/>
  <c r="AV293" i="20"/>
  <c r="AW285" i="20"/>
  <c r="AV855" i="20"/>
  <c r="AV230" i="20"/>
  <c r="AV880" i="20"/>
  <c r="AV905" i="20"/>
  <c r="AV776" i="20"/>
  <c r="AV891" i="20" s="1"/>
  <c r="AV765" i="20"/>
  <c r="AV890" i="20" s="1"/>
  <c r="AV754" i="20"/>
  <c r="AT857" i="20"/>
  <c r="J43" i="20"/>
  <c r="AW799" i="20"/>
  <c r="AU840" i="20"/>
  <c r="AU965" i="20" s="1"/>
  <c r="AU818" i="20"/>
  <c r="AU751" i="20"/>
  <c r="AU866" i="20" s="1"/>
  <c r="AU784" i="20"/>
  <c r="AU869" i="20" s="1"/>
  <c r="AU851" i="20"/>
  <c r="AU966" i="20" s="1"/>
  <c r="AU796" i="20"/>
  <c r="AV788" i="20"/>
  <c r="AU807" i="20"/>
  <c r="AU762" i="20"/>
  <c r="AU867" i="20" s="1"/>
  <c r="AU829" i="20"/>
  <c r="AV721" i="20"/>
  <c r="AU729" i="20"/>
  <c r="AV732" i="20"/>
  <c r="AU740" i="20"/>
  <c r="AU865" i="20" s="1"/>
  <c r="AU773" i="20"/>
  <c r="AU868" i="20" s="1"/>
  <c r="AU623" i="20"/>
  <c r="AU656" i="20"/>
  <c r="AU958" i="20" s="1"/>
  <c r="AU667" i="20"/>
  <c r="AU959" i="20" s="1"/>
  <c r="AU634" i="20"/>
  <c r="AU678" i="20"/>
  <c r="AU645" i="20"/>
  <c r="AV537" i="20"/>
  <c r="AU545" i="20"/>
  <c r="AU567" i="20"/>
  <c r="AV559" i="20"/>
  <c r="AV884" i="20" s="1"/>
  <c r="AV969" i="20" s="1"/>
  <c r="AV548" i="20"/>
  <c r="AV883" i="20" s="1"/>
  <c r="AU556" i="20"/>
  <c r="AU534" i="20"/>
  <c r="AU859" i="20" s="1"/>
  <c r="AU944" i="20" s="1"/>
  <c r="AU951" i="20" s="1"/>
  <c r="AU578" i="20"/>
  <c r="AV570" i="20"/>
  <c r="AV523" i="20"/>
  <c r="AV858" i="20" s="1"/>
  <c r="AU472" i="20"/>
  <c r="AV464" i="20"/>
  <c r="AU462" i="20"/>
  <c r="AV454" i="20"/>
  <c r="AU432" i="20"/>
  <c r="AU907" i="20" s="1"/>
  <c r="AU926" i="20" s="1"/>
  <c r="AV424" i="20"/>
  <c r="AU442" i="20"/>
  <c r="AV434" i="20"/>
  <c r="AV414" i="20"/>
  <c r="AU422" i="20"/>
  <c r="AV444" i="20"/>
  <c r="AU452" i="20"/>
  <c r="AV337" i="20"/>
  <c r="AU345" i="20"/>
  <c r="AV347" i="20"/>
  <c r="AU355" i="20"/>
  <c r="AV297" i="20"/>
  <c r="AU305" i="20"/>
  <c r="AU325" i="20"/>
  <c r="AV317" i="20"/>
  <c r="AV307" i="20"/>
  <c r="AU315" i="20"/>
  <c r="AU335" i="20"/>
  <c r="AV327" i="20"/>
  <c r="AV394" i="20"/>
  <c r="AU402" i="20"/>
  <c r="AV404" i="20"/>
  <c r="AU412" i="20"/>
  <c r="AU382" i="20"/>
  <c r="AU980" i="20" s="1"/>
  <c r="K177" i="20" s="1"/>
  <c r="AV392" i="20"/>
  <c r="AW273" i="20"/>
  <c r="AV263" i="20"/>
  <c r="AV856" i="20" s="1"/>
  <c r="AW143" i="20"/>
  <c r="AW151" i="20" s="1"/>
  <c r="AW224" i="20" s="1"/>
  <c r="AW195" i="20"/>
  <c r="AW203" i="20" s="1"/>
  <c r="AW228" i="20" s="1"/>
  <c r="AW156" i="20"/>
  <c r="AW164" i="20" s="1"/>
  <c r="AW225" i="20" s="1"/>
  <c r="AW182" i="20"/>
  <c r="AW190" i="20" s="1"/>
  <c r="AW227" i="20" s="1"/>
  <c r="AW169" i="20"/>
  <c r="AW177" i="20" s="1"/>
  <c r="AW226" i="20" s="1"/>
  <c r="AW208" i="20"/>
  <c r="AW216" i="20" s="1"/>
  <c r="AW229" i="20" s="1"/>
  <c r="AW99" i="20"/>
  <c r="AW107" i="20" s="1"/>
  <c r="AW223" i="20" s="1"/>
  <c r="AW79" i="20"/>
  <c r="AW87" i="20" s="1"/>
  <c r="AW222" i="20" s="1"/>
  <c r="AW61" i="20"/>
  <c r="AW69" i="20" s="1"/>
  <c r="AW221" i="20" s="1"/>
  <c r="AW43" i="20"/>
  <c r="AW51" i="20" s="1"/>
  <c r="AW220" i="20" s="1"/>
  <c r="AX5" i="20"/>
  <c r="BI4" i="20"/>
  <c r="AS51" i="11"/>
  <c r="AR55" i="11"/>
  <c r="AB48" i="18"/>
  <c r="AB82" i="18" s="1"/>
  <c r="Y48" i="18"/>
  <c r="Y82" i="18" s="1"/>
  <c r="V48" i="18"/>
  <c r="V82" i="18" s="1"/>
  <c r="W48" i="18"/>
  <c r="W82" i="18" s="1"/>
  <c r="AE48" i="18"/>
  <c r="AE82" i="18" s="1"/>
  <c r="AF48" i="18"/>
  <c r="AF82" i="18" s="1"/>
  <c r="AC48" i="18"/>
  <c r="AC82" i="18" s="1"/>
  <c r="Z48" i="18"/>
  <c r="Z82" i="18" s="1"/>
  <c r="AI48" i="18"/>
  <c r="AI82" i="18" s="1"/>
  <c r="Q48" i="18"/>
  <c r="Q82" i="18" s="1"/>
  <c r="T48" i="18"/>
  <c r="T82" i="18" s="1"/>
  <c r="AJ48" i="18"/>
  <c r="AJ82" i="18" s="1"/>
  <c r="AG48" i="18"/>
  <c r="AG82" i="18" s="1"/>
  <c r="AD48" i="18"/>
  <c r="AD82" i="18" s="1"/>
  <c r="AA48" i="18"/>
  <c r="AA82" i="18" s="1"/>
  <c r="X48" i="18"/>
  <c r="X82" i="18" s="1"/>
  <c r="U48" i="18"/>
  <c r="U82" i="18" s="1"/>
  <c r="R48" i="18"/>
  <c r="R82" i="18" s="1"/>
  <c r="AH48" i="18"/>
  <c r="AH82" i="18" s="1"/>
  <c r="S48" i="18"/>
  <c r="S82" i="18" s="1"/>
  <c r="N49" i="18"/>
  <c r="AD10" i="18"/>
  <c r="AC16" i="18"/>
  <c r="AE15" i="18"/>
  <c r="AD13" i="18"/>
  <c r="AD14" i="18"/>
  <c r="AE11" i="18"/>
  <c r="AD12" i="18"/>
  <c r="V376" i="16"/>
  <c r="AH45" i="11" l="1"/>
  <c r="AI41" i="11"/>
  <c r="AI42" i="11"/>
  <c r="AI43" i="11"/>
  <c r="AI467" i="11"/>
  <c r="AI466" i="11"/>
  <c r="W376" i="16"/>
  <c r="C22" i="21" s="1"/>
  <c r="C21" i="21"/>
  <c r="X376" i="16"/>
  <c r="C23" i="21" s="1"/>
  <c r="Z376" i="16"/>
  <c r="C25" i="21" s="1"/>
  <c r="Y376" i="16"/>
  <c r="C24" i="21" s="1"/>
  <c r="AI469" i="11"/>
  <c r="AJ36" i="11"/>
  <c r="AI470" i="11"/>
  <c r="Z202" i="11"/>
  <c r="AL79" i="11"/>
  <c r="AI40" i="11"/>
  <c r="AI468" i="11"/>
  <c r="AL572" i="11"/>
  <c r="AI44" i="11"/>
  <c r="AK84" i="11"/>
  <c r="AI158" i="11"/>
  <c r="AI159" i="11"/>
  <c r="AI157" i="11"/>
  <c r="AI155" i="11"/>
  <c r="AI156" i="11"/>
  <c r="AH160" i="11"/>
  <c r="AM74" i="11"/>
  <c r="AJ151" i="11"/>
  <c r="AJ150" i="11"/>
  <c r="AJ149" i="11"/>
  <c r="AJ34" i="11"/>
  <c r="AJ127" i="11"/>
  <c r="AJ129" i="11" s="1"/>
  <c r="AJ313" i="11" s="1"/>
  <c r="AM75" i="11"/>
  <c r="AL80" i="11"/>
  <c r="AL574" i="11"/>
  <c r="AL571" i="11"/>
  <c r="AL570" i="11"/>
  <c r="AK5" i="11"/>
  <c r="AK115" i="11" s="1"/>
  <c r="AK117" i="11" s="1"/>
  <c r="AK309" i="11" s="1"/>
  <c r="AJ115" i="11"/>
  <c r="AJ117" i="11" s="1"/>
  <c r="AJ309" i="11" s="1"/>
  <c r="AL83" i="11"/>
  <c r="AL81" i="11"/>
  <c r="AL573" i="11"/>
  <c r="AJ35" i="11"/>
  <c r="AJ591" i="11"/>
  <c r="AJ105" i="11"/>
  <c r="AJ108" i="11" s="1"/>
  <c r="AJ191" i="11" s="1"/>
  <c r="AL82" i="11"/>
  <c r="AL170" i="11"/>
  <c r="AL629" i="11" s="1"/>
  <c r="AK321" i="11"/>
  <c r="AX255" i="20"/>
  <c r="AI503" i="11"/>
  <c r="AI542" i="11" s="1"/>
  <c r="AI545" i="11"/>
  <c r="AK514" i="11"/>
  <c r="AJ546" i="11"/>
  <c r="AK523" i="11"/>
  <c r="AJ549" i="11"/>
  <c r="AK498" i="11"/>
  <c r="AJ540" i="11"/>
  <c r="AJ552" i="11"/>
  <c r="AK532" i="11"/>
  <c r="AK495" i="11"/>
  <c r="AJ539" i="11"/>
  <c r="AK526" i="11"/>
  <c r="AJ550" i="11"/>
  <c r="AK501" i="11"/>
  <c r="AJ541" i="11"/>
  <c r="AK529" i="11"/>
  <c r="AJ551" i="11"/>
  <c r="AJ543" i="11"/>
  <c r="AK506" i="11"/>
  <c r="AJ535" i="11"/>
  <c r="AJ511" i="11" s="1"/>
  <c r="AJ545" i="11" s="1"/>
  <c r="AI553" i="11"/>
  <c r="AK520" i="11"/>
  <c r="AJ548" i="11"/>
  <c r="AJ448" i="11"/>
  <c r="AK435" i="11"/>
  <c r="AJ450" i="11"/>
  <c r="AK438" i="11"/>
  <c r="AK432" i="11"/>
  <c r="AK447" i="11" s="1"/>
  <c r="AJ443" i="11"/>
  <c r="AJ449" i="11" s="1"/>
  <c r="AA8" i="11"/>
  <c r="J11" i="17"/>
  <c r="I187" i="20"/>
  <c r="J188" i="20"/>
  <c r="AX526" i="20"/>
  <c r="AT976" i="20"/>
  <c r="AU901" i="20"/>
  <c r="AU964" i="20"/>
  <c r="AU970" i="20"/>
  <c r="AV889" i="20"/>
  <c r="AV895" i="20"/>
  <c r="AU986" i="20"/>
  <c r="K183" i="20" s="1"/>
  <c r="AU981" i="20"/>
  <c r="K178" i="20" s="1"/>
  <c r="AU983" i="20"/>
  <c r="K180" i="20" s="1"/>
  <c r="AU982" i="20"/>
  <c r="K179" i="20" s="1"/>
  <c r="AU985" i="20"/>
  <c r="K182" i="20" s="1"/>
  <c r="AT876" i="20"/>
  <c r="AU864" i="20"/>
  <c r="AU870" i="20"/>
  <c r="AT991" i="20"/>
  <c r="AV990" i="20"/>
  <c r="AU989" i="20"/>
  <c r="K186" i="20" s="1"/>
  <c r="AU988" i="20"/>
  <c r="K185" i="20" s="1"/>
  <c r="AU987" i="20"/>
  <c r="K184" i="20" s="1"/>
  <c r="AU984" i="20"/>
  <c r="K181" i="20" s="1"/>
  <c r="AW930" i="20"/>
  <c r="AX285" i="20"/>
  <c r="AW293" i="20"/>
  <c r="AX275" i="20"/>
  <c r="AX283" i="20" s="1"/>
  <c r="AW283" i="20"/>
  <c r="AW855" i="20"/>
  <c r="AW230" i="20"/>
  <c r="AW990" i="20" s="1"/>
  <c r="AW880" i="20"/>
  <c r="AW905" i="20"/>
  <c r="AW765" i="20"/>
  <c r="AW890" i="20" s="1"/>
  <c r="AW754" i="20"/>
  <c r="AW776" i="20"/>
  <c r="AW891" i="20" s="1"/>
  <c r="AU857" i="20"/>
  <c r="AX799" i="20"/>
  <c r="AV773" i="20"/>
  <c r="AV868" i="20" s="1"/>
  <c r="AV762" i="20"/>
  <c r="AV867" i="20" s="1"/>
  <c r="AW788" i="20"/>
  <c r="AV796" i="20"/>
  <c r="AV784" i="20"/>
  <c r="AV869" i="20" s="1"/>
  <c r="AV818" i="20"/>
  <c r="AW721" i="20"/>
  <c r="AV729" i="20"/>
  <c r="AV807" i="20"/>
  <c r="AV751" i="20"/>
  <c r="AV866" i="20" s="1"/>
  <c r="AV840" i="20"/>
  <c r="AV965" i="20" s="1"/>
  <c r="AW732" i="20"/>
  <c r="AV740" i="20"/>
  <c r="AV865" i="20" s="1"/>
  <c r="AV829" i="20"/>
  <c r="AV851" i="20"/>
  <c r="AV966" i="20" s="1"/>
  <c r="AV645" i="20"/>
  <c r="AV656" i="20"/>
  <c r="AV958" i="20" s="1"/>
  <c r="AV623" i="20"/>
  <c r="AV634" i="20"/>
  <c r="AV678" i="20"/>
  <c r="AV667" i="20"/>
  <c r="AV959" i="20" s="1"/>
  <c r="AV534" i="20"/>
  <c r="AV859" i="20" s="1"/>
  <c r="AV944" i="20" s="1"/>
  <c r="AV951" i="20" s="1"/>
  <c r="AV567" i="20"/>
  <c r="AW559" i="20"/>
  <c r="AW884" i="20" s="1"/>
  <c r="AW969" i="20" s="1"/>
  <c r="AV578" i="20"/>
  <c r="AW570" i="20"/>
  <c r="AV556" i="20"/>
  <c r="AW548" i="20"/>
  <c r="AW883" i="20" s="1"/>
  <c r="AW537" i="20"/>
  <c r="AV545" i="20"/>
  <c r="AW523" i="20"/>
  <c r="AW858" i="20" s="1"/>
  <c r="AW444" i="20"/>
  <c r="AV452" i="20"/>
  <c r="AV432" i="20"/>
  <c r="AV907" i="20" s="1"/>
  <c r="AV926" i="20" s="1"/>
  <c r="AW424" i="20"/>
  <c r="AV472" i="20"/>
  <c r="AW464" i="20"/>
  <c r="AV442" i="20"/>
  <c r="AW434" i="20"/>
  <c r="AV462" i="20"/>
  <c r="AW454" i="20"/>
  <c r="AW414" i="20"/>
  <c r="AV422" i="20"/>
  <c r="AV335" i="20"/>
  <c r="AW327" i="20"/>
  <c r="AV325" i="20"/>
  <c r="AW317" i="20"/>
  <c r="AW347" i="20"/>
  <c r="AV355" i="20"/>
  <c r="AW307" i="20"/>
  <c r="AV315" i="20"/>
  <c r="AW297" i="20"/>
  <c r="AV305" i="20"/>
  <c r="AV345" i="20"/>
  <c r="AW337" i="20"/>
  <c r="AW404" i="20"/>
  <c r="AV412" i="20"/>
  <c r="AW394" i="20"/>
  <c r="AV402" i="20"/>
  <c r="AW392" i="20"/>
  <c r="AV382" i="20"/>
  <c r="AX273" i="20"/>
  <c r="AW263" i="20"/>
  <c r="AW856" i="20" s="1"/>
  <c r="AX143" i="20"/>
  <c r="AX151" i="20" s="1"/>
  <c r="AX224" i="20" s="1"/>
  <c r="AX156" i="20"/>
  <c r="AX164" i="20" s="1"/>
  <c r="AX225" i="20" s="1"/>
  <c r="AX195" i="20"/>
  <c r="AX203" i="20" s="1"/>
  <c r="AX228" i="20" s="1"/>
  <c r="AX182" i="20"/>
  <c r="AX190" i="20" s="1"/>
  <c r="AX227" i="20" s="1"/>
  <c r="AX169" i="20"/>
  <c r="AX177" i="20" s="1"/>
  <c r="AX226" i="20" s="1"/>
  <c r="AX208" i="20"/>
  <c r="AX216" i="20" s="1"/>
  <c r="AX229" i="20" s="1"/>
  <c r="AX99" i="20"/>
  <c r="AX107" i="20" s="1"/>
  <c r="AX223" i="20" s="1"/>
  <c r="AX79" i="20"/>
  <c r="AX87" i="20" s="1"/>
  <c r="AX222" i="20" s="1"/>
  <c r="AX61" i="20"/>
  <c r="AX69" i="20" s="1"/>
  <c r="AX221" i="20" s="1"/>
  <c r="AX43" i="20"/>
  <c r="AX51" i="20" s="1"/>
  <c r="AX220" i="20" s="1"/>
  <c r="AY5" i="20"/>
  <c r="BJ4" i="20"/>
  <c r="AT51" i="11"/>
  <c r="AS55" i="11"/>
  <c r="U49" i="18"/>
  <c r="U83" i="18" s="1"/>
  <c r="R49" i="18"/>
  <c r="R83" i="18" s="1"/>
  <c r="AA49" i="18"/>
  <c r="AA83" i="18" s="1"/>
  <c r="AD49" i="18"/>
  <c r="AD83" i="18" s="1"/>
  <c r="Z49" i="18"/>
  <c r="Z83" i="18" s="1"/>
  <c r="Y49" i="18"/>
  <c r="Y83" i="18" s="1"/>
  <c r="V49" i="18"/>
  <c r="V83" i="18" s="1"/>
  <c r="AE49" i="18"/>
  <c r="AE83" i="18" s="1"/>
  <c r="AJ49" i="18"/>
  <c r="AJ83" i="18" s="1"/>
  <c r="AH49" i="18"/>
  <c r="AH83" i="18" s="1"/>
  <c r="AC49" i="18"/>
  <c r="AC83" i="18" s="1"/>
  <c r="S49" i="18"/>
  <c r="S83" i="18" s="1"/>
  <c r="AI49" i="18"/>
  <c r="AI83" i="18" s="1"/>
  <c r="X49" i="18"/>
  <c r="X83" i="18" s="1"/>
  <c r="AB49" i="18"/>
  <c r="AB83" i="18" s="1"/>
  <c r="AG49" i="18"/>
  <c r="AG83" i="18" s="1"/>
  <c r="W49" i="18"/>
  <c r="W83" i="18" s="1"/>
  <c r="T49" i="18"/>
  <c r="T83" i="18" s="1"/>
  <c r="AF49" i="18"/>
  <c r="AF83" i="18" s="1"/>
  <c r="Q49" i="18"/>
  <c r="Q83" i="18" s="1"/>
  <c r="N50" i="18"/>
  <c r="AF15" i="18"/>
  <c r="AF11" i="18"/>
  <c r="AE13" i="18"/>
  <c r="AE14" i="18"/>
  <c r="AE12" i="18"/>
  <c r="AE10" i="18"/>
  <c r="AD16" i="18"/>
  <c r="D33" i="16"/>
  <c r="E21" i="16"/>
  <c r="E33" i="16" s="1"/>
  <c r="E16" i="16"/>
  <c r="D35" i="16" l="1"/>
  <c r="E35" i="16" s="1"/>
  <c r="F16" i="16"/>
  <c r="G16" i="16" s="1"/>
  <c r="H16" i="16" s="1"/>
  <c r="I16" i="16" s="1"/>
  <c r="J16" i="16" s="1"/>
  <c r="K16" i="16" s="1"/>
  <c r="L16" i="16" s="1"/>
  <c r="M16" i="16" s="1"/>
  <c r="N16" i="16" s="1"/>
  <c r="O16" i="16" s="1"/>
  <c r="P16" i="16" s="1"/>
  <c r="Q16" i="16" s="1"/>
  <c r="R16" i="16" s="1"/>
  <c r="S16" i="16" s="1"/>
  <c r="T16" i="16" s="1"/>
  <c r="U16" i="16" s="1"/>
  <c r="V16" i="16" s="1"/>
  <c r="W16" i="16" s="1"/>
  <c r="X16" i="16" s="1"/>
  <c r="Y16" i="16" s="1"/>
  <c r="Z16" i="16" s="1"/>
  <c r="AA16" i="16" s="1"/>
  <c r="AB16" i="16" s="1"/>
  <c r="AC16" i="16" s="1"/>
  <c r="AD16" i="16" s="1"/>
  <c r="AE16" i="16" s="1"/>
  <c r="AF16" i="16" s="1"/>
  <c r="AG16" i="16" s="1"/>
  <c r="AJ468" i="11"/>
  <c r="H376" i="16"/>
  <c r="C7" i="21" s="1"/>
  <c r="K376" i="16"/>
  <c r="C10" i="21" s="1"/>
  <c r="I376" i="16"/>
  <c r="C8" i="21" s="1"/>
  <c r="T376" i="16"/>
  <c r="C19" i="21" s="1"/>
  <c r="Q376" i="16"/>
  <c r="C16" i="21" s="1"/>
  <c r="G376" i="16"/>
  <c r="C6" i="21" s="1"/>
  <c r="D23" i="16"/>
  <c r="E23" i="16" s="1"/>
  <c r="J376" i="16"/>
  <c r="C9" i="21" s="1"/>
  <c r="L376" i="16"/>
  <c r="C11" i="21" s="1"/>
  <c r="S376" i="16"/>
  <c r="C18" i="21" s="1"/>
  <c r="U376" i="16"/>
  <c r="C20" i="21" s="1"/>
  <c r="AM571" i="11"/>
  <c r="AM81" i="11"/>
  <c r="AM82" i="11"/>
  <c r="AN75" i="11"/>
  <c r="AI45" i="11"/>
  <c r="AM83" i="11"/>
  <c r="AA202" i="11"/>
  <c r="AM570" i="11"/>
  <c r="AL5" i="11"/>
  <c r="AL150" i="11" s="1"/>
  <c r="AM572" i="11"/>
  <c r="AI160" i="11"/>
  <c r="AM574" i="11"/>
  <c r="AJ41" i="11"/>
  <c r="AJ466" i="11"/>
  <c r="AJ467" i="11"/>
  <c r="AJ43" i="11"/>
  <c r="AM80" i="11"/>
  <c r="AJ469" i="11"/>
  <c r="AM573" i="11"/>
  <c r="AN73" i="11"/>
  <c r="AK151" i="11"/>
  <c r="AK150" i="11"/>
  <c r="AK149" i="11"/>
  <c r="AL84" i="11"/>
  <c r="AJ40" i="11"/>
  <c r="AJ44" i="11"/>
  <c r="AJ42" i="11"/>
  <c r="AM79" i="11"/>
  <c r="AJ470" i="11"/>
  <c r="AJ158" i="11"/>
  <c r="AJ159" i="11"/>
  <c r="AJ157" i="11"/>
  <c r="AJ155" i="11"/>
  <c r="AJ156" i="11"/>
  <c r="AK36" i="11"/>
  <c r="AN74" i="11"/>
  <c r="AK35" i="11"/>
  <c r="AK105" i="11"/>
  <c r="AK108" i="11" s="1"/>
  <c r="AK191" i="11" s="1"/>
  <c r="AK34" i="11"/>
  <c r="AK591" i="11"/>
  <c r="AK127" i="11"/>
  <c r="AK129" i="11" s="1"/>
  <c r="AK313" i="11" s="1"/>
  <c r="AY255" i="20"/>
  <c r="AM170" i="11"/>
  <c r="AM629" i="11" s="1"/>
  <c r="AL321" i="11"/>
  <c r="AJ503" i="11"/>
  <c r="AJ542" i="11" s="1"/>
  <c r="AL520" i="11"/>
  <c r="AK548" i="11"/>
  <c r="AL501" i="11"/>
  <c r="AK541" i="11"/>
  <c r="AL523" i="11"/>
  <c r="AK549" i="11"/>
  <c r="AL514" i="11"/>
  <c r="AK546" i="11"/>
  <c r="AK535" i="11"/>
  <c r="AK503" i="11" s="1"/>
  <c r="AJ553" i="11"/>
  <c r="AL529" i="11"/>
  <c r="AK551" i="11"/>
  <c r="AL526" i="11"/>
  <c r="AK550" i="11"/>
  <c r="AL495" i="11"/>
  <c r="AK539" i="11"/>
  <c r="AK540" i="11"/>
  <c r="AL498" i="11"/>
  <c r="AK543" i="11"/>
  <c r="AL506" i="11"/>
  <c r="AK552" i="11"/>
  <c r="AL532" i="11"/>
  <c r="AL438" i="11"/>
  <c r="AK450" i="11"/>
  <c r="AL435" i="11"/>
  <c r="AK448" i="11"/>
  <c r="AL432" i="11"/>
  <c r="AL447" i="11" s="1"/>
  <c r="AK443" i="11"/>
  <c r="AK449" i="11" s="1"/>
  <c r="AB8" i="11"/>
  <c r="K11" i="17"/>
  <c r="J187" i="20"/>
  <c r="M188" i="20"/>
  <c r="L188" i="20"/>
  <c r="AY526" i="20"/>
  <c r="AZ526" i="20" s="1"/>
  <c r="BA526" i="20" s="1"/>
  <c r="BB526" i="20" s="1"/>
  <c r="BC526" i="20" s="1"/>
  <c r="BD526" i="20" s="1"/>
  <c r="BE526" i="20" s="1"/>
  <c r="BF526" i="20" s="1"/>
  <c r="BG526" i="20" s="1"/>
  <c r="BH526" i="20" s="1"/>
  <c r="BI526" i="20" s="1"/>
  <c r="BJ526" i="20" s="1"/>
  <c r="BK526" i="20" s="1"/>
  <c r="BL526" i="20" s="1"/>
  <c r="BM526" i="20" s="1"/>
  <c r="BN526" i="20" s="1"/>
  <c r="AU976" i="20"/>
  <c r="AV901" i="20"/>
  <c r="AV964" i="20"/>
  <c r="AV970" i="20"/>
  <c r="AW889" i="20"/>
  <c r="AW895" i="20"/>
  <c r="AV987" i="20"/>
  <c r="L184" i="20" s="1"/>
  <c r="AV981" i="20"/>
  <c r="L178" i="20" s="1"/>
  <c r="AV982" i="20"/>
  <c r="L179" i="20" s="1"/>
  <c r="AV985" i="20"/>
  <c r="L182" i="20" s="1"/>
  <c r="AV988" i="20"/>
  <c r="L185" i="20" s="1"/>
  <c r="AV986" i="20"/>
  <c r="L183" i="20" s="1"/>
  <c r="AV983" i="20"/>
  <c r="L180" i="20" s="1"/>
  <c r="AU876" i="20"/>
  <c r="AV864" i="20"/>
  <c r="AV870" i="20"/>
  <c r="AU991" i="20"/>
  <c r="AV980" i="20"/>
  <c r="L177" i="20" s="1"/>
  <c r="AV989" i="20"/>
  <c r="L186" i="20" s="1"/>
  <c r="AV984" i="20"/>
  <c r="L181" i="20" s="1"/>
  <c r="AX930" i="20"/>
  <c r="AY285" i="20"/>
  <c r="AX293" i="20"/>
  <c r="AX855" i="20"/>
  <c r="AX230" i="20"/>
  <c r="AX905" i="20"/>
  <c r="AX880" i="20"/>
  <c r="AX754" i="20"/>
  <c r="AX776" i="20"/>
  <c r="AX891" i="20" s="1"/>
  <c r="AX765" i="20"/>
  <c r="AX890" i="20" s="1"/>
  <c r="AV857" i="20"/>
  <c r="AY799" i="20"/>
  <c r="AW840" i="20"/>
  <c r="AW965" i="20" s="1"/>
  <c r="AW807" i="20"/>
  <c r="AW796" i="20"/>
  <c r="AX788" i="20"/>
  <c r="AW773" i="20"/>
  <c r="AW868" i="20" s="1"/>
  <c r="AW851" i="20"/>
  <c r="AW966" i="20" s="1"/>
  <c r="AW751" i="20"/>
  <c r="AW866" i="20" s="1"/>
  <c r="AW784" i="20"/>
  <c r="AW869" i="20" s="1"/>
  <c r="AW762" i="20"/>
  <c r="AW867" i="20" s="1"/>
  <c r="AX732" i="20"/>
  <c r="AW740" i="20"/>
  <c r="AW865" i="20" s="1"/>
  <c r="AX721" i="20"/>
  <c r="AW729" i="20"/>
  <c r="AW829" i="20"/>
  <c r="AW818" i="20"/>
  <c r="AW656" i="20"/>
  <c r="AW958" i="20" s="1"/>
  <c r="AW667" i="20"/>
  <c r="AW959" i="20" s="1"/>
  <c r="AW634" i="20"/>
  <c r="AW678" i="20"/>
  <c r="AW623" i="20"/>
  <c r="AW645" i="20"/>
  <c r="AW567" i="20"/>
  <c r="AX559" i="20"/>
  <c r="AX884" i="20" s="1"/>
  <c r="AX969" i="20" s="1"/>
  <c r="AW556" i="20"/>
  <c r="AX548" i="20"/>
  <c r="AX883" i="20" s="1"/>
  <c r="AW578" i="20"/>
  <c r="AX570" i="20"/>
  <c r="AX537" i="20"/>
  <c r="AW545" i="20"/>
  <c r="AW534" i="20"/>
  <c r="AW859" i="20" s="1"/>
  <c r="AW944" i="20" s="1"/>
  <c r="AW951" i="20" s="1"/>
  <c r="AX523" i="20"/>
  <c r="AX858" i="20" s="1"/>
  <c r="AW442" i="20"/>
  <c r="AX434" i="20"/>
  <c r="AW432" i="20"/>
  <c r="AW907" i="20" s="1"/>
  <c r="AW926" i="20" s="1"/>
  <c r="AX424" i="20"/>
  <c r="AX414" i="20"/>
  <c r="AW422" i="20"/>
  <c r="AW462" i="20"/>
  <c r="AX454" i="20"/>
  <c r="AW472" i="20"/>
  <c r="AX464" i="20"/>
  <c r="AX444" i="20"/>
  <c r="AW452" i="20"/>
  <c r="AW345" i="20"/>
  <c r="AX337" i="20"/>
  <c r="AW325" i="20"/>
  <c r="AX317" i="20"/>
  <c r="AX307" i="20"/>
  <c r="AW315" i="20"/>
  <c r="AX327" i="20"/>
  <c r="AW335" i="20"/>
  <c r="AX297" i="20"/>
  <c r="AW305" i="20"/>
  <c r="AX347" i="20"/>
  <c r="AW355" i="20"/>
  <c r="AX394" i="20"/>
  <c r="AW402" i="20"/>
  <c r="AX404" i="20"/>
  <c r="AW412" i="20"/>
  <c r="AY275" i="20"/>
  <c r="AX392" i="20"/>
  <c r="AW382" i="20"/>
  <c r="AW980" i="20" s="1"/>
  <c r="M177" i="20" s="1"/>
  <c r="AY273" i="20"/>
  <c r="AX263" i="20"/>
  <c r="AX856" i="20" s="1"/>
  <c r="AY143" i="20"/>
  <c r="AY151" i="20" s="1"/>
  <c r="AY224" i="20" s="1"/>
  <c r="AY156" i="20"/>
  <c r="AY164" i="20" s="1"/>
  <c r="AY225" i="20" s="1"/>
  <c r="AY195" i="20"/>
  <c r="AY203" i="20" s="1"/>
  <c r="AY228" i="20" s="1"/>
  <c r="AY182" i="20"/>
  <c r="AY190" i="20" s="1"/>
  <c r="AY227" i="20" s="1"/>
  <c r="AY169" i="20"/>
  <c r="AY177" i="20" s="1"/>
  <c r="AY226" i="20" s="1"/>
  <c r="AY208" i="20"/>
  <c r="AY216" i="20" s="1"/>
  <c r="AY229" i="20" s="1"/>
  <c r="AY99" i="20"/>
  <c r="AY107" i="20" s="1"/>
  <c r="AY223" i="20" s="1"/>
  <c r="AY79" i="20"/>
  <c r="AY87" i="20" s="1"/>
  <c r="AY222" i="20" s="1"/>
  <c r="AY61" i="20"/>
  <c r="AY69" i="20" s="1"/>
  <c r="AY221" i="20" s="1"/>
  <c r="AY43" i="20"/>
  <c r="AY51" i="20" s="1"/>
  <c r="AY220" i="20" s="1"/>
  <c r="AZ5" i="20"/>
  <c r="BK4" i="20"/>
  <c r="AU51" i="11"/>
  <c r="AT55" i="11"/>
  <c r="Q50" i="18"/>
  <c r="R50" i="18"/>
  <c r="U50" i="18"/>
  <c r="AC84" i="18" s="1"/>
  <c r="T50" i="18"/>
  <c r="AB84" i="18" s="1"/>
  <c r="S50" i="18"/>
  <c r="AA84" i="18" s="1"/>
  <c r="N51" i="18"/>
  <c r="AF10" i="18"/>
  <c r="AE16" i="18"/>
  <c r="AF14" i="18"/>
  <c r="AG11" i="18"/>
  <c r="AF12" i="18"/>
  <c r="AF13" i="18"/>
  <c r="AG15" i="18"/>
  <c r="F21" i="16"/>
  <c r="F33" i="16" s="1"/>
  <c r="R34" i="18"/>
  <c r="V208" i="11"/>
  <c r="V216" i="11"/>
  <c r="V210" i="11"/>
  <c r="V218" i="11"/>
  <c r="V212" i="11"/>
  <c r="W208" i="11"/>
  <c r="W216" i="11"/>
  <c r="W210" i="11"/>
  <c r="W211" i="11"/>
  <c r="W212" i="11"/>
  <c r="Z215" i="11"/>
  <c r="Z17" i="11"/>
  <c r="Z210" i="11"/>
  <c r="Z211" i="11"/>
  <c r="Z219" i="11"/>
  <c r="AA215" i="11"/>
  <c r="AA209" i="11"/>
  <c r="AA217" i="11"/>
  <c r="AA211" i="11"/>
  <c r="AA219" i="11"/>
  <c r="AB208" i="11"/>
  <c r="AB216" i="11"/>
  <c r="AB217" i="11"/>
  <c r="AB19" i="11"/>
  <c r="AB108" i="11" s="1"/>
  <c r="AB212" i="11"/>
  <c r="AC208" i="11"/>
  <c r="AC216" i="11"/>
  <c r="AC210" i="11"/>
  <c r="AC218" i="11"/>
  <c r="AC212" i="11"/>
  <c r="V217" i="11"/>
  <c r="AB215" i="11"/>
  <c r="Z209" i="11"/>
  <c r="W209" i="11"/>
  <c r="AB20" i="11"/>
  <c r="AB16" i="11"/>
  <c r="F35" i="16" l="1"/>
  <c r="AL36" i="11"/>
  <c r="AO75" i="11"/>
  <c r="AM5" i="11"/>
  <c r="AM149" i="11" s="1"/>
  <c r="AL591" i="11"/>
  <c r="AL115" i="11"/>
  <c r="AL117" i="11" s="1"/>
  <c r="AL309" i="11" s="1"/>
  <c r="AN570" i="11"/>
  <c r="AL34" i="11"/>
  <c r="AL105" i="11"/>
  <c r="AL108" i="11" s="1"/>
  <c r="AL191" i="11" s="1"/>
  <c r="AO73" i="11"/>
  <c r="AL149" i="11"/>
  <c r="AL35" i="11"/>
  <c r="AB202" i="11"/>
  <c r="AL127" i="11"/>
  <c r="AL129" i="11" s="1"/>
  <c r="AL313" i="11" s="1"/>
  <c r="AO74" i="11"/>
  <c r="AL151" i="11"/>
  <c r="AL156" i="11" s="1"/>
  <c r="AN80" i="11"/>
  <c r="AZ255" i="20"/>
  <c r="AM84" i="11"/>
  <c r="AN82" i="11"/>
  <c r="AN83" i="11"/>
  <c r="AN79" i="11"/>
  <c r="AN574" i="11"/>
  <c r="AN81" i="11"/>
  <c r="AN573" i="11"/>
  <c r="AK466" i="11"/>
  <c r="AJ45" i="11"/>
  <c r="AK155" i="11"/>
  <c r="AK156" i="11"/>
  <c r="AK157" i="11"/>
  <c r="AK159" i="11"/>
  <c r="AK158" i="11"/>
  <c r="AK40" i="11"/>
  <c r="AK470" i="11"/>
  <c r="AJ160" i="11"/>
  <c r="AN571" i="11"/>
  <c r="AK42" i="11"/>
  <c r="AK468" i="11"/>
  <c r="AK41" i="11"/>
  <c r="AK467" i="11"/>
  <c r="AN572" i="11"/>
  <c r="AK43" i="11"/>
  <c r="AK44" i="11"/>
  <c r="AK469" i="11"/>
  <c r="AK511" i="11"/>
  <c r="AK545" i="11" s="1"/>
  <c r="AN170" i="11"/>
  <c r="AN629" i="11" s="1"/>
  <c r="AM321" i="11"/>
  <c r="AK542" i="11"/>
  <c r="AM498" i="11"/>
  <c r="AL540" i="11"/>
  <c r="AM495" i="11"/>
  <c r="AL539" i="11"/>
  <c r="AM529" i="11"/>
  <c r="AL551" i="11"/>
  <c r="AM514" i="11"/>
  <c r="AL546" i="11"/>
  <c r="AM501" i="11"/>
  <c r="AL541" i="11"/>
  <c r="AL552" i="11"/>
  <c r="AM532" i="11"/>
  <c r="AL543" i="11"/>
  <c r="AM506" i="11"/>
  <c r="AM526" i="11"/>
  <c r="AL550" i="11"/>
  <c r="AL535" i="11"/>
  <c r="AL503" i="11" s="1"/>
  <c r="AK553" i="11"/>
  <c r="AM523" i="11"/>
  <c r="AL549" i="11"/>
  <c r="AM520" i="11"/>
  <c r="AL548" i="11"/>
  <c r="AM435" i="11"/>
  <c r="AL448" i="11"/>
  <c r="AM438" i="11"/>
  <c r="AL450" i="11"/>
  <c r="AM432" i="11"/>
  <c r="AM447" i="11" s="1"/>
  <c r="AL443" i="11"/>
  <c r="AL449" i="11" s="1"/>
  <c r="AC8" i="11"/>
  <c r="AB191" i="11"/>
  <c r="AB180" i="11"/>
  <c r="L11" i="17"/>
  <c r="K187" i="20"/>
  <c r="AV976" i="20"/>
  <c r="AW901" i="20"/>
  <c r="R84" i="18"/>
  <c r="Z84" i="18"/>
  <c r="Q84" i="18"/>
  <c r="Y84" i="18"/>
  <c r="AX889" i="20"/>
  <c r="AX895" i="20"/>
  <c r="AW964" i="20"/>
  <c r="AW970" i="20"/>
  <c r="AW983" i="20"/>
  <c r="M180" i="20" s="1"/>
  <c r="AW989" i="20"/>
  <c r="M186" i="20" s="1"/>
  <c r="AW987" i="20"/>
  <c r="M184" i="20" s="1"/>
  <c r="AW981" i="20"/>
  <c r="M178" i="20" s="1"/>
  <c r="AV876" i="20"/>
  <c r="AW864" i="20"/>
  <c r="AW870" i="20"/>
  <c r="AW986" i="20"/>
  <c r="M183" i="20" s="1"/>
  <c r="AW982" i="20"/>
  <c r="M179" i="20" s="1"/>
  <c r="AX990" i="20"/>
  <c r="AV991" i="20"/>
  <c r="AW988" i="20"/>
  <c r="M185" i="20" s="1"/>
  <c r="AW985" i="20"/>
  <c r="M182" i="20" s="1"/>
  <c r="AW984" i="20"/>
  <c r="M181" i="20" s="1"/>
  <c r="AY930" i="20"/>
  <c r="AZ285" i="20"/>
  <c r="AY293" i="20"/>
  <c r="AY855" i="20"/>
  <c r="AY230" i="20"/>
  <c r="AY905" i="20"/>
  <c r="AY880" i="20"/>
  <c r="AY765" i="20"/>
  <c r="AY890" i="20" s="1"/>
  <c r="AY754" i="20"/>
  <c r="AY776" i="20"/>
  <c r="AY891" i="20" s="1"/>
  <c r="AW857" i="20"/>
  <c r="AZ275" i="20"/>
  <c r="AZ799" i="20"/>
  <c r="AX818" i="20"/>
  <c r="AX762" i="20"/>
  <c r="AX867" i="20" s="1"/>
  <c r="AX773" i="20"/>
  <c r="AX868" i="20" s="1"/>
  <c r="AX807" i="20"/>
  <c r="AY721" i="20"/>
  <c r="AX729" i="20"/>
  <c r="AX751" i="20"/>
  <c r="AX866" i="20" s="1"/>
  <c r="AX829" i="20"/>
  <c r="AX784" i="20"/>
  <c r="AX869" i="20" s="1"/>
  <c r="AX851" i="20"/>
  <c r="AX966" i="20" s="1"/>
  <c r="AX796" i="20"/>
  <c r="AY788" i="20"/>
  <c r="AY732" i="20"/>
  <c r="AX740" i="20"/>
  <c r="AX865" i="20" s="1"/>
  <c r="AX840" i="20"/>
  <c r="AX965" i="20" s="1"/>
  <c r="AX667" i="20"/>
  <c r="AX959" i="20" s="1"/>
  <c r="AX645" i="20"/>
  <c r="AX678" i="20"/>
  <c r="AX623" i="20"/>
  <c r="AX634" i="20"/>
  <c r="AX656" i="20"/>
  <c r="AX958" i="20" s="1"/>
  <c r="AX556" i="20"/>
  <c r="AY548" i="20"/>
  <c r="AY883" i="20" s="1"/>
  <c r="AY537" i="20"/>
  <c r="AX545" i="20"/>
  <c r="AY570" i="20"/>
  <c r="AX578" i="20"/>
  <c r="AY559" i="20"/>
  <c r="AY884" i="20" s="1"/>
  <c r="AY969" i="20" s="1"/>
  <c r="AX567" i="20"/>
  <c r="AX534" i="20"/>
  <c r="AX859" i="20" s="1"/>
  <c r="AX944" i="20" s="1"/>
  <c r="AX951" i="20" s="1"/>
  <c r="AY523" i="20"/>
  <c r="AY858" i="20" s="1"/>
  <c r="AX432" i="20"/>
  <c r="AX907" i="20" s="1"/>
  <c r="AX926" i="20" s="1"/>
  <c r="AY424" i="20"/>
  <c r="AY444" i="20"/>
  <c r="AX452" i="20"/>
  <c r="AX462" i="20"/>
  <c r="AY454" i="20"/>
  <c r="AX472" i="20"/>
  <c r="AY464" i="20"/>
  <c r="AX442" i="20"/>
  <c r="AY434" i="20"/>
  <c r="AY414" i="20"/>
  <c r="AX422" i="20"/>
  <c r="AY317" i="20"/>
  <c r="AX325" i="20"/>
  <c r="AY347" i="20"/>
  <c r="AX355" i="20"/>
  <c r="AY327" i="20"/>
  <c r="AX335" i="20"/>
  <c r="AY337" i="20"/>
  <c r="AX345" i="20"/>
  <c r="AY297" i="20"/>
  <c r="AX305" i="20"/>
  <c r="AY307" i="20"/>
  <c r="AX315" i="20"/>
  <c r="AY404" i="20"/>
  <c r="AX412" i="20"/>
  <c r="AY394" i="20"/>
  <c r="AZ394" i="20" s="1"/>
  <c r="BA394" i="20" s="1"/>
  <c r="BB394" i="20" s="1"/>
  <c r="BC394" i="20" s="1"/>
  <c r="BD394" i="20" s="1"/>
  <c r="BE394" i="20" s="1"/>
  <c r="BF394" i="20" s="1"/>
  <c r="BG394" i="20" s="1"/>
  <c r="BH394" i="20" s="1"/>
  <c r="BI394" i="20" s="1"/>
  <c r="BJ394" i="20" s="1"/>
  <c r="BK394" i="20" s="1"/>
  <c r="BL394" i="20" s="1"/>
  <c r="BM394" i="20" s="1"/>
  <c r="BN394" i="20" s="1"/>
  <c r="AX402" i="20"/>
  <c r="AY392" i="20"/>
  <c r="AY283" i="20"/>
  <c r="AX382" i="20"/>
  <c r="AX980" i="20" s="1"/>
  <c r="N177" i="20" s="1"/>
  <c r="AZ273" i="20"/>
  <c r="AY263" i="20"/>
  <c r="AY856" i="20" s="1"/>
  <c r="AZ143" i="20"/>
  <c r="AZ151" i="20" s="1"/>
  <c r="AZ224" i="20" s="1"/>
  <c r="AZ195" i="20"/>
  <c r="AZ203" i="20" s="1"/>
  <c r="AZ228" i="20" s="1"/>
  <c r="AZ156" i="20"/>
  <c r="AZ164" i="20" s="1"/>
  <c r="AZ225" i="20" s="1"/>
  <c r="AZ182" i="20"/>
  <c r="AZ190" i="20" s="1"/>
  <c r="AZ227" i="20" s="1"/>
  <c r="AZ169" i="20"/>
  <c r="AZ177" i="20" s="1"/>
  <c r="AZ226" i="20" s="1"/>
  <c r="AZ208" i="20"/>
  <c r="AZ216" i="20" s="1"/>
  <c r="AZ229" i="20" s="1"/>
  <c r="AZ99" i="20"/>
  <c r="AZ107" i="20" s="1"/>
  <c r="AZ223" i="20" s="1"/>
  <c r="AZ79" i="20"/>
  <c r="AZ87" i="20" s="1"/>
  <c r="AZ222" i="20" s="1"/>
  <c r="AZ61" i="20"/>
  <c r="AZ69" i="20" s="1"/>
  <c r="AZ221" i="20" s="1"/>
  <c r="AZ43" i="20"/>
  <c r="AZ51" i="20" s="1"/>
  <c r="AZ220" i="20" s="1"/>
  <c r="BA5" i="20"/>
  <c r="BL4" i="20"/>
  <c r="U84" i="18"/>
  <c r="X84" i="18"/>
  <c r="S84" i="18"/>
  <c r="V84" i="18"/>
  <c r="T84" i="18"/>
  <c r="W84" i="18"/>
  <c r="AM591" i="11"/>
  <c r="AM34" i="11"/>
  <c r="AV51" i="11"/>
  <c r="AU55" i="11"/>
  <c r="AT51" i="18"/>
  <c r="AT65" i="18" s="1"/>
  <c r="AQ51" i="18"/>
  <c r="R51" i="18"/>
  <c r="R85" i="18" s="1"/>
  <c r="T51" i="18"/>
  <c r="T85" i="18" s="1"/>
  <c r="AE51" i="18"/>
  <c r="AE85" i="18" s="1"/>
  <c r="AF51" i="18"/>
  <c r="AF85" i="18" s="1"/>
  <c r="S51" i="18"/>
  <c r="S85" i="18" s="1"/>
  <c r="AS51" i="18"/>
  <c r="AN51" i="18"/>
  <c r="V51" i="18"/>
  <c r="V85" i="18" s="1"/>
  <c r="X51" i="18"/>
  <c r="X85" i="18" s="1"/>
  <c r="AI51" i="18"/>
  <c r="AI85" i="18" s="1"/>
  <c r="AJ51" i="18"/>
  <c r="AJ85" i="18" s="1"/>
  <c r="AA51" i="18"/>
  <c r="AA85" i="18" s="1"/>
  <c r="AL51" i="18"/>
  <c r="AK51" i="18"/>
  <c r="AR51" i="18"/>
  <c r="Z51" i="18"/>
  <c r="Z85" i="18" s="1"/>
  <c r="AB51" i="18"/>
  <c r="AB85" i="18" s="1"/>
  <c r="AH51" i="18"/>
  <c r="AH85" i="18" s="1"/>
  <c r="Q51" i="18"/>
  <c r="Q85" i="18" s="1"/>
  <c r="AG51" i="18"/>
  <c r="AG85" i="18" s="1"/>
  <c r="AP51" i="18"/>
  <c r="AM51" i="18"/>
  <c r="AO51" i="18"/>
  <c r="AD51" i="18"/>
  <c r="AD85" i="18" s="1"/>
  <c r="W51" i="18"/>
  <c r="W85" i="18" s="1"/>
  <c r="Y51" i="18"/>
  <c r="Y85" i="18" s="1"/>
  <c r="AC51" i="18"/>
  <c r="AC85" i="18" s="1"/>
  <c r="U51" i="18"/>
  <c r="U85" i="18" s="1"/>
  <c r="S34" i="18"/>
  <c r="N52" i="18"/>
  <c r="AH11" i="18"/>
  <c r="AG12" i="18"/>
  <c r="AG14" i="18"/>
  <c r="AG13" i="18"/>
  <c r="AH15" i="18"/>
  <c r="AG10" i="18"/>
  <c r="AF16" i="18"/>
  <c r="Z216" i="11"/>
  <c r="AC19" i="11"/>
  <c r="AC108" i="11" s="1"/>
  <c r="AB209" i="11"/>
  <c r="V19" i="11"/>
  <c r="Z208" i="11"/>
  <c r="Z212" i="11"/>
  <c r="AB219" i="11"/>
  <c r="V211" i="11"/>
  <c r="AB17" i="11"/>
  <c r="Z18" i="11"/>
  <c r="AA212" i="11"/>
  <c r="AA216" i="11"/>
  <c r="V17" i="11"/>
  <c r="V209" i="11"/>
  <c r="AC209" i="11"/>
  <c r="V215" i="11"/>
  <c r="Z19" i="11"/>
  <c r="Z108" i="11" s="1"/>
  <c r="W17" i="11"/>
  <c r="AA17" i="11"/>
  <c r="AB211" i="11"/>
  <c r="Z218" i="11"/>
  <c r="W20" i="11"/>
  <c r="V219" i="11"/>
  <c r="AC211" i="11"/>
  <c r="W219" i="11"/>
  <c r="W19" i="11"/>
  <c r="AC16" i="11"/>
  <c r="AB210" i="11"/>
  <c r="AC215" i="11"/>
  <c r="W218" i="11"/>
  <c r="V20" i="11"/>
  <c r="W16" i="11"/>
  <c r="AB18" i="11"/>
  <c r="AC20" i="11"/>
  <c r="W215" i="11"/>
  <c r="AA218" i="11"/>
  <c r="AA208" i="11"/>
  <c r="Z217" i="11"/>
  <c r="V16" i="11"/>
  <c r="AA19" i="11"/>
  <c r="AA108" i="11" s="1"/>
  <c r="AC219" i="11"/>
  <c r="AA18" i="11"/>
  <c r="AA210" i="11"/>
  <c r="W217" i="11"/>
  <c r="AC217" i="11"/>
  <c r="V18" i="11"/>
  <c r="W18" i="11"/>
  <c r="Z16" i="11"/>
  <c r="Z20" i="11"/>
  <c r="AC17" i="11"/>
  <c r="AB218" i="11"/>
  <c r="AA16" i="11"/>
  <c r="AA20" i="11"/>
  <c r="AC18" i="11"/>
  <c r="D43" i="16"/>
  <c r="F23" i="16"/>
  <c r="G21" i="16"/>
  <c r="G33" i="16" s="1"/>
  <c r="DM46" i="10"/>
  <c r="DM45" i="10"/>
  <c r="DM44" i="10"/>
  <c r="BF28" i="10"/>
  <c r="G35" i="16" l="1"/>
  <c r="B43" i="16"/>
  <c r="AM35" i="11"/>
  <c r="AM36" i="11"/>
  <c r="AL95" i="11"/>
  <c r="AL98" i="11" s="1"/>
  <c r="AL190" i="11" s="1"/>
  <c r="AN5" i="11"/>
  <c r="AN151" i="11" s="1"/>
  <c r="AP73" i="11"/>
  <c r="AM151" i="11"/>
  <c r="AO573" i="11"/>
  <c r="Y95" i="11"/>
  <c r="Y98" i="11" s="1"/>
  <c r="AA95" i="11"/>
  <c r="AA98" i="11" s="1"/>
  <c r="AE95" i="11"/>
  <c r="AE98" i="11" s="1"/>
  <c r="AE190" i="11" s="1"/>
  <c r="AG95" i="11"/>
  <c r="AG98" i="11" s="1"/>
  <c r="AG190" i="11" s="1"/>
  <c r="AI95" i="11"/>
  <c r="AI98" i="11" s="1"/>
  <c r="AI190" i="11" s="1"/>
  <c r="AJ95" i="11"/>
  <c r="AJ98" i="11" s="1"/>
  <c r="AJ190" i="11" s="1"/>
  <c r="AK95" i="11"/>
  <c r="AK98" i="11" s="1"/>
  <c r="AK190" i="11" s="1"/>
  <c r="AM150" i="11"/>
  <c r="AM157" i="11" s="1"/>
  <c r="AL40" i="11"/>
  <c r="AL466" i="11"/>
  <c r="AM127" i="11"/>
  <c r="AM129" i="11" s="1"/>
  <c r="AM313" i="11" s="1"/>
  <c r="AP75" i="11"/>
  <c r="AM115" i="11"/>
  <c r="AM117" i="11" s="1"/>
  <c r="AM309" i="11" s="1"/>
  <c r="AM95" i="11"/>
  <c r="AM98" i="11" s="1"/>
  <c r="AM190" i="11" s="1"/>
  <c r="AM105" i="11"/>
  <c r="AM108" i="11" s="1"/>
  <c r="AM191" i="11" s="1"/>
  <c r="AP74" i="11"/>
  <c r="AP83" i="11" s="1"/>
  <c r="AL44" i="11"/>
  <c r="AL42" i="11"/>
  <c r="AL469" i="11"/>
  <c r="AL467" i="11"/>
  <c r="AL41" i="11"/>
  <c r="AL43" i="11"/>
  <c r="AO82" i="11"/>
  <c r="AO570" i="11"/>
  <c r="AO571" i="11"/>
  <c r="AO80" i="11"/>
  <c r="AL157" i="11"/>
  <c r="AL155" i="11"/>
  <c r="AO572" i="11"/>
  <c r="AL158" i="11"/>
  <c r="AK45" i="11"/>
  <c r="AL159" i="11"/>
  <c r="AO79" i="11"/>
  <c r="AO83" i="11"/>
  <c r="AL468" i="11"/>
  <c r="AO574" i="11"/>
  <c r="AC202" i="11"/>
  <c r="AO81" i="11"/>
  <c r="AL470" i="11"/>
  <c r="AN84" i="11"/>
  <c r="BA255" i="20"/>
  <c r="AK160" i="11"/>
  <c r="AO170" i="11"/>
  <c r="AO629" i="11" s="1"/>
  <c r="AN321" i="11"/>
  <c r="AM468" i="11"/>
  <c r="AM470" i="11"/>
  <c r="AM469" i="11"/>
  <c r="AM467" i="11"/>
  <c r="AM466" i="11"/>
  <c r="AL542" i="11"/>
  <c r="AM552" i="11"/>
  <c r="AN532" i="11"/>
  <c r="AN495" i="11"/>
  <c r="AM539" i="11"/>
  <c r="AN523" i="11"/>
  <c r="AM549" i="11"/>
  <c r="AN526" i="11"/>
  <c r="AM550" i="11"/>
  <c r="AN514" i="11"/>
  <c r="AM546" i="11"/>
  <c r="AL511" i="11"/>
  <c r="AL545" i="11" s="1"/>
  <c r="AN498" i="11"/>
  <c r="AM540" i="11"/>
  <c r="AM543" i="11"/>
  <c r="AN506" i="11"/>
  <c r="AN520" i="11"/>
  <c r="AM548" i="11"/>
  <c r="AM535" i="11"/>
  <c r="AM511" i="11" s="1"/>
  <c r="AM545" i="11" s="1"/>
  <c r="AL553" i="11"/>
  <c r="AN501" i="11"/>
  <c r="AM541" i="11"/>
  <c r="AN529" i="11"/>
  <c r="AM551" i="11"/>
  <c r="AN438" i="11"/>
  <c r="AM450" i="11"/>
  <c r="AN435" i="11"/>
  <c r="AM448" i="11"/>
  <c r="AN432" i="11"/>
  <c r="AN447" i="11" s="1"/>
  <c r="AM443" i="11"/>
  <c r="AM449" i="11" s="1"/>
  <c r="Z191" i="11"/>
  <c r="Z180" i="11"/>
  <c r="AD8" i="11"/>
  <c r="AA191" i="11"/>
  <c r="AA180" i="11"/>
  <c r="AC191" i="11"/>
  <c r="AC180" i="11"/>
  <c r="V21" i="11"/>
  <c r="X25" i="11" s="1"/>
  <c r="M11" i="17"/>
  <c r="L187" i="20"/>
  <c r="N188" i="20"/>
  <c r="AW976" i="20"/>
  <c r="AX901" i="20"/>
  <c r="AX964" i="20"/>
  <c r="AX970" i="20"/>
  <c r="AY889" i="20"/>
  <c r="AY895" i="20"/>
  <c r="AX982" i="20"/>
  <c r="N179" i="20" s="1"/>
  <c r="AX989" i="20"/>
  <c r="N186" i="20" s="1"/>
  <c r="AW876" i="20"/>
  <c r="AX981" i="20"/>
  <c r="N178" i="20" s="1"/>
  <c r="AX864" i="20"/>
  <c r="AX870" i="20"/>
  <c r="AX983" i="20"/>
  <c r="N180" i="20" s="1"/>
  <c r="AX984" i="20"/>
  <c r="N181" i="20" s="1"/>
  <c r="AX987" i="20"/>
  <c r="N184" i="20" s="1"/>
  <c r="AX986" i="20"/>
  <c r="N183" i="20" s="1"/>
  <c r="AY990" i="20"/>
  <c r="AX988" i="20"/>
  <c r="N185" i="20" s="1"/>
  <c r="AW991" i="20"/>
  <c r="AX985" i="20"/>
  <c r="N182" i="20" s="1"/>
  <c r="AZ930" i="20"/>
  <c r="BA285" i="20"/>
  <c r="AZ293" i="20"/>
  <c r="AZ855" i="20"/>
  <c r="AZ230" i="20"/>
  <c r="AZ905" i="20"/>
  <c r="AZ880" i="20"/>
  <c r="AZ754" i="20"/>
  <c r="AZ776" i="20"/>
  <c r="AZ891" i="20" s="1"/>
  <c r="AZ765" i="20"/>
  <c r="AZ890" i="20" s="1"/>
  <c r="AX857" i="20"/>
  <c r="BA275" i="20"/>
  <c r="BA283" i="20" s="1"/>
  <c r="AZ283" i="20"/>
  <c r="BA799" i="20"/>
  <c r="AY840" i="20"/>
  <c r="AY965" i="20" s="1"/>
  <c r="AY796" i="20"/>
  <c r="AZ788" i="20"/>
  <c r="AY784" i="20"/>
  <c r="AY869" i="20" s="1"/>
  <c r="AY807" i="20"/>
  <c r="AY762" i="20"/>
  <c r="AY867" i="20" s="1"/>
  <c r="AY751" i="20"/>
  <c r="AY866" i="20" s="1"/>
  <c r="AY851" i="20"/>
  <c r="AY966" i="20" s="1"/>
  <c r="AY773" i="20"/>
  <c r="AY868" i="20" s="1"/>
  <c r="AY818" i="20"/>
  <c r="AZ732" i="20"/>
  <c r="AY740" i="20"/>
  <c r="AY865" i="20" s="1"/>
  <c r="AY829" i="20"/>
  <c r="AZ721" i="20"/>
  <c r="AY729" i="20"/>
  <c r="AY656" i="20"/>
  <c r="AY958" i="20" s="1"/>
  <c r="AY645" i="20"/>
  <c r="AY623" i="20"/>
  <c r="AY634" i="20"/>
  <c r="AY678" i="20"/>
  <c r="AY667" i="20"/>
  <c r="AY959" i="20" s="1"/>
  <c r="AZ537" i="20"/>
  <c r="AY545" i="20"/>
  <c r="AY556" i="20"/>
  <c r="AZ548" i="20"/>
  <c r="AZ883" i="20" s="1"/>
  <c r="AY567" i="20"/>
  <c r="AZ559" i="20"/>
  <c r="AZ884" i="20" s="1"/>
  <c r="AZ969" i="20" s="1"/>
  <c r="AY534" i="20"/>
  <c r="AY859" i="20" s="1"/>
  <c r="AY944" i="20" s="1"/>
  <c r="AY951" i="20" s="1"/>
  <c r="AY578" i="20"/>
  <c r="AZ570" i="20"/>
  <c r="AZ523" i="20"/>
  <c r="AZ858" i="20" s="1"/>
  <c r="AZ414" i="20"/>
  <c r="AY422" i="20"/>
  <c r="AZ444" i="20"/>
  <c r="AY452" i="20"/>
  <c r="AY442" i="20"/>
  <c r="AZ434" i="20"/>
  <c r="AY462" i="20"/>
  <c r="AZ454" i="20"/>
  <c r="AY432" i="20"/>
  <c r="AY907" i="20" s="1"/>
  <c r="AY926" i="20" s="1"/>
  <c r="AZ424" i="20"/>
  <c r="AY472" i="20"/>
  <c r="AZ464" i="20"/>
  <c r="AZ307" i="20"/>
  <c r="AY315" i="20"/>
  <c r="AY345" i="20"/>
  <c r="AZ337" i="20"/>
  <c r="AZ347" i="20"/>
  <c r="AY355" i="20"/>
  <c r="AZ297" i="20"/>
  <c r="AY305" i="20"/>
  <c r="AY335" i="20"/>
  <c r="AZ327" i="20"/>
  <c r="AZ317" i="20"/>
  <c r="AY325" i="20"/>
  <c r="AY402" i="20"/>
  <c r="AZ404" i="20"/>
  <c r="AY412" i="20"/>
  <c r="AZ402" i="20"/>
  <c r="AZ392" i="20"/>
  <c r="AY382" i="20"/>
  <c r="BA273" i="20"/>
  <c r="AZ263" i="20"/>
  <c r="AZ856" i="20" s="1"/>
  <c r="BA143" i="20"/>
  <c r="BA151" i="20" s="1"/>
  <c r="BA224" i="20" s="1"/>
  <c r="BA156" i="20"/>
  <c r="BA164" i="20" s="1"/>
  <c r="BA225" i="20" s="1"/>
  <c r="BA195" i="20"/>
  <c r="BA203" i="20" s="1"/>
  <c r="BA228" i="20" s="1"/>
  <c r="BA169" i="20"/>
  <c r="BA177" i="20" s="1"/>
  <c r="BA226" i="20" s="1"/>
  <c r="BA208" i="20"/>
  <c r="BA216" i="20" s="1"/>
  <c r="BA229" i="20" s="1"/>
  <c r="BA182" i="20"/>
  <c r="BA190" i="20" s="1"/>
  <c r="BA227" i="20" s="1"/>
  <c r="BA99" i="20"/>
  <c r="BA107" i="20" s="1"/>
  <c r="BA223" i="20" s="1"/>
  <c r="BA79" i="20"/>
  <c r="BA87" i="20" s="1"/>
  <c r="BA222" i="20" s="1"/>
  <c r="BA61" i="20"/>
  <c r="BA69" i="20" s="1"/>
  <c r="BA221" i="20" s="1"/>
  <c r="BA43" i="20"/>
  <c r="BA51" i="20" s="1"/>
  <c r="BA220" i="20" s="1"/>
  <c r="BB5" i="20"/>
  <c r="BM4" i="20"/>
  <c r="AM43" i="11"/>
  <c r="AM40" i="11"/>
  <c r="AM41" i="11"/>
  <c r="AM44" i="11"/>
  <c r="AM42" i="11"/>
  <c r="AW51" i="11"/>
  <c r="AV55" i="11"/>
  <c r="AM65" i="18"/>
  <c r="AM85" i="18"/>
  <c r="AK65" i="18"/>
  <c r="AK85" i="18"/>
  <c r="AS65" i="18"/>
  <c r="AS85" i="18"/>
  <c r="AP65" i="18"/>
  <c r="AP85" i="18"/>
  <c r="AL65" i="18"/>
  <c r="AL85" i="18"/>
  <c r="AQ65" i="18"/>
  <c r="AQ85" i="18"/>
  <c r="AO65" i="18"/>
  <c r="AO85" i="18"/>
  <c r="AR65" i="18"/>
  <c r="AR85" i="18"/>
  <c r="AN65" i="18"/>
  <c r="AN85" i="18"/>
  <c r="T52" i="18"/>
  <c r="AJ52" i="18"/>
  <c r="Y52" i="18"/>
  <c r="R52" i="18"/>
  <c r="R86" i="18" s="1"/>
  <c r="AH52" i="18"/>
  <c r="AA52" i="18"/>
  <c r="AG52" i="18"/>
  <c r="AD52" i="18"/>
  <c r="X52" i="18"/>
  <c r="AI52" i="18"/>
  <c r="W52" i="18"/>
  <c r="Q52" i="18"/>
  <c r="Q86" i="18" s="1"/>
  <c r="AB52" i="18"/>
  <c r="AB86" i="18" s="1"/>
  <c r="U52" i="18"/>
  <c r="U86" i="18" s="1"/>
  <c r="V52" i="18"/>
  <c r="S52" i="18"/>
  <c r="S86" i="18" s="1"/>
  <c r="AF52" i="18"/>
  <c r="AC52" i="18"/>
  <c r="Z52" i="18"/>
  <c r="Z86" i="18" s="1"/>
  <c r="AE52" i="18"/>
  <c r="N53" i="18"/>
  <c r="T34" i="18"/>
  <c r="AH10" i="18"/>
  <c r="AG16" i="18"/>
  <c r="AH13" i="18"/>
  <c r="AH12" i="18"/>
  <c r="AI15" i="18"/>
  <c r="AH14" i="18"/>
  <c r="AI11" i="18"/>
  <c r="G23" i="16"/>
  <c r="H21" i="16"/>
  <c r="H33" i="16" s="1"/>
  <c r="Y24" i="11"/>
  <c r="U209" i="11"/>
  <c r="U210" i="11"/>
  <c r="U211" i="11"/>
  <c r="U212" i="11"/>
  <c r="U208" i="11"/>
  <c r="AC213" i="11"/>
  <c r="Y234" i="11" s="1"/>
  <c r="AB213" i="11"/>
  <c r="Y233" i="11" s="1"/>
  <c r="AA213" i="11"/>
  <c r="Y232" i="11" s="1"/>
  <c r="Z213" i="11"/>
  <c r="Y231" i="11" s="1"/>
  <c r="Y213" i="11"/>
  <c r="Y230" i="11" s="1"/>
  <c r="X213" i="11"/>
  <c r="Y229" i="11" s="1"/>
  <c r="W213" i="11"/>
  <c r="Y228" i="11" s="1"/>
  <c r="V213" i="11"/>
  <c r="Y227" i="11" s="1"/>
  <c r="H35" i="16" l="1"/>
  <c r="AN95" i="11"/>
  <c r="AN98" i="11" s="1"/>
  <c r="AN150" i="11"/>
  <c r="AC95" i="11"/>
  <c r="AC98" i="11" s="1"/>
  <c r="AC190" i="11" s="1"/>
  <c r="AF95" i="11"/>
  <c r="AF98" i="11" s="1"/>
  <c r="AF190" i="11" s="1"/>
  <c r="AB95" i="11"/>
  <c r="AB98" i="11" s="1"/>
  <c r="AB179" i="11" s="1"/>
  <c r="X95" i="11"/>
  <c r="X98" i="11" s="1"/>
  <c r="AH95" i="11"/>
  <c r="AH98" i="11" s="1"/>
  <c r="AH190" i="11" s="1"/>
  <c r="AD95" i="11"/>
  <c r="AD98" i="11" s="1"/>
  <c r="AD190" i="11" s="1"/>
  <c r="Z95" i="11"/>
  <c r="Z98" i="11" s="1"/>
  <c r="Z179" i="11" s="1"/>
  <c r="AN115" i="11"/>
  <c r="AN117" i="11" s="1"/>
  <c r="AN309" i="11" s="1"/>
  <c r="AO5" i="11"/>
  <c r="AO150" i="11" s="1"/>
  <c r="AN36" i="11"/>
  <c r="AN469" i="11" s="1"/>
  <c r="AN105" i="11"/>
  <c r="AN108" i="11" s="1"/>
  <c r="AN191" i="11" s="1"/>
  <c r="AQ75" i="11"/>
  <c r="AN34" i="11"/>
  <c r="AQ74" i="11"/>
  <c r="AQ574" i="11" s="1"/>
  <c r="AN149" i="11"/>
  <c r="AN35" i="11"/>
  <c r="AN591" i="11"/>
  <c r="AN127" i="11"/>
  <c r="AN129" i="11" s="1"/>
  <c r="AN313" i="11" s="1"/>
  <c r="AQ73" i="11"/>
  <c r="AP80" i="11"/>
  <c r="AM156" i="11"/>
  <c r="AP571" i="11"/>
  <c r="AP82" i="11"/>
  <c r="AP81" i="11"/>
  <c r="AM159" i="11"/>
  <c r="AP79" i="11"/>
  <c r="Z190" i="11"/>
  <c r="Y190" i="11"/>
  <c r="W648" i="11" s="1"/>
  <c r="Y179" i="11"/>
  <c r="AB190" i="11"/>
  <c r="AA190" i="11"/>
  <c r="AA179" i="11"/>
  <c r="AM158" i="11"/>
  <c r="AM155" i="11"/>
  <c r="AP573" i="11"/>
  <c r="AP570" i="11"/>
  <c r="AP574" i="11"/>
  <c r="AP572" i="11"/>
  <c r="AL45" i="11"/>
  <c r="AL160" i="11"/>
  <c r="AO84" i="11"/>
  <c r="AD202" i="11"/>
  <c r="BB255" i="20"/>
  <c r="AO151" i="11"/>
  <c r="AO149" i="11"/>
  <c r="AN157" i="11"/>
  <c r="AN159" i="11"/>
  <c r="AN155" i="11"/>
  <c r="AN156" i="11"/>
  <c r="AN158" i="11"/>
  <c r="AP170" i="11"/>
  <c r="AP629" i="11" s="1"/>
  <c r="AO321" i="11"/>
  <c r="AN543" i="11"/>
  <c r="AO506" i="11"/>
  <c r="AO526" i="11"/>
  <c r="AN550" i="11"/>
  <c r="AN552" i="11"/>
  <c r="AO532" i="11"/>
  <c r="AO529" i="11"/>
  <c r="AN551" i="11"/>
  <c r="AN535" i="11"/>
  <c r="AN503" i="11" s="1"/>
  <c r="AM553" i="11"/>
  <c r="AM503" i="11"/>
  <c r="AO514" i="11"/>
  <c r="AN546" i="11"/>
  <c r="AO523" i="11"/>
  <c r="AN549" i="11"/>
  <c r="AO501" i="11"/>
  <c r="AN541" i="11"/>
  <c r="AO520" i="11"/>
  <c r="AN548" i="11"/>
  <c r="AO498" i="11"/>
  <c r="AN540" i="11"/>
  <c r="AO495" i="11"/>
  <c r="AN539" i="11"/>
  <c r="AO435" i="11"/>
  <c r="AN448" i="11"/>
  <c r="AN450" i="11"/>
  <c r="AO438" i="11"/>
  <c r="AO432" i="11"/>
  <c r="AO447" i="11" s="1"/>
  <c r="AN443" i="11"/>
  <c r="AN449" i="11" s="1"/>
  <c r="AR74" i="11"/>
  <c r="AR75" i="11"/>
  <c r="AO115" i="11"/>
  <c r="AO117" i="11" s="1"/>
  <c r="AO309" i="11" s="1"/>
  <c r="AO105" i="11"/>
  <c r="AO108" i="11" s="1"/>
  <c r="AO95" i="11"/>
  <c r="AO98" i="11" s="1"/>
  <c r="AN190" i="11"/>
  <c r="AE8" i="11"/>
  <c r="AD180" i="11"/>
  <c r="F91" i="11"/>
  <c r="N11" i="17"/>
  <c r="M187" i="20"/>
  <c r="O188" i="20"/>
  <c r="AX976" i="20"/>
  <c r="AY901" i="20"/>
  <c r="AZ889" i="20"/>
  <c r="AZ895" i="20"/>
  <c r="AY964" i="20"/>
  <c r="AY970" i="20"/>
  <c r="AY983" i="20"/>
  <c r="O180" i="20" s="1"/>
  <c r="AY988" i="20"/>
  <c r="O185" i="20" s="1"/>
  <c r="AY981" i="20"/>
  <c r="O178" i="20" s="1"/>
  <c r="AX876" i="20"/>
  <c r="AY986" i="20"/>
  <c r="O183" i="20" s="1"/>
  <c r="AY985" i="20"/>
  <c r="O182" i="20" s="1"/>
  <c r="AY982" i="20"/>
  <c r="O179" i="20" s="1"/>
  <c r="AY864" i="20"/>
  <c r="AY870" i="20"/>
  <c r="AX991" i="20"/>
  <c r="AY980" i="20"/>
  <c r="O177" i="20" s="1"/>
  <c r="AZ990" i="20"/>
  <c r="AY989" i="20"/>
  <c r="O186" i="20" s="1"/>
  <c r="AY987" i="20"/>
  <c r="O184" i="20" s="1"/>
  <c r="AY984" i="20"/>
  <c r="O181" i="20" s="1"/>
  <c r="BA930" i="20"/>
  <c r="BB285" i="20"/>
  <c r="BA293" i="20"/>
  <c r="BA855" i="20"/>
  <c r="BA230" i="20"/>
  <c r="BA905" i="20"/>
  <c r="BA880" i="20"/>
  <c r="BA776" i="20"/>
  <c r="BA891" i="20" s="1"/>
  <c r="BA765" i="20"/>
  <c r="BA890" i="20" s="1"/>
  <c r="BA754" i="20"/>
  <c r="AY857" i="20"/>
  <c r="BB275" i="20"/>
  <c r="BB283" i="20" s="1"/>
  <c r="BB799" i="20"/>
  <c r="AZ751" i="20"/>
  <c r="AZ866" i="20" s="1"/>
  <c r="BA788" i="20"/>
  <c r="AZ796" i="20"/>
  <c r="BA721" i="20"/>
  <c r="AZ729" i="20"/>
  <c r="BA732" i="20"/>
  <c r="AZ740" i="20"/>
  <c r="AZ865" i="20" s="1"/>
  <c r="AZ773" i="20"/>
  <c r="AZ868" i="20" s="1"/>
  <c r="AZ807" i="20"/>
  <c r="AZ818" i="20"/>
  <c r="AZ762" i="20"/>
  <c r="AZ867" i="20" s="1"/>
  <c r="AZ784" i="20"/>
  <c r="AZ869" i="20" s="1"/>
  <c r="AZ840" i="20"/>
  <c r="AZ965" i="20" s="1"/>
  <c r="AZ829" i="20"/>
  <c r="AZ851" i="20"/>
  <c r="AZ966" i="20" s="1"/>
  <c r="AZ667" i="20"/>
  <c r="AZ959" i="20" s="1"/>
  <c r="AZ645" i="20"/>
  <c r="AZ634" i="20"/>
  <c r="AZ623" i="20"/>
  <c r="AZ678" i="20"/>
  <c r="AZ656" i="20"/>
  <c r="AZ958" i="20" s="1"/>
  <c r="AZ556" i="20"/>
  <c r="BA548" i="20"/>
  <c r="BA883" i="20" s="1"/>
  <c r="AZ534" i="20"/>
  <c r="AZ859" i="20" s="1"/>
  <c r="AZ944" i="20" s="1"/>
  <c r="AZ951" i="20" s="1"/>
  <c r="AZ578" i="20"/>
  <c r="BA570" i="20"/>
  <c r="AZ567" i="20"/>
  <c r="BA559" i="20"/>
  <c r="BA884" i="20" s="1"/>
  <c r="BA969" i="20" s="1"/>
  <c r="BA537" i="20"/>
  <c r="AZ545" i="20"/>
  <c r="BA523" i="20"/>
  <c r="BA858" i="20" s="1"/>
  <c r="BA444" i="20"/>
  <c r="AZ452" i="20"/>
  <c r="AZ472" i="20"/>
  <c r="BA464" i="20"/>
  <c r="AZ432" i="20"/>
  <c r="AZ907" i="20" s="1"/>
  <c r="AZ926" i="20" s="1"/>
  <c r="BA424" i="20"/>
  <c r="AZ442" i="20"/>
  <c r="BA434" i="20"/>
  <c r="AZ462" i="20"/>
  <c r="BA454" i="20"/>
  <c r="BA414" i="20"/>
  <c r="AZ422" i="20"/>
  <c r="AZ345" i="20"/>
  <c r="BA337" i="20"/>
  <c r="AZ325" i="20"/>
  <c r="BA317" i="20"/>
  <c r="BA297" i="20"/>
  <c r="AZ305" i="20"/>
  <c r="AZ335" i="20"/>
  <c r="BA327" i="20"/>
  <c r="BA347" i="20"/>
  <c r="AZ355" i="20"/>
  <c r="BA307" i="20"/>
  <c r="AZ315" i="20"/>
  <c r="BA404" i="20"/>
  <c r="AZ412" i="20"/>
  <c r="BA392" i="20"/>
  <c r="AZ382" i="20"/>
  <c r="BA402" i="20"/>
  <c r="BB273" i="20"/>
  <c r="BA263" i="20"/>
  <c r="BA856" i="20" s="1"/>
  <c r="BB143" i="20"/>
  <c r="BB151" i="20" s="1"/>
  <c r="BB224" i="20" s="1"/>
  <c r="BB156" i="20"/>
  <c r="BB164" i="20" s="1"/>
  <c r="BB225" i="20" s="1"/>
  <c r="BB195" i="20"/>
  <c r="BB203" i="20" s="1"/>
  <c r="BB228" i="20" s="1"/>
  <c r="BB208" i="20"/>
  <c r="BB216" i="20" s="1"/>
  <c r="BB229" i="20" s="1"/>
  <c r="BB182" i="20"/>
  <c r="BB190" i="20" s="1"/>
  <c r="BB227" i="20" s="1"/>
  <c r="BB169" i="20"/>
  <c r="BB177" i="20" s="1"/>
  <c r="BB226" i="20" s="1"/>
  <c r="BB99" i="20"/>
  <c r="BB107" i="20" s="1"/>
  <c r="BB223" i="20" s="1"/>
  <c r="BB79" i="20"/>
  <c r="BB87" i="20" s="1"/>
  <c r="BB222" i="20" s="1"/>
  <c r="BB61" i="20"/>
  <c r="BB69" i="20" s="1"/>
  <c r="BB221" i="20" s="1"/>
  <c r="BB43" i="20"/>
  <c r="BB51" i="20" s="1"/>
  <c r="BB220" i="20" s="1"/>
  <c r="BC5" i="20"/>
  <c r="BN4" i="20"/>
  <c r="AF86" i="18"/>
  <c r="X86" i="18"/>
  <c r="T86" i="18"/>
  <c r="AC86" i="18"/>
  <c r="AE86" i="18"/>
  <c r="AD86" i="18"/>
  <c r="AH86" i="18"/>
  <c r="AK86" i="18"/>
  <c r="V86" i="18"/>
  <c r="W86" i="18"/>
  <c r="AG86" i="18"/>
  <c r="Y86" i="18"/>
  <c r="AI86" i="18"/>
  <c r="AL86" i="18"/>
  <c r="AA86" i="18"/>
  <c r="AJ86" i="18"/>
  <c r="AM86" i="18"/>
  <c r="AM45" i="11"/>
  <c r="AO591" i="11"/>
  <c r="AP5" i="11"/>
  <c r="AO35" i="11"/>
  <c r="AO34" i="11"/>
  <c r="AO36" i="11"/>
  <c r="AX51" i="11"/>
  <c r="AW55" i="11"/>
  <c r="AC53" i="18"/>
  <c r="V53" i="18"/>
  <c r="T53" i="18"/>
  <c r="AA53" i="18"/>
  <c r="AF53" i="18"/>
  <c r="AF87" i="18" s="1"/>
  <c r="AG53" i="18"/>
  <c r="Z53" i="18"/>
  <c r="AB53" i="18"/>
  <c r="AE53" i="18"/>
  <c r="Q53" i="18"/>
  <c r="Q87" i="18" s="1"/>
  <c r="U53" i="18"/>
  <c r="AJ53" i="18"/>
  <c r="AD53" i="18"/>
  <c r="S53" i="18"/>
  <c r="S87" i="18" s="1"/>
  <c r="AI53" i="18"/>
  <c r="Y53" i="18"/>
  <c r="Y87" i="18" s="1"/>
  <c r="R53" i="18"/>
  <c r="R87" i="18" s="1"/>
  <c r="AH53" i="18"/>
  <c r="W53" i="18"/>
  <c r="W87" i="18" s="1"/>
  <c r="X53" i="18"/>
  <c r="X87" i="18" s="1"/>
  <c r="U34" i="18"/>
  <c r="N54" i="18"/>
  <c r="Z24" i="11"/>
  <c r="Y28" i="11"/>
  <c r="Y39" i="11" s="1"/>
  <c r="AI13" i="18"/>
  <c r="AJ11" i="18"/>
  <c r="AI14" i="18"/>
  <c r="AI12" i="18"/>
  <c r="AJ15" i="18"/>
  <c r="AI10" i="18"/>
  <c r="AH16" i="18"/>
  <c r="H23" i="16"/>
  <c r="I21" i="16"/>
  <c r="I33" i="16" s="1"/>
  <c r="I35" i="16" l="1"/>
  <c r="AO127" i="11"/>
  <c r="AO129" i="11" s="1"/>
  <c r="AO313" i="11" s="1"/>
  <c r="AR73" i="11"/>
  <c r="AN43" i="11"/>
  <c r="AN42" i="11"/>
  <c r="AC179" i="11"/>
  <c r="AD179" i="11"/>
  <c r="AQ83" i="11"/>
  <c r="AQ79" i="11"/>
  <c r="AN467" i="11"/>
  <c r="AQ570" i="11"/>
  <c r="AQ82" i="11"/>
  <c r="AN468" i="11"/>
  <c r="AQ572" i="11"/>
  <c r="AN41" i="11"/>
  <c r="AN40" i="11"/>
  <c r="AQ80" i="11"/>
  <c r="AN466" i="11"/>
  <c r="AN470" i="11"/>
  <c r="AQ573" i="11"/>
  <c r="AN44" i="11"/>
  <c r="AQ81" i="11"/>
  <c r="AQ571" i="11"/>
  <c r="AP84" i="11"/>
  <c r="AM160" i="11"/>
  <c r="AN511" i="11"/>
  <c r="AN545" i="11" s="1"/>
  <c r="W636" i="11"/>
  <c r="F90" i="11"/>
  <c r="AE179" i="11"/>
  <c r="AE202" i="11"/>
  <c r="BC255" i="20"/>
  <c r="AP150" i="11"/>
  <c r="AP151" i="11"/>
  <c r="AP149" i="11"/>
  <c r="AN160" i="11"/>
  <c r="AO157" i="11"/>
  <c r="AO155" i="11"/>
  <c r="AO156" i="11"/>
  <c r="AO158" i="11"/>
  <c r="AO159" i="11"/>
  <c r="AQ170" i="11"/>
  <c r="AQ629" i="11" s="1"/>
  <c r="AP321" i="11"/>
  <c r="AR573" i="11"/>
  <c r="AR572" i="11"/>
  <c r="AR571" i="11"/>
  <c r="AR574" i="11"/>
  <c r="AR570" i="11"/>
  <c r="AO466" i="11"/>
  <c r="AO467" i="11"/>
  <c r="AO468" i="11"/>
  <c r="AO470" i="11"/>
  <c r="AO469" i="11"/>
  <c r="AP498" i="11"/>
  <c r="AO540" i="11"/>
  <c r="AP501" i="11"/>
  <c r="AO541" i="11"/>
  <c r="AP514" i="11"/>
  <c r="AO546" i="11"/>
  <c r="AM542" i="11"/>
  <c r="AP529" i="11"/>
  <c r="AO551" i="11"/>
  <c r="AP526" i="11"/>
  <c r="AO550" i="11"/>
  <c r="AP495" i="11"/>
  <c r="AO539" i="11"/>
  <c r="AP520" i="11"/>
  <c r="AO548" i="11"/>
  <c r="AP523" i="11"/>
  <c r="AO549" i="11"/>
  <c r="AO552" i="11"/>
  <c r="AP532" i="11"/>
  <c r="AO543" i="11"/>
  <c r="AP506" i="11"/>
  <c r="AN542" i="11"/>
  <c r="AO535" i="11"/>
  <c r="AO503" i="11" s="1"/>
  <c r="AN553" i="11"/>
  <c r="AP438" i="11"/>
  <c r="AO450" i="11"/>
  <c r="AO448" i="11"/>
  <c r="AP435" i="11"/>
  <c r="AP432" i="11"/>
  <c r="AP447" i="11" s="1"/>
  <c r="AO443" i="11"/>
  <c r="AO449" i="11" s="1"/>
  <c r="AR81" i="11"/>
  <c r="AR82" i="11"/>
  <c r="AR83" i="11"/>
  <c r="AR79" i="11"/>
  <c r="AR80" i="11"/>
  <c r="AS75" i="11"/>
  <c r="AS73" i="11"/>
  <c r="AS74" i="11"/>
  <c r="AP115" i="11"/>
  <c r="AP117" i="11" s="1"/>
  <c r="AP309" i="11" s="1"/>
  <c r="AP127" i="11"/>
  <c r="AP129" i="11" s="1"/>
  <c r="AP313" i="11" s="1"/>
  <c r="AP105" i="11"/>
  <c r="AP108" i="11" s="1"/>
  <c r="AP95" i="11"/>
  <c r="AP98" i="11" s="1"/>
  <c r="AO190" i="11"/>
  <c r="AF8" i="11"/>
  <c r="AE180" i="11"/>
  <c r="AO191" i="11"/>
  <c r="AZ901" i="20"/>
  <c r="O11" i="17"/>
  <c r="N187" i="20"/>
  <c r="P188" i="20"/>
  <c r="AY976" i="20"/>
  <c r="AY876" i="20"/>
  <c r="AZ964" i="20"/>
  <c r="AZ970" i="20"/>
  <c r="BA889" i="20"/>
  <c r="BA895" i="20"/>
  <c r="AZ986" i="20"/>
  <c r="P183" i="20" s="1"/>
  <c r="AZ983" i="20"/>
  <c r="P180" i="20" s="1"/>
  <c r="AZ987" i="20"/>
  <c r="P184" i="20" s="1"/>
  <c r="AZ981" i="20"/>
  <c r="P178" i="20" s="1"/>
  <c r="AZ988" i="20"/>
  <c r="P185" i="20" s="1"/>
  <c r="AZ864" i="20"/>
  <c r="AZ870" i="20"/>
  <c r="AZ982" i="20"/>
  <c r="P179" i="20" s="1"/>
  <c r="AY991" i="20"/>
  <c r="AZ980" i="20"/>
  <c r="P177" i="20" s="1"/>
  <c r="BA990" i="20"/>
  <c r="AZ989" i="20"/>
  <c r="P186" i="20" s="1"/>
  <c r="AZ985" i="20"/>
  <c r="P182" i="20" s="1"/>
  <c r="AZ984" i="20"/>
  <c r="P181" i="20" s="1"/>
  <c r="BB930" i="20"/>
  <c r="BC285" i="20"/>
  <c r="BC293" i="20" s="1"/>
  <c r="BB293" i="20"/>
  <c r="BB855" i="20"/>
  <c r="BB230" i="20"/>
  <c r="BB905" i="20"/>
  <c r="BB880" i="20"/>
  <c r="BB765" i="20"/>
  <c r="BB890" i="20" s="1"/>
  <c r="BB754" i="20"/>
  <c r="BB776" i="20"/>
  <c r="BB891" i="20" s="1"/>
  <c r="AZ857" i="20"/>
  <c r="BC275" i="20"/>
  <c r="BC283" i="20" s="1"/>
  <c r="BC799" i="20"/>
  <c r="BA851" i="20"/>
  <c r="BA966" i="20" s="1"/>
  <c r="BA762" i="20"/>
  <c r="BA867" i="20" s="1"/>
  <c r="BB732" i="20"/>
  <c r="BA740" i="20"/>
  <c r="BA865" i="20" s="1"/>
  <c r="BB788" i="20"/>
  <c r="BA796" i="20"/>
  <c r="BA840" i="20"/>
  <c r="BA965" i="20" s="1"/>
  <c r="BA784" i="20"/>
  <c r="BA869" i="20" s="1"/>
  <c r="BA818" i="20"/>
  <c r="BA773" i="20"/>
  <c r="BA868" i="20" s="1"/>
  <c r="BA751" i="20"/>
  <c r="BA866" i="20" s="1"/>
  <c r="BA807" i="20"/>
  <c r="BA829" i="20"/>
  <c r="BB721" i="20"/>
  <c r="BA729" i="20"/>
  <c r="BA656" i="20"/>
  <c r="BA958" i="20" s="1"/>
  <c r="BA645" i="20"/>
  <c r="BA623" i="20"/>
  <c r="BA678" i="20"/>
  <c r="BA634" i="20"/>
  <c r="BA667" i="20"/>
  <c r="BA959" i="20" s="1"/>
  <c r="BA534" i="20"/>
  <c r="BA859" i="20" s="1"/>
  <c r="BA944" i="20" s="1"/>
  <c r="BA951" i="20" s="1"/>
  <c r="BB559" i="20"/>
  <c r="BB884" i="20" s="1"/>
  <c r="BB969" i="20" s="1"/>
  <c r="BA567" i="20"/>
  <c r="BA578" i="20"/>
  <c r="BB570" i="20"/>
  <c r="BA556" i="20"/>
  <c r="BB548" i="20"/>
  <c r="BB883" i="20" s="1"/>
  <c r="BB537" i="20"/>
  <c r="BA545" i="20"/>
  <c r="BB523" i="20"/>
  <c r="BB858" i="20" s="1"/>
  <c r="BA472" i="20"/>
  <c r="BB464" i="20"/>
  <c r="BB414" i="20"/>
  <c r="BA422" i="20"/>
  <c r="BA462" i="20"/>
  <c r="BB454" i="20"/>
  <c r="BA432" i="20"/>
  <c r="BA907" i="20" s="1"/>
  <c r="BA926" i="20" s="1"/>
  <c r="BB424" i="20"/>
  <c r="BA442" i="20"/>
  <c r="BB434" i="20"/>
  <c r="BB444" i="20"/>
  <c r="BA452" i="20"/>
  <c r="BB327" i="20"/>
  <c r="BA335" i="20"/>
  <c r="BB317" i="20"/>
  <c r="BA325" i="20"/>
  <c r="BB307" i="20"/>
  <c r="BA315" i="20"/>
  <c r="BB337" i="20"/>
  <c r="BA345" i="20"/>
  <c r="BB347" i="20"/>
  <c r="BA355" i="20"/>
  <c r="BB297" i="20"/>
  <c r="BA305" i="20"/>
  <c r="BB404" i="20"/>
  <c r="BA412" i="20"/>
  <c r="BA382" i="20"/>
  <c r="BA980" i="20" s="1"/>
  <c r="Q177" i="20" s="1"/>
  <c r="BB402" i="20"/>
  <c r="BB392" i="20"/>
  <c r="BC273" i="20"/>
  <c r="BB263" i="20"/>
  <c r="BB856" i="20" s="1"/>
  <c r="BC143" i="20"/>
  <c r="BC151" i="20" s="1"/>
  <c r="BC224" i="20" s="1"/>
  <c r="BC156" i="20"/>
  <c r="BC164" i="20" s="1"/>
  <c r="BC225" i="20" s="1"/>
  <c r="BC195" i="20"/>
  <c r="BC203" i="20" s="1"/>
  <c r="BC228" i="20" s="1"/>
  <c r="BC169" i="20"/>
  <c r="BC177" i="20" s="1"/>
  <c r="BC226" i="20" s="1"/>
  <c r="BC208" i="20"/>
  <c r="BC216" i="20" s="1"/>
  <c r="BC229" i="20" s="1"/>
  <c r="BC182" i="20"/>
  <c r="BC190" i="20" s="1"/>
  <c r="BC227" i="20" s="1"/>
  <c r="BC99" i="20"/>
  <c r="BC107" i="20" s="1"/>
  <c r="BC223" i="20" s="1"/>
  <c r="BC79" i="20"/>
  <c r="BC87" i="20" s="1"/>
  <c r="BC222" i="20" s="1"/>
  <c r="BC61" i="20"/>
  <c r="BC69" i="20" s="1"/>
  <c r="BC221" i="20" s="1"/>
  <c r="BC43" i="20"/>
  <c r="BC51" i="20" s="1"/>
  <c r="BC220" i="20" s="1"/>
  <c r="BD5" i="20"/>
  <c r="AD87" i="18"/>
  <c r="AE87" i="18"/>
  <c r="AI87" i="18"/>
  <c r="AL87" i="18"/>
  <c r="U87" i="18"/>
  <c r="Z87" i="18"/>
  <c r="T87" i="18"/>
  <c r="AH87" i="18"/>
  <c r="AK87" i="18"/>
  <c r="AG87" i="18"/>
  <c r="V87" i="18"/>
  <c r="AC87" i="18"/>
  <c r="AJ87" i="18"/>
  <c r="AM87" i="18"/>
  <c r="AB87" i="18"/>
  <c r="AA87" i="18"/>
  <c r="AO43" i="11"/>
  <c r="AO41" i="11"/>
  <c r="AO44" i="11"/>
  <c r="AO42" i="11"/>
  <c r="AO40" i="11"/>
  <c r="AP591" i="11"/>
  <c r="AP34" i="11"/>
  <c r="AP35" i="11"/>
  <c r="AQ5" i="11"/>
  <c r="AP36" i="11"/>
  <c r="AY51" i="11"/>
  <c r="AX55" i="11"/>
  <c r="R54" i="18"/>
  <c r="R88" i="18" s="1"/>
  <c r="AH54" i="18"/>
  <c r="W54" i="18"/>
  <c r="U54" i="18"/>
  <c r="U88" i="18" s="1"/>
  <c r="AF54" i="18"/>
  <c r="V54" i="18"/>
  <c r="Q54" i="18"/>
  <c r="Q88" i="18" s="1"/>
  <c r="AA54" i="18"/>
  <c r="T54" i="18"/>
  <c r="AJ54" i="18"/>
  <c r="Z54" i="18"/>
  <c r="Z88" i="18" s="1"/>
  <c r="AC54" i="18"/>
  <c r="AE54" i="18"/>
  <c r="X54" i="18"/>
  <c r="X88" i="18" s="1"/>
  <c r="Y54" i="18"/>
  <c r="Y88" i="18" s="1"/>
  <c r="AD54" i="18"/>
  <c r="AD88" i="18" s="1"/>
  <c r="S54" i="18"/>
  <c r="S88" i="18" s="1"/>
  <c r="AI54" i="18"/>
  <c r="AB54" i="18"/>
  <c r="AB88" i="18" s="1"/>
  <c r="AG54" i="18"/>
  <c r="AG88" i="18" s="1"/>
  <c r="N55" i="18"/>
  <c r="V34" i="18"/>
  <c r="AA24" i="11"/>
  <c r="Z28" i="11"/>
  <c r="Z39" i="11" s="1"/>
  <c r="AK11" i="18"/>
  <c r="AJ12" i="18"/>
  <c r="AK15" i="18"/>
  <c r="AJ10" i="18"/>
  <c r="AI16" i="18"/>
  <c r="AJ14" i="18"/>
  <c r="AJ13" i="18"/>
  <c r="D246" i="16"/>
  <c r="D244" i="16"/>
  <c r="I23" i="16"/>
  <c r="J21" i="16"/>
  <c r="J33" i="16" s="1"/>
  <c r="J35" i="16" s="1"/>
  <c r="B161" i="11"/>
  <c r="AN45" i="11" l="1"/>
  <c r="AQ84" i="11"/>
  <c r="AF179" i="11"/>
  <c r="AF202" i="11"/>
  <c r="BD255" i="20"/>
  <c r="BE255" i="20" s="1"/>
  <c r="BF255" i="20" s="1"/>
  <c r="BG255" i="20" s="1"/>
  <c r="BH255" i="20" s="1"/>
  <c r="BI255" i="20" s="1"/>
  <c r="BJ255" i="20" s="1"/>
  <c r="BK255" i="20" s="1"/>
  <c r="BL255" i="20" s="1"/>
  <c r="BM255" i="20" s="1"/>
  <c r="BN255" i="20" s="1"/>
  <c r="AQ150" i="11"/>
  <c r="AQ151" i="11"/>
  <c r="AQ149" i="11"/>
  <c r="AO160" i="11"/>
  <c r="AP155" i="11"/>
  <c r="AP157" i="11"/>
  <c r="AP159" i="11"/>
  <c r="AP158" i="11"/>
  <c r="AP156" i="11"/>
  <c r="AR170" i="11"/>
  <c r="AR629" i="11" s="1"/>
  <c r="AQ321" i="11"/>
  <c r="AS572" i="11"/>
  <c r="AS573" i="11"/>
  <c r="AS574" i="11"/>
  <c r="AS571" i="11"/>
  <c r="AS570" i="11"/>
  <c r="AP466" i="11"/>
  <c r="AP467" i="11"/>
  <c r="AP468" i="11"/>
  <c r="AP469" i="11"/>
  <c r="AP470" i="11"/>
  <c r="AQ520" i="11"/>
  <c r="AP548" i="11"/>
  <c r="AQ495" i="11"/>
  <c r="AP539" i="11"/>
  <c r="AQ529" i="11"/>
  <c r="AP551" i="11"/>
  <c r="AP543" i="11"/>
  <c r="AQ506" i="11"/>
  <c r="AO542" i="11"/>
  <c r="AQ501" i="11"/>
  <c r="AP541" i="11"/>
  <c r="AP535" i="11"/>
  <c r="AP503" i="11" s="1"/>
  <c r="AP542" i="11" s="1"/>
  <c r="AO553" i="11"/>
  <c r="AQ523" i="11"/>
  <c r="AP549" i="11"/>
  <c r="AO511" i="11"/>
  <c r="AO545" i="11" s="1"/>
  <c r="AQ526" i="11"/>
  <c r="AP550" i="11"/>
  <c r="AP552" i="11"/>
  <c r="AQ532" i="11"/>
  <c r="AQ514" i="11"/>
  <c r="AP546" i="11"/>
  <c r="AQ498" i="11"/>
  <c r="AP540" i="11"/>
  <c r="AQ435" i="11"/>
  <c r="AP448" i="11"/>
  <c r="AP450" i="11"/>
  <c r="AQ438" i="11"/>
  <c r="AQ432" i="11"/>
  <c r="AQ447" i="11" s="1"/>
  <c r="AP443" i="11"/>
  <c r="AP449" i="11" s="1"/>
  <c r="AR84" i="11"/>
  <c r="AS81" i="11"/>
  <c r="AS79" i="11"/>
  <c r="AS80" i="11"/>
  <c r="AS82" i="11"/>
  <c r="AS83" i="11"/>
  <c r="AT73" i="11"/>
  <c r="AT75" i="11"/>
  <c r="AT74" i="11"/>
  <c r="AQ115" i="11"/>
  <c r="AQ117" i="11" s="1"/>
  <c r="AQ309" i="11" s="1"/>
  <c r="AQ127" i="11"/>
  <c r="AQ129" i="11" s="1"/>
  <c r="AQ313" i="11" s="1"/>
  <c r="AQ105" i="11"/>
  <c r="AQ108" i="11" s="1"/>
  <c r="AQ95" i="11"/>
  <c r="AQ98" i="11" s="1"/>
  <c r="AP190" i="11"/>
  <c r="AG8" i="11"/>
  <c r="AF180" i="11"/>
  <c r="AP191" i="11"/>
  <c r="P11" i="17"/>
  <c r="O187" i="20"/>
  <c r="Q188" i="20"/>
  <c r="AZ976" i="20"/>
  <c r="BA901" i="20"/>
  <c r="BA964" i="20"/>
  <c r="BA970" i="20"/>
  <c r="BB889" i="20"/>
  <c r="BB895" i="20"/>
  <c r="BA982" i="20"/>
  <c r="Q179" i="20" s="1"/>
  <c r="BA985" i="20"/>
  <c r="Q182" i="20" s="1"/>
  <c r="AZ876" i="20"/>
  <c r="BA864" i="20"/>
  <c r="BA870" i="20"/>
  <c r="BA987" i="20"/>
  <c r="Q184" i="20" s="1"/>
  <c r="BA981" i="20"/>
  <c r="Q178" i="20" s="1"/>
  <c r="BA983" i="20"/>
  <c r="Q180" i="20" s="1"/>
  <c r="BA984" i="20"/>
  <c r="Q181" i="20" s="1"/>
  <c r="BA988" i="20"/>
  <c r="Q185" i="20" s="1"/>
  <c r="BA986" i="20"/>
  <c r="Q183" i="20" s="1"/>
  <c r="BB990" i="20"/>
  <c r="BA989" i="20"/>
  <c r="Q186" i="20" s="1"/>
  <c r="AZ991" i="20"/>
  <c r="BC930" i="20"/>
  <c r="BC855" i="20"/>
  <c r="BC230" i="20"/>
  <c r="BC905" i="20"/>
  <c r="BC880" i="20"/>
  <c r="BC754" i="20"/>
  <c r="BC776" i="20"/>
  <c r="BC891" i="20" s="1"/>
  <c r="BC765" i="20"/>
  <c r="BC890" i="20" s="1"/>
  <c r="BA857" i="20"/>
  <c r="BD275" i="20"/>
  <c r="BD283" i="20" s="1"/>
  <c r="BD799" i="20"/>
  <c r="BB773" i="20"/>
  <c r="BB868" i="20" s="1"/>
  <c r="BB762" i="20"/>
  <c r="BB867" i="20" s="1"/>
  <c r="BC721" i="20"/>
  <c r="BB729" i="20"/>
  <c r="BB796" i="20"/>
  <c r="BC788" i="20"/>
  <c r="BB807" i="20"/>
  <c r="BB784" i="20"/>
  <c r="BB869" i="20" s="1"/>
  <c r="BB829" i="20"/>
  <c r="BB751" i="20"/>
  <c r="BB866" i="20" s="1"/>
  <c r="BB851" i="20"/>
  <c r="BB966" i="20" s="1"/>
  <c r="BB818" i="20"/>
  <c r="BB840" i="20"/>
  <c r="BB965" i="20" s="1"/>
  <c r="BC732" i="20"/>
  <c r="BB740" i="20"/>
  <c r="BB865" i="20" s="1"/>
  <c r="BB645" i="20"/>
  <c r="BB667" i="20"/>
  <c r="BB959" i="20" s="1"/>
  <c r="BB678" i="20"/>
  <c r="BB623" i="20"/>
  <c r="BB656" i="20"/>
  <c r="BB958" i="20" s="1"/>
  <c r="BB634" i="20"/>
  <c r="BC559" i="20"/>
  <c r="BC884" i="20" s="1"/>
  <c r="BC969" i="20" s="1"/>
  <c r="BB567" i="20"/>
  <c r="BB556" i="20"/>
  <c r="BC548" i="20"/>
  <c r="BC883" i="20" s="1"/>
  <c r="BC570" i="20"/>
  <c r="BB578" i="20"/>
  <c r="BC537" i="20"/>
  <c r="BB545" i="20"/>
  <c r="BB534" i="20"/>
  <c r="BB859" i="20" s="1"/>
  <c r="BB944" i="20" s="1"/>
  <c r="BB951" i="20" s="1"/>
  <c r="BC523" i="20"/>
  <c r="BC858" i="20" s="1"/>
  <c r="BC444" i="20"/>
  <c r="BB452" i="20"/>
  <c r="BC414" i="20"/>
  <c r="BB422" i="20"/>
  <c r="BB442" i="20"/>
  <c r="BC434" i="20"/>
  <c r="BB462" i="20"/>
  <c r="BC454" i="20"/>
  <c r="BB472" i="20"/>
  <c r="BC464" i="20"/>
  <c r="BB432" i="20"/>
  <c r="BB907" i="20" s="1"/>
  <c r="BB926" i="20" s="1"/>
  <c r="BC424" i="20"/>
  <c r="BC297" i="20"/>
  <c r="BB305" i="20"/>
  <c r="BC337" i="20"/>
  <c r="BB345" i="20"/>
  <c r="BC317" i="20"/>
  <c r="BB325" i="20"/>
  <c r="BC347" i="20"/>
  <c r="BB355" i="20"/>
  <c r="BC307" i="20"/>
  <c r="BB315" i="20"/>
  <c r="BC327" i="20"/>
  <c r="BB335" i="20"/>
  <c r="BC404" i="20"/>
  <c r="BB412" i="20"/>
  <c r="BC402" i="20"/>
  <c r="BC392" i="20"/>
  <c r="BB382" i="20"/>
  <c r="BD285" i="20"/>
  <c r="BE285" i="20" s="1"/>
  <c r="BF285" i="20" s="1"/>
  <c r="BG285" i="20" s="1"/>
  <c r="BH285" i="20" s="1"/>
  <c r="BI285" i="20" s="1"/>
  <c r="BJ285" i="20" s="1"/>
  <c r="BK285" i="20" s="1"/>
  <c r="BL285" i="20" s="1"/>
  <c r="BM285" i="20" s="1"/>
  <c r="BN285" i="20" s="1"/>
  <c r="BD273" i="20"/>
  <c r="BC263" i="20"/>
  <c r="BC856" i="20" s="1"/>
  <c r="BD143" i="20"/>
  <c r="BD151" i="20" s="1"/>
  <c r="BD224" i="20" s="1"/>
  <c r="BD156" i="20"/>
  <c r="BD164" i="20" s="1"/>
  <c r="BD225" i="20" s="1"/>
  <c r="BD195" i="20"/>
  <c r="BD203" i="20" s="1"/>
  <c r="BD228" i="20" s="1"/>
  <c r="BD169" i="20"/>
  <c r="BD177" i="20" s="1"/>
  <c r="BD226" i="20" s="1"/>
  <c r="BD208" i="20"/>
  <c r="BD216" i="20" s="1"/>
  <c r="BD229" i="20" s="1"/>
  <c r="BD182" i="20"/>
  <c r="BD190" i="20" s="1"/>
  <c r="BD227" i="20" s="1"/>
  <c r="BD99" i="20"/>
  <c r="BD107" i="20" s="1"/>
  <c r="BD223" i="20" s="1"/>
  <c r="BD79" i="20"/>
  <c r="BD87" i="20" s="1"/>
  <c r="BD222" i="20" s="1"/>
  <c r="BD61" i="20"/>
  <c r="BD69" i="20" s="1"/>
  <c r="BD221" i="20" s="1"/>
  <c r="BD43" i="20"/>
  <c r="BD51" i="20" s="1"/>
  <c r="BD220" i="20" s="1"/>
  <c r="BE5" i="20"/>
  <c r="T88" i="18"/>
  <c r="AC88" i="18"/>
  <c r="AE88" i="18"/>
  <c r="AF88" i="18"/>
  <c r="AA88" i="18"/>
  <c r="W88" i="18"/>
  <c r="AI88" i="18"/>
  <c r="AL88" i="18"/>
  <c r="AJ88" i="18"/>
  <c r="AM88" i="18"/>
  <c r="V88" i="18"/>
  <c r="AH88" i="18"/>
  <c r="AK88" i="18"/>
  <c r="AP42" i="11"/>
  <c r="AP44" i="11"/>
  <c r="AP41" i="11"/>
  <c r="AP43" i="11"/>
  <c r="AP40" i="11"/>
  <c r="AO45" i="11"/>
  <c r="AQ591" i="11"/>
  <c r="AQ34" i="11"/>
  <c r="AR5" i="11"/>
  <c r="AQ35" i="11"/>
  <c r="AQ36" i="11"/>
  <c r="AZ51" i="11"/>
  <c r="AY55" i="11"/>
  <c r="Q55" i="18"/>
  <c r="Q89" i="18" s="1"/>
  <c r="T55" i="18"/>
  <c r="AJ55" i="18"/>
  <c r="AC55" i="18"/>
  <c r="Z55" i="18"/>
  <c r="W55" i="18"/>
  <c r="AB55" i="18"/>
  <c r="U55" i="18"/>
  <c r="R55" i="18"/>
  <c r="R89" i="18" s="1"/>
  <c r="AH55" i="18"/>
  <c r="AE55" i="18"/>
  <c r="Y55" i="18"/>
  <c r="AI55" i="18"/>
  <c r="X55" i="18"/>
  <c r="AG55" i="18"/>
  <c r="AA55" i="18"/>
  <c r="AF55" i="18"/>
  <c r="V55" i="18"/>
  <c r="S55" i="18"/>
  <c r="S89" i="18" s="1"/>
  <c r="AD55" i="18"/>
  <c r="W34" i="18"/>
  <c r="N56" i="18"/>
  <c r="AB24" i="11"/>
  <c r="AA28" i="11"/>
  <c r="AA39" i="11" s="1"/>
  <c r="AK10" i="18"/>
  <c r="AJ16" i="18"/>
  <c r="AK12" i="18"/>
  <c r="AK14" i="18"/>
  <c r="AL15" i="18"/>
  <c r="AK13" i="18"/>
  <c r="AL11" i="18"/>
  <c r="E244" i="16"/>
  <c r="F244" i="16" s="1"/>
  <c r="G244" i="16" s="1"/>
  <c r="H244" i="16" s="1"/>
  <c r="I244" i="16" s="1"/>
  <c r="J244" i="16" s="1"/>
  <c r="K244" i="16" s="1"/>
  <c r="L244" i="16" s="1"/>
  <c r="M244" i="16" s="1"/>
  <c r="D237" i="16"/>
  <c r="E246" i="16"/>
  <c r="F246" i="16" s="1"/>
  <c r="G246" i="16" s="1"/>
  <c r="H246" i="16" s="1"/>
  <c r="I246" i="16" s="1"/>
  <c r="J246" i="16" s="1"/>
  <c r="K246" i="16" s="1"/>
  <c r="L246" i="16" s="1"/>
  <c r="M246" i="16" s="1"/>
  <c r="D239" i="16"/>
  <c r="J23" i="16"/>
  <c r="K21" i="16"/>
  <c r="K33" i="16" s="1"/>
  <c r="K35" i="16" s="1"/>
  <c r="AG179" i="11" l="1"/>
  <c r="AG202" i="11"/>
  <c r="AR150" i="11"/>
  <c r="AR151" i="11"/>
  <c r="AR149" i="11"/>
  <c r="AP160" i="11"/>
  <c r="AQ155" i="11"/>
  <c r="AQ157" i="11"/>
  <c r="AQ156" i="11"/>
  <c r="AQ159" i="11"/>
  <c r="AQ158" i="11"/>
  <c r="AP89" i="18"/>
  <c r="AS170" i="11"/>
  <c r="AS629" i="11" s="1"/>
  <c r="AR321" i="11"/>
  <c r="AT571" i="11"/>
  <c r="AT574" i="11"/>
  <c r="AT573" i="11"/>
  <c r="AT570" i="11"/>
  <c r="AT572" i="11"/>
  <c r="AQ470" i="11"/>
  <c r="AQ469" i="11"/>
  <c r="AQ466" i="11"/>
  <c r="AQ467" i="11"/>
  <c r="AQ468" i="11"/>
  <c r="AR523" i="11"/>
  <c r="AQ549" i="11"/>
  <c r="AR501" i="11"/>
  <c r="AQ541" i="11"/>
  <c r="AQ543" i="11"/>
  <c r="AR506" i="11"/>
  <c r="AR529" i="11"/>
  <c r="AQ551" i="11"/>
  <c r="AR498" i="11"/>
  <c r="AQ540" i="11"/>
  <c r="AR526" i="11"/>
  <c r="AQ550" i="11"/>
  <c r="AR495" i="11"/>
  <c r="AQ539" i="11"/>
  <c r="AQ535" i="11"/>
  <c r="AQ511" i="11" s="1"/>
  <c r="AQ545" i="11" s="1"/>
  <c r="AP553" i="11"/>
  <c r="AP511" i="11"/>
  <c r="AP545" i="11" s="1"/>
  <c r="AR514" i="11"/>
  <c r="AQ546" i="11"/>
  <c r="AQ552" i="11"/>
  <c r="AR532" i="11"/>
  <c r="AR520" i="11"/>
  <c r="AQ548" i="11"/>
  <c r="AR438" i="11"/>
  <c r="AQ450" i="11"/>
  <c r="AR435" i="11"/>
  <c r="AQ448" i="11"/>
  <c r="AR432" i="11"/>
  <c r="AR447" i="11" s="1"/>
  <c r="AQ443" i="11"/>
  <c r="AQ449" i="11" s="1"/>
  <c r="AU74" i="11"/>
  <c r="AU75" i="11"/>
  <c r="AU73" i="11"/>
  <c r="AS84" i="11"/>
  <c r="AT83" i="11"/>
  <c r="AT80" i="11"/>
  <c r="AT79" i="11"/>
  <c r="AT81" i="11"/>
  <c r="AT82" i="11"/>
  <c r="AR115" i="11"/>
  <c r="AR117" i="11" s="1"/>
  <c r="AR309" i="11" s="1"/>
  <c r="AR127" i="11"/>
  <c r="AR129" i="11" s="1"/>
  <c r="AR313" i="11" s="1"/>
  <c r="AR105" i="11"/>
  <c r="AR108" i="11" s="1"/>
  <c r="AR95" i="11"/>
  <c r="AR98" i="11" s="1"/>
  <c r="AQ190" i="11"/>
  <c r="AG180" i="11"/>
  <c r="AH8" i="11"/>
  <c r="AQ191" i="11"/>
  <c r="Q11" i="17"/>
  <c r="P187" i="20"/>
  <c r="R188" i="20"/>
  <c r="AO89" i="18"/>
  <c r="BA976" i="20"/>
  <c r="BB901" i="20"/>
  <c r="X89" i="18"/>
  <c r="BB980" i="20"/>
  <c r="R177" i="20" s="1"/>
  <c r="BC889" i="20"/>
  <c r="BC895" i="20"/>
  <c r="BB964" i="20"/>
  <c r="BB970" i="20"/>
  <c r="BB983" i="20"/>
  <c r="R180" i="20" s="1"/>
  <c r="BA876" i="20"/>
  <c r="BB986" i="20"/>
  <c r="R183" i="20" s="1"/>
  <c r="BB982" i="20"/>
  <c r="R179" i="20" s="1"/>
  <c r="BB864" i="20"/>
  <c r="BB870" i="20"/>
  <c r="BA991" i="20"/>
  <c r="BB981" i="20"/>
  <c r="R178" i="20" s="1"/>
  <c r="BC990" i="20"/>
  <c r="BB989" i="20"/>
  <c r="R186" i="20" s="1"/>
  <c r="BB988" i="20"/>
  <c r="R185" i="20" s="1"/>
  <c r="BB987" i="20"/>
  <c r="R184" i="20" s="1"/>
  <c r="BB985" i="20"/>
  <c r="R182" i="20" s="1"/>
  <c r="BB984" i="20"/>
  <c r="R181" i="20" s="1"/>
  <c r="BD930" i="20"/>
  <c r="BD855" i="20"/>
  <c r="BD230" i="20"/>
  <c r="BD990" i="20" s="1"/>
  <c r="BD880" i="20"/>
  <c r="BD905" i="20"/>
  <c r="BD776" i="20"/>
  <c r="BD891" i="20" s="1"/>
  <c r="BD765" i="20"/>
  <c r="BD890" i="20" s="1"/>
  <c r="BD754" i="20"/>
  <c r="BB857" i="20"/>
  <c r="BE275" i="20"/>
  <c r="BE283" i="20" s="1"/>
  <c r="Y89" i="18"/>
  <c r="BE799" i="20"/>
  <c r="BC751" i="20"/>
  <c r="BC866" i="20" s="1"/>
  <c r="BC796" i="20"/>
  <c r="BD788" i="20"/>
  <c r="BD732" i="20"/>
  <c r="BC740" i="20"/>
  <c r="BC865" i="20" s="1"/>
  <c r="BC784" i="20"/>
  <c r="BC869" i="20" s="1"/>
  <c r="BC840" i="20"/>
  <c r="BC965" i="20" s="1"/>
  <c r="BC851" i="20"/>
  <c r="BC966" i="20" s="1"/>
  <c r="BC807" i="20"/>
  <c r="BC773" i="20"/>
  <c r="BC868" i="20" s="1"/>
  <c r="BC818" i="20"/>
  <c r="BC762" i="20"/>
  <c r="BC867" i="20" s="1"/>
  <c r="BC829" i="20"/>
  <c r="BD721" i="20"/>
  <c r="BC729" i="20"/>
  <c r="BC634" i="20"/>
  <c r="BC623" i="20"/>
  <c r="BC667" i="20"/>
  <c r="BC959" i="20" s="1"/>
  <c r="BC656" i="20"/>
  <c r="BC958" i="20" s="1"/>
  <c r="BC645" i="20"/>
  <c r="BC678" i="20"/>
  <c r="BD537" i="20"/>
  <c r="BC545" i="20"/>
  <c r="BC556" i="20"/>
  <c r="BD548" i="20"/>
  <c r="BD883" i="20" s="1"/>
  <c r="BC534" i="20"/>
  <c r="BC859" i="20" s="1"/>
  <c r="BC944" i="20" s="1"/>
  <c r="BC951" i="20" s="1"/>
  <c r="BC578" i="20"/>
  <c r="BD570" i="20"/>
  <c r="BC567" i="20"/>
  <c r="BD559" i="20"/>
  <c r="BD884" i="20" s="1"/>
  <c r="BD969" i="20" s="1"/>
  <c r="BD523" i="20"/>
  <c r="BD858" i="20" s="1"/>
  <c r="BC432" i="20"/>
  <c r="BC907" i="20" s="1"/>
  <c r="BC926" i="20" s="1"/>
  <c r="BD424" i="20"/>
  <c r="BC462" i="20"/>
  <c r="BD454" i="20"/>
  <c r="BD414" i="20"/>
  <c r="BC422" i="20"/>
  <c r="BC472" i="20"/>
  <c r="BD464" i="20"/>
  <c r="BC442" i="20"/>
  <c r="BD434" i="20"/>
  <c r="BD444" i="20"/>
  <c r="BC452" i="20"/>
  <c r="BC335" i="20"/>
  <c r="BD327" i="20"/>
  <c r="BD347" i="20"/>
  <c r="BC355" i="20"/>
  <c r="BC345" i="20"/>
  <c r="BD337" i="20"/>
  <c r="BD307" i="20"/>
  <c r="BC315" i="20"/>
  <c r="BD317" i="20"/>
  <c r="BC325" i="20"/>
  <c r="BD297" i="20"/>
  <c r="BC305" i="20"/>
  <c r="BD293" i="20"/>
  <c r="BD404" i="20"/>
  <c r="BE404" i="20" s="1"/>
  <c r="BF404" i="20" s="1"/>
  <c r="BG404" i="20" s="1"/>
  <c r="BH404" i="20" s="1"/>
  <c r="BI404" i="20" s="1"/>
  <c r="BJ404" i="20" s="1"/>
  <c r="BK404" i="20" s="1"/>
  <c r="BL404" i="20" s="1"/>
  <c r="BM404" i="20" s="1"/>
  <c r="BN404" i="20" s="1"/>
  <c r="BC412" i="20"/>
  <c r="BD392" i="20"/>
  <c r="BC382" i="20"/>
  <c r="BD402" i="20"/>
  <c r="BE293" i="20"/>
  <c r="BE273" i="20"/>
  <c r="BD263" i="20"/>
  <c r="BD856" i="20" s="1"/>
  <c r="BE143" i="20"/>
  <c r="BE151" i="20" s="1"/>
  <c r="BE224" i="20" s="1"/>
  <c r="BE156" i="20"/>
  <c r="BE164" i="20" s="1"/>
  <c r="BE225" i="20" s="1"/>
  <c r="BE195" i="20"/>
  <c r="BE203" i="20" s="1"/>
  <c r="BE228" i="20" s="1"/>
  <c r="BE169" i="20"/>
  <c r="BE177" i="20" s="1"/>
  <c r="BE226" i="20" s="1"/>
  <c r="BE208" i="20"/>
  <c r="BE216" i="20" s="1"/>
  <c r="BE229" i="20" s="1"/>
  <c r="BE182" i="20"/>
  <c r="BE190" i="20" s="1"/>
  <c r="BE227" i="20" s="1"/>
  <c r="BE99" i="20"/>
  <c r="BE107" i="20" s="1"/>
  <c r="BE223" i="20" s="1"/>
  <c r="BE79" i="20"/>
  <c r="BE87" i="20" s="1"/>
  <c r="BE222" i="20" s="1"/>
  <c r="BE43" i="20"/>
  <c r="BE51" i="20" s="1"/>
  <c r="BE220" i="20" s="1"/>
  <c r="BE61" i="20"/>
  <c r="BE69" i="20" s="1"/>
  <c r="BE221" i="20" s="1"/>
  <c r="BF5" i="20"/>
  <c r="Z89" i="18"/>
  <c r="W89" i="18"/>
  <c r="AF89" i="18"/>
  <c r="AS89" i="18"/>
  <c r="AE89" i="18"/>
  <c r="AR89" i="18"/>
  <c r="AD89" i="18"/>
  <c r="AQ89" i="18"/>
  <c r="AA89" i="18"/>
  <c r="AN89" i="18"/>
  <c r="V89" i="18"/>
  <c r="AH89" i="18"/>
  <c r="AK89" i="18"/>
  <c r="T89" i="18"/>
  <c r="AI89" i="18"/>
  <c r="AL89" i="18"/>
  <c r="U89" i="18"/>
  <c r="AC89" i="18"/>
  <c r="AG89" i="18"/>
  <c r="AB89" i="18"/>
  <c r="AJ89" i="18"/>
  <c r="AM89" i="18"/>
  <c r="AR591" i="11"/>
  <c r="AR36" i="11"/>
  <c r="AR34" i="11"/>
  <c r="AS5" i="11"/>
  <c r="AR35" i="11"/>
  <c r="AP45" i="11"/>
  <c r="AQ44" i="11"/>
  <c r="AQ40" i="11"/>
  <c r="AQ41" i="11"/>
  <c r="AQ43" i="11"/>
  <c r="AQ42" i="11"/>
  <c r="BA51" i="11"/>
  <c r="BA55" i="11" s="1"/>
  <c r="AZ55" i="11"/>
  <c r="S56" i="18"/>
  <c r="S90" i="18" s="1"/>
  <c r="AI56" i="18"/>
  <c r="AF56" i="18"/>
  <c r="AC56" i="18"/>
  <c r="R56" i="18"/>
  <c r="R90" i="18" s="1"/>
  <c r="AA56" i="18"/>
  <c r="X56" i="18"/>
  <c r="AP90" i="18" s="1"/>
  <c r="U56" i="18"/>
  <c r="Q56" i="18"/>
  <c r="Q90" i="18" s="1"/>
  <c r="V56" i="18"/>
  <c r="AB56" i="18"/>
  <c r="AD56" i="18"/>
  <c r="W56" i="18"/>
  <c r="AO90" i="18" s="1"/>
  <c r="AJ56" i="18"/>
  <c r="AH56" i="18"/>
  <c r="AE56" i="18"/>
  <c r="Y56" i="18"/>
  <c r="Z56" i="18"/>
  <c r="T56" i="18"/>
  <c r="AG56" i="18"/>
  <c r="AG90" i="18" s="1"/>
  <c r="N57" i="18"/>
  <c r="X34" i="18"/>
  <c r="AC24" i="11"/>
  <c r="AB28" i="11"/>
  <c r="AB39" i="11" s="1"/>
  <c r="C367" i="21"/>
  <c r="E237" i="16"/>
  <c r="F237" i="16" s="1"/>
  <c r="G237" i="16" s="1"/>
  <c r="H237" i="16" s="1"/>
  <c r="I237" i="16" s="1"/>
  <c r="J237" i="16" s="1"/>
  <c r="K237" i="16" s="1"/>
  <c r="L237" i="16" s="1"/>
  <c r="AM11" i="18"/>
  <c r="AL13" i="18"/>
  <c r="AL14" i="18"/>
  <c r="AL10" i="18"/>
  <c r="AK16" i="18"/>
  <c r="AM15" i="18"/>
  <c r="AL12" i="18"/>
  <c r="E239" i="16"/>
  <c r="F239" i="16" s="1"/>
  <c r="G239" i="16" s="1"/>
  <c r="H239" i="16" s="1"/>
  <c r="I239" i="16" s="1"/>
  <c r="J239" i="16" s="1"/>
  <c r="K239" i="16" s="1"/>
  <c r="L239" i="16" s="1"/>
  <c r="C375" i="21"/>
  <c r="K23" i="16"/>
  <c r="L21" i="16"/>
  <c r="L33" i="16" s="1"/>
  <c r="L35" i="16" s="1"/>
  <c r="T355" i="11"/>
  <c r="T356" i="11"/>
  <c r="T357" i="11"/>
  <c r="T358" i="11"/>
  <c r="T359" i="11"/>
  <c r="T354" i="11"/>
  <c r="S359" i="11"/>
  <c r="S389" i="11" s="1"/>
  <c r="S358" i="11"/>
  <c r="S341" i="11"/>
  <c r="S348" i="11" s="1"/>
  <c r="S342" i="11"/>
  <c r="S349" i="11" s="1"/>
  <c r="S343" i="11"/>
  <c r="S350" i="11" s="1"/>
  <c r="S344" i="11"/>
  <c r="S351" i="11" s="1"/>
  <c r="S352" i="11"/>
  <c r="S354" i="11"/>
  <c r="S355" i="11"/>
  <c r="S356" i="11"/>
  <c r="S357" i="11"/>
  <c r="S340" i="11"/>
  <c r="S347" i="11" s="1"/>
  <c r="AH179" i="11" l="1"/>
  <c r="AH202" i="11"/>
  <c r="AS150" i="11"/>
  <c r="AS151" i="11"/>
  <c r="AS149" i="11"/>
  <c r="AQ160" i="11"/>
  <c r="AR156" i="11"/>
  <c r="AR155" i="11"/>
  <c r="AR157" i="11"/>
  <c r="AR158" i="11"/>
  <c r="AR159" i="11"/>
  <c r="AT170" i="11"/>
  <c r="AT629" i="11" s="1"/>
  <c r="AS321" i="11"/>
  <c r="AU573" i="11"/>
  <c r="AU572" i="11"/>
  <c r="AU571" i="11"/>
  <c r="AU570" i="11"/>
  <c r="AU574" i="11"/>
  <c r="AR470" i="11"/>
  <c r="AR469" i="11"/>
  <c r="AR468" i="11"/>
  <c r="AR467" i="11"/>
  <c r="AR466" i="11"/>
  <c r="AQ503" i="11"/>
  <c r="AQ542" i="11" s="1"/>
  <c r="AR552" i="11"/>
  <c r="AS532" i="11"/>
  <c r="AS498" i="11"/>
  <c r="AR540" i="11"/>
  <c r="AS529" i="11"/>
  <c r="AR551" i="11"/>
  <c r="AS501" i="11"/>
  <c r="AR541" i="11"/>
  <c r="AR535" i="11"/>
  <c r="AR511" i="11" s="1"/>
  <c r="AR545" i="11" s="1"/>
  <c r="AQ553" i="11"/>
  <c r="AS526" i="11"/>
  <c r="AR550" i="11"/>
  <c r="AR543" i="11"/>
  <c r="AS506" i="11"/>
  <c r="AS520" i="11"/>
  <c r="AR548" i="11"/>
  <c r="AS514" i="11"/>
  <c r="AR546" i="11"/>
  <c r="AS495" i="11"/>
  <c r="AR539" i="11"/>
  <c r="AS523" i="11"/>
  <c r="AR549" i="11"/>
  <c r="AR448" i="11"/>
  <c r="AS435" i="11"/>
  <c r="AR450" i="11"/>
  <c r="AS438" i="11"/>
  <c r="AS432" i="11"/>
  <c r="AS447" i="11" s="1"/>
  <c r="AR443" i="11"/>
  <c r="AR449" i="11" s="1"/>
  <c r="AV74" i="11"/>
  <c r="AV73" i="11"/>
  <c r="AV75" i="11"/>
  <c r="AT84" i="11"/>
  <c r="AU82" i="11"/>
  <c r="AU80" i="11"/>
  <c r="AU81" i="11"/>
  <c r="AU83" i="11"/>
  <c r="AU79" i="11"/>
  <c r="AS115" i="11"/>
  <c r="AS117" i="11" s="1"/>
  <c r="AS309" i="11" s="1"/>
  <c r="AS127" i="11"/>
  <c r="AS129" i="11" s="1"/>
  <c r="AS313" i="11" s="1"/>
  <c r="AS105" i="11"/>
  <c r="AS108" i="11" s="1"/>
  <c r="AS95" i="11"/>
  <c r="AS98" i="11" s="1"/>
  <c r="AR190" i="11"/>
  <c r="AH180" i="11"/>
  <c r="AI8" i="11"/>
  <c r="AR191" i="11"/>
  <c r="T188" i="20"/>
  <c r="S188" i="20"/>
  <c r="R11" i="17"/>
  <c r="Q187" i="20"/>
  <c r="BC901" i="20"/>
  <c r="BB976" i="20"/>
  <c r="BD889" i="20"/>
  <c r="BD895" i="20"/>
  <c r="BC964" i="20"/>
  <c r="BC970" i="20"/>
  <c r="BC983" i="20"/>
  <c r="S180" i="20" s="1"/>
  <c r="BC981" i="20"/>
  <c r="S178" i="20" s="1"/>
  <c r="BC986" i="20"/>
  <c r="S183" i="20" s="1"/>
  <c r="BC988" i="20"/>
  <c r="S185" i="20" s="1"/>
  <c r="BC987" i="20"/>
  <c r="S184" i="20" s="1"/>
  <c r="BC985" i="20"/>
  <c r="S182" i="20" s="1"/>
  <c r="BC989" i="20"/>
  <c r="S186" i="20" s="1"/>
  <c r="BB876" i="20"/>
  <c r="BC864" i="20"/>
  <c r="BC870" i="20"/>
  <c r="BC982" i="20"/>
  <c r="S179" i="20" s="1"/>
  <c r="BC980" i="20"/>
  <c r="S177" i="20" s="1"/>
  <c r="BB991" i="20"/>
  <c r="BC984" i="20"/>
  <c r="S181" i="20" s="1"/>
  <c r="BE930" i="20"/>
  <c r="BE855" i="20"/>
  <c r="BE230" i="20"/>
  <c r="BE880" i="20"/>
  <c r="BE905" i="20"/>
  <c r="BE765" i="20"/>
  <c r="BE890" i="20" s="1"/>
  <c r="BE754" i="20"/>
  <c r="BE776" i="20"/>
  <c r="BE891" i="20" s="1"/>
  <c r="BC857" i="20"/>
  <c r="BF275" i="20"/>
  <c r="BF283" i="20" s="1"/>
  <c r="BF799" i="20"/>
  <c r="BE788" i="20"/>
  <c r="BD796" i="20"/>
  <c r="BE721" i="20"/>
  <c r="BD729" i="20"/>
  <c r="BD773" i="20"/>
  <c r="BD868" i="20" s="1"/>
  <c r="BD784" i="20"/>
  <c r="BD869" i="20" s="1"/>
  <c r="BD829" i="20"/>
  <c r="BD818" i="20"/>
  <c r="BD840" i="20"/>
  <c r="BD965" i="20" s="1"/>
  <c r="BD751" i="20"/>
  <c r="BD866" i="20" s="1"/>
  <c r="BD762" i="20"/>
  <c r="BD867" i="20" s="1"/>
  <c r="BD851" i="20"/>
  <c r="BD966" i="20" s="1"/>
  <c r="BD807" i="20"/>
  <c r="BE732" i="20"/>
  <c r="BD740" i="20"/>
  <c r="BD865" i="20" s="1"/>
  <c r="BD678" i="20"/>
  <c r="BD656" i="20"/>
  <c r="BD958" i="20" s="1"/>
  <c r="BD623" i="20"/>
  <c r="BD645" i="20"/>
  <c r="BD634" i="20"/>
  <c r="BD667" i="20"/>
  <c r="BD959" i="20" s="1"/>
  <c r="BD578" i="20"/>
  <c r="BE570" i="20"/>
  <c r="BD556" i="20"/>
  <c r="BE548" i="20"/>
  <c r="BE883" i="20" s="1"/>
  <c r="BD567" i="20"/>
  <c r="BE559" i="20"/>
  <c r="BE884" i="20" s="1"/>
  <c r="BE969" i="20" s="1"/>
  <c r="BD534" i="20"/>
  <c r="BD859" i="20" s="1"/>
  <c r="BD944" i="20" s="1"/>
  <c r="BD951" i="20" s="1"/>
  <c r="BE537" i="20"/>
  <c r="BD545" i="20"/>
  <c r="BE523" i="20"/>
  <c r="BE858" i="20" s="1"/>
  <c r="BD472" i="20"/>
  <c r="BE464" i="20"/>
  <c r="BD462" i="20"/>
  <c r="BE454" i="20"/>
  <c r="BE444" i="20"/>
  <c r="BD452" i="20"/>
  <c r="BD442" i="20"/>
  <c r="BE434" i="20"/>
  <c r="BD432" i="20"/>
  <c r="BD907" i="20" s="1"/>
  <c r="BD926" i="20" s="1"/>
  <c r="BE424" i="20"/>
  <c r="BE414" i="20"/>
  <c r="BD422" i="20"/>
  <c r="BE297" i="20"/>
  <c r="BD305" i="20"/>
  <c r="BE347" i="20"/>
  <c r="BD355" i="20"/>
  <c r="BE337" i="20"/>
  <c r="BD345" i="20"/>
  <c r="BD335" i="20"/>
  <c r="BE327" i="20"/>
  <c r="BE307" i="20"/>
  <c r="BD315" i="20"/>
  <c r="BD325" i="20"/>
  <c r="BE317" i="20"/>
  <c r="BD412" i="20"/>
  <c r="BD382" i="20"/>
  <c r="BE402" i="20"/>
  <c r="BE392" i="20"/>
  <c r="BE412" i="20"/>
  <c r="BF293" i="20"/>
  <c r="BF273" i="20"/>
  <c r="BE263" i="20"/>
  <c r="BE856" i="20" s="1"/>
  <c r="BF143" i="20"/>
  <c r="BF151" i="20" s="1"/>
  <c r="BF224" i="20" s="1"/>
  <c r="BF156" i="20"/>
  <c r="BF164" i="20" s="1"/>
  <c r="BF225" i="20" s="1"/>
  <c r="BF195" i="20"/>
  <c r="BF203" i="20" s="1"/>
  <c r="BF228" i="20" s="1"/>
  <c r="BF169" i="20"/>
  <c r="BF177" i="20" s="1"/>
  <c r="BF226" i="20" s="1"/>
  <c r="BF208" i="20"/>
  <c r="BF216" i="20" s="1"/>
  <c r="BF229" i="20" s="1"/>
  <c r="BF182" i="20"/>
  <c r="BF190" i="20" s="1"/>
  <c r="BF227" i="20" s="1"/>
  <c r="BF99" i="20"/>
  <c r="BF107" i="20" s="1"/>
  <c r="BF223" i="20" s="1"/>
  <c r="BF79" i="20"/>
  <c r="BF87" i="20" s="1"/>
  <c r="BF222" i="20" s="1"/>
  <c r="BF43" i="20"/>
  <c r="BF51" i="20" s="1"/>
  <c r="BF220" i="20" s="1"/>
  <c r="BF61" i="20"/>
  <c r="BF69" i="20" s="1"/>
  <c r="BF221" i="20" s="1"/>
  <c r="BG5" i="20"/>
  <c r="AE90" i="18"/>
  <c r="AD90" i="18"/>
  <c r="U90" i="18"/>
  <c r="T90" i="18"/>
  <c r="Y90" i="18"/>
  <c r="AQ90" i="18"/>
  <c r="Z90" i="18"/>
  <c r="AR90" i="18"/>
  <c r="V90" i="18"/>
  <c r="AN90" i="18"/>
  <c r="AA90" i="18"/>
  <c r="AS90" i="18"/>
  <c r="AS99" i="18" s="1"/>
  <c r="AH90" i="18"/>
  <c r="AK90" i="18"/>
  <c r="AB90" i="18"/>
  <c r="X90" i="18"/>
  <c r="AF90" i="18"/>
  <c r="AJ90" i="18"/>
  <c r="AM90" i="18"/>
  <c r="AI90" i="18"/>
  <c r="AL90" i="18"/>
  <c r="W90" i="18"/>
  <c r="AC90" i="18"/>
  <c r="AR42" i="11"/>
  <c r="AR41" i="11"/>
  <c r="AR43" i="11"/>
  <c r="AR40" i="11"/>
  <c r="AR44" i="11"/>
  <c r="AQ45" i="11"/>
  <c r="AS591" i="11"/>
  <c r="AS36" i="11"/>
  <c r="AT5" i="11"/>
  <c r="AS35" i="11"/>
  <c r="AS34" i="11"/>
  <c r="T57" i="18"/>
  <c r="AJ57" i="18"/>
  <c r="AR91" i="18" s="1"/>
  <c r="AG57" i="18"/>
  <c r="AO91" i="18" s="1"/>
  <c r="AD57" i="18"/>
  <c r="W57" i="18"/>
  <c r="X57" i="18"/>
  <c r="U57" i="18"/>
  <c r="R57" i="18"/>
  <c r="R91" i="18" s="1"/>
  <c r="AH57" i="18"/>
  <c r="AP91" i="18" s="1"/>
  <c r="AE57" i="18"/>
  <c r="AB57" i="18"/>
  <c r="Y57" i="18"/>
  <c r="V57" i="18"/>
  <c r="AA57" i="18"/>
  <c r="S57" i="18"/>
  <c r="S91" i="18" s="1"/>
  <c r="AF57" i="18"/>
  <c r="AN91" i="18" s="1"/>
  <c r="AC57" i="18"/>
  <c r="Z57" i="18"/>
  <c r="Q57" i="18"/>
  <c r="Q91" i="18" s="1"/>
  <c r="AI57" i="18"/>
  <c r="AQ91" i="18" s="1"/>
  <c r="Y34" i="18"/>
  <c r="N58" i="18"/>
  <c r="S363" i="11"/>
  <c r="S377" i="11"/>
  <c r="S384" i="11" s="1"/>
  <c r="S381" i="11"/>
  <c r="S388" i="11" s="1"/>
  <c r="S375" i="11"/>
  <c r="S366" i="11"/>
  <c r="S378" i="11"/>
  <c r="S385" i="11" s="1"/>
  <c r="S372" i="11"/>
  <c r="S380" i="11"/>
  <c r="S387" i="11" s="1"/>
  <c r="S369" i="11"/>
  <c r="S379" i="11"/>
  <c r="S386" i="11" s="1"/>
  <c r="AD24" i="11"/>
  <c r="AC28" i="11"/>
  <c r="AC39" i="11" s="1"/>
  <c r="AM12" i="18"/>
  <c r="AM10" i="18"/>
  <c r="AL16" i="18"/>
  <c r="AM13" i="18"/>
  <c r="AN15" i="18"/>
  <c r="AM14" i="18"/>
  <c r="AN11" i="18"/>
  <c r="L23" i="16"/>
  <c r="M21" i="16"/>
  <c r="M33" i="16" s="1"/>
  <c r="M35" i="16" s="1"/>
  <c r="W91" i="18" l="1"/>
  <c r="AI179" i="11"/>
  <c r="AI202" i="11"/>
  <c r="AT151" i="11"/>
  <c r="AT150" i="11"/>
  <c r="AT149" i="11"/>
  <c r="AR160" i="11"/>
  <c r="AS156" i="11"/>
  <c r="AS158" i="11"/>
  <c r="AS155" i="11"/>
  <c r="AS159" i="11"/>
  <c r="AS157" i="11"/>
  <c r="AU170" i="11"/>
  <c r="AU629" i="11" s="1"/>
  <c r="AT321" i="11"/>
  <c r="AV573" i="11"/>
  <c r="AV574" i="11"/>
  <c r="AV570" i="11"/>
  <c r="AV572" i="11"/>
  <c r="AV571" i="11"/>
  <c r="AS467" i="11"/>
  <c r="AS468" i="11"/>
  <c r="AS466" i="11"/>
  <c r="AS470" i="11"/>
  <c r="AS469" i="11"/>
  <c r="AR503" i="11"/>
  <c r="AR542" i="11" s="1"/>
  <c r="AT520" i="11"/>
  <c r="AS548" i="11"/>
  <c r="AT526" i="11"/>
  <c r="AS550" i="11"/>
  <c r="AT498" i="11"/>
  <c r="AS540" i="11"/>
  <c r="AS543" i="11"/>
  <c r="AT506" i="11"/>
  <c r="AS535" i="11"/>
  <c r="AS503" i="11" s="1"/>
  <c r="AR553" i="11"/>
  <c r="AT529" i="11"/>
  <c r="AS551" i="11"/>
  <c r="AT523" i="11"/>
  <c r="AS549" i="11"/>
  <c r="AT514" i="11"/>
  <c r="AS546" i="11"/>
  <c r="AS552" i="11"/>
  <c r="AT532" i="11"/>
  <c r="AT495" i="11"/>
  <c r="AS539" i="11"/>
  <c r="AT501" i="11"/>
  <c r="AS541" i="11"/>
  <c r="AT435" i="11"/>
  <c r="AS448" i="11"/>
  <c r="AT438" i="11"/>
  <c r="AS450" i="11"/>
  <c r="AT432" i="11"/>
  <c r="AT447" i="11" s="1"/>
  <c r="AS443" i="11"/>
  <c r="AS449" i="11" s="1"/>
  <c r="AW74" i="11"/>
  <c r="AW75" i="11"/>
  <c r="AW73" i="11"/>
  <c r="AU84" i="11"/>
  <c r="AV79" i="11"/>
  <c r="AV83" i="11"/>
  <c r="AV80" i="11"/>
  <c r="AV82" i="11"/>
  <c r="AV81" i="11"/>
  <c r="AT115" i="11"/>
  <c r="AT117" i="11" s="1"/>
  <c r="AT309" i="11" s="1"/>
  <c r="AT127" i="11"/>
  <c r="AT129" i="11" s="1"/>
  <c r="AT313" i="11" s="1"/>
  <c r="AS190" i="11"/>
  <c r="AT105" i="11"/>
  <c r="AT108" i="11" s="1"/>
  <c r="AT95" i="11"/>
  <c r="AT98" i="11" s="1"/>
  <c r="AI180" i="11"/>
  <c r="AJ8" i="11"/>
  <c r="AS191" i="11"/>
  <c r="S11" i="17"/>
  <c r="R187" i="20"/>
  <c r="AA91" i="18"/>
  <c r="BD901" i="20"/>
  <c r="BD980" i="20"/>
  <c r="T177" i="20" s="1"/>
  <c r="BC976" i="20"/>
  <c r="AS102" i="18"/>
  <c r="AE10" i="17" s="1"/>
  <c r="AS103" i="18"/>
  <c r="AE12" i="17" s="1"/>
  <c r="BE889" i="20"/>
  <c r="BE895" i="20"/>
  <c r="BD964" i="20"/>
  <c r="BD970" i="20"/>
  <c r="BD986" i="20"/>
  <c r="T183" i="20" s="1"/>
  <c r="BD982" i="20"/>
  <c r="T179" i="20" s="1"/>
  <c r="BD987" i="20"/>
  <c r="T184" i="20" s="1"/>
  <c r="BC876" i="20"/>
  <c r="BD985" i="20"/>
  <c r="T182" i="20" s="1"/>
  <c r="BD988" i="20"/>
  <c r="T185" i="20" s="1"/>
  <c r="BD983" i="20"/>
  <c r="T180" i="20" s="1"/>
  <c r="BD989" i="20"/>
  <c r="T186" i="20" s="1"/>
  <c r="BD864" i="20"/>
  <c r="BD870" i="20"/>
  <c r="BD981" i="20"/>
  <c r="T178" i="20" s="1"/>
  <c r="BC991" i="20"/>
  <c r="BE990" i="20"/>
  <c r="BD984" i="20"/>
  <c r="T181" i="20" s="1"/>
  <c r="BF930" i="20"/>
  <c r="BF855" i="20"/>
  <c r="BF230" i="20"/>
  <c r="BF905" i="20"/>
  <c r="BF880" i="20"/>
  <c r="BF754" i="20"/>
  <c r="BF776" i="20"/>
  <c r="BF891" i="20" s="1"/>
  <c r="BF765" i="20"/>
  <c r="BF890" i="20" s="1"/>
  <c r="BD857" i="20"/>
  <c r="BG275" i="20"/>
  <c r="BG283" i="20" s="1"/>
  <c r="BG799" i="20"/>
  <c r="BE807" i="20"/>
  <c r="BE762" i="20"/>
  <c r="BE867" i="20" s="1"/>
  <c r="BE840" i="20"/>
  <c r="BE965" i="20" s="1"/>
  <c r="BE773" i="20"/>
  <c r="BE868" i="20" s="1"/>
  <c r="BE851" i="20"/>
  <c r="BE966" i="20" s="1"/>
  <c r="BE751" i="20"/>
  <c r="BE866" i="20" s="1"/>
  <c r="BE818" i="20"/>
  <c r="BE784" i="20"/>
  <c r="BE869" i="20" s="1"/>
  <c r="BF732" i="20"/>
  <c r="BE740" i="20"/>
  <c r="BE865" i="20" s="1"/>
  <c r="BF721" i="20"/>
  <c r="BE729" i="20"/>
  <c r="BE829" i="20"/>
  <c r="BE796" i="20"/>
  <c r="BF788" i="20"/>
  <c r="BE667" i="20"/>
  <c r="BE959" i="20" s="1"/>
  <c r="BE645" i="20"/>
  <c r="BE656" i="20"/>
  <c r="BE958" i="20" s="1"/>
  <c r="BE623" i="20"/>
  <c r="BE634" i="20"/>
  <c r="BE678" i="20"/>
  <c r="BE534" i="20"/>
  <c r="BE859" i="20" s="1"/>
  <c r="BE944" i="20" s="1"/>
  <c r="BE951" i="20" s="1"/>
  <c r="BE556" i="20"/>
  <c r="BF548" i="20"/>
  <c r="BF883" i="20" s="1"/>
  <c r="BE567" i="20"/>
  <c r="BF559" i="20"/>
  <c r="BF884" i="20" s="1"/>
  <c r="BF969" i="20" s="1"/>
  <c r="BE578" i="20"/>
  <c r="BF570" i="20"/>
  <c r="BF537" i="20"/>
  <c r="BE545" i="20"/>
  <c r="BF523" i="20"/>
  <c r="BF858" i="20" s="1"/>
  <c r="BE442" i="20"/>
  <c r="BF434" i="20"/>
  <c r="BE462" i="20"/>
  <c r="BF454" i="20"/>
  <c r="BF414" i="20"/>
  <c r="BE422" i="20"/>
  <c r="BE432" i="20"/>
  <c r="BE907" i="20" s="1"/>
  <c r="BE926" i="20" s="1"/>
  <c r="BF424" i="20"/>
  <c r="BE472" i="20"/>
  <c r="BF464" i="20"/>
  <c r="BF444" i="20"/>
  <c r="BE452" i="20"/>
  <c r="BF317" i="20"/>
  <c r="BE325" i="20"/>
  <c r="BE335" i="20"/>
  <c r="BF327" i="20"/>
  <c r="BF347" i="20"/>
  <c r="BE355" i="20"/>
  <c r="BF307" i="20"/>
  <c r="BE315" i="20"/>
  <c r="BE345" i="20"/>
  <c r="BF337" i="20"/>
  <c r="BF297" i="20"/>
  <c r="BE305" i="20"/>
  <c r="BF412" i="20"/>
  <c r="BF402" i="20"/>
  <c r="BF392" i="20"/>
  <c r="BE382" i="20"/>
  <c r="BG273" i="20"/>
  <c r="BG293" i="20"/>
  <c r="BF263" i="20"/>
  <c r="BF856" i="20" s="1"/>
  <c r="BG143" i="20"/>
  <c r="BG151" i="20" s="1"/>
  <c r="BG224" i="20" s="1"/>
  <c r="BG156" i="20"/>
  <c r="BG164" i="20" s="1"/>
  <c r="BG225" i="20" s="1"/>
  <c r="BG195" i="20"/>
  <c r="BG203" i="20" s="1"/>
  <c r="BG228" i="20" s="1"/>
  <c r="BG169" i="20"/>
  <c r="BG177" i="20" s="1"/>
  <c r="BG226" i="20" s="1"/>
  <c r="BG208" i="20"/>
  <c r="BG216" i="20" s="1"/>
  <c r="BG229" i="20" s="1"/>
  <c r="BG182" i="20"/>
  <c r="BG190" i="20" s="1"/>
  <c r="BG227" i="20" s="1"/>
  <c r="Z91" i="18"/>
  <c r="BG99" i="20"/>
  <c r="BG107" i="20" s="1"/>
  <c r="BG223" i="20" s="1"/>
  <c r="BG79" i="20"/>
  <c r="BG87" i="20" s="1"/>
  <c r="BG222" i="20" s="1"/>
  <c r="BG43" i="20"/>
  <c r="BG51" i="20" s="1"/>
  <c r="BG220" i="20" s="1"/>
  <c r="BG61" i="20"/>
  <c r="BG69" i="20" s="1"/>
  <c r="BG221" i="20" s="1"/>
  <c r="AB91" i="18"/>
  <c r="U91" i="18"/>
  <c r="AG91" i="18"/>
  <c r="BH5" i="20"/>
  <c r="AE91" i="18"/>
  <c r="X91" i="18"/>
  <c r="V91" i="18"/>
  <c r="T91" i="18"/>
  <c r="AC91" i="18"/>
  <c r="AH91" i="18"/>
  <c r="AK91" i="18"/>
  <c r="AI91" i="18"/>
  <c r="AL91" i="18"/>
  <c r="AF91" i="18"/>
  <c r="Y91" i="18"/>
  <c r="AD91" i="18"/>
  <c r="AJ91" i="18"/>
  <c r="AM91" i="18"/>
  <c r="AR45" i="11"/>
  <c r="AS40" i="11"/>
  <c r="AS43" i="11"/>
  <c r="AS41" i="11"/>
  <c r="AS44" i="11"/>
  <c r="AS42" i="11"/>
  <c r="AT591" i="11"/>
  <c r="AT36" i="11"/>
  <c r="AT35" i="11"/>
  <c r="AU5" i="11"/>
  <c r="AT34" i="11"/>
  <c r="AC58" i="18"/>
  <c r="V58" i="18"/>
  <c r="S58" i="18"/>
  <c r="S92" i="18" s="1"/>
  <c r="AI58" i="18"/>
  <c r="AF58" i="18"/>
  <c r="AF92" i="18" s="1"/>
  <c r="AG58" i="18"/>
  <c r="Z58" i="18"/>
  <c r="W58" i="18"/>
  <c r="X58" i="18"/>
  <c r="AJ58" i="18"/>
  <c r="U58" i="18"/>
  <c r="Q58" i="18"/>
  <c r="Q92" i="18" s="1"/>
  <c r="AD58" i="18"/>
  <c r="AA58" i="18"/>
  <c r="AB58" i="18"/>
  <c r="Y58" i="18"/>
  <c r="R58" i="18"/>
  <c r="R92" i="18" s="1"/>
  <c r="AH58" i="18"/>
  <c r="AE58" i="18"/>
  <c r="T58" i="18"/>
  <c r="N59" i="18"/>
  <c r="Z34" i="18"/>
  <c r="AE24" i="11"/>
  <c r="AD28" i="11"/>
  <c r="AD39" i="11" s="1"/>
  <c r="AN10" i="18"/>
  <c r="AM16" i="18"/>
  <c r="AN14" i="18"/>
  <c r="AN13" i="18"/>
  <c r="AO11" i="18"/>
  <c r="AO15" i="18"/>
  <c r="AN12" i="18"/>
  <c r="M23" i="16"/>
  <c r="N21" i="16"/>
  <c r="N33" i="16" s="1"/>
  <c r="N35" i="16" s="1"/>
  <c r="X264" i="11"/>
  <c r="X271" i="11" s="1"/>
  <c r="B178" i="11"/>
  <c r="G169" i="11"/>
  <c r="F169" i="11"/>
  <c r="G174" i="11"/>
  <c r="X337" i="11"/>
  <c r="B163" i="11"/>
  <c r="B152" i="11"/>
  <c r="U17" i="11"/>
  <c r="U18" i="11"/>
  <c r="U19" i="11"/>
  <c r="U20" i="11"/>
  <c r="U16" i="11"/>
  <c r="U216" i="11"/>
  <c r="U217" i="11"/>
  <c r="U218" i="11"/>
  <c r="U219" i="11"/>
  <c r="U215" i="11"/>
  <c r="W220" i="11"/>
  <c r="Y236" i="11" s="1"/>
  <c r="X220" i="11"/>
  <c r="Y237" i="11" s="1"/>
  <c r="Y220" i="11"/>
  <c r="Y238" i="11" s="1"/>
  <c r="Z220" i="11"/>
  <c r="Y239" i="11" s="1"/>
  <c r="AA220" i="11"/>
  <c r="Y240" i="11" s="1"/>
  <c r="AB220" i="11"/>
  <c r="Y241" i="11" s="1"/>
  <c r="AC220" i="11"/>
  <c r="Y242" i="11" s="1"/>
  <c r="V220" i="11"/>
  <c r="Y235" i="11" s="1"/>
  <c r="Z235" i="11" s="1"/>
  <c r="B131" i="11"/>
  <c r="B130" i="11"/>
  <c r="X204" i="11"/>
  <c r="A1" i="13"/>
  <c r="A2" i="13" s="1"/>
  <c r="A3" i="13" s="1"/>
  <c r="A4" i="13" s="1"/>
  <c r="A5" i="13" s="1"/>
  <c r="A6" i="13" s="1"/>
  <c r="A7" i="13" s="1"/>
  <c r="A8" i="13" s="1"/>
  <c r="A9" i="13" s="1"/>
  <c r="A10" i="13" s="1"/>
  <c r="A11" i="13" s="1"/>
  <c r="A12" i="13" s="1"/>
  <c r="A13" i="13" s="1"/>
  <c r="A14" i="13" s="1"/>
  <c r="A15" i="13" s="1"/>
  <c r="A16" i="13" s="1"/>
  <c r="A17" i="13" s="1"/>
  <c r="A18" i="13" s="1"/>
  <c r="A19" i="13" s="1"/>
  <c r="A20" i="13" s="1"/>
  <c r="A21" i="13" s="1"/>
  <c r="A22" i="13" s="1"/>
  <c r="A23" i="13" s="1"/>
  <c r="A24" i="13" s="1"/>
  <c r="A25" i="13" s="1"/>
  <c r="A26" i="13" s="1"/>
  <c r="A27" i="13" s="1"/>
  <c r="A28" i="13" s="1"/>
  <c r="A29" i="13" s="1"/>
  <c r="G143" i="11"/>
  <c r="B144" i="11" s="1"/>
  <c r="T92" i="18" l="1"/>
  <c r="AE92" i="18"/>
  <c r="AJ179" i="11"/>
  <c r="AJ202" i="11"/>
  <c r="Y92" i="18"/>
  <c r="AT157" i="11"/>
  <c r="AT156" i="11"/>
  <c r="AT155" i="11"/>
  <c r="AT159" i="11"/>
  <c r="AT158" i="11"/>
  <c r="AU151" i="11"/>
  <c r="AU150" i="11"/>
  <c r="AU149" i="11"/>
  <c r="AS160" i="11"/>
  <c r="V92" i="18"/>
  <c r="AD92" i="18"/>
  <c r="X92" i="18"/>
  <c r="AC92" i="18"/>
  <c r="AV170" i="11"/>
  <c r="AV629" i="11" s="1"/>
  <c r="AU321" i="11"/>
  <c r="W92" i="18"/>
  <c r="AB92" i="18"/>
  <c r="U92" i="18"/>
  <c r="Z92" i="18"/>
  <c r="AI92" i="18"/>
  <c r="AL92" i="18"/>
  <c r="AH92" i="18"/>
  <c r="AK92" i="18"/>
  <c r="AA92" i="18"/>
  <c r="AJ92" i="18"/>
  <c r="AM92" i="18"/>
  <c r="AG92" i="18"/>
  <c r="AW572" i="11"/>
  <c r="AW570" i="11"/>
  <c r="AW574" i="11"/>
  <c r="AW571" i="11"/>
  <c r="AW573" i="11"/>
  <c r="AT466" i="11"/>
  <c r="AT467" i="11"/>
  <c r="AT468" i="11"/>
  <c r="AT469" i="11"/>
  <c r="AT470" i="11"/>
  <c r="AS511" i="11"/>
  <c r="AS545" i="11" s="1"/>
  <c r="AS542" i="11"/>
  <c r="AT543" i="11"/>
  <c r="AU506" i="11"/>
  <c r="AU501" i="11"/>
  <c r="AT541" i="11"/>
  <c r="AU495" i="11"/>
  <c r="AT539" i="11"/>
  <c r="AU529" i="11"/>
  <c r="AT551" i="11"/>
  <c r="AU526" i="11"/>
  <c r="AT550" i="11"/>
  <c r="AU514" i="11"/>
  <c r="AT546" i="11"/>
  <c r="AT552" i="11"/>
  <c r="AU532" i="11"/>
  <c r="AU523" i="11"/>
  <c r="AT549" i="11"/>
  <c r="AT535" i="11"/>
  <c r="AS553" i="11"/>
  <c r="AU498" i="11"/>
  <c r="AT540" i="11"/>
  <c r="AU520" i="11"/>
  <c r="AT548" i="11"/>
  <c r="AU438" i="11"/>
  <c r="AT450" i="11"/>
  <c r="AU435" i="11"/>
  <c r="AT448" i="11"/>
  <c r="AU432" i="11"/>
  <c r="AU447" i="11" s="1"/>
  <c r="AT443" i="11"/>
  <c r="AT449" i="11" s="1"/>
  <c r="AX73" i="11"/>
  <c r="AX75" i="11"/>
  <c r="AX74" i="11"/>
  <c r="AW80" i="11"/>
  <c r="AW81" i="11"/>
  <c r="AW82" i="11"/>
  <c r="AW79" i="11"/>
  <c r="AW83" i="11"/>
  <c r="AV84" i="11"/>
  <c r="AU115" i="11"/>
  <c r="AU117" i="11" s="1"/>
  <c r="AU309" i="11" s="1"/>
  <c r="AU127" i="11"/>
  <c r="AU129" i="11" s="1"/>
  <c r="AU313" i="11" s="1"/>
  <c r="AT190" i="11"/>
  <c r="AU105" i="11"/>
  <c r="AU95" i="11"/>
  <c r="AU98" i="11" s="1"/>
  <c r="AJ180" i="11"/>
  <c r="AK8" i="11"/>
  <c r="AT191" i="11"/>
  <c r="T11" i="17"/>
  <c r="S187" i="20"/>
  <c r="U188" i="20"/>
  <c r="BE901" i="20"/>
  <c r="BD976" i="20"/>
  <c r="AS104" i="18"/>
  <c r="BF889" i="20"/>
  <c r="BF895" i="20"/>
  <c r="BE964" i="20"/>
  <c r="BE970" i="20"/>
  <c r="BE988" i="20"/>
  <c r="U185" i="20" s="1"/>
  <c r="BE981" i="20"/>
  <c r="U178" i="20" s="1"/>
  <c r="BD876" i="20"/>
  <c r="BE987" i="20"/>
  <c r="U184" i="20" s="1"/>
  <c r="BE984" i="20"/>
  <c r="U181" i="20" s="1"/>
  <c r="BE985" i="20"/>
  <c r="U182" i="20" s="1"/>
  <c r="BE982" i="20"/>
  <c r="U179" i="20" s="1"/>
  <c r="BD991" i="20"/>
  <c r="BE983" i="20"/>
  <c r="U180" i="20" s="1"/>
  <c r="BE864" i="20"/>
  <c r="BE870" i="20"/>
  <c r="BE980" i="20"/>
  <c r="U177" i="20" s="1"/>
  <c r="BF990" i="20"/>
  <c r="BE989" i="20"/>
  <c r="U186" i="20" s="1"/>
  <c r="BE986" i="20"/>
  <c r="U183" i="20" s="1"/>
  <c r="BG930" i="20"/>
  <c r="BG855" i="20"/>
  <c r="BG230" i="20"/>
  <c r="BG990" i="20" s="1"/>
  <c r="BG905" i="20"/>
  <c r="BG880" i="20"/>
  <c r="BG776" i="20"/>
  <c r="BG891" i="20" s="1"/>
  <c r="BG765" i="20"/>
  <c r="BG890" i="20" s="1"/>
  <c r="BG754" i="20"/>
  <c r="BE857" i="20"/>
  <c r="BH275" i="20"/>
  <c r="BH799" i="20"/>
  <c r="BF784" i="20"/>
  <c r="BF869" i="20" s="1"/>
  <c r="BF751" i="20"/>
  <c r="BF866" i="20" s="1"/>
  <c r="BF829" i="20"/>
  <c r="BF818" i="20"/>
  <c r="BF851" i="20"/>
  <c r="BF966" i="20" s="1"/>
  <c r="BF807" i="20"/>
  <c r="BF796" i="20"/>
  <c r="BG788" i="20"/>
  <c r="BF773" i="20"/>
  <c r="BF868" i="20" s="1"/>
  <c r="BG721" i="20"/>
  <c r="BF729" i="20"/>
  <c r="BF762" i="20"/>
  <c r="BF867" i="20" s="1"/>
  <c r="BG732" i="20"/>
  <c r="BF740" i="20"/>
  <c r="BF865" i="20" s="1"/>
  <c r="BF840" i="20"/>
  <c r="BF965" i="20" s="1"/>
  <c r="BF678" i="20"/>
  <c r="BF623" i="20"/>
  <c r="BF645" i="20"/>
  <c r="BF634" i="20"/>
  <c r="BF656" i="20"/>
  <c r="BF958" i="20" s="1"/>
  <c r="BF667" i="20"/>
  <c r="BF959" i="20" s="1"/>
  <c r="BG570" i="20"/>
  <c r="BF578" i="20"/>
  <c r="BF556" i="20"/>
  <c r="BG548" i="20"/>
  <c r="BG883" i="20" s="1"/>
  <c r="BG559" i="20"/>
  <c r="BG884" i="20" s="1"/>
  <c r="BG969" i="20" s="1"/>
  <c r="BF567" i="20"/>
  <c r="BG537" i="20"/>
  <c r="BF545" i="20"/>
  <c r="BF534" i="20"/>
  <c r="BF859" i="20" s="1"/>
  <c r="BF944" i="20" s="1"/>
  <c r="BF951" i="20" s="1"/>
  <c r="BG523" i="20"/>
  <c r="BG858" i="20" s="1"/>
  <c r="BF462" i="20"/>
  <c r="BG454" i="20"/>
  <c r="BG444" i="20"/>
  <c r="BF452" i="20"/>
  <c r="BF432" i="20"/>
  <c r="BF907" i="20" s="1"/>
  <c r="BF926" i="20" s="1"/>
  <c r="BG424" i="20"/>
  <c r="BF472" i="20"/>
  <c r="BG464" i="20"/>
  <c r="BF442" i="20"/>
  <c r="BG434" i="20"/>
  <c r="BG414" i="20"/>
  <c r="BF422" i="20"/>
  <c r="BG327" i="20"/>
  <c r="BF335" i="20"/>
  <c r="BG297" i="20"/>
  <c r="BF305" i="20"/>
  <c r="BG307" i="20"/>
  <c r="BF315" i="20"/>
  <c r="BG337" i="20"/>
  <c r="BF345" i="20"/>
  <c r="BG347" i="20"/>
  <c r="BF355" i="20"/>
  <c r="BG317" i="20"/>
  <c r="BF325" i="20"/>
  <c r="BF382" i="20"/>
  <c r="BG402" i="20"/>
  <c r="BG392" i="20"/>
  <c r="BG412" i="20"/>
  <c r="BH293" i="20"/>
  <c r="BH273" i="20"/>
  <c r="BG263" i="20"/>
  <c r="BG856" i="20" s="1"/>
  <c r="BH143" i="20"/>
  <c r="BH151" i="20" s="1"/>
  <c r="BH224" i="20" s="1"/>
  <c r="BH195" i="20"/>
  <c r="BH203" i="20" s="1"/>
  <c r="BH228" i="20" s="1"/>
  <c r="BH156" i="20"/>
  <c r="BH164" i="20" s="1"/>
  <c r="BH225" i="20" s="1"/>
  <c r="BH208" i="20"/>
  <c r="BH216" i="20" s="1"/>
  <c r="BH229" i="20" s="1"/>
  <c r="BH182" i="20"/>
  <c r="BH190" i="20" s="1"/>
  <c r="BH227" i="20" s="1"/>
  <c r="BH169" i="20"/>
  <c r="BH177" i="20" s="1"/>
  <c r="BH226" i="20" s="1"/>
  <c r="BH99" i="20"/>
  <c r="BH107" i="20" s="1"/>
  <c r="BH223" i="20" s="1"/>
  <c r="BH79" i="20"/>
  <c r="BH87" i="20" s="1"/>
  <c r="BH222" i="20" s="1"/>
  <c r="BH43" i="20"/>
  <c r="BH51" i="20" s="1"/>
  <c r="BH220" i="20" s="1"/>
  <c r="BH61" i="20"/>
  <c r="BH69" i="20" s="1"/>
  <c r="BH221" i="20" s="1"/>
  <c r="BI5" i="20"/>
  <c r="AU591" i="11"/>
  <c r="AU35" i="11"/>
  <c r="AV5" i="11"/>
  <c r="AU36" i="11"/>
  <c r="AU34" i="11"/>
  <c r="AU108" i="11"/>
  <c r="AS45" i="11"/>
  <c r="AT44" i="11"/>
  <c r="AT40" i="11"/>
  <c r="AT43" i="11"/>
  <c r="AT41" i="11"/>
  <c r="AT42" i="11"/>
  <c r="B14" i="18"/>
  <c r="B85" i="11"/>
  <c r="G4" i="11"/>
  <c r="V59" i="18"/>
  <c r="Q59" i="18"/>
  <c r="Q93" i="18" s="1"/>
  <c r="AE59" i="18"/>
  <c r="AE93" i="18" s="1"/>
  <c r="AB59" i="18"/>
  <c r="AG59" i="18"/>
  <c r="Z59" i="18"/>
  <c r="S59" i="18"/>
  <c r="S93" i="18" s="1"/>
  <c r="AI59" i="18"/>
  <c r="AF59" i="18"/>
  <c r="Y59" i="18"/>
  <c r="Y93" i="18" s="1"/>
  <c r="AD59" i="18"/>
  <c r="W59" i="18"/>
  <c r="T59" i="18"/>
  <c r="AJ59" i="18"/>
  <c r="AC59" i="18"/>
  <c r="R59" i="18"/>
  <c r="R93" i="18" s="1"/>
  <c r="AH59" i="18"/>
  <c r="AA59" i="18"/>
  <c r="X59" i="18"/>
  <c r="X93" i="18" s="1"/>
  <c r="U59" i="18"/>
  <c r="U93" i="18" s="1"/>
  <c r="AA34" i="18"/>
  <c r="N60" i="18"/>
  <c r="P6" i="18"/>
  <c r="X393" i="11"/>
  <c r="X395" i="11" s="1"/>
  <c r="X346" i="11"/>
  <c r="AF24" i="11"/>
  <c r="AE28" i="11"/>
  <c r="AE39" i="11" s="1"/>
  <c r="AP11" i="18"/>
  <c r="AO12" i="18"/>
  <c r="AO14" i="18"/>
  <c r="AO13" i="18"/>
  <c r="AP15" i="18"/>
  <c r="AO10" i="18"/>
  <c r="AN16" i="18"/>
  <c r="N23" i="16"/>
  <c r="O21" i="16"/>
  <c r="O33" i="16" s="1"/>
  <c r="O35" i="16" s="1"/>
  <c r="X339" i="11"/>
  <c r="X353" i="11" s="1"/>
  <c r="X362" i="11"/>
  <c r="X376" i="11" s="1"/>
  <c r="X383" i="11" s="1"/>
  <c r="Z239" i="11"/>
  <c r="AA239" i="11" s="1"/>
  <c r="AA235" i="11"/>
  <c r="Z238" i="11"/>
  <c r="Z241" i="11"/>
  <c r="Z237" i="11"/>
  <c r="Z242" i="11"/>
  <c r="Z240" i="11"/>
  <c r="Z236" i="11"/>
  <c r="AK179" i="11" l="1"/>
  <c r="AK202" i="11"/>
  <c r="AV150" i="11"/>
  <c r="AV151" i="11"/>
  <c r="AV149" i="11"/>
  <c r="AU157" i="11"/>
  <c r="AU155" i="11"/>
  <c r="AU156" i="11"/>
  <c r="AU159" i="11"/>
  <c r="AU158" i="11"/>
  <c r="AT160" i="11"/>
  <c r="AW170" i="11"/>
  <c r="AW629" i="11" s="1"/>
  <c r="AV321" i="11"/>
  <c r="AX571" i="11"/>
  <c r="AX574" i="11"/>
  <c r="AX573" i="11"/>
  <c r="AX570" i="11"/>
  <c r="AX572" i="11"/>
  <c r="AU466" i="11"/>
  <c r="AU469" i="11"/>
  <c r="AU467" i="11"/>
  <c r="AU470" i="11"/>
  <c r="AU468" i="11"/>
  <c r="AU535" i="11"/>
  <c r="AU511" i="11" s="1"/>
  <c r="AU545" i="11" s="1"/>
  <c r="AT553" i="11"/>
  <c r="AV526" i="11"/>
  <c r="AU550" i="11"/>
  <c r="AT511" i="11"/>
  <c r="AT545" i="11" s="1"/>
  <c r="AT503" i="11"/>
  <c r="AV501" i="11"/>
  <c r="AU541" i="11"/>
  <c r="AV520" i="11"/>
  <c r="AU548" i="11"/>
  <c r="AV498" i="11"/>
  <c r="AU540" i="11"/>
  <c r="AV523" i="11"/>
  <c r="AU549" i="11"/>
  <c r="AV514" i="11"/>
  <c r="AU546" i="11"/>
  <c r="AV529" i="11"/>
  <c r="AU551" i="11"/>
  <c r="AU543" i="11"/>
  <c r="AV506" i="11"/>
  <c r="AU552" i="11"/>
  <c r="AV532" i="11"/>
  <c r="AV495" i="11"/>
  <c r="AU539" i="11"/>
  <c r="AU503" i="11"/>
  <c r="AU542" i="11" s="1"/>
  <c r="AV435" i="11"/>
  <c r="AU448" i="11"/>
  <c r="AV438" i="11"/>
  <c r="AU450" i="11"/>
  <c r="AV432" i="11"/>
  <c r="AV447" i="11" s="1"/>
  <c r="AU443" i="11"/>
  <c r="AU449" i="11" s="1"/>
  <c r="AX83" i="11"/>
  <c r="AX81" i="11"/>
  <c r="AX80" i="11"/>
  <c r="AX82" i="11"/>
  <c r="AX79" i="11"/>
  <c r="AY73" i="11"/>
  <c r="AY75" i="11"/>
  <c r="AY74" i="11"/>
  <c r="AW84" i="11"/>
  <c r="AV115" i="11"/>
  <c r="AV117" i="11" s="1"/>
  <c r="AV309" i="11" s="1"/>
  <c r="AV127" i="11"/>
  <c r="AV129" i="11" s="1"/>
  <c r="AV313" i="11" s="1"/>
  <c r="AU190" i="11"/>
  <c r="AV105" i="11"/>
  <c r="AV108" i="11" s="1"/>
  <c r="AV95" i="11"/>
  <c r="AV98" i="11" s="1"/>
  <c r="AK180" i="11"/>
  <c r="AL8" i="11"/>
  <c r="AU191" i="11"/>
  <c r="V188" i="20"/>
  <c r="U11" i="17"/>
  <c r="T187" i="20"/>
  <c r="W188" i="20"/>
  <c r="BE976" i="20"/>
  <c r="BF988" i="20"/>
  <c r="V185" i="20" s="1"/>
  <c r="BF901" i="20"/>
  <c r="BF980" i="20"/>
  <c r="V177" i="20" s="1"/>
  <c r="BF984" i="20"/>
  <c r="V181" i="20" s="1"/>
  <c r="BF964" i="20"/>
  <c r="BF970" i="20"/>
  <c r="BG889" i="20"/>
  <c r="BG895" i="20"/>
  <c r="BF983" i="20"/>
  <c r="V180" i="20" s="1"/>
  <c r="BF985" i="20"/>
  <c r="V182" i="20" s="1"/>
  <c r="BE876" i="20"/>
  <c r="BF864" i="20"/>
  <c r="BF870" i="20"/>
  <c r="BF981" i="20"/>
  <c r="V178" i="20" s="1"/>
  <c r="BF982" i="20"/>
  <c r="V179" i="20" s="1"/>
  <c r="BF989" i="20"/>
  <c r="V186" i="20" s="1"/>
  <c r="BE991" i="20"/>
  <c r="BF987" i="20"/>
  <c r="V184" i="20" s="1"/>
  <c r="BF986" i="20"/>
  <c r="V183" i="20" s="1"/>
  <c r="BH930" i="20"/>
  <c r="BH855" i="20"/>
  <c r="BH230" i="20"/>
  <c r="BH990" i="20" s="1"/>
  <c r="BH905" i="20"/>
  <c r="BH880" i="20"/>
  <c r="BH765" i="20"/>
  <c r="BH890" i="20" s="1"/>
  <c r="BH754" i="20"/>
  <c r="BH776" i="20"/>
  <c r="BH891" i="20" s="1"/>
  <c r="BF857" i="20"/>
  <c r="BI275" i="20"/>
  <c r="BH283" i="20"/>
  <c r="BI799" i="20"/>
  <c r="BG840" i="20"/>
  <c r="BG965" i="20" s="1"/>
  <c r="BG773" i="20"/>
  <c r="BG868" i="20" s="1"/>
  <c r="BG807" i="20"/>
  <c r="BG796" i="20"/>
  <c r="BH788" i="20"/>
  <c r="BG851" i="20"/>
  <c r="BG966" i="20" s="1"/>
  <c r="BG784" i="20"/>
  <c r="BG869" i="20" s="1"/>
  <c r="BG762" i="20"/>
  <c r="BG867" i="20" s="1"/>
  <c r="BG818" i="20"/>
  <c r="BG751" i="20"/>
  <c r="BG866" i="20" s="1"/>
  <c r="BH732" i="20"/>
  <c r="BG740" i="20"/>
  <c r="BG865" i="20" s="1"/>
  <c r="BH721" i="20"/>
  <c r="BG729" i="20"/>
  <c r="BG829" i="20"/>
  <c r="BG667" i="20"/>
  <c r="BG959" i="20" s="1"/>
  <c r="BG623" i="20"/>
  <c r="BG656" i="20"/>
  <c r="BG958" i="20" s="1"/>
  <c r="BG634" i="20"/>
  <c r="BG645" i="20"/>
  <c r="BG678" i="20"/>
  <c r="BH548" i="20"/>
  <c r="BH883" i="20" s="1"/>
  <c r="BG556" i="20"/>
  <c r="BH537" i="20"/>
  <c r="BG545" i="20"/>
  <c r="BG534" i="20"/>
  <c r="BG859" i="20" s="1"/>
  <c r="BG944" i="20" s="1"/>
  <c r="BG951" i="20" s="1"/>
  <c r="BG567" i="20"/>
  <c r="BH559" i="20"/>
  <c r="BH884" i="20" s="1"/>
  <c r="BH969" i="20" s="1"/>
  <c r="BG578" i="20"/>
  <c r="BH570" i="20"/>
  <c r="BH523" i="20"/>
  <c r="BH858" i="20" s="1"/>
  <c r="BH414" i="20"/>
  <c r="BG422" i="20"/>
  <c r="BH444" i="20"/>
  <c r="BG452" i="20"/>
  <c r="BG442" i="20"/>
  <c r="BH434" i="20"/>
  <c r="BG432" i="20"/>
  <c r="BG907" i="20" s="1"/>
  <c r="BG926" i="20" s="1"/>
  <c r="BH424" i="20"/>
  <c r="BG462" i="20"/>
  <c r="BH454" i="20"/>
  <c r="BG472" i="20"/>
  <c r="BH464" i="20"/>
  <c r="BH317" i="20"/>
  <c r="BG325" i="20"/>
  <c r="BG345" i="20"/>
  <c r="BH337" i="20"/>
  <c r="BH297" i="20"/>
  <c r="BG305" i="20"/>
  <c r="BH347" i="20"/>
  <c r="BG355" i="20"/>
  <c r="BH307" i="20"/>
  <c r="BG315" i="20"/>
  <c r="BH327" i="20"/>
  <c r="BG335" i="20"/>
  <c r="BH402" i="20"/>
  <c r="BH392" i="20"/>
  <c r="BG382" i="20"/>
  <c r="BG980" i="20" s="1"/>
  <c r="W177" i="20" s="1"/>
  <c r="BH412" i="20"/>
  <c r="BI293" i="20"/>
  <c r="BI273" i="20"/>
  <c r="BH263" i="20"/>
  <c r="BH856" i="20" s="1"/>
  <c r="BI143" i="20"/>
  <c r="BI151" i="20" s="1"/>
  <c r="BI224" i="20" s="1"/>
  <c r="BI195" i="20"/>
  <c r="BI203" i="20" s="1"/>
  <c r="BI228" i="20" s="1"/>
  <c r="BI156" i="20"/>
  <c r="BI164" i="20" s="1"/>
  <c r="BI225" i="20" s="1"/>
  <c r="BI208" i="20"/>
  <c r="BI216" i="20" s="1"/>
  <c r="BI229" i="20" s="1"/>
  <c r="BI182" i="20"/>
  <c r="BI190" i="20" s="1"/>
  <c r="BI227" i="20" s="1"/>
  <c r="BI169" i="20"/>
  <c r="BI177" i="20" s="1"/>
  <c r="BI226" i="20" s="1"/>
  <c r="BI99" i="20"/>
  <c r="BI107" i="20" s="1"/>
  <c r="BI223" i="20" s="1"/>
  <c r="BI79" i="20"/>
  <c r="BI87" i="20" s="1"/>
  <c r="BI222" i="20" s="1"/>
  <c r="BI61" i="20"/>
  <c r="BI69" i="20" s="1"/>
  <c r="BI221" i="20" s="1"/>
  <c r="BI43" i="20"/>
  <c r="BI51" i="20" s="1"/>
  <c r="BI220" i="20" s="1"/>
  <c r="BJ5" i="20"/>
  <c r="T93" i="18"/>
  <c r="AC93" i="18"/>
  <c r="AA93" i="18"/>
  <c r="AJ93" i="18"/>
  <c r="AM93" i="18"/>
  <c r="Z93" i="18"/>
  <c r="AH93" i="18"/>
  <c r="AK93" i="18"/>
  <c r="AF93" i="18"/>
  <c r="AG93" i="18"/>
  <c r="V93" i="18"/>
  <c r="W93" i="18"/>
  <c r="AI93" i="18"/>
  <c r="AL93" i="18"/>
  <c r="AB93" i="18"/>
  <c r="AD93" i="18"/>
  <c r="AT45" i="11"/>
  <c r="AV591" i="11"/>
  <c r="AW5" i="11"/>
  <c r="AV36" i="11"/>
  <c r="AV34" i="11"/>
  <c r="AV35" i="11"/>
  <c r="AU41" i="11"/>
  <c r="AU43" i="11"/>
  <c r="AU40" i="11"/>
  <c r="AU44" i="11"/>
  <c r="AU42" i="11"/>
  <c r="AC60" i="18"/>
  <c r="Z60" i="18"/>
  <c r="AA60" i="18"/>
  <c r="AJ60" i="18"/>
  <c r="AF60" i="18"/>
  <c r="AG60" i="18"/>
  <c r="AO94" i="18" s="1"/>
  <c r="AD60" i="18"/>
  <c r="AE60" i="18"/>
  <c r="X60" i="18"/>
  <c r="U60" i="18"/>
  <c r="R60" i="18"/>
  <c r="R94" i="18" s="1"/>
  <c r="AH60" i="18"/>
  <c r="AP94" i="18" s="1"/>
  <c r="AI60" i="18"/>
  <c r="AQ94" i="18" s="1"/>
  <c r="S60" i="18"/>
  <c r="S94" i="18" s="1"/>
  <c r="Y60" i="18"/>
  <c r="V60" i="18"/>
  <c r="W60" i="18"/>
  <c r="T60" i="18"/>
  <c r="AB60" i="18"/>
  <c r="Q60" i="18"/>
  <c r="Q94" i="18" s="1"/>
  <c r="N61" i="18"/>
  <c r="AB34" i="18"/>
  <c r="AG24" i="11"/>
  <c r="AF28" i="11"/>
  <c r="AF39" i="11" s="1"/>
  <c r="AP13" i="18"/>
  <c r="AP12" i="18"/>
  <c r="AQ15" i="18"/>
  <c r="AP10" i="18"/>
  <c r="AO16" i="18"/>
  <c r="AP14" i="18"/>
  <c r="AQ11" i="18"/>
  <c r="O23" i="16"/>
  <c r="P21" i="16"/>
  <c r="P33" i="16" s="1"/>
  <c r="P35" i="16" s="1"/>
  <c r="AA240" i="11"/>
  <c r="AA237" i="11"/>
  <c r="AB239" i="11"/>
  <c r="AA238" i="11"/>
  <c r="AA236" i="11"/>
  <c r="AA242" i="11"/>
  <c r="AA241" i="11"/>
  <c r="AB235" i="11"/>
  <c r="Y200" i="11"/>
  <c r="AL179" i="11" l="1"/>
  <c r="AL202" i="11"/>
  <c r="AW151" i="11"/>
  <c r="AW150" i="11"/>
  <c r="AW149" i="11"/>
  <c r="AU160" i="11"/>
  <c r="AV159" i="11"/>
  <c r="AV157" i="11"/>
  <c r="AV158" i="11"/>
  <c r="AV155" i="11"/>
  <c r="AV156" i="11"/>
  <c r="AX170" i="11"/>
  <c r="AX629" i="11" s="1"/>
  <c r="AW321" i="11"/>
  <c r="AY574" i="11"/>
  <c r="AY570" i="11"/>
  <c r="AY573" i="11"/>
  <c r="AY572" i="11"/>
  <c r="AY571" i="11"/>
  <c r="AV467" i="11"/>
  <c r="AV468" i="11"/>
  <c r="AV470" i="11"/>
  <c r="AV469" i="11"/>
  <c r="AV466" i="11"/>
  <c r="AV543" i="11"/>
  <c r="AW506" i="11"/>
  <c r="AW514" i="11"/>
  <c r="AV546" i="11"/>
  <c r="AW526" i="11"/>
  <c r="AV550" i="11"/>
  <c r="AW495" i="11"/>
  <c r="AV539" i="11"/>
  <c r="AT542" i="11"/>
  <c r="AW498" i="11"/>
  <c r="AV540" i="11"/>
  <c r="AW501" i="11"/>
  <c r="AV541" i="11"/>
  <c r="AV552" i="11"/>
  <c r="AW532" i="11"/>
  <c r="AW529" i="11"/>
  <c r="AV551" i="11"/>
  <c r="AW523" i="11"/>
  <c r="AV549" i="11"/>
  <c r="AW520" i="11"/>
  <c r="AV548" i="11"/>
  <c r="AV535" i="11"/>
  <c r="AV511" i="11" s="1"/>
  <c r="AU553" i="11"/>
  <c r="AW438" i="11"/>
  <c r="AV450" i="11"/>
  <c r="AW435" i="11"/>
  <c r="AV448" i="11"/>
  <c r="AW432" i="11"/>
  <c r="AW447" i="11" s="1"/>
  <c r="AV443" i="11"/>
  <c r="AV449" i="11" s="1"/>
  <c r="AY83" i="11"/>
  <c r="AY80" i="11"/>
  <c r="AY82" i="11"/>
  <c r="AY81" i="11"/>
  <c r="AY79" i="11"/>
  <c r="AZ74" i="11"/>
  <c r="AZ75" i="11"/>
  <c r="AZ73" i="11"/>
  <c r="AX84" i="11"/>
  <c r="AW115" i="11"/>
  <c r="AW117" i="11" s="1"/>
  <c r="AW309" i="11" s="1"/>
  <c r="AW127" i="11"/>
  <c r="AW129" i="11" s="1"/>
  <c r="AW313" i="11" s="1"/>
  <c r="AW105" i="11"/>
  <c r="AW108" i="11" s="1"/>
  <c r="AW95" i="11"/>
  <c r="AW98" i="11" s="1"/>
  <c r="AV190" i="11"/>
  <c r="AM8" i="11"/>
  <c r="AL180" i="11"/>
  <c r="AV191" i="11"/>
  <c r="V11" i="17"/>
  <c r="U187" i="20"/>
  <c r="X188" i="20"/>
  <c r="BF976" i="20"/>
  <c r="BG901" i="20"/>
  <c r="AO99" i="18"/>
  <c r="AO102" i="18"/>
  <c r="AA10" i="17" s="1"/>
  <c r="AO103" i="18"/>
  <c r="AA12" i="17" s="1"/>
  <c r="AQ99" i="18"/>
  <c r="AQ103" i="18"/>
  <c r="AC12" i="17" s="1"/>
  <c r="AQ102" i="18"/>
  <c r="AP99" i="18"/>
  <c r="AP103" i="18"/>
  <c r="AB12" i="17" s="1"/>
  <c r="AP102" i="18"/>
  <c r="AB10" i="17" s="1"/>
  <c r="BG964" i="20"/>
  <c r="BG970" i="20"/>
  <c r="BH889" i="20"/>
  <c r="BH895" i="20"/>
  <c r="BG982" i="20"/>
  <c r="W179" i="20" s="1"/>
  <c r="BG987" i="20"/>
  <c r="W184" i="20" s="1"/>
  <c r="BG989" i="20"/>
  <c r="W186" i="20" s="1"/>
  <c r="BG988" i="20"/>
  <c r="W185" i="20" s="1"/>
  <c r="BG981" i="20"/>
  <c r="W178" i="20" s="1"/>
  <c r="BG986" i="20"/>
  <c r="W183" i="20" s="1"/>
  <c r="BF876" i="20"/>
  <c r="BG864" i="20"/>
  <c r="BG870" i="20"/>
  <c r="BG983" i="20"/>
  <c r="W180" i="20" s="1"/>
  <c r="BF991" i="20"/>
  <c r="BG985" i="20"/>
  <c r="W182" i="20" s="1"/>
  <c r="BG984" i="20"/>
  <c r="W181" i="20" s="1"/>
  <c r="BI930" i="20"/>
  <c r="BI855" i="20"/>
  <c r="BI230" i="20"/>
  <c r="BI990" i="20" s="1"/>
  <c r="AN94" i="18"/>
  <c r="AR94" i="18"/>
  <c r="U94" i="18"/>
  <c r="AG94" i="18"/>
  <c r="BI880" i="20"/>
  <c r="BI905" i="20"/>
  <c r="BI754" i="20"/>
  <c r="BI776" i="20"/>
  <c r="BI891" i="20" s="1"/>
  <c r="BI765" i="20"/>
  <c r="BI890" i="20" s="1"/>
  <c r="BG857" i="20"/>
  <c r="BJ275" i="20"/>
  <c r="BJ283" i="20" s="1"/>
  <c r="BI283" i="20"/>
  <c r="AF94" i="18"/>
  <c r="AB94" i="18"/>
  <c r="AD94" i="18"/>
  <c r="Z94" i="18"/>
  <c r="Y94" i="18"/>
  <c r="AI94" i="18"/>
  <c r="AL94" i="18"/>
  <c r="X94" i="18"/>
  <c r="AC94" i="18"/>
  <c r="W94" i="18"/>
  <c r="V94" i="18"/>
  <c r="AH94" i="18"/>
  <c r="AK94" i="18"/>
  <c r="AE94" i="18"/>
  <c r="AJ94" i="18"/>
  <c r="AM94" i="18"/>
  <c r="AA94" i="18"/>
  <c r="T94" i="18"/>
  <c r="BJ799" i="20"/>
  <c r="BH829" i="20"/>
  <c r="BH784" i="20"/>
  <c r="BH869" i="20" s="1"/>
  <c r="BI732" i="20"/>
  <c r="BH740" i="20"/>
  <c r="BH865" i="20" s="1"/>
  <c r="BH773" i="20"/>
  <c r="BH868" i="20" s="1"/>
  <c r="BI788" i="20"/>
  <c r="BH796" i="20"/>
  <c r="BH751" i="20"/>
  <c r="BH866" i="20" s="1"/>
  <c r="BH840" i="20"/>
  <c r="BH965" i="20" s="1"/>
  <c r="BH818" i="20"/>
  <c r="BI721" i="20"/>
  <c r="BH729" i="20"/>
  <c r="BH762" i="20"/>
  <c r="BH867" i="20" s="1"/>
  <c r="BH851" i="20"/>
  <c r="BH966" i="20" s="1"/>
  <c r="BH807" i="20"/>
  <c r="BH623" i="20"/>
  <c r="BH678" i="20"/>
  <c r="BH645" i="20"/>
  <c r="BH656" i="20"/>
  <c r="BH958" i="20" s="1"/>
  <c r="BH667" i="20"/>
  <c r="BH959" i="20" s="1"/>
  <c r="BH634" i="20"/>
  <c r="BH567" i="20"/>
  <c r="BI559" i="20"/>
  <c r="BI884" i="20" s="1"/>
  <c r="BI969" i="20" s="1"/>
  <c r="BI537" i="20"/>
  <c r="BH545" i="20"/>
  <c r="BH578" i="20"/>
  <c r="BI570" i="20"/>
  <c r="BH534" i="20"/>
  <c r="BH859" i="20" s="1"/>
  <c r="BH944" i="20" s="1"/>
  <c r="BH951" i="20" s="1"/>
  <c r="BH556" i="20"/>
  <c r="BI548" i="20"/>
  <c r="BI883" i="20" s="1"/>
  <c r="BI523" i="20"/>
  <c r="BI858" i="20" s="1"/>
  <c r="BI444" i="20"/>
  <c r="BH452" i="20"/>
  <c r="BH472" i="20"/>
  <c r="BI464" i="20"/>
  <c r="BH462" i="20"/>
  <c r="BI454" i="20"/>
  <c r="BH442" i="20"/>
  <c r="BI434" i="20"/>
  <c r="BH432" i="20"/>
  <c r="BH907" i="20" s="1"/>
  <c r="BH926" i="20" s="1"/>
  <c r="BI424" i="20"/>
  <c r="BI414" i="20"/>
  <c r="BH422" i="20"/>
  <c r="BH335" i="20"/>
  <c r="BI327" i="20"/>
  <c r="BI347" i="20"/>
  <c r="BH355" i="20"/>
  <c r="BH345" i="20"/>
  <c r="BI337" i="20"/>
  <c r="BI307" i="20"/>
  <c r="BH315" i="20"/>
  <c r="BI297" i="20"/>
  <c r="BH305" i="20"/>
  <c r="BH325" i="20"/>
  <c r="BI317" i="20"/>
  <c r="BI412" i="20"/>
  <c r="BI392" i="20"/>
  <c r="BH382" i="20"/>
  <c r="BI402" i="20"/>
  <c r="BJ273" i="20"/>
  <c r="BJ293" i="20"/>
  <c r="BI263" i="20"/>
  <c r="BI856" i="20" s="1"/>
  <c r="BJ143" i="20"/>
  <c r="BJ151" i="20" s="1"/>
  <c r="BJ224" i="20" s="1"/>
  <c r="BJ156" i="20"/>
  <c r="BJ164" i="20" s="1"/>
  <c r="BJ225" i="20" s="1"/>
  <c r="BJ195" i="20"/>
  <c r="BJ203" i="20" s="1"/>
  <c r="BJ228" i="20" s="1"/>
  <c r="BJ169" i="20"/>
  <c r="BJ177" i="20" s="1"/>
  <c r="BJ226" i="20" s="1"/>
  <c r="BJ182" i="20"/>
  <c r="BJ190" i="20" s="1"/>
  <c r="BJ227" i="20" s="1"/>
  <c r="BJ208" i="20"/>
  <c r="BJ216" i="20" s="1"/>
  <c r="BJ229" i="20" s="1"/>
  <c r="BJ99" i="20"/>
  <c r="BJ107" i="20" s="1"/>
  <c r="BJ223" i="20" s="1"/>
  <c r="BJ79" i="20"/>
  <c r="BJ87" i="20" s="1"/>
  <c r="BJ222" i="20" s="1"/>
  <c r="BJ43" i="20"/>
  <c r="BJ51" i="20" s="1"/>
  <c r="BJ220" i="20" s="1"/>
  <c r="BJ61" i="20"/>
  <c r="BJ69" i="20" s="1"/>
  <c r="BJ221" i="20" s="1"/>
  <c r="BK5" i="20"/>
  <c r="AV41" i="11"/>
  <c r="AV43" i="11"/>
  <c r="AV42" i="11"/>
  <c r="AV44" i="11"/>
  <c r="AV40" i="11"/>
  <c r="AW591" i="11"/>
  <c r="AW35" i="11"/>
  <c r="AW36" i="11"/>
  <c r="AX5" i="11"/>
  <c r="AW34" i="11"/>
  <c r="AU45" i="11"/>
  <c r="AA61" i="18"/>
  <c r="AA95" i="18" s="1"/>
  <c r="X61" i="18"/>
  <c r="X95" i="18" s="1"/>
  <c r="U61" i="18"/>
  <c r="U95" i="18" s="1"/>
  <c r="R61" i="18"/>
  <c r="R95" i="18" s="1"/>
  <c r="AD61" i="18"/>
  <c r="AD95" i="18" s="1"/>
  <c r="AE61" i="18"/>
  <c r="AE95" i="18" s="1"/>
  <c r="AB61" i="18"/>
  <c r="AB95" i="18" s="1"/>
  <c r="Y61" i="18"/>
  <c r="Y95" i="18" s="1"/>
  <c r="AH61" i="18"/>
  <c r="AH95" i="18" s="1"/>
  <c r="Z61" i="18"/>
  <c r="Z95" i="18" s="1"/>
  <c r="S61" i="18"/>
  <c r="S95" i="18" s="1"/>
  <c r="AI61" i="18"/>
  <c r="AI95" i="18" s="1"/>
  <c r="AF61" i="18"/>
  <c r="AF95" i="18" s="1"/>
  <c r="AC61" i="18"/>
  <c r="AC95" i="18" s="1"/>
  <c r="Q61" i="18"/>
  <c r="Q95" i="18" s="1"/>
  <c r="W61" i="18"/>
  <c r="W95" i="18" s="1"/>
  <c r="T61" i="18"/>
  <c r="T95" i="18" s="1"/>
  <c r="AJ61" i="18"/>
  <c r="AJ95" i="18" s="1"/>
  <c r="AG61" i="18"/>
  <c r="AG95" i="18" s="1"/>
  <c r="V61" i="18"/>
  <c r="V95" i="18" s="1"/>
  <c r="AC34" i="18"/>
  <c r="N62" i="18"/>
  <c r="AH24" i="11"/>
  <c r="AG28" i="11"/>
  <c r="AG39" i="11" s="1"/>
  <c r="AQ14" i="18"/>
  <c r="AQ10" i="18"/>
  <c r="AP16" i="18"/>
  <c r="AQ12" i="18"/>
  <c r="AR11" i="18"/>
  <c r="AR15" i="18"/>
  <c r="AQ13" i="18"/>
  <c r="P23" i="16"/>
  <c r="Q21" i="16"/>
  <c r="Q33" i="16" s="1"/>
  <c r="Q35" i="16" s="1"/>
  <c r="Y337" i="11"/>
  <c r="Y226" i="11"/>
  <c r="Y203" i="11"/>
  <c r="AC235" i="11"/>
  <c r="AB241" i="11"/>
  <c r="AB240" i="11"/>
  <c r="AB242" i="11"/>
  <c r="AB238" i="11"/>
  <c r="AB237" i="11"/>
  <c r="AB236" i="11"/>
  <c r="AC239" i="11"/>
  <c r="Z200" i="11"/>
  <c r="X48" i="11"/>
  <c r="W21" i="11"/>
  <c r="X52" i="11" s="1"/>
  <c r="Z21" i="11"/>
  <c r="X112" i="11" s="1"/>
  <c r="Y21" i="11"/>
  <c r="AB21" i="11"/>
  <c r="X136" i="11" s="1"/>
  <c r="X21" i="11"/>
  <c r="AC21" i="11"/>
  <c r="X167" i="11" s="1"/>
  <c r="Y167" i="11" s="1"/>
  <c r="AA21" i="11"/>
  <c r="X124" i="11" l="1"/>
  <c r="X132" i="11" s="1"/>
  <c r="AM179" i="11"/>
  <c r="AM202" i="11"/>
  <c r="AV545" i="11"/>
  <c r="G217" i="11"/>
  <c r="AV160" i="11"/>
  <c r="AX151" i="11"/>
  <c r="AX150" i="11"/>
  <c r="AX149" i="11"/>
  <c r="AW155" i="11"/>
  <c r="AW158" i="11"/>
  <c r="AW157" i="11"/>
  <c r="AW156" i="11"/>
  <c r="AW159" i="11"/>
  <c r="Y296" i="11"/>
  <c r="Y295" i="11"/>
  <c r="Y297" i="11"/>
  <c r="Y298" i="11"/>
  <c r="Y294" i="11"/>
  <c r="AY170" i="11"/>
  <c r="AY629" i="11" s="1"/>
  <c r="AX321" i="11"/>
  <c r="AZ573" i="11"/>
  <c r="AZ574" i="11"/>
  <c r="AZ571" i="11"/>
  <c r="AZ570" i="11"/>
  <c r="AZ572" i="11"/>
  <c r="AW466" i="11"/>
  <c r="AW467" i="11"/>
  <c r="AW468" i="11"/>
  <c r="AW470" i="11"/>
  <c r="AW469" i="11"/>
  <c r="Y338" i="11"/>
  <c r="AV503" i="11"/>
  <c r="AX495" i="11"/>
  <c r="AW539" i="11"/>
  <c r="AX520" i="11"/>
  <c r="AW548" i="11"/>
  <c r="AX529" i="11"/>
  <c r="AW551" i="11"/>
  <c r="AX501" i="11"/>
  <c r="AW541" i="11"/>
  <c r="AX514" i="11"/>
  <c r="AW546" i="11"/>
  <c r="AW552" i="11"/>
  <c r="AX532" i="11"/>
  <c r="AW543" i="11"/>
  <c r="AX506" i="11"/>
  <c r="AW535" i="11"/>
  <c r="AW503" i="11" s="1"/>
  <c r="AV553" i="11"/>
  <c r="AX523" i="11"/>
  <c r="AW549" i="11"/>
  <c r="AX498" i="11"/>
  <c r="AW540" i="11"/>
  <c r="AX526" i="11"/>
  <c r="AW550" i="11"/>
  <c r="AX435" i="11"/>
  <c r="AW448" i="11"/>
  <c r="AX438" i="11"/>
  <c r="AW450" i="11"/>
  <c r="AX432" i="11"/>
  <c r="AX447" i="11" s="1"/>
  <c r="AW443" i="11"/>
  <c r="AW449" i="11" s="1"/>
  <c r="AZ79" i="11"/>
  <c r="AZ82" i="11"/>
  <c r="AZ83" i="11"/>
  <c r="AZ80" i="11"/>
  <c r="AZ81" i="11"/>
  <c r="BA75" i="11"/>
  <c r="BA73" i="11"/>
  <c r="BA74" i="11"/>
  <c r="AY84" i="11"/>
  <c r="Y136" i="11"/>
  <c r="Y163" i="11" s="1"/>
  <c r="Y194" i="11" s="1"/>
  <c r="X163" i="11"/>
  <c r="AX115" i="11"/>
  <c r="AX117" i="11" s="1"/>
  <c r="AX309" i="11" s="1"/>
  <c r="AX127" i="11"/>
  <c r="AX129" i="11" s="1"/>
  <c r="AX313" i="11" s="1"/>
  <c r="Y112" i="11"/>
  <c r="X120" i="11"/>
  <c r="Y264" i="11"/>
  <c r="Y271" i="11" s="1"/>
  <c r="Y252" i="11"/>
  <c r="AW190" i="11"/>
  <c r="AX105" i="11"/>
  <c r="AX108" i="11" s="1"/>
  <c r="AX95" i="11"/>
  <c r="AX98" i="11" s="1"/>
  <c r="AN8" i="11"/>
  <c r="AM180" i="11"/>
  <c r="AW191" i="11"/>
  <c r="X173" i="11"/>
  <c r="Y188" i="20"/>
  <c r="W11" i="17"/>
  <c r="V187" i="20"/>
  <c r="BH901" i="20"/>
  <c r="BG976" i="20"/>
  <c r="AQ104" i="18"/>
  <c r="AC10" i="17"/>
  <c r="AO104" i="18"/>
  <c r="AP104" i="18"/>
  <c r="AN99" i="18"/>
  <c r="AN103" i="18"/>
  <c r="Z12" i="17" s="1"/>
  <c r="AN102" i="18"/>
  <c r="Z10" i="17" s="1"/>
  <c r="AR99" i="18"/>
  <c r="AR102" i="18"/>
  <c r="AD10" i="17" s="1"/>
  <c r="AR103" i="18"/>
  <c r="AD12" i="17" s="1"/>
  <c r="BH964" i="20"/>
  <c r="BH970" i="20"/>
  <c r="BI889" i="20"/>
  <c r="BI895" i="20"/>
  <c r="BH988" i="20"/>
  <c r="X185" i="20" s="1"/>
  <c r="BH985" i="20"/>
  <c r="X182" i="20" s="1"/>
  <c r="BH989" i="20"/>
  <c r="X186" i="20" s="1"/>
  <c r="BH986" i="20"/>
  <c r="X183" i="20" s="1"/>
  <c r="BH983" i="20"/>
  <c r="X180" i="20" s="1"/>
  <c r="BG876" i="20"/>
  <c r="BH864" i="20"/>
  <c r="BH870" i="20"/>
  <c r="BH981" i="20"/>
  <c r="X178" i="20" s="1"/>
  <c r="BH982" i="20"/>
  <c r="X179" i="20" s="1"/>
  <c r="BG991" i="20"/>
  <c r="BH980" i="20"/>
  <c r="X177" i="20" s="1"/>
  <c r="BH987" i="20"/>
  <c r="X184" i="20" s="1"/>
  <c r="BH984" i="20"/>
  <c r="X181" i="20" s="1"/>
  <c r="BJ930" i="20"/>
  <c r="BJ855" i="20"/>
  <c r="BJ230" i="20"/>
  <c r="BJ990" i="20" s="1"/>
  <c r="BJ880" i="20"/>
  <c r="BJ905" i="20"/>
  <c r="BJ765" i="20"/>
  <c r="BJ890" i="20" s="1"/>
  <c r="BJ776" i="20"/>
  <c r="BJ891" i="20" s="1"/>
  <c r="BJ754" i="20"/>
  <c r="BH857" i="20"/>
  <c r="BK275" i="20"/>
  <c r="BK283" i="20" s="1"/>
  <c r="BK799" i="20"/>
  <c r="BI751" i="20"/>
  <c r="BI866" i="20" s="1"/>
  <c r="BI818" i="20"/>
  <c r="BI773" i="20"/>
  <c r="BI868" i="20" s="1"/>
  <c r="BI807" i="20"/>
  <c r="BI851" i="20"/>
  <c r="BI966" i="20" s="1"/>
  <c r="BI840" i="20"/>
  <c r="BI965" i="20" s="1"/>
  <c r="BI829" i="20"/>
  <c r="BI762" i="20"/>
  <c r="BI867" i="20" s="1"/>
  <c r="BI784" i="20"/>
  <c r="BI869" i="20" s="1"/>
  <c r="BJ721" i="20"/>
  <c r="BI729" i="20"/>
  <c r="BJ788" i="20"/>
  <c r="BI796" i="20"/>
  <c r="BJ732" i="20"/>
  <c r="BI740" i="20"/>
  <c r="BI865" i="20" s="1"/>
  <c r="BI656" i="20"/>
  <c r="BI958" i="20" s="1"/>
  <c r="BI678" i="20"/>
  <c r="BI634" i="20"/>
  <c r="BI667" i="20"/>
  <c r="BI959" i="20" s="1"/>
  <c r="BI623" i="20"/>
  <c r="BI645" i="20"/>
  <c r="BI534" i="20"/>
  <c r="BI859" i="20" s="1"/>
  <c r="BI944" i="20" s="1"/>
  <c r="BI951" i="20" s="1"/>
  <c r="BJ537" i="20"/>
  <c r="BI545" i="20"/>
  <c r="BI556" i="20"/>
  <c r="BJ548" i="20"/>
  <c r="BJ883" i="20" s="1"/>
  <c r="BJ570" i="20"/>
  <c r="BI578" i="20"/>
  <c r="BI567" i="20"/>
  <c r="BJ559" i="20"/>
  <c r="BJ884" i="20" s="1"/>
  <c r="BJ969" i="20" s="1"/>
  <c r="BJ523" i="20"/>
  <c r="BJ858" i="20" s="1"/>
  <c r="BI442" i="20"/>
  <c r="BJ434" i="20"/>
  <c r="BJ414" i="20"/>
  <c r="BI422" i="20"/>
  <c r="BI472" i="20"/>
  <c r="BJ464" i="20"/>
  <c r="BI432" i="20"/>
  <c r="BI907" i="20" s="1"/>
  <c r="BI926" i="20" s="1"/>
  <c r="BJ424" i="20"/>
  <c r="BI462" i="20"/>
  <c r="BJ454" i="20"/>
  <c r="BJ444" i="20"/>
  <c r="BI452" i="20"/>
  <c r="BI325" i="20"/>
  <c r="BJ317" i="20"/>
  <c r="BI345" i="20"/>
  <c r="BJ337" i="20"/>
  <c r="BJ327" i="20"/>
  <c r="BI335" i="20"/>
  <c r="BJ307" i="20"/>
  <c r="BI315" i="20"/>
  <c r="BJ347" i="20"/>
  <c r="BI355" i="20"/>
  <c r="BJ297" i="20"/>
  <c r="BI305" i="20"/>
  <c r="BJ402" i="20"/>
  <c r="BJ392" i="20"/>
  <c r="BI382" i="20"/>
  <c r="BI980" i="20" s="1"/>
  <c r="Y177" i="20" s="1"/>
  <c r="BJ412" i="20"/>
  <c r="BK293" i="20"/>
  <c r="BK273" i="20"/>
  <c r="BJ263" i="20"/>
  <c r="BJ856" i="20" s="1"/>
  <c r="BK143" i="20"/>
  <c r="BK151" i="20" s="1"/>
  <c r="BK224" i="20" s="1"/>
  <c r="BK195" i="20"/>
  <c r="BK203" i="20" s="1"/>
  <c r="BK228" i="20" s="1"/>
  <c r="BK156" i="20"/>
  <c r="BK164" i="20" s="1"/>
  <c r="BK225" i="20" s="1"/>
  <c r="BK169" i="20"/>
  <c r="BK177" i="20" s="1"/>
  <c r="BK226" i="20" s="1"/>
  <c r="BK208" i="20"/>
  <c r="BK216" i="20" s="1"/>
  <c r="BK229" i="20" s="1"/>
  <c r="BK182" i="20"/>
  <c r="BK190" i="20" s="1"/>
  <c r="BK227" i="20" s="1"/>
  <c r="BK99" i="20"/>
  <c r="BK107" i="20" s="1"/>
  <c r="BK223" i="20" s="1"/>
  <c r="BK79" i="20"/>
  <c r="BK87" i="20" s="1"/>
  <c r="BK222" i="20" s="1"/>
  <c r="BK43" i="20"/>
  <c r="BK51" i="20" s="1"/>
  <c r="BK220" i="20" s="1"/>
  <c r="BK61" i="20"/>
  <c r="BK69" i="20" s="1"/>
  <c r="BK221" i="20" s="1"/>
  <c r="BL5" i="20"/>
  <c r="AW44" i="11"/>
  <c r="AW40" i="11"/>
  <c r="AW41" i="11"/>
  <c r="AW43" i="11"/>
  <c r="AW42" i="11"/>
  <c r="AX591" i="11"/>
  <c r="AX34" i="11"/>
  <c r="AY5" i="11"/>
  <c r="AX35" i="11"/>
  <c r="AX36" i="11"/>
  <c r="AV45" i="11"/>
  <c r="X87" i="11"/>
  <c r="Y25" i="11"/>
  <c r="T62" i="18"/>
  <c r="T96" i="18" s="1"/>
  <c r="AJ62" i="18"/>
  <c r="AJ96" i="18" s="1"/>
  <c r="AC62" i="18"/>
  <c r="AC96" i="18" s="1"/>
  <c r="Z62" i="18"/>
  <c r="Z96" i="18" s="1"/>
  <c r="S62" i="18"/>
  <c r="S96" i="18" s="1"/>
  <c r="X62" i="18"/>
  <c r="X96" i="18" s="1"/>
  <c r="Q62" i="18"/>
  <c r="Q96" i="18" s="1"/>
  <c r="AG62" i="18"/>
  <c r="AG96" i="18" s="1"/>
  <c r="AD62" i="18"/>
  <c r="AD96" i="18" s="1"/>
  <c r="AI62" i="18"/>
  <c r="AI96" i="18" s="1"/>
  <c r="AB62" i="18"/>
  <c r="AB96" i="18" s="1"/>
  <c r="U62" i="18"/>
  <c r="U96" i="18" s="1"/>
  <c r="R62" i="18"/>
  <c r="R96" i="18" s="1"/>
  <c r="AH62" i="18"/>
  <c r="AH96" i="18" s="1"/>
  <c r="W62" i="18"/>
  <c r="W96" i="18" s="1"/>
  <c r="AF62" i="18"/>
  <c r="AF96" i="18" s="1"/>
  <c r="Y62" i="18"/>
  <c r="Y96" i="18" s="1"/>
  <c r="V62" i="18"/>
  <c r="V96" i="18" s="1"/>
  <c r="AE62" i="18"/>
  <c r="AE96" i="18" s="1"/>
  <c r="AA62" i="18"/>
  <c r="AA96" i="18" s="1"/>
  <c r="N63" i="18"/>
  <c r="AD34" i="18"/>
  <c r="Y393" i="11"/>
  <c r="Y346" i="11"/>
  <c r="AI24" i="11"/>
  <c r="AH28" i="11"/>
  <c r="AH39" i="11" s="1"/>
  <c r="AR13" i="18"/>
  <c r="AS11" i="18"/>
  <c r="AR14" i="18"/>
  <c r="AR10" i="18"/>
  <c r="AQ16" i="18"/>
  <c r="AS15" i="18"/>
  <c r="AR12" i="18"/>
  <c r="Q23" i="16"/>
  <c r="R21" i="16"/>
  <c r="R33" i="16" s="1"/>
  <c r="R35" i="16" s="1"/>
  <c r="Y339" i="11"/>
  <c r="Y353" i="11" s="1"/>
  <c r="Y362" i="11"/>
  <c r="Z226" i="11"/>
  <c r="Z337" i="11"/>
  <c r="Z203" i="11"/>
  <c r="Y204" i="11"/>
  <c r="AC242" i="11"/>
  <c r="AD239" i="11"/>
  <c r="AC237" i="11"/>
  <c r="AC241" i="11"/>
  <c r="AC236" i="11"/>
  <c r="AC238" i="11"/>
  <c r="AC240" i="11"/>
  <c r="AD235" i="11"/>
  <c r="Z232" i="11"/>
  <c r="AA232" i="11" s="1"/>
  <c r="AB232" i="11" s="1"/>
  <c r="AC232" i="11" s="1"/>
  <c r="AD232" i="11" s="1"/>
  <c r="AE232" i="11" s="1"/>
  <c r="AF232" i="11" s="1"/>
  <c r="AG232" i="11" s="1"/>
  <c r="AH232" i="11" s="1"/>
  <c r="AI232" i="11" s="1"/>
  <c r="AJ232" i="11" s="1"/>
  <c r="AK232" i="11" s="1"/>
  <c r="AL232" i="11" s="1"/>
  <c r="AM232" i="11" s="1"/>
  <c r="AN232" i="11" s="1"/>
  <c r="AO232" i="11" s="1"/>
  <c r="AP232" i="11" s="1"/>
  <c r="AQ232" i="11" s="1"/>
  <c r="AR232" i="11" s="1"/>
  <c r="AS232" i="11" s="1"/>
  <c r="AT232" i="11" s="1"/>
  <c r="AU232" i="11" s="1"/>
  <c r="AV232" i="11" s="1"/>
  <c r="AW232" i="11" s="1"/>
  <c r="AX232" i="11" s="1"/>
  <c r="AY232" i="11" s="1"/>
  <c r="AZ232" i="11" s="1"/>
  <c r="BA232" i="11" s="1"/>
  <c r="Z230" i="11"/>
  <c r="AA230" i="11" s="1"/>
  <c r="AB230" i="11" s="1"/>
  <c r="AC230" i="11" s="1"/>
  <c r="AD230" i="11" s="1"/>
  <c r="AE230" i="11" s="1"/>
  <c r="AF230" i="11" s="1"/>
  <c r="AG230" i="11" s="1"/>
  <c r="AH230" i="11" s="1"/>
  <c r="AI230" i="11" s="1"/>
  <c r="AJ230" i="11" s="1"/>
  <c r="AK230" i="11" s="1"/>
  <c r="AL230" i="11" s="1"/>
  <c r="AM230" i="11" s="1"/>
  <c r="AN230" i="11" s="1"/>
  <c r="AO230" i="11" s="1"/>
  <c r="AP230" i="11" s="1"/>
  <c r="AQ230" i="11" s="1"/>
  <c r="AR230" i="11" s="1"/>
  <c r="AS230" i="11" s="1"/>
  <c r="AT230" i="11" s="1"/>
  <c r="AU230" i="11" s="1"/>
  <c r="AV230" i="11" s="1"/>
  <c r="AW230" i="11" s="1"/>
  <c r="AX230" i="11" s="1"/>
  <c r="AY230" i="11" s="1"/>
  <c r="AZ230" i="11" s="1"/>
  <c r="BA230" i="11" s="1"/>
  <c r="Z234" i="11"/>
  <c r="AA234" i="11" s="1"/>
  <c r="AB234" i="11" s="1"/>
  <c r="AC234" i="11" s="1"/>
  <c r="AD234" i="11" s="1"/>
  <c r="AE234" i="11" s="1"/>
  <c r="AF234" i="11" s="1"/>
  <c r="AG234" i="11" s="1"/>
  <c r="AH234" i="11" s="1"/>
  <c r="AI234" i="11" s="1"/>
  <c r="AJ234" i="11" s="1"/>
  <c r="AK234" i="11" s="1"/>
  <c r="AL234" i="11" s="1"/>
  <c r="AM234" i="11" s="1"/>
  <c r="AN234" i="11" s="1"/>
  <c r="AO234" i="11" s="1"/>
  <c r="AP234" i="11" s="1"/>
  <c r="AQ234" i="11" s="1"/>
  <c r="AR234" i="11" s="1"/>
  <c r="AS234" i="11" s="1"/>
  <c r="AT234" i="11" s="1"/>
  <c r="AU234" i="11" s="1"/>
  <c r="AV234" i="11" s="1"/>
  <c r="AW234" i="11" s="1"/>
  <c r="AX234" i="11" s="1"/>
  <c r="AY234" i="11" s="1"/>
  <c r="AZ234" i="11" s="1"/>
  <c r="BA234" i="11" s="1"/>
  <c r="Z231" i="11"/>
  <c r="AA231" i="11" s="1"/>
  <c r="AB231" i="11" s="1"/>
  <c r="AC231" i="11" s="1"/>
  <c r="AD231" i="11" s="1"/>
  <c r="AE231" i="11" s="1"/>
  <c r="AF231" i="11" s="1"/>
  <c r="AG231" i="11" s="1"/>
  <c r="AH231" i="11" s="1"/>
  <c r="AI231" i="11" s="1"/>
  <c r="AJ231" i="11" s="1"/>
  <c r="AK231" i="11" s="1"/>
  <c r="AL231" i="11" s="1"/>
  <c r="AM231" i="11" s="1"/>
  <c r="AN231" i="11" s="1"/>
  <c r="AO231" i="11" s="1"/>
  <c r="AP231" i="11" s="1"/>
  <c r="AQ231" i="11" s="1"/>
  <c r="AR231" i="11" s="1"/>
  <c r="AS231" i="11" s="1"/>
  <c r="AT231" i="11" s="1"/>
  <c r="AU231" i="11" s="1"/>
  <c r="AV231" i="11" s="1"/>
  <c r="AW231" i="11" s="1"/>
  <c r="AX231" i="11" s="1"/>
  <c r="AY231" i="11" s="1"/>
  <c r="AZ231" i="11" s="1"/>
  <c r="BA231" i="11" s="1"/>
  <c r="Z229" i="11"/>
  <c r="AA229" i="11" s="1"/>
  <c r="AB229" i="11" s="1"/>
  <c r="AC229" i="11" s="1"/>
  <c r="AD229" i="11" s="1"/>
  <c r="AE229" i="11" s="1"/>
  <c r="AF229" i="11" s="1"/>
  <c r="AG229" i="11" s="1"/>
  <c r="AH229" i="11" s="1"/>
  <c r="AI229" i="11" s="1"/>
  <c r="AJ229" i="11" s="1"/>
  <c r="AK229" i="11" s="1"/>
  <c r="AL229" i="11" s="1"/>
  <c r="AM229" i="11" s="1"/>
  <c r="AN229" i="11" s="1"/>
  <c r="AO229" i="11" s="1"/>
  <c r="AP229" i="11" s="1"/>
  <c r="AQ229" i="11" s="1"/>
  <c r="AR229" i="11" s="1"/>
  <c r="AS229" i="11" s="1"/>
  <c r="AT229" i="11" s="1"/>
  <c r="AU229" i="11" s="1"/>
  <c r="AV229" i="11" s="1"/>
  <c r="AW229" i="11" s="1"/>
  <c r="AX229" i="11" s="1"/>
  <c r="AY229" i="11" s="1"/>
  <c r="AZ229" i="11" s="1"/>
  <c r="BA229" i="11" s="1"/>
  <c r="Z228" i="11"/>
  <c r="AA228" i="11" s="1"/>
  <c r="AB228" i="11" s="1"/>
  <c r="AC228" i="11" s="1"/>
  <c r="AD228" i="11" s="1"/>
  <c r="AE228" i="11" s="1"/>
  <c r="AF228" i="11" s="1"/>
  <c r="AG228" i="11" s="1"/>
  <c r="AH228" i="11" s="1"/>
  <c r="AI228" i="11" s="1"/>
  <c r="AJ228" i="11" s="1"/>
  <c r="AK228" i="11" s="1"/>
  <c r="AL228" i="11" s="1"/>
  <c r="AM228" i="11" s="1"/>
  <c r="AN228" i="11" s="1"/>
  <c r="AO228" i="11" s="1"/>
  <c r="AP228" i="11" s="1"/>
  <c r="AQ228" i="11" s="1"/>
  <c r="AR228" i="11" s="1"/>
  <c r="AS228" i="11" s="1"/>
  <c r="AT228" i="11" s="1"/>
  <c r="AU228" i="11" s="1"/>
  <c r="AV228" i="11" s="1"/>
  <c r="AW228" i="11" s="1"/>
  <c r="AX228" i="11" s="1"/>
  <c r="AY228" i="11" s="1"/>
  <c r="AZ228" i="11" s="1"/>
  <c r="BA228" i="11" s="1"/>
  <c r="Z233" i="11"/>
  <c r="AA233" i="11" s="1"/>
  <c r="AB233" i="11" s="1"/>
  <c r="AC233" i="11" s="1"/>
  <c r="AD233" i="11" s="1"/>
  <c r="AE233" i="11" s="1"/>
  <c r="AF233" i="11" s="1"/>
  <c r="AG233" i="11" s="1"/>
  <c r="AH233" i="11" s="1"/>
  <c r="AI233" i="11" s="1"/>
  <c r="AJ233" i="11" s="1"/>
  <c r="AK233" i="11" s="1"/>
  <c r="AL233" i="11" s="1"/>
  <c r="AM233" i="11" s="1"/>
  <c r="AN233" i="11" s="1"/>
  <c r="AO233" i="11" s="1"/>
  <c r="AP233" i="11" s="1"/>
  <c r="AQ233" i="11" s="1"/>
  <c r="AR233" i="11" s="1"/>
  <c r="AS233" i="11" s="1"/>
  <c r="AT233" i="11" s="1"/>
  <c r="AU233" i="11" s="1"/>
  <c r="AV233" i="11" s="1"/>
  <c r="AW233" i="11" s="1"/>
  <c r="AX233" i="11" s="1"/>
  <c r="AY233" i="11" s="1"/>
  <c r="AZ233" i="11" s="1"/>
  <c r="BA233" i="11" s="1"/>
  <c r="Z227" i="11"/>
  <c r="AA227" i="11" s="1"/>
  <c r="AB227" i="11" s="1"/>
  <c r="AC227" i="11" s="1"/>
  <c r="AD227" i="11" s="1"/>
  <c r="AE227" i="11" s="1"/>
  <c r="AF227" i="11" s="1"/>
  <c r="AG227" i="11" s="1"/>
  <c r="AH227" i="11" s="1"/>
  <c r="AI227" i="11" s="1"/>
  <c r="AJ227" i="11" s="1"/>
  <c r="AK227" i="11" s="1"/>
  <c r="AL227" i="11" s="1"/>
  <c r="AM227" i="11" s="1"/>
  <c r="AN227" i="11" s="1"/>
  <c r="AO227" i="11" s="1"/>
  <c r="AP227" i="11" s="1"/>
  <c r="AQ227" i="11" s="1"/>
  <c r="AR227" i="11" s="1"/>
  <c r="AS227" i="11" s="1"/>
  <c r="AT227" i="11" s="1"/>
  <c r="AU227" i="11" s="1"/>
  <c r="AV227" i="11" s="1"/>
  <c r="AW227" i="11" s="1"/>
  <c r="AX227" i="11" s="1"/>
  <c r="AY227" i="11" s="1"/>
  <c r="AZ227" i="11" s="1"/>
  <c r="BA227" i="11" s="1"/>
  <c r="AA200" i="11"/>
  <c r="Y124" i="11" l="1"/>
  <c r="Y132" i="11" s="1"/>
  <c r="Y182" i="11" s="1"/>
  <c r="AN179" i="11"/>
  <c r="AN202" i="11"/>
  <c r="AV542" i="11"/>
  <c r="G216" i="11"/>
  <c r="G218" i="11" s="1"/>
  <c r="Y623" i="11"/>
  <c r="AW160" i="11"/>
  <c r="AX159" i="11"/>
  <c r="AX155" i="11"/>
  <c r="AX157" i="11"/>
  <c r="AX158" i="11"/>
  <c r="AX156" i="11"/>
  <c r="AY151" i="11"/>
  <c r="AY150" i="11"/>
  <c r="AY149" i="11"/>
  <c r="Y317" i="11"/>
  <c r="Y301" i="11"/>
  <c r="Y575" i="11"/>
  <c r="Y471" i="11"/>
  <c r="Y305" i="11"/>
  <c r="Y567" i="11"/>
  <c r="Y463" i="11"/>
  <c r="Y479" i="11"/>
  <c r="Y583" i="11"/>
  <c r="AZ170" i="11"/>
  <c r="AZ629" i="11" s="1"/>
  <c r="AY321" i="11"/>
  <c r="Y183" i="11"/>
  <c r="Y48" i="11"/>
  <c r="Y177" i="11" s="1"/>
  <c r="BA572" i="11"/>
  <c r="BA574" i="11"/>
  <c r="BA571" i="11"/>
  <c r="BA570" i="11"/>
  <c r="BA573" i="11"/>
  <c r="AX466" i="11"/>
  <c r="AX467" i="11"/>
  <c r="AX468" i="11"/>
  <c r="AX469" i="11"/>
  <c r="AX470" i="11"/>
  <c r="AY523" i="11"/>
  <c r="AX549" i="11"/>
  <c r="AY520" i="11"/>
  <c r="AX548" i="11"/>
  <c r="AY526" i="11"/>
  <c r="AX550" i="11"/>
  <c r="AX552" i="11"/>
  <c r="AY532" i="11"/>
  <c r="AW542" i="11"/>
  <c r="AY495" i="11"/>
  <c r="AX539" i="11"/>
  <c r="AY498" i="11"/>
  <c r="AX540" i="11"/>
  <c r="AX535" i="11"/>
  <c r="AX503" i="11" s="1"/>
  <c r="AX542" i="11" s="1"/>
  <c r="AW553" i="11"/>
  <c r="AY529" i="11"/>
  <c r="AX551" i="11"/>
  <c r="AW511" i="11"/>
  <c r="AW545" i="11" s="1"/>
  <c r="AY514" i="11"/>
  <c r="AX546" i="11"/>
  <c r="AY501" i="11"/>
  <c r="AX541" i="11"/>
  <c r="AX543" i="11"/>
  <c r="AY506" i="11"/>
  <c r="AY438" i="11"/>
  <c r="AX450" i="11"/>
  <c r="AY435" i="11"/>
  <c r="AX448" i="11"/>
  <c r="Y373" i="11"/>
  <c r="Y370" i="11"/>
  <c r="Y364" i="11"/>
  <c r="Y367" i="11"/>
  <c r="Z296" i="11"/>
  <c r="Z297" i="11"/>
  <c r="Z298" i="11"/>
  <c r="Z294" i="11"/>
  <c r="Z295" i="11"/>
  <c r="AY432" i="11"/>
  <c r="AY447" i="11" s="1"/>
  <c r="AX443" i="11"/>
  <c r="AX449" i="11" s="1"/>
  <c r="C19" i="17"/>
  <c r="Y245" i="11"/>
  <c r="Y249" i="11"/>
  <c r="Y260" i="11" s="1"/>
  <c r="Y246" i="11"/>
  <c r="Y250" i="11"/>
  <c r="Y261" i="11" s="1"/>
  <c r="Y283" i="11" s="1"/>
  <c r="Y322" i="11" s="1"/>
  <c r="Y333" i="11" s="1"/>
  <c r="Y247" i="11"/>
  <c r="Y243" i="11"/>
  <c r="Y244" i="11"/>
  <c r="Y255" i="11" s="1"/>
  <c r="Y248" i="11"/>
  <c r="Y259" i="11" s="1"/>
  <c r="BA81" i="11"/>
  <c r="BA80" i="11"/>
  <c r="BA82" i="11"/>
  <c r="BA79" i="11"/>
  <c r="BA83" i="11"/>
  <c r="AZ84" i="11"/>
  <c r="Z136" i="11"/>
  <c r="AA136" i="11" s="1"/>
  <c r="AY115" i="11"/>
  <c r="AY117" i="11" s="1"/>
  <c r="AY309" i="11" s="1"/>
  <c r="AY127" i="11"/>
  <c r="AY129" i="11" s="1"/>
  <c r="AY313" i="11" s="1"/>
  <c r="Z124" i="11"/>
  <c r="Z132" i="11" s="1"/>
  <c r="Y120" i="11"/>
  <c r="Z112" i="11"/>
  <c r="Z264" i="11"/>
  <c r="Z271" i="11" s="1"/>
  <c r="Z252" i="11"/>
  <c r="AY105" i="11"/>
  <c r="AY108" i="11" s="1"/>
  <c r="AY95" i="11"/>
  <c r="AY98" i="11" s="1"/>
  <c r="AX190" i="11"/>
  <c r="AN180" i="11"/>
  <c r="AO8" i="11"/>
  <c r="AX191" i="11"/>
  <c r="Z167" i="11"/>
  <c r="Y173" i="11"/>
  <c r="X11" i="17"/>
  <c r="W187" i="20"/>
  <c r="Z188" i="20"/>
  <c r="BH976" i="20"/>
  <c r="BI901" i="20"/>
  <c r="AR104" i="18"/>
  <c r="AN104" i="18"/>
  <c r="BJ889" i="20"/>
  <c r="BJ895" i="20"/>
  <c r="BI964" i="20"/>
  <c r="BI970" i="20"/>
  <c r="BI985" i="20"/>
  <c r="Y182" i="20" s="1"/>
  <c r="BI988" i="20"/>
  <c r="Y185" i="20" s="1"/>
  <c r="BH876" i="20"/>
  <c r="BI989" i="20"/>
  <c r="Y186" i="20" s="1"/>
  <c r="BI983" i="20"/>
  <c r="Y180" i="20" s="1"/>
  <c r="BI986" i="20"/>
  <c r="Y183" i="20" s="1"/>
  <c r="BH991" i="20"/>
  <c r="BI864" i="20"/>
  <c r="BI870" i="20"/>
  <c r="BI981" i="20"/>
  <c r="Y178" i="20" s="1"/>
  <c r="BI982" i="20"/>
  <c r="Y179" i="20" s="1"/>
  <c r="BI987" i="20"/>
  <c r="Y184" i="20" s="1"/>
  <c r="BI984" i="20"/>
  <c r="Y181" i="20" s="1"/>
  <c r="BK930" i="20"/>
  <c r="BK855" i="20"/>
  <c r="BK230" i="20"/>
  <c r="BK990" i="20" s="1"/>
  <c r="BK880" i="20"/>
  <c r="BK905" i="20"/>
  <c r="BK776" i="20"/>
  <c r="BK891" i="20" s="1"/>
  <c r="BK754" i="20"/>
  <c r="BK765" i="20"/>
  <c r="BK890" i="20" s="1"/>
  <c r="BI857" i="20"/>
  <c r="BL275" i="20"/>
  <c r="BL283" i="20" s="1"/>
  <c r="BL799" i="20"/>
  <c r="BK732" i="20"/>
  <c r="BJ740" i="20"/>
  <c r="BJ865" i="20" s="1"/>
  <c r="BK721" i="20"/>
  <c r="BJ729" i="20"/>
  <c r="BJ762" i="20"/>
  <c r="BJ867" i="20" s="1"/>
  <c r="BJ840" i="20"/>
  <c r="BJ965" i="20" s="1"/>
  <c r="BJ818" i="20"/>
  <c r="BJ784" i="20"/>
  <c r="BJ869" i="20" s="1"/>
  <c r="BJ829" i="20"/>
  <c r="BJ851" i="20"/>
  <c r="BJ966" i="20" s="1"/>
  <c r="BJ773" i="20"/>
  <c r="BJ868" i="20" s="1"/>
  <c r="BJ751" i="20"/>
  <c r="BJ866" i="20" s="1"/>
  <c r="BJ807" i="20"/>
  <c r="BJ796" i="20"/>
  <c r="BK788" i="20"/>
  <c r="BJ678" i="20"/>
  <c r="BJ645" i="20"/>
  <c r="BJ667" i="20"/>
  <c r="BJ959" i="20" s="1"/>
  <c r="BJ623" i="20"/>
  <c r="BJ634" i="20"/>
  <c r="BJ656" i="20"/>
  <c r="BJ958" i="20" s="1"/>
  <c r="BK570" i="20"/>
  <c r="BJ578" i="20"/>
  <c r="BK537" i="20"/>
  <c r="BJ545" i="20"/>
  <c r="BK559" i="20"/>
  <c r="BK884" i="20" s="1"/>
  <c r="BK969" i="20" s="1"/>
  <c r="BJ567" i="20"/>
  <c r="BK548" i="20"/>
  <c r="BK883" i="20" s="1"/>
  <c r="BJ556" i="20"/>
  <c r="BJ534" i="20"/>
  <c r="BJ859" i="20" s="1"/>
  <c r="BJ944" i="20" s="1"/>
  <c r="BJ951" i="20" s="1"/>
  <c r="BK523" i="20"/>
  <c r="BK858" i="20" s="1"/>
  <c r="BK444" i="20"/>
  <c r="BJ452" i="20"/>
  <c r="BK414" i="20"/>
  <c r="BJ422" i="20"/>
  <c r="BJ432" i="20"/>
  <c r="BJ907" i="20" s="1"/>
  <c r="BJ926" i="20" s="1"/>
  <c r="BK424" i="20"/>
  <c r="BJ462" i="20"/>
  <c r="BK454" i="20"/>
  <c r="BJ472" i="20"/>
  <c r="BK464" i="20"/>
  <c r="BJ442" i="20"/>
  <c r="BK434" i="20"/>
  <c r="BK297" i="20"/>
  <c r="BJ305" i="20"/>
  <c r="BK307" i="20"/>
  <c r="BJ315" i="20"/>
  <c r="BK317" i="20"/>
  <c r="BJ325" i="20"/>
  <c r="BK337" i="20"/>
  <c r="BJ345" i="20"/>
  <c r="BK347" i="20"/>
  <c r="BJ355" i="20"/>
  <c r="BK327" i="20"/>
  <c r="BJ335" i="20"/>
  <c r="BK392" i="20"/>
  <c r="BJ382" i="20"/>
  <c r="BK402" i="20"/>
  <c r="BK412" i="20"/>
  <c r="BL273" i="20"/>
  <c r="BL293" i="20"/>
  <c r="BK263" i="20"/>
  <c r="BK856" i="20" s="1"/>
  <c r="BL143" i="20"/>
  <c r="BL151" i="20" s="1"/>
  <c r="BL224" i="20" s="1"/>
  <c r="BL195" i="20"/>
  <c r="BL203" i="20" s="1"/>
  <c r="BL228" i="20" s="1"/>
  <c r="BL156" i="20"/>
  <c r="BL164" i="20" s="1"/>
  <c r="BL225" i="20" s="1"/>
  <c r="BL169" i="20"/>
  <c r="BL177" i="20" s="1"/>
  <c r="BL226" i="20" s="1"/>
  <c r="BL208" i="20"/>
  <c r="BL216" i="20" s="1"/>
  <c r="BL229" i="20" s="1"/>
  <c r="BL182" i="20"/>
  <c r="BL190" i="20" s="1"/>
  <c r="BL227" i="20" s="1"/>
  <c r="BL99" i="20"/>
  <c r="BL107" i="20" s="1"/>
  <c r="BL223" i="20" s="1"/>
  <c r="BL79" i="20"/>
  <c r="BL87" i="20" s="1"/>
  <c r="BL222" i="20" s="1"/>
  <c r="BL43" i="20"/>
  <c r="BL51" i="20" s="1"/>
  <c r="BL220" i="20" s="1"/>
  <c r="BL61" i="20"/>
  <c r="BL69" i="20" s="1"/>
  <c r="BL221" i="20" s="1"/>
  <c r="BM5" i="20"/>
  <c r="AX43" i="11"/>
  <c r="AX41" i="11"/>
  <c r="AX42" i="11"/>
  <c r="AX40" i="11"/>
  <c r="AX44" i="11"/>
  <c r="AY591" i="11"/>
  <c r="AY36" i="11"/>
  <c r="AY34" i="11"/>
  <c r="AZ5" i="11"/>
  <c r="AY35" i="11"/>
  <c r="AW45" i="11"/>
  <c r="Z25" i="11"/>
  <c r="Y52" i="11"/>
  <c r="Y87" i="11" s="1"/>
  <c r="AC63" i="18"/>
  <c r="Z63" i="18"/>
  <c r="S63" i="18"/>
  <c r="AI63" i="18"/>
  <c r="T63" i="18"/>
  <c r="AG63" i="18"/>
  <c r="AD63" i="18"/>
  <c r="W63" i="18"/>
  <c r="AB63" i="18"/>
  <c r="AB97" i="18" s="1"/>
  <c r="AJ63" i="18"/>
  <c r="U63" i="18"/>
  <c r="U97" i="18" s="1"/>
  <c r="R63" i="18"/>
  <c r="R97" i="18" s="1"/>
  <c r="AH63" i="18"/>
  <c r="AA63" i="18"/>
  <c r="AF63" i="18"/>
  <c r="AF97" i="18" s="1"/>
  <c r="Y63" i="18"/>
  <c r="Y97" i="18" s="1"/>
  <c r="V63" i="18"/>
  <c r="V97" i="18" s="1"/>
  <c r="Q63" i="18"/>
  <c r="Q97" i="18" s="1"/>
  <c r="AE63" i="18"/>
  <c r="X63" i="18"/>
  <c r="AE34" i="18"/>
  <c r="N64" i="18"/>
  <c r="Y376" i="11"/>
  <c r="Y383" i="11" s="1"/>
  <c r="AJ24" i="11"/>
  <c r="AI28" i="11"/>
  <c r="AI39" i="11" s="1"/>
  <c r="Z393" i="11"/>
  <c r="Z395" i="11" s="1"/>
  <c r="Z346" i="11"/>
  <c r="Y394" i="11"/>
  <c r="Y395" i="11"/>
  <c r="AS12" i="18"/>
  <c r="AS13" i="18"/>
  <c r="AS10" i="18"/>
  <c r="AR16" i="18"/>
  <c r="AS14" i="18"/>
  <c r="Q6" i="18"/>
  <c r="R23" i="16"/>
  <c r="S21" i="16"/>
  <c r="S33" i="16" s="1"/>
  <c r="S35" i="16" s="1"/>
  <c r="Z339" i="11"/>
  <c r="Z353" i="11" s="1"/>
  <c r="Z362" i="11"/>
  <c r="Z204" i="11"/>
  <c r="Z338" i="11"/>
  <c r="AA203" i="11"/>
  <c r="AA226" i="11"/>
  <c r="AA337" i="11"/>
  <c r="AE235" i="11"/>
  <c r="AD241" i="11"/>
  <c r="AD238" i="11"/>
  <c r="AE239" i="11"/>
  <c r="AD240" i="11"/>
  <c r="AD236" i="11"/>
  <c r="AD237" i="11"/>
  <c r="AD242" i="11"/>
  <c r="AB200" i="11"/>
  <c r="G13" i="11"/>
  <c r="B13" i="11" s="1"/>
  <c r="BB26" i="10"/>
  <c r="Q21" i="18" l="1"/>
  <c r="Q20" i="18"/>
  <c r="Y193" i="11"/>
  <c r="AO179" i="11"/>
  <c r="AO202" i="11"/>
  <c r="Y188" i="11"/>
  <c r="Z182" i="11"/>
  <c r="Z193" i="11"/>
  <c r="Y181" i="11"/>
  <c r="Y192" i="11"/>
  <c r="Z623" i="11"/>
  <c r="AZ151" i="11"/>
  <c r="AZ150" i="11"/>
  <c r="AZ149" i="11"/>
  <c r="AY158" i="11"/>
  <c r="AY155" i="11"/>
  <c r="AY159" i="11"/>
  <c r="AY157" i="11"/>
  <c r="AY156" i="11"/>
  <c r="AX160" i="11"/>
  <c r="BA170" i="11"/>
  <c r="AZ321" i="11"/>
  <c r="Z317" i="11"/>
  <c r="Z305" i="11"/>
  <c r="Z301" i="11"/>
  <c r="Z48" i="11"/>
  <c r="Z188" i="11" s="1"/>
  <c r="C22" i="17"/>
  <c r="Z575" i="11"/>
  <c r="Z583" i="11"/>
  <c r="Z471" i="11"/>
  <c r="Z479" i="11"/>
  <c r="AY467" i="11"/>
  <c r="AY468" i="11"/>
  <c r="AY470" i="11"/>
  <c r="AY469" i="11"/>
  <c r="AY466" i="11"/>
  <c r="Z567" i="11"/>
  <c r="AY535" i="11"/>
  <c r="AY511" i="11" s="1"/>
  <c r="AX553" i="11"/>
  <c r="AZ495" i="11"/>
  <c r="AY539" i="11"/>
  <c r="AY503" i="11"/>
  <c r="AY542" i="11" s="1"/>
  <c r="AZ520" i="11"/>
  <c r="AY548" i="11"/>
  <c r="AZ514" i="11"/>
  <c r="AY546" i="11"/>
  <c r="AY552" i="11"/>
  <c r="AZ532" i="11"/>
  <c r="AZ501" i="11"/>
  <c r="AY541" i="11"/>
  <c r="AX511" i="11"/>
  <c r="AX545" i="11" s="1"/>
  <c r="AY543" i="11"/>
  <c r="AZ506" i="11"/>
  <c r="AZ529" i="11"/>
  <c r="AY551" i="11"/>
  <c r="AZ498" i="11"/>
  <c r="AY540" i="11"/>
  <c r="AZ526" i="11"/>
  <c r="AY550" i="11"/>
  <c r="AZ523" i="11"/>
  <c r="AY549" i="11"/>
  <c r="AZ435" i="11"/>
  <c r="AY448" i="11"/>
  <c r="Z463" i="11"/>
  <c r="AZ438" i="11"/>
  <c r="AY450" i="11"/>
  <c r="Z376" i="11"/>
  <c r="Z383" i="11" s="1"/>
  <c r="Z367" i="11"/>
  <c r="Z370" i="11"/>
  <c r="Z373" i="11"/>
  <c r="Z364" i="11"/>
  <c r="AA295" i="11"/>
  <c r="AA296" i="11"/>
  <c r="AA297" i="11"/>
  <c r="AA298" i="11"/>
  <c r="AA294" i="11"/>
  <c r="AZ432" i="11"/>
  <c r="AZ447" i="11" s="1"/>
  <c r="AY443" i="11"/>
  <c r="AY449" i="11" s="1"/>
  <c r="Y398" i="11"/>
  <c r="Y281" i="11"/>
  <c r="Y314" i="11" s="1"/>
  <c r="Y331" i="11" s="1"/>
  <c r="Y282" i="11"/>
  <c r="Y269" i="11"/>
  <c r="D19" i="17"/>
  <c r="Z244" i="11"/>
  <c r="Z255" i="11" s="1"/>
  <c r="Z246" i="11"/>
  <c r="Z248" i="11"/>
  <c r="Z259" i="11" s="1"/>
  <c r="Z245" i="11"/>
  <c r="Z249" i="11"/>
  <c r="Z260" i="11" s="1"/>
  <c r="Z250" i="11"/>
  <c r="Z261" i="11" s="1"/>
  <c r="Z283" i="11" s="1"/>
  <c r="Z322" i="11" s="1"/>
  <c r="Z333" i="11" s="1"/>
  <c r="Z243" i="11"/>
  <c r="Z247" i="11"/>
  <c r="BA84" i="11"/>
  <c r="Z163" i="11"/>
  <c r="AB136" i="11"/>
  <c r="AA163" i="11"/>
  <c r="AZ115" i="11"/>
  <c r="AZ117" i="11" s="1"/>
  <c r="AZ309" i="11" s="1"/>
  <c r="AZ127" i="11"/>
  <c r="AZ129" i="11" s="1"/>
  <c r="AZ313" i="11" s="1"/>
  <c r="AA124" i="11"/>
  <c r="AA132" i="11" s="1"/>
  <c r="AA112" i="11"/>
  <c r="Z120" i="11"/>
  <c r="AA264" i="11"/>
  <c r="AA271" i="11" s="1"/>
  <c r="AA252" i="11"/>
  <c r="Y258" i="11"/>
  <c r="Y256" i="11"/>
  <c r="Y254" i="11"/>
  <c r="Y257" i="11"/>
  <c r="Y329" i="11" s="1"/>
  <c r="AZ105" i="11"/>
  <c r="AZ108" i="11" s="1"/>
  <c r="AZ95" i="11"/>
  <c r="AZ98" i="11" s="1"/>
  <c r="AY190" i="11"/>
  <c r="Y184" i="11"/>
  <c r="Y195" i="11"/>
  <c r="Y178" i="11"/>
  <c r="Y189" i="11"/>
  <c r="AO180" i="11"/>
  <c r="AP8" i="11"/>
  <c r="BJ901" i="20"/>
  <c r="AY191" i="11"/>
  <c r="AA167" i="11"/>
  <c r="Z173" i="11"/>
  <c r="AA188" i="20"/>
  <c r="Y11" i="17"/>
  <c r="X187" i="20"/>
  <c r="BI976" i="20"/>
  <c r="BJ980" i="20"/>
  <c r="Z177" i="20" s="1"/>
  <c r="BJ964" i="20"/>
  <c r="BJ970" i="20"/>
  <c r="BK889" i="20"/>
  <c r="BK895" i="20"/>
  <c r="BJ987" i="20"/>
  <c r="Z184" i="20" s="1"/>
  <c r="BJ985" i="20"/>
  <c r="Z182" i="20" s="1"/>
  <c r="BJ981" i="20"/>
  <c r="Z178" i="20" s="1"/>
  <c r="BJ989" i="20"/>
  <c r="Z186" i="20" s="1"/>
  <c r="BJ986" i="20"/>
  <c r="Z183" i="20" s="1"/>
  <c r="BI876" i="20"/>
  <c r="BJ983" i="20"/>
  <c r="Z180" i="20" s="1"/>
  <c r="BJ864" i="20"/>
  <c r="BJ870" i="20"/>
  <c r="BJ982" i="20"/>
  <c r="Z179" i="20" s="1"/>
  <c r="BJ988" i="20"/>
  <c r="Z185" i="20" s="1"/>
  <c r="BI991" i="20"/>
  <c r="BJ984" i="20"/>
  <c r="Z181" i="20" s="1"/>
  <c r="BL930" i="20"/>
  <c r="BL855" i="20"/>
  <c r="BL230" i="20"/>
  <c r="BL990" i="20" s="1"/>
  <c r="Q25" i="18"/>
  <c r="Q22" i="18"/>
  <c r="Q23" i="18"/>
  <c r="Q24" i="18"/>
  <c r="BL880" i="20"/>
  <c r="BL905" i="20"/>
  <c r="BL765" i="20"/>
  <c r="BL890" i="20" s="1"/>
  <c r="BL754" i="20"/>
  <c r="BL776" i="20"/>
  <c r="BL891" i="20" s="1"/>
  <c r="BJ857" i="20"/>
  <c r="BM275" i="20"/>
  <c r="BM283" i="20" s="1"/>
  <c r="BM799" i="20"/>
  <c r="BK796" i="20"/>
  <c r="BL788" i="20"/>
  <c r="BK851" i="20"/>
  <c r="BK966" i="20" s="1"/>
  <c r="BK840" i="20"/>
  <c r="BK965" i="20" s="1"/>
  <c r="BL721" i="20"/>
  <c r="BK729" i="20"/>
  <c r="BK751" i="20"/>
  <c r="BK866" i="20" s="1"/>
  <c r="BK784" i="20"/>
  <c r="BK869" i="20" s="1"/>
  <c r="BK807" i="20"/>
  <c r="BK818" i="20"/>
  <c r="BK762" i="20"/>
  <c r="BK867" i="20" s="1"/>
  <c r="BK773" i="20"/>
  <c r="BK868" i="20" s="1"/>
  <c r="BK829" i="20"/>
  <c r="BL732" i="20"/>
  <c r="BK740" i="20"/>
  <c r="BK865" i="20" s="1"/>
  <c r="BK645" i="20"/>
  <c r="BK656" i="20"/>
  <c r="BK958" i="20" s="1"/>
  <c r="BK634" i="20"/>
  <c r="BK667" i="20"/>
  <c r="BK959" i="20" s="1"/>
  <c r="BK623" i="20"/>
  <c r="BK678" i="20"/>
  <c r="BK556" i="20"/>
  <c r="BL548" i="20"/>
  <c r="BL883" i="20" s="1"/>
  <c r="BL537" i="20"/>
  <c r="BK545" i="20"/>
  <c r="BK534" i="20"/>
  <c r="BK859" i="20" s="1"/>
  <c r="BK944" i="20" s="1"/>
  <c r="BK951" i="20" s="1"/>
  <c r="BK567" i="20"/>
  <c r="BL559" i="20"/>
  <c r="BL884" i="20" s="1"/>
  <c r="BL969" i="20" s="1"/>
  <c r="BK578" i="20"/>
  <c r="BL570" i="20"/>
  <c r="BL523" i="20"/>
  <c r="BL858" i="20" s="1"/>
  <c r="BK442" i="20"/>
  <c r="BL434" i="20"/>
  <c r="BL414" i="20"/>
  <c r="BK422" i="20"/>
  <c r="BK472" i="20"/>
  <c r="BL464" i="20"/>
  <c r="BK432" i="20"/>
  <c r="BK907" i="20" s="1"/>
  <c r="BK926" i="20" s="1"/>
  <c r="BL424" i="20"/>
  <c r="BK462" i="20"/>
  <c r="BL454" i="20"/>
  <c r="BL444" i="20"/>
  <c r="BK452" i="20"/>
  <c r="BK335" i="20"/>
  <c r="BL327" i="20"/>
  <c r="BK345" i="20"/>
  <c r="BL337" i="20"/>
  <c r="BL307" i="20"/>
  <c r="BK315" i="20"/>
  <c r="BL347" i="20"/>
  <c r="BK355" i="20"/>
  <c r="BL317" i="20"/>
  <c r="BK325" i="20"/>
  <c r="BL297" i="20"/>
  <c r="BK305" i="20"/>
  <c r="BK382" i="20"/>
  <c r="BL402" i="20"/>
  <c r="BL392" i="20"/>
  <c r="BL412" i="20"/>
  <c r="BM273" i="20"/>
  <c r="BN273" i="20"/>
  <c r="BN293" i="20"/>
  <c r="BM293" i="20"/>
  <c r="BL263" i="20"/>
  <c r="BL856" i="20" s="1"/>
  <c r="BM143" i="20"/>
  <c r="BM151" i="20" s="1"/>
  <c r="BM224" i="20" s="1"/>
  <c r="BM195" i="20"/>
  <c r="BM203" i="20" s="1"/>
  <c r="BM228" i="20" s="1"/>
  <c r="BM156" i="20"/>
  <c r="BM164" i="20" s="1"/>
  <c r="BM225" i="20" s="1"/>
  <c r="BM169" i="20"/>
  <c r="BM177" i="20" s="1"/>
  <c r="BM226" i="20" s="1"/>
  <c r="BM182" i="20"/>
  <c r="BM190" i="20" s="1"/>
  <c r="BM227" i="20" s="1"/>
  <c r="BM208" i="20"/>
  <c r="BM216" i="20" s="1"/>
  <c r="BM229" i="20" s="1"/>
  <c r="BM99" i="20"/>
  <c r="BM107" i="20" s="1"/>
  <c r="BM223" i="20" s="1"/>
  <c r="BM79" i="20"/>
  <c r="BM87" i="20" s="1"/>
  <c r="BM222" i="20" s="1"/>
  <c r="BM61" i="20"/>
  <c r="BM69" i="20" s="1"/>
  <c r="BM221" i="20" s="1"/>
  <c r="BM43" i="20"/>
  <c r="BM51" i="20" s="1"/>
  <c r="BM220" i="20" s="1"/>
  <c r="BN5" i="20"/>
  <c r="AA25" i="11"/>
  <c r="AE97" i="18"/>
  <c r="X97" i="18"/>
  <c r="AH97" i="18"/>
  <c r="T97" i="18"/>
  <c r="AC97" i="18"/>
  <c r="W97" i="18"/>
  <c r="AI97" i="18"/>
  <c r="AK97" i="18"/>
  <c r="AD97" i="18"/>
  <c r="S97" i="18"/>
  <c r="AA97" i="18"/>
  <c r="AJ97" i="18"/>
  <c r="AL97" i="18"/>
  <c r="AG97" i="18"/>
  <c r="Z97" i="18"/>
  <c r="AX45" i="11"/>
  <c r="AY42" i="11"/>
  <c r="AY40" i="11"/>
  <c r="AY43" i="11"/>
  <c r="AY41" i="11"/>
  <c r="AY44" i="11"/>
  <c r="AZ591" i="11"/>
  <c r="AZ36" i="11"/>
  <c r="BA5" i="11"/>
  <c r="AZ35" i="11"/>
  <c r="AZ34" i="11"/>
  <c r="Z394" i="11"/>
  <c r="Z52" i="11"/>
  <c r="Z87" i="11" s="1"/>
  <c r="Z64" i="18"/>
  <c r="AE64" i="18"/>
  <c r="T64" i="18"/>
  <c r="AJ64" i="18"/>
  <c r="AM98" i="18" s="1"/>
  <c r="AG64" i="18"/>
  <c r="AD64" i="18"/>
  <c r="S64" i="18"/>
  <c r="X64" i="18"/>
  <c r="Q64" i="18"/>
  <c r="U64" i="18"/>
  <c r="R64" i="18"/>
  <c r="AH64" i="18"/>
  <c r="AK98" i="18" s="1"/>
  <c r="AA64" i="18"/>
  <c r="AB64" i="18"/>
  <c r="Y64" i="18"/>
  <c r="V64" i="18"/>
  <c r="W64" i="18"/>
  <c r="AI64" i="18"/>
  <c r="AL98" i="18" s="1"/>
  <c r="AF64" i="18"/>
  <c r="AC64" i="18"/>
  <c r="AF34" i="18"/>
  <c r="AK24" i="11"/>
  <c r="AJ28" i="11"/>
  <c r="AJ39" i="11" s="1"/>
  <c r="AA362" i="11"/>
  <c r="AA393" i="11"/>
  <c r="AA395" i="11" s="1"/>
  <c r="AA346" i="11"/>
  <c r="AS16" i="18"/>
  <c r="R6" i="18"/>
  <c r="S23" i="16"/>
  <c r="T21" i="16"/>
  <c r="T33" i="16" s="1"/>
  <c r="T35" i="16" s="1"/>
  <c r="AA204" i="11"/>
  <c r="AA338" i="11"/>
  <c r="AA339" i="11"/>
  <c r="AA353" i="11" s="1"/>
  <c r="AB337" i="11"/>
  <c r="AB226" i="11"/>
  <c r="AB203" i="11"/>
  <c r="AE242" i="11"/>
  <c r="AE236" i="11"/>
  <c r="AF239" i="11"/>
  <c r="AE241" i="11"/>
  <c r="AE237" i="11"/>
  <c r="AE240" i="11"/>
  <c r="AE238" i="11"/>
  <c r="AF235" i="11"/>
  <c r="AC200" i="11"/>
  <c r="Z177" i="11" l="1"/>
  <c r="AP179" i="11"/>
  <c r="AP202" i="11"/>
  <c r="AA182" i="11"/>
  <c r="AA193" i="11"/>
  <c r="Z181" i="11"/>
  <c r="Z192" i="11"/>
  <c r="Z183" i="11"/>
  <c r="Z194" i="11"/>
  <c r="AA183" i="11"/>
  <c r="AA194" i="11"/>
  <c r="AA623" i="11"/>
  <c r="BA321" i="11"/>
  <c r="BA629" i="11"/>
  <c r="F228" i="11"/>
  <c r="BA150" i="11"/>
  <c r="BA151" i="11"/>
  <c r="BA149" i="11"/>
  <c r="AZ155" i="11"/>
  <c r="AZ159" i="11"/>
  <c r="AZ157" i="11"/>
  <c r="AZ156" i="11"/>
  <c r="AZ158" i="11"/>
  <c r="AY160" i="11"/>
  <c r="Y328" i="11"/>
  <c r="Y397" i="11"/>
  <c r="Y318" i="11"/>
  <c r="Y332" i="11" s="1"/>
  <c r="AA317" i="11"/>
  <c r="AA305" i="11"/>
  <c r="AA301" i="11"/>
  <c r="Y344" i="11"/>
  <c r="Y351" i="11" s="1"/>
  <c r="Y306" i="11"/>
  <c r="Y327" i="11" s="1"/>
  <c r="Y266" i="11"/>
  <c r="Y341" i="11" s="1"/>
  <c r="Y348" i="11" s="1"/>
  <c r="AA48" i="11"/>
  <c r="AA177" i="11" s="1"/>
  <c r="Y267" i="11"/>
  <c r="Y342" i="11" s="1"/>
  <c r="Y349" i="11" s="1"/>
  <c r="D22" i="17"/>
  <c r="AA575" i="11"/>
  <c r="AA583" i="11"/>
  <c r="AA471" i="11"/>
  <c r="AA479" i="11"/>
  <c r="AZ470" i="11"/>
  <c r="AZ469" i="11"/>
  <c r="AZ468" i="11"/>
  <c r="AZ467" i="11"/>
  <c r="AZ466" i="11"/>
  <c r="AA567" i="11"/>
  <c r="AY545" i="11"/>
  <c r="AZ543" i="11"/>
  <c r="BA506" i="11"/>
  <c r="BA543" i="11" s="1"/>
  <c r="BA501" i="11"/>
  <c r="BA541" i="11" s="1"/>
  <c r="AZ541" i="11"/>
  <c r="BA514" i="11"/>
  <c r="BA546" i="11" s="1"/>
  <c r="AZ546" i="11"/>
  <c r="BA526" i="11"/>
  <c r="BA550" i="11" s="1"/>
  <c r="AZ550" i="11"/>
  <c r="BA495" i="11"/>
  <c r="AZ539" i="11"/>
  <c r="BA523" i="11"/>
  <c r="BA549" i="11" s="1"/>
  <c r="AZ549" i="11"/>
  <c r="BA498" i="11"/>
  <c r="BA540" i="11" s="1"/>
  <c r="AZ540" i="11"/>
  <c r="AZ552" i="11"/>
  <c r="BA532" i="11"/>
  <c r="BA552" i="11" s="1"/>
  <c r="BA529" i="11"/>
  <c r="BA551" i="11" s="1"/>
  <c r="AZ551" i="11"/>
  <c r="BA520" i="11"/>
  <c r="BA548" i="11" s="1"/>
  <c r="AZ548" i="11"/>
  <c r="AZ535" i="11"/>
  <c r="AZ503" i="11" s="1"/>
  <c r="AZ542" i="11" s="1"/>
  <c r="AY553" i="11"/>
  <c r="AA463" i="11"/>
  <c r="BA438" i="11"/>
  <c r="BA450" i="11" s="1"/>
  <c r="AZ450" i="11"/>
  <c r="BA435" i="11"/>
  <c r="BA448" i="11" s="1"/>
  <c r="AZ448" i="11"/>
  <c r="AA376" i="11"/>
  <c r="AA383" i="11" s="1"/>
  <c r="AA364" i="11"/>
  <c r="AA367" i="11"/>
  <c r="AA373" i="11"/>
  <c r="AA370" i="11"/>
  <c r="AB295" i="11"/>
  <c r="AB296" i="11"/>
  <c r="AB297" i="11"/>
  <c r="AB298" i="11"/>
  <c r="AB294" i="11"/>
  <c r="BA432" i="11"/>
  <c r="AZ443" i="11"/>
  <c r="AZ449" i="11" s="1"/>
  <c r="Z398" i="11"/>
  <c r="Z282" i="11"/>
  <c r="Y396" i="11"/>
  <c r="Y284" i="11"/>
  <c r="Z281" i="11"/>
  <c r="Z269" i="11"/>
  <c r="Z306" i="11" s="1"/>
  <c r="Z327" i="11" s="1"/>
  <c r="Y265" i="11"/>
  <c r="Y268" i="11"/>
  <c r="E19" i="17"/>
  <c r="AA243" i="11"/>
  <c r="AA244" i="11"/>
  <c r="AA255" i="11" s="1"/>
  <c r="AA245" i="11"/>
  <c r="AA246" i="11"/>
  <c r="AA247" i="11"/>
  <c r="AA248" i="11"/>
  <c r="AA259" i="11" s="1"/>
  <c r="AA249" i="11"/>
  <c r="AA260" i="11" s="1"/>
  <c r="AA250" i="11"/>
  <c r="AA261" i="11" s="1"/>
  <c r="AA283" i="11" s="1"/>
  <c r="AA322" i="11" s="1"/>
  <c r="AA333" i="11" s="1"/>
  <c r="BA115" i="11"/>
  <c r="BA117" i="11" s="1"/>
  <c r="BA309" i="11" s="1"/>
  <c r="BA127" i="11"/>
  <c r="BA129" i="11" s="1"/>
  <c r="BA313" i="11" s="1"/>
  <c r="AC136" i="11"/>
  <c r="AB163" i="11"/>
  <c r="AB124" i="11"/>
  <c r="AB132" i="11" s="1"/>
  <c r="AB112" i="11"/>
  <c r="AA120" i="11"/>
  <c r="AB264" i="11"/>
  <c r="AB271" i="11" s="1"/>
  <c r="AB252" i="11"/>
  <c r="Z257" i="11"/>
  <c r="Z329" i="11" s="1"/>
  <c r="Z256" i="11"/>
  <c r="Z328" i="11" s="1"/>
  <c r="Z254" i="11"/>
  <c r="Z258" i="11"/>
  <c r="AZ190" i="11"/>
  <c r="Y196" i="11"/>
  <c r="Y654" i="11" s="1"/>
  <c r="C14" i="17" s="1"/>
  <c r="C25" i="17" s="1"/>
  <c r="Y185" i="11"/>
  <c r="Y642" i="11" s="1"/>
  <c r="BA105" i="11"/>
  <c r="BA108" i="11" s="1"/>
  <c r="BA95" i="11"/>
  <c r="BA98" i="11" s="1"/>
  <c r="Z184" i="11"/>
  <c r="Z195" i="11"/>
  <c r="Z178" i="11"/>
  <c r="Z189" i="11"/>
  <c r="AQ8" i="11"/>
  <c r="AP180" i="11"/>
  <c r="AZ191" i="11"/>
  <c r="AB167" i="11"/>
  <c r="AA173" i="11"/>
  <c r="Z11" i="17"/>
  <c r="Y187" i="20"/>
  <c r="AB188" i="20"/>
  <c r="BJ976" i="20"/>
  <c r="BK980" i="20"/>
  <c r="AA177" i="20" s="1"/>
  <c r="BK901" i="20"/>
  <c r="AL102" i="18"/>
  <c r="X10" i="17" s="1"/>
  <c r="AL103" i="18"/>
  <c r="X12" i="17" s="1"/>
  <c r="AK103" i="18"/>
  <c r="W12" i="17" s="1"/>
  <c r="AK102" i="18"/>
  <c r="W10" i="17" s="1"/>
  <c r="AM99" i="18"/>
  <c r="AM103" i="18"/>
  <c r="Y12" i="17" s="1"/>
  <c r="AM102" i="18"/>
  <c r="Y10" i="17" s="1"/>
  <c r="BK964" i="20"/>
  <c r="BK970" i="20"/>
  <c r="BL889" i="20"/>
  <c r="BL895" i="20"/>
  <c r="BK981" i="20"/>
  <c r="AA178" i="20" s="1"/>
  <c r="BK986" i="20"/>
  <c r="AA183" i="20" s="1"/>
  <c r="BK985" i="20"/>
  <c r="AA182" i="20" s="1"/>
  <c r="BJ876" i="20"/>
  <c r="BK989" i="20"/>
  <c r="AA186" i="20" s="1"/>
  <c r="BK982" i="20"/>
  <c r="AA179" i="20" s="1"/>
  <c r="BK987" i="20"/>
  <c r="AA184" i="20" s="1"/>
  <c r="BK864" i="20"/>
  <c r="BK870" i="20"/>
  <c r="BK983" i="20"/>
  <c r="AA180" i="20" s="1"/>
  <c r="BK988" i="20"/>
  <c r="AA185" i="20" s="1"/>
  <c r="BJ991" i="20"/>
  <c r="BK984" i="20"/>
  <c r="AA181" i="20" s="1"/>
  <c r="BM930" i="20"/>
  <c r="BM855" i="20"/>
  <c r="BM230" i="20"/>
  <c r="BM990" i="20" s="1"/>
  <c r="AB25" i="11"/>
  <c r="R22" i="18"/>
  <c r="R23" i="18"/>
  <c r="R24" i="18"/>
  <c r="R25" i="18"/>
  <c r="R21" i="18"/>
  <c r="R20" i="18"/>
  <c r="Q26" i="18"/>
  <c r="BM905" i="20"/>
  <c r="BM880" i="20"/>
  <c r="BM754" i="20"/>
  <c r="BM776" i="20"/>
  <c r="BM891" i="20" s="1"/>
  <c r="BM765" i="20"/>
  <c r="BM890" i="20" s="1"/>
  <c r="BK857" i="20"/>
  <c r="BN275" i="20"/>
  <c r="BN799" i="20"/>
  <c r="BL784" i="20"/>
  <c r="BL869" i="20" s="1"/>
  <c r="BM732" i="20"/>
  <c r="BL740" i="20"/>
  <c r="BL865" i="20" s="1"/>
  <c r="BL773" i="20"/>
  <c r="BL868" i="20" s="1"/>
  <c r="BM721" i="20"/>
  <c r="BL729" i="20"/>
  <c r="BL851" i="20"/>
  <c r="BL966" i="20" s="1"/>
  <c r="BL818" i="20"/>
  <c r="BL807" i="20"/>
  <c r="BL751" i="20"/>
  <c r="BL866" i="20" s="1"/>
  <c r="BL840" i="20"/>
  <c r="BL965" i="20" s="1"/>
  <c r="BM788" i="20"/>
  <c r="BL796" i="20"/>
  <c r="BL829" i="20"/>
  <c r="BL762" i="20"/>
  <c r="BL867" i="20" s="1"/>
  <c r="BL678" i="20"/>
  <c r="BL667" i="20"/>
  <c r="BL959" i="20" s="1"/>
  <c r="BL656" i="20"/>
  <c r="BL958" i="20" s="1"/>
  <c r="BL623" i="20"/>
  <c r="BL645" i="20"/>
  <c r="BL634" i="20"/>
  <c r="BM537" i="20"/>
  <c r="BL545" i="20"/>
  <c r="BL578" i="20"/>
  <c r="BM570" i="20"/>
  <c r="BM548" i="20"/>
  <c r="BM883" i="20" s="1"/>
  <c r="BL556" i="20"/>
  <c r="BL567" i="20"/>
  <c r="BM559" i="20"/>
  <c r="BM884" i="20" s="1"/>
  <c r="BM969" i="20" s="1"/>
  <c r="BL534" i="20"/>
  <c r="BL859" i="20" s="1"/>
  <c r="BL944" i="20" s="1"/>
  <c r="BL951" i="20" s="1"/>
  <c r="BM523" i="20"/>
  <c r="BM858" i="20" s="1"/>
  <c r="BN523" i="20"/>
  <c r="BN858" i="20" s="1"/>
  <c r="BM444" i="20"/>
  <c r="BL452" i="20"/>
  <c r="BM414" i="20"/>
  <c r="BL422" i="20"/>
  <c r="BL432" i="20"/>
  <c r="BL907" i="20" s="1"/>
  <c r="BL926" i="20" s="1"/>
  <c r="BM424" i="20"/>
  <c r="BL462" i="20"/>
  <c r="BM454" i="20"/>
  <c r="BL472" i="20"/>
  <c r="BM464" i="20"/>
  <c r="BL442" i="20"/>
  <c r="BM434" i="20"/>
  <c r="BM337" i="20"/>
  <c r="BL345" i="20"/>
  <c r="BM297" i="20"/>
  <c r="BL305" i="20"/>
  <c r="BM347" i="20"/>
  <c r="BL355" i="20"/>
  <c r="BL335" i="20"/>
  <c r="BM327" i="20"/>
  <c r="BL325" i="20"/>
  <c r="BM317" i="20"/>
  <c r="BM307" i="20"/>
  <c r="BL315" i="20"/>
  <c r="BM402" i="20"/>
  <c r="BN402" i="20"/>
  <c r="BM392" i="20"/>
  <c r="BN392" i="20"/>
  <c r="BL382" i="20"/>
  <c r="BM412" i="20"/>
  <c r="BN412" i="20"/>
  <c r="BM263" i="20"/>
  <c r="BM856" i="20" s="1"/>
  <c r="BN263" i="20"/>
  <c r="BN856" i="20" s="1"/>
  <c r="BN143" i="20"/>
  <c r="BN151" i="20" s="1"/>
  <c r="BN224" i="20" s="1"/>
  <c r="BN156" i="20"/>
  <c r="BN164" i="20" s="1"/>
  <c r="BN225" i="20" s="1"/>
  <c r="BN195" i="20"/>
  <c r="BN203" i="20" s="1"/>
  <c r="BN228" i="20" s="1"/>
  <c r="BN182" i="20"/>
  <c r="BN190" i="20" s="1"/>
  <c r="BN227" i="20" s="1"/>
  <c r="BN169" i="20"/>
  <c r="BN177" i="20" s="1"/>
  <c r="BN226" i="20" s="1"/>
  <c r="BN208" i="20"/>
  <c r="BN216" i="20" s="1"/>
  <c r="BN229" i="20" s="1"/>
  <c r="BN99" i="20"/>
  <c r="BN107" i="20" s="1"/>
  <c r="BN223" i="20" s="1"/>
  <c r="BN79" i="20"/>
  <c r="BN87" i="20" s="1"/>
  <c r="BN222" i="20" s="1"/>
  <c r="BN43" i="20"/>
  <c r="BN51" i="20" s="1"/>
  <c r="BN220" i="20" s="1"/>
  <c r="BN61" i="20"/>
  <c r="BN69" i="20" s="1"/>
  <c r="BN221" i="20" s="1"/>
  <c r="AL99" i="18"/>
  <c r="AK99" i="18"/>
  <c r="AZ42" i="11"/>
  <c r="AZ43" i="11"/>
  <c r="AZ41" i="11"/>
  <c r="AZ44" i="11"/>
  <c r="AZ40" i="11"/>
  <c r="AY45" i="11"/>
  <c r="BA591" i="11"/>
  <c r="BA36" i="11"/>
  <c r="BA34" i="11"/>
  <c r="BA35" i="11"/>
  <c r="AA52" i="11"/>
  <c r="AA87" i="11" s="1"/>
  <c r="AH65" i="18"/>
  <c r="AH98" i="18"/>
  <c r="AH99" i="18" s="1"/>
  <c r="AF65" i="18"/>
  <c r="AF98" i="18"/>
  <c r="Y65" i="18"/>
  <c r="Y98" i="18"/>
  <c r="R65" i="18"/>
  <c r="R98" i="18"/>
  <c r="S65" i="18"/>
  <c r="S98" i="18"/>
  <c r="S99" i="18" s="1"/>
  <c r="T65" i="18"/>
  <c r="T98" i="18"/>
  <c r="T99" i="18" s="1"/>
  <c r="AC65" i="18"/>
  <c r="AC98" i="18"/>
  <c r="AC99" i="18" s="1"/>
  <c r="AJ98" i="18"/>
  <c r="AJ99" i="18" s="1"/>
  <c r="AJ65" i="18"/>
  <c r="AI65" i="18"/>
  <c r="AI98" i="18"/>
  <c r="AI99" i="18" s="1"/>
  <c r="AB65" i="18"/>
  <c r="AB98" i="18"/>
  <c r="U65" i="18"/>
  <c r="U98" i="18"/>
  <c r="AD65" i="18"/>
  <c r="AD98" i="18"/>
  <c r="AD99" i="18" s="1"/>
  <c r="AE65" i="18"/>
  <c r="AE98" i="18"/>
  <c r="AE99" i="18" s="1"/>
  <c r="V65" i="18"/>
  <c r="V98" i="18"/>
  <c r="X65" i="18"/>
  <c r="X98" i="18"/>
  <c r="X99" i="18" s="1"/>
  <c r="W65" i="18"/>
  <c r="W98" i="18"/>
  <c r="W99" i="18" s="1"/>
  <c r="AA65" i="18"/>
  <c r="AA98" i="18"/>
  <c r="AA99" i="18" s="1"/>
  <c r="Q65" i="18"/>
  <c r="Q98" i="18"/>
  <c r="Q103" i="18" s="1"/>
  <c r="C12" i="17" s="1"/>
  <c r="C23" i="17" s="1"/>
  <c r="AG65" i="18"/>
  <c r="AG98" i="18"/>
  <c r="AG99" i="18" s="1"/>
  <c r="Z65" i="18"/>
  <c r="Z98" i="18"/>
  <c r="Z99" i="18" s="1"/>
  <c r="AG34" i="18"/>
  <c r="AL24" i="11"/>
  <c r="AK28" i="11"/>
  <c r="AK39" i="11" s="1"/>
  <c r="AA394" i="11"/>
  <c r="AB362" i="11"/>
  <c r="AB376" i="11" s="1"/>
  <c r="AB383" i="11" s="1"/>
  <c r="AB393" i="11"/>
  <c r="AB395" i="11" s="1"/>
  <c r="AB346" i="11"/>
  <c r="S6" i="18"/>
  <c r="P16" i="18"/>
  <c r="T23" i="16"/>
  <c r="U21" i="16"/>
  <c r="U33" i="16" s="1"/>
  <c r="U35" i="16" s="1"/>
  <c r="AB338" i="11"/>
  <c r="AB339" i="11"/>
  <c r="AB353" i="11" s="1"/>
  <c r="AB204" i="11"/>
  <c r="AC337" i="11"/>
  <c r="AC226" i="11"/>
  <c r="AC203" i="11"/>
  <c r="AF236" i="11"/>
  <c r="AF240" i="11"/>
  <c r="AG235" i="11"/>
  <c r="AF241" i="11"/>
  <c r="AF238" i="11"/>
  <c r="AF237" i="11"/>
  <c r="AG239" i="11"/>
  <c r="AF242" i="11"/>
  <c r="AD200" i="11"/>
  <c r="AQ179" i="11" l="1"/>
  <c r="AQ202" i="11"/>
  <c r="AB182" i="11"/>
  <c r="F93" i="11" s="1"/>
  <c r="AB193" i="11"/>
  <c r="AB183" i="11"/>
  <c r="F94" i="11" s="1"/>
  <c r="AB194" i="11"/>
  <c r="AA181" i="11"/>
  <c r="AA192" i="11"/>
  <c r="BA156" i="11"/>
  <c r="BA158" i="11"/>
  <c r="BA155" i="11"/>
  <c r="BA159" i="11"/>
  <c r="BA157" i="11"/>
  <c r="AZ160" i="11"/>
  <c r="Y399" i="11"/>
  <c r="Y401" i="11" s="1"/>
  <c r="Z314" i="11"/>
  <c r="Z331" i="11" s="1"/>
  <c r="Z397" i="11"/>
  <c r="Z318" i="11"/>
  <c r="Z332" i="11" s="1"/>
  <c r="Y343" i="11"/>
  <c r="Y350" i="11" s="1"/>
  <c r="Y310" i="11"/>
  <c r="Y330" i="11" s="1"/>
  <c r="AB317" i="11"/>
  <c r="AB305" i="11"/>
  <c r="AB301" i="11"/>
  <c r="Y340" i="11"/>
  <c r="Y347" i="11" s="1"/>
  <c r="Y302" i="11"/>
  <c r="Y326" i="11" s="1"/>
  <c r="AA188" i="11"/>
  <c r="Z267" i="11"/>
  <c r="Z342" i="11" s="1"/>
  <c r="Z349" i="11" s="1"/>
  <c r="AB48" i="11"/>
  <c r="AB188" i="11" s="1"/>
  <c r="Z266" i="11"/>
  <c r="Z341" i="11" s="1"/>
  <c r="Z348" i="11" s="1"/>
  <c r="Z344" i="11"/>
  <c r="Z351" i="11" s="1"/>
  <c r="E22" i="17"/>
  <c r="AI592" i="11"/>
  <c r="AY592" i="11"/>
  <c r="AR592" i="11"/>
  <c r="AX592" i="11"/>
  <c r="AW592" i="11"/>
  <c r="AS592" i="11"/>
  <c r="AM592" i="11"/>
  <c r="AL592" i="11"/>
  <c r="AV592" i="11"/>
  <c r="AK592" i="11"/>
  <c r="BA592" i="11"/>
  <c r="AQ592" i="11"/>
  <c r="AJ592" i="11"/>
  <c r="AZ592" i="11"/>
  <c r="AO592" i="11"/>
  <c r="AH592" i="11"/>
  <c r="AU592" i="11"/>
  <c r="AN592" i="11"/>
  <c r="AP592" i="11"/>
  <c r="AT592" i="11"/>
  <c r="AE592" i="11"/>
  <c r="AG592" i="11"/>
  <c r="AF592" i="11"/>
  <c r="AB592" i="11"/>
  <c r="AB593" i="11" s="1"/>
  <c r="AC592" i="11"/>
  <c r="AD592" i="11"/>
  <c r="AB575" i="11"/>
  <c r="AB471" i="11"/>
  <c r="BA467" i="11"/>
  <c r="BA468" i="11"/>
  <c r="BA466" i="11"/>
  <c r="BA470" i="11"/>
  <c r="BA469" i="11"/>
  <c r="BA539" i="11"/>
  <c r="BA535" i="11"/>
  <c r="BA553" i="11" s="1"/>
  <c r="AZ553" i="11"/>
  <c r="AZ511" i="11"/>
  <c r="AZ545" i="11" s="1"/>
  <c r="AA398" i="11"/>
  <c r="AC297" i="11"/>
  <c r="AC296" i="11"/>
  <c r="AC295" i="11"/>
  <c r="AC298" i="11"/>
  <c r="AC294" i="11"/>
  <c r="BA443" i="11"/>
  <c r="BA449" i="11" s="1"/>
  <c r="BA447" i="11"/>
  <c r="Y288" i="11"/>
  <c r="Y287" i="11"/>
  <c r="Y286" i="11"/>
  <c r="AA281" i="11"/>
  <c r="Z396" i="11"/>
  <c r="Z284" i="11"/>
  <c r="AA282" i="11"/>
  <c r="AA269" i="11"/>
  <c r="AA306" i="11" s="1"/>
  <c r="AA327" i="11" s="1"/>
  <c r="Y270" i="11"/>
  <c r="Y276" i="11" s="1"/>
  <c r="Z268" i="11"/>
  <c r="Z265" i="11"/>
  <c r="Z302" i="11" s="1"/>
  <c r="F19" i="17"/>
  <c r="AB243" i="11"/>
  <c r="AB244" i="11"/>
  <c r="AB255" i="11" s="1"/>
  <c r="AB245" i="11"/>
  <c r="AB246" i="11"/>
  <c r="AB247" i="11"/>
  <c r="AB248" i="11"/>
  <c r="AB259" i="11" s="1"/>
  <c r="AB249" i="11"/>
  <c r="AB260" i="11" s="1"/>
  <c r="AB250" i="11"/>
  <c r="AB261" i="11" s="1"/>
  <c r="AB283" i="11" s="1"/>
  <c r="AB322" i="11" s="1"/>
  <c r="AB333" i="11" s="1"/>
  <c r="Z196" i="11"/>
  <c r="Z654" i="11" s="1"/>
  <c r="D14" i="17" s="1"/>
  <c r="D25" i="17" s="1"/>
  <c r="AD136" i="11"/>
  <c r="AC163" i="11"/>
  <c r="AC124" i="11"/>
  <c r="AC132" i="11" s="1"/>
  <c r="AC112" i="11"/>
  <c r="AB120" i="11"/>
  <c r="AC264" i="11"/>
  <c r="AC271" i="11" s="1"/>
  <c r="AC252" i="11"/>
  <c r="Z185" i="11"/>
  <c r="Z642" i="11" s="1"/>
  <c r="AA257" i="11"/>
  <c r="AA329" i="11" s="1"/>
  <c r="AA258" i="11"/>
  <c r="AA256" i="11"/>
  <c r="AA328" i="11" s="1"/>
  <c r="AA254" i="11"/>
  <c r="BA190" i="11"/>
  <c r="AA178" i="11"/>
  <c r="AA189" i="11"/>
  <c r="AA184" i="11"/>
  <c r="AA195" i="11"/>
  <c r="AQ180" i="11"/>
  <c r="AR8" i="11"/>
  <c r="BA191" i="11"/>
  <c r="AC167" i="11"/>
  <c r="AB173" i="11"/>
  <c r="AC188" i="20"/>
  <c r="AA11" i="17"/>
  <c r="Z187" i="20"/>
  <c r="BL901" i="20"/>
  <c r="BK976" i="20"/>
  <c r="AC102" i="18"/>
  <c r="O10" i="17" s="1"/>
  <c r="X102" i="18"/>
  <c r="J10" i="17" s="1"/>
  <c r="S102" i="18"/>
  <c r="E10" i="17" s="1"/>
  <c r="E21" i="17" s="1"/>
  <c r="AH102" i="18"/>
  <c r="T10" i="17" s="1"/>
  <c r="AA103" i="18"/>
  <c r="M12" i="17" s="1"/>
  <c r="AK104" i="18"/>
  <c r="AL104" i="18"/>
  <c r="W102" i="18"/>
  <c r="I10" i="17" s="1"/>
  <c r="AG103" i="18"/>
  <c r="S12" i="17" s="1"/>
  <c r="AI102" i="18"/>
  <c r="U10" i="17" s="1"/>
  <c r="Z103" i="18"/>
  <c r="L12" i="17" s="1"/>
  <c r="AD102" i="18"/>
  <c r="P10" i="17" s="1"/>
  <c r="AC103" i="18"/>
  <c r="AB99" i="18"/>
  <c r="AB103" i="18"/>
  <c r="N12" i="17" s="1"/>
  <c r="AB102" i="18"/>
  <c r="N10" i="17" s="1"/>
  <c r="R99" i="18"/>
  <c r="R103" i="18"/>
  <c r="D12" i="17" s="1"/>
  <c r="D23" i="17" s="1"/>
  <c r="R102" i="18"/>
  <c r="Y99" i="18"/>
  <c r="Y102" i="18"/>
  <c r="K10" i="17" s="1"/>
  <c r="Y103" i="18"/>
  <c r="K12" i="17" s="1"/>
  <c r="W103" i="18"/>
  <c r="I12" i="17" s="1"/>
  <c r="AG102" i="18"/>
  <c r="S10" i="17" s="1"/>
  <c r="AI103" i="18"/>
  <c r="U12" i="17" s="1"/>
  <c r="Z102" i="18"/>
  <c r="L10" i="17" s="1"/>
  <c r="AE102" i="18"/>
  <c r="Q10" i="17" s="1"/>
  <c r="T102" i="18"/>
  <c r="F10" i="17" s="1"/>
  <c r="AJ102" i="18"/>
  <c r="V10" i="17" s="1"/>
  <c r="V99" i="18"/>
  <c r="V103" i="18"/>
  <c r="H12" i="17" s="1"/>
  <c r="V102" i="18"/>
  <c r="H10" i="17" s="1"/>
  <c r="AF99" i="18"/>
  <c r="AF102" i="18"/>
  <c r="R10" i="17" s="1"/>
  <c r="AF103" i="18"/>
  <c r="R12" i="17" s="1"/>
  <c r="AD103" i="18"/>
  <c r="P12" i="17" s="1"/>
  <c r="U99" i="18"/>
  <c r="U103" i="18"/>
  <c r="G12" i="17" s="1"/>
  <c r="U102" i="18"/>
  <c r="G10" i="17" s="1"/>
  <c r="X103" i="18"/>
  <c r="S103" i="18"/>
  <c r="AH103" i="18"/>
  <c r="AA102" i="18"/>
  <c r="AM104" i="18"/>
  <c r="AE103" i="18"/>
  <c r="Q12" i="17" s="1"/>
  <c r="T103" i="18"/>
  <c r="F12" i="17" s="1"/>
  <c r="AJ103" i="18"/>
  <c r="V12" i="17" s="1"/>
  <c r="Q99" i="18"/>
  <c r="Q102" i="18"/>
  <c r="BM889" i="20"/>
  <c r="BM895" i="20"/>
  <c r="BL964" i="20"/>
  <c r="BL970" i="20"/>
  <c r="BL986" i="20"/>
  <c r="AB183" i="20" s="1"/>
  <c r="BL981" i="20"/>
  <c r="AB178" i="20" s="1"/>
  <c r="BL983" i="20"/>
  <c r="AB180" i="20" s="1"/>
  <c r="BL989" i="20"/>
  <c r="AB186" i="20" s="1"/>
  <c r="BL988" i="20"/>
  <c r="AB185" i="20" s="1"/>
  <c r="BK991" i="20"/>
  <c r="BL864" i="20"/>
  <c r="BL870" i="20"/>
  <c r="BK876" i="20"/>
  <c r="BL982" i="20"/>
  <c r="AB179" i="20" s="1"/>
  <c r="BL980" i="20"/>
  <c r="AB177" i="20" s="1"/>
  <c r="BL987" i="20"/>
  <c r="AB184" i="20" s="1"/>
  <c r="BL985" i="20"/>
  <c r="AB182" i="20" s="1"/>
  <c r="BL984" i="20"/>
  <c r="AB181" i="20" s="1"/>
  <c r="BN930" i="20"/>
  <c r="BN855" i="20"/>
  <c r="BN230" i="20"/>
  <c r="BN990" i="20" s="1"/>
  <c r="AC25" i="11"/>
  <c r="S20" i="18"/>
  <c r="S22" i="18"/>
  <c r="S23" i="18"/>
  <c r="S24" i="18"/>
  <c r="S25" i="18"/>
  <c r="S21" i="18"/>
  <c r="BN905" i="20"/>
  <c r="BN880" i="20"/>
  <c r="BN776" i="20"/>
  <c r="BN891" i="20" s="1"/>
  <c r="BN765" i="20"/>
  <c r="BN890" i="20" s="1"/>
  <c r="BN754" i="20"/>
  <c r="BL857" i="20"/>
  <c r="BN283" i="20"/>
  <c r="BN751" i="20"/>
  <c r="BN866" i="20" s="1"/>
  <c r="BM751" i="20"/>
  <c r="BM866" i="20" s="1"/>
  <c r="BM796" i="20"/>
  <c r="BN788" i="20"/>
  <c r="BN796" i="20" s="1"/>
  <c r="BN818" i="20"/>
  <c r="BM818" i="20"/>
  <c r="BN721" i="20"/>
  <c r="BN729" i="20" s="1"/>
  <c r="BM729" i="20"/>
  <c r="BN732" i="20"/>
  <c r="BN740" i="20" s="1"/>
  <c r="BN865" i="20" s="1"/>
  <c r="BM740" i="20"/>
  <c r="BM865" i="20" s="1"/>
  <c r="BM762" i="20"/>
  <c r="BM867" i="20" s="1"/>
  <c r="BM829" i="20"/>
  <c r="BN829" i="20"/>
  <c r="BM840" i="20"/>
  <c r="BM965" i="20" s="1"/>
  <c r="BN840" i="20"/>
  <c r="BN965" i="20" s="1"/>
  <c r="BM807" i="20"/>
  <c r="BN807" i="20"/>
  <c r="BM851" i="20"/>
  <c r="BM966" i="20" s="1"/>
  <c r="BN851" i="20"/>
  <c r="BN966" i="20" s="1"/>
  <c r="BM773" i="20"/>
  <c r="BM868" i="20" s="1"/>
  <c r="BM784" i="20"/>
  <c r="BM869" i="20" s="1"/>
  <c r="BM667" i="20"/>
  <c r="BM959" i="20" s="1"/>
  <c r="BN667" i="20"/>
  <c r="BN959" i="20" s="1"/>
  <c r="BN634" i="20"/>
  <c r="BM634" i="20"/>
  <c r="BM645" i="20"/>
  <c r="BN645" i="20"/>
  <c r="BM623" i="20"/>
  <c r="BN623" i="20"/>
  <c r="BM656" i="20"/>
  <c r="BM958" i="20" s="1"/>
  <c r="BN656" i="20"/>
  <c r="BN958" i="20" s="1"/>
  <c r="BN678" i="20"/>
  <c r="BM678" i="20"/>
  <c r="BM578" i="20"/>
  <c r="BN570" i="20"/>
  <c r="BN578" i="20" s="1"/>
  <c r="BM567" i="20"/>
  <c r="BN559" i="20"/>
  <c r="BN884" i="20" s="1"/>
  <c r="BN969" i="20" s="1"/>
  <c r="BN534" i="20"/>
  <c r="BN859" i="20" s="1"/>
  <c r="BN944" i="20" s="1"/>
  <c r="BM534" i="20"/>
  <c r="BM859" i="20" s="1"/>
  <c r="BM944" i="20" s="1"/>
  <c r="BM951" i="20" s="1"/>
  <c r="BM556" i="20"/>
  <c r="BN548" i="20"/>
  <c r="BN883" i="20" s="1"/>
  <c r="BN537" i="20"/>
  <c r="BN545" i="20" s="1"/>
  <c r="BM545" i="20"/>
  <c r="BM442" i="20"/>
  <c r="BN434" i="20"/>
  <c r="BN442" i="20" s="1"/>
  <c r="BN414" i="20"/>
  <c r="BN422" i="20" s="1"/>
  <c r="BM422" i="20"/>
  <c r="BM462" i="20"/>
  <c r="BN454" i="20"/>
  <c r="BN462" i="20" s="1"/>
  <c r="BM472" i="20"/>
  <c r="BN464" i="20"/>
  <c r="BN472" i="20" s="1"/>
  <c r="BM432" i="20"/>
  <c r="BM907" i="20" s="1"/>
  <c r="BM926" i="20" s="1"/>
  <c r="BN424" i="20"/>
  <c r="BN432" i="20" s="1"/>
  <c r="BN907" i="20" s="1"/>
  <c r="BN444" i="20"/>
  <c r="BN452" i="20" s="1"/>
  <c r="BM452" i="20"/>
  <c r="BN327" i="20"/>
  <c r="BN335" i="20" s="1"/>
  <c r="BM335" i="20"/>
  <c r="BN307" i="20"/>
  <c r="BN315" i="20" s="1"/>
  <c r="BM315" i="20"/>
  <c r="BM325" i="20"/>
  <c r="BN317" i="20"/>
  <c r="BN325" i="20" s="1"/>
  <c r="BN297" i="20"/>
  <c r="BN305" i="20" s="1"/>
  <c r="BM305" i="20"/>
  <c r="BN347" i="20"/>
  <c r="BN355" i="20" s="1"/>
  <c r="BM355" i="20"/>
  <c r="BN337" i="20"/>
  <c r="BN345" i="20" s="1"/>
  <c r="BM345" i="20"/>
  <c r="BM382" i="20"/>
  <c r="BN382" i="20"/>
  <c r="BA42" i="11"/>
  <c r="BA40" i="11"/>
  <c r="BA44" i="11"/>
  <c r="BA43" i="11"/>
  <c r="BA41" i="11"/>
  <c r="AZ45" i="11"/>
  <c r="AB394" i="11"/>
  <c r="AB52" i="11"/>
  <c r="AB87" i="11" s="1"/>
  <c r="AC338" i="11"/>
  <c r="AH34" i="18"/>
  <c r="AC393" i="11"/>
  <c r="AC395" i="11" s="1"/>
  <c r="AC346" i="11"/>
  <c r="AM24" i="11"/>
  <c r="AL28" i="11"/>
  <c r="AL39" i="11" s="1"/>
  <c r="R26" i="18"/>
  <c r="T6" i="18"/>
  <c r="R16" i="18"/>
  <c r="U23" i="16"/>
  <c r="V21" i="16"/>
  <c r="V33" i="16" s="1"/>
  <c r="V35" i="16" s="1"/>
  <c r="AC339" i="11"/>
  <c r="AC353" i="11" s="1"/>
  <c r="AC362" i="11"/>
  <c r="AC376" i="11" s="1"/>
  <c r="AC383" i="11" s="1"/>
  <c r="AD203" i="11"/>
  <c r="AC204" i="11"/>
  <c r="AD226" i="11"/>
  <c r="AD337" i="11"/>
  <c r="AG242" i="11"/>
  <c r="AG241" i="11"/>
  <c r="AG237" i="11"/>
  <c r="AG240" i="11"/>
  <c r="AH239" i="11"/>
  <c r="AG238" i="11"/>
  <c r="AH235" i="11"/>
  <c r="AG236" i="11"/>
  <c r="AE200" i="11"/>
  <c r="Y402" i="11" l="1"/>
  <c r="AR179" i="11"/>
  <c r="AR202" i="11"/>
  <c r="AC183" i="11"/>
  <c r="AC194" i="11"/>
  <c r="AC182" i="11"/>
  <c r="AC193" i="11"/>
  <c r="AB181" i="11"/>
  <c r="F92" i="11" s="1"/>
  <c r="AB192" i="11"/>
  <c r="BA160" i="11"/>
  <c r="Y403" i="11"/>
  <c r="Y412" i="11" s="1"/>
  <c r="Y414" i="11" s="1"/>
  <c r="Z399" i="11"/>
  <c r="Z401" i="11" s="1"/>
  <c r="Z408" i="11" s="1"/>
  <c r="Y352" i="11"/>
  <c r="Y356" i="11" s="1"/>
  <c r="Y369" i="11" s="1"/>
  <c r="Y371" i="11" s="1"/>
  <c r="Y379" i="11" s="1"/>
  <c r="AA397" i="11"/>
  <c r="AA318" i="11"/>
  <c r="AA332" i="11" s="1"/>
  <c r="AA314" i="11"/>
  <c r="AA331" i="11" s="1"/>
  <c r="Z326" i="11"/>
  <c r="Y334" i="11"/>
  <c r="Y345" i="11"/>
  <c r="AC317" i="11"/>
  <c r="AB177" i="11"/>
  <c r="Z343" i="11"/>
  <c r="Z350" i="11" s="1"/>
  <c r="Z310" i="11"/>
  <c r="Z330" i="11" s="1"/>
  <c r="AC305" i="11"/>
  <c r="AB398" i="11"/>
  <c r="F21" i="17"/>
  <c r="AC301" i="11"/>
  <c r="AA267" i="11"/>
  <c r="AA342" i="11" s="1"/>
  <c r="AA349" i="11" s="1"/>
  <c r="AC48" i="11"/>
  <c r="AC177" i="11" s="1"/>
  <c r="AA266" i="11"/>
  <c r="AA341" i="11" s="1"/>
  <c r="AA348" i="11" s="1"/>
  <c r="AA344" i="11"/>
  <c r="AA351" i="11" s="1"/>
  <c r="F23" i="17"/>
  <c r="F22" i="17"/>
  <c r="AC593" i="11"/>
  <c r="AB594" i="11"/>
  <c r="AC575" i="11"/>
  <c r="AC471" i="11"/>
  <c r="BA511" i="11"/>
  <c r="BA545" i="11" s="1"/>
  <c r="BA503" i="11"/>
  <c r="BA542" i="11" s="1"/>
  <c r="AD296" i="11"/>
  <c r="AD297" i="11"/>
  <c r="AD298" i="11"/>
  <c r="AD294" i="11"/>
  <c r="AD295" i="11"/>
  <c r="Y274" i="11"/>
  <c r="Y272" i="11"/>
  <c r="Y273" i="11"/>
  <c r="AB282" i="11"/>
  <c r="AA396" i="11"/>
  <c r="AA284" i="11"/>
  <c r="AB281" i="11"/>
  <c r="Y289" i="11"/>
  <c r="Z287" i="11"/>
  <c r="Z286" i="11"/>
  <c r="Z288" i="11"/>
  <c r="Y408" i="11"/>
  <c r="Y410" i="11" s="1"/>
  <c r="Y275" i="11"/>
  <c r="AB269" i="11"/>
  <c r="AB306" i="11" s="1"/>
  <c r="AB327" i="11" s="1"/>
  <c r="Z270" i="11"/>
  <c r="Z340" i="11"/>
  <c r="AA265" i="11"/>
  <c r="AA302" i="11" s="1"/>
  <c r="AA268" i="11"/>
  <c r="G19" i="17"/>
  <c r="AC243" i="11"/>
  <c r="AC244" i="11"/>
  <c r="AC255" i="11" s="1"/>
  <c r="AC245" i="11"/>
  <c r="AC246" i="11"/>
  <c r="AC247" i="11"/>
  <c r="AC248" i="11"/>
  <c r="AC259" i="11" s="1"/>
  <c r="AC249" i="11"/>
  <c r="AC260" i="11" s="1"/>
  <c r="AC250" i="11"/>
  <c r="AC261" i="11" s="1"/>
  <c r="AC283" i="11" s="1"/>
  <c r="AC322" i="11" s="1"/>
  <c r="AC333" i="11" s="1"/>
  <c r="AE136" i="11"/>
  <c r="AD163" i="11"/>
  <c r="AD124" i="11"/>
  <c r="AD132" i="11" s="1"/>
  <c r="AD112" i="11"/>
  <c r="AC120" i="11"/>
  <c r="AA196" i="11"/>
  <c r="AA654" i="11" s="1"/>
  <c r="E14" i="17" s="1"/>
  <c r="E25" i="17" s="1"/>
  <c r="AD264" i="11"/>
  <c r="AD271" i="11" s="1"/>
  <c r="AD252" i="11"/>
  <c r="AA185" i="11"/>
  <c r="AA642" i="11" s="1"/>
  <c r="AB256" i="11"/>
  <c r="AB328" i="11" s="1"/>
  <c r="AB254" i="11"/>
  <c r="AB258" i="11"/>
  <c r="AB257" i="11"/>
  <c r="AB329" i="11" s="1"/>
  <c r="AB184" i="11"/>
  <c r="AB195" i="11"/>
  <c r="AB178" i="11"/>
  <c r="AB189" i="11"/>
  <c r="AS8" i="11"/>
  <c r="AR180" i="11"/>
  <c r="AD167" i="11"/>
  <c r="AC173" i="11"/>
  <c r="AD25" i="11"/>
  <c r="AB11" i="17"/>
  <c r="AA187" i="20"/>
  <c r="AD188" i="20"/>
  <c r="BM901" i="20"/>
  <c r="BN951" i="20"/>
  <c r="BL976" i="20"/>
  <c r="AH104" i="18"/>
  <c r="T12" i="17"/>
  <c r="X104" i="18"/>
  <c r="J12" i="17"/>
  <c r="AA104" i="18"/>
  <c r="M10" i="17"/>
  <c r="R104" i="18"/>
  <c r="D10" i="17"/>
  <c r="D21" i="17" s="1"/>
  <c r="Q104" i="18"/>
  <c r="C10" i="17"/>
  <c r="C21" i="17" s="1"/>
  <c r="S104" i="18"/>
  <c r="E12" i="17"/>
  <c r="E23" i="17" s="1"/>
  <c r="AC104" i="18"/>
  <c r="O12" i="17"/>
  <c r="AF104" i="18"/>
  <c r="U104" i="18"/>
  <c r="V104" i="18"/>
  <c r="T104" i="18"/>
  <c r="AG104" i="18"/>
  <c r="AE104" i="18"/>
  <c r="AI104" i="18"/>
  <c r="Z104" i="18"/>
  <c r="AJ104" i="18"/>
  <c r="Y104" i="18"/>
  <c r="AB104" i="18"/>
  <c r="AD104" i="18"/>
  <c r="W104" i="18"/>
  <c r="BN964" i="20"/>
  <c r="BN970" i="20"/>
  <c r="BM964" i="20"/>
  <c r="BM970" i="20"/>
  <c r="BN889" i="20"/>
  <c r="BN895" i="20"/>
  <c r="BM988" i="20"/>
  <c r="AC185" i="20" s="1"/>
  <c r="BM985" i="20"/>
  <c r="AC182" i="20" s="1"/>
  <c r="BM983" i="20"/>
  <c r="AC180" i="20" s="1"/>
  <c r="BL876" i="20"/>
  <c r="BM986" i="20"/>
  <c r="AC183" i="20" s="1"/>
  <c r="BM864" i="20"/>
  <c r="BM870" i="20"/>
  <c r="BN864" i="20"/>
  <c r="BN870" i="20"/>
  <c r="BM981" i="20"/>
  <c r="AC178" i="20" s="1"/>
  <c r="BM982" i="20"/>
  <c r="AC179" i="20" s="1"/>
  <c r="BL991" i="20"/>
  <c r="BN980" i="20"/>
  <c r="AD177" i="20" s="1"/>
  <c r="BM980" i="20"/>
  <c r="AC177" i="20" s="1"/>
  <c r="BM989" i="20"/>
  <c r="AC186" i="20" s="1"/>
  <c r="BM987" i="20"/>
  <c r="AC184" i="20" s="1"/>
  <c r="BM984" i="20"/>
  <c r="AC181" i="20" s="1"/>
  <c r="BN762" i="20"/>
  <c r="BN867" i="20" s="1"/>
  <c r="T23" i="18"/>
  <c r="T24" i="18"/>
  <c r="T21" i="18"/>
  <c r="T20" i="18"/>
  <c r="T22" i="18"/>
  <c r="T25" i="18"/>
  <c r="BN784" i="20"/>
  <c r="BN869" i="20" s="1"/>
  <c r="BN926" i="20"/>
  <c r="BN567" i="20"/>
  <c r="BN556" i="20"/>
  <c r="BN773" i="20"/>
  <c r="BN868" i="20" s="1"/>
  <c r="BN857" i="20"/>
  <c r="BM857" i="20"/>
  <c r="BA45" i="11"/>
  <c r="AC52" i="11"/>
  <c r="AC87" i="11" s="1"/>
  <c r="AI34" i="18"/>
  <c r="AC394" i="11"/>
  <c r="AD362" i="11"/>
  <c r="AD376" i="11" s="1"/>
  <c r="AD383" i="11" s="1"/>
  <c r="AD393" i="11"/>
  <c r="AD395" i="11" s="1"/>
  <c r="AD346" i="11"/>
  <c r="AN24" i="11"/>
  <c r="AM28" i="11"/>
  <c r="AM39" i="11" s="1"/>
  <c r="S26" i="18"/>
  <c r="U6" i="18"/>
  <c r="V23" i="16"/>
  <c r="W21" i="16"/>
  <c r="W33" i="16" s="1"/>
  <c r="W35" i="16" s="1"/>
  <c r="AD204" i="11"/>
  <c r="AD338" i="11"/>
  <c r="AD339" i="11"/>
  <c r="AD353" i="11" s="1"/>
  <c r="AE226" i="11"/>
  <c r="AE337" i="11"/>
  <c r="AE203" i="11"/>
  <c r="AH240" i="11"/>
  <c r="AI235" i="11"/>
  <c r="AI239" i="11"/>
  <c r="AH238" i="11"/>
  <c r="AH236" i="11"/>
  <c r="AH241" i="11"/>
  <c r="AH237" i="11"/>
  <c r="AH242" i="11"/>
  <c r="AF200" i="11"/>
  <c r="AS179" i="11" l="1"/>
  <c r="AS202" i="11"/>
  <c r="AB608" i="11"/>
  <c r="AB610" i="11"/>
  <c r="AD182" i="11"/>
  <c r="AD193" i="11"/>
  <c r="Y404" i="11"/>
  <c r="AC181" i="11"/>
  <c r="AC192" i="11"/>
  <c r="AD183" i="11"/>
  <c r="AD194" i="11"/>
  <c r="Z410" i="11"/>
  <c r="AB616" i="11"/>
  <c r="AB617" i="11"/>
  <c r="AB600" i="11"/>
  <c r="AB602" i="11" s="1"/>
  <c r="Y355" i="11"/>
  <c r="Y366" i="11" s="1"/>
  <c r="Y368" i="11" s="1"/>
  <c r="Y378" i="11" s="1"/>
  <c r="Y385" i="11" s="1"/>
  <c r="Y419" i="11"/>
  <c r="Y424" i="11" s="1"/>
  <c r="Y628" i="11" s="1"/>
  <c r="Y630" i="11" s="1"/>
  <c r="Y641" i="11" s="1"/>
  <c r="Y653" i="11" s="1"/>
  <c r="Z403" i="11"/>
  <c r="Z412" i="11" s="1"/>
  <c r="Z414" i="11" s="1"/>
  <c r="Z402" i="11"/>
  <c r="Y354" i="11"/>
  <c r="Y363" i="11" s="1"/>
  <c r="Y365" i="11" s="1"/>
  <c r="Y358" i="11"/>
  <c r="Y357" i="11"/>
  <c r="Y372" i="11" s="1"/>
  <c r="Y374" i="11" s="1"/>
  <c r="Y380" i="11" s="1"/>
  <c r="Y387" i="11" s="1"/>
  <c r="Y599" i="11" s="1"/>
  <c r="Y603" i="11" s="1"/>
  <c r="Y638" i="11" s="1"/>
  <c r="Y650" i="11" s="1"/>
  <c r="Z334" i="11"/>
  <c r="AA399" i="11"/>
  <c r="AA401" i="11" s="1"/>
  <c r="AA408" i="11" s="1"/>
  <c r="AB314" i="11"/>
  <c r="AB331" i="11" s="1"/>
  <c r="AB397" i="11"/>
  <c r="AB318" i="11"/>
  <c r="AB332" i="11" s="1"/>
  <c r="AA326" i="11"/>
  <c r="AD317" i="11"/>
  <c r="AA343" i="11"/>
  <c r="AA350" i="11" s="1"/>
  <c r="AA310" i="11"/>
  <c r="AA330" i="11" s="1"/>
  <c r="AD305" i="11"/>
  <c r="AC188" i="11"/>
  <c r="AD301" i="11"/>
  <c r="AB266" i="11"/>
  <c r="AB341" i="11" s="1"/>
  <c r="AB348" i="11" s="1"/>
  <c r="AD48" i="11"/>
  <c r="AD177" i="11" s="1"/>
  <c r="AB267" i="11"/>
  <c r="AB342" i="11" s="1"/>
  <c r="AB349" i="11" s="1"/>
  <c r="AB344" i="11"/>
  <c r="AB351" i="11" s="1"/>
  <c r="G22" i="17"/>
  <c r="G21" i="17"/>
  <c r="G23" i="17"/>
  <c r="AB452" i="11"/>
  <c r="AB556" i="11"/>
  <c r="AB453" i="11"/>
  <c r="AB557" i="11"/>
  <c r="AB454" i="11"/>
  <c r="AB558" i="11"/>
  <c r="AD593" i="11"/>
  <c r="AC594" i="11"/>
  <c r="AD575" i="11"/>
  <c r="AD471" i="11"/>
  <c r="AE295" i="11"/>
  <c r="AE296" i="11"/>
  <c r="AE297" i="11"/>
  <c r="AE298" i="11"/>
  <c r="AE294" i="11"/>
  <c r="Y386" i="11"/>
  <c r="AC398" i="11"/>
  <c r="Y277" i="11"/>
  <c r="AC282" i="11"/>
  <c r="AC281" i="11"/>
  <c r="Z289" i="11"/>
  <c r="AB396" i="11"/>
  <c r="AB284" i="11"/>
  <c r="AA286" i="11"/>
  <c r="AA287" i="11"/>
  <c r="AA288" i="11"/>
  <c r="Y417" i="11"/>
  <c r="Y422" i="11" s="1"/>
  <c r="Y607" i="11" s="1"/>
  <c r="Y611" i="11" s="1"/>
  <c r="Y639" i="11" s="1"/>
  <c r="Y651" i="11" s="1"/>
  <c r="Y411" i="11"/>
  <c r="AC269" i="11"/>
  <c r="AC306" i="11" s="1"/>
  <c r="AC327" i="11" s="1"/>
  <c r="Z347" i="11"/>
  <c r="Z345" i="11"/>
  <c r="AB268" i="11"/>
  <c r="AA270" i="11"/>
  <c r="AA340" i="11"/>
  <c r="Z272" i="11"/>
  <c r="Z273" i="11"/>
  <c r="Z274" i="11"/>
  <c r="Z275" i="11"/>
  <c r="Z276" i="11"/>
  <c r="AB265" i="11"/>
  <c r="H19" i="17"/>
  <c r="AD243" i="11"/>
  <c r="AD245" i="11"/>
  <c r="AD250" i="11"/>
  <c r="AD261" i="11" s="1"/>
  <c r="AD283" i="11" s="1"/>
  <c r="AD322" i="11" s="1"/>
  <c r="AD333" i="11" s="1"/>
  <c r="AD246" i="11"/>
  <c r="AD247" i="11"/>
  <c r="AD248" i="11"/>
  <c r="AD259" i="11" s="1"/>
  <c r="AD244" i="11"/>
  <c r="AD255" i="11" s="1"/>
  <c r="AD249" i="11"/>
  <c r="AD260" i="11" s="1"/>
  <c r="AF136" i="11"/>
  <c r="AE163" i="11"/>
  <c r="AE124" i="11"/>
  <c r="AE132" i="11" s="1"/>
  <c r="AE112" i="11"/>
  <c r="AD120" i="11"/>
  <c r="AE264" i="11"/>
  <c r="AE271" i="11" s="1"/>
  <c r="AE252" i="11"/>
  <c r="AB196" i="11"/>
  <c r="AB654" i="11" s="1"/>
  <c r="F14" i="17" s="1"/>
  <c r="F25" i="17" s="1"/>
  <c r="AC256" i="11"/>
  <c r="AC328" i="11" s="1"/>
  <c r="AC254" i="11"/>
  <c r="AC257" i="11"/>
  <c r="AC329" i="11" s="1"/>
  <c r="AC258" i="11"/>
  <c r="AB185" i="11"/>
  <c r="AB642" i="11" s="1"/>
  <c r="AC178" i="11"/>
  <c r="AC189" i="11"/>
  <c r="AC184" i="11"/>
  <c r="AC195" i="11"/>
  <c r="AS180" i="11"/>
  <c r="AT8" i="11"/>
  <c r="AE25" i="11"/>
  <c r="AE167" i="11"/>
  <c r="AD173" i="11"/>
  <c r="AC11" i="17"/>
  <c r="AB187" i="20"/>
  <c r="BN901" i="20"/>
  <c r="BN976" i="20"/>
  <c r="BN981" i="20"/>
  <c r="AD178" i="20" s="1"/>
  <c r="BM976" i="20"/>
  <c r="BN988" i="20"/>
  <c r="AD185" i="20" s="1"/>
  <c r="BN987" i="20"/>
  <c r="AD184" i="20" s="1"/>
  <c r="BN982" i="20"/>
  <c r="AD179" i="20" s="1"/>
  <c r="BN989" i="20"/>
  <c r="AD186" i="20" s="1"/>
  <c r="BN986" i="20"/>
  <c r="AD183" i="20" s="1"/>
  <c r="BN985" i="20"/>
  <c r="AD182" i="20" s="1"/>
  <c r="BN983" i="20"/>
  <c r="AD180" i="20" s="1"/>
  <c r="BN984" i="20"/>
  <c r="AD181" i="20" s="1"/>
  <c r="BM876" i="20"/>
  <c r="BM991" i="20"/>
  <c r="BN876" i="20"/>
  <c r="U22" i="18"/>
  <c r="U23" i="18"/>
  <c r="U21" i="18"/>
  <c r="U20" i="18"/>
  <c r="U24" i="18"/>
  <c r="U25" i="18"/>
  <c r="AD52" i="11"/>
  <c r="AD87" i="11" s="1"/>
  <c r="AJ34" i="18"/>
  <c r="AE393" i="11"/>
  <c r="AE395" i="11" s="1"/>
  <c r="AE346" i="11"/>
  <c r="AO24" i="11"/>
  <c r="AN28" i="11"/>
  <c r="AN39" i="11" s="1"/>
  <c r="AD394" i="11"/>
  <c r="AE394" i="11" s="1"/>
  <c r="T26" i="18"/>
  <c r="V6" i="18"/>
  <c r="W23" i="16"/>
  <c r="X21" i="16"/>
  <c r="X33" i="16" s="1"/>
  <c r="X35" i="16" s="1"/>
  <c r="AE339" i="11"/>
  <c r="AE353" i="11" s="1"/>
  <c r="AE362" i="11"/>
  <c r="AE376" i="11" s="1"/>
  <c r="AE383" i="11" s="1"/>
  <c r="AE338" i="11"/>
  <c r="AF337" i="11"/>
  <c r="AF226" i="11"/>
  <c r="AF203" i="11"/>
  <c r="AE204" i="11"/>
  <c r="AI241" i="11"/>
  <c r="AJ235" i="11"/>
  <c r="AI242" i="11"/>
  <c r="AI238" i="11"/>
  <c r="AI237" i="11"/>
  <c r="AI236" i="11"/>
  <c r="AJ239" i="11"/>
  <c r="AI240" i="11"/>
  <c r="AG200" i="11"/>
  <c r="AT179" i="11" l="1"/>
  <c r="AT202" i="11"/>
  <c r="AC608" i="11"/>
  <c r="AC610" i="11"/>
  <c r="Y637" i="11"/>
  <c r="Y649" i="11" s="1"/>
  <c r="Y636" i="11"/>
  <c r="Y648" i="11" s="1"/>
  <c r="AE183" i="11"/>
  <c r="AE194" i="11"/>
  <c r="AD181" i="11"/>
  <c r="AD192" i="11"/>
  <c r="AE182" i="11"/>
  <c r="AE193" i="11"/>
  <c r="AB619" i="11"/>
  <c r="AB620" i="11"/>
  <c r="AB621" i="11"/>
  <c r="AB622" i="11"/>
  <c r="AB618" i="11"/>
  <c r="AC616" i="11"/>
  <c r="AC617" i="11"/>
  <c r="AC600" i="11"/>
  <c r="AC602" i="11" s="1"/>
  <c r="AD188" i="11"/>
  <c r="Y377" i="11"/>
  <c r="Y384" i="11" s="1"/>
  <c r="Y482" i="11" s="1"/>
  <c r="Y634" i="11" s="1"/>
  <c r="Y646" i="11" s="1"/>
  <c r="AB302" i="11"/>
  <c r="AB326" i="11" s="1"/>
  <c r="AB340" i="11"/>
  <c r="Z404" i="11"/>
  <c r="Y359" i="11"/>
  <c r="Y375" i="11"/>
  <c r="Y381" i="11" s="1"/>
  <c r="Y388" i="11" s="1"/>
  <c r="Y586" i="11" s="1"/>
  <c r="AA403" i="11"/>
  <c r="AA412" i="11" s="1"/>
  <c r="AA414" i="11" s="1"/>
  <c r="AA402" i="11"/>
  <c r="AB399" i="11"/>
  <c r="AB403" i="11" s="1"/>
  <c r="AB412" i="11" s="1"/>
  <c r="AC397" i="11"/>
  <c r="AC318" i="11"/>
  <c r="AC332" i="11" s="1"/>
  <c r="AC314" i="11"/>
  <c r="AC331" i="11" s="1"/>
  <c r="AA334" i="11"/>
  <c r="AB343" i="11"/>
  <c r="AB350" i="11" s="1"/>
  <c r="AB310" i="11"/>
  <c r="AB330" i="11" s="1"/>
  <c r="AE317" i="11"/>
  <c r="AE305" i="11"/>
  <c r="AE301" i="11"/>
  <c r="AE48" i="11"/>
  <c r="AE177" i="11" s="1"/>
  <c r="AC267" i="11"/>
  <c r="AC342" i="11" s="1"/>
  <c r="AC349" i="11" s="1"/>
  <c r="AC344" i="11"/>
  <c r="AC351" i="11" s="1"/>
  <c r="AC266" i="11"/>
  <c r="AC341" i="11" s="1"/>
  <c r="AC348" i="11" s="1"/>
  <c r="H22" i="17"/>
  <c r="H21" i="17"/>
  <c r="H23" i="17"/>
  <c r="AD594" i="11"/>
  <c r="AE593" i="11"/>
  <c r="AB566" i="11"/>
  <c r="AB582" i="11" s="1"/>
  <c r="AB458" i="11"/>
  <c r="AB564" i="11"/>
  <c r="AB580" i="11" s="1"/>
  <c r="AB462" i="11"/>
  <c r="AB478" i="11" s="1"/>
  <c r="AB460" i="11"/>
  <c r="AB476" i="11" s="1"/>
  <c r="AB461" i="11"/>
  <c r="AB477" i="11" s="1"/>
  <c r="AB565" i="11"/>
  <c r="AB581" i="11" s="1"/>
  <c r="AB562" i="11"/>
  <c r="AB563" i="11"/>
  <c r="AB579" i="11" s="1"/>
  <c r="AB459" i="11"/>
  <c r="AB475" i="11" s="1"/>
  <c r="AC453" i="11"/>
  <c r="AC558" i="11"/>
  <c r="AC452" i="11"/>
  <c r="AC556" i="11"/>
  <c r="AC454" i="11"/>
  <c r="AC557" i="11"/>
  <c r="AF25" i="11"/>
  <c r="AE575" i="11"/>
  <c r="AE471" i="11"/>
  <c r="AB409" i="11"/>
  <c r="AC409" i="11"/>
  <c r="AD409" i="11"/>
  <c r="AA410" i="11"/>
  <c r="AF295" i="11"/>
  <c r="AF296" i="11"/>
  <c r="AF297" i="11"/>
  <c r="AF298" i="11"/>
  <c r="AF294" i="11"/>
  <c r="AD398" i="11"/>
  <c r="AD281" i="11"/>
  <c r="Y415" i="11"/>
  <c r="Y418" i="11"/>
  <c r="Z419" i="11"/>
  <c r="Z424" i="11" s="1"/>
  <c r="Z628" i="11" s="1"/>
  <c r="Z630" i="11" s="1"/>
  <c r="Z641" i="11" s="1"/>
  <c r="Z653" i="11" s="1"/>
  <c r="AD282" i="11"/>
  <c r="AA289" i="11"/>
  <c r="AC284" i="11"/>
  <c r="AC396" i="11"/>
  <c r="Z417" i="11"/>
  <c r="Z422" i="11" s="1"/>
  <c r="Z607" i="11" s="1"/>
  <c r="Z611" i="11" s="1"/>
  <c r="Z639" i="11" s="1"/>
  <c r="Z651" i="11" s="1"/>
  <c r="Z411" i="11"/>
  <c r="Z418" i="11" s="1"/>
  <c r="Z423" i="11" s="1"/>
  <c r="Z615" i="11" s="1"/>
  <c r="AB286" i="11"/>
  <c r="AB287" i="11"/>
  <c r="AB288" i="11"/>
  <c r="Z277" i="11"/>
  <c r="AD269" i="11"/>
  <c r="AD306" i="11" s="1"/>
  <c r="AD327" i="11" s="1"/>
  <c r="AC268" i="11"/>
  <c r="AC265" i="11"/>
  <c r="AC302" i="11" s="1"/>
  <c r="AB270" i="11"/>
  <c r="AA347" i="11"/>
  <c r="AA345" i="11"/>
  <c r="AA272" i="11"/>
  <c r="AA273" i="11"/>
  <c r="AA274" i="11"/>
  <c r="AA275" i="11"/>
  <c r="AA276" i="11"/>
  <c r="Z352" i="11"/>
  <c r="I19" i="17"/>
  <c r="AE243" i="11"/>
  <c r="AE244" i="11"/>
  <c r="AE255" i="11" s="1"/>
  <c r="AE245" i="11"/>
  <c r="AE246" i="11"/>
  <c r="AE247" i="11"/>
  <c r="AE248" i="11"/>
  <c r="AE259" i="11" s="1"/>
  <c r="AE249" i="11"/>
  <c r="AE260" i="11" s="1"/>
  <c r="AE250" i="11"/>
  <c r="AE261" i="11" s="1"/>
  <c r="AE283" i="11" s="1"/>
  <c r="AG136" i="11"/>
  <c r="AF163" i="11"/>
  <c r="AF124" i="11"/>
  <c r="AF132" i="11" s="1"/>
  <c r="AF112" i="11"/>
  <c r="AE120" i="11"/>
  <c r="AF264" i="11"/>
  <c r="AF271" i="11" s="1"/>
  <c r="AF252" i="11"/>
  <c r="AC185" i="11"/>
  <c r="AC642" i="11" s="1"/>
  <c r="AC196" i="11"/>
  <c r="AC654" i="11" s="1"/>
  <c r="G14" i="17" s="1"/>
  <c r="G25" i="17" s="1"/>
  <c r="AD257" i="11"/>
  <c r="AD329" i="11" s="1"/>
  <c r="AD254" i="11"/>
  <c r="AD258" i="11"/>
  <c r="AD256" i="11"/>
  <c r="AD328" i="11" s="1"/>
  <c r="AT180" i="11"/>
  <c r="AU8" i="11"/>
  <c r="AD178" i="11"/>
  <c r="AD189" i="11"/>
  <c r="AD184" i="11"/>
  <c r="AD195" i="11"/>
  <c r="F88" i="11"/>
  <c r="AF167" i="11"/>
  <c r="AE173" i="11"/>
  <c r="AD11" i="17"/>
  <c r="AC187" i="20"/>
  <c r="BN991" i="20"/>
  <c r="V22" i="18"/>
  <c r="V23" i="18"/>
  <c r="V24" i="18"/>
  <c r="V25" i="18"/>
  <c r="V21" i="18"/>
  <c r="V20" i="18"/>
  <c r="AE52" i="11"/>
  <c r="AE87" i="11" s="1"/>
  <c r="W6" i="18"/>
  <c r="AK34" i="18"/>
  <c r="AP24" i="11"/>
  <c r="AO28" i="11"/>
  <c r="AO39" i="11" s="1"/>
  <c r="AF393" i="11"/>
  <c r="AF395" i="11" s="1"/>
  <c r="AF346" i="11"/>
  <c r="U26" i="18"/>
  <c r="X23" i="16"/>
  <c r="Y21" i="16"/>
  <c r="Y33" i="16" s="1"/>
  <c r="Y35" i="16" s="1"/>
  <c r="AF339" i="11"/>
  <c r="AF353" i="11" s="1"/>
  <c r="AF362" i="11"/>
  <c r="AF376" i="11" s="1"/>
  <c r="AF383" i="11" s="1"/>
  <c r="AG203" i="11"/>
  <c r="AG337" i="11"/>
  <c r="AG226" i="11"/>
  <c r="AF204" i="11"/>
  <c r="AF338" i="11"/>
  <c r="AJ240" i="11"/>
  <c r="AJ238" i="11"/>
  <c r="AJ236" i="11"/>
  <c r="AK235" i="11"/>
  <c r="AK239" i="11"/>
  <c r="AJ237" i="11"/>
  <c r="AJ242" i="11"/>
  <c r="AJ241" i="11"/>
  <c r="AH200" i="11"/>
  <c r="AU179" i="11" l="1"/>
  <c r="AU202" i="11"/>
  <c r="AD610" i="11"/>
  <c r="AD608" i="11"/>
  <c r="AE188" i="11"/>
  <c r="AF182" i="11"/>
  <c r="AF193" i="11"/>
  <c r="AF183" i="11"/>
  <c r="AF194" i="11"/>
  <c r="AE181" i="11"/>
  <c r="AE192" i="11"/>
  <c r="AC618" i="11"/>
  <c r="AC622" i="11"/>
  <c r="AC620" i="11"/>
  <c r="AC621" i="11"/>
  <c r="AC619" i="11"/>
  <c r="Z624" i="11"/>
  <c r="Z640" i="11" s="1"/>
  <c r="Z652" i="11" s="1"/>
  <c r="AB623" i="11"/>
  <c r="AD616" i="11"/>
  <c r="AD617" i="11"/>
  <c r="AD600" i="11"/>
  <c r="AD602" i="11" s="1"/>
  <c r="AC413" i="11"/>
  <c r="AA404" i="11"/>
  <c r="AD413" i="11"/>
  <c r="AB413" i="11"/>
  <c r="AB414" i="11" s="1"/>
  <c r="AB402" i="11"/>
  <c r="AB401" i="11"/>
  <c r="AC399" i="11"/>
  <c r="AC403" i="11" s="1"/>
  <c r="AC412" i="11" s="1"/>
  <c r="AB334" i="11"/>
  <c r="AE398" i="11"/>
  <c r="AE322" i="11"/>
  <c r="AE333" i="11" s="1"/>
  <c r="AD314" i="11"/>
  <c r="AD331" i="11" s="1"/>
  <c r="AD397" i="11"/>
  <c r="AD318" i="11"/>
  <c r="AD332" i="11" s="1"/>
  <c r="AC326" i="11"/>
  <c r="AC343" i="11"/>
  <c r="AC350" i="11" s="1"/>
  <c r="AC310" i="11"/>
  <c r="AC330" i="11" s="1"/>
  <c r="AF317" i="11"/>
  <c r="AF305" i="11"/>
  <c r="AF301" i="11"/>
  <c r="AD267" i="11"/>
  <c r="AD342" i="11" s="1"/>
  <c r="AD349" i="11" s="1"/>
  <c r="AF48" i="11"/>
  <c r="AF177" i="11" s="1"/>
  <c r="AD266" i="11"/>
  <c r="AD341" i="11" s="1"/>
  <c r="AD348" i="11" s="1"/>
  <c r="AD344" i="11"/>
  <c r="AD351" i="11" s="1"/>
  <c r="I22" i="17"/>
  <c r="I23" i="17"/>
  <c r="I21" i="17"/>
  <c r="AB474" i="11"/>
  <c r="AB479" i="11" s="1"/>
  <c r="AB463" i="11"/>
  <c r="AB578" i="11"/>
  <c r="AB583" i="11" s="1"/>
  <c r="AB567" i="11"/>
  <c r="AE594" i="11"/>
  <c r="AF593" i="11"/>
  <c r="AG25" i="11"/>
  <c r="AC460" i="11"/>
  <c r="AC476" i="11" s="1"/>
  <c r="AC462" i="11"/>
  <c r="AC478" i="11" s="1"/>
  <c r="AC565" i="11"/>
  <c r="AC581" i="11" s="1"/>
  <c r="AC562" i="11"/>
  <c r="AC564" i="11"/>
  <c r="AC580" i="11" s="1"/>
  <c r="AC566" i="11"/>
  <c r="AC582" i="11" s="1"/>
  <c r="AC461" i="11"/>
  <c r="AC477" i="11" s="1"/>
  <c r="AC563" i="11"/>
  <c r="AC579" i="11" s="1"/>
  <c r="AC458" i="11"/>
  <c r="AC459" i="11"/>
  <c r="AC475" i="11" s="1"/>
  <c r="AD556" i="11"/>
  <c r="AD452" i="11"/>
  <c r="AD557" i="11"/>
  <c r="AD454" i="11"/>
  <c r="AD558" i="11"/>
  <c r="AD453" i="11"/>
  <c r="AF575" i="11"/>
  <c r="AF471" i="11"/>
  <c r="Y382" i="11"/>
  <c r="Y389" i="11"/>
  <c r="Y635" i="11"/>
  <c r="Y647" i="11" s="1"/>
  <c r="AB410" i="11"/>
  <c r="AC410" i="11" s="1"/>
  <c r="Z354" i="11"/>
  <c r="Z363" i="11" s="1"/>
  <c r="Z365" i="11" s="1"/>
  <c r="Z377" i="11" s="1"/>
  <c r="Z384" i="11" s="1"/>
  <c r="Z355" i="11"/>
  <c r="Z366" i="11" s="1"/>
  <c r="Z368" i="11" s="1"/>
  <c r="Z378" i="11" s="1"/>
  <c r="Z356" i="11"/>
  <c r="Z369" i="11" s="1"/>
  <c r="Z371" i="11" s="1"/>
  <c r="Z379" i="11" s="1"/>
  <c r="Z357" i="11"/>
  <c r="Z372" i="11" s="1"/>
  <c r="Z374" i="11" s="1"/>
  <c r="Z380" i="11" s="1"/>
  <c r="Z358" i="11"/>
  <c r="AG297" i="11"/>
  <c r="AG298" i="11"/>
  <c r="AG294" i="11"/>
  <c r="AG295" i="11"/>
  <c r="AG296" i="11"/>
  <c r="Z425" i="11"/>
  <c r="Y420" i="11"/>
  <c r="Y423" i="11"/>
  <c r="AB289" i="11"/>
  <c r="Z420" i="11"/>
  <c r="Z415" i="11"/>
  <c r="AC288" i="11"/>
  <c r="AC287" i="11"/>
  <c r="AC286" i="11"/>
  <c r="AA419" i="11"/>
  <c r="AA424" i="11" s="1"/>
  <c r="AA628" i="11" s="1"/>
  <c r="AA630" i="11" s="1"/>
  <c r="AA641" i="11" s="1"/>
  <c r="AA653" i="11" s="1"/>
  <c r="AD396" i="11"/>
  <c r="AD284" i="11"/>
  <c r="AE281" i="11"/>
  <c r="AE282" i="11"/>
  <c r="AA417" i="11"/>
  <c r="AA422" i="11" s="1"/>
  <c r="AA607" i="11" s="1"/>
  <c r="AA611" i="11" s="1"/>
  <c r="AA639" i="11" s="1"/>
  <c r="AA651" i="11" s="1"/>
  <c r="AA411" i="11"/>
  <c r="AA418" i="11" s="1"/>
  <c r="AA423" i="11" s="1"/>
  <c r="AA615" i="11" s="1"/>
  <c r="AA277" i="11"/>
  <c r="AE269" i="11"/>
  <c r="AE306" i="11" s="1"/>
  <c r="AE327" i="11" s="1"/>
  <c r="AD268" i="11"/>
  <c r="AD343" i="11" s="1"/>
  <c r="AC270" i="11"/>
  <c r="AC340" i="11"/>
  <c r="AA352" i="11"/>
  <c r="AD265" i="11"/>
  <c r="AD302" i="11" s="1"/>
  <c r="AB347" i="11"/>
  <c r="AB345" i="11"/>
  <c r="AB273" i="11"/>
  <c r="AB272" i="11"/>
  <c r="AB276" i="11"/>
  <c r="AB274" i="11"/>
  <c r="AB275" i="11"/>
  <c r="J19" i="17"/>
  <c r="AF243" i="11"/>
  <c r="AF244" i="11"/>
  <c r="AF255" i="11" s="1"/>
  <c r="AF245" i="11"/>
  <c r="AF246" i="11"/>
  <c r="AF247" i="11"/>
  <c r="AF248" i="11"/>
  <c r="AF259" i="11" s="1"/>
  <c r="AF249" i="11"/>
  <c r="AF260" i="11" s="1"/>
  <c r="AF250" i="11"/>
  <c r="AF261" i="11" s="1"/>
  <c r="AF283" i="11" s="1"/>
  <c r="AF322" i="11" s="1"/>
  <c r="AF333" i="11" s="1"/>
  <c r="F95" i="11"/>
  <c r="F89" i="11"/>
  <c r="AH136" i="11"/>
  <c r="AG163" i="11"/>
  <c r="AG124" i="11"/>
  <c r="AG132" i="11" s="1"/>
  <c r="AG112" i="11"/>
  <c r="AF120" i="11"/>
  <c r="AG264" i="11"/>
  <c r="AG271" i="11" s="1"/>
  <c r="AG252" i="11"/>
  <c r="AE258" i="11"/>
  <c r="AE254" i="11"/>
  <c r="AE256" i="11"/>
  <c r="AE328" i="11" s="1"/>
  <c r="AE257" i="11"/>
  <c r="AE329" i="11" s="1"/>
  <c r="AV8" i="11"/>
  <c r="AU180" i="11"/>
  <c r="AD196" i="11"/>
  <c r="AD654" i="11" s="1"/>
  <c r="H14" i="17" s="1"/>
  <c r="H25" i="17" s="1"/>
  <c r="AE178" i="11"/>
  <c r="AE189" i="11"/>
  <c r="AD185" i="11"/>
  <c r="AD642" i="11" s="1"/>
  <c r="AE195" i="11"/>
  <c r="AE184" i="11"/>
  <c r="AG167" i="11"/>
  <c r="AF173" i="11"/>
  <c r="AE11" i="17"/>
  <c r="AD187" i="20"/>
  <c r="W20" i="18"/>
  <c r="W22" i="18"/>
  <c r="W23" i="18"/>
  <c r="W24" i="18"/>
  <c r="W25" i="18"/>
  <c r="W21" i="18"/>
  <c r="AF394" i="11"/>
  <c r="AF52" i="11"/>
  <c r="AF87" i="11" s="1"/>
  <c r="X6" i="18"/>
  <c r="AL34" i="18"/>
  <c r="AG393" i="11"/>
  <c r="AG395" i="11" s="1"/>
  <c r="AG346" i="11"/>
  <c r="AQ24" i="11"/>
  <c r="AP28" i="11"/>
  <c r="AP39" i="11" s="1"/>
  <c r="V26" i="18"/>
  <c r="Y23" i="16"/>
  <c r="Z21" i="16"/>
  <c r="Z33" i="16" s="1"/>
  <c r="Z35" i="16" s="1"/>
  <c r="AG339" i="11"/>
  <c r="AG353" i="11" s="1"/>
  <c r="AG362" i="11"/>
  <c r="AG376" i="11" s="1"/>
  <c r="AG383" i="11" s="1"/>
  <c r="AG338" i="11"/>
  <c r="AG204" i="11"/>
  <c r="AH337" i="11"/>
  <c r="AH226" i="11"/>
  <c r="AH203" i="11"/>
  <c r="AL235" i="11"/>
  <c r="AK241" i="11"/>
  <c r="AK237" i="11"/>
  <c r="AK238" i="11"/>
  <c r="AK242" i="11"/>
  <c r="AL239" i="11"/>
  <c r="AK236" i="11"/>
  <c r="AK240" i="11"/>
  <c r="AI200" i="11"/>
  <c r="AV179" i="11" l="1"/>
  <c r="AV202" i="11"/>
  <c r="AE608" i="11"/>
  <c r="AE610" i="11"/>
  <c r="AG182" i="11"/>
  <c r="AG193" i="11"/>
  <c r="AG183" i="11"/>
  <c r="AG194" i="11"/>
  <c r="AF181" i="11"/>
  <c r="AF192" i="11"/>
  <c r="AA624" i="11"/>
  <c r="AA640" i="11" s="1"/>
  <c r="AA652" i="11" s="1"/>
  <c r="AD620" i="11"/>
  <c r="AD622" i="11"/>
  <c r="AD621" i="11"/>
  <c r="AD618" i="11"/>
  <c r="AD619" i="11"/>
  <c r="AC623" i="11"/>
  <c r="AE617" i="11"/>
  <c r="AE616" i="11"/>
  <c r="Y425" i="11"/>
  <c r="Y615" i="11"/>
  <c r="AE600" i="11"/>
  <c r="AE602" i="11" s="1"/>
  <c r="AC414" i="11"/>
  <c r="AB404" i="11"/>
  <c r="AB408" i="11"/>
  <c r="AC402" i="11"/>
  <c r="AC401" i="11"/>
  <c r="AC408" i="11" s="1"/>
  <c r="AC334" i="11"/>
  <c r="AD399" i="11"/>
  <c r="AD403" i="11" s="1"/>
  <c r="AE314" i="11"/>
  <c r="AE331" i="11" s="1"/>
  <c r="AE397" i="11"/>
  <c r="AE318" i="11"/>
  <c r="AE332" i="11" s="1"/>
  <c r="AD326" i="11"/>
  <c r="AD350" i="11"/>
  <c r="AD310" i="11"/>
  <c r="AD330" i="11" s="1"/>
  <c r="AG317" i="11"/>
  <c r="AG305" i="11"/>
  <c r="AG301" i="11"/>
  <c r="AF188" i="11"/>
  <c r="AE267" i="11"/>
  <c r="AE342" i="11" s="1"/>
  <c r="AE349" i="11" s="1"/>
  <c r="AG48" i="11"/>
  <c r="AE266" i="11"/>
  <c r="AE341" i="11" s="1"/>
  <c r="AE348" i="11" s="1"/>
  <c r="AE344" i="11"/>
  <c r="AE351" i="11" s="1"/>
  <c r="AH25" i="11"/>
  <c r="J22" i="17"/>
  <c r="J21" i="17"/>
  <c r="J23" i="17"/>
  <c r="AC578" i="11"/>
  <c r="AC583" i="11" s="1"/>
  <c r="AC567" i="11"/>
  <c r="AE454" i="11"/>
  <c r="AE556" i="11"/>
  <c r="AE452" i="11"/>
  <c r="AE558" i="11"/>
  <c r="AE453" i="11"/>
  <c r="AE557" i="11"/>
  <c r="AD460" i="11"/>
  <c r="AD476" i="11" s="1"/>
  <c r="AD459" i="11"/>
  <c r="AD475" i="11" s="1"/>
  <c r="AD565" i="11"/>
  <c r="AD581" i="11" s="1"/>
  <c r="AD566" i="11"/>
  <c r="AD582" i="11" s="1"/>
  <c r="AD564" i="11"/>
  <c r="AD580" i="11" s="1"/>
  <c r="AD563" i="11"/>
  <c r="AD579" i="11" s="1"/>
  <c r="AD461" i="11"/>
  <c r="AD477" i="11" s="1"/>
  <c r="AD462" i="11"/>
  <c r="AD478" i="11" s="1"/>
  <c r="AD458" i="11"/>
  <c r="AD562" i="11"/>
  <c r="AG593" i="11"/>
  <c r="AF594" i="11"/>
  <c r="AC474" i="11"/>
  <c r="AC479" i="11" s="1"/>
  <c r="AC463" i="11"/>
  <c r="AG575" i="11"/>
  <c r="Z482" i="11"/>
  <c r="Z634" i="11" s="1"/>
  <c r="Z646" i="11" s="1"/>
  <c r="AG471" i="11"/>
  <c r="AA425" i="11"/>
  <c r="AA354" i="11"/>
  <c r="AA363" i="11" s="1"/>
  <c r="AA355" i="11"/>
  <c r="AA366" i="11" s="1"/>
  <c r="AA368" i="11" s="1"/>
  <c r="AA378" i="11" s="1"/>
  <c r="AA356" i="11"/>
  <c r="AA369" i="11" s="1"/>
  <c r="AA371" i="11" s="1"/>
  <c r="AA379" i="11" s="1"/>
  <c r="AA357" i="11"/>
  <c r="AA372" i="11" s="1"/>
  <c r="AA358" i="11"/>
  <c r="AH296" i="11"/>
  <c r="AH297" i="11"/>
  <c r="AH298" i="11"/>
  <c r="AH294" i="11"/>
  <c r="AH295" i="11"/>
  <c r="Z387" i="11"/>
  <c r="Z599" i="11" s="1"/>
  <c r="Z603" i="11" s="1"/>
  <c r="Z638" i="11" s="1"/>
  <c r="Z650" i="11" s="1"/>
  <c r="AF398" i="11"/>
  <c r="AA420" i="11"/>
  <c r="AA415" i="11"/>
  <c r="AB417" i="11"/>
  <c r="AB422" i="11" s="1"/>
  <c r="AB607" i="11" s="1"/>
  <c r="AB611" i="11" s="1"/>
  <c r="AB639" i="11" s="1"/>
  <c r="AB651" i="11" s="1"/>
  <c r="AB411" i="11"/>
  <c r="AB418" i="11" s="1"/>
  <c r="AB423" i="11" s="1"/>
  <c r="AB615" i="11" s="1"/>
  <c r="AF281" i="11"/>
  <c r="AD287" i="11"/>
  <c r="AD286" i="11"/>
  <c r="AD288" i="11"/>
  <c r="AE396" i="11"/>
  <c r="AE284" i="11"/>
  <c r="AC289" i="11"/>
  <c r="AF282" i="11"/>
  <c r="AB419" i="11"/>
  <c r="AB424" i="11" s="1"/>
  <c r="AB628" i="11" s="1"/>
  <c r="AB630" i="11" s="1"/>
  <c r="AB641" i="11" s="1"/>
  <c r="AB653" i="11" s="1"/>
  <c r="AF269" i="11"/>
  <c r="AF306" i="11" s="1"/>
  <c r="AF327" i="11" s="1"/>
  <c r="AB277" i="11"/>
  <c r="AE265" i="11"/>
  <c r="AE302" i="11" s="1"/>
  <c r="F96" i="11"/>
  <c r="AB352" i="11"/>
  <c r="AC272" i="11"/>
  <c r="AC273" i="11"/>
  <c r="AC274" i="11"/>
  <c r="AC275" i="11"/>
  <c r="AC276" i="11"/>
  <c r="Z386" i="11"/>
  <c r="AD270" i="11"/>
  <c r="AD340" i="11"/>
  <c r="Z359" i="11"/>
  <c r="AE268" i="11"/>
  <c r="Z375" i="11"/>
  <c r="AC347" i="11"/>
  <c r="AC345" i="11"/>
  <c r="K19" i="17"/>
  <c r="AG243" i="11"/>
  <c r="AG244" i="11"/>
  <c r="AG255" i="11" s="1"/>
  <c r="AG245" i="11"/>
  <c r="AG246" i="11"/>
  <c r="AG247" i="11"/>
  <c r="AG248" i="11"/>
  <c r="AG259" i="11" s="1"/>
  <c r="AG249" i="11"/>
  <c r="AG260" i="11" s="1"/>
  <c r="AG250" i="11"/>
  <c r="AG261" i="11" s="1"/>
  <c r="AG283" i="11" s="1"/>
  <c r="AG322" i="11" s="1"/>
  <c r="AG333" i="11" s="1"/>
  <c r="AI136" i="11"/>
  <c r="AH163" i="11"/>
  <c r="AH124" i="11"/>
  <c r="AH132" i="11" s="1"/>
  <c r="AG120" i="11"/>
  <c r="AH112" i="11"/>
  <c r="AH264" i="11"/>
  <c r="AH271" i="11" s="1"/>
  <c r="AH252" i="11"/>
  <c r="AF257" i="11"/>
  <c r="AF329" i="11" s="1"/>
  <c r="AF258" i="11"/>
  <c r="AF254" i="11"/>
  <c r="AF256" i="11"/>
  <c r="AF328" i="11" s="1"/>
  <c r="AE185" i="11"/>
  <c r="AE642" i="11" s="1"/>
  <c r="AV180" i="11"/>
  <c r="AW8" i="11"/>
  <c r="AE196" i="11"/>
  <c r="AE654" i="11" s="1"/>
  <c r="I14" i="17" s="1"/>
  <c r="I25" i="17" s="1"/>
  <c r="AF189" i="11"/>
  <c r="AF178" i="11"/>
  <c r="AF184" i="11"/>
  <c r="AF195" i="11"/>
  <c r="AH167" i="11"/>
  <c r="AG173" i="11"/>
  <c r="X22" i="18"/>
  <c r="X25" i="18"/>
  <c r="X20" i="18"/>
  <c r="X23" i="18"/>
  <c r="X24" i="18"/>
  <c r="X21" i="18"/>
  <c r="AG52" i="11"/>
  <c r="AG87" i="11" s="1"/>
  <c r="W26" i="18"/>
  <c r="Y6" i="18"/>
  <c r="AM34" i="18"/>
  <c r="AG394" i="11"/>
  <c r="AH393" i="11"/>
  <c r="AH395" i="11" s="1"/>
  <c r="AH346" i="11"/>
  <c r="AR24" i="11"/>
  <c r="AQ28" i="11"/>
  <c r="AQ39" i="11" s="1"/>
  <c r="Z23" i="16"/>
  <c r="AA21" i="16"/>
  <c r="AA33" i="16" s="1"/>
  <c r="AA35" i="16" s="1"/>
  <c r="AH339" i="11"/>
  <c r="AH353" i="11" s="1"/>
  <c r="AH362" i="11"/>
  <c r="AH338" i="11"/>
  <c r="AI203" i="11"/>
  <c r="AI226" i="11"/>
  <c r="AI337" i="11"/>
  <c r="AH204" i="11"/>
  <c r="AL236" i="11"/>
  <c r="AL237" i="11"/>
  <c r="AL238" i="11"/>
  <c r="AL240" i="11"/>
  <c r="AM239" i="11"/>
  <c r="AL241" i="11"/>
  <c r="AM235" i="11"/>
  <c r="AL242" i="11"/>
  <c r="AJ200" i="11"/>
  <c r="AW179" i="11" l="1"/>
  <c r="AW202" i="11"/>
  <c r="AF608" i="11"/>
  <c r="AF610" i="11"/>
  <c r="Z637" i="11"/>
  <c r="Z649" i="11" s="1"/>
  <c r="AH182" i="11"/>
  <c r="AH193" i="11"/>
  <c r="AG181" i="11"/>
  <c r="AG192" i="11"/>
  <c r="AH183" i="11"/>
  <c r="AH194" i="11"/>
  <c r="AD401" i="11"/>
  <c r="AD408" i="11" s="1"/>
  <c r="AD410" i="11" s="1"/>
  <c r="AD623" i="11"/>
  <c r="AE620" i="11"/>
  <c r="AE622" i="11"/>
  <c r="AE619" i="11"/>
  <c r="AE618" i="11"/>
  <c r="AE621" i="11"/>
  <c r="AB624" i="11"/>
  <c r="AB640" i="11" s="1"/>
  <c r="AB652" i="11" s="1"/>
  <c r="Y624" i="11"/>
  <c r="Y640" i="11" s="1"/>
  <c r="Y643" i="11" s="1"/>
  <c r="AF616" i="11"/>
  <c r="AF617" i="11"/>
  <c r="AF600" i="11"/>
  <c r="AF602" i="11" s="1"/>
  <c r="AD402" i="11"/>
  <c r="AC404" i="11"/>
  <c r="AE399" i="11"/>
  <c r="AE401" i="11" s="1"/>
  <c r="AD334" i="11"/>
  <c r="AF314" i="11"/>
  <c r="AF331" i="11" s="1"/>
  <c r="AF397" i="11"/>
  <c r="AF318" i="11"/>
  <c r="AF332" i="11" s="1"/>
  <c r="AH317" i="11"/>
  <c r="AE326" i="11"/>
  <c r="AE343" i="11"/>
  <c r="AE350" i="11" s="1"/>
  <c r="AE310" i="11"/>
  <c r="AE330" i="11" s="1"/>
  <c r="AH305" i="11"/>
  <c r="AH301" i="11"/>
  <c r="AI25" i="11"/>
  <c r="AI48" i="11" s="1"/>
  <c r="AI188" i="11" s="1"/>
  <c r="AF267" i="11"/>
  <c r="AF342" i="11" s="1"/>
  <c r="AF349" i="11" s="1"/>
  <c r="AF344" i="11"/>
  <c r="AF351" i="11" s="1"/>
  <c r="AF266" i="11"/>
  <c r="AF341" i="11" s="1"/>
  <c r="AF348" i="11" s="1"/>
  <c r="AH48" i="11"/>
  <c r="AF265" i="11"/>
  <c r="AG188" i="11"/>
  <c r="AG177" i="11"/>
  <c r="K22" i="17"/>
  <c r="K21" i="17"/>
  <c r="K23" i="17"/>
  <c r="AD578" i="11"/>
  <c r="AD583" i="11" s="1"/>
  <c r="AD567" i="11"/>
  <c r="AF556" i="11"/>
  <c r="AF452" i="11"/>
  <c r="AF558" i="11"/>
  <c r="AF454" i="11"/>
  <c r="AF557" i="11"/>
  <c r="AF453" i="11"/>
  <c r="AG594" i="11"/>
  <c r="AH593" i="11"/>
  <c r="AE563" i="11"/>
  <c r="AE579" i="11" s="1"/>
  <c r="AE458" i="11"/>
  <c r="AE562" i="11"/>
  <c r="AE564" i="11"/>
  <c r="AE580" i="11" s="1"/>
  <c r="AE461" i="11"/>
  <c r="AE477" i="11" s="1"/>
  <c r="AE566" i="11"/>
  <c r="AE582" i="11" s="1"/>
  <c r="AE462" i="11"/>
  <c r="AE478" i="11" s="1"/>
  <c r="AE565" i="11"/>
  <c r="AE581" i="11" s="1"/>
  <c r="AE460" i="11"/>
  <c r="AE476" i="11" s="1"/>
  <c r="AE459" i="11"/>
  <c r="AE475" i="11" s="1"/>
  <c r="AD474" i="11"/>
  <c r="AD479" i="11" s="1"/>
  <c r="AD463" i="11"/>
  <c r="AH575" i="11"/>
  <c r="AH471" i="11"/>
  <c r="Z381" i="11"/>
  <c r="Z388" i="11" s="1"/>
  <c r="AH376" i="11"/>
  <c r="AH383" i="11" s="1"/>
  <c r="AH373" i="11"/>
  <c r="AH364" i="11"/>
  <c r="AH367" i="11"/>
  <c r="AH370" i="11"/>
  <c r="AB354" i="11"/>
  <c r="AB363" i="11" s="1"/>
  <c r="AB355" i="11"/>
  <c r="AB366" i="11" s="1"/>
  <c r="AB356" i="11"/>
  <c r="AB369" i="11" s="1"/>
  <c r="AB357" i="11"/>
  <c r="AB372" i="11" s="1"/>
  <c r="AB358" i="11"/>
  <c r="AI295" i="11"/>
  <c r="AI296" i="11"/>
  <c r="AI297" i="11"/>
  <c r="AI298" i="11"/>
  <c r="AI294" i="11"/>
  <c r="AE373" i="11"/>
  <c r="AD373" i="11"/>
  <c r="AB373" i="11"/>
  <c r="AF373" i="11"/>
  <c r="AC373" i="11"/>
  <c r="AG373" i="11"/>
  <c r="AB364" i="11"/>
  <c r="AF364" i="11"/>
  <c r="AE364" i="11"/>
  <c r="AC364" i="11"/>
  <c r="AG364" i="11"/>
  <c r="AD364" i="11"/>
  <c r="AD370" i="11"/>
  <c r="AC370" i="11"/>
  <c r="AE370" i="11"/>
  <c r="AB370" i="11"/>
  <c r="AB371" i="11" s="1"/>
  <c r="AB379" i="11" s="1"/>
  <c r="AF370" i="11"/>
  <c r="AG370" i="11"/>
  <c r="AA365" i="11"/>
  <c r="AA374" i="11"/>
  <c r="AA380" i="11" s="1"/>
  <c r="AC367" i="11"/>
  <c r="AG367" i="11"/>
  <c r="AD367" i="11"/>
  <c r="AB367" i="11"/>
  <c r="AB368" i="11" s="1"/>
  <c r="AB378" i="11" s="1"/>
  <c r="AE367" i="11"/>
  <c r="AF367" i="11"/>
  <c r="AB425" i="11"/>
  <c r="AG409" i="11"/>
  <c r="AF409" i="11"/>
  <c r="AE409" i="11"/>
  <c r="AG398" i="11"/>
  <c r="AB415" i="11"/>
  <c r="AC417" i="11"/>
  <c r="AC422" i="11" s="1"/>
  <c r="AC607" i="11" s="1"/>
  <c r="AC611" i="11" s="1"/>
  <c r="AC639" i="11" s="1"/>
  <c r="AC651" i="11" s="1"/>
  <c r="AC411" i="11"/>
  <c r="AC418" i="11" s="1"/>
  <c r="AC423" i="11" s="1"/>
  <c r="AC615" i="11" s="1"/>
  <c r="AG281" i="11"/>
  <c r="AG282" i="11"/>
  <c r="AE286" i="11"/>
  <c r="AE288" i="11"/>
  <c r="AE287" i="11"/>
  <c r="AD412" i="11"/>
  <c r="AD414" i="11" s="1"/>
  <c r="AD289" i="11"/>
  <c r="AF396" i="11"/>
  <c r="AF284" i="11"/>
  <c r="AC419" i="11"/>
  <c r="AC424" i="11" s="1"/>
  <c r="AC628" i="11" s="1"/>
  <c r="AC630" i="11" s="1"/>
  <c r="AC641" i="11" s="1"/>
  <c r="AC653" i="11" s="1"/>
  <c r="AB420" i="11"/>
  <c r="AG269" i="11"/>
  <c r="AG306" i="11" s="1"/>
  <c r="AG327" i="11" s="1"/>
  <c r="AC277" i="11"/>
  <c r="AA359" i="11"/>
  <c r="AF268" i="11"/>
  <c r="AC352" i="11"/>
  <c r="Z385" i="11"/>
  <c r="AD347" i="11"/>
  <c r="AD345" i="11"/>
  <c r="AD272" i="11"/>
  <c r="AD273" i="11"/>
  <c r="AD274" i="11"/>
  <c r="AD275" i="11"/>
  <c r="AD276" i="11"/>
  <c r="AE270" i="11"/>
  <c r="AE340" i="11"/>
  <c r="AA386" i="11"/>
  <c r="L19" i="17"/>
  <c r="AH247" i="11"/>
  <c r="AH249" i="11"/>
  <c r="AH260" i="11" s="1"/>
  <c r="AH243" i="11"/>
  <c r="AH244" i="11"/>
  <c r="AH255" i="11" s="1"/>
  <c r="AH245" i="11"/>
  <c r="AH246" i="11"/>
  <c r="AH248" i="11"/>
  <c r="AH259" i="11" s="1"/>
  <c r="AH250" i="11"/>
  <c r="AH261" i="11" s="1"/>
  <c r="AH283" i="11" s="1"/>
  <c r="AH322" i="11" s="1"/>
  <c r="AH333" i="11" s="1"/>
  <c r="AJ136" i="11"/>
  <c r="AI163" i="11"/>
  <c r="AI124" i="11"/>
  <c r="AI132" i="11" s="1"/>
  <c r="AI112" i="11"/>
  <c r="AH120" i="11"/>
  <c r="AI264" i="11"/>
  <c r="AI271" i="11" s="1"/>
  <c r="AI252" i="11"/>
  <c r="AG258" i="11"/>
  <c r="AG257" i="11"/>
  <c r="AG329" i="11" s="1"/>
  <c r="AG256" i="11"/>
  <c r="AG328" i="11" s="1"/>
  <c r="AG254" i="11"/>
  <c r="AW180" i="11"/>
  <c r="AX8" i="11"/>
  <c r="AF185" i="11"/>
  <c r="AF642" i="11" s="1"/>
  <c r="AG184" i="11"/>
  <c r="AG195" i="11"/>
  <c r="AF196" i="11"/>
  <c r="AF654" i="11" s="1"/>
  <c r="J14" i="17" s="1"/>
  <c r="J25" i="17" s="1"/>
  <c r="AG189" i="11"/>
  <c r="AG178" i="11"/>
  <c r="AI167" i="11"/>
  <c r="AH173" i="11"/>
  <c r="C20" i="18"/>
  <c r="Y24" i="18"/>
  <c r="Y25" i="18"/>
  <c r="Y20" i="18"/>
  <c r="Y22" i="18"/>
  <c r="Y23" i="18"/>
  <c r="Y21" i="18"/>
  <c r="AH52" i="11"/>
  <c r="AH87" i="11" s="1"/>
  <c r="AH394" i="11"/>
  <c r="C19" i="18"/>
  <c r="X26" i="18"/>
  <c r="C18" i="18"/>
  <c r="C17" i="18"/>
  <c r="C21" i="18"/>
  <c r="C22" i="18"/>
  <c r="Z6" i="18"/>
  <c r="AN34" i="18"/>
  <c r="AI362" i="11"/>
  <c r="AI393" i="11"/>
  <c r="AI395" i="11" s="1"/>
  <c r="AI346" i="11"/>
  <c r="AS24" i="11"/>
  <c r="AR28" i="11"/>
  <c r="AR39" i="11" s="1"/>
  <c r="AJ203" i="11"/>
  <c r="AA23" i="16"/>
  <c r="AB21" i="16"/>
  <c r="AB33" i="16" s="1"/>
  <c r="AB35" i="16" s="1"/>
  <c r="AI204" i="11"/>
  <c r="AI338" i="11"/>
  <c r="AI339" i="11"/>
  <c r="AI353" i="11" s="1"/>
  <c r="AJ337" i="11"/>
  <c r="AJ226" i="11"/>
  <c r="AM240" i="11"/>
  <c r="AM242" i="11"/>
  <c r="AM241" i="11"/>
  <c r="AM237" i="11"/>
  <c r="AN235" i="11"/>
  <c r="AN239" i="11"/>
  <c r="AM238" i="11"/>
  <c r="AM236" i="11"/>
  <c r="AK200" i="11"/>
  <c r="AX179" i="11" l="1"/>
  <c r="AX202" i="11"/>
  <c r="AG608" i="11"/>
  <c r="AG610" i="11"/>
  <c r="Z636" i="11"/>
  <c r="Z648" i="11" s="1"/>
  <c r="AA637" i="11"/>
  <c r="AA649" i="11" s="1"/>
  <c r="AI183" i="11"/>
  <c r="AI194" i="11"/>
  <c r="AH181" i="11"/>
  <c r="AH192" i="11"/>
  <c r="AI182" i="11"/>
  <c r="AI193" i="11"/>
  <c r="AD404" i="11"/>
  <c r="AF619" i="11"/>
  <c r="AF622" i="11"/>
  <c r="AF621" i="11"/>
  <c r="AF618" i="11"/>
  <c r="AF620" i="11"/>
  <c r="AC624" i="11"/>
  <c r="AC640" i="11" s="1"/>
  <c r="AC652" i="11" s="1"/>
  <c r="Y652" i="11"/>
  <c r="Y655" i="11" s="1"/>
  <c r="C9" i="17" s="1"/>
  <c r="AE623" i="11"/>
  <c r="AG617" i="11"/>
  <c r="AG616" i="11"/>
  <c r="AG600" i="11"/>
  <c r="AG602" i="11" s="1"/>
  <c r="AE403" i="11"/>
  <c r="AE412" i="11" s="1"/>
  <c r="AE402" i="11"/>
  <c r="AE334" i="11"/>
  <c r="AF399" i="11"/>
  <c r="AF403" i="11" s="1"/>
  <c r="AF412" i="11" s="1"/>
  <c r="AJ25" i="11"/>
  <c r="AJ48" i="11" s="1"/>
  <c r="AJ188" i="11" s="1"/>
  <c r="AG397" i="11"/>
  <c r="AG318" i="11"/>
  <c r="AG332" i="11" s="1"/>
  <c r="AG314" i="11"/>
  <c r="AG331" i="11" s="1"/>
  <c r="AI317" i="11"/>
  <c r="AF343" i="11"/>
  <c r="AF350" i="11" s="1"/>
  <c r="AF310" i="11"/>
  <c r="AF330" i="11" s="1"/>
  <c r="AI305" i="11"/>
  <c r="AI301" i="11"/>
  <c r="AF340" i="11"/>
  <c r="AF347" i="11" s="1"/>
  <c r="AF302" i="11"/>
  <c r="AI177" i="11"/>
  <c r="AH188" i="11"/>
  <c r="AH177" i="11"/>
  <c r="AG267" i="11"/>
  <c r="AG342" i="11" s="1"/>
  <c r="AG349" i="11" s="1"/>
  <c r="AG266" i="11"/>
  <c r="AG341" i="11" s="1"/>
  <c r="AG348" i="11" s="1"/>
  <c r="AG344" i="11"/>
  <c r="AG351" i="11" s="1"/>
  <c r="AG265" i="11"/>
  <c r="L22" i="17"/>
  <c r="L21" i="17"/>
  <c r="L23" i="17"/>
  <c r="AE474" i="11"/>
  <c r="AE479" i="11" s="1"/>
  <c r="AE463" i="11"/>
  <c r="AF461" i="11"/>
  <c r="AF477" i="11" s="1"/>
  <c r="AF460" i="11"/>
  <c r="AF476" i="11" s="1"/>
  <c r="AF565" i="11"/>
  <c r="AF581" i="11" s="1"/>
  <c r="AF458" i="11"/>
  <c r="AF566" i="11"/>
  <c r="AF582" i="11" s="1"/>
  <c r="AF459" i="11"/>
  <c r="AF475" i="11" s="1"/>
  <c r="AF564" i="11"/>
  <c r="AF580" i="11" s="1"/>
  <c r="AF563" i="11"/>
  <c r="AF579" i="11" s="1"/>
  <c r="AF562" i="11"/>
  <c r="AF462" i="11"/>
  <c r="AF478" i="11" s="1"/>
  <c r="AI593" i="11"/>
  <c r="AH594" i="11"/>
  <c r="AE578" i="11"/>
  <c r="AE583" i="11" s="1"/>
  <c r="AE567" i="11"/>
  <c r="AG452" i="11"/>
  <c r="AG557" i="11"/>
  <c r="AG558" i="11"/>
  <c r="AG454" i="11"/>
  <c r="AG556" i="11"/>
  <c r="AG453" i="11"/>
  <c r="AI575" i="11"/>
  <c r="Z586" i="11"/>
  <c r="Z635" i="11" s="1"/>
  <c r="AI471" i="11"/>
  <c r="Z382" i="11"/>
  <c r="Z389" i="11"/>
  <c r="AA377" i="11"/>
  <c r="AA384" i="11" s="1"/>
  <c r="AC358" i="11"/>
  <c r="AC354" i="11"/>
  <c r="AC363" i="11" s="1"/>
  <c r="AC356" i="11"/>
  <c r="AC369" i="11" s="1"/>
  <c r="AC355" i="11"/>
  <c r="AC366" i="11" s="1"/>
  <c r="AC357" i="11"/>
  <c r="AC372" i="11" s="1"/>
  <c r="AI376" i="11"/>
  <c r="AI383" i="11" s="1"/>
  <c r="AI370" i="11"/>
  <c r="AI373" i="11"/>
  <c r="AI364" i="11"/>
  <c r="AI367" i="11"/>
  <c r="AJ295" i="11"/>
  <c r="AJ296" i="11"/>
  <c r="AJ297" i="11"/>
  <c r="AJ298" i="11"/>
  <c r="AJ294" i="11"/>
  <c r="AB365" i="11"/>
  <c r="AA375" i="11"/>
  <c r="AC368" i="11"/>
  <c r="AB374" i="11"/>
  <c r="AC371" i="11"/>
  <c r="AA387" i="11"/>
  <c r="AA599" i="11" s="1"/>
  <c r="AA603" i="11" s="1"/>
  <c r="AA638" i="11" s="1"/>
  <c r="AA650" i="11" s="1"/>
  <c r="AB386" i="11"/>
  <c r="AC425" i="11"/>
  <c r="AE413" i="11"/>
  <c r="AF413" i="11"/>
  <c r="AG413" i="11"/>
  <c r="AH398" i="11"/>
  <c r="AC415" i="11"/>
  <c r="AH282" i="11"/>
  <c r="AH281" i="11"/>
  <c r="AF287" i="11"/>
  <c r="AF288" i="11"/>
  <c r="AF286" i="11"/>
  <c r="AE289" i="11"/>
  <c r="AE408" i="11"/>
  <c r="AE410" i="11" s="1"/>
  <c r="AG284" i="11"/>
  <c r="AG396" i="11"/>
  <c r="AC420" i="11"/>
  <c r="AD419" i="11"/>
  <c r="AD424" i="11" s="1"/>
  <c r="AD628" i="11" s="1"/>
  <c r="AD630" i="11" s="1"/>
  <c r="AD641" i="11" s="1"/>
  <c r="AD653" i="11" s="1"/>
  <c r="AD417" i="11"/>
  <c r="AD422" i="11" s="1"/>
  <c r="AD607" i="11" s="1"/>
  <c r="AD611" i="11" s="1"/>
  <c r="AD639" i="11" s="1"/>
  <c r="AD651" i="11" s="1"/>
  <c r="AD411" i="11"/>
  <c r="AD418" i="11" s="1"/>
  <c r="AD423" i="11" s="1"/>
  <c r="AD615" i="11" s="1"/>
  <c r="AD277" i="11"/>
  <c r="AH269" i="11"/>
  <c r="AH306" i="11" s="1"/>
  <c r="AH327" i="11" s="1"/>
  <c r="AF270" i="11"/>
  <c r="AF273" i="11" s="1"/>
  <c r="AB359" i="11"/>
  <c r="AG268" i="11"/>
  <c r="AA385" i="11"/>
  <c r="AD352" i="11"/>
  <c r="AE347" i="11"/>
  <c r="AE345" i="11"/>
  <c r="AB385" i="11"/>
  <c r="AE272" i="11"/>
  <c r="AE273" i="11"/>
  <c r="AE274" i="11"/>
  <c r="AE275" i="11"/>
  <c r="AE276" i="11"/>
  <c r="M19" i="17"/>
  <c r="AI243" i="11"/>
  <c r="AI244" i="11"/>
  <c r="AI255" i="11" s="1"/>
  <c r="AI245" i="11"/>
  <c r="AI246" i="11"/>
  <c r="AI247" i="11"/>
  <c r="AI248" i="11"/>
  <c r="AI259" i="11" s="1"/>
  <c r="AI249" i="11"/>
  <c r="AI260" i="11" s="1"/>
  <c r="AI250" i="11"/>
  <c r="AI261" i="11" s="1"/>
  <c r="AI283" i="11" s="1"/>
  <c r="AI322" i="11" s="1"/>
  <c r="AI333" i="11" s="1"/>
  <c r="AG185" i="11"/>
  <c r="AG642" i="11" s="1"/>
  <c r="AK136" i="11"/>
  <c r="AJ163" i="11"/>
  <c r="AJ124" i="11"/>
  <c r="AJ132" i="11" s="1"/>
  <c r="AJ112" i="11"/>
  <c r="AI120" i="11"/>
  <c r="AJ264" i="11"/>
  <c r="AJ271" i="11" s="1"/>
  <c r="AJ252" i="11"/>
  <c r="AH257" i="11"/>
  <c r="AH329" i="11" s="1"/>
  <c r="AH254" i="11"/>
  <c r="AH256" i="11"/>
  <c r="AH328" i="11" s="1"/>
  <c r="AH258" i="11"/>
  <c r="AY8" i="11"/>
  <c r="AX180" i="11"/>
  <c r="AG196" i="11"/>
  <c r="AG654" i="11" s="1"/>
  <c r="K14" i="17" s="1"/>
  <c r="K25" i="17" s="1"/>
  <c r="AH178" i="11"/>
  <c r="AH189" i="11"/>
  <c r="AH195" i="11"/>
  <c r="AH184" i="11"/>
  <c r="AJ167" i="11"/>
  <c r="AI173" i="11"/>
  <c r="Z22" i="18"/>
  <c r="Z23" i="18"/>
  <c r="Z24" i="18"/>
  <c r="Z25" i="18"/>
  <c r="Z21" i="18"/>
  <c r="Z20" i="18"/>
  <c r="C23" i="18"/>
  <c r="AJ204" i="11"/>
  <c r="AI52" i="11"/>
  <c r="AI87" i="11" s="1"/>
  <c r="AI394" i="11"/>
  <c r="Y26" i="18"/>
  <c r="AO34" i="18"/>
  <c r="AP34" i="18" s="1"/>
  <c r="AQ34" i="18" s="1"/>
  <c r="AR34" i="18" s="1"/>
  <c r="AS34" i="18" s="1"/>
  <c r="AT34" i="18" s="1"/>
  <c r="AT24" i="11"/>
  <c r="AS28" i="11"/>
  <c r="AS39" i="11" s="1"/>
  <c r="AJ362" i="11"/>
  <c r="AJ393" i="11"/>
  <c r="AJ395" i="11" s="1"/>
  <c r="AJ346" i="11"/>
  <c r="AA6" i="18"/>
  <c r="AB23" i="16"/>
  <c r="AC21" i="16"/>
  <c r="AC33" i="16" s="1"/>
  <c r="AC35" i="16" s="1"/>
  <c r="AJ338" i="11"/>
  <c r="AJ339" i="11"/>
  <c r="AJ353" i="11" s="1"/>
  <c r="AK337" i="11"/>
  <c r="AK226" i="11"/>
  <c r="AK203" i="11"/>
  <c r="AN237" i="11"/>
  <c r="AN236" i="11"/>
  <c r="AO239" i="11"/>
  <c r="AN242" i="11"/>
  <c r="AN238" i="11"/>
  <c r="AO235" i="11"/>
  <c r="AN241" i="11"/>
  <c r="AN240" i="11"/>
  <c r="AL200" i="11"/>
  <c r="AY179" i="11" l="1"/>
  <c r="AY202" i="11"/>
  <c r="AH610" i="11"/>
  <c r="AH608" i="11"/>
  <c r="AB636" i="11"/>
  <c r="AB648" i="11" s="1"/>
  <c r="AA636" i="11"/>
  <c r="AA648" i="11" s="1"/>
  <c r="AB637" i="11"/>
  <c r="AB649" i="11" s="1"/>
  <c r="AE414" i="11"/>
  <c r="AF414" i="11" s="1"/>
  <c r="AK25" i="11"/>
  <c r="AJ183" i="11"/>
  <c r="AJ194" i="11"/>
  <c r="AI181" i="11"/>
  <c r="AI192" i="11"/>
  <c r="AJ182" i="11"/>
  <c r="AJ193" i="11"/>
  <c r="AF623" i="11"/>
  <c r="AD624" i="11"/>
  <c r="AD640" i="11" s="1"/>
  <c r="AD652" i="11" s="1"/>
  <c r="AG618" i="11"/>
  <c r="AG622" i="11"/>
  <c r="AG619" i="11"/>
  <c r="AG620" i="11"/>
  <c r="AG621" i="11"/>
  <c r="C20" i="17"/>
  <c r="C24" i="17" s="1"/>
  <c r="C13" i="17"/>
  <c r="AH617" i="11"/>
  <c r="AH616" i="11"/>
  <c r="Z647" i="11"/>
  <c r="Z655" i="11" s="1"/>
  <c r="D9" i="17" s="1"/>
  <c r="AH600" i="11"/>
  <c r="AH602" i="11" s="1"/>
  <c r="AG399" i="11"/>
  <c r="AG401" i="11" s="1"/>
  <c r="AE404" i="11"/>
  <c r="AF401" i="11"/>
  <c r="AF408" i="11" s="1"/>
  <c r="AF410" i="11" s="1"/>
  <c r="AF402" i="11"/>
  <c r="AF352" i="11"/>
  <c r="AF356" i="11" s="1"/>
  <c r="AF369" i="11" s="1"/>
  <c r="AH397" i="11"/>
  <c r="AH318" i="11"/>
  <c r="AH332" i="11" s="1"/>
  <c r="AF345" i="11"/>
  <c r="AH314" i="11"/>
  <c r="AH331" i="11" s="1"/>
  <c r="AF326" i="11"/>
  <c r="AF334" i="11" s="1"/>
  <c r="AJ317" i="11"/>
  <c r="AG343" i="11"/>
  <c r="AG350" i="11" s="1"/>
  <c r="AG310" i="11"/>
  <c r="AG330" i="11" s="1"/>
  <c r="AJ305" i="11"/>
  <c r="AJ301" i="11"/>
  <c r="AG340" i="11"/>
  <c r="AG347" i="11" s="1"/>
  <c r="AG302" i="11"/>
  <c r="AH266" i="11"/>
  <c r="AH341" i="11" s="1"/>
  <c r="AH348" i="11" s="1"/>
  <c r="AH344" i="11"/>
  <c r="AH351" i="11" s="1"/>
  <c r="AH265" i="11"/>
  <c r="AK48" i="11"/>
  <c r="AK177" i="11" s="1"/>
  <c r="AJ177" i="11"/>
  <c r="AH267" i="11"/>
  <c r="AH342" i="11" s="1"/>
  <c r="AH349" i="11" s="1"/>
  <c r="M22" i="17"/>
  <c r="M23" i="17"/>
  <c r="M21" i="17"/>
  <c r="AH556" i="11"/>
  <c r="AH453" i="11"/>
  <c r="AH558" i="11"/>
  <c r="AH454" i="11"/>
  <c r="AH557" i="11"/>
  <c r="AH452" i="11"/>
  <c r="AF474" i="11"/>
  <c r="AF479" i="11" s="1"/>
  <c r="AF463" i="11"/>
  <c r="AF578" i="11"/>
  <c r="AF583" i="11" s="1"/>
  <c r="AF567" i="11"/>
  <c r="AG563" i="11"/>
  <c r="AG579" i="11" s="1"/>
  <c r="AG459" i="11"/>
  <c r="AG475" i="11" s="1"/>
  <c r="AG565" i="11"/>
  <c r="AG581" i="11" s="1"/>
  <c r="AG462" i="11"/>
  <c r="AG478" i="11" s="1"/>
  <c r="AG566" i="11"/>
  <c r="AG582" i="11" s="1"/>
  <c r="AG562" i="11"/>
  <c r="AG458" i="11"/>
  <c r="AG564" i="11"/>
  <c r="AG580" i="11" s="1"/>
  <c r="AG460" i="11"/>
  <c r="AG476" i="11" s="1"/>
  <c r="AG461" i="11"/>
  <c r="AG477" i="11" s="1"/>
  <c r="AI594" i="11"/>
  <c r="AJ593" i="11"/>
  <c r="AJ575" i="11"/>
  <c r="Z643" i="11"/>
  <c r="AJ471" i="11"/>
  <c r="AA482" i="11"/>
  <c r="AA634" i="11" s="1"/>
  <c r="AA646" i="11" s="1"/>
  <c r="AA381" i="11"/>
  <c r="AA388" i="11" s="1"/>
  <c r="AA586" i="11" s="1"/>
  <c r="AC379" i="11"/>
  <c r="AC386" i="11" s="1"/>
  <c r="AC365" i="11"/>
  <c r="AB377" i="11"/>
  <c r="AB384" i="11" s="1"/>
  <c r="AC374" i="11"/>
  <c r="AB380" i="11"/>
  <c r="AB387" i="11" s="1"/>
  <c r="AB599" i="11" s="1"/>
  <c r="AB603" i="11" s="1"/>
  <c r="AB638" i="11" s="1"/>
  <c r="AB650" i="11" s="1"/>
  <c r="AC378" i="11"/>
  <c r="AC385" i="11" s="1"/>
  <c r="AD354" i="11"/>
  <c r="AD363" i="11" s="1"/>
  <c r="AD355" i="11"/>
  <c r="AD366" i="11" s="1"/>
  <c r="AD368" i="11" s="1"/>
  <c r="AD356" i="11"/>
  <c r="AD369" i="11" s="1"/>
  <c r="AD371" i="11" s="1"/>
  <c r="AD357" i="11"/>
  <c r="AD372" i="11" s="1"/>
  <c r="AD358" i="11"/>
  <c r="AJ376" i="11"/>
  <c r="AJ383" i="11" s="1"/>
  <c r="AJ367" i="11"/>
  <c r="AJ370" i="11"/>
  <c r="AJ364" i="11"/>
  <c r="AJ373" i="11"/>
  <c r="AK296" i="11"/>
  <c r="AK298" i="11"/>
  <c r="AK294" i="11"/>
  <c r="AK295" i="11"/>
  <c r="AK297" i="11"/>
  <c r="AF276" i="11"/>
  <c r="AF274" i="11"/>
  <c r="AB375" i="11"/>
  <c r="AD425" i="11"/>
  <c r="AI398" i="11"/>
  <c r="AE417" i="11"/>
  <c r="AE422" i="11" s="1"/>
  <c r="AE607" i="11" s="1"/>
  <c r="AE611" i="11" s="1"/>
  <c r="AE639" i="11" s="1"/>
  <c r="AE651" i="11" s="1"/>
  <c r="AI281" i="11"/>
  <c r="AH396" i="11"/>
  <c r="AH284" i="11"/>
  <c r="AF272" i="11"/>
  <c r="AD420" i="11"/>
  <c r="AG286" i="11"/>
  <c r="AG287" i="11"/>
  <c r="F184" i="11" s="1"/>
  <c r="AG288" i="11"/>
  <c r="F183" i="11" s="1"/>
  <c r="AF289" i="11"/>
  <c r="AF275" i="11"/>
  <c r="AI282" i="11"/>
  <c r="AD415" i="11"/>
  <c r="AE277" i="11"/>
  <c r="AI269" i="11"/>
  <c r="AI306" i="11" s="1"/>
  <c r="AI327" i="11" s="1"/>
  <c r="AG270" i="11"/>
  <c r="AG273" i="11" s="1"/>
  <c r="AH268" i="11"/>
  <c r="AE352" i="11"/>
  <c r="AC359" i="11"/>
  <c r="AJ243" i="11"/>
  <c r="AJ244" i="11"/>
  <c r="AJ255" i="11" s="1"/>
  <c r="AJ245" i="11"/>
  <c r="AJ246" i="11"/>
  <c r="AJ247" i="11"/>
  <c r="AJ248" i="11"/>
  <c r="AJ259" i="11" s="1"/>
  <c r="AJ249" i="11"/>
  <c r="AJ260" i="11" s="1"/>
  <c r="AJ250" i="11"/>
  <c r="AJ261" i="11" s="1"/>
  <c r="AJ283" i="11" s="1"/>
  <c r="AJ322" i="11" s="1"/>
  <c r="AJ333" i="11" s="1"/>
  <c r="AL136" i="11"/>
  <c r="AK163" i="11"/>
  <c r="AK124" i="11"/>
  <c r="AK132" i="11" s="1"/>
  <c r="AK112" i="11"/>
  <c r="AJ120" i="11"/>
  <c r="AK264" i="11"/>
  <c r="AK271" i="11" s="1"/>
  <c r="AK252" i="11"/>
  <c r="AI257" i="11"/>
  <c r="AI329" i="11" s="1"/>
  <c r="AI258" i="11"/>
  <c r="AI254" i="11"/>
  <c r="AI256" i="11"/>
  <c r="AI328" i="11" s="1"/>
  <c r="AY180" i="11"/>
  <c r="AZ8" i="11"/>
  <c r="AH196" i="11"/>
  <c r="AH654" i="11" s="1"/>
  <c r="L14" i="17" s="1"/>
  <c r="L25" i="17" s="1"/>
  <c r="AH185" i="11"/>
  <c r="AH642" i="11" s="1"/>
  <c r="AI178" i="11"/>
  <c r="AI189" i="11"/>
  <c r="AI195" i="11"/>
  <c r="AI184" i="11"/>
  <c r="AK167" i="11"/>
  <c r="AJ173" i="11"/>
  <c r="N19" i="17"/>
  <c r="AA20" i="18"/>
  <c r="AA22" i="18"/>
  <c r="AA23" i="18"/>
  <c r="AA24" i="18"/>
  <c r="AA25" i="18"/>
  <c r="AA21" i="18"/>
  <c r="AB6" i="18"/>
  <c r="AJ52" i="11"/>
  <c r="AJ87" i="11" s="1"/>
  <c r="Z26" i="18"/>
  <c r="AL25" i="11"/>
  <c r="AK362" i="11"/>
  <c r="AK393" i="11"/>
  <c r="AK395" i="11" s="1"/>
  <c r="AK346" i="11"/>
  <c r="AJ394" i="11"/>
  <c r="AU24" i="11"/>
  <c r="AT28" i="11"/>
  <c r="AT39" i="11" s="1"/>
  <c r="AC23" i="16"/>
  <c r="AD21" i="16"/>
  <c r="AD33" i="16" s="1"/>
  <c r="AD35" i="16" s="1"/>
  <c r="AK338" i="11"/>
  <c r="AK339" i="11"/>
  <c r="AK353" i="11" s="1"/>
  <c r="AK204" i="11"/>
  <c r="AL226" i="11"/>
  <c r="AL337" i="11"/>
  <c r="AL203" i="11"/>
  <c r="AP235" i="11"/>
  <c r="AO240" i="11"/>
  <c r="AO242" i="11"/>
  <c r="AO236" i="11"/>
  <c r="AO241" i="11"/>
  <c r="AO238" i="11"/>
  <c r="AP239" i="11"/>
  <c r="AO237" i="11"/>
  <c r="AM200" i="11"/>
  <c r="AZ179" i="11" l="1"/>
  <c r="AZ202" i="11"/>
  <c r="AI608" i="11"/>
  <c r="AI610" i="11"/>
  <c r="AC636" i="11"/>
  <c r="AC648" i="11" s="1"/>
  <c r="AC637" i="11"/>
  <c r="AC649" i="11" s="1"/>
  <c r="AG403" i="11"/>
  <c r="AG412" i="11" s="1"/>
  <c r="AG414" i="11" s="1"/>
  <c r="AK182" i="11"/>
  <c r="AK193" i="11"/>
  <c r="AK183" i="11"/>
  <c r="AK194" i="11"/>
  <c r="AJ181" i="11"/>
  <c r="AJ192" i="11"/>
  <c r="AH622" i="11"/>
  <c r="AH620" i="11"/>
  <c r="AH621" i="11"/>
  <c r="AH619" i="11"/>
  <c r="AH618" i="11"/>
  <c r="AG623" i="11"/>
  <c r="AI617" i="11"/>
  <c r="AI616" i="11"/>
  <c r="AG402" i="11"/>
  <c r="D20" i="17"/>
  <c r="D24" i="17" s="1"/>
  <c r="D13" i="17"/>
  <c r="AI600" i="11"/>
  <c r="AI602" i="11" s="1"/>
  <c r="AF404" i="11"/>
  <c r="AF357" i="11"/>
  <c r="AF372" i="11" s="1"/>
  <c r="AF358" i="11"/>
  <c r="AF354" i="11"/>
  <c r="AF363" i="11" s="1"/>
  <c r="AH399" i="11"/>
  <c r="AH403" i="11" s="1"/>
  <c r="AF355" i="11"/>
  <c r="AF366" i="11" s="1"/>
  <c r="AG345" i="11"/>
  <c r="AG352" i="11"/>
  <c r="AG354" i="11" s="1"/>
  <c r="AI397" i="11"/>
  <c r="AI318" i="11"/>
  <c r="AI332" i="11" s="1"/>
  <c r="AI314" i="11"/>
  <c r="AI331" i="11" s="1"/>
  <c r="AG326" i="11"/>
  <c r="AG334" i="11" s="1"/>
  <c r="AK317" i="11"/>
  <c r="AH343" i="11"/>
  <c r="AH350" i="11" s="1"/>
  <c r="AH310" i="11"/>
  <c r="AH330" i="11" s="1"/>
  <c r="AK305" i="11"/>
  <c r="AK301" i="11"/>
  <c r="AH340" i="11"/>
  <c r="AH347" i="11" s="1"/>
  <c r="AH302" i="11"/>
  <c r="AI266" i="11"/>
  <c r="AI341" i="11" s="1"/>
  <c r="AI348" i="11" s="1"/>
  <c r="AK188" i="11"/>
  <c r="AI344" i="11"/>
  <c r="AI351" i="11" s="1"/>
  <c r="AI265" i="11"/>
  <c r="AL48" i="11"/>
  <c r="AL188" i="11" s="1"/>
  <c r="AI267" i="11"/>
  <c r="AI342" i="11" s="1"/>
  <c r="AI349" i="11" s="1"/>
  <c r="N22" i="17"/>
  <c r="N21" i="17"/>
  <c r="N23" i="17"/>
  <c r="AK593" i="11"/>
  <c r="AJ594" i="11"/>
  <c r="AH566" i="11"/>
  <c r="AH582" i="11" s="1"/>
  <c r="AH461" i="11"/>
  <c r="AH477" i="11" s="1"/>
  <c r="AH565" i="11"/>
  <c r="AH581" i="11" s="1"/>
  <c r="AH460" i="11"/>
  <c r="AH476" i="11" s="1"/>
  <c r="AH564" i="11"/>
  <c r="AH580" i="11" s="1"/>
  <c r="AH563" i="11"/>
  <c r="AH579" i="11" s="1"/>
  <c r="AH462" i="11"/>
  <c r="AH478" i="11" s="1"/>
  <c r="AH459" i="11"/>
  <c r="AH475" i="11" s="1"/>
  <c r="AH458" i="11"/>
  <c r="AH562" i="11"/>
  <c r="AG578" i="11"/>
  <c r="AG583" i="11" s="1"/>
  <c r="AG567" i="11"/>
  <c r="AI452" i="11"/>
  <c r="AI556" i="11"/>
  <c r="AI453" i="11"/>
  <c r="AI558" i="11"/>
  <c r="AI454" i="11"/>
  <c r="AI557" i="11"/>
  <c r="AG474" i="11"/>
  <c r="AG479" i="11" s="1"/>
  <c r="AG463" i="11"/>
  <c r="AK575" i="11"/>
  <c r="AB482" i="11"/>
  <c r="AB634" i="11" s="1"/>
  <c r="AB646" i="11" s="1"/>
  <c r="AK471" i="11"/>
  <c r="AA389" i="11"/>
  <c r="AA635" i="11"/>
  <c r="AA647" i="11" s="1"/>
  <c r="AC375" i="11"/>
  <c r="AC381" i="11" s="1"/>
  <c r="AC388" i="11" s="1"/>
  <c r="AA382" i="11"/>
  <c r="AD378" i="11"/>
  <c r="AD385" i="11" s="1"/>
  <c r="AD365" i="11"/>
  <c r="AC377" i="11"/>
  <c r="AC384" i="11" s="1"/>
  <c r="AB381" i="11"/>
  <c r="AB388" i="11" s="1"/>
  <c r="AB586" i="11" s="1"/>
  <c r="AD374" i="11"/>
  <c r="AC380" i="11"/>
  <c r="AC387" i="11" s="1"/>
  <c r="AC599" i="11" s="1"/>
  <c r="AC603" i="11" s="1"/>
  <c r="AC638" i="11" s="1"/>
  <c r="AC650" i="11" s="1"/>
  <c r="AD379" i="11"/>
  <c r="AD386" i="11" s="1"/>
  <c r="AE354" i="11"/>
  <c r="AE363" i="11" s="1"/>
  <c r="AE355" i="11"/>
  <c r="AE366" i="11" s="1"/>
  <c r="AE368" i="11" s="1"/>
  <c r="AE356" i="11"/>
  <c r="AE369" i="11" s="1"/>
  <c r="AE371" i="11" s="1"/>
  <c r="AE357" i="11"/>
  <c r="AE372" i="11" s="1"/>
  <c r="AE358" i="11"/>
  <c r="AK376" i="11"/>
  <c r="AK383" i="11" s="1"/>
  <c r="AK364" i="11"/>
  <c r="AK373" i="11"/>
  <c r="AK367" i="11"/>
  <c r="AK370" i="11"/>
  <c r="AL296" i="11"/>
  <c r="AL297" i="11"/>
  <c r="AL298" i="11"/>
  <c r="AL294" i="11"/>
  <c r="AL295" i="11"/>
  <c r="AG275" i="11"/>
  <c r="AJ398" i="11"/>
  <c r="AF417" i="11"/>
  <c r="AF422" i="11" s="1"/>
  <c r="AF607" i="11" s="1"/>
  <c r="AF611" i="11" s="1"/>
  <c r="AF639" i="11" s="1"/>
  <c r="AF651" i="11" s="1"/>
  <c r="AF277" i="11"/>
  <c r="F182" i="11"/>
  <c r="F185" i="11" s="1"/>
  <c r="AG289" i="11"/>
  <c r="AE419" i="11"/>
  <c r="AE424" i="11" s="1"/>
  <c r="AE628" i="11" s="1"/>
  <c r="AE630" i="11" s="1"/>
  <c r="AE641" i="11" s="1"/>
  <c r="AE653" i="11" s="1"/>
  <c r="AE411" i="11"/>
  <c r="AJ282" i="11"/>
  <c r="AI396" i="11"/>
  <c r="AI284" i="11"/>
  <c r="AG408" i="11"/>
  <c r="AG410" i="11" s="1"/>
  <c r="AH287" i="11"/>
  <c r="AH286" i="11"/>
  <c r="AH288" i="11"/>
  <c r="AJ281" i="11"/>
  <c r="AG276" i="11"/>
  <c r="AG272" i="11"/>
  <c r="AH270" i="11"/>
  <c r="AH272" i="11" s="1"/>
  <c r="AJ269" i="11"/>
  <c r="AJ306" i="11" s="1"/>
  <c r="AJ327" i="11" s="1"/>
  <c r="AG274" i="11"/>
  <c r="AI268" i="11"/>
  <c r="AD359" i="11"/>
  <c r="O19" i="17"/>
  <c r="AK243" i="11"/>
  <c r="AK244" i="11"/>
  <c r="AK255" i="11" s="1"/>
  <c r="AK245" i="11"/>
  <c r="AK246" i="11"/>
  <c r="AK247" i="11"/>
  <c r="AK248" i="11"/>
  <c r="AK259" i="11" s="1"/>
  <c r="AK249" i="11"/>
  <c r="AK260" i="11" s="1"/>
  <c r="AK250" i="11"/>
  <c r="AK261" i="11" s="1"/>
  <c r="AK283" i="11" s="1"/>
  <c r="AK322" i="11" s="1"/>
  <c r="AK333" i="11" s="1"/>
  <c r="AM136" i="11"/>
  <c r="AL163" i="11"/>
  <c r="AL124" i="11"/>
  <c r="AL132" i="11" s="1"/>
  <c r="AL112" i="11"/>
  <c r="AK120" i="11"/>
  <c r="AL264" i="11"/>
  <c r="AL271" i="11" s="1"/>
  <c r="AL252" i="11"/>
  <c r="AJ258" i="11"/>
  <c r="AJ254" i="11"/>
  <c r="AJ257" i="11"/>
  <c r="AJ329" i="11" s="1"/>
  <c r="AJ256" i="11"/>
  <c r="AJ328" i="11" s="1"/>
  <c r="AZ180" i="11"/>
  <c r="BA8" i="11"/>
  <c r="BA202" i="11" s="1"/>
  <c r="AI196" i="11"/>
  <c r="AI654" i="11" s="1"/>
  <c r="M14" i="17" s="1"/>
  <c r="M25" i="17" s="1"/>
  <c r="AI185" i="11"/>
  <c r="AI642" i="11" s="1"/>
  <c r="AJ189" i="11"/>
  <c r="AJ178" i="11"/>
  <c r="AJ195" i="11"/>
  <c r="AJ184" i="11"/>
  <c r="AL167" i="11"/>
  <c r="AK173" i="11"/>
  <c r="AK394" i="11"/>
  <c r="AB23" i="18"/>
  <c r="AB24" i="18"/>
  <c r="AB21" i="18"/>
  <c r="AB20" i="18"/>
  <c r="AB22" i="18"/>
  <c r="AB25" i="18"/>
  <c r="AK52" i="11"/>
  <c r="AK87" i="11" s="1"/>
  <c r="AC6" i="18"/>
  <c r="AM25" i="11"/>
  <c r="AL362" i="11"/>
  <c r="AL393" i="11"/>
  <c r="AL395" i="11" s="1"/>
  <c r="AL346" i="11"/>
  <c r="AV24" i="11"/>
  <c r="AU28" i="11"/>
  <c r="AU39" i="11" s="1"/>
  <c r="AA26" i="18"/>
  <c r="AD23" i="16"/>
  <c r="AE21" i="16"/>
  <c r="AE33" i="16" s="1"/>
  <c r="AE35" i="16" s="1"/>
  <c r="AL338" i="11"/>
  <c r="AL339" i="11"/>
  <c r="AL353" i="11" s="1"/>
  <c r="AM203" i="11"/>
  <c r="AL204" i="11"/>
  <c r="AM226" i="11"/>
  <c r="AM337" i="11"/>
  <c r="AP238" i="11"/>
  <c r="AP237" i="11"/>
  <c r="AP236" i="11"/>
  <c r="AP240" i="11"/>
  <c r="AQ239" i="11"/>
  <c r="AP241" i="11"/>
  <c r="AP242" i="11"/>
  <c r="AQ235" i="11"/>
  <c r="AN200" i="11"/>
  <c r="AJ608" i="11" l="1"/>
  <c r="AJ610" i="11"/>
  <c r="AG404" i="11"/>
  <c r="AD637" i="11"/>
  <c r="AD649" i="11" s="1"/>
  <c r="AD636" i="11"/>
  <c r="AD648" i="11" s="1"/>
  <c r="AK181" i="11"/>
  <c r="AK192" i="11"/>
  <c r="AL183" i="11"/>
  <c r="AL194" i="11"/>
  <c r="AL182" i="11"/>
  <c r="AL193" i="11"/>
  <c r="AH623" i="11"/>
  <c r="AI620" i="11"/>
  <c r="AI621" i="11"/>
  <c r="AI618" i="11"/>
  <c r="AI619" i="11"/>
  <c r="AI622" i="11"/>
  <c r="AH401" i="11"/>
  <c r="AH408" i="11" s="1"/>
  <c r="AH410" i="11" s="1"/>
  <c r="AJ616" i="11"/>
  <c r="AJ617" i="11"/>
  <c r="AJ600" i="11"/>
  <c r="AJ602" i="11" s="1"/>
  <c r="AG357" i="11"/>
  <c r="AG372" i="11" s="1"/>
  <c r="AG363" i="11"/>
  <c r="F170" i="11"/>
  <c r="AI399" i="11"/>
  <c r="AI401" i="11" s="1"/>
  <c r="AH402" i="11"/>
  <c r="AF359" i="11"/>
  <c r="AG356" i="11"/>
  <c r="AG358" i="11"/>
  <c r="F174" i="11" s="1"/>
  <c r="AG355" i="11"/>
  <c r="AH352" i="11"/>
  <c r="AH354" i="11" s="1"/>
  <c r="AH363" i="11" s="1"/>
  <c r="AJ397" i="11"/>
  <c r="AJ318" i="11"/>
  <c r="AJ332" i="11" s="1"/>
  <c r="AJ314" i="11"/>
  <c r="AJ331" i="11" s="1"/>
  <c r="AH326" i="11"/>
  <c r="AH334" i="11" s="1"/>
  <c r="AL317" i="11"/>
  <c r="AI343" i="11"/>
  <c r="AI350" i="11" s="1"/>
  <c r="AI310" i="11"/>
  <c r="AI330" i="11" s="1"/>
  <c r="AL305" i="11"/>
  <c r="AL177" i="11"/>
  <c r="AH345" i="11"/>
  <c r="AL301" i="11"/>
  <c r="AI340" i="11"/>
  <c r="AI347" i="11" s="1"/>
  <c r="AI302" i="11"/>
  <c r="AJ266" i="11"/>
  <c r="AJ341" i="11" s="1"/>
  <c r="AJ348" i="11" s="1"/>
  <c r="AJ267" i="11"/>
  <c r="AJ342" i="11" s="1"/>
  <c r="AJ349" i="11" s="1"/>
  <c r="AJ265" i="11"/>
  <c r="AM48" i="11"/>
  <c r="AM177" i="11" s="1"/>
  <c r="AJ344" i="11"/>
  <c r="AJ351" i="11" s="1"/>
  <c r="O22" i="17"/>
  <c r="O21" i="17"/>
  <c r="O23" i="17"/>
  <c r="AH474" i="11"/>
  <c r="AH479" i="11" s="1"/>
  <c r="AH463" i="11"/>
  <c r="AJ454" i="11"/>
  <c r="AJ558" i="11"/>
  <c r="AJ453" i="11"/>
  <c r="AJ557" i="11"/>
  <c r="AJ452" i="11"/>
  <c r="AJ556" i="11"/>
  <c r="AH578" i="11"/>
  <c r="AH583" i="11" s="1"/>
  <c r="AH567" i="11"/>
  <c r="AI563" i="11"/>
  <c r="AI579" i="11" s="1"/>
  <c r="AI461" i="11"/>
  <c r="AI477" i="11" s="1"/>
  <c r="AI562" i="11"/>
  <c r="AI566" i="11"/>
  <c r="AI582" i="11" s="1"/>
  <c r="AI460" i="11"/>
  <c r="AI476" i="11" s="1"/>
  <c r="AI565" i="11"/>
  <c r="AI581" i="11" s="1"/>
  <c r="AI459" i="11"/>
  <c r="AI475" i="11" s="1"/>
  <c r="AI462" i="11"/>
  <c r="AI478" i="11" s="1"/>
  <c r="AI564" i="11"/>
  <c r="AI580" i="11" s="1"/>
  <c r="AI458" i="11"/>
  <c r="AL593" i="11"/>
  <c r="AK594" i="11"/>
  <c r="AC586" i="11"/>
  <c r="AC635" i="11" s="1"/>
  <c r="AL575" i="11"/>
  <c r="AA643" i="11"/>
  <c r="AA655" i="11"/>
  <c r="E9" i="17" s="1"/>
  <c r="E20" i="17" s="1"/>
  <c r="AC482" i="11"/>
  <c r="AC634" i="11" s="1"/>
  <c r="AC646" i="11" s="1"/>
  <c r="AL471" i="11"/>
  <c r="AD375" i="11"/>
  <c r="AD381" i="11" s="1"/>
  <c r="AD388" i="11" s="1"/>
  <c r="AB389" i="11"/>
  <c r="AB635" i="11"/>
  <c r="AB647" i="11" s="1"/>
  <c r="AC382" i="11"/>
  <c r="AB382" i="11"/>
  <c r="AC389" i="11"/>
  <c r="AF371" i="11"/>
  <c r="AE379" i="11"/>
  <c r="AE386" i="11" s="1"/>
  <c r="AF368" i="11"/>
  <c r="AE378" i="11"/>
  <c r="AE385" i="11" s="1"/>
  <c r="AE365" i="11"/>
  <c r="AD377" i="11"/>
  <c r="AD384" i="11" s="1"/>
  <c r="AE374" i="11"/>
  <c r="AD380" i="11"/>
  <c r="AD387" i="11" s="1"/>
  <c r="AD599" i="11" s="1"/>
  <c r="AD603" i="11" s="1"/>
  <c r="AD638" i="11" s="1"/>
  <c r="AD650" i="11" s="1"/>
  <c r="AL376" i="11"/>
  <c r="AL383" i="11" s="1"/>
  <c r="AL373" i="11"/>
  <c r="AL364" i="11"/>
  <c r="AL370" i="11"/>
  <c r="AL367" i="11"/>
  <c r="AM295" i="11"/>
  <c r="AM296" i="11"/>
  <c r="AM297" i="11"/>
  <c r="AM298" i="11"/>
  <c r="AM294" i="11"/>
  <c r="AK398" i="11"/>
  <c r="AG277" i="11"/>
  <c r="AH274" i="11"/>
  <c r="AF419" i="11"/>
  <c r="AF424" i="11" s="1"/>
  <c r="AF628" i="11" s="1"/>
  <c r="AF630" i="11" s="1"/>
  <c r="AF641" i="11" s="1"/>
  <c r="AF653" i="11" s="1"/>
  <c r="AG411" i="11"/>
  <c r="AG418" i="11" s="1"/>
  <c r="AG423" i="11" s="1"/>
  <c r="AG615" i="11" s="1"/>
  <c r="AK281" i="11"/>
  <c r="AG417" i="11"/>
  <c r="AG422" i="11" s="1"/>
  <c r="AG607" i="11" s="1"/>
  <c r="AG611" i="11" s="1"/>
  <c r="AG639" i="11" s="1"/>
  <c r="AG651" i="11" s="1"/>
  <c r="AH273" i="11"/>
  <c r="AF411" i="11"/>
  <c r="AH412" i="11"/>
  <c r="AH414" i="11" s="1"/>
  <c r="AK282" i="11"/>
  <c r="AJ396" i="11"/>
  <c r="AJ284" i="11"/>
  <c r="AH289" i="11"/>
  <c r="AI286" i="11"/>
  <c r="AI288" i="11"/>
  <c r="AI287" i="11"/>
  <c r="AE418" i="11"/>
  <c r="AE415" i="11"/>
  <c r="AH275" i="11"/>
  <c r="AH276" i="11"/>
  <c r="AK269" i="11"/>
  <c r="AK306" i="11" s="1"/>
  <c r="AK327" i="11" s="1"/>
  <c r="AI270" i="11"/>
  <c r="AJ268" i="11"/>
  <c r="AE359" i="11"/>
  <c r="P19" i="17"/>
  <c r="AL244" i="11"/>
  <c r="AL255" i="11" s="1"/>
  <c r="AL246" i="11"/>
  <c r="AL248" i="11"/>
  <c r="AL259" i="11" s="1"/>
  <c r="AL245" i="11"/>
  <c r="AL247" i="11"/>
  <c r="AL249" i="11"/>
  <c r="AL260" i="11" s="1"/>
  <c r="AL243" i="11"/>
  <c r="AL250" i="11"/>
  <c r="AL261" i="11" s="1"/>
  <c r="AL283" i="11" s="1"/>
  <c r="AL322" i="11" s="1"/>
  <c r="AL333" i="11" s="1"/>
  <c r="AN136" i="11"/>
  <c r="AM163" i="11"/>
  <c r="AM124" i="11"/>
  <c r="AM132" i="11" s="1"/>
  <c r="AM112" i="11"/>
  <c r="AL120" i="11"/>
  <c r="AM264" i="11"/>
  <c r="AM271" i="11" s="1"/>
  <c r="AM252" i="11"/>
  <c r="AK257" i="11"/>
  <c r="AK329" i="11" s="1"/>
  <c r="AK254" i="11"/>
  <c r="AK258" i="11"/>
  <c r="AK256" i="11"/>
  <c r="AK328" i="11" s="1"/>
  <c r="BA180" i="11"/>
  <c r="BA179" i="11"/>
  <c r="AJ185" i="11"/>
  <c r="AJ642" i="11" s="1"/>
  <c r="AK178" i="11"/>
  <c r="AK189" i="11"/>
  <c r="AK184" i="11"/>
  <c r="AK195" i="11"/>
  <c r="AJ196" i="11"/>
  <c r="AJ654" i="11" s="1"/>
  <c r="N14" i="17" s="1"/>
  <c r="N25" i="17" s="1"/>
  <c r="AM167" i="11"/>
  <c r="AL173" i="11"/>
  <c r="AC22" i="18"/>
  <c r="AC23" i="18"/>
  <c r="AC21" i="18"/>
  <c r="AC20" i="18"/>
  <c r="AC24" i="18"/>
  <c r="AC25" i="18"/>
  <c r="AB26" i="18"/>
  <c r="AL52" i="11"/>
  <c r="AL87" i="11" s="1"/>
  <c r="AN25" i="11"/>
  <c r="AM362" i="11"/>
  <c r="AM393" i="11"/>
  <c r="AM395" i="11" s="1"/>
  <c r="AM346" i="11"/>
  <c r="AW24" i="11"/>
  <c r="AV28" i="11"/>
  <c r="AV39" i="11" s="1"/>
  <c r="AL394" i="11"/>
  <c r="AM394" i="11" s="1"/>
  <c r="AD6" i="18"/>
  <c r="AE23" i="16"/>
  <c r="AF21" i="16"/>
  <c r="AF33" i="16" s="1"/>
  <c r="AF35" i="16" s="1"/>
  <c r="AM204" i="11"/>
  <c r="AM338" i="11"/>
  <c r="AM339" i="11"/>
  <c r="AM353" i="11" s="1"/>
  <c r="AN226" i="11"/>
  <c r="AN337" i="11"/>
  <c r="AN203" i="11"/>
  <c r="AQ241" i="11"/>
  <c r="AQ240" i="11"/>
  <c r="AQ237" i="11"/>
  <c r="AR235" i="11"/>
  <c r="AQ242" i="11"/>
  <c r="AR239" i="11"/>
  <c r="AQ236" i="11"/>
  <c r="AQ238" i="11"/>
  <c r="AO200" i="11"/>
  <c r="AK610" i="11" l="1"/>
  <c r="AK608" i="11"/>
  <c r="AE636" i="11"/>
  <c r="AE648" i="11" s="1"/>
  <c r="AE637" i="11"/>
  <c r="AE649" i="11" s="1"/>
  <c r="AM182" i="11"/>
  <c r="AM193" i="11"/>
  <c r="AM183" i="11"/>
  <c r="AM194" i="11"/>
  <c r="AL181" i="11"/>
  <c r="AL192" i="11"/>
  <c r="AG624" i="11"/>
  <c r="AG640" i="11" s="1"/>
  <c r="AG652" i="11" s="1"/>
  <c r="AJ619" i="11"/>
  <c r="AJ622" i="11"/>
  <c r="AJ618" i="11"/>
  <c r="AJ620" i="11"/>
  <c r="AJ621" i="11"/>
  <c r="AI623" i="11"/>
  <c r="AH404" i="11"/>
  <c r="AK616" i="11"/>
  <c r="AK617" i="11"/>
  <c r="AK600" i="11"/>
  <c r="AK602" i="11" s="1"/>
  <c r="AC647" i="11"/>
  <c r="AC655" i="11" s="1"/>
  <c r="G9" i="17" s="1"/>
  <c r="AI403" i="11"/>
  <c r="AI412" i="11" s="1"/>
  <c r="AI402" i="11"/>
  <c r="F173" i="11"/>
  <c r="AG369" i="11"/>
  <c r="AG371" i="11" s="1"/>
  <c r="F172" i="11"/>
  <c r="AG366" i="11"/>
  <c r="F171" i="11"/>
  <c r="AG359" i="11"/>
  <c r="AH355" i="11"/>
  <c r="AH366" i="11" s="1"/>
  <c r="AH357" i="11"/>
  <c r="AH372" i="11" s="1"/>
  <c r="AH358" i="11"/>
  <c r="AH356" i="11"/>
  <c r="AH369" i="11" s="1"/>
  <c r="AI352" i="11"/>
  <c r="AI355" i="11" s="1"/>
  <c r="AI366" i="11" s="1"/>
  <c r="AJ399" i="11"/>
  <c r="AJ403" i="11" s="1"/>
  <c r="AJ412" i="11" s="1"/>
  <c r="AK314" i="11"/>
  <c r="AK331" i="11" s="1"/>
  <c r="AK397" i="11"/>
  <c r="AK318" i="11"/>
  <c r="AK332" i="11" s="1"/>
  <c r="AI326" i="11"/>
  <c r="AI334" i="11" s="1"/>
  <c r="AM317" i="11"/>
  <c r="AJ343" i="11"/>
  <c r="AJ350" i="11" s="1"/>
  <c r="AJ310" i="11"/>
  <c r="AJ330" i="11" s="1"/>
  <c r="AM305" i="11"/>
  <c r="AM188" i="11"/>
  <c r="AM301" i="11"/>
  <c r="AI345" i="11"/>
  <c r="AJ340" i="11"/>
  <c r="AJ347" i="11" s="1"/>
  <c r="AJ302" i="11"/>
  <c r="AK267" i="11"/>
  <c r="AK342" i="11" s="1"/>
  <c r="AK349" i="11" s="1"/>
  <c r="AK266" i="11"/>
  <c r="AK341" i="11" s="1"/>
  <c r="AK348" i="11" s="1"/>
  <c r="AN48" i="11"/>
  <c r="AN188" i="11" s="1"/>
  <c r="AK265" i="11"/>
  <c r="AK344" i="11"/>
  <c r="AK351" i="11" s="1"/>
  <c r="P22" i="17"/>
  <c r="P23" i="17"/>
  <c r="P21" i="17"/>
  <c r="AK454" i="11"/>
  <c r="AK452" i="11"/>
  <c r="AK556" i="11"/>
  <c r="AK557" i="11"/>
  <c r="AK558" i="11"/>
  <c r="AK453" i="11"/>
  <c r="AI474" i="11"/>
  <c r="AI479" i="11" s="1"/>
  <c r="AI463" i="11"/>
  <c r="AL594" i="11"/>
  <c r="AM593" i="11"/>
  <c r="AI578" i="11"/>
  <c r="AI583" i="11" s="1"/>
  <c r="AI567" i="11"/>
  <c r="AJ563" i="11"/>
  <c r="AJ579" i="11" s="1"/>
  <c r="AJ460" i="11"/>
  <c r="AJ476" i="11" s="1"/>
  <c r="AJ564" i="11"/>
  <c r="AJ580" i="11" s="1"/>
  <c r="AJ461" i="11"/>
  <c r="AJ477" i="11" s="1"/>
  <c r="AJ562" i="11"/>
  <c r="AJ458" i="11"/>
  <c r="AJ459" i="11"/>
  <c r="AJ475" i="11" s="1"/>
  <c r="AJ565" i="11"/>
  <c r="AJ581" i="11" s="1"/>
  <c r="AJ462" i="11"/>
  <c r="AJ478" i="11" s="1"/>
  <c r="AJ566" i="11"/>
  <c r="AJ582" i="11" s="1"/>
  <c r="AC643" i="11"/>
  <c r="AM575" i="11"/>
  <c r="AD586" i="11"/>
  <c r="AD635" i="11" s="1"/>
  <c r="E24" i="17"/>
  <c r="E13" i="17"/>
  <c r="AB643" i="11"/>
  <c r="AB655" i="11"/>
  <c r="F9" i="17" s="1"/>
  <c r="F20" i="17" s="1"/>
  <c r="AD482" i="11"/>
  <c r="AD634" i="11" s="1"/>
  <c r="AD646" i="11" s="1"/>
  <c r="AM471" i="11"/>
  <c r="AE375" i="11"/>
  <c r="AE381" i="11" s="1"/>
  <c r="AE388" i="11" s="1"/>
  <c r="AD382" i="11"/>
  <c r="AI414" i="11"/>
  <c r="AD389" i="11"/>
  <c r="AF374" i="11"/>
  <c r="AE380" i="11"/>
  <c r="AE387" i="11" s="1"/>
  <c r="AE599" i="11" s="1"/>
  <c r="AE603" i="11" s="1"/>
  <c r="AE638" i="11" s="1"/>
  <c r="AE650" i="11" s="1"/>
  <c r="AF378" i="11"/>
  <c r="AF385" i="11" s="1"/>
  <c r="AG368" i="11"/>
  <c r="AF365" i="11"/>
  <c r="AE377" i="11"/>
  <c r="AE384" i="11" s="1"/>
  <c r="AF379" i="11"/>
  <c r="AF386" i="11" s="1"/>
  <c r="AM376" i="11"/>
  <c r="AM383" i="11" s="1"/>
  <c r="AM370" i="11"/>
  <c r="AM373" i="11"/>
  <c r="AM367" i="11"/>
  <c r="AM364" i="11"/>
  <c r="AN295" i="11"/>
  <c r="AN296" i="11"/>
  <c r="AN297" i="11"/>
  <c r="AN298" i="11"/>
  <c r="AN294" i="11"/>
  <c r="AE420" i="11"/>
  <c r="AE423" i="11"/>
  <c r="AL398" i="11"/>
  <c r="AH277" i="11"/>
  <c r="AG415" i="11"/>
  <c r="AJ286" i="11"/>
  <c r="AJ288" i="11"/>
  <c r="AJ287" i="11"/>
  <c r="AI289" i="11"/>
  <c r="AK284" i="11"/>
  <c r="AK396" i="11"/>
  <c r="AF418" i="11"/>
  <c r="AF415" i="11"/>
  <c r="AG419" i="11"/>
  <c r="AH411" i="11"/>
  <c r="AL282" i="11"/>
  <c r="AL281" i="11"/>
  <c r="AI408" i="11"/>
  <c r="AI410" i="11" s="1"/>
  <c r="AH417" i="11"/>
  <c r="AH422" i="11" s="1"/>
  <c r="AH607" i="11" s="1"/>
  <c r="AH611" i="11" s="1"/>
  <c r="AH639" i="11" s="1"/>
  <c r="AH651" i="11" s="1"/>
  <c r="AL269" i="11"/>
  <c r="AL306" i="11" s="1"/>
  <c r="AL327" i="11" s="1"/>
  <c r="AK268" i="11"/>
  <c r="AI272" i="11"/>
  <c r="AI273" i="11"/>
  <c r="AI274" i="11"/>
  <c r="AI275" i="11"/>
  <c r="AI276" i="11"/>
  <c r="AJ270" i="11"/>
  <c r="Q19" i="17"/>
  <c r="AM243" i="11"/>
  <c r="AM244" i="11"/>
  <c r="AM255" i="11" s="1"/>
  <c r="AM245" i="11"/>
  <c r="AM246" i="11"/>
  <c r="AM247" i="11"/>
  <c r="AM248" i="11"/>
  <c r="AM259" i="11" s="1"/>
  <c r="AM249" i="11"/>
  <c r="AM260" i="11" s="1"/>
  <c r="AM250" i="11"/>
  <c r="AM261" i="11" s="1"/>
  <c r="AM283" i="11" s="1"/>
  <c r="AO136" i="11"/>
  <c r="AN163" i="11"/>
  <c r="AN124" i="11"/>
  <c r="AN132" i="11" s="1"/>
  <c r="AN112" i="11"/>
  <c r="AM120" i="11"/>
  <c r="AN264" i="11"/>
  <c r="AN271" i="11" s="1"/>
  <c r="AN252" i="11"/>
  <c r="AL256" i="11"/>
  <c r="AL328" i="11" s="1"/>
  <c r="AL254" i="11"/>
  <c r="AL258" i="11"/>
  <c r="AL257" i="11"/>
  <c r="AL329" i="11" s="1"/>
  <c r="AK185" i="11"/>
  <c r="AK642" i="11" s="1"/>
  <c r="AK196" i="11"/>
  <c r="AK654" i="11" s="1"/>
  <c r="O14" i="17" s="1"/>
  <c r="O25" i="17" s="1"/>
  <c r="AL178" i="11"/>
  <c r="AL189" i="11"/>
  <c r="AL184" i="11"/>
  <c r="AL195" i="11"/>
  <c r="AN167" i="11"/>
  <c r="AM173" i="11"/>
  <c r="AD22" i="18"/>
  <c r="AD23" i="18"/>
  <c r="AD24" i="18"/>
  <c r="AD25" i="18"/>
  <c r="AD21" i="18"/>
  <c r="AD20" i="18"/>
  <c r="AM52" i="11"/>
  <c r="AM87" i="11" s="1"/>
  <c r="AC26" i="18"/>
  <c r="AO25" i="11"/>
  <c r="AX24" i="11"/>
  <c r="AW28" i="11"/>
  <c r="AW39" i="11" s="1"/>
  <c r="AN362" i="11"/>
  <c r="AN393" i="11"/>
  <c r="AN395" i="11" s="1"/>
  <c r="AN346" i="11"/>
  <c r="AE6" i="18"/>
  <c r="AF23" i="16"/>
  <c r="AG21" i="16"/>
  <c r="AG33" i="16" s="1"/>
  <c r="AG35" i="16" s="1"/>
  <c r="AN338" i="11"/>
  <c r="AN339" i="11"/>
  <c r="AN353" i="11" s="1"/>
  <c r="AO203" i="11"/>
  <c r="AN204" i="11"/>
  <c r="AO337" i="11"/>
  <c r="AO226" i="11"/>
  <c r="AS235" i="11"/>
  <c r="AR238" i="11"/>
  <c r="AS239" i="11"/>
  <c r="AR240" i="11"/>
  <c r="AR236" i="11"/>
  <c r="AR242" i="11"/>
  <c r="AR237" i="11"/>
  <c r="AR241" i="11"/>
  <c r="AP200" i="11"/>
  <c r="AL610" i="11" l="1"/>
  <c r="AL608" i="11"/>
  <c r="AF637" i="11"/>
  <c r="AF649" i="11" s="1"/>
  <c r="AF636" i="11"/>
  <c r="AF648" i="11" s="1"/>
  <c r="AN182" i="11"/>
  <c r="AN193" i="11"/>
  <c r="AN183" i="11"/>
  <c r="AN194" i="11"/>
  <c r="AM181" i="11"/>
  <c r="AM192" i="11"/>
  <c r="AI404" i="11"/>
  <c r="AK618" i="11"/>
  <c r="AK622" i="11"/>
  <c r="AK619" i="11"/>
  <c r="AK620" i="11"/>
  <c r="AK621" i="11"/>
  <c r="AJ623" i="11"/>
  <c r="AL616" i="11"/>
  <c r="AL617" i="11"/>
  <c r="G20" i="17"/>
  <c r="G24" i="17" s="1"/>
  <c r="G13" i="17"/>
  <c r="AL600" i="11"/>
  <c r="AL602" i="11" s="1"/>
  <c r="AD647" i="11"/>
  <c r="AD655" i="11" s="1"/>
  <c r="H9" i="17" s="1"/>
  <c r="AE425" i="11"/>
  <c r="AE615" i="11"/>
  <c r="AI358" i="11"/>
  <c r="AH359" i="11"/>
  <c r="AI357" i="11"/>
  <c r="AI372" i="11" s="1"/>
  <c r="AI356" i="11"/>
  <c r="AI369" i="11" s="1"/>
  <c r="AJ402" i="11"/>
  <c r="AJ401" i="11"/>
  <c r="AI354" i="11"/>
  <c r="AI363" i="11" s="1"/>
  <c r="AJ352" i="11"/>
  <c r="AJ356" i="11" s="1"/>
  <c r="AJ369" i="11" s="1"/>
  <c r="AL397" i="11"/>
  <c r="AL318" i="11"/>
  <c r="AL332" i="11" s="1"/>
  <c r="AM398" i="11"/>
  <c r="AM322" i="11"/>
  <c r="AM333" i="11" s="1"/>
  <c r="AL314" i="11"/>
  <c r="AL331" i="11" s="1"/>
  <c r="AK399" i="11"/>
  <c r="AK402" i="11" s="1"/>
  <c r="AJ326" i="11"/>
  <c r="AJ334" i="11" s="1"/>
  <c r="AK343" i="11"/>
  <c r="AK350" i="11" s="1"/>
  <c r="AK310" i="11"/>
  <c r="AK330" i="11" s="1"/>
  <c r="AN317" i="11"/>
  <c r="AN305" i="11"/>
  <c r="AJ345" i="11"/>
  <c r="AN301" i="11"/>
  <c r="AN177" i="11"/>
  <c r="AK340" i="11"/>
  <c r="AK347" i="11" s="1"/>
  <c r="AK302" i="11"/>
  <c r="AL267" i="11"/>
  <c r="AL342" i="11" s="1"/>
  <c r="AL349" i="11" s="1"/>
  <c r="AL344" i="11"/>
  <c r="AL351" i="11" s="1"/>
  <c r="AO48" i="11"/>
  <c r="AO188" i="11" s="1"/>
  <c r="AL266" i="11"/>
  <c r="AL341" i="11" s="1"/>
  <c r="AL348" i="11" s="1"/>
  <c r="AL265" i="11"/>
  <c r="Q22" i="17"/>
  <c r="Q21" i="17"/>
  <c r="Q23" i="17"/>
  <c r="AJ414" i="11"/>
  <c r="AJ474" i="11"/>
  <c r="AJ479" i="11" s="1"/>
  <c r="AJ463" i="11"/>
  <c r="AM594" i="11"/>
  <c r="AN593" i="11"/>
  <c r="AK566" i="11"/>
  <c r="AK582" i="11" s="1"/>
  <c r="AK564" i="11"/>
  <c r="AK580" i="11" s="1"/>
  <c r="AK461" i="11"/>
  <c r="AK477" i="11" s="1"/>
  <c r="AK562" i="11"/>
  <c r="AK460" i="11"/>
  <c r="AK476" i="11" s="1"/>
  <c r="AK459" i="11"/>
  <c r="AK475" i="11" s="1"/>
  <c r="AK462" i="11"/>
  <c r="AK478" i="11" s="1"/>
  <c r="AK565" i="11"/>
  <c r="AK581" i="11" s="1"/>
  <c r="AK458" i="11"/>
  <c r="AK563" i="11"/>
  <c r="AK579" i="11" s="1"/>
  <c r="AJ578" i="11"/>
  <c r="AJ583" i="11" s="1"/>
  <c r="AJ567" i="11"/>
  <c r="AL557" i="11"/>
  <c r="AL452" i="11"/>
  <c r="AL453" i="11"/>
  <c r="AL454" i="11"/>
  <c r="AL556" i="11"/>
  <c r="AL558" i="11"/>
  <c r="AF375" i="11"/>
  <c r="AF381" i="11" s="1"/>
  <c r="AF388" i="11" s="1"/>
  <c r="AE586" i="11"/>
  <c r="AE635" i="11" s="1"/>
  <c r="AD643" i="11"/>
  <c r="AN575" i="11"/>
  <c r="F13" i="17"/>
  <c r="F24" i="17"/>
  <c r="AN471" i="11"/>
  <c r="AE482" i="11"/>
  <c r="AE634" i="11" s="1"/>
  <c r="AE646" i="11" s="1"/>
  <c r="AE382" i="11"/>
  <c r="AE389" i="11"/>
  <c r="AG379" i="11"/>
  <c r="AG386" i="11" s="1"/>
  <c r="AH371" i="11"/>
  <c r="AF380" i="11"/>
  <c r="AF387" i="11" s="1"/>
  <c r="AF599" i="11" s="1"/>
  <c r="AF603" i="11" s="1"/>
  <c r="AF638" i="11" s="1"/>
  <c r="AF650" i="11" s="1"/>
  <c r="AG374" i="11"/>
  <c r="AF377" i="11"/>
  <c r="AF384" i="11" s="1"/>
  <c r="AG365" i="11"/>
  <c r="AG378" i="11"/>
  <c r="AG385" i="11" s="1"/>
  <c r="AH368" i="11"/>
  <c r="AN376" i="11"/>
  <c r="AN383" i="11" s="1"/>
  <c r="AN367" i="11"/>
  <c r="AN364" i="11"/>
  <c r="AN370" i="11"/>
  <c r="AN373" i="11"/>
  <c r="AO297" i="11"/>
  <c r="AO296" i="11"/>
  <c r="AO295" i="11"/>
  <c r="AO298" i="11"/>
  <c r="AO294" i="11"/>
  <c r="AF420" i="11"/>
  <c r="AF423" i="11"/>
  <c r="AG420" i="11"/>
  <c r="AG424" i="11"/>
  <c r="AH418" i="11"/>
  <c r="AH423" i="11" s="1"/>
  <c r="AH615" i="11" s="1"/>
  <c r="AH415" i="11"/>
  <c r="AJ289" i="11"/>
  <c r="AI417" i="11"/>
  <c r="AI422" i="11" s="1"/>
  <c r="AI607" i="11" s="1"/>
  <c r="AI611" i="11" s="1"/>
  <c r="AI639" i="11" s="1"/>
  <c r="AI651" i="11" s="1"/>
  <c r="AK287" i="11"/>
  <c r="AK288" i="11"/>
  <c r="AK286" i="11"/>
  <c r="AL396" i="11"/>
  <c r="AL284" i="11"/>
  <c r="AH419" i="11"/>
  <c r="AH424" i="11" s="1"/>
  <c r="AH628" i="11" s="1"/>
  <c r="AH630" i="11" s="1"/>
  <c r="AH641" i="11" s="1"/>
  <c r="AH653" i="11" s="1"/>
  <c r="AI411" i="11"/>
  <c r="AM282" i="11"/>
  <c r="AM281" i="11"/>
  <c r="AI277" i="11"/>
  <c r="AM269" i="11"/>
  <c r="AM306" i="11" s="1"/>
  <c r="AM327" i="11" s="1"/>
  <c r="AK270" i="11"/>
  <c r="AK273" i="11" s="1"/>
  <c r="AL268" i="11"/>
  <c r="AJ275" i="11"/>
  <c r="AJ274" i="11"/>
  <c r="AJ276" i="11"/>
  <c r="AJ273" i="11"/>
  <c r="AJ272" i="11"/>
  <c r="R19" i="17"/>
  <c r="AN243" i="11"/>
  <c r="AN244" i="11"/>
  <c r="AN255" i="11" s="1"/>
  <c r="AN245" i="11"/>
  <c r="AN246" i="11"/>
  <c r="AN247" i="11"/>
  <c r="AN248" i="11"/>
  <c r="AN259" i="11" s="1"/>
  <c r="AN249" i="11"/>
  <c r="AN260" i="11" s="1"/>
  <c r="AN250" i="11"/>
  <c r="AN261" i="11" s="1"/>
  <c r="AN283" i="11" s="1"/>
  <c r="AN322" i="11" s="1"/>
  <c r="AN333" i="11" s="1"/>
  <c r="AP136" i="11"/>
  <c r="AO163" i="11"/>
  <c r="AO124" i="11"/>
  <c r="AO132" i="11" s="1"/>
  <c r="AO112" i="11"/>
  <c r="AN120" i="11"/>
  <c r="AO264" i="11"/>
  <c r="AO271" i="11" s="1"/>
  <c r="AO252" i="11"/>
  <c r="AM254" i="11"/>
  <c r="AM257" i="11"/>
  <c r="AM329" i="11" s="1"/>
  <c r="AM256" i="11"/>
  <c r="AM328" i="11" s="1"/>
  <c r="AM258" i="11"/>
  <c r="AL185" i="11"/>
  <c r="AL642" i="11" s="1"/>
  <c r="AM189" i="11"/>
  <c r="AM178" i="11"/>
  <c r="AM195" i="11"/>
  <c r="AM184" i="11"/>
  <c r="AL196" i="11"/>
  <c r="AL654" i="11" s="1"/>
  <c r="P14" i="17" s="1"/>
  <c r="P25" i="17" s="1"/>
  <c r="AO167" i="11"/>
  <c r="AN173" i="11"/>
  <c r="AE20" i="18"/>
  <c r="AE22" i="18"/>
  <c r="AE23" i="18"/>
  <c r="AE24" i="18"/>
  <c r="AE25" i="18"/>
  <c r="AE21" i="18"/>
  <c r="AN52" i="11"/>
  <c r="AN87" i="11" s="1"/>
  <c r="AP25" i="11"/>
  <c r="AO362" i="11"/>
  <c r="AO393" i="11"/>
  <c r="AO395" i="11" s="1"/>
  <c r="AO346" i="11"/>
  <c r="AN394" i="11"/>
  <c r="AY24" i="11"/>
  <c r="AX28" i="11"/>
  <c r="AX39" i="11" s="1"/>
  <c r="AD26" i="18"/>
  <c r="AF6" i="18"/>
  <c r="AG23" i="16"/>
  <c r="AP203" i="11"/>
  <c r="AO338" i="11"/>
  <c r="AO339" i="11"/>
  <c r="AO353" i="11" s="1"/>
  <c r="AO204" i="11"/>
  <c r="AP337" i="11"/>
  <c r="AP226" i="11"/>
  <c r="AS241" i="11"/>
  <c r="AS240" i="11"/>
  <c r="AS242" i="11"/>
  <c r="AS238" i="11"/>
  <c r="AS237" i="11"/>
  <c r="AS236" i="11"/>
  <c r="AT239" i="11"/>
  <c r="AT235" i="11"/>
  <c r="AQ200" i="11"/>
  <c r="AM608" i="11" l="1"/>
  <c r="AM610" i="11"/>
  <c r="AG637" i="11"/>
  <c r="AG649" i="11" s="1"/>
  <c r="AG636" i="11"/>
  <c r="AG648" i="11" s="1"/>
  <c r="AO182" i="11"/>
  <c r="AO193" i="11"/>
  <c r="AO183" i="11"/>
  <c r="AO194" i="11"/>
  <c r="AN181" i="11"/>
  <c r="AN192" i="11"/>
  <c r="AH624" i="11"/>
  <c r="AH640" i="11" s="1"/>
  <c r="AH652" i="11" s="1"/>
  <c r="AE624" i="11"/>
  <c r="AE640" i="11" s="1"/>
  <c r="AL621" i="11"/>
  <c r="AL619" i="11"/>
  <c r="AL618" i="11"/>
  <c r="AL620" i="11"/>
  <c r="AL622" i="11"/>
  <c r="AK623" i="11"/>
  <c r="AO177" i="11"/>
  <c r="AM617" i="11"/>
  <c r="AM616" i="11"/>
  <c r="AG425" i="11"/>
  <c r="AG628" i="11"/>
  <c r="AG630" i="11" s="1"/>
  <c r="AG641" i="11" s="1"/>
  <c r="AG653" i="11" s="1"/>
  <c r="H20" i="17"/>
  <c r="H24" i="17" s="1"/>
  <c r="H13" i="17"/>
  <c r="AF425" i="11"/>
  <c r="AF615" i="11"/>
  <c r="AE647" i="11"/>
  <c r="AM600" i="11"/>
  <c r="AM602" i="11" s="1"/>
  <c r="AI359" i="11"/>
  <c r="AJ404" i="11"/>
  <c r="AL399" i="11"/>
  <c r="AL401" i="11" s="1"/>
  <c r="AJ408" i="11"/>
  <c r="AJ410" i="11" s="1"/>
  <c r="AJ417" i="11" s="1"/>
  <c r="AJ422" i="11" s="1"/>
  <c r="AJ607" i="11" s="1"/>
  <c r="AJ611" i="11" s="1"/>
  <c r="AJ639" i="11" s="1"/>
  <c r="AJ651" i="11" s="1"/>
  <c r="AJ358" i="11"/>
  <c r="AJ355" i="11"/>
  <c r="AJ366" i="11" s="1"/>
  <c r="AJ354" i="11"/>
  <c r="AJ363" i="11" s="1"/>
  <c r="AJ357" i="11"/>
  <c r="AJ372" i="11" s="1"/>
  <c r="AK352" i="11"/>
  <c r="AK358" i="11" s="1"/>
  <c r="AK401" i="11"/>
  <c r="AK408" i="11" s="1"/>
  <c r="AM314" i="11"/>
  <c r="AM331" i="11" s="1"/>
  <c r="AK403" i="11"/>
  <c r="AK412" i="11" s="1"/>
  <c r="AK414" i="11" s="1"/>
  <c r="AM397" i="11"/>
  <c r="AM318" i="11"/>
  <c r="AM332" i="11" s="1"/>
  <c r="AO317" i="11"/>
  <c r="AK326" i="11"/>
  <c r="AK334" i="11" s="1"/>
  <c r="AL343" i="11"/>
  <c r="AL350" i="11" s="1"/>
  <c r="AL310" i="11"/>
  <c r="AL330" i="11" s="1"/>
  <c r="AO305" i="11"/>
  <c r="AO301" i="11"/>
  <c r="AK345" i="11"/>
  <c r="AL340" i="11"/>
  <c r="AL347" i="11" s="1"/>
  <c r="AL302" i="11"/>
  <c r="AM265" i="11"/>
  <c r="AM267" i="11"/>
  <c r="AM342" i="11" s="1"/>
  <c r="AM349" i="11" s="1"/>
  <c r="AP48" i="11"/>
  <c r="AP188" i="11" s="1"/>
  <c r="AM344" i="11"/>
  <c r="AM351" i="11" s="1"/>
  <c r="AM266" i="11"/>
  <c r="AM341" i="11" s="1"/>
  <c r="AM348" i="11" s="1"/>
  <c r="R22" i="17"/>
  <c r="R21" i="17"/>
  <c r="R23" i="17"/>
  <c r="AM556" i="11"/>
  <c r="AM453" i="11"/>
  <c r="AM452" i="11"/>
  <c r="AM454" i="11"/>
  <c r="AM557" i="11"/>
  <c r="AM558" i="11"/>
  <c r="AK474" i="11"/>
  <c r="AK479" i="11" s="1"/>
  <c r="AK463" i="11"/>
  <c r="AL563" i="11"/>
  <c r="AL579" i="11" s="1"/>
  <c r="AL566" i="11"/>
  <c r="AL582" i="11" s="1"/>
  <c r="AL458" i="11"/>
  <c r="AL564" i="11"/>
  <c r="AL580" i="11" s="1"/>
  <c r="AL460" i="11"/>
  <c r="AL476" i="11" s="1"/>
  <c r="AL562" i="11"/>
  <c r="AL459" i="11"/>
  <c r="AL475" i="11" s="1"/>
  <c r="AL565" i="11"/>
  <c r="AL581" i="11" s="1"/>
  <c r="AL461" i="11"/>
  <c r="AL477" i="11" s="1"/>
  <c r="AL462" i="11"/>
  <c r="AL478" i="11" s="1"/>
  <c r="AK578" i="11"/>
  <c r="AK583" i="11" s="1"/>
  <c r="AK567" i="11"/>
  <c r="AN594" i="11"/>
  <c r="AO593" i="11"/>
  <c r="AF586" i="11"/>
  <c r="AF635" i="11" s="1"/>
  <c r="AO575" i="11"/>
  <c r="AF482" i="11"/>
  <c r="AF634" i="11" s="1"/>
  <c r="AF646" i="11" s="1"/>
  <c r="AO471" i="11"/>
  <c r="AG375" i="11"/>
  <c r="AG381" i="11" s="1"/>
  <c r="AG388" i="11" s="1"/>
  <c r="AF382" i="11"/>
  <c r="AF389" i="11"/>
  <c r="AH378" i="11"/>
  <c r="AH385" i="11" s="1"/>
  <c r="AI368" i="11"/>
  <c r="AG380" i="11"/>
  <c r="AG387" i="11" s="1"/>
  <c r="AG599" i="11" s="1"/>
  <c r="AG603" i="11" s="1"/>
  <c r="AG638" i="11" s="1"/>
  <c r="AG650" i="11" s="1"/>
  <c r="AH374" i="11"/>
  <c r="AG377" i="11"/>
  <c r="AG384" i="11" s="1"/>
  <c r="AH365" i="11"/>
  <c r="AH379" i="11"/>
  <c r="AH386" i="11" s="1"/>
  <c r="AI371" i="11"/>
  <c r="AH425" i="11"/>
  <c r="AO376" i="11"/>
  <c r="AO383" i="11" s="1"/>
  <c r="AO364" i="11"/>
  <c r="AO367" i="11"/>
  <c r="AO373" i="11"/>
  <c r="AO370" i="11"/>
  <c r="AP296" i="11"/>
  <c r="AP297" i="11"/>
  <c r="AP298" i="11"/>
  <c r="AP294" i="11"/>
  <c r="AP295" i="11"/>
  <c r="AK272" i="11"/>
  <c r="AN398" i="11"/>
  <c r="AN269" i="11"/>
  <c r="AN306" i="11" s="1"/>
  <c r="AN327" i="11" s="1"/>
  <c r="AH420" i="11"/>
  <c r="AK276" i="11"/>
  <c r="AI418" i="11"/>
  <c r="AI423" i="11" s="1"/>
  <c r="AI615" i="11" s="1"/>
  <c r="AI415" i="11"/>
  <c r="AN282" i="11"/>
  <c r="AN281" i="11"/>
  <c r="AI419" i="11"/>
  <c r="AI424" i="11" s="1"/>
  <c r="AI628" i="11" s="1"/>
  <c r="AI630" i="11" s="1"/>
  <c r="AI641" i="11" s="1"/>
  <c r="AI653" i="11" s="1"/>
  <c r="AK275" i="11"/>
  <c r="AK274" i="11"/>
  <c r="AM284" i="11"/>
  <c r="AM396" i="11"/>
  <c r="AL287" i="11"/>
  <c r="AL288" i="11"/>
  <c r="AL286" i="11"/>
  <c r="AK289" i="11"/>
  <c r="AJ277" i="11"/>
  <c r="AM268" i="11"/>
  <c r="AL270" i="11"/>
  <c r="S19" i="17"/>
  <c r="AO243" i="11"/>
  <c r="AO244" i="11"/>
  <c r="AO255" i="11" s="1"/>
  <c r="AO245" i="11"/>
  <c r="AO246" i="11"/>
  <c r="AO247" i="11"/>
  <c r="AO248" i="11"/>
  <c r="AO259" i="11" s="1"/>
  <c r="AO249" i="11"/>
  <c r="AO260" i="11" s="1"/>
  <c r="AO250" i="11"/>
  <c r="AO261" i="11" s="1"/>
  <c r="AO283" i="11" s="1"/>
  <c r="AO322" i="11" s="1"/>
  <c r="AO333" i="11" s="1"/>
  <c r="AQ136" i="11"/>
  <c r="AP163" i="11"/>
  <c r="AP124" i="11"/>
  <c r="AP132" i="11" s="1"/>
  <c r="AP112" i="11"/>
  <c r="AO120" i="11"/>
  <c r="AP264" i="11"/>
  <c r="AP271" i="11" s="1"/>
  <c r="AP252" i="11"/>
  <c r="AN257" i="11"/>
  <c r="AN329" i="11" s="1"/>
  <c r="AN258" i="11"/>
  <c r="AN254" i="11"/>
  <c r="AN256" i="11"/>
  <c r="AN328" i="11" s="1"/>
  <c r="AM185" i="11"/>
  <c r="AM642" i="11" s="1"/>
  <c r="AM196" i="11"/>
  <c r="AM654" i="11" s="1"/>
  <c r="Q14" i="17" s="1"/>
  <c r="Q25" i="17" s="1"/>
  <c r="AN195" i="11"/>
  <c r="AN184" i="11"/>
  <c r="AN189" i="11"/>
  <c r="AN178" i="11"/>
  <c r="AP167" i="11"/>
  <c r="AO173" i="11"/>
  <c r="AF22" i="18"/>
  <c r="AF25" i="18"/>
  <c r="AF20" i="18"/>
  <c r="AF23" i="18"/>
  <c r="AF24" i="18"/>
  <c r="AF21" i="18"/>
  <c r="AO52" i="11"/>
  <c r="AO87" i="11" s="1"/>
  <c r="AO394" i="11"/>
  <c r="AQ25" i="11"/>
  <c r="AP362" i="11"/>
  <c r="AP393" i="11"/>
  <c r="AP395" i="11" s="1"/>
  <c r="AP346" i="11"/>
  <c r="AZ24" i="11"/>
  <c r="AY28" i="11"/>
  <c r="AY39" i="11" s="1"/>
  <c r="AE26" i="18"/>
  <c r="AG6" i="18"/>
  <c r="AP204" i="11"/>
  <c r="AP338" i="11"/>
  <c r="AP339" i="11"/>
  <c r="AP353" i="11" s="1"/>
  <c r="AQ226" i="11"/>
  <c r="AQ337" i="11"/>
  <c r="AQ203" i="11"/>
  <c r="AT236" i="11"/>
  <c r="AU235" i="11"/>
  <c r="AT238" i="11"/>
  <c r="AT240" i="11"/>
  <c r="AU239" i="11"/>
  <c r="AT237" i="11"/>
  <c r="AT242" i="11"/>
  <c r="AT241" i="11"/>
  <c r="AR200" i="11"/>
  <c r="AN608" i="11" l="1"/>
  <c r="AN610" i="11"/>
  <c r="AH636" i="11"/>
  <c r="AH648" i="11" s="1"/>
  <c r="AH637" i="11"/>
  <c r="AH649" i="11" s="1"/>
  <c r="AP182" i="11"/>
  <c r="AP193" i="11"/>
  <c r="AP183" i="11"/>
  <c r="AP194" i="11"/>
  <c r="AO181" i="11"/>
  <c r="AO192" i="11"/>
  <c r="AL623" i="11"/>
  <c r="AE652" i="11"/>
  <c r="AE655" i="11" s="1"/>
  <c r="I9" i="17" s="1"/>
  <c r="AE643" i="11"/>
  <c r="AI624" i="11"/>
  <c r="AI640" i="11" s="1"/>
  <c r="AI652" i="11" s="1"/>
  <c r="AF624" i="11"/>
  <c r="AF640" i="11" s="1"/>
  <c r="AM620" i="11"/>
  <c r="AM618" i="11"/>
  <c r="AM621" i="11"/>
  <c r="AM619" i="11"/>
  <c r="AM622" i="11"/>
  <c r="AN616" i="11"/>
  <c r="AN617" i="11"/>
  <c r="AF647" i="11"/>
  <c r="AN600" i="11"/>
  <c r="AN602" i="11" s="1"/>
  <c r="AK357" i="11"/>
  <c r="AK372" i="11" s="1"/>
  <c r="AK410" i="11"/>
  <c r="AK417" i="11" s="1"/>
  <c r="AK422" i="11" s="1"/>
  <c r="AK607" i="11" s="1"/>
  <c r="AK611" i="11" s="1"/>
  <c r="AK639" i="11" s="1"/>
  <c r="AK651" i="11" s="1"/>
  <c r="AL403" i="11"/>
  <c r="AL412" i="11" s="1"/>
  <c r="AL414" i="11" s="1"/>
  <c r="AL402" i="11"/>
  <c r="AM399" i="11"/>
  <c r="AM401" i="11" s="1"/>
  <c r="AM408" i="11" s="1"/>
  <c r="AJ359" i="11"/>
  <c r="AK356" i="11"/>
  <c r="AK369" i="11" s="1"/>
  <c r="AK355" i="11"/>
  <c r="AK366" i="11" s="1"/>
  <c r="AK354" i="11"/>
  <c r="AK363" i="11" s="1"/>
  <c r="AK404" i="11"/>
  <c r="AL352" i="11"/>
  <c r="AL356" i="11" s="1"/>
  <c r="AL369" i="11" s="1"/>
  <c r="AL345" i="11"/>
  <c r="AN397" i="11"/>
  <c r="AN318" i="11"/>
  <c r="AN332" i="11" s="1"/>
  <c r="AN314" i="11"/>
  <c r="AN331" i="11" s="1"/>
  <c r="AL326" i="11"/>
  <c r="AL334" i="11" s="1"/>
  <c r="AM343" i="11"/>
  <c r="AM350" i="11" s="1"/>
  <c r="AM310" i="11"/>
  <c r="AM330" i="11" s="1"/>
  <c r="AP317" i="11"/>
  <c r="AP305" i="11"/>
  <c r="AP301" i="11"/>
  <c r="AM340" i="11"/>
  <c r="AM347" i="11" s="1"/>
  <c r="AM302" i="11"/>
  <c r="AP177" i="11"/>
  <c r="AQ48" i="11"/>
  <c r="AQ188" i="11" s="1"/>
  <c r="AN267" i="11"/>
  <c r="AN342" i="11" s="1"/>
  <c r="AN349" i="11" s="1"/>
  <c r="AN344" i="11"/>
  <c r="AN351" i="11" s="1"/>
  <c r="AN266" i="11"/>
  <c r="AN341" i="11" s="1"/>
  <c r="AN348" i="11" s="1"/>
  <c r="AN265" i="11"/>
  <c r="S22" i="17"/>
  <c r="S21" i="17"/>
  <c r="S23" i="17"/>
  <c r="AL474" i="11"/>
  <c r="AL479" i="11" s="1"/>
  <c r="AL463" i="11"/>
  <c r="AM462" i="11"/>
  <c r="AM478" i="11" s="1"/>
  <c r="AM565" i="11"/>
  <c r="AM581" i="11" s="1"/>
  <c r="AM458" i="11"/>
  <c r="AM459" i="11"/>
  <c r="AM475" i="11" s="1"/>
  <c r="AM564" i="11"/>
  <c r="AM580" i="11" s="1"/>
  <c r="AM461" i="11"/>
  <c r="AM477" i="11" s="1"/>
  <c r="AM562" i="11"/>
  <c r="AM563" i="11"/>
  <c r="AM579" i="11" s="1"/>
  <c r="AM460" i="11"/>
  <c r="AM476" i="11" s="1"/>
  <c r="AM566" i="11"/>
  <c r="AM582" i="11" s="1"/>
  <c r="AP593" i="11"/>
  <c r="AO594" i="11"/>
  <c r="AL578" i="11"/>
  <c r="AL583" i="11" s="1"/>
  <c r="AL567" i="11"/>
  <c r="AN557" i="11"/>
  <c r="AN454" i="11"/>
  <c r="AN452" i="11"/>
  <c r="AN453" i="11"/>
  <c r="AN556" i="11"/>
  <c r="AN558" i="11"/>
  <c r="AG586" i="11"/>
  <c r="AG635" i="11" s="1"/>
  <c r="AP575" i="11"/>
  <c r="AG482" i="11"/>
  <c r="AG634" i="11" s="1"/>
  <c r="AG646" i="11" s="1"/>
  <c r="AP471" i="11"/>
  <c r="AH375" i="11"/>
  <c r="AH381" i="11" s="1"/>
  <c r="AH388" i="11" s="1"/>
  <c r="AG382" i="11"/>
  <c r="AI425" i="11"/>
  <c r="AI378" i="11"/>
  <c r="AI385" i="11" s="1"/>
  <c r="AJ368" i="11"/>
  <c r="AG389" i="11"/>
  <c r="AI379" i="11"/>
  <c r="AI386" i="11" s="1"/>
  <c r="AJ371" i="11"/>
  <c r="AJ379" i="11" s="1"/>
  <c r="AH380" i="11"/>
  <c r="AH387" i="11" s="1"/>
  <c r="AH599" i="11" s="1"/>
  <c r="AH603" i="11" s="1"/>
  <c r="AH638" i="11" s="1"/>
  <c r="AH650" i="11" s="1"/>
  <c r="AI374" i="11"/>
  <c r="AH377" i="11"/>
  <c r="AH384" i="11" s="1"/>
  <c r="AI365" i="11"/>
  <c r="AP376" i="11"/>
  <c r="AP383" i="11" s="1"/>
  <c r="AP373" i="11"/>
  <c r="AP370" i="11"/>
  <c r="AP364" i="11"/>
  <c r="AP367" i="11"/>
  <c r="AQ295" i="11"/>
  <c r="AQ296" i="11"/>
  <c r="AQ297" i="11"/>
  <c r="AQ298" i="11"/>
  <c r="AQ294" i="11"/>
  <c r="AO398" i="11"/>
  <c r="AK277" i="11"/>
  <c r="AI420" i="11"/>
  <c r="AO282" i="11"/>
  <c r="AJ419" i="11"/>
  <c r="AJ424" i="11" s="1"/>
  <c r="AJ628" i="11" s="1"/>
  <c r="AJ630" i="11" s="1"/>
  <c r="AJ641" i="11" s="1"/>
  <c r="AJ653" i="11" s="1"/>
  <c r="AO281" i="11"/>
  <c r="AL408" i="11"/>
  <c r="AL289" i="11"/>
  <c r="AM286" i="11"/>
  <c r="AM287" i="11"/>
  <c r="AM288" i="11"/>
  <c r="AJ411" i="11"/>
  <c r="AN396" i="11"/>
  <c r="AN284" i="11"/>
  <c r="AO269" i="11"/>
  <c r="AO306" i="11" s="1"/>
  <c r="AO327" i="11" s="1"/>
  <c r="AM270" i="11"/>
  <c r="AM272" i="11" s="1"/>
  <c r="AN268" i="11"/>
  <c r="AL272" i="11"/>
  <c r="AL273" i="11"/>
  <c r="AL274" i="11"/>
  <c r="AL275" i="11"/>
  <c r="AL276" i="11"/>
  <c r="T19" i="17"/>
  <c r="AP243" i="11"/>
  <c r="AP245" i="11"/>
  <c r="AP244" i="11"/>
  <c r="AP255" i="11" s="1"/>
  <c r="AP246" i="11"/>
  <c r="AP247" i="11"/>
  <c r="AP248" i="11"/>
  <c r="AP259" i="11" s="1"/>
  <c r="AP249" i="11"/>
  <c r="AP260" i="11" s="1"/>
  <c r="AP250" i="11"/>
  <c r="AP261" i="11" s="1"/>
  <c r="AP283" i="11" s="1"/>
  <c r="AP322" i="11" s="1"/>
  <c r="AP333" i="11" s="1"/>
  <c r="AN185" i="11"/>
  <c r="AN642" i="11" s="1"/>
  <c r="AN196" i="11"/>
  <c r="AN654" i="11" s="1"/>
  <c r="R14" i="17" s="1"/>
  <c r="R25" i="17" s="1"/>
  <c r="AR136" i="11"/>
  <c r="AQ163" i="11"/>
  <c r="AQ124" i="11"/>
  <c r="AQ132" i="11" s="1"/>
  <c r="AQ112" i="11"/>
  <c r="AP120" i="11"/>
  <c r="AQ264" i="11"/>
  <c r="AQ271" i="11" s="1"/>
  <c r="AQ252" i="11"/>
  <c r="AO254" i="11"/>
  <c r="AO256" i="11"/>
  <c r="AO328" i="11" s="1"/>
  <c r="AO257" i="11"/>
  <c r="AO329" i="11" s="1"/>
  <c r="AO258" i="11"/>
  <c r="AO184" i="11"/>
  <c r="AO195" i="11"/>
  <c r="AO189" i="11"/>
  <c r="AO178" i="11"/>
  <c r="AQ167" i="11"/>
  <c r="AP173" i="11"/>
  <c r="AG20" i="18"/>
  <c r="AG22" i="18"/>
  <c r="AG24" i="18"/>
  <c r="AG25" i="18"/>
  <c r="AG23" i="18"/>
  <c r="AG21" i="18"/>
  <c r="AP52" i="11"/>
  <c r="AP87" i="11" s="1"/>
  <c r="AR25" i="11"/>
  <c r="AQ362" i="11"/>
  <c r="AQ393" i="11"/>
  <c r="AQ395" i="11" s="1"/>
  <c r="AQ346" i="11"/>
  <c r="BA24" i="11"/>
  <c r="BA28" i="11" s="1"/>
  <c r="BA39" i="11" s="1"/>
  <c r="AZ28" i="11"/>
  <c r="AZ39" i="11" s="1"/>
  <c r="AP394" i="11"/>
  <c r="AQ394" i="11" s="1"/>
  <c r="AF26" i="18"/>
  <c r="AH6" i="18"/>
  <c r="AQ204" i="11"/>
  <c r="AQ338" i="11"/>
  <c r="AQ339" i="11"/>
  <c r="AQ353" i="11" s="1"/>
  <c r="AR337" i="11"/>
  <c r="AR226" i="11"/>
  <c r="AR203" i="11"/>
  <c r="AU240" i="11"/>
  <c r="AU241" i="11"/>
  <c r="AU237" i="11"/>
  <c r="AV235" i="11"/>
  <c r="AU242" i="11"/>
  <c r="AV239" i="11"/>
  <c r="AU238" i="11"/>
  <c r="AU236" i="11"/>
  <c r="AS200" i="11"/>
  <c r="AO608" i="11" l="1"/>
  <c r="AO610" i="11"/>
  <c r="AI636" i="11"/>
  <c r="AI648" i="11" s="1"/>
  <c r="AI637" i="11"/>
  <c r="AI649" i="11" s="1"/>
  <c r="AP181" i="11"/>
  <c r="AP192" i="11"/>
  <c r="AQ182" i="11"/>
  <c r="AQ193" i="11"/>
  <c r="AQ183" i="11"/>
  <c r="AQ194" i="11"/>
  <c r="AM623" i="11"/>
  <c r="I13" i="17"/>
  <c r="I20" i="17"/>
  <c r="I24" i="17" s="1"/>
  <c r="AF652" i="11"/>
  <c r="AF655" i="11" s="1"/>
  <c r="J9" i="17" s="1"/>
  <c r="AF643" i="11"/>
  <c r="AN619" i="11"/>
  <c r="AN621" i="11"/>
  <c r="AN618" i="11"/>
  <c r="AN620" i="11"/>
  <c r="AN622" i="11"/>
  <c r="AO616" i="11"/>
  <c r="AO617" i="11"/>
  <c r="AL354" i="11"/>
  <c r="AL363" i="11" s="1"/>
  <c r="AO600" i="11"/>
  <c r="AO602" i="11" s="1"/>
  <c r="AG647" i="11"/>
  <c r="AG655" i="11" s="1"/>
  <c r="K9" i="17" s="1"/>
  <c r="AL410" i="11"/>
  <c r="AL417" i="11" s="1"/>
  <c r="AL422" i="11" s="1"/>
  <c r="AL607" i="11" s="1"/>
  <c r="AL611" i="11" s="1"/>
  <c r="AL639" i="11" s="1"/>
  <c r="AL651" i="11" s="1"/>
  <c r="AL358" i="11"/>
  <c r="AL404" i="11"/>
  <c r="AM402" i="11"/>
  <c r="AM403" i="11"/>
  <c r="AM412" i="11" s="1"/>
  <c r="AM414" i="11" s="1"/>
  <c r="AL357" i="11"/>
  <c r="AL372" i="11" s="1"/>
  <c r="AL355" i="11"/>
  <c r="AL366" i="11" s="1"/>
  <c r="AK359" i="11"/>
  <c r="AN399" i="11"/>
  <c r="AN403" i="11" s="1"/>
  <c r="AN412" i="11" s="1"/>
  <c r="AM352" i="11"/>
  <c r="AM355" i="11" s="1"/>
  <c r="AM366" i="11" s="1"/>
  <c r="AO314" i="11"/>
  <c r="AO331" i="11" s="1"/>
  <c r="AO397" i="11"/>
  <c r="AO318" i="11"/>
  <c r="AO332" i="11" s="1"/>
  <c r="AM326" i="11"/>
  <c r="AM334" i="11" s="1"/>
  <c r="AQ317" i="11"/>
  <c r="AN343" i="11"/>
  <c r="AN350" i="11" s="1"/>
  <c r="AN310" i="11"/>
  <c r="AN330" i="11" s="1"/>
  <c r="AQ305" i="11"/>
  <c r="AQ301" i="11"/>
  <c r="AM345" i="11"/>
  <c r="AN340" i="11"/>
  <c r="AN347" i="11" s="1"/>
  <c r="AN302" i="11"/>
  <c r="AQ177" i="11"/>
  <c r="AO267" i="11"/>
  <c r="AO342" i="11" s="1"/>
  <c r="AO349" i="11" s="1"/>
  <c r="AO344" i="11"/>
  <c r="AO351" i="11" s="1"/>
  <c r="AO266" i="11"/>
  <c r="AO341" i="11" s="1"/>
  <c r="AO348" i="11" s="1"/>
  <c r="AO265" i="11"/>
  <c r="AR48" i="11"/>
  <c r="AR188" i="11" s="1"/>
  <c r="T22" i="17"/>
  <c r="T21" i="17"/>
  <c r="T23" i="17"/>
  <c r="AN562" i="11"/>
  <c r="AN458" i="11"/>
  <c r="AN564" i="11"/>
  <c r="AN580" i="11" s="1"/>
  <c r="AN565" i="11"/>
  <c r="AN581" i="11" s="1"/>
  <c r="AN460" i="11"/>
  <c r="AN476" i="11" s="1"/>
  <c r="AN566" i="11"/>
  <c r="AN582" i="11" s="1"/>
  <c r="AN459" i="11"/>
  <c r="AN475" i="11" s="1"/>
  <c r="AN462" i="11"/>
  <c r="AN478" i="11" s="1"/>
  <c r="AN461" i="11"/>
  <c r="AN477" i="11" s="1"/>
  <c r="AN563" i="11"/>
  <c r="AN579" i="11" s="1"/>
  <c r="AO557" i="11"/>
  <c r="AO558" i="11"/>
  <c r="AO454" i="11"/>
  <c r="AO556" i="11"/>
  <c r="AO453" i="11"/>
  <c r="AO452" i="11"/>
  <c r="AP594" i="11"/>
  <c r="AQ593" i="11"/>
  <c r="AM578" i="11"/>
  <c r="AM583" i="11" s="1"/>
  <c r="AM567" i="11"/>
  <c r="AM474" i="11"/>
  <c r="AM479" i="11" s="1"/>
  <c r="AM463" i="11"/>
  <c r="AQ575" i="11"/>
  <c r="AH586" i="11"/>
  <c r="AH635" i="11" s="1"/>
  <c r="AG643" i="11"/>
  <c r="AH482" i="11"/>
  <c r="AH634" i="11" s="1"/>
  <c r="AH646" i="11" s="1"/>
  <c r="AQ471" i="11"/>
  <c r="AH382" i="11"/>
  <c r="AI375" i="11"/>
  <c r="AI381" i="11" s="1"/>
  <c r="AI388" i="11" s="1"/>
  <c r="AM410" i="11"/>
  <c r="AI377" i="11"/>
  <c r="AI384" i="11" s="1"/>
  <c r="AJ365" i="11"/>
  <c r="AH389" i="11"/>
  <c r="AI380" i="11"/>
  <c r="AI387" i="11" s="1"/>
  <c r="AI599" i="11" s="1"/>
  <c r="AI603" i="11" s="1"/>
  <c r="AI638" i="11" s="1"/>
  <c r="AI650" i="11" s="1"/>
  <c r="AJ374" i="11"/>
  <c r="AK371" i="11"/>
  <c r="AK379" i="11" s="1"/>
  <c r="AJ378" i="11"/>
  <c r="AJ385" i="11" s="1"/>
  <c r="AK368" i="11"/>
  <c r="AQ376" i="11"/>
  <c r="AQ383" i="11" s="1"/>
  <c r="AQ370" i="11"/>
  <c r="AQ373" i="11"/>
  <c r="AQ364" i="11"/>
  <c r="AQ367" i="11"/>
  <c r="AR295" i="11"/>
  <c r="AR296" i="11"/>
  <c r="AR297" i="11"/>
  <c r="AR298" i="11"/>
  <c r="AR294" i="11"/>
  <c r="AP398" i="11"/>
  <c r="AP269" i="11"/>
  <c r="AP306" i="11" s="1"/>
  <c r="AP327" i="11" s="1"/>
  <c r="AM275" i="11"/>
  <c r="AM274" i="11"/>
  <c r="AN286" i="11"/>
  <c r="AN287" i="11"/>
  <c r="AN288" i="11"/>
  <c r="AK419" i="11"/>
  <c r="AK424" i="11" s="1"/>
  <c r="AK628" i="11" s="1"/>
  <c r="AK630" i="11" s="1"/>
  <c r="AK641" i="11" s="1"/>
  <c r="AK653" i="11" s="1"/>
  <c r="AK411" i="11"/>
  <c r="AP281" i="11"/>
  <c r="AM273" i="11"/>
  <c r="AM289" i="11"/>
  <c r="AO284" i="11"/>
  <c r="AO396" i="11"/>
  <c r="AP282" i="11"/>
  <c r="AM276" i="11"/>
  <c r="AJ418" i="11"/>
  <c r="AJ415" i="11"/>
  <c r="AL277" i="11"/>
  <c r="AO268" i="11"/>
  <c r="AJ386" i="11"/>
  <c r="AN270" i="11"/>
  <c r="U19" i="17"/>
  <c r="AQ243" i="11"/>
  <c r="AQ244" i="11"/>
  <c r="AQ255" i="11" s="1"/>
  <c r="AQ245" i="11"/>
  <c r="AQ246" i="11"/>
  <c r="AQ247" i="11"/>
  <c r="AQ248" i="11"/>
  <c r="AQ259" i="11" s="1"/>
  <c r="AQ249" i="11"/>
  <c r="AQ260" i="11" s="1"/>
  <c r="AQ250" i="11"/>
  <c r="AQ261" i="11" s="1"/>
  <c r="AQ283" i="11" s="1"/>
  <c r="AS136" i="11"/>
  <c r="AR163" i="11"/>
  <c r="AR124" i="11"/>
  <c r="AR132" i="11" s="1"/>
  <c r="AR112" i="11"/>
  <c r="AQ120" i="11"/>
  <c r="AR264" i="11"/>
  <c r="AR271" i="11" s="1"/>
  <c r="AR252" i="11"/>
  <c r="AP256" i="11"/>
  <c r="AP328" i="11" s="1"/>
  <c r="AP254" i="11"/>
  <c r="AP258" i="11"/>
  <c r="AP257" i="11"/>
  <c r="AP329" i="11" s="1"/>
  <c r="AO185" i="11"/>
  <c r="AO642" i="11" s="1"/>
  <c r="AO196" i="11"/>
  <c r="AO654" i="11" s="1"/>
  <c r="S14" i="17" s="1"/>
  <c r="S25" i="17" s="1"/>
  <c r="AP184" i="11"/>
  <c r="AP195" i="11"/>
  <c r="AP178" i="11"/>
  <c r="AP189" i="11"/>
  <c r="AR167" i="11"/>
  <c r="AQ173" i="11"/>
  <c r="AH22" i="18"/>
  <c r="AH23" i="18"/>
  <c r="AH24" i="18"/>
  <c r="AH25" i="18"/>
  <c r="AH21" i="18"/>
  <c r="AH20" i="18"/>
  <c r="AQ52" i="11"/>
  <c r="AQ87" i="11" s="1"/>
  <c r="AS25" i="11"/>
  <c r="AR362" i="11"/>
  <c r="AR393" i="11"/>
  <c r="AR395" i="11" s="1"/>
  <c r="AR346" i="11"/>
  <c r="AG26" i="18"/>
  <c r="AI6" i="18"/>
  <c r="AR204" i="11"/>
  <c r="AR338" i="11"/>
  <c r="AR339" i="11"/>
  <c r="AR353" i="11" s="1"/>
  <c r="AS337" i="11"/>
  <c r="AS226" i="11"/>
  <c r="AS203" i="11"/>
  <c r="AV236" i="11"/>
  <c r="AW235" i="11"/>
  <c r="AW239" i="11"/>
  <c r="AV241" i="11"/>
  <c r="AV238" i="11"/>
  <c r="AV242" i="11"/>
  <c r="AV237" i="11"/>
  <c r="AV240" i="11"/>
  <c r="AT200" i="11"/>
  <c r="AP610" i="11" l="1"/>
  <c r="AP608" i="11"/>
  <c r="AJ637" i="11"/>
  <c r="AJ649" i="11" s="1"/>
  <c r="AJ636" i="11"/>
  <c r="AJ648" i="11" s="1"/>
  <c r="AL411" i="11"/>
  <c r="AL415" i="11" s="1"/>
  <c r="AR182" i="11"/>
  <c r="AR193" i="11"/>
  <c r="AN623" i="11"/>
  <c r="AQ181" i="11"/>
  <c r="AQ192" i="11"/>
  <c r="AR183" i="11"/>
  <c r="AR194" i="11"/>
  <c r="J13" i="17"/>
  <c r="J20" i="17"/>
  <c r="J24" i="17" s="1"/>
  <c r="AO618" i="11"/>
  <c r="AO622" i="11"/>
  <c r="AO621" i="11"/>
  <c r="AO620" i="11"/>
  <c r="AO619" i="11"/>
  <c r="AP617" i="11"/>
  <c r="AP616" i="11"/>
  <c r="K20" i="17"/>
  <c r="K24" i="17" s="1"/>
  <c r="K13" i="17"/>
  <c r="AH647" i="11"/>
  <c r="AH655" i="11" s="1"/>
  <c r="L9" i="17" s="1"/>
  <c r="AP600" i="11"/>
  <c r="AP602" i="11" s="1"/>
  <c r="AM357" i="11"/>
  <c r="AM372" i="11" s="1"/>
  <c r="AM354" i="11"/>
  <c r="AM363" i="11" s="1"/>
  <c r="AL359" i="11"/>
  <c r="AM404" i="11"/>
  <c r="AM358" i="11"/>
  <c r="AN414" i="11"/>
  <c r="AM356" i="11"/>
  <c r="AM369" i="11" s="1"/>
  <c r="AN402" i="11"/>
  <c r="AN401" i="11"/>
  <c r="AO399" i="11"/>
  <c r="AO402" i="11" s="1"/>
  <c r="AQ398" i="11"/>
  <c r="AQ322" i="11"/>
  <c r="AQ333" i="11" s="1"/>
  <c r="AP397" i="11"/>
  <c r="AP318" i="11"/>
  <c r="AP332" i="11" s="1"/>
  <c r="AP314" i="11"/>
  <c r="AP331" i="11" s="1"/>
  <c r="AO343" i="11"/>
  <c r="AO350" i="11" s="1"/>
  <c r="AO310" i="11"/>
  <c r="AO330" i="11" s="1"/>
  <c r="AN326" i="11"/>
  <c r="AN334" i="11" s="1"/>
  <c r="AN352" i="11"/>
  <c r="AN355" i="11" s="1"/>
  <c r="AN366" i="11" s="1"/>
  <c r="AR317" i="11"/>
  <c r="AR305" i="11"/>
  <c r="AR301" i="11"/>
  <c r="AO340" i="11"/>
  <c r="AO347" i="11" s="1"/>
  <c r="AO302" i="11"/>
  <c r="AN345" i="11"/>
  <c r="AR177" i="11"/>
  <c r="AP267" i="11"/>
  <c r="AP342" i="11" s="1"/>
  <c r="AP349" i="11" s="1"/>
  <c r="AP266" i="11"/>
  <c r="AP341" i="11" s="1"/>
  <c r="AP348" i="11" s="1"/>
  <c r="AS48" i="11"/>
  <c r="AS177" i="11" s="1"/>
  <c r="AP265" i="11"/>
  <c r="AP344" i="11"/>
  <c r="AP351" i="11" s="1"/>
  <c r="U22" i="17"/>
  <c r="U21" i="17"/>
  <c r="U23" i="17"/>
  <c r="AN474" i="11"/>
  <c r="AN479" i="11" s="1"/>
  <c r="AN463" i="11"/>
  <c r="AO563" i="11"/>
  <c r="AO579" i="11" s="1"/>
  <c r="AO460" i="11"/>
  <c r="AO476" i="11" s="1"/>
  <c r="AO462" i="11"/>
  <c r="AO478" i="11" s="1"/>
  <c r="AO459" i="11"/>
  <c r="AO475" i="11" s="1"/>
  <c r="AO566" i="11"/>
  <c r="AO582" i="11" s="1"/>
  <c r="AO565" i="11"/>
  <c r="AO581" i="11" s="1"/>
  <c r="AO458" i="11"/>
  <c r="AO564" i="11"/>
  <c r="AO580" i="11" s="1"/>
  <c r="AO562" i="11"/>
  <c r="AO461" i="11"/>
  <c r="AO477" i="11" s="1"/>
  <c r="AR593" i="11"/>
  <c r="AQ594" i="11"/>
  <c r="AP558" i="11"/>
  <c r="AP452" i="11"/>
  <c r="AP453" i="11"/>
  <c r="AP557" i="11"/>
  <c r="AP556" i="11"/>
  <c r="AP454" i="11"/>
  <c r="AN578" i="11"/>
  <c r="AN583" i="11" s="1"/>
  <c r="AN567" i="11"/>
  <c r="AR575" i="11"/>
  <c r="AI586" i="11"/>
  <c r="AI635" i="11" s="1"/>
  <c r="AH643" i="11"/>
  <c r="AI482" i="11"/>
  <c r="AI634" i="11" s="1"/>
  <c r="AI646" i="11" s="1"/>
  <c r="AR471" i="11"/>
  <c r="AJ375" i="11"/>
  <c r="AJ381" i="11" s="1"/>
  <c r="AJ388" i="11" s="1"/>
  <c r="AI382" i="11"/>
  <c r="AL371" i="11"/>
  <c r="AL379" i="11" s="1"/>
  <c r="AI389" i="11"/>
  <c r="AJ380" i="11"/>
  <c r="AJ387" i="11" s="1"/>
  <c r="AJ599" i="11" s="1"/>
  <c r="AJ603" i="11" s="1"/>
  <c r="AJ638" i="11" s="1"/>
  <c r="AJ650" i="11" s="1"/>
  <c r="AK374" i="11"/>
  <c r="AK378" i="11"/>
  <c r="AL368" i="11"/>
  <c r="AJ377" i="11"/>
  <c r="AJ384" i="11" s="1"/>
  <c r="AK365" i="11"/>
  <c r="AR376" i="11"/>
  <c r="AR383" i="11" s="1"/>
  <c r="AR367" i="11"/>
  <c r="AR370" i="11"/>
  <c r="AR364" i="11"/>
  <c r="AR373" i="11"/>
  <c r="AS297" i="11"/>
  <c r="AS298" i="11"/>
  <c r="AS294" i="11"/>
  <c r="AS295" i="11"/>
  <c r="AS296" i="11"/>
  <c r="AJ420" i="11"/>
  <c r="AJ423" i="11"/>
  <c r="AQ269" i="11"/>
  <c r="AQ306" i="11" s="1"/>
  <c r="AQ327" i="11" s="1"/>
  <c r="AO270" i="11"/>
  <c r="AO273" i="11" s="1"/>
  <c r="AM277" i="11"/>
  <c r="AO288" i="11"/>
  <c r="AO286" i="11"/>
  <c r="AO287" i="11"/>
  <c r="AP396" i="11"/>
  <c r="AP284" i="11"/>
  <c r="AL419" i="11"/>
  <c r="AL424" i="11" s="1"/>
  <c r="AL628" i="11" s="1"/>
  <c r="AL630" i="11" s="1"/>
  <c r="AL641" i="11" s="1"/>
  <c r="AL653" i="11" s="1"/>
  <c r="AQ282" i="11"/>
  <c r="AN289" i="11"/>
  <c r="AQ281" i="11"/>
  <c r="AK418" i="11"/>
  <c r="AK415" i="11"/>
  <c r="AM417" i="11"/>
  <c r="AM422" i="11" s="1"/>
  <c r="AM607" i="11" s="1"/>
  <c r="AM611" i="11" s="1"/>
  <c r="AM639" i="11" s="1"/>
  <c r="AM651" i="11" s="1"/>
  <c r="AP268" i="11"/>
  <c r="AK386" i="11"/>
  <c r="AN272" i="11"/>
  <c r="AN276" i="11"/>
  <c r="AN275" i="11"/>
  <c r="AN274" i="11"/>
  <c r="AN273" i="11"/>
  <c r="V19" i="17"/>
  <c r="AR243" i="11"/>
  <c r="AR244" i="11"/>
  <c r="AR255" i="11" s="1"/>
  <c r="AR245" i="11"/>
  <c r="AR246" i="11"/>
  <c r="AR247" i="11"/>
  <c r="AR248" i="11"/>
  <c r="AR259" i="11" s="1"/>
  <c r="AR249" i="11"/>
  <c r="AR260" i="11" s="1"/>
  <c r="AR250" i="11"/>
  <c r="AR261" i="11" s="1"/>
  <c r="AR283" i="11" s="1"/>
  <c r="AR322" i="11" s="1"/>
  <c r="AR333" i="11" s="1"/>
  <c r="AT136" i="11"/>
  <c r="AS163" i="11"/>
  <c r="AS124" i="11"/>
  <c r="AS132" i="11" s="1"/>
  <c r="AR120" i="11"/>
  <c r="AS112" i="11"/>
  <c r="AS264" i="11"/>
  <c r="AS271" i="11" s="1"/>
  <c r="AS252" i="11"/>
  <c r="AQ256" i="11"/>
  <c r="AQ328" i="11" s="1"/>
  <c r="AQ258" i="11"/>
  <c r="AQ254" i="11"/>
  <c r="AQ257" i="11"/>
  <c r="AQ329" i="11" s="1"/>
  <c r="AQ178" i="11"/>
  <c r="AQ189" i="11"/>
  <c r="AQ195" i="11"/>
  <c r="AQ184" i="11"/>
  <c r="AP196" i="11"/>
  <c r="AP654" i="11" s="1"/>
  <c r="T14" i="17" s="1"/>
  <c r="T25" i="17" s="1"/>
  <c r="AP185" i="11"/>
  <c r="AP642" i="11" s="1"/>
  <c r="AS167" i="11"/>
  <c r="AR173" i="11"/>
  <c r="AI20" i="18"/>
  <c r="AI22" i="18"/>
  <c r="AI23" i="18"/>
  <c r="AI24" i="18"/>
  <c r="AI25" i="18"/>
  <c r="AI21" i="18"/>
  <c r="AR52" i="11"/>
  <c r="AR87" i="11" s="1"/>
  <c r="AT203" i="11"/>
  <c r="AT25" i="11"/>
  <c r="AS362" i="11"/>
  <c r="AS393" i="11"/>
  <c r="AS395" i="11" s="1"/>
  <c r="AS346" i="11"/>
  <c r="AR394" i="11"/>
  <c r="AH26" i="18"/>
  <c r="AJ6" i="18"/>
  <c r="AS338" i="11"/>
  <c r="AS339" i="11"/>
  <c r="AS353" i="11" s="1"/>
  <c r="AS204" i="11"/>
  <c r="AT226" i="11"/>
  <c r="AT337" i="11"/>
  <c r="AW241" i="11"/>
  <c r="AW240" i="11"/>
  <c r="AW242" i="11"/>
  <c r="AX235" i="11"/>
  <c r="AW237" i="11"/>
  <c r="AW238" i="11"/>
  <c r="AX239" i="11"/>
  <c r="AW236" i="11"/>
  <c r="AU200" i="11"/>
  <c r="AL418" i="11" l="1"/>
  <c r="AL423" i="11" s="1"/>
  <c r="AL615" i="11" s="1"/>
  <c r="AL624" i="11" s="1"/>
  <c r="AL640" i="11" s="1"/>
  <c r="AL652" i="11" s="1"/>
  <c r="AQ608" i="11"/>
  <c r="AQ610" i="11"/>
  <c r="AK637" i="11"/>
  <c r="AK649" i="11" s="1"/>
  <c r="AS183" i="11"/>
  <c r="AS194" i="11"/>
  <c r="AR181" i="11"/>
  <c r="AR192" i="11"/>
  <c r="AS182" i="11"/>
  <c r="AS193" i="11"/>
  <c r="AP619" i="11"/>
  <c r="AP618" i="11"/>
  <c r="AP620" i="11"/>
  <c r="AP622" i="11"/>
  <c r="AP621" i="11"/>
  <c r="AO623" i="11"/>
  <c r="AQ617" i="11"/>
  <c r="AQ616" i="11"/>
  <c r="AN354" i="11"/>
  <c r="AN363" i="11" s="1"/>
  <c r="L20" i="17"/>
  <c r="L24" i="17" s="1"/>
  <c r="L13" i="17"/>
  <c r="AJ425" i="11"/>
  <c r="AJ615" i="11"/>
  <c r="AI647" i="11"/>
  <c r="AI655" i="11" s="1"/>
  <c r="M9" i="17" s="1"/>
  <c r="AQ600" i="11"/>
  <c r="AQ602" i="11" s="1"/>
  <c r="AM359" i="11"/>
  <c r="AN357" i="11"/>
  <c r="AN372" i="11" s="1"/>
  <c r="AO401" i="11"/>
  <c r="AO408" i="11" s="1"/>
  <c r="AN404" i="11"/>
  <c r="AO403" i="11"/>
  <c r="AO412" i="11" s="1"/>
  <c r="AO414" i="11" s="1"/>
  <c r="AN408" i="11"/>
  <c r="AN410" i="11" s="1"/>
  <c r="AN417" i="11" s="1"/>
  <c r="AN422" i="11" s="1"/>
  <c r="AN607" i="11" s="1"/>
  <c r="AN611" i="11" s="1"/>
  <c r="AN639" i="11" s="1"/>
  <c r="AN651" i="11" s="1"/>
  <c r="AN358" i="11"/>
  <c r="AO352" i="11"/>
  <c r="AO356" i="11" s="1"/>
  <c r="AO369" i="11" s="1"/>
  <c r="AO345" i="11"/>
  <c r="AQ314" i="11"/>
  <c r="AQ331" i="11" s="1"/>
  <c r="AP399" i="11"/>
  <c r="AP401" i="11" s="1"/>
  <c r="AP408" i="11" s="1"/>
  <c r="AQ397" i="11"/>
  <c r="AQ318" i="11"/>
  <c r="AQ332" i="11" s="1"/>
  <c r="AN356" i="11"/>
  <c r="AN369" i="11" s="1"/>
  <c r="AO326" i="11"/>
  <c r="AO334" i="11" s="1"/>
  <c r="AS317" i="11"/>
  <c r="AP343" i="11"/>
  <c r="AP350" i="11" s="1"/>
  <c r="AP310" i="11"/>
  <c r="AP330" i="11" s="1"/>
  <c r="AS305" i="11"/>
  <c r="AS301" i="11"/>
  <c r="AP340" i="11"/>
  <c r="AP347" i="11" s="1"/>
  <c r="AP302" i="11"/>
  <c r="AS188" i="11"/>
  <c r="AQ266" i="11"/>
  <c r="AQ341" i="11" s="1"/>
  <c r="AQ348" i="11" s="1"/>
  <c r="AQ344" i="11"/>
  <c r="AQ351" i="11" s="1"/>
  <c r="AQ267" i="11"/>
  <c r="AQ342" i="11" s="1"/>
  <c r="AQ349" i="11" s="1"/>
  <c r="AT48" i="11"/>
  <c r="AT188" i="11" s="1"/>
  <c r="AQ265" i="11"/>
  <c r="V22" i="17"/>
  <c r="V23" i="17"/>
  <c r="V21" i="17"/>
  <c r="AK375" i="11"/>
  <c r="AK381" i="11" s="1"/>
  <c r="AK388" i="11" s="1"/>
  <c r="AO578" i="11"/>
  <c r="AO583" i="11" s="1"/>
  <c r="AO567" i="11"/>
  <c r="AQ453" i="11"/>
  <c r="AQ558" i="11"/>
  <c r="AQ452" i="11"/>
  <c r="AQ556" i="11"/>
  <c r="AQ454" i="11"/>
  <c r="AQ557" i="11"/>
  <c r="AP563" i="11"/>
  <c r="AP579" i="11" s="1"/>
  <c r="AP461" i="11"/>
  <c r="AP477" i="11" s="1"/>
  <c r="AP566" i="11"/>
  <c r="AP582" i="11" s="1"/>
  <c r="AP565" i="11"/>
  <c r="AP581" i="11" s="1"/>
  <c r="AP564" i="11"/>
  <c r="AP580" i="11" s="1"/>
  <c r="AP460" i="11"/>
  <c r="AP476" i="11" s="1"/>
  <c r="AP562" i="11"/>
  <c r="AP459" i="11"/>
  <c r="AP475" i="11" s="1"/>
  <c r="AP458" i="11"/>
  <c r="AP462" i="11"/>
  <c r="AP478" i="11" s="1"/>
  <c r="AS593" i="11"/>
  <c r="AR594" i="11"/>
  <c r="AO474" i="11"/>
  <c r="AO479" i="11" s="1"/>
  <c r="AO463" i="11"/>
  <c r="AS575" i="11"/>
  <c r="AJ586" i="11"/>
  <c r="AJ635" i="11" s="1"/>
  <c r="AI643" i="11"/>
  <c r="AS471" i="11"/>
  <c r="AJ482" i="11"/>
  <c r="AJ634" i="11" s="1"/>
  <c r="AJ646" i="11" s="1"/>
  <c r="AO272" i="11"/>
  <c r="AJ382" i="11"/>
  <c r="AM371" i="11"/>
  <c r="AM379" i="11" s="1"/>
  <c r="AK377" i="11"/>
  <c r="AK384" i="11" s="1"/>
  <c r="AL365" i="11"/>
  <c r="AK380" i="11"/>
  <c r="AK387" i="11" s="1"/>
  <c r="AK599" i="11" s="1"/>
  <c r="AK603" i="11" s="1"/>
  <c r="AK638" i="11" s="1"/>
  <c r="AK650" i="11" s="1"/>
  <c r="AL374" i="11"/>
  <c r="AJ389" i="11"/>
  <c r="AL378" i="11"/>
  <c r="AM368" i="11"/>
  <c r="AS376" i="11"/>
  <c r="AS383" i="11" s="1"/>
  <c r="AS364" i="11"/>
  <c r="AS373" i="11"/>
  <c r="AS367" i="11"/>
  <c r="AS370" i="11"/>
  <c r="AT296" i="11"/>
  <c r="AT297" i="11"/>
  <c r="AT298" i="11"/>
  <c r="AT294" i="11"/>
  <c r="AT295" i="11"/>
  <c r="AO275" i="11"/>
  <c r="AO276" i="11"/>
  <c r="AO274" i="11"/>
  <c r="AK420" i="11"/>
  <c r="AK423" i="11"/>
  <c r="AR398" i="11"/>
  <c r="AL420" i="11"/>
  <c r="AQ396" i="11"/>
  <c r="AQ284" i="11"/>
  <c r="AO289" i="11"/>
  <c r="AR281" i="11"/>
  <c r="AP287" i="11"/>
  <c r="AP288" i="11"/>
  <c r="AP286" i="11"/>
  <c r="AR282" i="11"/>
  <c r="AM419" i="11"/>
  <c r="AM424" i="11" s="1"/>
  <c r="AM628" i="11" s="1"/>
  <c r="AM630" i="11" s="1"/>
  <c r="AM641" i="11" s="1"/>
  <c r="AM653" i="11" s="1"/>
  <c r="AM411" i="11"/>
  <c r="AN277" i="11"/>
  <c r="AR269" i="11"/>
  <c r="AR306" i="11" s="1"/>
  <c r="AR327" i="11" s="1"/>
  <c r="AP270" i="11"/>
  <c r="AP274" i="11" s="1"/>
  <c r="AQ268" i="11"/>
  <c r="AL386" i="11"/>
  <c r="AK385" i="11"/>
  <c r="W19" i="17"/>
  <c r="AS243" i="11"/>
  <c r="AS244" i="11"/>
  <c r="AS255" i="11" s="1"/>
  <c r="AS245" i="11"/>
  <c r="AS246" i="11"/>
  <c r="AS247" i="11"/>
  <c r="AS248" i="11"/>
  <c r="AS259" i="11" s="1"/>
  <c r="AS249" i="11"/>
  <c r="AS260" i="11" s="1"/>
  <c r="AS250" i="11"/>
  <c r="AS261" i="11" s="1"/>
  <c r="AS283" i="11" s="1"/>
  <c r="AS322" i="11" s="1"/>
  <c r="AS333" i="11" s="1"/>
  <c r="AU136" i="11"/>
  <c r="AT163" i="11"/>
  <c r="AT124" i="11"/>
  <c r="AT132" i="11" s="1"/>
  <c r="AT112" i="11"/>
  <c r="AS120" i="11"/>
  <c r="AT264" i="11"/>
  <c r="AT271" i="11" s="1"/>
  <c r="AT252" i="11"/>
  <c r="AR256" i="11"/>
  <c r="AR328" i="11" s="1"/>
  <c r="AR254" i="11"/>
  <c r="AR258" i="11"/>
  <c r="AR257" i="11"/>
  <c r="AR329" i="11" s="1"/>
  <c r="AQ196" i="11"/>
  <c r="AQ654" i="11" s="1"/>
  <c r="U14" i="17" s="1"/>
  <c r="U25" i="17" s="1"/>
  <c r="AR195" i="11"/>
  <c r="AR184" i="11"/>
  <c r="AR189" i="11"/>
  <c r="AR178" i="11"/>
  <c r="AQ185" i="11"/>
  <c r="AQ642" i="11" s="1"/>
  <c r="AT167" i="11"/>
  <c r="AS173" i="11"/>
  <c r="AJ24" i="18"/>
  <c r="AJ21" i="18"/>
  <c r="AJ20" i="18"/>
  <c r="AJ22" i="18"/>
  <c r="AJ23" i="18"/>
  <c r="AJ25" i="18"/>
  <c r="AT204" i="11"/>
  <c r="AS394" i="11"/>
  <c r="AS52" i="11"/>
  <c r="AS87" i="11" s="1"/>
  <c r="AU203" i="11"/>
  <c r="AU25" i="11"/>
  <c r="AT362" i="11"/>
  <c r="AT393" i="11"/>
  <c r="AT395" i="11" s="1"/>
  <c r="AT346" i="11"/>
  <c r="AI26" i="18"/>
  <c r="AK6" i="18"/>
  <c r="AT338" i="11"/>
  <c r="AT339" i="11"/>
  <c r="AT353" i="11" s="1"/>
  <c r="AU226" i="11"/>
  <c r="AU337" i="11"/>
  <c r="AX236" i="11"/>
  <c r="AY235" i="11"/>
  <c r="AX238" i="11"/>
  <c r="AX240" i="11"/>
  <c r="AY239" i="11"/>
  <c r="AX237" i="11"/>
  <c r="AX242" i="11"/>
  <c r="AX241" i="11"/>
  <c r="AV200" i="11"/>
  <c r="AL425" i="11" l="1"/>
  <c r="AR608" i="11"/>
  <c r="AR610" i="11"/>
  <c r="AK636" i="11"/>
  <c r="AK648" i="11" s="1"/>
  <c r="AL637" i="11"/>
  <c r="AL649" i="11" s="1"/>
  <c r="AP352" i="11"/>
  <c r="AP357" i="11" s="1"/>
  <c r="AP372" i="11" s="1"/>
  <c r="AT182" i="11"/>
  <c r="AT193" i="11"/>
  <c r="AT183" i="11"/>
  <c r="AT194" i="11"/>
  <c r="AS181" i="11"/>
  <c r="AS192" i="11"/>
  <c r="AJ624" i="11"/>
  <c r="AJ640" i="11" s="1"/>
  <c r="AQ620" i="11"/>
  <c r="AQ619" i="11"/>
  <c r="AQ618" i="11"/>
  <c r="AQ622" i="11"/>
  <c r="AQ621" i="11"/>
  <c r="AP623" i="11"/>
  <c r="AR616" i="11"/>
  <c r="AR617" i="11"/>
  <c r="M20" i="17"/>
  <c r="M24" i="17" s="1"/>
  <c r="M13" i="17"/>
  <c r="AK425" i="11"/>
  <c r="AK615" i="11"/>
  <c r="AJ647" i="11"/>
  <c r="AR600" i="11"/>
  <c r="AR602" i="11" s="1"/>
  <c r="AO357" i="11"/>
  <c r="AO372" i="11" s="1"/>
  <c r="AO355" i="11"/>
  <c r="AO366" i="11" s="1"/>
  <c r="AO358" i="11"/>
  <c r="AQ399" i="11"/>
  <c r="AQ401" i="11" s="1"/>
  <c r="AQ408" i="11" s="1"/>
  <c r="AO354" i="11"/>
  <c r="AO363" i="11" s="1"/>
  <c r="AO404" i="11"/>
  <c r="AO410" i="11"/>
  <c r="AO411" i="11" s="1"/>
  <c r="AN359" i="11"/>
  <c r="AN411" i="11"/>
  <c r="AN418" i="11" s="1"/>
  <c r="AN423" i="11" s="1"/>
  <c r="AN615" i="11" s="1"/>
  <c r="AP403" i="11"/>
  <c r="AP402" i="11"/>
  <c r="AT177" i="11"/>
  <c r="AR314" i="11"/>
  <c r="AR331" i="11" s="1"/>
  <c r="AR397" i="11"/>
  <c r="AR318" i="11"/>
  <c r="AR332" i="11" s="1"/>
  <c r="AP326" i="11"/>
  <c r="AP334" i="11" s="1"/>
  <c r="AQ343" i="11"/>
  <c r="AQ350" i="11" s="1"/>
  <c r="AQ310" i="11"/>
  <c r="AQ330" i="11" s="1"/>
  <c r="AT317" i="11"/>
  <c r="AT305" i="11"/>
  <c r="AT301" i="11"/>
  <c r="AP345" i="11"/>
  <c r="AQ340" i="11"/>
  <c r="AQ347" i="11" s="1"/>
  <c r="AQ302" i="11"/>
  <c r="AR267" i="11"/>
  <c r="AR342" i="11" s="1"/>
  <c r="AR349" i="11" s="1"/>
  <c r="AR265" i="11"/>
  <c r="AR344" i="11"/>
  <c r="AR351" i="11" s="1"/>
  <c r="AU48" i="11"/>
  <c r="AU188" i="11" s="1"/>
  <c r="AR266" i="11"/>
  <c r="AR341" i="11" s="1"/>
  <c r="AR348" i="11" s="1"/>
  <c r="W22" i="17"/>
  <c r="W23" i="17"/>
  <c r="W21" i="17"/>
  <c r="AR454" i="11"/>
  <c r="AR453" i="11"/>
  <c r="AR452" i="11"/>
  <c r="AR556" i="11"/>
  <c r="AR558" i="11"/>
  <c r="AR557" i="11"/>
  <c r="AT593" i="11"/>
  <c r="AS594" i="11"/>
  <c r="AP578" i="11"/>
  <c r="AP583" i="11" s="1"/>
  <c r="AP567" i="11"/>
  <c r="AQ565" i="11"/>
  <c r="AQ581" i="11" s="1"/>
  <c r="AQ459" i="11"/>
  <c r="AQ475" i="11" s="1"/>
  <c r="AQ564" i="11"/>
  <c r="AQ580" i="11" s="1"/>
  <c r="AQ562" i="11"/>
  <c r="AQ566" i="11"/>
  <c r="AQ582" i="11" s="1"/>
  <c r="AQ563" i="11"/>
  <c r="AQ579" i="11" s="1"/>
  <c r="AQ460" i="11"/>
  <c r="AQ476" i="11" s="1"/>
  <c r="AQ458" i="11"/>
  <c r="AQ462" i="11"/>
  <c r="AQ478" i="11" s="1"/>
  <c r="AQ461" i="11"/>
  <c r="AQ477" i="11" s="1"/>
  <c r="AP474" i="11"/>
  <c r="AP479" i="11" s="1"/>
  <c r="AP463" i="11"/>
  <c r="AT575" i="11"/>
  <c r="AK586" i="11"/>
  <c r="AK635" i="11" s="1"/>
  <c r="AK482" i="11"/>
  <c r="AK634" i="11" s="1"/>
  <c r="AK646" i="11" s="1"/>
  <c r="AT471" i="11"/>
  <c r="AP272" i="11"/>
  <c r="AL375" i="11"/>
  <c r="AL381" i="11" s="1"/>
  <c r="AL388" i="11" s="1"/>
  <c r="AN371" i="11"/>
  <c r="AN379" i="11" s="1"/>
  <c r="AN386" i="11" s="1"/>
  <c r="AM374" i="11"/>
  <c r="AL380" i="11"/>
  <c r="AL387" i="11" s="1"/>
  <c r="AL599" i="11" s="1"/>
  <c r="AL603" i="11" s="1"/>
  <c r="AL638" i="11" s="1"/>
  <c r="AL650" i="11" s="1"/>
  <c r="AK382" i="11"/>
  <c r="AN368" i="11"/>
  <c r="AM378" i="11"/>
  <c r="AK389" i="11"/>
  <c r="AL377" i="11"/>
  <c r="AL384" i="11" s="1"/>
  <c r="AM365" i="11"/>
  <c r="AT376" i="11"/>
  <c r="AT383" i="11" s="1"/>
  <c r="AT373" i="11"/>
  <c r="AT364" i="11"/>
  <c r="AT367" i="11"/>
  <c r="AT370" i="11"/>
  <c r="AO277" i="11"/>
  <c r="AU295" i="11"/>
  <c r="AU296" i="11"/>
  <c r="AU297" i="11"/>
  <c r="AU298" i="11"/>
  <c r="AU294" i="11"/>
  <c r="AS398" i="11"/>
  <c r="AP276" i="11"/>
  <c r="AP275" i="11"/>
  <c r="AP289" i="11"/>
  <c r="AP273" i="11"/>
  <c r="AS281" i="11"/>
  <c r="AM418" i="11"/>
  <c r="AM415" i="11"/>
  <c r="AN419" i="11"/>
  <c r="AQ286" i="11"/>
  <c r="AQ287" i="11"/>
  <c r="AQ288" i="11"/>
  <c r="AS282" i="11"/>
  <c r="AR396" i="11"/>
  <c r="AR284" i="11"/>
  <c r="AQ270" i="11"/>
  <c r="AQ272" i="11" s="1"/>
  <c r="AS269" i="11"/>
  <c r="AS306" i="11" s="1"/>
  <c r="AS327" i="11" s="1"/>
  <c r="AL385" i="11"/>
  <c r="AR268" i="11"/>
  <c r="AM386" i="11"/>
  <c r="AT244" i="11"/>
  <c r="AT255" i="11" s="1"/>
  <c r="AT249" i="11"/>
  <c r="AT260" i="11" s="1"/>
  <c r="AT246" i="11"/>
  <c r="AT247" i="11"/>
  <c r="AT248" i="11"/>
  <c r="AT259" i="11" s="1"/>
  <c r="AT243" i="11"/>
  <c r="AT245" i="11"/>
  <c r="AT250" i="11"/>
  <c r="AT261" i="11" s="1"/>
  <c r="AT283" i="11" s="1"/>
  <c r="AT322" i="11" s="1"/>
  <c r="AT333" i="11" s="1"/>
  <c r="AV136" i="11"/>
  <c r="AU163" i="11"/>
  <c r="AU124" i="11"/>
  <c r="AU132" i="11" s="1"/>
  <c r="AU112" i="11"/>
  <c r="AT120" i="11"/>
  <c r="AU264" i="11"/>
  <c r="AU271" i="11" s="1"/>
  <c r="AU252" i="11"/>
  <c r="AS254" i="11"/>
  <c r="AS257" i="11"/>
  <c r="AS329" i="11" s="1"/>
  <c r="AS256" i="11"/>
  <c r="AS328" i="11" s="1"/>
  <c r="AS258" i="11"/>
  <c r="AR196" i="11"/>
  <c r="AR654" i="11" s="1"/>
  <c r="V14" i="17" s="1"/>
  <c r="V25" i="17" s="1"/>
  <c r="AS178" i="11"/>
  <c r="AS189" i="11"/>
  <c r="AS184" i="11"/>
  <c r="AS195" i="11"/>
  <c r="AR185" i="11"/>
  <c r="AR642" i="11" s="1"/>
  <c r="AU167" i="11"/>
  <c r="AT173" i="11"/>
  <c r="X19" i="17"/>
  <c r="AK23" i="18"/>
  <c r="AK21" i="18"/>
  <c r="AK20" i="18"/>
  <c r="AK22" i="18"/>
  <c r="AK24" i="18"/>
  <c r="AK25" i="18"/>
  <c r="AU204" i="11"/>
  <c r="AL6" i="18"/>
  <c r="AT52" i="11"/>
  <c r="AT87" i="11" s="1"/>
  <c r="AV25" i="11"/>
  <c r="AT394" i="11"/>
  <c r="AU362" i="11"/>
  <c r="AU393" i="11"/>
  <c r="AU395" i="11" s="1"/>
  <c r="AU346" i="11"/>
  <c r="AJ26" i="18"/>
  <c r="F175" i="11"/>
  <c r="AU338" i="11"/>
  <c r="AU339" i="11"/>
  <c r="AU353" i="11" s="1"/>
  <c r="AV226" i="11"/>
  <c r="AV337" i="11"/>
  <c r="AV203" i="11"/>
  <c r="AY241" i="11"/>
  <c r="AY237" i="11"/>
  <c r="AY240" i="11"/>
  <c r="AZ235" i="11"/>
  <c r="AY242" i="11"/>
  <c r="AZ239" i="11"/>
  <c r="AY238" i="11"/>
  <c r="AY236" i="11"/>
  <c r="AW200" i="11"/>
  <c r="AP358" i="11" l="1"/>
  <c r="AP354" i="11"/>
  <c r="AP363" i="11" s="1"/>
  <c r="AS610" i="11"/>
  <c r="AS608" i="11"/>
  <c r="AP356" i="11"/>
  <c r="AP369" i="11" s="1"/>
  <c r="AP355" i="11"/>
  <c r="AP366" i="11" s="1"/>
  <c r="AM637" i="11"/>
  <c r="AM649" i="11" s="1"/>
  <c r="AN637" i="11"/>
  <c r="AN649" i="11" s="1"/>
  <c r="AL636" i="11"/>
  <c r="AL648" i="11" s="1"/>
  <c r="AT181" i="11"/>
  <c r="AT192" i="11"/>
  <c r="AU182" i="11"/>
  <c r="AU193" i="11"/>
  <c r="AU183" i="11"/>
  <c r="AU194" i="11"/>
  <c r="AJ652" i="11"/>
  <c r="AJ655" i="11" s="1"/>
  <c r="N9" i="17" s="1"/>
  <c r="AJ643" i="11"/>
  <c r="AN624" i="11"/>
  <c r="AN640" i="11" s="1"/>
  <c r="AN652" i="11" s="1"/>
  <c r="AK624" i="11"/>
  <c r="AK640" i="11" s="1"/>
  <c r="AR619" i="11"/>
  <c r="AR621" i="11"/>
  <c r="AR618" i="11"/>
  <c r="AR620" i="11"/>
  <c r="AR622" i="11"/>
  <c r="AQ623" i="11"/>
  <c r="AS616" i="11"/>
  <c r="AS617" i="11"/>
  <c r="AS600" i="11"/>
  <c r="AS602" i="11" s="1"/>
  <c r="AK647" i="11"/>
  <c r="AO359" i="11"/>
  <c r="AO417" i="11"/>
  <c r="AO422" i="11" s="1"/>
  <c r="AO607" i="11" s="1"/>
  <c r="AO611" i="11" s="1"/>
  <c r="AO639" i="11" s="1"/>
  <c r="AO651" i="11" s="1"/>
  <c r="AP410" i="11"/>
  <c r="AQ410" i="11" s="1"/>
  <c r="AQ403" i="11"/>
  <c r="AQ412" i="11" s="1"/>
  <c r="AQ402" i="11"/>
  <c r="AP404" i="11"/>
  <c r="AN415" i="11"/>
  <c r="AP412" i="11"/>
  <c r="AP414" i="11" s="1"/>
  <c r="AQ414" i="11" s="1"/>
  <c r="AQ352" i="11"/>
  <c r="AQ357" i="11" s="1"/>
  <c r="AQ372" i="11" s="1"/>
  <c r="AS397" i="11"/>
  <c r="AS318" i="11"/>
  <c r="AS332" i="11" s="1"/>
  <c r="AR399" i="11"/>
  <c r="AR403" i="11" s="1"/>
  <c r="AR412" i="11" s="1"/>
  <c r="AS314" i="11"/>
  <c r="AS331" i="11" s="1"/>
  <c r="AQ345" i="11"/>
  <c r="AQ326" i="11"/>
  <c r="AQ334" i="11" s="1"/>
  <c r="AU305" i="11"/>
  <c r="AU317" i="11"/>
  <c r="AR343" i="11"/>
  <c r="AR350" i="11" s="1"/>
  <c r="AR310" i="11"/>
  <c r="AR330" i="11" s="1"/>
  <c r="AU301" i="11"/>
  <c r="AU177" i="11"/>
  <c r="AR340" i="11"/>
  <c r="AR347" i="11" s="1"/>
  <c r="AR302" i="11"/>
  <c r="AS267" i="11"/>
  <c r="AS342" i="11" s="1"/>
  <c r="AS349" i="11" s="1"/>
  <c r="AV48" i="11"/>
  <c r="AV188" i="11" s="1"/>
  <c r="AS265" i="11"/>
  <c r="AS344" i="11"/>
  <c r="AS351" i="11" s="1"/>
  <c r="AS266" i="11"/>
  <c r="AS341" i="11" s="1"/>
  <c r="AS348" i="11" s="1"/>
  <c r="X22" i="17"/>
  <c r="X23" i="17"/>
  <c r="X21" i="17"/>
  <c r="AS452" i="11"/>
  <c r="AS556" i="11"/>
  <c r="AS558" i="11"/>
  <c r="AS454" i="11"/>
  <c r="AS557" i="11"/>
  <c r="AS453" i="11"/>
  <c r="AU593" i="11"/>
  <c r="AT594" i="11"/>
  <c r="AQ474" i="11"/>
  <c r="AQ479" i="11" s="1"/>
  <c r="AQ463" i="11"/>
  <c r="AQ578" i="11"/>
  <c r="AQ583" i="11" s="1"/>
  <c r="AQ567" i="11"/>
  <c r="AR566" i="11"/>
  <c r="AR582" i="11" s="1"/>
  <c r="AR458" i="11"/>
  <c r="AR562" i="11"/>
  <c r="AR459" i="11"/>
  <c r="AR475" i="11" s="1"/>
  <c r="AR461" i="11"/>
  <c r="AR477" i="11" s="1"/>
  <c r="AR460" i="11"/>
  <c r="AR476" i="11" s="1"/>
  <c r="AR565" i="11"/>
  <c r="AR581" i="11" s="1"/>
  <c r="AR563" i="11"/>
  <c r="AR579" i="11" s="1"/>
  <c r="AR462" i="11"/>
  <c r="AR478" i="11" s="1"/>
  <c r="AR564" i="11"/>
  <c r="AR580" i="11" s="1"/>
  <c r="AU575" i="11"/>
  <c r="AL586" i="11"/>
  <c r="AL635" i="11" s="1"/>
  <c r="AL482" i="11"/>
  <c r="AL634" i="11" s="1"/>
  <c r="AL646" i="11" s="1"/>
  <c r="AU471" i="11"/>
  <c r="AM375" i="11"/>
  <c r="AM381" i="11" s="1"/>
  <c r="AM388" i="11" s="1"/>
  <c r="AL382" i="11"/>
  <c r="AO371" i="11"/>
  <c r="AO379" i="11" s="1"/>
  <c r="AL389" i="11"/>
  <c r="AM377" i="11"/>
  <c r="AM384" i="11" s="1"/>
  <c r="AN365" i="11"/>
  <c r="AN378" i="11"/>
  <c r="AO368" i="11"/>
  <c r="AM380" i="11"/>
  <c r="AM387" i="11" s="1"/>
  <c r="AM599" i="11" s="1"/>
  <c r="AM603" i="11" s="1"/>
  <c r="AM638" i="11" s="1"/>
  <c r="AM650" i="11" s="1"/>
  <c r="AN374" i="11"/>
  <c r="AU376" i="11"/>
  <c r="AU383" i="11" s="1"/>
  <c r="AU370" i="11"/>
  <c r="AU373" i="11"/>
  <c r="AU367" i="11"/>
  <c r="AU364" i="11"/>
  <c r="AV295" i="11"/>
  <c r="AV296" i="11"/>
  <c r="AV297" i="11"/>
  <c r="AV298" i="11"/>
  <c r="AV294" i="11"/>
  <c r="AM420" i="11"/>
  <c r="AM423" i="11"/>
  <c r="AN420" i="11"/>
  <c r="AN424" i="11"/>
  <c r="AQ275" i="11"/>
  <c r="AT398" i="11"/>
  <c r="AP277" i="11"/>
  <c r="AQ274" i="11"/>
  <c r="AQ273" i="11"/>
  <c r="AQ276" i="11"/>
  <c r="AO418" i="11"/>
  <c r="AO423" i="11" s="1"/>
  <c r="AO615" i="11" s="1"/>
  <c r="AO415" i="11"/>
  <c r="AT282" i="11"/>
  <c r="AT281" i="11"/>
  <c r="AQ289" i="11"/>
  <c r="AS284" i="11"/>
  <c r="AS396" i="11"/>
  <c r="AR287" i="11"/>
  <c r="AR286" i="11"/>
  <c r="AR288" i="11"/>
  <c r="AO419" i="11"/>
  <c r="AO424" i="11" s="1"/>
  <c r="AO628" i="11" s="1"/>
  <c r="AO630" i="11" s="1"/>
  <c r="AO641" i="11" s="1"/>
  <c r="AO653" i="11" s="1"/>
  <c r="AT269" i="11"/>
  <c r="AT306" i="11" s="1"/>
  <c r="AT327" i="11" s="1"/>
  <c r="AS268" i="11"/>
  <c r="AM385" i="11"/>
  <c r="AR270" i="11"/>
  <c r="AU243" i="11"/>
  <c r="AU244" i="11"/>
  <c r="AU255" i="11" s="1"/>
  <c r="AU245" i="11"/>
  <c r="AU246" i="11"/>
  <c r="AU247" i="11"/>
  <c r="AU248" i="11"/>
  <c r="AU259" i="11" s="1"/>
  <c r="AU249" i="11"/>
  <c r="AU260" i="11" s="1"/>
  <c r="AU250" i="11"/>
  <c r="AU261" i="11" s="1"/>
  <c r="AU283" i="11" s="1"/>
  <c r="AU322" i="11" s="1"/>
  <c r="AU333" i="11" s="1"/>
  <c r="AW136" i="11"/>
  <c r="AV163" i="11"/>
  <c r="AV124" i="11"/>
  <c r="AV132" i="11" s="1"/>
  <c r="AV112" i="11"/>
  <c r="AU120" i="11"/>
  <c r="AV264" i="11"/>
  <c r="AV271" i="11" s="1"/>
  <c r="AV252" i="11"/>
  <c r="AT257" i="11"/>
  <c r="AT329" i="11" s="1"/>
  <c r="AT258" i="11"/>
  <c r="AT254" i="11"/>
  <c r="AT256" i="11"/>
  <c r="AT328" i="11" s="1"/>
  <c r="AS196" i="11"/>
  <c r="AS654" i="11" s="1"/>
  <c r="W14" i="17" s="1"/>
  <c r="W25" i="17" s="1"/>
  <c r="AT184" i="11"/>
  <c r="AT195" i="11"/>
  <c r="AT178" i="11"/>
  <c r="AT189" i="11"/>
  <c r="AS185" i="11"/>
  <c r="AS642" i="11" s="1"/>
  <c r="AV167" i="11"/>
  <c r="AU173" i="11"/>
  <c r="Y19" i="17"/>
  <c r="AL22" i="18"/>
  <c r="AL23" i="18"/>
  <c r="AL24" i="18"/>
  <c r="AL25" i="18"/>
  <c r="AL21" i="18"/>
  <c r="AL20" i="18"/>
  <c r="AM6" i="18"/>
  <c r="AU394" i="11"/>
  <c r="AU52" i="11"/>
  <c r="AU87" i="11" s="1"/>
  <c r="AW25" i="11"/>
  <c r="AV362" i="11"/>
  <c r="AV393" i="11"/>
  <c r="AV395" i="11" s="1"/>
  <c r="AV346" i="11"/>
  <c r="AK26" i="18"/>
  <c r="AV338" i="11"/>
  <c r="AV339" i="11"/>
  <c r="AV353" i="11" s="1"/>
  <c r="AV204" i="11"/>
  <c r="AW337" i="11"/>
  <c r="AW226" i="11"/>
  <c r="AW203" i="11"/>
  <c r="BA239" i="11"/>
  <c r="AZ236" i="11"/>
  <c r="BA235" i="11"/>
  <c r="AZ237" i="11"/>
  <c r="AZ238" i="11"/>
  <c r="AZ242" i="11"/>
  <c r="AZ240" i="11"/>
  <c r="AZ241" i="11"/>
  <c r="AX200" i="11"/>
  <c r="AP359" i="11" l="1"/>
  <c r="AT610" i="11"/>
  <c r="AT608" i="11"/>
  <c r="AM636" i="11"/>
  <c r="AM648" i="11" s="1"/>
  <c r="AU181" i="11"/>
  <c r="AU192" i="11"/>
  <c r="AV182" i="11"/>
  <c r="AV193" i="11"/>
  <c r="AV183" i="11"/>
  <c r="AV194" i="11"/>
  <c r="AR623" i="11"/>
  <c r="AK652" i="11"/>
  <c r="AK655" i="11" s="1"/>
  <c r="O9" i="17" s="1"/>
  <c r="O20" i="17" s="1"/>
  <c r="O24" i="17" s="1"/>
  <c r="AK643" i="11"/>
  <c r="N20" i="17"/>
  <c r="N24" i="17" s="1"/>
  <c r="N13" i="17"/>
  <c r="AS618" i="11"/>
  <c r="AS622" i="11"/>
  <c r="AS620" i="11"/>
  <c r="AS621" i="11"/>
  <c r="AS619" i="11"/>
  <c r="AO624" i="11"/>
  <c r="AO640" i="11" s="1"/>
  <c r="AO652" i="11" s="1"/>
  <c r="AT616" i="11"/>
  <c r="AT617" i="11"/>
  <c r="AN425" i="11"/>
  <c r="AN628" i="11"/>
  <c r="AN630" i="11" s="1"/>
  <c r="AN641" i="11" s="1"/>
  <c r="AN653" i="11" s="1"/>
  <c r="AL647" i="11"/>
  <c r="AL655" i="11" s="1"/>
  <c r="P9" i="17" s="1"/>
  <c r="AM425" i="11"/>
  <c r="AM615" i="11"/>
  <c r="AT600" i="11"/>
  <c r="AT602" i="11" s="1"/>
  <c r="AP417" i="11"/>
  <c r="AP422" i="11" s="1"/>
  <c r="AP607" i="11" s="1"/>
  <c r="AP611" i="11" s="1"/>
  <c r="AP639" i="11" s="1"/>
  <c r="AP651" i="11" s="1"/>
  <c r="AQ404" i="11"/>
  <c r="AQ355" i="11"/>
  <c r="AQ366" i="11" s="1"/>
  <c r="AS399" i="11"/>
  <c r="AS402" i="11" s="1"/>
  <c r="AQ356" i="11"/>
  <c r="AQ369" i="11" s="1"/>
  <c r="AQ354" i="11"/>
  <c r="AQ363" i="11" s="1"/>
  <c r="AQ358" i="11"/>
  <c r="AR402" i="11"/>
  <c r="AR401" i="11"/>
  <c r="AT314" i="11"/>
  <c r="AT331" i="11" s="1"/>
  <c r="AT397" i="11"/>
  <c r="AT318" i="11"/>
  <c r="AT332" i="11" s="1"/>
  <c r="AR326" i="11"/>
  <c r="AR334" i="11" s="1"/>
  <c r="AR352" i="11"/>
  <c r="AR357" i="11" s="1"/>
  <c r="AR372" i="11" s="1"/>
  <c r="AS343" i="11"/>
  <c r="AS350" i="11" s="1"/>
  <c r="AS310" i="11"/>
  <c r="AS330" i="11" s="1"/>
  <c r="AV317" i="11"/>
  <c r="AV305" i="11"/>
  <c r="AV301" i="11"/>
  <c r="AR345" i="11"/>
  <c r="AS340" i="11"/>
  <c r="AS347" i="11" s="1"/>
  <c r="AS302" i="11"/>
  <c r="AV177" i="11"/>
  <c r="AW48" i="11"/>
  <c r="AW188" i="11" s="1"/>
  <c r="AT267" i="11"/>
  <c r="AT342" i="11" s="1"/>
  <c r="AT349" i="11" s="1"/>
  <c r="AT265" i="11"/>
  <c r="AT344" i="11"/>
  <c r="AT351" i="11" s="1"/>
  <c r="AT266" i="11"/>
  <c r="AT341" i="11" s="1"/>
  <c r="AT348" i="11" s="1"/>
  <c r="Y22" i="17"/>
  <c r="Y23" i="17"/>
  <c r="Y21" i="17"/>
  <c r="AT453" i="11"/>
  <c r="AT556" i="11"/>
  <c r="AT558" i="11"/>
  <c r="AT557" i="11"/>
  <c r="AT452" i="11"/>
  <c r="AT454" i="11"/>
  <c r="AR578" i="11"/>
  <c r="AR583" i="11" s="1"/>
  <c r="AR567" i="11"/>
  <c r="AR474" i="11"/>
  <c r="AR479" i="11" s="1"/>
  <c r="AR463" i="11"/>
  <c r="AS562" i="11"/>
  <c r="AS459" i="11"/>
  <c r="AS475" i="11" s="1"/>
  <c r="AS563" i="11"/>
  <c r="AS579" i="11" s="1"/>
  <c r="AS565" i="11"/>
  <c r="AS581" i="11" s="1"/>
  <c r="AS566" i="11"/>
  <c r="AS582" i="11" s="1"/>
  <c r="AS460" i="11"/>
  <c r="AS476" i="11" s="1"/>
  <c r="AS462" i="11"/>
  <c r="AS478" i="11" s="1"/>
  <c r="AS458" i="11"/>
  <c r="AS564" i="11"/>
  <c r="AS580" i="11" s="1"/>
  <c r="AS461" i="11"/>
  <c r="AS477" i="11" s="1"/>
  <c r="AV593" i="11"/>
  <c r="AU594" i="11"/>
  <c r="AV575" i="11"/>
  <c r="AM586" i="11"/>
  <c r="AM635" i="11" s="1"/>
  <c r="AL643" i="11"/>
  <c r="AV471" i="11"/>
  <c r="AM482" i="11"/>
  <c r="AM634" i="11" s="1"/>
  <c r="AM646" i="11" s="1"/>
  <c r="AN375" i="11"/>
  <c r="AN381" i="11" s="1"/>
  <c r="AN388" i="11" s="1"/>
  <c r="AM382" i="11"/>
  <c r="AR414" i="11"/>
  <c r="AP371" i="11"/>
  <c r="AO378" i="11"/>
  <c r="AP368" i="11"/>
  <c r="AN380" i="11"/>
  <c r="AN387" i="11" s="1"/>
  <c r="AN599" i="11" s="1"/>
  <c r="AN603" i="11" s="1"/>
  <c r="AN638" i="11" s="1"/>
  <c r="AN650" i="11" s="1"/>
  <c r="AO374" i="11"/>
  <c r="AN377" i="11"/>
  <c r="AN384" i="11" s="1"/>
  <c r="AO365" i="11"/>
  <c r="AM389" i="11"/>
  <c r="AO425" i="11"/>
  <c r="AV376" i="11"/>
  <c r="AV383" i="11" s="1"/>
  <c r="AV367" i="11"/>
  <c r="AV370" i="11"/>
  <c r="AV373" i="11"/>
  <c r="AV364" i="11"/>
  <c r="AW298" i="11"/>
  <c r="AW294" i="11"/>
  <c r="AW296" i="11"/>
  <c r="AW295" i="11"/>
  <c r="AW297" i="11"/>
  <c r="AO420" i="11"/>
  <c r="AU398" i="11"/>
  <c r="AQ277" i="11"/>
  <c r="AR289" i="11"/>
  <c r="AU281" i="11"/>
  <c r="AP419" i="11"/>
  <c r="AP424" i="11" s="1"/>
  <c r="AP628" i="11" s="1"/>
  <c r="AP630" i="11" s="1"/>
  <c r="AP641" i="11" s="1"/>
  <c r="AP653" i="11" s="1"/>
  <c r="AQ417" i="11"/>
  <c r="AQ422" i="11" s="1"/>
  <c r="AQ607" i="11" s="1"/>
  <c r="AQ611" i="11" s="1"/>
  <c r="AQ639" i="11" s="1"/>
  <c r="AQ651" i="11" s="1"/>
  <c r="AS288" i="11"/>
  <c r="AS287" i="11"/>
  <c r="AS286" i="11"/>
  <c r="AU282" i="11"/>
  <c r="AP411" i="11"/>
  <c r="AT396" i="11"/>
  <c r="AT284" i="11"/>
  <c r="AU269" i="11"/>
  <c r="AU306" i="11" s="1"/>
  <c r="AU327" i="11" s="1"/>
  <c r="AO386" i="11"/>
  <c r="AT268" i="11"/>
  <c r="AN385" i="11"/>
  <c r="AR273" i="11"/>
  <c r="AR272" i="11"/>
  <c r="AR276" i="11"/>
  <c r="AR275" i="11"/>
  <c r="AR274" i="11"/>
  <c r="AS270" i="11"/>
  <c r="Z19" i="17"/>
  <c r="AV243" i="11"/>
  <c r="AV244" i="11"/>
  <c r="AV255" i="11" s="1"/>
  <c r="AV245" i="11"/>
  <c r="AV246" i="11"/>
  <c r="AV247" i="11"/>
  <c r="AV248" i="11"/>
  <c r="AV259" i="11" s="1"/>
  <c r="AV249" i="11"/>
  <c r="AV260" i="11" s="1"/>
  <c r="AV250" i="11"/>
  <c r="AV261" i="11" s="1"/>
  <c r="AV283" i="11" s="1"/>
  <c r="AV322" i="11" s="1"/>
  <c r="AV333" i="11" s="1"/>
  <c r="AX136" i="11"/>
  <c r="AW163" i="11"/>
  <c r="AW124" i="11"/>
  <c r="AW132" i="11" s="1"/>
  <c r="AW112" i="11"/>
  <c r="AV120" i="11"/>
  <c r="AW264" i="11"/>
  <c r="AW271" i="11" s="1"/>
  <c r="AW252" i="11"/>
  <c r="AT185" i="11"/>
  <c r="AT642" i="11" s="1"/>
  <c r="AU256" i="11"/>
  <c r="AU328" i="11" s="1"/>
  <c r="AU258" i="11"/>
  <c r="AU257" i="11"/>
  <c r="AU329" i="11" s="1"/>
  <c r="AU254" i="11"/>
  <c r="AT196" i="11"/>
  <c r="AT654" i="11" s="1"/>
  <c r="X14" i="17" s="1"/>
  <c r="X25" i="17" s="1"/>
  <c r="AU178" i="11"/>
  <c r="AU189" i="11"/>
  <c r="AU195" i="11"/>
  <c r="AU184" i="11"/>
  <c r="AW167" i="11"/>
  <c r="AV173" i="11"/>
  <c r="AM20" i="18"/>
  <c r="AM22" i="18"/>
  <c r="AM23" i="18"/>
  <c r="AM24" i="18"/>
  <c r="AM25" i="18"/>
  <c r="AM21" i="18"/>
  <c r="AL26" i="18"/>
  <c r="AV52" i="11"/>
  <c r="AV87" i="11" s="1"/>
  <c r="AN6" i="18"/>
  <c r="AX25" i="11"/>
  <c r="AW362" i="11"/>
  <c r="AW393" i="11"/>
  <c r="AW395" i="11" s="1"/>
  <c r="AW346" i="11"/>
  <c r="AV394" i="11"/>
  <c r="AX203" i="11"/>
  <c r="AW338" i="11"/>
  <c r="AW339" i="11"/>
  <c r="AW353" i="11" s="1"/>
  <c r="AW204" i="11"/>
  <c r="AX337" i="11"/>
  <c r="AX226" i="11"/>
  <c r="BA241" i="11"/>
  <c r="BA236" i="11"/>
  <c r="BA242" i="11"/>
  <c r="BA237" i="11"/>
  <c r="BA240" i="11"/>
  <c r="BA238" i="11"/>
  <c r="AY200" i="11"/>
  <c r="AU608" i="11" l="1"/>
  <c r="AU610" i="11"/>
  <c r="AO637" i="11"/>
  <c r="AO649" i="11" s="1"/>
  <c r="AN636" i="11"/>
  <c r="AN648" i="11" s="1"/>
  <c r="AW182" i="11"/>
  <c r="AW193" i="11"/>
  <c r="AW183" i="11"/>
  <c r="AW194" i="11"/>
  <c r="AV181" i="11"/>
  <c r="AV192" i="11"/>
  <c r="O13" i="17"/>
  <c r="AS623" i="11"/>
  <c r="AM624" i="11"/>
  <c r="AM640" i="11" s="1"/>
  <c r="AT620" i="11"/>
  <c r="AT622" i="11"/>
  <c r="AT619" i="11"/>
  <c r="AT621" i="11"/>
  <c r="AT618" i="11"/>
  <c r="AU617" i="11"/>
  <c r="AU616" i="11"/>
  <c r="P20" i="17"/>
  <c r="P24" i="17" s="1"/>
  <c r="P13" i="17"/>
  <c r="AM647" i="11"/>
  <c r="AU600" i="11"/>
  <c r="AU602" i="11" s="1"/>
  <c r="AS401" i="11"/>
  <c r="AS408" i="11" s="1"/>
  <c r="AS403" i="11"/>
  <c r="AS412" i="11" s="1"/>
  <c r="AS414" i="11" s="1"/>
  <c r="AR404" i="11"/>
  <c r="AR408" i="11"/>
  <c r="AR410" i="11" s="1"/>
  <c r="AR417" i="11" s="1"/>
  <c r="AR422" i="11" s="1"/>
  <c r="AR607" i="11" s="1"/>
  <c r="AR611" i="11" s="1"/>
  <c r="AR639" i="11" s="1"/>
  <c r="AR651" i="11" s="1"/>
  <c r="AQ359" i="11"/>
  <c r="AR354" i="11"/>
  <c r="AR363" i="11" s="1"/>
  <c r="AR355" i="11"/>
  <c r="AR366" i="11" s="1"/>
  <c r="AR356" i="11"/>
  <c r="AR369" i="11" s="1"/>
  <c r="AU397" i="11"/>
  <c r="AU318" i="11"/>
  <c r="AU332" i="11" s="1"/>
  <c r="AS352" i="11"/>
  <c r="AS357" i="11" s="1"/>
  <c r="AS372" i="11" s="1"/>
  <c r="AU314" i="11"/>
  <c r="AU331" i="11" s="1"/>
  <c r="AS345" i="11"/>
  <c r="AT399" i="11"/>
  <c r="AT401" i="11" s="1"/>
  <c r="AT408" i="11" s="1"/>
  <c r="AR358" i="11"/>
  <c r="AS326" i="11"/>
  <c r="AS334" i="11" s="1"/>
  <c r="AT343" i="11"/>
  <c r="AT350" i="11" s="1"/>
  <c r="AT310" i="11"/>
  <c r="AT330" i="11" s="1"/>
  <c r="AW317" i="11"/>
  <c r="AW305" i="11"/>
  <c r="AW301" i="11"/>
  <c r="AT340" i="11"/>
  <c r="AT347" i="11" s="1"/>
  <c r="AT302" i="11"/>
  <c r="AW177" i="11"/>
  <c r="AX48" i="11"/>
  <c r="AX177" i="11" s="1"/>
  <c r="AU267" i="11"/>
  <c r="AU342" i="11" s="1"/>
  <c r="AU349" i="11" s="1"/>
  <c r="AU266" i="11"/>
  <c r="AU341" i="11" s="1"/>
  <c r="AU348" i="11" s="1"/>
  <c r="AU265" i="11"/>
  <c r="AU344" i="11"/>
  <c r="AU351" i="11" s="1"/>
  <c r="Z21" i="17"/>
  <c r="Z23" i="17"/>
  <c r="Z22" i="17"/>
  <c r="AS578" i="11"/>
  <c r="AS583" i="11" s="1"/>
  <c r="AS567" i="11"/>
  <c r="AU452" i="11"/>
  <c r="AU454" i="11"/>
  <c r="AU453" i="11"/>
  <c r="AU558" i="11"/>
  <c r="AU557" i="11"/>
  <c r="AU556" i="11"/>
  <c r="AS474" i="11"/>
  <c r="AS479" i="11" s="1"/>
  <c r="AS463" i="11"/>
  <c r="AW593" i="11"/>
  <c r="AV594" i="11"/>
  <c r="AT566" i="11"/>
  <c r="AT582" i="11" s="1"/>
  <c r="AT563" i="11"/>
  <c r="AT579" i="11" s="1"/>
  <c r="AT564" i="11"/>
  <c r="AT580" i="11" s="1"/>
  <c r="AT565" i="11"/>
  <c r="AT581" i="11" s="1"/>
  <c r="AT458" i="11"/>
  <c r="AT459" i="11"/>
  <c r="AT475" i="11" s="1"/>
  <c r="AT562" i="11"/>
  <c r="AT460" i="11"/>
  <c r="AT476" i="11" s="1"/>
  <c r="AT461" i="11"/>
  <c r="AT477" i="11" s="1"/>
  <c r="AT462" i="11"/>
  <c r="AT478" i="11" s="1"/>
  <c r="AW575" i="11"/>
  <c r="AN586" i="11"/>
  <c r="AN635" i="11" s="1"/>
  <c r="AW471" i="11"/>
  <c r="AN482" i="11"/>
  <c r="AN634" i="11" s="1"/>
  <c r="AN646" i="11" s="1"/>
  <c r="AO375" i="11"/>
  <c r="AO381" i="11" s="1"/>
  <c r="AO388" i="11" s="1"/>
  <c r="AN382" i="11"/>
  <c r="AP379" i="11"/>
  <c r="AP386" i="11" s="1"/>
  <c r="AQ371" i="11"/>
  <c r="AV398" i="11"/>
  <c r="AO377" i="11"/>
  <c r="AO384" i="11" s="1"/>
  <c r="AP365" i="11"/>
  <c r="AP378" i="11"/>
  <c r="AQ368" i="11"/>
  <c r="AN389" i="11"/>
  <c r="AO380" i="11"/>
  <c r="AO387" i="11" s="1"/>
  <c r="AO599" i="11" s="1"/>
  <c r="AO603" i="11" s="1"/>
  <c r="AO638" i="11" s="1"/>
  <c r="AO650" i="11" s="1"/>
  <c r="AP374" i="11"/>
  <c r="AW376" i="11"/>
  <c r="AW383" i="11" s="1"/>
  <c r="AW364" i="11"/>
  <c r="AW367" i="11"/>
  <c r="AW373" i="11"/>
  <c r="AW370" i="11"/>
  <c r="AX296" i="11"/>
  <c r="AX297" i="11"/>
  <c r="AX298" i="11"/>
  <c r="AX294" i="11"/>
  <c r="AX295" i="11"/>
  <c r="AV269" i="11"/>
  <c r="AV306" i="11" s="1"/>
  <c r="AV327" i="11" s="1"/>
  <c r="AV282" i="11"/>
  <c r="AT287" i="11"/>
  <c r="AT286" i="11"/>
  <c r="AT288" i="11"/>
  <c r="AQ419" i="11"/>
  <c r="AQ424" i="11" s="1"/>
  <c r="AQ628" i="11" s="1"/>
  <c r="AQ630" i="11" s="1"/>
  <c r="AQ641" i="11" s="1"/>
  <c r="AQ653" i="11" s="1"/>
  <c r="AP418" i="11"/>
  <c r="AP415" i="11"/>
  <c r="AU396" i="11"/>
  <c r="AU284" i="11"/>
  <c r="AV281" i="11"/>
  <c r="AT270" i="11"/>
  <c r="AT273" i="11" s="1"/>
  <c r="AS289" i="11"/>
  <c r="AQ411" i="11"/>
  <c r="AR277" i="11"/>
  <c r="AS272" i="11"/>
  <c r="AS273" i="11"/>
  <c r="AS274" i="11"/>
  <c r="AS275" i="11"/>
  <c r="AS276" i="11"/>
  <c r="AO385" i="11"/>
  <c r="AU268" i="11"/>
  <c r="AA19" i="17"/>
  <c r="AW243" i="11"/>
  <c r="AW244" i="11"/>
  <c r="AW255" i="11" s="1"/>
  <c r="AW245" i="11"/>
  <c r="AW246" i="11"/>
  <c r="AW247" i="11"/>
  <c r="AW248" i="11"/>
  <c r="AW259" i="11" s="1"/>
  <c r="AW249" i="11"/>
  <c r="AW260" i="11" s="1"/>
  <c r="AW250" i="11"/>
  <c r="AW261" i="11" s="1"/>
  <c r="AW283" i="11" s="1"/>
  <c r="AW322" i="11" s="1"/>
  <c r="AW333" i="11" s="1"/>
  <c r="AY136" i="11"/>
  <c r="AX163" i="11"/>
  <c r="AX124" i="11"/>
  <c r="AX132" i="11" s="1"/>
  <c r="AX112" i="11"/>
  <c r="AW120" i="11"/>
  <c r="AX264" i="11"/>
  <c r="AX271" i="11" s="1"/>
  <c r="AX252" i="11"/>
  <c r="AV256" i="11"/>
  <c r="AV328" i="11" s="1"/>
  <c r="AV258" i="11"/>
  <c r="AV257" i="11"/>
  <c r="AV329" i="11" s="1"/>
  <c r="AV254" i="11"/>
  <c r="AV189" i="11"/>
  <c r="AV178" i="11"/>
  <c r="AV195" i="11"/>
  <c r="AV184" i="11"/>
  <c r="AU196" i="11"/>
  <c r="AU654" i="11" s="1"/>
  <c r="Y14" i="17" s="1"/>
  <c r="Y25" i="17" s="1"/>
  <c r="AU185" i="11"/>
  <c r="AU642" i="11" s="1"/>
  <c r="AX167" i="11"/>
  <c r="AW173" i="11"/>
  <c r="AN22" i="18"/>
  <c r="AN23" i="18"/>
  <c r="AN25" i="18"/>
  <c r="AN20" i="18"/>
  <c r="AN24" i="18"/>
  <c r="AN21" i="18"/>
  <c r="AM26" i="18"/>
  <c r="AW52" i="11"/>
  <c r="AW87" i="11" s="1"/>
  <c r="AW394" i="11"/>
  <c r="AY25" i="11"/>
  <c r="AX362" i="11"/>
  <c r="AX393" i="11"/>
  <c r="AX395" i="11" s="1"/>
  <c r="AX346" i="11"/>
  <c r="AO6" i="18"/>
  <c r="AX204" i="11"/>
  <c r="AY203" i="11"/>
  <c r="AX338" i="11"/>
  <c r="AX339" i="11"/>
  <c r="AX353" i="11" s="1"/>
  <c r="AY226" i="11"/>
  <c r="AY337" i="11"/>
  <c r="AZ200" i="11"/>
  <c r="AV608" i="11" l="1"/>
  <c r="AV610" i="11"/>
  <c r="AO636" i="11"/>
  <c r="AO648" i="11" s="1"/>
  <c r="AP637" i="11"/>
  <c r="AP649" i="11" s="1"/>
  <c r="AX182" i="11"/>
  <c r="AX193" i="11"/>
  <c r="AX183" i="11"/>
  <c r="AX194" i="11"/>
  <c r="AW181" i="11"/>
  <c r="AW192" i="11"/>
  <c r="AM652" i="11"/>
  <c r="AM655" i="11" s="1"/>
  <c r="Q9" i="17" s="1"/>
  <c r="Q20" i="17" s="1"/>
  <c r="Q24" i="17" s="1"/>
  <c r="AM643" i="11"/>
  <c r="AT623" i="11"/>
  <c r="AU620" i="11"/>
  <c r="AU622" i="11"/>
  <c r="AU621" i="11"/>
  <c r="AU618" i="11"/>
  <c r="AU619" i="11"/>
  <c r="AV616" i="11"/>
  <c r="AV617" i="11"/>
  <c r="AN647" i="11"/>
  <c r="AN655" i="11" s="1"/>
  <c r="R9" i="17" s="1"/>
  <c r="AV600" i="11"/>
  <c r="AV602" i="11" s="1"/>
  <c r="AS404" i="11"/>
  <c r="AS354" i="11"/>
  <c r="AS363" i="11" s="1"/>
  <c r="AR411" i="11"/>
  <c r="AR418" i="11" s="1"/>
  <c r="AR423" i="11" s="1"/>
  <c r="AR615" i="11" s="1"/>
  <c r="AT403" i="11"/>
  <c r="AT412" i="11" s="1"/>
  <c r="AT414" i="11" s="1"/>
  <c r="AS410" i="11"/>
  <c r="AT410" i="11" s="1"/>
  <c r="AS356" i="11"/>
  <c r="AS369" i="11" s="1"/>
  <c r="AS355" i="11"/>
  <c r="AS366" i="11" s="1"/>
  <c r="AR359" i="11"/>
  <c r="AU399" i="11"/>
  <c r="AU401" i="11" s="1"/>
  <c r="AU408" i="11" s="1"/>
  <c r="AT352" i="11"/>
  <c r="AT356" i="11" s="1"/>
  <c r="AT369" i="11" s="1"/>
  <c r="AV314" i="11"/>
  <c r="AV331" i="11" s="1"/>
  <c r="AV397" i="11"/>
  <c r="AV318" i="11"/>
  <c r="AV332" i="11" s="1"/>
  <c r="AT402" i="11"/>
  <c r="AS358" i="11"/>
  <c r="AT326" i="11"/>
  <c r="AT334" i="11" s="1"/>
  <c r="AX305" i="11"/>
  <c r="AX317" i="11"/>
  <c r="AU343" i="11"/>
  <c r="AU350" i="11" s="1"/>
  <c r="AU310" i="11"/>
  <c r="AU330" i="11" s="1"/>
  <c r="AX188" i="11"/>
  <c r="AX301" i="11"/>
  <c r="AT345" i="11"/>
  <c r="AU340" i="11"/>
  <c r="AU347" i="11" s="1"/>
  <c r="AU302" i="11"/>
  <c r="AV266" i="11"/>
  <c r="AV341" i="11" s="1"/>
  <c r="AV348" i="11" s="1"/>
  <c r="AY48" i="11"/>
  <c r="AY188" i="11" s="1"/>
  <c r="AV265" i="11"/>
  <c r="AV267" i="11"/>
  <c r="AV342" i="11" s="1"/>
  <c r="AV349" i="11" s="1"/>
  <c r="AV344" i="11"/>
  <c r="AV351" i="11" s="1"/>
  <c r="AA21" i="17"/>
  <c r="AA23" i="17"/>
  <c r="AA22" i="17"/>
  <c r="AT578" i="11"/>
  <c r="AT583" i="11" s="1"/>
  <c r="AT567" i="11"/>
  <c r="AV452" i="11"/>
  <c r="AV453" i="11"/>
  <c r="AV556" i="11"/>
  <c r="AV454" i="11"/>
  <c r="AV557" i="11"/>
  <c r="AV558" i="11"/>
  <c r="AW594" i="11"/>
  <c r="AX593" i="11"/>
  <c r="AT474" i="11"/>
  <c r="AT479" i="11" s="1"/>
  <c r="AT463" i="11"/>
  <c r="AU565" i="11"/>
  <c r="AU581" i="11" s="1"/>
  <c r="AU564" i="11"/>
  <c r="AU580" i="11" s="1"/>
  <c r="AU459" i="11"/>
  <c r="AU475" i="11" s="1"/>
  <c r="AU458" i="11"/>
  <c r="AU563" i="11"/>
  <c r="AU579" i="11" s="1"/>
  <c r="AU461" i="11"/>
  <c r="AU477" i="11" s="1"/>
  <c r="AU562" i="11"/>
  <c r="AU460" i="11"/>
  <c r="AU476" i="11" s="1"/>
  <c r="AU462" i="11"/>
  <c r="AU478" i="11" s="1"/>
  <c r="AU566" i="11"/>
  <c r="AU582" i="11" s="1"/>
  <c r="AX575" i="11"/>
  <c r="AN643" i="11"/>
  <c r="AO586" i="11"/>
  <c r="AO635" i="11" s="1"/>
  <c r="AX471" i="11"/>
  <c r="AO482" i="11"/>
  <c r="AO634" i="11" s="1"/>
  <c r="AO646" i="11" s="1"/>
  <c r="AP375" i="11"/>
  <c r="AP381" i="11" s="1"/>
  <c r="AP388" i="11" s="1"/>
  <c r="AO382" i="11"/>
  <c r="AQ379" i="11"/>
  <c r="AQ386" i="11" s="1"/>
  <c r="AR371" i="11"/>
  <c r="AO389" i="11"/>
  <c r="AQ378" i="11"/>
  <c r="AR368" i="11"/>
  <c r="AQ374" i="11"/>
  <c r="AP380" i="11"/>
  <c r="AP387" i="11" s="1"/>
  <c r="AP599" i="11" s="1"/>
  <c r="AP603" i="11" s="1"/>
  <c r="AP638" i="11" s="1"/>
  <c r="AP650" i="11" s="1"/>
  <c r="AP377" i="11"/>
  <c r="AP384" i="11" s="1"/>
  <c r="AQ365" i="11"/>
  <c r="AX376" i="11"/>
  <c r="AX383" i="11" s="1"/>
  <c r="AX373" i="11"/>
  <c r="AX364" i="11"/>
  <c r="AX370" i="11"/>
  <c r="AX367" i="11"/>
  <c r="AY295" i="11"/>
  <c r="AY296" i="11"/>
  <c r="AY297" i="11"/>
  <c r="AY298" i="11"/>
  <c r="AY294" i="11"/>
  <c r="AT276" i="11"/>
  <c r="AP420" i="11"/>
  <c r="AP423" i="11"/>
  <c r="AT272" i="11"/>
  <c r="AT275" i="11"/>
  <c r="AW398" i="11"/>
  <c r="AT274" i="11"/>
  <c r="AS277" i="11"/>
  <c r="AW282" i="11"/>
  <c r="AW281" i="11"/>
  <c r="AQ418" i="11"/>
  <c r="AQ415" i="11"/>
  <c r="AU286" i="11"/>
  <c r="AU288" i="11"/>
  <c r="AU287" i="11"/>
  <c r="AR419" i="11"/>
  <c r="AT289" i="11"/>
  <c r="AV396" i="11"/>
  <c r="AV284" i="11"/>
  <c r="AW269" i="11"/>
  <c r="AW306" i="11" s="1"/>
  <c r="AW327" i="11" s="1"/>
  <c r="AU270" i="11"/>
  <c r="AV268" i="11"/>
  <c r="AP385" i="11"/>
  <c r="AB19" i="17"/>
  <c r="AX246" i="11"/>
  <c r="AX248" i="11"/>
  <c r="AX259" i="11" s="1"/>
  <c r="AX243" i="11"/>
  <c r="AX245" i="11"/>
  <c r="AX244" i="11"/>
  <c r="AX255" i="11" s="1"/>
  <c r="AX247" i="11"/>
  <c r="AX249" i="11"/>
  <c r="AX260" i="11" s="1"/>
  <c r="AX250" i="11"/>
  <c r="AX261" i="11" s="1"/>
  <c r="AX283" i="11" s="1"/>
  <c r="AX322" i="11" s="1"/>
  <c r="AX333" i="11" s="1"/>
  <c r="AW256" i="11"/>
  <c r="AW328" i="11" s="1"/>
  <c r="AZ136" i="11"/>
  <c r="AY163" i="11"/>
  <c r="AY124" i="11"/>
  <c r="AY132" i="11" s="1"/>
  <c r="AY112" i="11"/>
  <c r="AX120" i="11"/>
  <c r="AY264" i="11"/>
  <c r="AY271" i="11" s="1"/>
  <c r="AY252" i="11"/>
  <c r="AW258" i="11"/>
  <c r="AW254" i="11"/>
  <c r="AW257" i="11"/>
  <c r="AW329" i="11" s="1"/>
  <c r="AV185" i="11"/>
  <c r="AV642" i="11" s="1"/>
  <c r="AW189" i="11"/>
  <c r="AW178" i="11"/>
  <c r="AW184" i="11"/>
  <c r="AW195" i="11"/>
  <c r="AV196" i="11"/>
  <c r="AV654" i="11" s="1"/>
  <c r="Z14" i="17" s="1"/>
  <c r="Z25" i="17" s="1"/>
  <c r="AY167" i="11"/>
  <c r="AX173" i="11"/>
  <c r="AO20" i="18"/>
  <c r="AO22" i="18"/>
  <c r="AO24" i="18"/>
  <c r="AO25" i="18"/>
  <c r="AO23" i="18"/>
  <c r="AO21" i="18"/>
  <c r="AX52" i="11"/>
  <c r="AX87" i="11" s="1"/>
  <c r="AN26" i="18"/>
  <c r="AZ25" i="11"/>
  <c r="AY362" i="11"/>
  <c r="AY393" i="11"/>
  <c r="AY395" i="11" s="1"/>
  <c r="AY346" i="11"/>
  <c r="AX394" i="11"/>
  <c r="AP6" i="18"/>
  <c r="AY204" i="11"/>
  <c r="AY338" i="11"/>
  <c r="AY339" i="11"/>
  <c r="AY353" i="11" s="1"/>
  <c r="AZ226" i="11"/>
  <c r="AZ337" i="11"/>
  <c r="AZ203" i="11"/>
  <c r="BA200" i="11"/>
  <c r="AW608" i="11" l="1"/>
  <c r="AW610" i="11"/>
  <c r="AP636" i="11"/>
  <c r="AP648" i="11" s="1"/>
  <c r="AQ637" i="11"/>
  <c r="AQ649" i="11" s="1"/>
  <c r="AY183" i="11"/>
  <c r="AY194" i="11"/>
  <c r="AX181" i="11"/>
  <c r="AX192" i="11"/>
  <c r="AY182" i="11"/>
  <c r="AY193" i="11"/>
  <c r="Q13" i="17"/>
  <c r="AU623" i="11"/>
  <c r="AR624" i="11"/>
  <c r="AR640" i="11" s="1"/>
  <c r="AR652" i="11" s="1"/>
  <c r="AV619" i="11"/>
  <c r="AV622" i="11"/>
  <c r="AV621" i="11"/>
  <c r="AV618" i="11"/>
  <c r="AV620" i="11"/>
  <c r="AW617" i="11"/>
  <c r="AW616" i="11"/>
  <c r="R20" i="17"/>
  <c r="R24" i="17" s="1"/>
  <c r="R13" i="17"/>
  <c r="AP425" i="11"/>
  <c r="AP615" i="11"/>
  <c r="AW600" i="11"/>
  <c r="AW602" i="11" s="1"/>
  <c r="AO647" i="11"/>
  <c r="AO655" i="11" s="1"/>
  <c r="S9" i="17" s="1"/>
  <c r="AT358" i="11"/>
  <c r="AR415" i="11"/>
  <c r="AS417" i="11"/>
  <c r="AS422" i="11" s="1"/>
  <c r="AS607" i="11" s="1"/>
  <c r="AS611" i="11" s="1"/>
  <c r="AS639" i="11" s="1"/>
  <c r="AS651" i="11" s="1"/>
  <c r="AU403" i="11"/>
  <c r="AU412" i="11" s="1"/>
  <c r="AU414" i="11" s="1"/>
  <c r="AV399" i="11"/>
  <c r="AV403" i="11" s="1"/>
  <c r="AV412" i="11" s="1"/>
  <c r="AT404" i="11"/>
  <c r="AS411" i="11"/>
  <c r="AS418" i="11" s="1"/>
  <c r="AS423" i="11" s="1"/>
  <c r="AS615" i="11" s="1"/>
  <c r="AS359" i="11"/>
  <c r="AU402" i="11"/>
  <c r="AT357" i="11"/>
  <c r="AT372" i="11" s="1"/>
  <c r="AT354" i="11"/>
  <c r="AT363" i="11" s="1"/>
  <c r="AT355" i="11"/>
  <c r="AT366" i="11" s="1"/>
  <c r="AW397" i="11"/>
  <c r="AW318" i="11"/>
  <c r="AW332" i="11" s="1"/>
  <c r="AW314" i="11"/>
  <c r="AW331" i="11" s="1"/>
  <c r="AU326" i="11"/>
  <c r="AU334" i="11" s="1"/>
  <c r="AV343" i="11"/>
  <c r="AV350" i="11" s="1"/>
  <c r="AV310" i="11"/>
  <c r="AV330" i="11" s="1"/>
  <c r="AY317" i="11"/>
  <c r="AU352" i="11"/>
  <c r="AU355" i="11" s="1"/>
  <c r="AU366" i="11" s="1"/>
  <c r="AY305" i="11"/>
  <c r="AY301" i="11"/>
  <c r="AU345" i="11"/>
  <c r="AY177" i="11"/>
  <c r="AV340" i="11"/>
  <c r="AV347" i="11" s="1"/>
  <c r="AV352" i="11" s="1"/>
  <c r="AV355" i="11" s="1"/>
  <c r="AV366" i="11" s="1"/>
  <c r="AV302" i="11"/>
  <c r="AW267" i="11"/>
  <c r="AW342" i="11" s="1"/>
  <c r="AW349" i="11" s="1"/>
  <c r="AW344" i="11"/>
  <c r="AW351" i="11" s="1"/>
  <c r="AZ48" i="11"/>
  <c r="AZ188" i="11" s="1"/>
  <c r="AW265" i="11"/>
  <c r="AW266" i="11"/>
  <c r="AW341" i="11" s="1"/>
  <c r="AW348" i="11" s="1"/>
  <c r="AB21" i="17"/>
  <c r="AB23" i="17"/>
  <c r="AB22" i="17"/>
  <c r="AU474" i="11"/>
  <c r="AU479" i="11" s="1"/>
  <c r="AU463" i="11"/>
  <c r="AV563" i="11"/>
  <c r="AV579" i="11" s="1"/>
  <c r="AV461" i="11"/>
  <c r="AV477" i="11" s="1"/>
  <c r="AV459" i="11"/>
  <c r="AV475" i="11" s="1"/>
  <c r="AV566" i="11"/>
  <c r="AV582" i="11" s="1"/>
  <c r="AV564" i="11"/>
  <c r="AV580" i="11" s="1"/>
  <c r="AV460" i="11"/>
  <c r="AV476" i="11" s="1"/>
  <c r="AV562" i="11"/>
  <c r="AV565" i="11"/>
  <c r="AV581" i="11" s="1"/>
  <c r="AV462" i="11"/>
  <c r="AV478" i="11" s="1"/>
  <c r="AV458" i="11"/>
  <c r="AU578" i="11"/>
  <c r="AU583" i="11" s="1"/>
  <c r="AU567" i="11"/>
  <c r="AY593" i="11"/>
  <c r="AX594" i="11"/>
  <c r="AW556" i="11"/>
  <c r="AW453" i="11"/>
  <c r="AW557" i="11"/>
  <c r="AW452" i="11"/>
  <c r="AW558" i="11"/>
  <c r="AW454" i="11"/>
  <c r="AY575" i="11"/>
  <c r="AP586" i="11"/>
  <c r="AP635" i="11" s="1"/>
  <c r="AO643" i="11"/>
  <c r="AP482" i="11"/>
  <c r="AP634" i="11" s="1"/>
  <c r="AP646" i="11" s="1"/>
  <c r="AY471" i="11"/>
  <c r="AQ375" i="11"/>
  <c r="AQ381" i="11" s="1"/>
  <c r="AQ388" i="11" s="1"/>
  <c r="AU410" i="11"/>
  <c r="AP382" i="11"/>
  <c r="AR379" i="11"/>
  <c r="AR386" i="11" s="1"/>
  <c r="AS371" i="11"/>
  <c r="AP389" i="11"/>
  <c r="AQ377" i="11"/>
  <c r="AQ384" i="11" s="1"/>
  <c r="AR365" i="11"/>
  <c r="AR378" i="11"/>
  <c r="AS368" i="11"/>
  <c r="AQ380" i="11"/>
  <c r="AQ387" i="11" s="1"/>
  <c r="AQ599" i="11" s="1"/>
  <c r="AQ603" i="11" s="1"/>
  <c r="AQ638" i="11" s="1"/>
  <c r="AQ650" i="11" s="1"/>
  <c r="AR374" i="11"/>
  <c r="AY376" i="11"/>
  <c r="AY383" i="11" s="1"/>
  <c r="AY370" i="11"/>
  <c r="AY367" i="11"/>
  <c r="AY373" i="11"/>
  <c r="AY364" i="11"/>
  <c r="AZ295" i="11"/>
  <c r="AZ296" i="11"/>
  <c r="AZ297" i="11"/>
  <c r="AZ298" i="11"/>
  <c r="AZ294" i="11"/>
  <c r="AQ420" i="11"/>
  <c r="AQ423" i="11"/>
  <c r="AR420" i="11"/>
  <c r="AR424" i="11"/>
  <c r="AT277" i="11"/>
  <c r="AX398" i="11"/>
  <c r="AU289" i="11"/>
  <c r="AX281" i="11"/>
  <c r="AX282" i="11"/>
  <c r="AW284" i="11"/>
  <c r="AW396" i="11"/>
  <c r="AS419" i="11"/>
  <c r="AT417" i="11"/>
  <c r="AT422" i="11" s="1"/>
  <c r="AT607" i="11" s="1"/>
  <c r="AT611" i="11" s="1"/>
  <c r="AT639" i="11" s="1"/>
  <c r="AT651" i="11" s="1"/>
  <c r="AV286" i="11"/>
  <c r="AV287" i="11"/>
  <c r="AV288" i="11"/>
  <c r="AX269" i="11"/>
  <c r="AX306" i="11" s="1"/>
  <c r="AX327" i="11" s="1"/>
  <c r="AW268" i="11"/>
  <c r="AQ385" i="11"/>
  <c r="AV270" i="11"/>
  <c r="AU272" i="11"/>
  <c r="AU273" i="11"/>
  <c r="AU274" i="11"/>
  <c r="AU275" i="11"/>
  <c r="AU276" i="11"/>
  <c r="AC19" i="17"/>
  <c r="AY243" i="11"/>
  <c r="AY244" i="11"/>
  <c r="AY255" i="11" s="1"/>
  <c r="AY245" i="11"/>
  <c r="AY246" i="11"/>
  <c r="AY247" i="11"/>
  <c r="AY248" i="11"/>
  <c r="AY259" i="11" s="1"/>
  <c r="AY249" i="11"/>
  <c r="AY260" i="11" s="1"/>
  <c r="AY250" i="11"/>
  <c r="AY261" i="11" s="1"/>
  <c r="AY283" i="11" s="1"/>
  <c r="AY322" i="11" s="1"/>
  <c r="AY333" i="11" s="1"/>
  <c r="BA136" i="11"/>
  <c r="BA163" i="11" s="1"/>
  <c r="AZ163" i="11"/>
  <c r="AZ124" i="11"/>
  <c r="AZ132" i="11" s="1"/>
  <c r="AZ112" i="11"/>
  <c r="AY120" i="11"/>
  <c r="AZ264" i="11"/>
  <c r="AZ271" i="11" s="1"/>
  <c r="AZ252" i="11"/>
  <c r="AX254" i="11"/>
  <c r="AX258" i="11"/>
  <c r="AX256" i="11"/>
  <c r="AX328" i="11" s="1"/>
  <c r="AX257" i="11"/>
  <c r="AX329" i="11" s="1"/>
  <c r="AX195" i="11"/>
  <c r="AX184" i="11"/>
  <c r="AX178" i="11"/>
  <c r="AX189" i="11"/>
  <c r="AW185" i="11"/>
  <c r="AW642" i="11" s="1"/>
  <c r="AW196" i="11"/>
  <c r="AW654" i="11" s="1"/>
  <c r="AA14" i="17" s="1"/>
  <c r="AA25" i="17" s="1"/>
  <c r="AZ167" i="11"/>
  <c r="AY173" i="11"/>
  <c r="AP22" i="18"/>
  <c r="AP23" i="18"/>
  <c r="AP24" i="18"/>
  <c r="AP25" i="18"/>
  <c r="AP21" i="18"/>
  <c r="AP20" i="18"/>
  <c r="AY52" i="11"/>
  <c r="AY87" i="11" s="1"/>
  <c r="BA25" i="11"/>
  <c r="AY394" i="11"/>
  <c r="AZ362" i="11"/>
  <c r="AZ393" i="11"/>
  <c r="AZ395" i="11" s="1"/>
  <c r="AZ346" i="11"/>
  <c r="AO26" i="18"/>
  <c r="AQ6" i="18"/>
  <c r="AZ338" i="11"/>
  <c r="AZ339" i="11"/>
  <c r="AZ353" i="11" s="1"/>
  <c r="AZ204" i="11"/>
  <c r="BA337" i="11"/>
  <c r="BA226" i="11"/>
  <c r="BA203" i="11"/>
  <c r="AX610" i="11" l="1"/>
  <c r="AX608" i="11"/>
  <c r="AR637" i="11"/>
  <c r="AR649" i="11" s="1"/>
  <c r="AQ636" i="11"/>
  <c r="AQ648" i="11" s="1"/>
  <c r="AZ182" i="11"/>
  <c r="AZ193" i="11"/>
  <c r="AZ183" i="11"/>
  <c r="AZ194" i="11"/>
  <c r="AY181" i="11"/>
  <c r="AY192" i="11"/>
  <c r="BA183" i="11"/>
  <c r="BA194" i="11"/>
  <c r="AV623" i="11"/>
  <c r="AS624" i="11"/>
  <c r="AS640" i="11" s="1"/>
  <c r="AS652" i="11" s="1"/>
  <c r="AP624" i="11"/>
  <c r="AP640" i="11" s="1"/>
  <c r="AW618" i="11"/>
  <c r="AW622" i="11"/>
  <c r="AW619" i="11"/>
  <c r="AW620" i="11"/>
  <c r="AW621" i="11"/>
  <c r="AX616" i="11"/>
  <c r="AX617" i="11"/>
  <c r="AR425" i="11"/>
  <c r="AR628" i="11"/>
  <c r="AR630" i="11" s="1"/>
  <c r="AR641" i="11" s="1"/>
  <c r="AR653" i="11" s="1"/>
  <c r="S20" i="17"/>
  <c r="S24" i="17" s="1"/>
  <c r="S13" i="17"/>
  <c r="AQ425" i="11"/>
  <c r="AQ615" i="11"/>
  <c r="AX600" i="11"/>
  <c r="AX602" i="11" s="1"/>
  <c r="AP647" i="11"/>
  <c r="AU404" i="11"/>
  <c r="AV402" i="11"/>
  <c r="AV401" i="11"/>
  <c r="AV408" i="11" s="1"/>
  <c r="AV410" i="11" s="1"/>
  <c r="AS415" i="11"/>
  <c r="AW399" i="11"/>
  <c r="AW402" i="11" s="1"/>
  <c r="AT359" i="11"/>
  <c r="AU357" i="11"/>
  <c r="AU372" i="11" s="1"/>
  <c r="AZ177" i="11"/>
  <c r="AX314" i="11"/>
  <c r="AX331" i="11" s="1"/>
  <c r="AX397" i="11"/>
  <c r="AX318" i="11"/>
  <c r="AX332" i="11" s="1"/>
  <c r="AU358" i="11"/>
  <c r="AV326" i="11"/>
  <c r="AV334" i="11" s="1"/>
  <c r="AU354" i="11"/>
  <c r="AU363" i="11" s="1"/>
  <c r="AU356" i="11"/>
  <c r="AU369" i="11" s="1"/>
  <c r="AW343" i="11"/>
  <c r="AW350" i="11" s="1"/>
  <c r="AW310" i="11"/>
  <c r="AW330" i="11" s="1"/>
  <c r="AZ317" i="11"/>
  <c r="AZ305" i="11"/>
  <c r="AZ301" i="11"/>
  <c r="AW340" i="11"/>
  <c r="AW347" i="11" s="1"/>
  <c r="AW302" i="11"/>
  <c r="AV345" i="11"/>
  <c r="AV357" i="11"/>
  <c r="AV372" i="11" s="1"/>
  <c r="AV354" i="11"/>
  <c r="AV363" i="11" s="1"/>
  <c r="AV358" i="11"/>
  <c r="AV356" i="11"/>
  <c r="AV369" i="11" s="1"/>
  <c r="AX265" i="11"/>
  <c r="AX302" i="11" s="1"/>
  <c r="AX344" i="11"/>
  <c r="AX351" i="11" s="1"/>
  <c r="AX266" i="11"/>
  <c r="AX341" i="11" s="1"/>
  <c r="AX348" i="11" s="1"/>
  <c r="AX267" i="11"/>
  <c r="AX342" i="11" s="1"/>
  <c r="AX349" i="11" s="1"/>
  <c r="BA48" i="11"/>
  <c r="BA188" i="11" s="1"/>
  <c r="AC23" i="17"/>
  <c r="AC21" i="17"/>
  <c r="AC22" i="17"/>
  <c r="AX454" i="11"/>
  <c r="AX556" i="11"/>
  <c r="AX558" i="11"/>
  <c r="AX452" i="11"/>
  <c r="AX557" i="11"/>
  <c r="AX453" i="11"/>
  <c r="AV474" i="11"/>
  <c r="AV479" i="11" s="1"/>
  <c r="AV463" i="11"/>
  <c r="AZ593" i="11"/>
  <c r="AY594" i="11"/>
  <c r="AW564" i="11"/>
  <c r="AW580" i="11" s="1"/>
  <c r="AW563" i="11"/>
  <c r="AW579" i="11" s="1"/>
  <c r="AW562" i="11"/>
  <c r="AW566" i="11"/>
  <c r="AW582" i="11" s="1"/>
  <c r="AW461" i="11"/>
  <c r="AW477" i="11" s="1"/>
  <c r="AW462" i="11"/>
  <c r="AW478" i="11" s="1"/>
  <c r="AW565" i="11"/>
  <c r="AW581" i="11" s="1"/>
  <c r="AW458" i="11"/>
  <c r="AW460" i="11"/>
  <c r="AW476" i="11" s="1"/>
  <c r="AW459" i="11"/>
  <c r="AW475" i="11" s="1"/>
  <c r="AV578" i="11"/>
  <c r="AV583" i="11" s="1"/>
  <c r="AV567" i="11"/>
  <c r="AR375" i="11"/>
  <c r="AR381" i="11" s="1"/>
  <c r="AR388" i="11" s="1"/>
  <c r="AZ575" i="11"/>
  <c r="AQ586" i="11"/>
  <c r="AQ635" i="11" s="1"/>
  <c r="AZ471" i="11"/>
  <c r="AQ482" i="11"/>
  <c r="AQ634" i="11" s="1"/>
  <c r="AQ646" i="11" s="1"/>
  <c r="AQ382" i="11"/>
  <c r="AS379" i="11"/>
  <c r="AS386" i="11" s="1"/>
  <c r="AT371" i="11"/>
  <c r="AQ389" i="11"/>
  <c r="AR377" i="11"/>
  <c r="AR384" i="11" s="1"/>
  <c r="AS365" i="11"/>
  <c r="AV414" i="11"/>
  <c r="AR380" i="11"/>
  <c r="AR387" i="11" s="1"/>
  <c r="AR599" i="11" s="1"/>
  <c r="AR603" i="11" s="1"/>
  <c r="AR638" i="11" s="1"/>
  <c r="AR650" i="11" s="1"/>
  <c r="AS374" i="11"/>
  <c r="AT368" i="11"/>
  <c r="AS378" i="11"/>
  <c r="AZ376" i="11"/>
  <c r="AZ383" i="11" s="1"/>
  <c r="AZ367" i="11"/>
  <c r="AZ364" i="11"/>
  <c r="AZ370" i="11"/>
  <c r="AZ373" i="11"/>
  <c r="BA297" i="11"/>
  <c r="BA295" i="11"/>
  <c r="BA296" i="11"/>
  <c r="BA298" i="11"/>
  <c r="BA294" i="11"/>
  <c r="AS420" i="11"/>
  <c r="AS424" i="11"/>
  <c r="AY398" i="11"/>
  <c r="AV289" i="11"/>
  <c r="AY281" i="11"/>
  <c r="AT419" i="11"/>
  <c r="AT424" i="11" s="1"/>
  <c r="AT628" i="11" s="1"/>
  <c r="AT630" i="11" s="1"/>
  <c r="AT641" i="11" s="1"/>
  <c r="AT653" i="11" s="1"/>
  <c r="AU411" i="11"/>
  <c r="AU418" i="11" s="1"/>
  <c r="AU423" i="11" s="1"/>
  <c r="AU615" i="11" s="1"/>
  <c r="AT411" i="11"/>
  <c r="AY282" i="11"/>
  <c r="AU417" i="11"/>
  <c r="AU422" i="11" s="1"/>
  <c r="AU607" i="11" s="1"/>
  <c r="AU611" i="11" s="1"/>
  <c r="AU639" i="11" s="1"/>
  <c r="AU651" i="11" s="1"/>
  <c r="AW288" i="11"/>
  <c r="AW287" i="11"/>
  <c r="AW286" i="11"/>
  <c r="AX396" i="11"/>
  <c r="AX284" i="11"/>
  <c r="AU277" i="11"/>
  <c r="AW270" i="11"/>
  <c r="AW272" i="11" s="1"/>
  <c r="AY269" i="11"/>
  <c r="AY306" i="11" s="1"/>
  <c r="AY327" i="11" s="1"/>
  <c r="AX268" i="11"/>
  <c r="AR385" i="11"/>
  <c r="AV274" i="11"/>
  <c r="AV273" i="11"/>
  <c r="AV272" i="11"/>
  <c r="AV276" i="11"/>
  <c r="AV275" i="11"/>
  <c r="AD19" i="17"/>
  <c r="AZ243" i="11"/>
  <c r="AZ244" i="11"/>
  <c r="AZ255" i="11" s="1"/>
  <c r="AZ245" i="11"/>
  <c r="AZ246" i="11"/>
  <c r="AZ247" i="11"/>
  <c r="AZ248" i="11"/>
  <c r="AZ259" i="11" s="1"/>
  <c r="AZ249" i="11"/>
  <c r="AZ260" i="11" s="1"/>
  <c r="AZ250" i="11"/>
  <c r="AZ261" i="11" s="1"/>
  <c r="AZ283" i="11" s="1"/>
  <c r="AZ322" i="11" s="1"/>
  <c r="AZ333" i="11" s="1"/>
  <c r="BA124" i="11"/>
  <c r="BA132" i="11" s="1"/>
  <c r="BA112" i="11"/>
  <c r="BA120" i="11" s="1"/>
  <c r="AZ120" i="11"/>
  <c r="BA264" i="11"/>
  <c r="BA271" i="11" s="1"/>
  <c r="BA252" i="11"/>
  <c r="AY254" i="11"/>
  <c r="AY257" i="11"/>
  <c r="AY329" i="11" s="1"/>
  <c r="AY258" i="11"/>
  <c r="AY256" i="11"/>
  <c r="AY328" i="11" s="1"/>
  <c r="AX196" i="11"/>
  <c r="AX654" i="11" s="1"/>
  <c r="AB14" i="17" s="1"/>
  <c r="AB25" i="17" s="1"/>
  <c r="AX185" i="11"/>
  <c r="AX642" i="11" s="1"/>
  <c r="AY189" i="11"/>
  <c r="AY178" i="11"/>
  <c r="AY195" i="11"/>
  <c r="AY184" i="11"/>
  <c r="BA167" i="11"/>
  <c r="BA173" i="11" s="1"/>
  <c r="AZ173" i="11"/>
  <c r="AQ20" i="18"/>
  <c r="AQ22" i="18"/>
  <c r="AQ23" i="18"/>
  <c r="AQ24" i="18"/>
  <c r="AQ25" i="18"/>
  <c r="AQ21" i="18"/>
  <c r="AZ52" i="11"/>
  <c r="AZ87" i="11" s="1"/>
  <c r="AZ394" i="11"/>
  <c r="BA362" i="11"/>
  <c r="BA393" i="11"/>
  <c r="BA395" i="11" s="1"/>
  <c r="BA346" i="11"/>
  <c r="AP26" i="18"/>
  <c r="AR6" i="18"/>
  <c r="BA204" i="11"/>
  <c r="BA338" i="11"/>
  <c r="BA339" i="11"/>
  <c r="BA353" i="11" s="1"/>
  <c r="AY608" i="11" l="1"/>
  <c r="AY610" i="11"/>
  <c r="AR636" i="11"/>
  <c r="AR648" i="11" s="1"/>
  <c r="AS637" i="11"/>
  <c r="AS649" i="11" s="1"/>
  <c r="AZ181" i="11"/>
  <c r="AZ192" i="11"/>
  <c r="BA181" i="11"/>
  <c r="BA192" i="11"/>
  <c r="BA182" i="11"/>
  <c r="BA193" i="11"/>
  <c r="AP652" i="11"/>
  <c r="AP655" i="11" s="1"/>
  <c r="T9" i="17" s="1"/>
  <c r="T20" i="17" s="1"/>
  <c r="T24" i="17" s="1"/>
  <c r="AP643" i="11"/>
  <c r="AU624" i="11"/>
  <c r="AU640" i="11" s="1"/>
  <c r="AU652" i="11" s="1"/>
  <c r="AX621" i="11"/>
  <c r="AX620" i="11"/>
  <c r="AX619" i="11"/>
  <c r="AX618" i="11"/>
  <c r="AX622" i="11"/>
  <c r="AQ624" i="11"/>
  <c r="AQ640" i="11" s="1"/>
  <c r="AW623" i="11"/>
  <c r="AY617" i="11"/>
  <c r="AY616" i="11"/>
  <c r="AS425" i="11"/>
  <c r="AS628" i="11"/>
  <c r="AS630" i="11" s="1"/>
  <c r="AS641" i="11" s="1"/>
  <c r="AS653" i="11" s="1"/>
  <c r="AQ647" i="11"/>
  <c r="AY600" i="11"/>
  <c r="AY602" i="11" s="1"/>
  <c r="AV404" i="11"/>
  <c r="AW401" i="11"/>
  <c r="AW408" i="11" s="1"/>
  <c r="AW410" i="11" s="1"/>
  <c r="AW403" i="11"/>
  <c r="AW412" i="11" s="1"/>
  <c r="AW414" i="11" s="1"/>
  <c r="AX399" i="11"/>
  <c r="AX401" i="11" s="1"/>
  <c r="AX408" i="11" s="1"/>
  <c r="AU359" i="11"/>
  <c r="AW352" i="11"/>
  <c r="AW356" i="11" s="1"/>
  <c r="AW369" i="11" s="1"/>
  <c r="AY397" i="11"/>
  <c r="AY318" i="11"/>
  <c r="AY332" i="11" s="1"/>
  <c r="AY314" i="11"/>
  <c r="AY331" i="11" s="1"/>
  <c r="AW326" i="11"/>
  <c r="AW334" i="11" s="1"/>
  <c r="AX326" i="11"/>
  <c r="AX343" i="11"/>
  <c r="AX350" i="11" s="1"/>
  <c r="AX310" i="11"/>
  <c r="AX330" i="11" s="1"/>
  <c r="BA317" i="11"/>
  <c r="AW345" i="11"/>
  <c r="BA305" i="11"/>
  <c r="BA301" i="11"/>
  <c r="AX340" i="11"/>
  <c r="AX347" i="11" s="1"/>
  <c r="BA177" i="11"/>
  <c r="AV359" i="11"/>
  <c r="AY267" i="11"/>
  <c r="AY342" i="11" s="1"/>
  <c r="AY349" i="11" s="1"/>
  <c r="AY344" i="11"/>
  <c r="AY351" i="11" s="1"/>
  <c r="AY265" i="11"/>
  <c r="AY302" i="11" s="1"/>
  <c r="AY266" i="11"/>
  <c r="AY341" i="11" s="1"/>
  <c r="AY348" i="11" s="1"/>
  <c r="AD21" i="17"/>
  <c r="AD23" i="17"/>
  <c r="AD22" i="17"/>
  <c r="AW474" i="11"/>
  <c r="AW479" i="11" s="1"/>
  <c r="AW463" i="11"/>
  <c r="AY452" i="11"/>
  <c r="AY556" i="11"/>
  <c r="AY557" i="11"/>
  <c r="AY454" i="11"/>
  <c r="AY453" i="11"/>
  <c r="AY558" i="11"/>
  <c r="AX458" i="11"/>
  <c r="AX562" i="11"/>
  <c r="AX566" i="11"/>
  <c r="AX582" i="11" s="1"/>
  <c r="AX460" i="11"/>
  <c r="AX476" i="11" s="1"/>
  <c r="AX563" i="11"/>
  <c r="AX579" i="11" s="1"/>
  <c r="AX461" i="11"/>
  <c r="AX477" i="11" s="1"/>
  <c r="AX565" i="11"/>
  <c r="AX581" i="11" s="1"/>
  <c r="AX564" i="11"/>
  <c r="AX580" i="11" s="1"/>
  <c r="AX459" i="11"/>
  <c r="AX475" i="11" s="1"/>
  <c r="AX462" i="11"/>
  <c r="AX478" i="11" s="1"/>
  <c r="AW578" i="11"/>
  <c r="AW583" i="11" s="1"/>
  <c r="AW567" i="11"/>
  <c r="AZ594" i="11"/>
  <c r="BA593" i="11"/>
  <c r="BA594" i="11" s="1"/>
  <c r="AR586" i="11"/>
  <c r="AR635" i="11" s="1"/>
  <c r="BA575" i="11"/>
  <c r="BA471" i="11"/>
  <c r="AR482" i="11"/>
  <c r="AR634" i="11" s="1"/>
  <c r="AR646" i="11" s="1"/>
  <c r="AR382" i="11"/>
  <c r="AS375" i="11"/>
  <c r="AS381" i="11" s="1"/>
  <c r="AT379" i="11"/>
  <c r="AT386" i="11" s="1"/>
  <c r="AU371" i="11"/>
  <c r="AT378" i="11"/>
  <c r="AU368" i="11"/>
  <c r="AS377" i="11"/>
  <c r="AS384" i="11" s="1"/>
  <c r="AT365" i="11"/>
  <c r="AR389" i="11"/>
  <c r="AS380" i="11"/>
  <c r="AS387" i="11" s="1"/>
  <c r="AS599" i="11" s="1"/>
  <c r="AS603" i="11" s="1"/>
  <c r="AS638" i="11" s="1"/>
  <c r="AS650" i="11" s="1"/>
  <c r="AT374" i="11"/>
  <c r="BA376" i="11"/>
  <c r="BA383" i="11" s="1"/>
  <c r="BA364" i="11"/>
  <c r="BA367" i="11"/>
  <c r="BA370" i="11"/>
  <c r="BA373" i="11"/>
  <c r="AZ398" i="11"/>
  <c r="AW289" i="11"/>
  <c r="AW276" i="11"/>
  <c r="AU419" i="11"/>
  <c r="AZ281" i="11"/>
  <c r="AW275" i="11"/>
  <c r="AW274" i="11"/>
  <c r="AX287" i="11"/>
  <c r="AX286" i="11"/>
  <c r="AX288" i="11"/>
  <c r="AV417" i="11"/>
  <c r="AV422" i="11" s="1"/>
  <c r="AV607" i="11" s="1"/>
  <c r="AV611" i="11" s="1"/>
  <c r="AV639" i="11" s="1"/>
  <c r="AV651" i="11" s="1"/>
  <c r="AY284" i="11"/>
  <c r="AY396" i="11"/>
  <c r="AZ282" i="11"/>
  <c r="AV277" i="11"/>
  <c r="AW273" i="11"/>
  <c r="AU415" i="11"/>
  <c r="AT418" i="11"/>
  <c r="AT415" i="11"/>
  <c r="AZ269" i="11"/>
  <c r="AZ306" i="11" s="1"/>
  <c r="AZ327" i="11" s="1"/>
  <c r="AS385" i="11"/>
  <c r="AY268" i="11"/>
  <c r="AX270" i="11"/>
  <c r="AE19" i="17"/>
  <c r="BA243" i="11"/>
  <c r="BA244" i="11"/>
  <c r="BA255" i="11" s="1"/>
  <c r="BA245" i="11"/>
  <c r="BA246" i="11"/>
  <c r="BA247" i="11"/>
  <c r="BA248" i="11"/>
  <c r="BA259" i="11" s="1"/>
  <c r="BA249" i="11"/>
  <c r="BA260" i="11" s="1"/>
  <c r="BA282" i="11" s="1"/>
  <c r="BA318" i="11" s="1"/>
  <c r="BA250" i="11"/>
  <c r="BA261" i="11" s="1"/>
  <c r="BA283" i="11" s="1"/>
  <c r="BA322" i="11" s="1"/>
  <c r="BA333" i="11" s="1"/>
  <c r="AZ254" i="11"/>
  <c r="AZ257" i="11"/>
  <c r="AZ329" i="11" s="1"/>
  <c r="AZ258" i="11"/>
  <c r="AZ256" i="11"/>
  <c r="AZ328" i="11" s="1"/>
  <c r="AY196" i="11"/>
  <c r="AY654" i="11" s="1"/>
  <c r="AC14" i="17" s="1"/>
  <c r="AC25" i="17" s="1"/>
  <c r="AZ189" i="11"/>
  <c r="AZ178" i="11"/>
  <c r="AZ195" i="11"/>
  <c r="AZ184" i="11"/>
  <c r="BA184" i="11"/>
  <c r="BA195" i="11"/>
  <c r="AY185" i="11"/>
  <c r="AY642" i="11" s="1"/>
  <c r="BA394" i="11"/>
  <c r="AR24" i="18"/>
  <c r="AR21" i="18"/>
  <c r="AR20" i="18"/>
  <c r="AR22" i="18"/>
  <c r="AR23" i="18"/>
  <c r="AR25" i="18"/>
  <c r="BA52" i="11"/>
  <c r="BA87" i="11" s="1"/>
  <c r="AQ26" i="18"/>
  <c r="AS6" i="18"/>
  <c r="BA610" i="11" l="1"/>
  <c r="BA608" i="11"/>
  <c r="AZ608" i="11"/>
  <c r="AZ610" i="11"/>
  <c r="AT637" i="11"/>
  <c r="AT649" i="11" s="1"/>
  <c r="AS636" i="11"/>
  <c r="AS648" i="11" s="1"/>
  <c r="AX623" i="11"/>
  <c r="AQ652" i="11"/>
  <c r="AQ655" i="11" s="1"/>
  <c r="U9" i="17" s="1"/>
  <c r="U20" i="17" s="1"/>
  <c r="U24" i="17" s="1"/>
  <c r="AQ643" i="11"/>
  <c r="T13" i="17"/>
  <c r="AY620" i="11"/>
  <c r="AY621" i="11"/>
  <c r="AY622" i="11"/>
  <c r="AY618" i="11"/>
  <c r="AY619" i="11"/>
  <c r="BA616" i="11"/>
  <c r="BA617" i="11"/>
  <c r="AZ616" i="11"/>
  <c r="AZ617" i="11"/>
  <c r="BA600" i="11"/>
  <c r="BA602" i="11" s="1"/>
  <c r="AR647" i="11"/>
  <c r="AR655" i="11" s="1"/>
  <c r="V9" i="17" s="1"/>
  <c r="AZ600" i="11"/>
  <c r="AZ602" i="11" s="1"/>
  <c r="AX402" i="11"/>
  <c r="AW404" i="11"/>
  <c r="AX403" i="11"/>
  <c r="AW355" i="11"/>
  <c r="AW366" i="11" s="1"/>
  <c r="AW357" i="11"/>
  <c r="AW372" i="11" s="1"/>
  <c r="AW354" i="11"/>
  <c r="AW363" i="11" s="1"/>
  <c r="AY399" i="11"/>
  <c r="AY402" i="11" s="1"/>
  <c r="AW358" i="11"/>
  <c r="AX352" i="11"/>
  <c r="AX355" i="11" s="1"/>
  <c r="AX366" i="11" s="1"/>
  <c r="AZ397" i="11"/>
  <c r="AZ318" i="11"/>
  <c r="AZ332" i="11" s="1"/>
  <c r="BA332" i="11"/>
  <c r="AZ314" i="11"/>
  <c r="AZ331" i="11" s="1"/>
  <c r="AX334" i="11"/>
  <c r="AY326" i="11"/>
  <c r="AY343" i="11"/>
  <c r="AY350" i="11" s="1"/>
  <c r="AY310" i="11"/>
  <c r="AY330" i="11" s="1"/>
  <c r="AX345" i="11"/>
  <c r="AY340" i="11"/>
  <c r="AY347" i="11" s="1"/>
  <c r="AZ267" i="11"/>
  <c r="AZ342" i="11" s="1"/>
  <c r="AZ349" i="11" s="1"/>
  <c r="AZ265" i="11"/>
  <c r="AZ266" i="11"/>
  <c r="AZ341" i="11" s="1"/>
  <c r="AZ348" i="11" s="1"/>
  <c r="AZ344" i="11"/>
  <c r="AZ351" i="11" s="1"/>
  <c r="AE21" i="17"/>
  <c r="AE23" i="17"/>
  <c r="AE22" i="17"/>
  <c r="BA452" i="11"/>
  <c r="BA557" i="11"/>
  <c r="BA454" i="11"/>
  <c r="BA453" i="11"/>
  <c r="BA556" i="11"/>
  <c r="BA558" i="11"/>
  <c r="AX578" i="11"/>
  <c r="AX583" i="11" s="1"/>
  <c r="AX567" i="11"/>
  <c r="AY565" i="11"/>
  <c r="AY581" i="11" s="1"/>
  <c r="AY563" i="11"/>
  <c r="AY579" i="11" s="1"/>
  <c r="AY564" i="11"/>
  <c r="AY580" i="11" s="1"/>
  <c r="AY562" i="11"/>
  <c r="AY459" i="11"/>
  <c r="AY475" i="11" s="1"/>
  <c r="AY458" i="11"/>
  <c r="AY566" i="11"/>
  <c r="AY582" i="11" s="1"/>
  <c r="AY460" i="11"/>
  <c r="AY476" i="11" s="1"/>
  <c r="AY461" i="11"/>
  <c r="AY477" i="11" s="1"/>
  <c r="AY462" i="11"/>
  <c r="AY478" i="11" s="1"/>
  <c r="AZ454" i="11"/>
  <c r="AZ558" i="11"/>
  <c r="AZ453" i="11"/>
  <c r="AZ556" i="11"/>
  <c r="AZ452" i="11"/>
  <c r="AZ557" i="11"/>
  <c r="AX474" i="11"/>
  <c r="AX479" i="11" s="1"/>
  <c r="AX463" i="11"/>
  <c r="AR643" i="11"/>
  <c r="AS482" i="11"/>
  <c r="AS634" i="11" s="1"/>
  <c r="AS646" i="11" s="1"/>
  <c r="AT375" i="11"/>
  <c r="AT381" i="11" s="1"/>
  <c r="AT388" i="11" s="1"/>
  <c r="AU379" i="11"/>
  <c r="AU386" i="11" s="1"/>
  <c r="AV371" i="11"/>
  <c r="AV379" i="11" s="1"/>
  <c r="AS382" i="11"/>
  <c r="AS388" i="11"/>
  <c r="AS586" i="11" s="1"/>
  <c r="AX410" i="11"/>
  <c r="AT377" i="11"/>
  <c r="AT384" i="11" s="1"/>
  <c r="AU365" i="11"/>
  <c r="AU378" i="11"/>
  <c r="AV368" i="11"/>
  <c r="AT380" i="11"/>
  <c r="AT387" i="11" s="1"/>
  <c r="AT599" i="11" s="1"/>
  <c r="AT603" i="11" s="1"/>
  <c r="AT638" i="11" s="1"/>
  <c r="AT650" i="11" s="1"/>
  <c r="AU374" i="11"/>
  <c r="AT420" i="11"/>
  <c r="AT423" i="11"/>
  <c r="AU420" i="11"/>
  <c r="AU424" i="11"/>
  <c r="BA398" i="11"/>
  <c r="BA397" i="11"/>
  <c r="AW277" i="11"/>
  <c r="AW417" i="11"/>
  <c r="AW422" i="11" s="1"/>
  <c r="AW607" i="11" s="1"/>
  <c r="AW611" i="11" s="1"/>
  <c r="AW639" i="11" s="1"/>
  <c r="AW651" i="11" s="1"/>
  <c r="AZ396" i="11"/>
  <c r="AZ284" i="11"/>
  <c r="BA281" i="11"/>
  <c r="AY286" i="11"/>
  <c r="AY287" i="11"/>
  <c r="AY288" i="11"/>
  <c r="AV419" i="11"/>
  <c r="AV424" i="11" s="1"/>
  <c r="AV628" i="11" s="1"/>
  <c r="AV630" i="11" s="1"/>
  <c r="AV641" i="11" s="1"/>
  <c r="AV653" i="11" s="1"/>
  <c r="AV411" i="11"/>
  <c r="AX289" i="11"/>
  <c r="BA269" i="11"/>
  <c r="BA306" i="11" s="1"/>
  <c r="BA327" i="11" s="1"/>
  <c r="AT385" i="11"/>
  <c r="AX272" i="11"/>
  <c r="AX273" i="11"/>
  <c r="AX274" i="11"/>
  <c r="AX275" i="11"/>
  <c r="AX276" i="11"/>
  <c r="AZ268" i="11"/>
  <c r="AY270" i="11"/>
  <c r="BA254" i="11"/>
  <c r="BA256" i="11"/>
  <c r="BA328" i="11" s="1"/>
  <c r="BA258" i="11"/>
  <c r="BA268" i="11" s="1"/>
  <c r="BA257" i="11"/>
  <c r="BA329" i="11" s="1"/>
  <c r="BA189" i="11"/>
  <c r="BA178" i="11"/>
  <c r="AZ185" i="11"/>
  <c r="AZ642" i="11" s="1"/>
  <c r="AZ196" i="11"/>
  <c r="AZ654" i="11" s="1"/>
  <c r="AD14" i="17" s="1"/>
  <c r="AD25" i="17" s="1"/>
  <c r="AS23" i="18"/>
  <c r="AS21" i="18"/>
  <c r="AS20" i="18"/>
  <c r="AS22" i="18"/>
  <c r="AS24" i="18"/>
  <c r="AS25" i="18"/>
  <c r="AR26" i="18"/>
  <c r="AT636" i="11" l="1"/>
  <c r="AT648" i="11" s="1"/>
  <c r="AU637" i="11"/>
  <c r="AU649" i="11" s="1"/>
  <c r="U13" i="17"/>
  <c r="AZ619" i="11"/>
  <c r="AZ622" i="11"/>
  <c r="AZ621" i="11"/>
  <c r="AZ618" i="11"/>
  <c r="AZ620" i="11"/>
  <c r="AY623" i="11"/>
  <c r="BA618" i="11"/>
  <c r="BA622" i="11"/>
  <c r="BA621" i="11"/>
  <c r="BA620" i="11"/>
  <c r="BA619" i="11"/>
  <c r="AU425" i="11"/>
  <c r="AU628" i="11"/>
  <c r="AU630" i="11" s="1"/>
  <c r="AU641" i="11" s="1"/>
  <c r="AU653" i="11" s="1"/>
  <c r="AX354" i="11"/>
  <c r="AX363" i="11" s="1"/>
  <c r="V20" i="17"/>
  <c r="V24" i="17" s="1"/>
  <c r="V13" i="17"/>
  <c r="AT425" i="11"/>
  <c r="AT615" i="11"/>
  <c r="AX404" i="11"/>
  <c r="AX412" i="11"/>
  <c r="AX414" i="11" s="1"/>
  <c r="AX411" i="11" s="1"/>
  <c r="AX418" i="11" s="1"/>
  <c r="AX423" i="11" s="1"/>
  <c r="AX615" i="11" s="1"/>
  <c r="AY401" i="11"/>
  <c r="AY408" i="11" s="1"/>
  <c r="AY410" i="11" s="1"/>
  <c r="AW359" i="11"/>
  <c r="AY403" i="11"/>
  <c r="AY412" i="11" s="1"/>
  <c r="AX358" i="11"/>
  <c r="AX357" i="11"/>
  <c r="AX372" i="11" s="1"/>
  <c r="AX356" i="11"/>
  <c r="AX369" i="11" s="1"/>
  <c r="AZ399" i="11"/>
  <c r="AZ402" i="11" s="1"/>
  <c r="AY334" i="11"/>
  <c r="AY352" i="11"/>
  <c r="AY355" i="11" s="1"/>
  <c r="AY366" i="11" s="1"/>
  <c r="BA314" i="11"/>
  <c r="BA331" i="11" s="1"/>
  <c r="AZ343" i="11"/>
  <c r="AZ350" i="11" s="1"/>
  <c r="AZ310" i="11"/>
  <c r="AZ330" i="11" s="1"/>
  <c r="BA343" i="11"/>
  <c r="BA350" i="11" s="1"/>
  <c r="BA310" i="11"/>
  <c r="BA330" i="11" s="1"/>
  <c r="AY345" i="11"/>
  <c r="AZ340" i="11"/>
  <c r="AZ347" i="11" s="1"/>
  <c r="AZ302" i="11"/>
  <c r="BA267" i="11"/>
  <c r="BA342" i="11" s="1"/>
  <c r="BA349" i="11" s="1"/>
  <c r="BA344" i="11"/>
  <c r="BA351" i="11" s="1"/>
  <c r="BA266" i="11"/>
  <c r="BA341" i="11" s="1"/>
  <c r="BA348" i="11" s="1"/>
  <c r="BA265" i="11"/>
  <c r="AY578" i="11"/>
  <c r="AY583" i="11" s="1"/>
  <c r="AY567" i="11"/>
  <c r="BA462" i="11"/>
  <c r="BA478" i="11" s="1"/>
  <c r="BA461" i="11"/>
  <c r="BA477" i="11" s="1"/>
  <c r="BA458" i="11"/>
  <c r="BA566" i="11"/>
  <c r="BA582" i="11" s="1"/>
  <c r="BA460" i="11"/>
  <c r="BA476" i="11" s="1"/>
  <c r="BA459" i="11"/>
  <c r="BA475" i="11" s="1"/>
  <c r="BA562" i="11"/>
  <c r="BA564" i="11"/>
  <c r="BA580" i="11" s="1"/>
  <c r="BA565" i="11"/>
  <c r="BA581" i="11" s="1"/>
  <c r="BA563" i="11"/>
  <c r="BA579" i="11" s="1"/>
  <c r="AY474" i="11"/>
  <c r="AY479" i="11" s="1"/>
  <c r="AY463" i="11"/>
  <c r="AZ564" i="11"/>
  <c r="AZ580" i="11" s="1"/>
  <c r="AZ566" i="11"/>
  <c r="AZ582" i="11" s="1"/>
  <c r="AZ565" i="11"/>
  <c r="AZ581" i="11" s="1"/>
  <c r="AZ563" i="11"/>
  <c r="AZ579" i="11" s="1"/>
  <c r="AZ458" i="11"/>
  <c r="AZ459" i="11"/>
  <c r="AZ475" i="11" s="1"/>
  <c r="AZ460" i="11"/>
  <c r="AZ476" i="11" s="1"/>
  <c r="AZ462" i="11"/>
  <c r="AZ478" i="11" s="1"/>
  <c r="AZ562" i="11"/>
  <c r="AZ461" i="11"/>
  <c r="AZ477" i="11" s="1"/>
  <c r="AT586" i="11"/>
  <c r="AT635" i="11" s="1"/>
  <c r="AT482" i="11"/>
  <c r="AT634" i="11" s="1"/>
  <c r="AT646" i="11" s="1"/>
  <c r="AS389" i="11"/>
  <c r="AS635" i="11"/>
  <c r="AS647" i="11" s="1"/>
  <c r="AW371" i="11"/>
  <c r="AW379" i="11" s="1"/>
  <c r="AU375" i="11"/>
  <c r="AU381" i="11" s="1"/>
  <c r="AU388" i="11" s="1"/>
  <c r="AT382" i="11"/>
  <c r="AV378" i="11"/>
  <c r="AW368" i="11"/>
  <c r="AU380" i="11"/>
  <c r="AU387" i="11" s="1"/>
  <c r="AU599" i="11" s="1"/>
  <c r="AU603" i="11" s="1"/>
  <c r="AU638" i="11" s="1"/>
  <c r="AU650" i="11" s="1"/>
  <c r="AV374" i="11"/>
  <c r="AT389" i="11"/>
  <c r="AU377" i="11"/>
  <c r="AU384" i="11" s="1"/>
  <c r="AV365" i="11"/>
  <c r="AV418" i="11"/>
  <c r="AV415" i="11"/>
  <c r="AW419" i="11"/>
  <c r="AW424" i="11" s="1"/>
  <c r="AW628" i="11" s="1"/>
  <c r="AW630" i="11" s="1"/>
  <c r="AW641" i="11" s="1"/>
  <c r="AW653" i="11" s="1"/>
  <c r="AZ287" i="11"/>
  <c r="AZ288" i="11"/>
  <c r="AZ286" i="11"/>
  <c r="AW411" i="11"/>
  <c r="AY289" i="11"/>
  <c r="BA284" i="11"/>
  <c r="BA396" i="11"/>
  <c r="BA399" i="11" s="1"/>
  <c r="AX417" i="11"/>
  <c r="AX422" i="11" s="1"/>
  <c r="AX607" i="11" s="1"/>
  <c r="AX611" i="11" s="1"/>
  <c r="AX639" i="11" s="1"/>
  <c r="AX651" i="11" s="1"/>
  <c r="AX277" i="11"/>
  <c r="AV386" i="11"/>
  <c r="AU385" i="11"/>
  <c r="AY272" i="11"/>
  <c r="AY273" i="11"/>
  <c r="AY274" i="11"/>
  <c r="AY275" i="11"/>
  <c r="AY276" i="11"/>
  <c r="AZ270" i="11"/>
  <c r="BA196" i="11"/>
  <c r="BA654" i="11" s="1"/>
  <c r="AE14" i="17" s="1"/>
  <c r="AE25" i="17" s="1"/>
  <c r="BA185" i="11"/>
  <c r="BA642" i="11" s="1"/>
  <c r="AS26" i="18"/>
  <c r="AU636" i="11" l="1"/>
  <c r="AU648" i="11" s="1"/>
  <c r="AV637" i="11"/>
  <c r="AV649" i="11" s="1"/>
  <c r="AX624" i="11"/>
  <c r="AX640" i="11" s="1"/>
  <c r="AX652" i="11" s="1"/>
  <c r="AZ623" i="11"/>
  <c r="BA623" i="11"/>
  <c r="AT624" i="11"/>
  <c r="AT640" i="11" s="1"/>
  <c r="AT647" i="11"/>
  <c r="AY414" i="11"/>
  <c r="AY411" i="11" s="1"/>
  <c r="AY418" i="11" s="1"/>
  <c r="AY423" i="11" s="1"/>
  <c r="AY615" i="11" s="1"/>
  <c r="AZ352" i="11"/>
  <c r="AZ354" i="11" s="1"/>
  <c r="AZ363" i="11" s="1"/>
  <c r="AZ401" i="11"/>
  <c r="AZ408" i="11" s="1"/>
  <c r="AZ410" i="11" s="1"/>
  <c r="AZ403" i="11"/>
  <c r="AZ412" i="11" s="1"/>
  <c r="AX359" i="11"/>
  <c r="AY404" i="11"/>
  <c r="AY357" i="11"/>
  <c r="AY372" i="11" s="1"/>
  <c r="AY354" i="11"/>
  <c r="AY363" i="11" s="1"/>
  <c r="AY356" i="11"/>
  <c r="AY369" i="11" s="1"/>
  <c r="AY358" i="11"/>
  <c r="AZ345" i="11"/>
  <c r="AZ326" i="11"/>
  <c r="AZ334" i="11" s="1"/>
  <c r="BA340" i="11"/>
  <c r="BA347" i="11" s="1"/>
  <c r="BA352" i="11" s="1"/>
  <c r="BA302" i="11"/>
  <c r="BA270" i="11"/>
  <c r="BA273" i="11" s="1"/>
  <c r="AZ474" i="11"/>
  <c r="AZ479" i="11" s="1"/>
  <c r="AZ463" i="11"/>
  <c r="AZ578" i="11"/>
  <c r="AZ583" i="11" s="1"/>
  <c r="AZ567" i="11"/>
  <c r="BA578" i="11"/>
  <c r="BA583" i="11" s="1"/>
  <c r="BA567" i="11"/>
  <c r="BA474" i="11"/>
  <c r="BA479" i="11" s="1"/>
  <c r="BA463" i="11"/>
  <c r="AU586" i="11"/>
  <c r="AU635" i="11" s="1"/>
  <c r="AS643" i="11"/>
  <c r="AS655" i="11"/>
  <c r="W9" i="17" s="1"/>
  <c r="W20" i="17" s="1"/>
  <c r="AU482" i="11"/>
  <c r="AU634" i="11" s="1"/>
  <c r="AU646" i="11" s="1"/>
  <c r="AX371" i="11"/>
  <c r="AV375" i="11"/>
  <c r="AV381" i="11" s="1"/>
  <c r="AV388" i="11" s="1"/>
  <c r="AU382" i="11"/>
  <c r="AV380" i="11"/>
  <c r="AV387" i="11" s="1"/>
  <c r="AV599" i="11" s="1"/>
  <c r="AV603" i="11" s="1"/>
  <c r="AV638" i="11" s="1"/>
  <c r="AV650" i="11" s="1"/>
  <c r="AW374" i="11"/>
  <c r="AV377" i="11"/>
  <c r="AV384" i="11" s="1"/>
  <c r="AW365" i="11"/>
  <c r="AW378" i="11"/>
  <c r="AX368" i="11"/>
  <c r="AU389" i="11"/>
  <c r="AV420" i="11"/>
  <c r="AV423" i="11"/>
  <c r="AX419" i="11"/>
  <c r="AY417" i="11"/>
  <c r="AY422" i="11" s="1"/>
  <c r="AY607" i="11" s="1"/>
  <c r="AY611" i="11" s="1"/>
  <c r="AY639" i="11" s="1"/>
  <c r="AY651" i="11" s="1"/>
  <c r="AW418" i="11"/>
  <c r="AW415" i="11"/>
  <c r="BA287" i="11"/>
  <c r="BA288" i="11"/>
  <c r="BA286" i="11"/>
  <c r="AX415" i="11"/>
  <c r="BA402" i="11"/>
  <c r="BA403" i="11"/>
  <c r="BA412" i="11" s="1"/>
  <c r="BA401" i="11"/>
  <c r="AZ289" i="11"/>
  <c r="AW386" i="11"/>
  <c r="AY277" i="11"/>
  <c r="AV385" i="11"/>
  <c r="AZ275" i="11"/>
  <c r="AZ276" i="11"/>
  <c r="AZ274" i="11"/>
  <c r="AZ272" i="11"/>
  <c r="AZ273" i="11"/>
  <c r="AV636" i="11" l="1"/>
  <c r="AV648" i="11" s="1"/>
  <c r="AW637" i="11"/>
  <c r="AW649" i="11" s="1"/>
  <c r="AT652" i="11"/>
  <c r="AT655" i="11" s="1"/>
  <c r="X9" i="17" s="1"/>
  <c r="X20" i="17" s="1"/>
  <c r="X24" i="17" s="1"/>
  <c r="AT643" i="11"/>
  <c r="AY624" i="11"/>
  <c r="AY640" i="11" s="1"/>
  <c r="AY652" i="11" s="1"/>
  <c r="AV425" i="11"/>
  <c r="AV615" i="11"/>
  <c r="AU647" i="11"/>
  <c r="AU655" i="11" s="1"/>
  <c r="Y9" i="17" s="1"/>
  <c r="AZ358" i="11"/>
  <c r="AZ414" i="11"/>
  <c r="BA414" i="11" s="1"/>
  <c r="AZ355" i="11"/>
  <c r="AZ366" i="11" s="1"/>
  <c r="AZ357" i="11"/>
  <c r="AZ372" i="11" s="1"/>
  <c r="AZ356" i="11"/>
  <c r="AZ369" i="11" s="1"/>
  <c r="AZ404" i="11"/>
  <c r="AY359" i="11"/>
  <c r="BA326" i="11"/>
  <c r="BA334" i="11" s="1"/>
  <c r="BA345" i="11"/>
  <c r="BA356" i="11"/>
  <c r="BA369" i="11" s="1"/>
  <c r="BA358" i="11"/>
  <c r="BA272" i="11"/>
  <c r="BA276" i="11"/>
  <c r="BA274" i="11"/>
  <c r="BA275" i="11"/>
  <c r="BA355" i="11"/>
  <c r="BA366" i="11" s="1"/>
  <c r="BA357" i="11"/>
  <c r="BA372" i="11" s="1"/>
  <c r="BA354" i="11"/>
  <c r="BA363" i="11" s="1"/>
  <c r="AV586" i="11"/>
  <c r="AV635" i="11" s="1"/>
  <c r="AU643" i="11"/>
  <c r="W24" i="17"/>
  <c r="W13" i="17"/>
  <c r="AV482" i="11"/>
  <c r="AV634" i="11" s="1"/>
  <c r="AV646" i="11" s="1"/>
  <c r="AW375" i="11"/>
  <c r="AW381" i="11" s="1"/>
  <c r="AW388" i="11" s="1"/>
  <c r="AX379" i="11"/>
  <c r="AX386" i="11" s="1"/>
  <c r="AY371" i="11"/>
  <c r="AV382" i="11"/>
  <c r="AV389" i="11"/>
  <c r="AW377" i="11"/>
  <c r="AW384" i="11" s="1"/>
  <c r="AX365" i="11"/>
  <c r="AX378" i="11"/>
  <c r="AY368" i="11"/>
  <c r="AW380" i="11"/>
  <c r="AW387" i="11" s="1"/>
  <c r="AW599" i="11" s="1"/>
  <c r="AW603" i="11" s="1"/>
  <c r="AW638" i="11" s="1"/>
  <c r="AW650" i="11" s="1"/>
  <c r="AX374" i="11"/>
  <c r="AX420" i="11"/>
  <c r="AX424" i="11"/>
  <c r="AW420" i="11"/>
  <c r="AW423" i="11"/>
  <c r="BA289" i="11"/>
  <c r="BA404" i="11"/>
  <c r="BA408" i="11"/>
  <c r="BA410" i="11" s="1"/>
  <c r="AZ417" i="11"/>
  <c r="AZ422" i="11" s="1"/>
  <c r="AZ607" i="11" s="1"/>
  <c r="AZ611" i="11" s="1"/>
  <c r="AZ639" i="11" s="1"/>
  <c r="AZ651" i="11" s="1"/>
  <c r="AY419" i="11"/>
  <c r="AY415" i="11"/>
  <c r="AZ277" i="11"/>
  <c r="AW385" i="11"/>
  <c r="AX637" i="11" l="1"/>
  <c r="AX649" i="11" s="1"/>
  <c r="AW636" i="11"/>
  <c r="AW648" i="11" s="1"/>
  <c r="X13" i="17"/>
  <c r="AV624" i="11"/>
  <c r="AV640" i="11" s="1"/>
  <c r="AX425" i="11"/>
  <c r="AX628" i="11"/>
  <c r="AX630" i="11" s="1"/>
  <c r="AX641" i="11" s="1"/>
  <c r="AX653" i="11" s="1"/>
  <c r="Y20" i="17"/>
  <c r="Y24" i="17" s="1"/>
  <c r="Y13" i="17"/>
  <c r="AV647" i="11"/>
  <c r="AW425" i="11"/>
  <c r="AW615" i="11"/>
  <c r="AZ411" i="11"/>
  <c r="AZ418" i="11" s="1"/>
  <c r="AZ423" i="11" s="1"/>
  <c r="AZ615" i="11" s="1"/>
  <c r="AZ359" i="11"/>
  <c r="BA277" i="11"/>
  <c r="BA359" i="11"/>
  <c r="AW586" i="11"/>
  <c r="AW635" i="11" s="1"/>
  <c r="AW482" i="11"/>
  <c r="AW634" i="11" s="1"/>
  <c r="AW646" i="11" s="1"/>
  <c r="AY379" i="11"/>
  <c r="AY386" i="11" s="1"/>
  <c r="AZ371" i="11"/>
  <c r="AX375" i="11"/>
  <c r="AX381" i="11" s="1"/>
  <c r="AX388" i="11" s="1"/>
  <c r="AW382" i="11"/>
  <c r="AW389" i="11"/>
  <c r="AX377" i="11"/>
  <c r="AX384" i="11" s="1"/>
  <c r="AY365" i="11"/>
  <c r="AY374" i="11"/>
  <c r="AX380" i="11"/>
  <c r="AX387" i="11" s="1"/>
  <c r="AX599" i="11" s="1"/>
  <c r="AX603" i="11" s="1"/>
  <c r="AX638" i="11" s="1"/>
  <c r="AX650" i="11" s="1"/>
  <c r="AY378" i="11"/>
  <c r="AZ368" i="11"/>
  <c r="AY420" i="11"/>
  <c r="AY424" i="11"/>
  <c r="BA417" i="11"/>
  <c r="BA422" i="11" s="1"/>
  <c r="BA607" i="11" s="1"/>
  <c r="BA611" i="11" s="1"/>
  <c r="BA639" i="11" s="1"/>
  <c r="BA651" i="11" s="1"/>
  <c r="AZ419" i="11"/>
  <c r="AX385" i="11"/>
  <c r="AY637" i="11" l="1"/>
  <c r="AY649" i="11" s="1"/>
  <c r="AX636" i="11"/>
  <c r="AX648" i="11" s="1"/>
  <c r="AV652" i="11"/>
  <c r="AV655" i="11" s="1"/>
  <c r="Z9" i="17" s="1"/>
  <c r="Z20" i="17" s="1"/>
  <c r="Z24" i="17" s="1"/>
  <c r="AV643" i="11"/>
  <c r="AW624" i="11"/>
  <c r="AW640" i="11" s="1"/>
  <c r="AW652" i="11" s="1"/>
  <c r="AZ624" i="11"/>
  <c r="AZ640" i="11" s="1"/>
  <c r="AZ652" i="11" s="1"/>
  <c r="AY425" i="11"/>
  <c r="AY628" i="11"/>
  <c r="AY630" i="11" s="1"/>
  <c r="AY641" i="11" s="1"/>
  <c r="AY653" i="11" s="1"/>
  <c r="AZ415" i="11"/>
  <c r="AW647" i="11"/>
  <c r="AX586" i="11"/>
  <c r="AX635" i="11" s="1"/>
  <c r="AX482" i="11"/>
  <c r="AX634" i="11" s="1"/>
  <c r="AX646" i="11" s="1"/>
  <c r="AZ379" i="11"/>
  <c r="AZ386" i="11" s="1"/>
  <c r="BA371" i="11"/>
  <c r="BA379" i="11" s="1"/>
  <c r="BA386" i="11" s="1"/>
  <c r="AX382" i="11"/>
  <c r="AY375" i="11"/>
  <c r="AY381" i="11" s="1"/>
  <c r="AY388" i="11" s="1"/>
  <c r="AX389" i="11"/>
  <c r="AY380" i="11"/>
  <c r="AY387" i="11" s="1"/>
  <c r="AY599" i="11" s="1"/>
  <c r="AY603" i="11" s="1"/>
  <c r="AY638" i="11" s="1"/>
  <c r="AY650" i="11" s="1"/>
  <c r="AZ374" i="11"/>
  <c r="AZ378" i="11"/>
  <c r="BA368" i="11"/>
  <c r="BA378" i="11" s="1"/>
  <c r="AY377" i="11"/>
  <c r="AY384" i="11" s="1"/>
  <c r="AZ365" i="11"/>
  <c r="AZ420" i="11"/>
  <c r="AZ424" i="11"/>
  <c r="BA411" i="11"/>
  <c r="BA419" i="11"/>
  <c r="BA424" i="11" s="1"/>
  <c r="BA628" i="11" s="1"/>
  <c r="BA630" i="11" s="1"/>
  <c r="BA641" i="11" s="1"/>
  <c r="BA653" i="11" s="1"/>
  <c r="AY385" i="11"/>
  <c r="BA637" i="11" l="1"/>
  <c r="BA649" i="11" s="1"/>
  <c r="AZ637" i="11"/>
  <c r="AZ649" i="11" s="1"/>
  <c r="AY636" i="11"/>
  <c r="AY648" i="11" s="1"/>
  <c r="Z13" i="17"/>
  <c r="AW643" i="11"/>
  <c r="AW655" i="11"/>
  <c r="AA9" i="17" s="1"/>
  <c r="AA20" i="17" s="1"/>
  <c r="AA24" i="17" s="1"/>
  <c r="AZ425" i="11"/>
  <c r="AZ628" i="11"/>
  <c r="AZ630" i="11" s="1"/>
  <c r="AZ641" i="11" s="1"/>
  <c r="AZ653" i="11" s="1"/>
  <c r="AX647" i="11"/>
  <c r="AX655" i="11" s="1"/>
  <c r="AB9" i="17" s="1"/>
  <c r="AX643" i="11"/>
  <c r="AY586" i="11"/>
  <c r="AY635" i="11" s="1"/>
  <c r="AY482" i="11"/>
  <c r="AY634" i="11" s="1"/>
  <c r="AY646" i="11" s="1"/>
  <c r="AZ375" i="11"/>
  <c r="AZ381" i="11" s="1"/>
  <c r="AZ388" i="11" s="1"/>
  <c r="AY382" i="11"/>
  <c r="AY389" i="11"/>
  <c r="AZ377" i="11"/>
  <c r="AZ384" i="11" s="1"/>
  <c r="BA365" i="11"/>
  <c r="BA377" i="11" s="1"/>
  <c r="BA384" i="11" s="1"/>
  <c r="AZ380" i="11"/>
  <c r="AZ387" i="11" s="1"/>
  <c r="AZ599" i="11" s="1"/>
  <c r="AZ603" i="11" s="1"/>
  <c r="AZ638" i="11" s="1"/>
  <c r="AZ650" i="11" s="1"/>
  <c r="BA374" i="11"/>
  <c r="BA418" i="11"/>
  <c r="BA415" i="11"/>
  <c r="AZ385" i="11"/>
  <c r="AZ636" i="11" l="1"/>
  <c r="AZ648" i="11" s="1"/>
  <c r="AA13" i="17"/>
  <c r="AB13" i="17"/>
  <c r="AB20" i="17"/>
  <c r="AB24" i="17" s="1"/>
  <c r="AY647" i="11"/>
  <c r="AY655" i="11" s="1"/>
  <c r="AC9" i="17" s="1"/>
  <c r="AZ586" i="11"/>
  <c r="AZ635" i="11" s="1"/>
  <c r="AY643" i="11"/>
  <c r="AZ482" i="11"/>
  <c r="AZ634" i="11" s="1"/>
  <c r="AZ646" i="11" s="1"/>
  <c r="BA482" i="11"/>
  <c r="BA634" i="11" s="1"/>
  <c r="BA646" i="11" s="1"/>
  <c r="AZ382" i="11"/>
  <c r="AZ389" i="11"/>
  <c r="BA375" i="11"/>
  <c r="BA380" i="11"/>
  <c r="BA387" i="11" s="1"/>
  <c r="BA599" i="11" s="1"/>
  <c r="BA603" i="11" s="1"/>
  <c r="BA638" i="11" s="1"/>
  <c r="BA650" i="11" s="1"/>
  <c r="BA420" i="11"/>
  <c r="BA423" i="11"/>
  <c r="BA385" i="11"/>
  <c r="BA636" i="11" l="1"/>
  <c r="BA648" i="11" s="1"/>
  <c r="AC20" i="17"/>
  <c r="AC24" i="17" s="1"/>
  <c r="AC13" i="17"/>
  <c r="AZ647" i="11"/>
  <c r="AZ655" i="11" s="1"/>
  <c r="AD9" i="17" s="1"/>
  <c r="BA425" i="11"/>
  <c r="BA615" i="11"/>
  <c r="AZ643" i="11"/>
  <c r="BA381" i="11"/>
  <c r="BA382" i="11" s="1"/>
  <c r="BA624" i="11" l="1"/>
  <c r="BA640" i="11" s="1"/>
  <c r="BA652" i="11" s="1"/>
  <c r="AD20" i="17"/>
  <c r="AD24" i="17" s="1"/>
  <c r="AD13" i="17"/>
  <c r="BA388" i="11"/>
  <c r="BA586" i="11" s="1"/>
  <c r="BA389" i="11" l="1"/>
  <c r="BA635" i="11"/>
  <c r="BA647" i="11" s="1"/>
  <c r="BA643" i="11" l="1"/>
  <c r="BA655" i="11"/>
  <c r="AE9" i="17" s="1"/>
  <c r="AE20" i="17" s="1"/>
  <c r="AE13" i="17" l="1"/>
  <c r="AE24" i="17"/>
  <c r="F376" i="16"/>
  <c r="C5" i="21" s="1"/>
</calcChain>
</file>

<file path=xl/comments1.xml><?xml version="1.0" encoding="utf-8"?>
<comments xmlns="http://schemas.openxmlformats.org/spreadsheetml/2006/main">
  <authors>
    <author>Omistaja</author>
  </authors>
  <commentList>
    <comment ref="B3" authorId="0" shapeId="0">
      <text>
        <r>
          <rPr>
            <b/>
            <sz val="9"/>
            <color indexed="81"/>
            <rFont val="Tahoma"/>
            <family val="2"/>
          </rPr>
          <t>Omistaja:</t>
        </r>
        <r>
          <rPr>
            <sz val="9"/>
            <color indexed="81"/>
            <rFont val="Tahoma"/>
            <family val="2"/>
          </rPr>
          <t xml:space="preserve">
three first inputs are common to all modules</t>
        </r>
      </text>
    </comment>
  </commentList>
</comments>
</file>

<file path=xl/comments2.xml><?xml version="1.0" encoding="utf-8"?>
<comments xmlns="http://schemas.openxmlformats.org/spreadsheetml/2006/main">
  <authors>
    <author>Kimmo Sakari Lylykangas</author>
  </authors>
  <commentList>
    <comment ref="B130" authorId="0" shapeId="0">
      <text>
        <r>
          <rPr>
            <b/>
            <sz val="9"/>
            <color indexed="81"/>
            <rFont val="Tahoma"/>
            <family val="2"/>
            <charset val="186"/>
          </rPr>
          <t xml:space="preserve">plese note that these cells include texts that become visible if inputs are controversial
</t>
        </r>
        <r>
          <rPr>
            <sz val="9"/>
            <color indexed="81"/>
            <rFont val="Tahoma"/>
            <family val="2"/>
            <charset val="186"/>
          </rPr>
          <t xml:space="preserve">
</t>
        </r>
      </text>
    </comment>
    <comment ref="B148" authorId="0" shapeId="0">
      <text>
        <r>
          <rPr>
            <b/>
            <sz val="9"/>
            <color indexed="81"/>
            <rFont val="Tahoma"/>
            <family val="2"/>
            <charset val="186"/>
          </rPr>
          <t xml:space="preserve">Mobility refers to the volume of passenger transport within the area by residents and non-residents
</t>
        </r>
      </text>
    </comment>
    <comment ref="F149" authorId="0" shapeId="0">
      <text>
        <r>
          <rPr>
            <b/>
            <sz val="9"/>
            <color indexed="81"/>
            <rFont val="Tahoma"/>
            <family val="2"/>
            <charset val="186"/>
          </rPr>
          <t xml:space="preserve">If inserted value is a positive number, mobility (vehicle kilometers for all modes of passenger transport) is decreasing
</t>
        </r>
      </text>
    </comment>
    <comment ref="G149" authorId="0" shapeId="0">
      <text>
        <r>
          <rPr>
            <b/>
            <sz val="9"/>
            <color indexed="81"/>
            <rFont val="Tahoma"/>
            <family val="2"/>
            <charset val="186"/>
          </rPr>
          <t xml:space="preserve">If population affected is 100%, then the expected change applies to the whole area in concern
</t>
        </r>
      </text>
    </comment>
    <comment ref="B150" authorId="0" shapeId="0">
      <text>
        <r>
          <rPr>
            <b/>
            <sz val="9"/>
            <color indexed="81"/>
            <rFont val="Tahoma"/>
            <family val="2"/>
            <charset val="186"/>
          </rPr>
          <t>It is assumed that the impact achieved by policy is permanent.</t>
        </r>
      </text>
    </comment>
    <comment ref="B152" authorId="0" shapeId="0">
      <text>
        <r>
          <rPr>
            <b/>
            <sz val="9"/>
            <color indexed="81"/>
            <rFont val="Tahoma"/>
            <family val="2"/>
            <charset val="186"/>
          </rPr>
          <t xml:space="preserve">plese note that these cells include texts that become visible if inputs are controversial
</t>
        </r>
        <r>
          <rPr>
            <sz val="9"/>
            <color indexed="81"/>
            <rFont val="Tahoma"/>
            <family val="2"/>
            <charset val="186"/>
          </rPr>
          <t xml:space="preserve">
</t>
        </r>
      </text>
    </comment>
    <comment ref="B159" authorId="0" shapeId="0">
      <text>
        <r>
          <rPr>
            <b/>
            <sz val="9"/>
            <color indexed="81"/>
            <rFont val="Tahoma"/>
            <family val="2"/>
            <charset val="186"/>
          </rPr>
          <t>It is assumed that the impact achieved by policy is permanent.</t>
        </r>
      </text>
    </comment>
    <comment ref="B161" authorId="0" shapeId="0">
      <text>
        <r>
          <rPr>
            <b/>
            <sz val="9"/>
            <color indexed="81"/>
            <rFont val="Tahoma"/>
            <family val="2"/>
            <charset val="186"/>
          </rPr>
          <t xml:space="preserve">plese note that these cells include texts that become visible if inputs are controversial
</t>
        </r>
        <r>
          <rPr>
            <sz val="9"/>
            <color indexed="81"/>
            <rFont val="Tahoma"/>
            <family val="2"/>
            <charset val="186"/>
          </rPr>
          <t xml:space="preserve">
</t>
        </r>
      </text>
    </comment>
    <comment ref="B176" authorId="0" shapeId="0">
      <text>
        <r>
          <rPr>
            <b/>
            <sz val="9"/>
            <color indexed="81"/>
            <rFont val="Tahoma"/>
            <family val="2"/>
            <charset val="186"/>
          </rPr>
          <t>It is assumed that the impact achieved by policy is permanent.</t>
        </r>
      </text>
    </comment>
    <comment ref="B178" authorId="0" shapeId="0">
      <text>
        <r>
          <rPr>
            <b/>
            <sz val="9"/>
            <color indexed="81"/>
            <rFont val="Tahoma"/>
            <family val="2"/>
            <charset val="186"/>
          </rPr>
          <t xml:space="preserve">plese note that these cells include texts that become visible if inputs are controversial
</t>
        </r>
        <r>
          <rPr>
            <sz val="9"/>
            <color indexed="81"/>
            <rFont val="Tahoma"/>
            <family val="2"/>
            <charset val="186"/>
          </rPr>
          <t xml:space="preserve">
</t>
        </r>
      </text>
    </comment>
    <comment ref="B186" authorId="0" shapeId="0">
      <text>
        <r>
          <rPr>
            <b/>
            <sz val="9"/>
            <color indexed="81"/>
            <rFont val="Tahoma"/>
            <family val="2"/>
            <charset val="186"/>
          </rPr>
          <t>It is assumed that the impact achieved by policy is permanent.</t>
        </r>
      </text>
    </comment>
    <comment ref="B188" authorId="0" shapeId="0">
      <text>
        <r>
          <rPr>
            <b/>
            <sz val="9"/>
            <color indexed="81"/>
            <rFont val="Tahoma"/>
            <family val="2"/>
            <charset val="186"/>
          </rPr>
          <t xml:space="preserve">plese note that these cells include texts that become visible if inputs are controversial
</t>
        </r>
        <r>
          <rPr>
            <sz val="9"/>
            <color indexed="81"/>
            <rFont val="Tahoma"/>
            <family val="2"/>
            <charset val="186"/>
          </rPr>
          <t xml:space="preserve">
</t>
        </r>
      </text>
    </comment>
    <comment ref="B197" authorId="0" shapeId="0">
      <text>
        <r>
          <rPr>
            <b/>
            <sz val="9"/>
            <color indexed="81"/>
            <rFont val="Tahoma"/>
            <family val="2"/>
            <charset val="186"/>
          </rPr>
          <t>It is assumed that the impact achieved by policy is permanent.</t>
        </r>
      </text>
    </comment>
    <comment ref="B199" authorId="0" shapeId="0">
      <text>
        <r>
          <rPr>
            <b/>
            <sz val="9"/>
            <color indexed="81"/>
            <rFont val="Tahoma"/>
            <family val="2"/>
            <charset val="186"/>
          </rPr>
          <t xml:space="preserve">plese note that these cells include texts that become visible if inputs are controversial
</t>
        </r>
        <r>
          <rPr>
            <sz val="9"/>
            <color indexed="81"/>
            <rFont val="Tahoma"/>
            <family val="2"/>
            <charset val="186"/>
          </rPr>
          <t xml:space="preserve">
</t>
        </r>
      </text>
    </comment>
    <comment ref="B219" authorId="0" shapeId="0">
      <text>
        <r>
          <rPr>
            <b/>
            <sz val="9"/>
            <color indexed="81"/>
            <rFont val="Tahoma"/>
            <family val="2"/>
            <charset val="186"/>
          </rPr>
          <t>It is assumed that the impact achieved by policy is permanent.</t>
        </r>
      </text>
    </comment>
    <comment ref="B224" authorId="0" shapeId="0">
      <text>
        <r>
          <rPr>
            <b/>
            <sz val="9"/>
            <color indexed="81"/>
            <rFont val="Tahoma"/>
            <family val="2"/>
            <charset val="186"/>
          </rPr>
          <t xml:space="preserve">plese note that these cells include texts that become visible if inputs are controversial
</t>
        </r>
        <r>
          <rPr>
            <sz val="9"/>
            <color indexed="81"/>
            <rFont val="Tahoma"/>
            <family val="2"/>
            <charset val="186"/>
          </rPr>
          <t xml:space="preserve">
</t>
        </r>
      </text>
    </comment>
    <comment ref="B229" authorId="0" shapeId="0">
      <text>
        <r>
          <rPr>
            <b/>
            <sz val="9"/>
            <color indexed="81"/>
            <rFont val="Tahoma"/>
            <family val="2"/>
            <charset val="186"/>
          </rPr>
          <t>It is assumed that the impact achieved by policy is permanent.</t>
        </r>
      </text>
    </comment>
    <comment ref="B231" authorId="0" shapeId="0">
      <text>
        <r>
          <rPr>
            <b/>
            <sz val="9"/>
            <color indexed="81"/>
            <rFont val="Tahoma"/>
            <family val="2"/>
            <charset val="186"/>
          </rPr>
          <t xml:space="preserve">plese note that these cells include texts that become visible if inputs are controversial
</t>
        </r>
        <r>
          <rPr>
            <sz val="9"/>
            <color indexed="81"/>
            <rFont val="Tahoma"/>
            <family val="2"/>
            <charset val="186"/>
          </rPr>
          <t xml:space="preserve">
</t>
        </r>
      </text>
    </comment>
  </commentList>
</comments>
</file>

<file path=xl/sharedStrings.xml><?xml version="1.0" encoding="utf-8"?>
<sst xmlns="http://schemas.openxmlformats.org/spreadsheetml/2006/main" count="20048" uniqueCount="5468">
  <si>
    <t>Finland</t>
  </si>
  <si>
    <t>Austria</t>
  </si>
  <si>
    <t>Belgium</t>
  </si>
  <si>
    <t>Bulgaria</t>
  </si>
  <si>
    <t>Cyprus</t>
  </si>
  <si>
    <t>Czechia</t>
  </si>
  <si>
    <t>Denmark</t>
  </si>
  <si>
    <t>Estonia</t>
  </si>
  <si>
    <t>Spain</t>
  </si>
  <si>
    <t>France</t>
  </si>
  <si>
    <t>Greece</t>
  </si>
  <si>
    <t>Hungary</t>
  </si>
  <si>
    <t>Croatia</t>
  </si>
  <si>
    <t>Ireland</t>
  </si>
  <si>
    <t>Italy</t>
  </si>
  <si>
    <t>Lithuania</t>
  </si>
  <si>
    <t>Luxembourg</t>
  </si>
  <si>
    <t>Latvia</t>
  </si>
  <si>
    <t>Malta</t>
  </si>
  <si>
    <t>Netherlands</t>
  </si>
  <si>
    <t>Poland</t>
  </si>
  <si>
    <t>Portugal</t>
  </si>
  <si>
    <t>Romania</t>
  </si>
  <si>
    <t>Sweden</t>
  </si>
  <si>
    <t>Slovenia</t>
  </si>
  <si>
    <t>Slovakia</t>
  </si>
  <si>
    <t>Norway</t>
  </si>
  <si>
    <t>Germany</t>
  </si>
  <si>
    <t>UK</t>
  </si>
  <si>
    <t>Iceland</t>
  </si>
  <si>
    <t>Switzerland</t>
  </si>
  <si>
    <t>Population of the assessment area</t>
  </si>
  <si>
    <t>Liechtenstein</t>
  </si>
  <si>
    <t>Country</t>
  </si>
  <si>
    <t>U1 PLANNER USER INPUT 1: BASELINE</t>
  </si>
  <si>
    <t>BASELINE</t>
  </si>
  <si>
    <t>BUS</t>
  </si>
  <si>
    <t>PASSENGER CAR</t>
  </si>
  <si>
    <t>METRO</t>
  </si>
  <si>
    <t>TRAM</t>
  </si>
  <si>
    <t>ROAD TRANSPORT EMISSION FACTOR</t>
  </si>
  <si>
    <t>BUS_COL1</t>
  </si>
  <si>
    <t>BUS_COL2</t>
  </si>
  <si>
    <t>BUS_COL3</t>
  </si>
  <si>
    <t>CAR_COL1</t>
  </si>
  <si>
    <t>CAR_COL2</t>
  </si>
  <si>
    <t>METRO_COL1</t>
  </si>
  <si>
    <t>METRO_COL2</t>
  </si>
  <si>
    <t>METRO_COL3</t>
  </si>
  <si>
    <t>TRAM_COL1</t>
  </si>
  <si>
    <t>TRAM_COL2</t>
  </si>
  <si>
    <t>TRAM_COL3</t>
  </si>
  <si>
    <t>TRAIN_COL1</t>
  </si>
  <si>
    <t>TRAIN_COL2</t>
  </si>
  <si>
    <t>TRAIN_COL3</t>
  </si>
  <si>
    <t>PASSENGER TRAIN</t>
  </si>
  <si>
    <t>RAIL TRANSPORT</t>
  </si>
  <si>
    <t>ROAD TRANSPORT</t>
  </si>
  <si>
    <t>TRANSPORT ON INLAND WATERWAYS</t>
  </si>
  <si>
    <t>Total Transport emissions per capita</t>
  </si>
  <si>
    <t>METROPOLITAN CENTER</t>
  </si>
  <si>
    <t>URBAN</t>
  </si>
  <si>
    <t>SUBURBAN</t>
  </si>
  <si>
    <t>TOWN</t>
  </si>
  <si>
    <t>RURAL</t>
  </si>
  <si>
    <t>%</t>
  </si>
  <si>
    <t>explanatory note</t>
  </si>
  <si>
    <t>bus</t>
  </si>
  <si>
    <t>car</t>
  </si>
  <si>
    <t>tram</t>
  </si>
  <si>
    <t>train</t>
  </si>
  <si>
    <t>rail freight</t>
  </si>
  <si>
    <t>road freight</t>
  </si>
  <si>
    <t>inland waterways freight</t>
  </si>
  <si>
    <t>metro</t>
  </si>
  <si>
    <t>POP_COL1</t>
  </si>
  <si>
    <t>TRAIN_COL4</t>
  </si>
  <si>
    <t>TRAM_COL4</t>
  </si>
  <si>
    <t>METRO_COL4</t>
  </si>
  <si>
    <t>CAR_COL4</t>
  </si>
  <si>
    <t>BUS_COL4</t>
  </si>
  <si>
    <t>POP_COL2</t>
  </si>
  <si>
    <t>POP_COL3</t>
  </si>
  <si>
    <t>BUS_COL5</t>
  </si>
  <si>
    <t>BUS_COL6</t>
  </si>
  <si>
    <t>CAR_COL5</t>
  </si>
  <si>
    <t>CAR_COL6</t>
  </si>
  <si>
    <t>METRO_COL5</t>
  </si>
  <si>
    <t>METRO_COL6</t>
  </si>
  <si>
    <t>TRAM_COL5</t>
  </si>
  <si>
    <t>TRAM_COL6</t>
  </si>
  <si>
    <t>TRAIN_COL5</t>
  </si>
  <si>
    <t>TRAIN_COL6</t>
  </si>
  <si>
    <t>0.3</t>
  </si>
  <si>
    <t>Year</t>
  </si>
  <si>
    <t>N-S measurement (km)</t>
  </si>
  <si>
    <t>E-W measurement (km)</t>
  </si>
  <si>
    <t>Freight transport by road</t>
  </si>
  <si>
    <t>Freight transport by rail</t>
  </si>
  <si>
    <t>Freight transport by inland waterways</t>
  </si>
  <si>
    <t>year of data origin</t>
  </si>
  <si>
    <t>source</t>
  </si>
  <si>
    <t>Settlement type</t>
  </si>
  <si>
    <t>U2 NEW DEVELOPMENT</t>
  </si>
  <si>
    <t>residents moving in</t>
  </si>
  <si>
    <t>start</t>
  </si>
  <si>
    <t>end</t>
  </si>
  <si>
    <t>TRANSPORT CO2e EMISSIONS</t>
  </si>
  <si>
    <t>New residents</t>
  </si>
  <si>
    <t>Number of new residents</t>
  </si>
  <si>
    <t>baseline population based on year selection and annual change</t>
  </si>
  <si>
    <t>U2 new development and annual change</t>
  </si>
  <si>
    <t>population scenario (baseline + U2 with annual change)</t>
  </si>
  <si>
    <t/>
  </si>
  <si>
    <t>0 = no new developments to be quantified</t>
  </si>
  <si>
    <t>U3 POLICY QUANTIFICATION</t>
  </si>
  <si>
    <t>weighted average</t>
  </si>
  <si>
    <t>policy period</t>
  </si>
  <si>
    <t>expected change (%)</t>
  </si>
  <si>
    <t>population affected (%)</t>
  </si>
  <si>
    <t>Decrease in mobility</t>
  </si>
  <si>
    <t>U3.1 Passenger mobility</t>
  </si>
  <si>
    <t>total</t>
  </si>
  <si>
    <t>U3.3 Modal split, passenger transport</t>
  </si>
  <si>
    <t>Weighted average of old (baseline) and new settlement (U2)</t>
  </si>
  <si>
    <t>share in the end of policy period</t>
  </si>
  <si>
    <t>without policy (%)</t>
  </si>
  <si>
    <t>annual change in the modal share during the policy period</t>
  </si>
  <si>
    <t>TOTAL</t>
  </si>
  <si>
    <t>U3.1 reduction percentage</t>
  </si>
  <si>
    <t>sum of previous rows</t>
  </si>
  <si>
    <t>modal share without the policy U3.3 impact (%)</t>
  </si>
  <si>
    <t>modal share with the policy U3.3 impact (%)</t>
  </si>
  <si>
    <t xml:space="preserve">revised percentage x total passenger-km </t>
  </si>
  <si>
    <t>rest of it</t>
  </si>
  <si>
    <t>expected change %</t>
  </si>
  <si>
    <t>change in freight transport (%)</t>
  </si>
  <si>
    <t>U3.2 Freight transport</t>
  </si>
  <si>
    <t>U3.2 reduction percentage</t>
  </si>
  <si>
    <t>ENE_COL1</t>
  </si>
  <si>
    <t>ENE_COL2</t>
  </si>
  <si>
    <t>ENE_COL3</t>
  </si>
  <si>
    <t>ENE_COL4</t>
  </si>
  <si>
    <t>BUS_COL7</t>
  </si>
  <si>
    <t>BUS_COL8</t>
  </si>
  <si>
    <t>BUS_COL9</t>
  </si>
  <si>
    <t>BUS_COL10</t>
  </si>
  <si>
    <t>BUS_COL11</t>
  </si>
  <si>
    <t>Local dataset</t>
  </si>
  <si>
    <t>rail transport</t>
  </si>
  <si>
    <t>road transport</t>
  </si>
  <si>
    <t>water transport</t>
  </si>
  <si>
    <t>correction factor</t>
  </si>
  <si>
    <t>CF baseline</t>
  </si>
  <si>
    <t>CF new developments (U2)</t>
  </si>
  <si>
    <t>CF weighted average</t>
  </si>
  <si>
    <t>CF NEW SETTLEMENT</t>
  </si>
  <si>
    <t xml:space="preserve">CF BASELINE </t>
  </si>
  <si>
    <t>CF</t>
  </si>
  <si>
    <t>CF CHANGE CALCULATION</t>
  </si>
  <si>
    <t>input from U2</t>
  </si>
  <si>
    <t>SHARE OF ELECTRIC ENGINES (%)</t>
  </si>
  <si>
    <t>Metro systems included</t>
  </si>
  <si>
    <t>Tram systems included</t>
  </si>
  <si>
    <t>BASELINE RESULTS</t>
  </si>
  <si>
    <t>Edinburgh</t>
  </si>
  <si>
    <t>Rathlin Island</t>
  </si>
  <si>
    <t>Meath County</t>
  </si>
  <si>
    <t>Kymenlaakso</t>
  </si>
  <si>
    <t>Haapsalu</t>
  </si>
  <si>
    <t>CAR_COL7</t>
  </si>
  <si>
    <t>CAR_COL8</t>
  </si>
  <si>
    <t>CAR_COL9</t>
  </si>
  <si>
    <t>CAR_COL10</t>
  </si>
  <si>
    <t>CAR_COL11</t>
  </si>
  <si>
    <t>CAR_COL12</t>
  </si>
  <si>
    <t>CAR_COL13</t>
  </si>
  <si>
    <t>CAR_COL14</t>
  </si>
  <si>
    <t>CAR_COL15</t>
  </si>
  <si>
    <t>CAR_COL16</t>
  </si>
  <si>
    <t>CAR_COL17</t>
  </si>
  <si>
    <t>CAR_COL18</t>
  </si>
  <si>
    <t>CAR_COL19</t>
  </si>
  <si>
    <t>CAR_COL20</t>
  </si>
  <si>
    <t>CAR_COL21</t>
  </si>
  <si>
    <t>CAR_COL22</t>
  </si>
  <si>
    <t>CAR_COL23</t>
  </si>
  <si>
    <t>TRANSPORT</t>
  </si>
  <si>
    <t>Settlements</t>
  </si>
  <si>
    <t>Cropland</t>
  </si>
  <si>
    <t>Grassland</t>
  </si>
  <si>
    <t>Wetland</t>
  </si>
  <si>
    <t>Other land</t>
  </si>
  <si>
    <t>U4 LAND USE BASELINE</t>
  </si>
  <si>
    <t>LAND USE CHANGE CO2e EMISSIONS</t>
  </si>
  <si>
    <t>BUS_COL12</t>
  </si>
  <si>
    <t>BUS_COL13</t>
  </si>
  <si>
    <t>BUS_COL14</t>
  </si>
  <si>
    <t>BUS_COL15</t>
  </si>
  <si>
    <t>BUS_COL16</t>
  </si>
  <si>
    <t>CAR_COL24</t>
  </si>
  <si>
    <t>CAR_COL25</t>
  </si>
  <si>
    <t>CAR_COL26</t>
  </si>
  <si>
    <t>CAR_COL27</t>
  </si>
  <si>
    <t>CAR_COL28</t>
  </si>
  <si>
    <t>TRAIN_COL7</t>
  </si>
  <si>
    <t>TRAIN_COL8</t>
  </si>
  <si>
    <t>TRAIN_COL9</t>
  </si>
  <si>
    <t>TRAIN_COL10</t>
  </si>
  <si>
    <t>TRAIN_COL11</t>
  </si>
  <si>
    <t>baseline (%)</t>
  </si>
  <si>
    <t>Total</t>
  </si>
  <si>
    <t>land use category</t>
  </si>
  <si>
    <t>Population</t>
  </si>
  <si>
    <t>POPULATION</t>
  </si>
  <si>
    <t>Expected annual change in population (%)</t>
  </si>
  <si>
    <t>CREATE LOCAL DATASET</t>
  </si>
  <si>
    <t>Prognosis on grid electricity emission factor (kgCO2e/kWh)</t>
  </si>
  <si>
    <t>Average bus occupancy</t>
  </si>
  <si>
    <t>pkm/a</t>
  </si>
  <si>
    <t>passengers</t>
  </si>
  <si>
    <t>Expected annual change in carbon intensity (%)</t>
  </si>
  <si>
    <t>Name of the new dataset</t>
  </si>
  <si>
    <t>ENERGY</t>
  </si>
  <si>
    <t>CSC_COL1</t>
  </si>
  <si>
    <t>CSC_COL2</t>
  </si>
  <si>
    <t>CSC_COL3</t>
  </si>
  <si>
    <t>CSC_COL4</t>
  </si>
  <si>
    <t>CSC_COL5</t>
  </si>
  <si>
    <t>CSC_COL6</t>
  </si>
  <si>
    <t>2020-30</t>
  </si>
  <si>
    <t>2030-40</t>
  </si>
  <si>
    <t>2040-50</t>
  </si>
  <si>
    <t>metropolitan</t>
  </si>
  <si>
    <t>city</t>
  </si>
  <si>
    <t>suburban</t>
  </si>
  <si>
    <t>town</t>
  </si>
  <si>
    <t>rural</t>
  </si>
  <si>
    <t>CSC_COL7</t>
  </si>
  <si>
    <t>CSC_COL8</t>
  </si>
  <si>
    <t>CSC_COL9</t>
  </si>
  <si>
    <t>CSC_COL10</t>
  </si>
  <si>
    <t>CSC_COL11</t>
  </si>
  <si>
    <t>CSC_COL12</t>
  </si>
  <si>
    <t>CSC_COL13</t>
  </si>
  <si>
    <t>CSC_COL14</t>
  </si>
  <si>
    <t>CSC_COL15</t>
  </si>
  <si>
    <t>CSC_COL16</t>
  </si>
  <si>
    <t>CSC_COL17</t>
  </si>
  <si>
    <t>CSC_COL18</t>
  </si>
  <si>
    <t>CSC_COL19</t>
  </si>
  <si>
    <t>CSC_COL20</t>
  </si>
  <si>
    <t>CSC_COL21</t>
  </si>
  <si>
    <t>CSC_COL22</t>
  </si>
  <si>
    <t>CSC_COL23</t>
  </si>
  <si>
    <t>CSC_COL24</t>
  </si>
  <si>
    <t>CSC_COL25</t>
  </si>
  <si>
    <t>CSC_COL26</t>
  </si>
  <si>
    <t>CSC_COL27</t>
  </si>
  <si>
    <t>CSC_COL28</t>
  </si>
  <si>
    <t>CSC_COL29</t>
  </si>
  <si>
    <t>CSC_COL30</t>
  </si>
  <si>
    <t>CSC_COL31</t>
  </si>
  <si>
    <t>CSC_COL32</t>
  </si>
  <si>
    <t>CSC_COL33</t>
  </si>
  <si>
    <t>CSC_COL34</t>
  </si>
  <si>
    <t>CSC_COL35</t>
  </si>
  <si>
    <t>CSC_COL36</t>
  </si>
  <si>
    <t>Total Land use change emissions per capita</t>
  </si>
  <si>
    <t>land use change</t>
  </si>
  <si>
    <t>U5 CALCULATION</t>
  </si>
  <si>
    <t>U5 LAND USE CHANGE</t>
  </si>
  <si>
    <t>CSC_COL37</t>
  </si>
  <si>
    <t>CSC_COL38</t>
  </si>
  <si>
    <t>CSC_COL39</t>
  </si>
  <si>
    <t>CSC_COL40</t>
  </si>
  <si>
    <t>CSC_COL41</t>
  </si>
  <si>
    <t>CSC_COL42</t>
  </si>
  <si>
    <t>CSC_COL43</t>
  </si>
  <si>
    <t>CSC_COL44</t>
  </si>
  <si>
    <t>CSC_COL45</t>
  </si>
  <si>
    <t>CSC_COL46</t>
  </si>
  <si>
    <t>CSC_COL47</t>
  </si>
  <si>
    <t>CSC_COL48</t>
  </si>
  <si>
    <t>CSC_COL49</t>
  </si>
  <si>
    <t>CSC_COL50</t>
  </si>
  <si>
    <t>CSC_COL51</t>
  </si>
  <si>
    <t>CSC_COL52</t>
  </si>
  <si>
    <t>CSC_COL53</t>
  </si>
  <si>
    <t>CSC_COL54</t>
  </si>
  <si>
    <t>CSC_COL55</t>
  </si>
  <si>
    <t>CSC_COL56</t>
  </si>
  <si>
    <t>CSC_COL57</t>
  </si>
  <si>
    <t>CSC_COL58</t>
  </si>
  <si>
    <t>CSC_COL59</t>
  </si>
  <si>
    <t>CSC_COL60</t>
  </si>
  <si>
    <t>CSC_COL61</t>
  </si>
  <si>
    <t>CSC_COL62</t>
  </si>
  <si>
    <t>CSC_COL63</t>
  </si>
  <si>
    <t>CSC_COL64</t>
  </si>
  <si>
    <t>CSC_COL65</t>
  </si>
  <si>
    <t>CSC_COL66</t>
  </si>
  <si>
    <t>CSC_COL67</t>
  </si>
  <si>
    <t>CSC_COL68</t>
  </si>
  <si>
    <t>CSC_COL69</t>
  </si>
  <si>
    <t>CSC_COL70</t>
  </si>
  <si>
    <t>CSC_COL71</t>
  </si>
  <si>
    <t>CSC_COL72</t>
  </si>
  <si>
    <t>CSC_COL73</t>
  </si>
  <si>
    <t>CSC_COL74</t>
  </si>
  <si>
    <t>CSC_COL75</t>
  </si>
  <si>
    <t>CSC_COL76</t>
  </si>
  <si>
    <t>CSC_COL77</t>
  </si>
  <si>
    <t>CSC_COL78</t>
  </si>
  <si>
    <t>CSC_COL79</t>
  </si>
  <si>
    <t>CSC_COL80</t>
  </si>
  <si>
    <t>CSC_COL81</t>
  </si>
  <si>
    <t>CSC_COL82</t>
  </si>
  <si>
    <t>CSC_COL83</t>
  </si>
  <si>
    <t>CSC_COL84</t>
  </si>
  <si>
    <t>CSC_COL85</t>
  </si>
  <si>
    <t>CSC_COL86</t>
  </si>
  <si>
    <t>CSC_COL87</t>
  </si>
  <si>
    <t>CSC_COL88</t>
  </si>
  <si>
    <t>CSC_COL89</t>
  </si>
  <si>
    <t>CSC_COL90</t>
  </si>
  <si>
    <t>CSC_COL91</t>
  </si>
  <si>
    <t>CSC_COL92</t>
  </si>
  <si>
    <t>CSC_COL93</t>
  </si>
  <si>
    <t>CSC_COL94</t>
  </si>
  <si>
    <t>CSC_COL95</t>
  </si>
  <si>
    <t>CSC_COL96</t>
  </si>
  <si>
    <t>CSC_COL97</t>
  </si>
  <si>
    <t>CSC_COL98</t>
  </si>
  <si>
    <t>CSC_COL99</t>
  </si>
  <si>
    <t>CSC_COL100</t>
  </si>
  <si>
    <t>CSC_COL101</t>
  </si>
  <si>
    <t>CSC_COL102</t>
  </si>
  <si>
    <t>CSC_COL103</t>
  </si>
  <si>
    <t>CSC_COL104</t>
  </si>
  <si>
    <t>CSC_COL105</t>
  </si>
  <si>
    <t>CSC_COL106</t>
  </si>
  <si>
    <t>CSC_COL107</t>
  </si>
  <si>
    <t>CSC_COL108</t>
  </si>
  <si>
    <t>CSC_COL109</t>
  </si>
  <si>
    <t>CSC_COL110</t>
  </si>
  <si>
    <t>CSC_COL111</t>
  </si>
  <si>
    <t>CSC_COL112</t>
  </si>
  <si>
    <t>CSC_COL113</t>
  </si>
  <si>
    <t>CSC_COL114</t>
  </si>
  <si>
    <t>CSC_COL115</t>
  </si>
  <si>
    <t>CSC_COL116</t>
  </si>
  <si>
    <t>CSC_COL117</t>
  </si>
  <si>
    <t>CSC_COL118</t>
  </si>
  <si>
    <t>CSC_COL119</t>
  </si>
  <si>
    <t>CSC_COL120</t>
  </si>
  <si>
    <t>CSC_COL121</t>
  </si>
  <si>
    <t>CSC_COL122</t>
  </si>
  <si>
    <t>CSC_COL123</t>
  </si>
  <si>
    <t>CSC_COL124</t>
  </si>
  <si>
    <t>CSC_COL125</t>
  </si>
  <si>
    <t>CSC_COL126</t>
  </si>
  <si>
    <t>CSC_COL127</t>
  </si>
  <si>
    <t>CSC_COL128</t>
  </si>
  <si>
    <t>CSC_COL129</t>
  </si>
  <si>
    <t>CSC_COL130</t>
  </si>
  <si>
    <t>CSC_COL131</t>
  </si>
  <si>
    <t>CSC_COL132</t>
  </si>
  <si>
    <t>CSC_COL133</t>
  </si>
  <si>
    <t>CSC_COL134</t>
  </si>
  <si>
    <t>CSC_COL135</t>
  </si>
  <si>
    <t>CSC_COL136</t>
  </si>
  <si>
    <t>CSC_COL137</t>
  </si>
  <si>
    <t>CSC_COL138</t>
  </si>
  <si>
    <t>CSC_COL139</t>
  </si>
  <si>
    <t>CSC_COL140</t>
  </si>
  <si>
    <t>CSC_COL141</t>
  </si>
  <si>
    <t>CSC_COL142</t>
  </si>
  <si>
    <t>CSC_COL143</t>
  </si>
  <si>
    <t>CSC_COL144</t>
  </si>
  <si>
    <t>CSC_COL145</t>
  </si>
  <si>
    <t>CSC_COL146</t>
  </si>
  <si>
    <t>CSC_COL147</t>
  </si>
  <si>
    <t>CSC_COL148</t>
  </si>
  <si>
    <t>CSC_COL149</t>
  </si>
  <si>
    <t>CSC_COL150</t>
  </si>
  <si>
    <t>CSC_COL151</t>
  </si>
  <si>
    <t>CSC_COL152</t>
  </si>
  <si>
    <t>CSC_COL153</t>
  </si>
  <si>
    <t>CSC_COL154</t>
  </si>
  <si>
    <t>CSC_COL155</t>
  </si>
  <si>
    <t>CSC_COL156</t>
  </si>
  <si>
    <t>CSC_COL157</t>
  </si>
  <si>
    <t>CSC_COL158</t>
  </si>
  <si>
    <t>CSC_COL159</t>
  </si>
  <si>
    <t>CSC_COL160</t>
  </si>
  <si>
    <t>CSC_COL161</t>
  </si>
  <si>
    <t>CSC_COL162</t>
  </si>
  <si>
    <t>CSC_COL163</t>
  </si>
  <si>
    <t>CSC_COL164</t>
  </si>
  <si>
    <t>CSC_COL165</t>
  </si>
  <si>
    <t>CSC_COL166</t>
  </si>
  <si>
    <t>CSC_COL167</t>
  </si>
  <si>
    <t>CSC_COL168</t>
  </si>
  <si>
    <t>CSC_COL169</t>
  </si>
  <si>
    <t>CSC_COL170</t>
  </si>
  <si>
    <t>CSC_COL171</t>
  </si>
  <si>
    <t>CSC_COL172</t>
  </si>
  <si>
    <t>CSC_COL173</t>
  </si>
  <si>
    <t>CSC_COL174</t>
  </si>
  <si>
    <t>CSC_COL175</t>
  </si>
  <si>
    <t>CSC_COL176</t>
  </si>
  <si>
    <t>CSC_COL177</t>
  </si>
  <si>
    <t>CSC_COL178</t>
  </si>
  <si>
    <t>CSC_COL179</t>
  </si>
  <si>
    <t>CSC_COL180</t>
  </si>
  <si>
    <t>CSC_COL181</t>
  </si>
  <si>
    <t>CSC_COL182</t>
  </si>
  <si>
    <t>CSC_COL183</t>
  </si>
  <si>
    <t>CSC_COL184</t>
  </si>
  <si>
    <t>CSC_COL185</t>
  </si>
  <si>
    <t>CSC_COL186</t>
  </si>
  <si>
    <t>CSC_COL187</t>
  </si>
  <si>
    <t>CSC_COL188</t>
  </si>
  <si>
    <t>CSC_COL189</t>
  </si>
  <si>
    <t>CSC_COL190</t>
  </si>
  <si>
    <t>CSC_COL191</t>
  </si>
  <si>
    <t>CSC_COL192</t>
  </si>
  <si>
    <t>CSC_COL193</t>
  </si>
  <si>
    <t>CSC_COL194</t>
  </si>
  <si>
    <t>CSC_COL195</t>
  </si>
  <si>
    <t>CSC_COL196</t>
  </si>
  <si>
    <t>CSC_COL197</t>
  </si>
  <si>
    <t>CSC_COL198</t>
  </si>
  <si>
    <t>CSC_COL199</t>
  </si>
  <si>
    <t>CSC_COL200</t>
  </si>
  <si>
    <t>CSC_COL201</t>
  </si>
  <si>
    <t>CSC_COL202</t>
  </si>
  <si>
    <t>CSC_COL203</t>
  </si>
  <si>
    <t>CSC_COL204</t>
  </si>
  <si>
    <t>CSC_COL205</t>
  </si>
  <si>
    <t>CSC_COL206</t>
  </si>
  <si>
    <t>CSC_COL207</t>
  </si>
  <si>
    <t>CSC_COL208</t>
  </si>
  <si>
    <t>CSC_COL209</t>
  </si>
  <si>
    <t>CSC_COL210</t>
  </si>
  <si>
    <t>CSC_COL211</t>
  </si>
  <si>
    <t>CSC_COL212</t>
  </si>
  <si>
    <t>CSC_COL213</t>
  </si>
  <si>
    <t>CSC_COL214</t>
  </si>
  <si>
    <t>CSC_COL215</t>
  </si>
  <si>
    <t>CSC_COL216</t>
  </si>
  <si>
    <t>CSC_COL217</t>
  </si>
  <si>
    <t>CSC_COL218</t>
  </si>
  <si>
    <t>CSC_COL219</t>
  </si>
  <si>
    <t>CSC_COL220</t>
  </si>
  <si>
    <t>CSC_COL221</t>
  </si>
  <si>
    <t>CSC_COL222</t>
  </si>
  <si>
    <t>CSC_COL223</t>
  </si>
  <si>
    <t>CSC_COL224</t>
  </si>
  <si>
    <t>CSC_COL225</t>
  </si>
  <si>
    <t>CSC_COL226</t>
  </si>
  <si>
    <t>CSC_COL227</t>
  </si>
  <si>
    <t>CSC_COL228</t>
  </si>
  <si>
    <t>CSC_COL229</t>
  </si>
  <si>
    <t>CSC_COL230</t>
  </si>
  <si>
    <t>CSC_COL231</t>
  </si>
  <si>
    <t>CSC_COL232</t>
  </si>
  <si>
    <t>CSC_COL233</t>
  </si>
  <si>
    <t>CSC_COL234</t>
  </si>
  <si>
    <t>CSC_COL235</t>
  </si>
  <si>
    <t>CSC_COL236</t>
  </si>
  <si>
    <t>CSC_COL237</t>
  </si>
  <si>
    <t>CSC_COL238</t>
  </si>
  <si>
    <t>CSC_COL239</t>
  </si>
  <si>
    <t>CSC_COL240</t>
  </si>
  <si>
    <t>from local dataset only</t>
  </si>
  <si>
    <t>land_use_baseline_cropland</t>
  </si>
  <si>
    <t>land_use_baseline_grassland</t>
  </si>
  <si>
    <t>land_use_baseline_wetlands</t>
  </si>
  <si>
    <t>land_use_baseline_forestland</t>
  </si>
  <si>
    <t>land_use_baseline_settlements</t>
  </si>
  <si>
    <t>land_use_baseline_other_land</t>
  </si>
  <si>
    <t>Forestland</t>
  </si>
  <si>
    <t>Wetlands</t>
  </si>
  <si>
    <t>LAND USE - BASELINE</t>
  </si>
  <si>
    <t>Other</t>
  </si>
  <si>
    <t>tCO2e/a</t>
  </si>
  <si>
    <t>in the local dataset, correction factors are zero</t>
  </si>
  <si>
    <t>Annual change (%)</t>
  </si>
  <si>
    <t>grid_electricity_emission_factor</t>
  </si>
  <si>
    <t>population (with U2 impact from Transport module)</t>
  </si>
  <si>
    <t>Population for U4</t>
  </si>
  <si>
    <t>from_cropland_to_forestland</t>
  </si>
  <si>
    <t>from_grassland_to_forestland</t>
  </si>
  <si>
    <t>from_wetland_to_forestland</t>
  </si>
  <si>
    <t>from_settlements_to_forestland</t>
  </si>
  <si>
    <t>from_other_land_to_forestland</t>
  </si>
  <si>
    <t>from_forestland_to_cropland</t>
  </si>
  <si>
    <t>from_grassland_to_cropland</t>
  </si>
  <si>
    <t>from_wetland_to_cropland</t>
  </si>
  <si>
    <t>from_settlements_to_cropland</t>
  </si>
  <si>
    <t>from_other_land_to_cropland</t>
  </si>
  <si>
    <t>from_forestland_to_grassland</t>
  </si>
  <si>
    <t>from_cropland_to_grassland</t>
  </si>
  <si>
    <t>from_wetland_to_grassland</t>
  </si>
  <si>
    <t>from_settlements_to_grassland</t>
  </si>
  <si>
    <t>from_other_land_to_grassland</t>
  </si>
  <si>
    <t>from_forestland_to_settlements</t>
  </si>
  <si>
    <t>from_cropland_to_settlements</t>
  </si>
  <si>
    <t>from_grassland_to_settlements</t>
  </si>
  <si>
    <t>from_wetland_to_settlements</t>
  </si>
  <si>
    <t>from_other_land_to_settlements</t>
  </si>
  <si>
    <t>from_forestland_to_other_land</t>
  </si>
  <si>
    <t>from_cropland_to_other_land</t>
  </si>
  <si>
    <t>from_grassland_to_other_land</t>
  </si>
  <si>
    <t>from_wetland_to_other_land</t>
  </si>
  <si>
    <t>from_settlements_to_other_land</t>
  </si>
  <si>
    <t>no inputs for U4 - displays results below only if existing results are imported in a local dataset</t>
  </si>
  <si>
    <t>U4 Land use - baseline tCO2/a (always zero except when specified in local dataset)</t>
  </si>
  <si>
    <t>U4 Land use - baseline tCO2/resident, a (always zero except when specified in local dataset)</t>
  </si>
  <si>
    <t>peatland_restoration_(rewetting)</t>
  </si>
  <si>
    <t>forestland_converted_to_other_wetlands/flooded_land</t>
  </si>
  <si>
    <t>cropland_converted_to_other_wetlands/flooded_land</t>
  </si>
  <si>
    <t>grassland_converted_to_other_wetlands/flooded_land</t>
  </si>
  <si>
    <t>land_converted_to_peat_extraction_(combined)</t>
  </si>
  <si>
    <t>Land converted to peat extraction (combined)</t>
  </si>
  <si>
    <t>Peatland restoration (rewetting)</t>
  </si>
  <si>
    <t>Biomass</t>
  </si>
  <si>
    <t>Dead organic matter</t>
  </si>
  <si>
    <t>Soil</t>
  </si>
  <si>
    <t>aboveground</t>
  </si>
  <si>
    <t>belowground</t>
  </si>
  <si>
    <t>dead wood</t>
  </si>
  <si>
    <t>litter</t>
  </si>
  <si>
    <t xml:space="preserve">mineral </t>
  </si>
  <si>
    <t>organic</t>
  </si>
  <si>
    <t>Cropland to forest land</t>
  </si>
  <si>
    <t>Grassland to forest land</t>
  </si>
  <si>
    <t>Wetlands to forest land</t>
  </si>
  <si>
    <t>Settlements to forest land</t>
  </si>
  <si>
    <t>Other land to forest land</t>
  </si>
  <si>
    <t>Forest land to cropland</t>
  </si>
  <si>
    <t>Grassland to cropland</t>
  </si>
  <si>
    <t>Wetlands to cropland</t>
  </si>
  <si>
    <t>Settlements to cropland</t>
  </si>
  <si>
    <t>Other land to cropland</t>
  </si>
  <si>
    <t>Forest land to grassland</t>
  </si>
  <si>
    <t>Cropland to grassland</t>
  </si>
  <si>
    <t>Wetlands to grassland</t>
  </si>
  <si>
    <t>Settlements to grassland</t>
  </si>
  <si>
    <t>Other land to grassland</t>
  </si>
  <si>
    <t>Forest land converted to other wetlands/ flooded land</t>
  </si>
  <si>
    <t>Cropland converted to other wetlands/ flooded land</t>
  </si>
  <si>
    <t>Grassland converted to other wetlands/ flooded land</t>
  </si>
  <si>
    <t>Forest land to settlements</t>
  </si>
  <si>
    <t>Cropland to settlements</t>
  </si>
  <si>
    <t>Grassland to settlements</t>
  </si>
  <si>
    <t>Wetlands to settlements</t>
  </si>
  <si>
    <t>Other land to settlements</t>
  </si>
  <si>
    <t>Forest land to other land</t>
  </si>
  <si>
    <t>Cropland to other land</t>
  </si>
  <si>
    <t>Grassland to other land</t>
  </si>
  <si>
    <t>Wetlands to other land</t>
  </si>
  <si>
    <t>Settlements to other land</t>
  </si>
  <si>
    <t>Forest land remaining forest land</t>
  </si>
  <si>
    <t>Cropland remaining cropland</t>
  </si>
  <si>
    <t>Grassland remaining grassland</t>
  </si>
  <si>
    <t>Peat extraction remaining peat extraction</t>
  </si>
  <si>
    <t>Wetlands remaining wetlands</t>
  </si>
  <si>
    <t>Settlements remaining settlements</t>
  </si>
  <si>
    <t>without policy</t>
  </si>
  <si>
    <t>policy target %</t>
  </si>
  <si>
    <t>U3.4 MODAL SPLIT / FREIGHT TRANSPORT</t>
  </si>
  <si>
    <t>affected</t>
  </si>
  <si>
    <t>% of the area</t>
  </si>
  <si>
    <t>U3.5 SHARES OF FUEL TYPES / BUS TRANSPORT</t>
  </si>
  <si>
    <t>Diesel</t>
  </si>
  <si>
    <t>Electricity</t>
  </si>
  <si>
    <t>Fuel type description</t>
  </si>
  <si>
    <t>AVERAGE</t>
  </si>
  <si>
    <t>ROAD</t>
  </si>
  <si>
    <t>STREET</t>
  </si>
  <si>
    <t>Petroleum products</t>
  </si>
  <si>
    <t>Liquefied Petroleum Gas (LPG)</t>
  </si>
  <si>
    <t>Natural Gas (CNG)</t>
  </si>
  <si>
    <t>area type</t>
  </si>
  <si>
    <t>ROAD-%  x road emission factor + STREET-% x street emission factor</t>
  </si>
  <si>
    <t>area type %</t>
  </si>
  <si>
    <t>from U1</t>
  </si>
  <si>
    <t>Land-use change</t>
  </si>
  <si>
    <t>Total area, ha</t>
  </si>
  <si>
    <t>Soil area, ha</t>
  </si>
  <si>
    <t>Forest land to other wetlands/ flooded land</t>
  </si>
  <si>
    <t>Cropland to other wetlands/ flooded land</t>
  </si>
  <si>
    <t>Grassland to other wetlands/ flooded land</t>
  </si>
  <si>
    <t>Total area (ha)</t>
  </si>
  <si>
    <t>total area (ha)</t>
  </si>
  <si>
    <t>soil area (ha)</t>
  </si>
  <si>
    <t>year 1</t>
  </si>
  <si>
    <t xml:space="preserve">year of </t>
  </si>
  <si>
    <t>implementation</t>
  </si>
  <si>
    <t>number of first CSC factor</t>
  </si>
  <si>
    <t>country</t>
  </si>
  <si>
    <t>GRID ELECTRICITY</t>
  </si>
  <si>
    <t>CAR</t>
  </si>
  <si>
    <t>INLAND WATERWAYS TRANSPORT</t>
  </si>
  <si>
    <t>LU BASELINE FORESTLAND</t>
  </si>
  <si>
    <t>LU BASELINE CROPLAND</t>
  </si>
  <si>
    <t>LU BASELINE GRASSLAND</t>
  </si>
  <si>
    <t>LU BASELINE WETLANDS</t>
  </si>
  <si>
    <t>LU BASELINE SETTLEMENTS</t>
  </si>
  <si>
    <t>LU BASELINE OTHER LAND</t>
  </si>
  <si>
    <t>ADJUSTMENT BY THE YEAR OF IMPLEMENTION</t>
  </si>
  <si>
    <t>BUILDINGS</t>
  </si>
  <si>
    <t>BUS BASELINE EMISSIONS</t>
  </si>
  <si>
    <r>
      <t>V</t>
    </r>
    <r>
      <rPr>
        <vertAlign val="subscript"/>
        <sz val="10"/>
        <color theme="1"/>
        <rFont val="Arial Unicode MS"/>
        <family val="2"/>
        <charset val="186"/>
      </rPr>
      <t>BUS</t>
    </r>
  </si>
  <si>
    <r>
      <t>average kgCO</t>
    </r>
    <r>
      <rPr>
        <vertAlign val="subscript"/>
        <sz val="10"/>
        <color theme="1"/>
        <rFont val="Arial Unicode MS"/>
        <family val="2"/>
        <charset val="186"/>
      </rPr>
      <t>2</t>
    </r>
    <r>
      <rPr>
        <sz val="10"/>
        <color theme="1"/>
        <rFont val="Arial Unicode MS"/>
        <family val="2"/>
        <charset val="186"/>
      </rPr>
      <t>e/vehicle-km</t>
    </r>
  </si>
  <si>
    <r>
      <t>BASELINE V</t>
    </r>
    <r>
      <rPr>
        <vertAlign val="subscript"/>
        <sz val="10"/>
        <color theme="1"/>
        <rFont val="Arial Unicode MS"/>
        <family val="2"/>
        <charset val="186"/>
      </rPr>
      <t>BUS</t>
    </r>
  </si>
  <si>
    <t>RESULT</t>
  </si>
  <si>
    <t>emission factor</t>
  </si>
  <si>
    <r>
      <t>BASELINE V</t>
    </r>
    <r>
      <rPr>
        <vertAlign val="subscript"/>
        <sz val="10"/>
        <color theme="1"/>
        <rFont val="Arial Unicode MS"/>
        <family val="2"/>
        <charset val="186"/>
      </rPr>
      <t>CAR</t>
    </r>
  </si>
  <si>
    <r>
      <t>V</t>
    </r>
    <r>
      <rPr>
        <vertAlign val="subscript"/>
        <sz val="10"/>
        <color theme="1"/>
        <rFont val="Arial Unicode MS"/>
        <family val="2"/>
        <charset val="186"/>
      </rPr>
      <t>CAR</t>
    </r>
  </si>
  <si>
    <t>Petrol</t>
  </si>
  <si>
    <t>Petrol-electric hybrid</t>
  </si>
  <si>
    <t xml:space="preserve">Petrol-electric plug-in hybrid PHEV </t>
  </si>
  <si>
    <t>Diesel-electric hybrid</t>
  </si>
  <si>
    <t>Diesel-electric plug-in hybrid PHEV</t>
  </si>
  <si>
    <t>Hydrogen+fuel cell</t>
  </si>
  <si>
    <t>Bioethanol</t>
  </si>
  <si>
    <t>Biodiesel</t>
  </si>
  <si>
    <t>Driving profile (%)</t>
  </si>
  <si>
    <t>Share in bus fleet (%)</t>
  </si>
  <si>
    <t>Share in car fleet (%)</t>
  </si>
  <si>
    <r>
      <t>Average emission factor E</t>
    </r>
    <r>
      <rPr>
        <vertAlign val="subscript"/>
        <sz val="10"/>
        <color theme="1"/>
        <rFont val="Arial Unicode MS"/>
        <family val="2"/>
        <charset val="186"/>
      </rPr>
      <t>CAR</t>
    </r>
  </si>
  <si>
    <t>CAR BASELINE EMISSIONS</t>
  </si>
  <si>
    <t>baseline car</t>
  </si>
  <si>
    <t>Biomethane (NGV)</t>
  </si>
  <si>
    <t>baseline metro</t>
  </si>
  <si>
    <t>Vienna</t>
  </si>
  <si>
    <t>-</t>
  </si>
  <si>
    <t>Brussels</t>
  </si>
  <si>
    <t>Sofia</t>
  </si>
  <si>
    <t>no metro</t>
  </si>
  <si>
    <t>Prague</t>
  </si>
  <si>
    <t>Copenhagen</t>
  </si>
  <si>
    <t>Helsinki</t>
  </si>
  <si>
    <t>Lille</t>
  </si>
  <si>
    <t>Lyon</t>
  </si>
  <si>
    <t>Marseille</t>
  </si>
  <si>
    <t>Paris</t>
  </si>
  <si>
    <t>Rennes</t>
  </si>
  <si>
    <t>Toulouse</t>
  </si>
  <si>
    <t>Berlin</t>
  </si>
  <si>
    <t>Hamburg</t>
  </si>
  <si>
    <t>Munich</t>
  </si>
  <si>
    <t>Nuremberg</t>
  </si>
  <si>
    <t>Athens</t>
  </si>
  <si>
    <t>Budapest</t>
  </si>
  <si>
    <t>Brescia</t>
  </si>
  <si>
    <t>Catania</t>
  </si>
  <si>
    <t>Genoa</t>
  </si>
  <si>
    <t>Milan</t>
  </si>
  <si>
    <t>Naples</t>
  </si>
  <si>
    <t>Rome</t>
  </si>
  <si>
    <t>Turin</t>
  </si>
  <si>
    <t>Amsterdam</t>
  </si>
  <si>
    <t>Rotterdam</t>
  </si>
  <si>
    <t>Oslo</t>
  </si>
  <si>
    <t>Warsaw</t>
  </si>
  <si>
    <t>Lisbon</t>
  </si>
  <si>
    <t>Bucharest</t>
  </si>
  <si>
    <t>Barcelona</t>
  </si>
  <si>
    <t>Bilbao</t>
  </si>
  <si>
    <t>Madrid</t>
  </si>
  <si>
    <t>Stockholm</t>
  </si>
  <si>
    <t>Lausanne</t>
  </si>
  <si>
    <t>Glasgow</t>
  </si>
  <si>
    <t>London Underground</t>
  </si>
  <si>
    <t>Gmunden</t>
  </si>
  <si>
    <t>Antwerp</t>
  </si>
  <si>
    <t>Osijek</t>
  </si>
  <si>
    <t>no trams</t>
  </si>
  <si>
    <t>Brno</t>
  </si>
  <si>
    <t>Aarhus</t>
  </si>
  <si>
    <t>Tallinn</t>
  </si>
  <si>
    <t>Angers</t>
  </si>
  <si>
    <t>Augsburg</t>
  </si>
  <si>
    <t>Dublin</t>
  </si>
  <si>
    <t>Bergamo–Albino light rail</t>
  </si>
  <si>
    <t>Daugavpils</t>
  </si>
  <si>
    <t>Bergen Light Rail</t>
  </si>
  <si>
    <t>Bydgoszcz</t>
  </si>
  <si>
    <t>Almada-Seixal</t>
  </si>
  <si>
    <t>Arad</t>
  </si>
  <si>
    <t>Bratislava</t>
  </si>
  <si>
    <t>Alicante</t>
  </si>
  <si>
    <t>Gothenburg</t>
  </si>
  <si>
    <t>Basel</t>
  </si>
  <si>
    <t>Birmingham, West Midlands Metro</t>
  </si>
  <si>
    <t>Graz</t>
  </si>
  <si>
    <t xml:space="preserve">Coast Tram </t>
  </si>
  <si>
    <t>Zagreb</t>
  </si>
  <si>
    <t>Liberec–Jablonec</t>
  </si>
  <si>
    <t>Tampere</t>
  </si>
  <si>
    <t>Aubagne</t>
  </si>
  <si>
    <t>Bad Schandau</t>
  </si>
  <si>
    <t>Debrecen</t>
  </si>
  <si>
    <t>Cagliari light rail</t>
  </si>
  <si>
    <t>Liepāja</t>
  </si>
  <si>
    <t>Częstochowa</t>
  </si>
  <si>
    <t>Botoșani</t>
  </si>
  <si>
    <t>Košice</t>
  </si>
  <si>
    <t>Lund</t>
  </si>
  <si>
    <t>Bern</t>
  </si>
  <si>
    <t>Blackpool tramway</t>
  </si>
  <si>
    <t>Innsbruck</t>
  </si>
  <si>
    <t>Most-Litvínov</t>
  </si>
  <si>
    <t>Avignon</t>
  </si>
  <si>
    <t>Miskolc</t>
  </si>
  <si>
    <t>Florence</t>
  </si>
  <si>
    <t>Riga</t>
  </si>
  <si>
    <t>The Hague</t>
  </si>
  <si>
    <t>Trondheim</t>
  </si>
  <si>
    <t>Elbląg</t>
  </si>
  <si>
    <t>Porto Metro</t>
  </si>
  <si>
    <t>Brăila</t>
  </si>
  <si>
    <t>Trenčianske Teplice</t>
  </si>
  <si>
    <t>Norrköping</t>
  </si>
  <si>
    <t>Geneva</t>
  </si>
  <si>
    <t>Linz</t>
  </si>
  <si>
    <t>Charleroi</t>
  </si>
  <si>
    <t>Olomouc</t>
  </si>
  <si>
    <t>Besançon</t>
  </si>
  <si>
    <t>Bielefeld</t>
  </si>
  <si>
    <t>Szeged</t>
  </si>
  <si>
    <t>Messina</t>
  </si>
  <si>
    <t>Utrecht sneltram</t>
  </si>
  <si>
    <t>Gdańsk</t>
  </si>
  <si>
    <t>Porto</t>
  </si>
  <si>
    <t>Granada</t>
  </si>
  <si>
    <t>London Tramlink</t>
  </si>
  <si>
    <t>Vienna tram</t>
  </si>
  <si>
    <t>Ghent</t>
  </si>
  <si>
    <t>Ostrava</t>
  </si>
  <si>
    <t>Bordeaux</t>
  </si>
  <si>
    <t>Bochum Stadtbahn</t>
  </si>
  <si>
    <t>Mestre</t>
  </si>
  <si>
    <t>Gorzów Wielkopolski</t>
  </si>
  <si>
    <t>Sintra</t>
  </si>
  <si>
    <t>Cluj-Napoca</t>
  </si>
  <si>
    <t>Neuchâtel</t>
  </si>
  <si>
    <t>Manchester Metrolink</t>
  </si>
  <si>
    <t>Wiener Lokalbahn</t>
  </si>
  <si>
    <t>Pilsen</t>
  </si>
  <si>
    <t>Brest</t>
  </si>
  <si>
    <t>Bochum/Gelsenkirchen</t>
  </si>
  <si>
    <t>Grudziądz</t>
  </si>
  <si>
    <t>Craiova</t>
  </si>
  <si>
    <t>Murcia</t>
  </si>
  <si>
    <t>Zürich</t>
  </si>
  <si>
    <t>Newcastle, Tyne and Wear Metro</t>
  </si>
  <si>
    <t>Bonn Stadtbahn</t>
  </si>
  <si>
    <t>Katowice</t>
  </si>
  <si>
    <t>Galați</t>
  </si>
  <si>
    <t>Parla</t>
  </si>
  <si>
    <t>Nottingham Express Transit</t>
  </si>
  <si>
    <t>Bonn</t>
  </si>
  <si>
    <t>Padua</t>
  </si>
  <si>
    <t>Kraków</t>
  </si>
  <si>
    <t>Iași (RATP Iași)</t>
  </si>
  <si>
    <t>Santa Cruz de Tenerife</t>
  </si>
  <si>
    <t>Sheffield Supertram</t>
  </si>
  <si>
    <t>Brandenburg  and der Havel</t>
  </si>
  <si>
    <t>Palermo</t>
  </si>
  <si>
    <t>Kraków Fast Tram</t>
  </si>
  <si>
    <t>Oradea</t>
  </si>
  <si>
    <t>Seville</t>
  </si>
  <si>
    <t>Docklands Light Railway</t>
  </si>
  <si>
    <t>Braunschweig</t>
  </si>
  <si>
    <t>Łódź</t>
  </si>
  <si>
    <t>Ploiești</t>
  </si>
  <si>
    <t>Sóller, Mallorca</t>
  </si>
  <si>
    <t>Bremen</t>
  </si>
  <si>
    <t>Sassari</t>
  </si>
  <si>
    <t>Olsztyn</t>
  </si>
  <si>
    <t>Timișoara</t>
  </si>
  <si>
    <t>Valencia</t>
  </si>
  <si>
    <t>Chemnitz</t>
  </si>
  <si>
    <t>Poznań</t>
  </si>
  <si>
    <t>Vitoria-Gasteiz</t>
  </si>
  <si>
    <t>Cologne</t>
  </si>
  <si>
    <t>Trieste–Opicina</t>
  </si>
  <si>
    <t>Poznań Fast Tram</t>
  </si>
  <si>
    <t>Zaragoza</t>
  </si>
  <si>
    <t>Cottbus</t>
  </si>
  <si>
    <t>Szczecin</t>
  </si>
  <si>
    <t>Darmstadt</t>
  </si>
  <si>
    <t>Toruń</t>
  </si>
  <si>
    <t>Dessau</t>
  </si>
  <si>
    <t>Dortmund</t>
  </si>
  <si>
    <t>Wrocław</t>
  </si>
  <si>
    <t>Dresden</t>
  </si>
  <si>
    <t>Duisburg</t>
  </si>
  <si>
    <t>Düsseldorf Stadtbahn</t>
  </si>
  <si>
    <t>Düsseldorf</t>
  </si>
  <si>
    <t>Erfurt</t>
  </si>
  <si>
    <t>Essen Stadtbahn</t>
  </si>
  <si>
    <t>Essen trams</t>
  </si>
  <si>
    <t>Frankfurt am Main U-Bahn</t>
  </si>
  <si>
    <t>Frankfurt am Main</t>
  </si>
  <si>
    <t>Frankfurt (Oder)</t>
  </si>
  <si>
    <t>Freiburg im Breisgau</t>
  </si>
  <si>
    <t>Gera</t>
  </si>
  <si>
    <t>Görlitz</t>
  </si>
  <si>
    <t>Gotha</t>
  </si>
  <si>
    <t>Halberstadt</t>
  </si>
  <si>
    <t>Halle (Saale)</t>
  </si>
  <si>
    <t>Heidelberg</t>
  </si>
  <si>
    <t>Hanover</t>
  </si>
  <si>
    <t>Jena</t>
  </si>
  <si>
    <t>Karlsruhe Stadtbahn</t>
  </si>
  <si>
    <t>Karlsruhe</t>
  </si>
  <si>
    <t>Kassel RegioTram</t>
  </si>
  <si>
    <t>Kassel</t>
  </si>
  <si>
    <t>Krefeld</t>
  </si>
  <si>
    <t>Leipzig</t>
  </si>
  <si>
    <t>Magdeburg</t>
  </si>
  <si>
    <t>Mainz</t>
  </si>
  <si>
    <t>Mannheim/Ludwigshafen</t>
  </si>
  <si>
    <t>Mülheim/Oberhausen</t>
  </si>
  <si>
    <t>Naumburg (Saale)</t>
  </si>
  <si>
    <t>Nordhausen</t>
  </si>
  <si>
    <t>Plauen</t>
  </si>
  <si>
    <t>Potsdam</t>
  </si>
  <si>
    <t>Rostock</t>
  </si>
  <si>
    <t>Saarbahn</t>
  </si>
  <si>
    <t>Schwerin</t>
  </si>
  <si>
    <t>Strausberg</t>
  </si>
  <si>
    <t>Stuttgart</t>
  </si>
  <si>
    <t>Ulm</t>
  </si>
  <si>
    <t>U6 BUILDINGS BASELINE</t>
  </si>
  <si>
    <t>CF not applied</t>
  </si>
  <si>
    <t>the results is per capita, as this is embedded in default values</t>
  </si>
  <si>
    <r>
      <t>kgCO</t>
    </r>
    <r>
      <rPr>
        <vertAlign val="subscript"/>
        <sz val="10"/>
        <color theme="1"/>
        <rFont val="Albertus Medium"/>
        <family val="2"/>
      </rPr>
      <t>2</t>
    </r>
    <r>
      <rPr>
        <sz val="10"/>
        <color theme="1"/>
        <rFont val="Albertus Medium"/>
        <family val="2"/>
      </rPr>
      <t>e/resident, a</t>
    </r>
  </si>
  <si>
    <t>gCO2e/vkm</t>
  </si>
  <si>
    <t>kgCO2e/(a, capita)</t>
  </si>
  <si>
    <t>METRO BASELINE EMISSIONS</t>
  </si>
  <si>
    <t>baseline tram</t>
  </si>
  <si>
    <t>Emission factors (parametric value = bold letter)</t>
  </si>
  <si>
    <r>
      <t>V</t>
    </r>
    <r>
      <rPr>
        <vertAlign val="subscript"/>
        <sz val="10"/>
        <color theme="1"/>
        <rFont val="Arial Unicode MS"/>
        <family val="2"/>
        <charset val="186"/>
      </rPr>
      <t>METRO</t>
    </r>
  </si>
  <si>
    <r>
      <t>V</t>
    </r>
    <r>
      <rPr>
        <vertAlign val="subscript"/>
        <sz val="10"/>
        <color theme="1"/>
        <rFont val="Arial Unicode MS"/>
        <family val="2"/>
        <charset val="186"/>
      </rPr>
      <t>TRAM</t>
    </r>
  </si>
  <si>
    <t>TRAM BASELINE EMISSIONS</t>
  </si>
  <si>
    <t>baseline passenger train</t>
  </si>
  <si>
    <r>
      <t>V</t>
    </r>
    <r>
      <rPr>
        <vertAlign val="subscript"/>
        <sz val="11"/>
        <color theme="1"/>
        <rFont val="Albertus Medium"/>
        <family val="2"/>
      </rPr>
      <t>TRAIN</t>
    </r>
  </si>
  <si>
    <r>
      <t>V</t>
    </r>
    <r>
      <rPr>
        <vertAlign val="subscript"/>
        <sz val="10"/>
        <rFont val="Arial Unicode MS"/>
        <family val="2"/>
        <charset val="186"/>
      </rPr>
      <t>TRAIN_2021</t>
    </r>
    <r>
      <rPr>
        <sz val="10"/>
        <rFont val="Arial Unicode MS"/>
        <family val="2"/>
        <charset val="186"/>
      </rPr>
      <t xml:space="preserve"> = TRAIN_COL1 / TRAIN_COL2 * CF</t>
    </r>
    <r>
      <rPr>
        <vertAlign val="subscript"/>
        <sz val="10"/>
        <rFont val="Arial Unicode MS"/>
        <family val="2"/>
        <charset val="186"/>
      </rPr>
      <t>TRAIN</t>
    </r>
    <r>
      <rPr>
        <sz val="10"/>
        <rFont val="Arial Unicode MS"/>
        <family val="2"/>
        <charset val="186"/>
      </rPr>
      <t xml:space="preserve"> </t>
    </r>
  </si>
  <si>
    <t>TRAIN_COL12</t>
  </si>
  <si>
    <t>TRAIN BASELINE EMISSIONS</t>
  </si>
  <si>
    <t>Apartment</t>
  </si>
  <si>
    <t>Detached</t>
  </si>
  <si>
    <t>Semi-detached</t>
  </si>
  <si>
    <t>Terraced</t>
  </si>
  <si>
    <t>Gas</t>
  </si>
  <si>
    <t>Oil</t>
  </si>
  <si>
    <t>Coal</t>
  </si>
  <si>
    <t>Peat</t>
  </si>
  <si>
    <t>Wood</t>
  </si>
  <si>
    <t>Renewable</t>
  </si>
  <si>
    <t>Heat</t>
  </si>
  <si>
    <t>U6.1 Number of residential units in the area</t>
  </si>
  <si>
    <t>Retail</t>
  </si>
  <si>
    <t>Health</t>
  </si>
  <si>
    <t>Hospitality</t>
  </si>
  <si>
    <t>Offices</t>
  </si>
  <si>
    <t>Industrial</t>
  </si>
  <si>
    <t>Warehouses</t>
  </si>
  <si>
    <t>RESIDENTIAL BUILDINGS</t>
  </si>
  <si>
    <t>U8 POLICY QUANTIFICATION</t>
  </si>
  <si>
    <t>total floor area</t>
  </si>
  <si>
    <t>nr of units</t>
  </si>
  <si>
    <t>U7.1 New residential units</t>
  </si>
  <si>
    <t>U7.2 New commercial buildings</t>
  </si>
  <si>
    <t>residential units</t>
  </si>
  <si>
    <t>Semi-Detached</t>
  </si>
  <si>
    <t xml:space="preserve">Peat </t>
  </si>
  <si>
    <t>kWh/dwelling</t>
  </si>
  <si>
    <t>BUI_COL1</t>
  </si>
  <si>
    <t>Space heating</t>
  </si>
  <si>
    <t>Water heating</t>
  </si>
  <si>
    <t>Lights &amp; appliances</t>
  </si>
  <si>
    <t>Pumps &amp; fans</t>
  </si>
  <si>
    <t>Average</t>
  </si>
  <si>
    <t>from baseline</t>
  </si>
  <si>
    <t>annual change caused by the policy</t>
  </si>
  <si>
    <t>from inputs</t>
  </si>
  <si>
    <t>what remains (%)</t>
  </si>
  <si>
    <t>U3.3 change as %</t>
  </si>
  <si>
    <t>% share adjusted</t>
  </si>
  <si>
    <t>before</t>
  </si>
  <si>
    <t>after</t>
  </si>
  <si>
    <t>U6.2 Floor area of commercial buildings in the area</t>
  </si>
  <si>
    <t xml:space="preserve">PASSENGER TRANSPORT   </t>
  </si>
  <si>
    <t>Passenger road transport by non-residents</t>
  </si>
  <si>
    <t>FREIGHT TRANSPORT</t>
  </si>
  <si>
    <t>Freight transport on wheels</t>
  </si>
  <si>
    <t>low intensity</t>
  </si>
  <si>
    <t>high intensity</t>
  </si>
  <si>
    <t>Freight transport on rails</t>
  </si>
  <si>
    <t>Freight transport on inland waterways</t>
  </si>
  <si>
    <t>peatland_restoration</t>
  </si>
  <si>
    <t>cropland_to_forestland</t>
  </si>
  <si>
    <t>grassland_to_forestland</t>
  </si>
  <si>
    <t>wetland_to_forestland</t>
  </si>
  <si>
    <t>settlement_to_forestland</t>
  </si>
  <si>
    <t>otherland_to_forestland</t>
  </si>
  <si>
    <t>forestland_to_cropland</t>
  </si>
  <si>
    <t>grassland_to_cropland</t>
  </si>
  <si>
    <t>wetland_to_cropland</t>
  </si>
  <si>
    <t>settlement_to_cropland</t>
  </si>
  <si>
    <t>otherland_to_cropland</t>
  </si>
  <si>
    <t>forestland_to_grassland</t>
  </si>
  <si>
    <t>cropland_to_grassland</t>
  </si>
  <si>
    <t>wetland_to_grassland</t>
  </si>
  <si>
    <t>settlement_to_grassland</t>
  </si>
  <si>
    <t>otherland_to_grassland</t>
  </si>
  <si>
    <t>land_to_peat_extraction</t>
  </si>
  <si>
    <t>forestland_to_other_wetland</t>
  </si>
  <si>
    <t>cropland_to_other_wetland</t>
  </si>
  <si>
    <t>grassland_to_other_wetland</t>
  </si>
  <si>
    <t>forestland_to_settlement</t>
  </si>
  <si>
    <t>cropland_to_settlement</t>
  </si>
  <si>
    <t>grassland_to_settlement</t>
  </si>
  <si>
    <t>wetland_to_settlement</t>
  </si>
  <si>
    <t>otherland_to_settlement</t>
  </si>
  <si>
    <t>forestland_to_otherland</t>
  </si>
  <si>
    <t>cropland_to_otherland</t>
  </si>
  <si>
    <t>grassland_to_otherland</t>
  </si>
  <si>
    <t>wetland_to_otherland</t>
  </si>
  <si>
    <t>settlement_to_otherland</t>
  </si>
  <si>
    <t>forestland_remaining_forestland</t>
  </si>
  <si>
    <t>cropland_remaining_cropland</t>
  </si>
  <si>
    <t>grassland_remaining_grassland</t>
  </si>
  <si>
    <t>peat_extraction_remaining_peat_extraction</t>
  </si>
  <si>
    <t>wetland_remaining_wetland</t>
  </si>
  <si>
    <t>settlement_remaining_settlement</t>
  </si>
  <si>
    <t>aboveground_biomass</t>
  </si>
  <si>
    <t>belowground_biomass</t>
  </si>
  <si>
    <t>dead_wood</t>
  </si>
  <si>
    <t>mineral_soil</t>
  </si>
  <si>
    <t>organic_soil</t>
  </si>
  <si>
    <t>LUC TO FORESTLAND</t>
  </si>
  <si>
    <t>LUC TO CROPLAND</t>
  </si>
  <si>
    <t>LUC TO GRASSLAND</t>
  </si>
  <si>
    <t>LUC TO OTHER WETLAND</t>
  </si>
  <si>
    <t>LUC TO SETTLEMENT</t>
  </si>
  <si>
    <t>LUC TO OTHERLAND</t>
  </si>
  <si>
    <t>LUC LAND USE REMAINING UNCHANGED</t>
  </si>
  <si>
    <t>EMISSION FACTORS FOR ENERGY CARRIERS</t>
  </si>
  <si>
    <t>District heating</t>
  </si>
  <si>
    <t>CoM</t>
  </si>
  <si>
    <t>ANNUAL CHANGE IN BUILDING STOCK</t>
  </si>
  <si>
    <t>2041-50</t>
  </si>
  <si>
    <t>2021-30</t>
  </si>
  <si>
    <t>2031-40</t>
  </si>
  <si>
    <t>Emission_factor_for_energy_carrier (kgCO2e/kWh)</t>
  </si>
  <si>
    <r>
      <t>m</t>
    </r>
    <r>
      <rPr>
        <sz val="10"/>
        <color theme="1"/>
        <rFont val="Calibri"/>
        <family val="2"/>
        <charset val="186"/>
      </rPr>
      <t>²</t>
    </r>
  </si>
  <si>
    <t>Residential unit type</t>
  </si>
  <si>
    <t>% of energy from renewables</t>
  </si>
  <si>
    <t>U8.1 Retrofits of residential buildings</t>
  </si>
  <si>
    <t>U8.2 Retrofits of commercial buildings</t>
  </si>
  <si>
    <t>Commercial building type</t>
  </si>
  <si>
    <t>Indicative energy use</t>
  </si>
  <si>
    <t xml:space="preserve">before </t>
  </si>
  <si>
    <t>A</t>
  </si>
  <si>
    <t>B</t>
  </si>
  <si>
    <t>C</t>
  </si>
  <si>
    <t>G</t>
  </si>
  <si>
    <t>D</t>
  </si>
  <si>
    <t>E</t>
  </si>
  <si>
    <t>F</t>
  </si>
  <si>
    <t>Select residential unit</t>
  </si>
  <si>
    <t>Select building type</t>
  </si>
  <si>
    <t>New buildings completed between</t>
  </si>
  <si>
    <t>total number of apartments</t>
  </si>
  <si>
    <t>sub-category</t>
  </si>
  <si>
    <t xml:space="preserve">Number of residential units   </t>
  </si>
  <si>
    <t>Existing apartments</t>
  </si>
  <si>
    <t>Existing terraced</t>
  </si>
  <si>
    <t>Existing semi-detached</t>
  </si>
  <si>
    <t>Existing detached</t>
  </si>
  <si>
    <t>Heat*</t>
  </si>
  <si>
    <t>unit</t>
  </si>
  <si>
    <t>Energy</t>
  </si>
  <si>
    <t>no terraced house units built before baseline year</t>
  </si>
  <si>
    <t>no B-class terraced house units built after baseline year</t>
  </si>
  <si>
    <t>total number of terraced house units</t>
  </si>
  <si>
    <t>no A-class terraced house units built after baseline year</t>
  </si>
  <si>
    <t>no semi-detached units built before baseline year</t>
  </si>
  <si>
    <t>no A-class semi-detached units built after baseline year</t>
  </si>
  <si>
    <t>no B-class semi-detached units built after baseline year</t>
  </si>
  <si>
    <t>total number of semi-detached units</t>
  </si>
  <si>
    <t>no detached units built before baseline year</t>
  </si>
  <si>
    <t>no A-class detached units built after baseline year</t>
  </si>
  <si>
    <t>no B-class detached units built after baseline year</t>
  </si>
  <si>
    <t>total number of detached units</t>
  </si>
  <si>
    <t>Apartments</t>
  </si>
  <si>
    <t>nr of apartments built before baseline year</t>
  </si>
  <si>
    <t>nr of B-class apartments built after baseline year</t>
  </si>
  <si>
    <t>nr of A-class apartments built after baseline year</t>
  </si>
  <si>
    <t>GHG emissions by energy carrier (tCO2e/a)</t>
  </si>
  <si>
    <t>DISTRICT HEATING</t>
  </si>
  <si>
    <t>NUMBER OF RESIDENTIAL UNITS - EQUATIONS</t>
  </si>
  <si>
    <t>district_heating_emission_factor</t>
  </si>
  <si>
    <t>ENE_COL5</t>
  </si>
  <si>
    <t>ENE_COL6</t>
  </si>
  <si>
    <t>ENE_COL7</t>
  </si>
  <si>
    <t>ENE_COL8</t>
  </si>
  <si>
    <t>gCO2/kWh</t>
  </si>
  <si>
    <t>Unit conversion gCO2e/a -&gt; tCO2e/a. All results are divided by 1 000 000.</t>
  </si>
  <si>
    <t>GHG emissions from the energy use in residential buildings by unit type and source of heating energy</t>
  </si>
  <si>
    <t>COMMERCIAL BUILDINGS</t>
  </si>
  <si>
    <t>Residential buildings total</t>
  </si>
  <si>
    <t>Commercial buildings total</t>
  </si>
  <si>
    <t>Energy use in buildings, total</t>
  </si>
  <si>
    <t>Baseline summary (tCO2e/a)</t>
  </si>
  <si>
    <t>TERRACED</t>
  </si>
  <si>
    <t>SEMI-DETACHED</t>
  </si>
  <si>
    <t>DETACHED</t>
  </si>
  <si>
    <t>APARTMENT</t>
  </si>
  <si>
    <t>Energy carrier</t>
  </si>
  <si>
    <t xml:space="preserve">BASELINE SUMMARY  </t>
  </si>
  <si>
    <t>Commercial</t>
  </si>
  <si>
    <t>Floor area of commercial buildings</t>
  </si>
  <si>
    <t>Total surface area of commercial buildings</t>
  </si>
  <si>
    <t>RETAIL</t>
  </si>
  <si>
    <t>HOSPITALITY</t>
  </si>
  <si>
    <t>OFFICES</t>
  </si>
  <si>
    <t>INDUSTRIAL</t>
  </si>
  <si>
    <t>WAREHOUSES</t>
  </si>
  <si>
    <t>GHG EMISSIONS, ENERGY USE IN RESIDENTIAL BUILDINGS - EQUATIONS</t>
  </si>
  <si>
    <t>FLOOR AREA IN COMMERCIAL BUILDINGS</t>
  </si>
  <si>
    <r>
      <t>AREA</t>
    </r>
    <r>
      <rPr>
        <vertAlign val="subscript"/>
        <sz val="10"/>
        <color theme="1"/>
        <rFont val="Arial Unicode MS"/>
        <family val="2"/>
        <charset val="186"/>
      </rPr>
      <t>year_1</t>
    </r>
    <r>
      <rPr>
        <sz val="10"/>
        <color theme="1"/>
        <rFont val="Arial Unicode MS"/>
        <family val="2"/>
        <charset val="186"/>
      </rPr>
      <t>: inputs from cells B14:B19</t>
    </r>
  </si>
  <si>
    <r>
      <t>2021-30: AREA</t>
    </r>
    <r>
      <rPr>
        <vertAlign val="subscript"/>
        <sz val="10"/>
        <color theme="1"/>
        <rFont val="Arial Unicode MS"/>
        <family val="2"/>
        <charset val="186"/>
      </rPr>
      <t>yearX</t>
    </r>
    <r>
      <rPr>
        <sz val="10"/>
        <color theme="1"/>
        <rFont val="Arial Unicode MS"/>
        <family val="2"/>
        <charset val="186"/>
      </rPr>
      <t xml:space="preserve"> = (100-BUI_COL11+BUI_COL38) / 100 * AREA</t>
    </r>
    <r>
      <rPr>
        <vertAlign val="subscript"/>
        <sz val="10"/>
        <color theme="1"/>
        <rFont val="Arial Unicode MS"/>
        <family val="2"/>
        <charset val="186"/>
      </rPr>
      <t>yearX-1</t>
    </r>
  </si>
  <si>
    <r>
      <t>2031-40: AREA</t>
    </r>
    <r>
      <rPr>
        <vertAlign val="subscript"/>
        <sz val="10"/>
        <color theme="1"/>
        <rFont val="Arial Unicode MS"/>
        <family val="2"/>
        <charset val="186"/>
      </rPr>
      <t>yearX</t>
    </r>
    <r>
      <rPr>
        <sz val="10"/>
        <color theme="1"/>
        <rFont val="Arial Unicode MS"/>
        <family val="2"/>
        <charset val="186"/>
      </rPr>
      <t xml:space="preserve"> = (100-BUI_COL12+BUI_COL39) / 100 * AREA</t>
    </r>
    <r>
      <rPr>
        <vertAlign val="subscript"/>
        <sz val="10"/>
        <color theme="1"/>
        <rFont val="Arial Unicode MS"/>
        <family val="2"/>
        <charset val="186"/>
      </rPr>
      <t>yearX-2</t>
    </r>
    <r>
      <rPr>
        <sz val="11"/>
        <color theme="1"/>
        <rFont val="Calibri"/>
        <family val="2"/>
        <scheme val="minor"/>
      </rPr>
      <t/>
    </r>
  </si>
  <si>
    <r>
      <t>2041-50: AREA</t>
    </r>
    <r>
      <rPr>
        <vertAlign val="subscript"/>
        <sz val="10"/>
        <color theme="1"/>
        <rFont val="Arial Unicode MS"/>
        <family val="2"/>
        <charset val="186"/>
      </rPr>
      <t>yearX</t>
    </r>
    <r>
      <rPr>
        <sz val="10"/>
        <color theme="1"/>
        <rFont val="Arial Unicode MS"/>
        <family val="2"/>
        <charset val="186"/>
      </rPr>
      <t xml:space="preserve"> = (100-BUI_COL13+BUI_COL40) / 100 * AREA</t>
    </r>
    <r>
      <rPr>
        <vertAlign val="subscript"/>
        <sz val="10"/>
        <color theme="1"/>
        <rFont val="Arial Unicode MS"/>
        <family val="2"/>
        <charset val="186"/>
      </rPr>
      <t>yearX-3</t>
    </r>
    <r>
      <rPr>
        <sz val="11"/>
        <color theme="1"/>
        <rFont val="Calibri"/>
        <family val="2"/>
        <scheme val="minor"/>
      </rPr>
      <t/>
    </r>
  </si>
  <si>
    <t>GHG EMISSIONS BY ENERGY CARRIER</t>
  </si>
  <si>
    <t>example: Retail</t>
  </si>
  <si>
    <r>
      <t>Electricity: Floor_area</t>
    </r>
    <r>
      <rPr>
        <vertAlign val="subscript"/>
        <sz val="10"/>
        <color theme="1"/>
        <rFont val="Arial Unicode MS"/>
        <family val="2"/>
        <charset val="186"/>
      </rPr>
      <t>Retail</t>
    </r>
    <r>
      <rPr>
        <sz val="10"/>
        <color theme="1"/>
        <rFont val="Arial Unicode MS"/>
        <family val="2"/>
        <charset val="186"/>
      </rPr>
      <t xml:space="preserve"> * Consumption</t>
    </r>
    <r>
      <rPr>
        <vertAlign val="subscript"/>
        <sz val="10"/>
        <color theme="1"/>
        <rFont val="Arial Unicode MS"/>
        <family val="2"/>
        <charset val="186"/>
      </rPr>
      <t>Retail_Electricity</t>
    </r>
    <r>
      <rPr>
        <sz val="10"/>
        <color theme="1"/>
        <rFont val="Arial Unicode MS"/>
        <family val="2"/>
        <charset val="186"/>
      </rPr>
      <t xml:space="preserve"> * Emission factor</t>
    </r>
    <r>
      <rPr>
        <vertAlign val="subscript"/>
        <sz val="10"/>
        <color theme="1"/>
        <rFont val="Arial Unicode MS"/>
        <family val="2"/>
        <charset val="186"/>
      </rPr>
      <t>Electricity</t>
    </r>
    <r>
      <rPr>
        <sz val="10"/>
        <color theme="1"/>
        <rFont val="Arial Unicode MS"/>
        <family val="2"/>
        <charset val="186"/>
      </rPr>
      <t xml:space="preserve"> / 1000 000</t>
    </r>
  </si>
  <si>
    <r>
      <t>Gas: Floor_area</t>
    </r>
    <r>
      <rPr>
        <vertAlign val="subscript"/>
        <sz val="10"/>
        <color theme="1"/>
        <rFont val="Arial Unicode MS"/>
        <family val="2"/>
        <charset val="186"/>
      </rPr>
      <t>Retail</t>
    </r>
    <r>
      <rPr>
        <sz val="10"/>
        <color theme="1"/>
        <rFont val="Arial Unicode MS"/>
        <family val="2"/>
        <charset val="186"/>
      </rPr>
      <t xml:space="preserve"> * Consumption</t>
    </r>
    <r>
      <rPr>
        <vertAlign val="subscript"/>
        <sz val="10"/>
        <color theme="1"/>
        <rFont val="Arial Unicode MS"/>
        <family val="2"/>
        <charset val="186"/>
      </rPr>
      <t>Retail_Gas</t>
    </r>
    <r>
      <rPr>
        <sz val="10"/>
        <color theme="1"/>
        <rFont val="Arial Unicode MS"/>
        <family val="2"/>
        <charset val="186"/>
      </rPr>
      <t xml:space="preserve"> * Emission factor</t>
    </r>
    <r>
      <rPr>
        <vertAlign val="subscript"/>
        <sz val="10"/>
        <color theme="1"/>
        <rFont val="Arial Unicode MS"/>
        <family val="2"/>
        <charset val="186"/>
      </rPr>
      <t xml:space="preserve">Gas </t>
    </r>
    <r>
      <rPr>
        <sz val="10"/>
        <color theme="1"/>
        <rFont val="Arial Unicode MS"/>
        <family val="2"/>
        <charset val="186"/>
      </rPr>
      <t>/ 1000 000</t>
    </r>
  </si>
  <si>
    <r>
      <t>Oil: Floor_area</t>
    </r>
    <r>
      <rPr>
        <vertAlign val="subscript"/>
        <sz val="10"/>
        <color theme="1"/>
        <rFont val="Arial Unicode MS"/>
        <family val="2"/>
        <charset val="186"/>
      </rPr>
      <t>Retail</t>
    </r>
    <r>
      <rPr>
        <sz val="10"/>
        <color theme="1"/>
        <rFont val="Arial Unicode MS"/>
        <family val="2"/>
        <charset val="186"/>
      </rPr>
      <t xml:space="preserve"> * Consumption</t>
    </r>
    <r>
      <rPr>
        <vertAlign val="subscript"/>
        <sz val="10"/>
        <color theme="1"/>
        <rFont val="Arial Unicode MS"/>
        <family val="2"/>
        <charset val="186"/>
      </rPr>
      <t>Retail_Oil</t>
    </r>
    <r>
      <rPr>
        <sz val="10"/>
        <color theme="1"/>
        <rFont val="Arial Unicode MS"/>
        <family val="2"/>
        <charset val="186"/>
      </rPr>
      <t xml:space="preserve"> * Emission factor</t>
    </r>
    <r>
      <rPr>
        <vertAlign val="subscript"/>
        <sz val="10"/>
        <color theme="1"/>
        <rFont val="Arial Unicode MS"/>
        <family val="2"/>
        <charset val="186"/>
      </rPr>
      <t xml:space="preserve">Oil </t>
    </r>
    <r>
      <rPr>
        <sz val="10"/>
        <color theme="1"/>
        <rFont val="Arial Unicode MS"/>
        <family val="2"/>
        <charset val="186"/>
      </rPr>
      <t>/ 1000 000</t>
    </r>
  </si>
  <si>
    <r>
      <t>Coal: Floor_area</t>
    </r>
    <r>
      <rPr>
        <vertAlign val="subscript"/>
        <sz val="10"/>
        <color theme="1"/>
        <rFont val="Arial Unicode MS"/>
        <family val="2"/>
        <charset val="186"/>
      </rPr>
      <t>Retail</t>
    </r>
    <r>
      <rPr>
        <sz val="10"/>
        <color theme="1"/>
        <rFont val="Arial Unicode MS"/>
        <family val="2"/>
        <charset val="186"/>
      </rPr>
      <t xml:space="preserve"> * Consumption</t>
    </r>
    <r>
      <rPr>
        <vertAlign val="subscript"/>
        <sz val="10"/>
        <color theme="1"/>
        <rFont val="Arial Unicode MS"/>
        <family val="2"/>
        <charset val="186"/>
      </rPr>
      <t>Retail_Coal</t>
    </r>
    <r>
      <rPr>
        <sz val="10"/>
        <color theme="1"/>
        <rFont val="Arial Unicode MS"/>
        <family val="2"/>
        <charset val="186"/>
      </rPr>
      <t xml:space="preserve"> * Emission factor</t>
    </r>
    <r>
      <rPr>
        <vertAlign val="subscript"/>
        <sz val="10"/>
        <color theme="1"/>
        <rFont val="Arial Unicode MS"/>
        <family val="2"/>
        <charset val="186"/>
      </rPr>
      <t xml:space="preserve">Coal </t>
    </r>
    <r>
      <rPr>
        <sz val="10"/>
        <color theme="1"/>
        <rFont val="Arial Unicode MS"/>
        <family val="2"/>
        <charset val="186"/>
      </rPr>
      <t>/ 1000 000</t>
    </r>
  </si>
  <si>
    <r>
      <t>Peat: Floor_area</t>
    </r>
    <r>
      <rPr>
        <vertAlign val="subscript"/>
        <sz val="10"/>
        <color theme="1"/>
        <rFont val="Arial Unicode MS"/>
        <family val="2"/>
        <charset val="186"/>
      </rPr>
      <t>Retail</t>
    </r>
    <r>
      <rPr>
        <sz val="10"/>
        <color theme="1"/>
        <rFont val="Arial Unicode MS"/>
        <family val="2"/>
        <charset val="186"/>
      </rPr>
      <t xml:space="preserve"> * Consumption</t>
    </r>
    <r>
      <rPr>
        <vertAlign val="subscript"/>
        <sz val="10"/>
        <color theme="1"/>
        <rFont val="Arial Unicode MS"/>
        <family val="2"/>
        <charset val="186"/>
      </rPr>
      <t>Retail_Peat</t>
    </r>
    <r>
      <rPr>
        <sz val="10"/>
        <color theme="1"/>
        <rFont val="Arial Unicode MS"/>
        <family val="2"/>
        <charset val="186"/>
      </rPr>
      <t xml:space="preserve"> * Emission factor</t>
    </r>
    <r>
      <rPr>
        <vertAlign val="subscript"/>
        <sz val="10"/>
        <color theme="1"/>
        <rFont val="Arial Unicode MS"/>
        <family val="2"/>
        <charset val="186"/>
      </rPr>
      <t xml:space="preserve">Peat </t>
    </r>
    <r>
      <rPr>
        <sz val="10"/>
        <color theme="1"/>
        <rFont val="Arial Unicode MS"/>
        <family val="2"/>
        <charset val="186"/>
      </rPr>
      <t>/ 1000 000</t>
    </r>
  </si>
  <si>
    <r>
      <t>Wood: Floor_area</t>
    </r>
    <r>
      <rPr>
        <vertAlign val="subscript"/>
        <sz val="10"/>
        <color theme="1"/>
        <rFont val="Arial Unicode MS"/>
        <family val="2"/>
        <charset val="186"/>
      </rPr>
      <t>Retail</t>
    </r>
    <r>
      <rPr>
        <sz val="10"/>
        <color theme="1"/>
        <rFont val="Arial Unicode MS"/>
        <family val="2"/>
        <charset val="186"/>
      </rPr>
      <t xml:space="preserve"> * Consumption</t>
    </r>
    <r>
      <rPr>
        <vertAlign val="subscript"/>
        <sz val="10"/>
        <color theme="1"/>
        <rFont val="Arial Unicode MS"/>
        <family val="2"/>
        <charset val="186"/>
      </rPr>
      <t>Retail_Wood</t>
    </r>
    <r>
      <rPr>
        <sz val="10"/>
        <color theme="1"/>
        <rFont val="Arial Unicode MS"/>
        <family val="2"/>
        <charset val="186"/>
      </rPr>
      <t xml:space="preserve"> * Emission factor</t>
    </r>
    <r>
      <rPr>
        <vertAlign val="subscript"/>
        <sz val="10"/>
        <color theme="1"/>
        <rFont val="Arial Unicode MS"/>
        <family val="2"/>
        <charset val="186"/>
      </rPr>
      <t xml:space="preserve">Wood </t>
    </r>
    <r>
      <rPr>
        <sz val="10"/>
        <color theme="1"/>
        <rFont val="Arial Unicode MS"/>
        <family val="2"/>
        <charset val="186"/>
      </rPr>
      <t>/ 1000 000</t>
    </r>
  </si>
  <si>
    <r>
      <t>Renewable: Floor_area</t>
    </r>
    <r>
      <rPr>
        <vertAlign val="subscript"/>
        <sz val="10"/>
        <color theme="1"/>
        <rFont val="Arial Unicode MS"/>
        <family val="2"/>
        <charset val="186"/>
      </rPr>
      <t>Retail</t>
    </r>
    <r>
      <rPr>
        <sz val="10"/>
        <color theme="1"/>
        <rFont val="Arial Unicode MS"/>
        <family val="2"/>
        <charset val="186"/>
      </rPr>
      <t xml:space="preserve"> * Consumption</t>
    </r>
    <r>
      <rPr>
        <vertAlign val="subscript"/>
        <sz val="10"/>
        <color theme="1"/>
        <rFont val="Arial Unicode MS"/>
        <family val="2"/>
        <charset val="186"/>
      </rPr>
      <t>Retail_Renewable</t>
    </r>
    <r>
      <rPr>
        <sz val="10"/>
        <color theme="1"/>
        <rFont val="Arial Unicode MS"/>
        <family val="2"/>
        <charset val="186"/>
      </rPr>
      <t xml:space="preserve"> * Emission factor</t>
    </r>
    <r>
      <rPr>
        <vertAlign val="subscript"/>
        <sz val="10"/>
        <color theme="1"/>
        <rFont val="Arial Unicode MS"/>
        <family val="2"/>
        <charset val="186"/>
      </rPr>
      <t xml:space="preserve">Renewable </t>
    </r>
    <r>
      <rPr>
        <sz val="10"/>
        <color theme="1"/>
        <rFont val="Arial Unicode MS"/>
        <family val="2"/>
        <charset val="186"/>
      </rPr>
      <t>/ 1000 000</t>
    </r>
  </si>
  <si>
    <r>
      <t>District heating: Floor_area</t>
    </r>
    <r>
      <rPr>
        <vertAlign val="subscript"/>
        <sz val="10"/>
        <color theme="1"/>
        <rFont val="Arial Unicode MS"/>
        <family val="2"/>
        <charset val="186"/>
      </rPr>
      <t>Retail</t>
    </r>
    <r>
      <rPr>
        <sz val="10"/>
        <color theme="1"/>
        <rFont val="Arial Unicode MS"/>
        <family val="2"/>
        <charset val="186"/>
      </rPr>
      <t xml:space="preserve"> * Consumption</t>
    </r>
    <r>
      <rPr>
        <vertAlign val="subscript"/>
        <sz val="10"/>
        <color theme="1"/>
        <rFont val="Arial Unicode MS"/>
        <family val="2"/>
        <charset val="186"/>
      </rPr>
      <t>Retail_Heat</t>
    </r>
    <r>
      <rPr>
        <sz val="10"/>
        <color theme="1"/>
        <rFont val="Arial Unicode MS"/>
        <family val="2"/>
        <charset val="186"/>
      </rPr>
      <t xml:space="preserve"> * Emission factor</t>
    </r>
    <r>
      <rPr>
        <vertAlign val="subscript"/>
        <sz val="10"/>
        <color theme="1"/>
        <rFont val="Arial Unicode MS"/>
        <family val="2"/>
        <charset val="186"/>
      </rPr>
      <t xml:space="preserve">Heat </t>
    </r>
    <r>
      <rPr>
        <sz val="10"/>
        <color theme="1"/>
        <rFont val="Arial Unicode MS"/>
        <family val="2"/>
        <charset val="186"/>
      </rPr>
      <t>/ 1000 000</t>
    </r>
  </si>
  <si>
    <r>
      <t>Electricity: Floor_area</t>
    </r>
    <r>
      <rPr>
        <vertAlign val="subscript"/>
        <sz val="10"/>
        <color theme="1"/>
        <rFont val="Arial Unicode MS"/>
        <family val="2"/>
        <charset val="186"/>
      </rPr>
      <t>Health</t>
    </r>
    <r>
      <rPr>
        <sz val="10"/>
        <color theme="1"/>
        <rFont val="Arial Unicode MS"/>
        <family val="2"/>
        <charset val="186"/>
      </rPr>
      <t xml:space="preserve"> * Consumption</t>
    </r>
    <r>
      <rPr>
        <vertAlign val="subscript"/>
        <sz val="10"/>
        <color theme="1"/>
        <rFont val="Arial Unicode MS"/>
        <family val="2"/>
        <charset val="186"/>
      </rPr>
      <t>Health_Electricity</t>
    </r>
    <r>
      <rPr>
        <sz val="10"/>
        <color theme="1"/>
        <rFont val="Arial Unicode MS"/>
        <family val="2"/>
        <charset val="186"/>
      </rPr>
      <t xml:space="preserve"> * Emission factor</t>
    </r>
    <r>
      <rPr>
        <vertAlign val="subscript"/>
        <sz val="10"/>
        <color theme="1"/>
        <rFont val="Arial Unicode MS"/>
        <family val="2"/>
        <charset val="186"/>
      </rPr>
      <t xml:space="preserve">Electricity </t>
    </r>
    <r>
      <rPr>
        <sz val="10"/>
        <color theme="1"/>
        <rFont val="Arial Unicode MS"/>
        <family val="2"/>
        <charset val="186"/>
      </rPr>
      <t>/ 1000 000</t>
    </r>
  </si>
  <si>
    <r>
      <t>Electricity: Floor_area</t>
    </r>
    <r>
      <rPr>
        <vertAlign val="subscript"/>
        <sz val="10"/>
        <color theme="1"/>
        <rFont val="Arial Unicode MS"/>
        <family val="2"/>
        <charset val="186"/>
      </rPr>
      <t>Hospitality</t>
    </r>
    <r>
      <rPr>
        <sz val="10"/>
        <color theme="1"/>
        <rFont val="Arial Unicode MS"/>
        <family val="2"/>
        <charset val="186"/>
      </rPr>
      <t xml:space="preserve"> * Consumption</t>
    </r>
    <r>
      <rPr>
        <vertAlign val="subscript"/>
        <sz val="10"/>
        <color theme="1"/>
        <rFont val="Arial Unicode MS"/>
        <family val="2"/>
        <charset val="186"/>
      </rPr>
      <t>Hospitality_Electricity</t>
    </r>
    <r>
      <rPr>
        <sz val="10"/>
        <color theme="1"/>
        <rFont val="Arial Unicode MS"/>
        <family val="2"/>
        <charset val="186"/>
      </rPr>
      <t xml:space="preserve"> * Emission factor</t>
    </r>
    <r>
      <rPr>
        <vertAlign val="subscript"/>
        <sz val="10"/>
        <color theme="1"/>
        <rFont val="Arial Unicode MS"/>
        <family val="2"/>
        <charset val="186"/>
      </rPr>
      <t xml:space="preserve">Electricity </t>
    </r>
    <r>
      <rPr>
        <sz val="10"/>
        <color theme="1"/>
        <rFont val="Arial Unicode MS"/>
        <family val="2"/>
        <charset val="186"/>
      </rPr>
      <t>/ 1000 000</t>
    </r>
  </si>
  <si>
    <r>
      <t>Electricity: Floor_area</t>
    </r>
    <r>
      <rPr>
        <vertAlign val="subscript"/>
        <sz val="10"/>
        <color theme="1"/>
        <rFont val="Arial Unicode MS"/>
        <family val="2"/>
        <charset val="186"/>
      </rPr>
      <t>Offices</t>
    </r>
    <r>
      <rPr>
        <sz val="10"/>
        <color theme="1"/>
        <rFont val="Arial Unicode MS"/>
        <family val="2"/>
        <charset val="186"/>
      </rPr>
      <t xml:space="preserve"> * Consumption</t>
    </r>
    <r>
      <rPr>
        <vertAlign val="subscript"/>
        <sz val="10"/>
        <color theme="1"/>
        <rFont val="Arial Unicode MS"/>
        <family val="2"/>
        <charset val="186"/>
      </rPr>
      <t>Offices_Electricity</t>
    </r>
    <r>
      <rPr>
        <sz val="10"/>
        <color theme="1"/>
        <rFont val="Arial Unicode MS"/>
        <family val="2"/>
        <charset val="186"/>
      </rPr>
      <t xml:space="preserve"> * Emission factor</t>
    </r>
    <r>
      <rPr>
        <vertAlign val="subscript"/>
        <sz val="10"/>
        <color theme="1"/>
        <rFont val="Arial Unicode MS"/>
        <family val="2"/>
        <charset val="186"/>
      </rPr>
      <t xml:space="preserve">Electricity </t>
    </r>
    <r>
      <rPr>
        <sz val="10"/>
        <color theme="1"/>
        <rFont val="Arial Unicode MS"/>
        <family val="2"/>
        <charset val="186"/>
      </rPr>
      <t>/ 1000 000</t>
    </r>
  </si>
  <si>
    <r>
      <t>Electricity: Floor_area</t>
    </r>
    <r>
      <rPr>
        <vertAlign val="subscript"/>
        <sz val="10"/>
        <color theme="1"/>
        <rFont val="Arial Unicode MS"/>
        <family val="2"/>
        <charset val="186"/>
      </rPr>
      <t>Industrial</t>
    </r>
    <r>
      <rPr>
        <sz val="10"/>
        <color theme="1"/>
        <rFont val="Arial Unicode MS"/>
        <family val="2"/>
        <charset val="186"/>
      </rPr>
      <t xml:space="preserve"> * Consumption</t>
    </r>
    <r>
      <rPr>
        <vertAlign val="subscript"/>
        <sz val="10"/>
        <color theme="1"/>
        <rFont val="Arial Unicode MS"/>
        <family val="2"/>
        <charset val="186"/>
      </rPr>
      <t>Industrial_Electricity</t>
    </r>
    <r>
      <rPr>
        <sz val="10"/>
        <color theme="1"/>
        <rFont val="Arial Unicode MS"/>
        <family val="2"/>
        <charset val="186"/>
      </rPr>
      <t xml:space="preserve"> * Emission factor</t>
    </r>
    <r>
      <rPr>
        <vertAlign val="subscript"/>
        <sz val="10"/>
        <color theme="1"/>
        <rFont val="Arial Unicode MS"/>
        <family val="2"/>
        <charset val="186"/>
      </rPr>
      <t xml:space="preserve">Electricity </t>
    </r>
    <r>
      <rPr>
        <sz val="10"/>
        <color theme="1"/>
        <rFont val="Arial Unicode MS"/>
        <family val="2"/>
        <charset val="186"/>
      </rPr>
      <t>/ 1000 000</t>
    </r>
  </si>
  <si>
    <r>
      <t>Electricity: Floor_area</t>
    </r>
    <r>
      <rPr>
        <vertAlign val="subscript"/>
        <sz val="10"/>
        <color theme="1"/>
        <rFont val="Arial Unicode MS"/>
        <family val="2"/>
        <charset val="186"/>
      </rPr>
      <t>Warehouses</t>
    </r>
    <r>
      <rPr>
        <sz val="10"/>
        <color theme="1"/>
        <rFont val="Arial Unicode MS"/>
        <family val="2"/>
        <charset val="186"/>
      </rPr>
      <t xml:space="preserve"> * Consumption</t>
    </r>
    <r>
      <rPr>
        <vertAlign val="subscript"/>
        <sz val="10"/>
        <color theme="1"/>
        <rFont val="Arial Unicode MS"/>
        <family val="2"/>
        <charset val="186"/>
      </rPr>
      <t>Warehouses_Electricity</t>
    </r>
    <r>
      <rPr>
        <sz val="10"/>
        <color theme="1"/>
        <rFont val="Arial Unicode MS"/>
        <family val="2"/>
        <charset val="186"/>
      </rPr>
      <t xml:space="preserve"> * Emission factor</t>
    </r>
    <r>
      <rPr>
        <vertAlign val="subscript"/>
        <sz val="10"/>
        <color theme="1"/>
        <rFont val="Arial Unicode MS"/>
        <family val="2"/>
        <charset val="186"/>
      </rPr>
      <t xml:space="preserve">Electricity </t>
    </r>
    <r>
      <rPr>
        <sz val="10"/>
        <color theme="1"/>
        <rFont val="Arial Unicode MS"/>
        <family val="2"/>
        <charset val="186"/>
      </rPr>
      <t>/ 1000 000</t>
    </r>
  </si>
  <si>
    <t>tCO2/a</t>
  </si>
  <si>
    <t>CO2 emissions from the energy use in commercial buildings by building type and source of heating energy</t>
  </si>
  <si>
    <t>number of units</t>
  </si>
  <si>
    <t>from</t>
  </si>
  <si>
    <t>to</t>
  </si>
  <si>
    <t>U7.3 Densification</t>
  </si>
  <si>
    <t>U7 NEW CONSTRUCTION / DENSIFICATION</t>
  </si>
  <si>
    <t>number of existing units</t>
  </si>
  <si>
    <t>Residential buildings</t>
  </si>
  <si>
    <t>Commercial buildings</t>
  </si>
  <si>
    <t>floor area</t>
  </si>
  <si>
    <t>Densification of  a specific area</t>
  </si>
  <si>
    <t>after densification</t>
  </si>
  <si>
    <t>floor area after densification</t>
  </si>
  <si>
    <t>% energy from renewables</t>
  </si>
  <si>
    <t>Retrofits completed between</t>
  </si>
  <si>
    <t>densification rate (%)</t>
  </si>
  <si>
    <t>New residential units completed between</t>
  </si>
  <si>
    <t>Conversions implemented between</t>
  </si>
  <si>
    <t>U8.3 Change of building use</t>
  </si>
  <si>
    <t>Apartment total</t>
  </si>
  <si>
    <t>Terraced total</t>
  </si>
  <si>
    <t>Semi-detached total</t>
  </si>
  <si>
    <t>Detached total</t>
  </si>
  <si>
    <t>Retail total</t>
  </si>
  <si>
    <t>Health total</t>
  </si>
  <si>
    <t>Hospitality total</t>
  </si>
  <si>
    <t>Offices total</t>
  </si>
  <si>
    <t>Industrial total</t>
  </si>
  <si>
    <t>Warehouses total</t>
  </si>
  <si>
    <t>A-rated</t>
  </si>
  <si>
    <t>B-rated</t>
  </si>
  <si>
    <t>IF</t>
  </si>
  <si>
    <t>GHG emissions caused by the energy use of new construction / densification</t>
  </si>
  <si>
    <t>(E74 - D74 + 1)</t>
  </si>
  <si>
    <t>INDEX('DEFAULT DATA'!$PQ$9:$PX$41,START!$B$3,1)</t>
  </si>
  <si>
    <t>R4</t>
  </si>
  <si>
    <t>/ 1 000 000</t>
  </si>
  <si>
    <t>unit conversion</t>
  </si>
  <si>
    <t>GHG emission reductions from retrofits and conversions</t>
  </si>
  <si>
    <t>RESIDENTIAL UNITS - TWO TABLES PER RESIDENTIAL UNIT TYPE</t>
  </si>
  <si>
    <t>annual increase = emission factor * annual energy consumption per apartment * total number of new apartments / time period of construction / 1 000 000</t>
  </si>
  <si>
    <t>number of new units (apartments B74, terraced B75, semi-detached B76, detached B77) from U7.1</t>
  </si>
  <si>
    <t>(100 - F74) / 100</t>
  </si>
  <si>
    <t>(100 - F93) / 100</t>
  </si>
  <si>
    <t>C93 / 100 * B93</t>
  </si>
  <si>
    <t>number of years during which the new apartment units are constructed (apartments E74 and D74, terraced E75 and D75, semi-detached E76 and D76, detached E77 and D77)</t>
  </si>
  <si>
    <t>number of new units (apartments C93 and B93, terraced C94 and B94, semi-detached C95 and B95, detached C96 and B96) from U7.3</t>
  </si>
  <si>
    <t>(E93 - D93 + 1)</t>
  </si>
  <si>
    <t>number of years during which the new apartment units are constructed (apartments E93 and D93, terraced E94 and D94, semi-detached E95 and D95, detached E96 and D96)</t>
  </si>
  <si>
    <t>detects the implementation period (for example "from 2025 to 2030" etc)</t>
  </si>
  <si>
    <t>factor for multiplying the results (100% - share of renewable energy (=F93 apartments, F94 terraced, F95 semi-detached, F96 detached)) from U7.3; renewable energy has zero emissions</t>
  </si>
  <si>
    <t>factor for multiplying the results (100% - share of renewable energy (=F74 apartments, F75 terraced, F76 semi-detached, F77 detached)) from U7.1; renewable energy has zero emissions</t>
  </si>
  <si>
    <t>B74</t>
  </si>
  <si>
    <t>energy consumption from the default dataset, based on the country selection [row] and energy type [column 1 = electricity etc.]) PQ9:PQ41 for apartments, PY9:QF41 for terraced, QG9:QN41 for semi-detached, QO9:QV41 for detached)</t>
  </si>
  <si>
    <t>R5</t>
  </si>
  <si>
    <t>emission factor for grid electricity in 2022 [from row 4 in this worksheet]; (S4=2023, T4=2024...)</t>
  </si>
  <si>
    <t>emission factor for district heating in 2022 [from row 4 in this worksheet]; (S5=2023, T5=2024)</t>
  </si>
  <si>
    <t>INDEX('DEFAULT DATA'!$MM$9:$MS$41,START!$B$3,1)</t>
  </si>
  <si>
    <t>emission factor for gas (column1), oil (column2)...STARTB3 = country selection</t>
  </si>
  <si>
    <t>EQUATION example: Apartment, electricity, 2022</t>
  </si>
  <si>
    <t>energy use</t>
  </si>
  <si>
    <t>row 4</t>
  </si>
  <si>
    <t>row 5</t>
  </si>
  <si>
    <r>
      <t xml:space="preserve">U7.1 IMPACTS ARE </t>
    </r>
    <r>
      <rPr>
        <b/>
        <sz val="11"/>
        <color theme="0" tint="-0.499984740745262"/>
        <rFont val="Arial Unicode MS"/>
        <family val="2"/>
        <charset val="186"/>
      </rPr>
      <t>ADDED</t>
    </r>
    <r>
      <rPr>
        <sz val="11"/>
        <color theme="0" tint="-0.499984740745262"/>
        <rFont val="Arial Unicode MS"/>
        <family val="2"/>
        <charset val="186"/>
      </rPr>
      <t xml:space="preserve"> TO THE BASELINE EMISSIONS</t>
    </r>
  </si>
  <si>
    <r>
      <t xml:space="preserve">U7.3 IMPACTS ARE </t>
    </r>
    <r>
      <rPr>
        <b/>
        <sz val="11"/>
        <color theme="0" tint="-0.499984740745262"/>
        <rFont val="Arial Unicode MS"/>
        <family val="2"/>
        <charset val="186"/>
      </rPr>
      <t>ADDED</t>
    </r>
    <r>
      <rPr>
        <sz val="11"/>
        <color theme="0" tint="-0.499984740745262"/>
        <rFont val="Arial Unicode MS"/>
        <family val="2"/>
        <charset val="186"/>
      </rPr>
      <t xml:space="preserve"> TO THE BASELINE EMISSIONS</t>
    </r>
  </si>
  <si>
    <t xml:space="preserve">U7.1 EQUATION </t>
  </si>
  <si>
    <r>
      <t xml:space="preserve">U7.2 IMPACTS ARE </t>
    </r>
    <r>
      <rPr>
        <b/>
        <sz val="11"/>
        <color theme="0" tint="-0.499984740745262"/>
        <rFont val="Arial Unicode MS"/>
        <family val="2"/>
        <charset val="186"/>
      </rPr>
      <t>ADDED</t>
    </r>
    <r>
      <rPr>
        <sz val="11"/>
        <color theme="0" tint="-0.499984740745262"/>
        <rFont val="Arial Unicode MS"/>
        <family val="2"/>
        <charset val="186"/>
      </rPr>
      <t xml:space="preserve"> TO THE BASELINE EMISSIONS</t>
    </r>
  </si>
  <si>
    <t xml:space="preserve">U7.3 EQUATION </t>
  </si>
  <si>
    <t>=R$4*$P$372*((100-$F$93)/100)*ROUND(($C$93/100*$B$93)/($E$93-$D$93+1),0)/1000000</t>
  </si>
  <si>
    <t>=R$4*'INDEX('DEFAULT DATA'!$PQ$9:$PX$41,START!$B$3,1)*((100-$F$74)/100)*ROUND($B$74/($E$74-$D$74+1),0)/1000000</t>
  </si>
  <si>
    <r>
      <t xml:space="preserve">U8.1 IMPACTS ARE </t>
    </r>
    <r>
      <rPr>
        <b/>
        <sz val="11"/>
        <color theme="0" tint="-0.499984740745262"/>
        <rFont val="Arial Unicode MS"/>
        <family val="2"/>
        <charset val="186"/>
      </rPr>
      <t>REDUCED</t>
    </r>
    <r>
      <rPr>
        <sz val="11"/>
        <color theme="0" tint="-0.499984740745262"/>
        <rFont val="Arial Unicode MS"/>
        <family val="2"/>
        <charset val="186"/>
      </rPr>
      <t xml:space="preserve"> FROM THE BASELINE EMISSIONS</t>
    </r>
  </si>
  <si>
    <t>U8.2 IMPACTS ARE REDUCED FROM THE BASELINE EMISSIONS</t>
  </si>
  <si>
    <t xml:space="preserve">Describe below the settlement types that the assessment area consists of. The percentages express the share of the total population living in various types of settlements. </t>
  </si>
  <si>
    <t>These inputs are applied to scale down the statistical data from the national level to the assessment area.</t>
  </si>
  <si>
    <t>START</t>
  </si>
  <si>
    <t>LAND-USE CHANGE</t>
  </si>
  <si>
    <t>existing floor area</t>
  </si>
  <si>
    <t>U8.3 IMPACTS THAT ARE REDUCED FROM THE BASELINE EMISSIONS</t>
  </si>
  <si>
    <t>U8.3 IMPACTS THAT ARE ADDED TO THE BASELINE EMISSIONS</t>
  </si>
  <si>
    <t>GHG emission reductions from conversions</t>
  </si>
  <si>
    <t>GHG emission increase from conversions</t>
  </si>
  <si>
    <t>Baseline total</t>
  </si>
  <si>
    <t>POLICY QUANTIFICATION RESULTS</t>
  </si>
  <si>
    <t>ENERGY USE IN BUILDINGS</t>
  </si>
  <si>
    <t xml:space="preserve">if a &lt; a1 -&gt; nraXa = 0; nraAa = 0; nraBa = 0 </t>
  </si>
  <si>
    <r>
      <t>if a = a1 -&gt; nraX</t>
    </r>
    <r>
      <rPr>
        <vertAlign val="subscript"/>
        <sz val="10"/>
        <color theme="1"/>
        <rFont val="Arial Unicode MS"/>
        <family val="2"/>
        <charset val="186"/>
      </rPr>
      <t>a</t>
    </r>
    <r>
      <rPr>
        <sz val="10"/>
        <color theme="1"/>
        <rFont val="Arial Unicode MS"/>
        <family val="2"/>
        <charset val="186"/>
      </rPr>
      <t xml:space="preserve"> = B6 (user input, this page); nraAa = 0; nraBa = 0</t>
    </r>
  </si>
  <si>
    <t>for years 2021-2030 the following dataset columns are applied:</t>
  </si>
  <si>
    <r>
      <t>for nraX</t>
    </r>
    <r>
      <rPr>
        <vertAlign val="subscript"/>
        <sz val="10"/>
        <color theme="1"/>
        <rFont val="Arial Unicode MS"/>
        <family val="2"/>
        <charset val="186"/>
      </rPr>
      <t xml:space="preserve">a </t>
    </r>
    <r>
      <rPr>
        <sz val="10"/>
        <color theme="1"/>
        <rFont val="Arial Unicode MS"/>
        <family val="2"/>
        <charset val="186"/>
      </rPr>
      <t>annual demolition rate = BUI_COL8; for nraA</t>
    </r>
    <r>
      <rPr>
        <vertAlign val="subscript"/>
        <sz val="10"/>
        <color theme="1"/>
        <rFont val="Arial Unicode MS"/>
        <family val="2"/>
        <charset val="186"/>
      </rPr>
      <t xml:space="preserve">a </t>
    </r>
    <r>
      <rPr>
        <sz val="10"/>
        <color theme="1"/>
        <rFont val="Arial Unicode MS"/>
        <family val="2"/>
        <charset val="186"/>
      </rPr>
      <t>annual new construction rate for A-rated apartments = BUI_COL14; for nraB</t>
    </r>
    <r>
      <rPr>
        <vertAlign val="subscript"/>
        <sz val="10"/>
        <color theme="1"/>
        <rFont val="Arial Unicode MS"/>
        <family val="2"/>
        <charset val="186"/>
      </rPr>
      <t xml:space="preserve">a </t>
    </r>
    <r>
      <rPr>
        <sz val="10"/>
        <color theme="1"/>
        <rFont val="Arial Unicode MS"/>
        <family val="2"/>
        <charset val="186"/>
      </rPr>
      <t>annual new construction rate for B-rated apartments = BUI_COL17</t>
    </r>
  </si>
  <si>
    <t>for years 2031-2040 the following dataset columns are applied:</t>
  </si>
  <si>
    <r>
      <t>for nraX</t>
    </r>
    <r>
      <rPr>
        <vertAlign val="subscript"/>
        <sz val="10"/>
        <color theme="1"/>
        <rFont val="Arial Unicode MS"/>
        <family val="2"/>
        <charset val="186"/>
      </rPr>
      <t xml:space="preserve">a </t>
    </r>
    <r>
      <rPr>
        <sz val="10"/>
        <color theme="1"/>
        <rFont val="Arial Unicode MS"/>
        <family val="2"/>
        <charset val="186"/>
      </rPr>
      <t>annual demolition rate = BUI_COL9; for nraA</t>
    </r>
    <r>
      <rPr>
        <vertAlign val="subscript"/>
        <sz val="10"/>
        <color theme="1"/>
        <rFont val="Arial Unicode MS"/>
        <family val="2"/>
        <charset val="186"/>
      </rPr>
      <t xml:space="preserve">a </t>
    </r>
    <r>
      <rPr>
        <sz val="10"/>
        <color theme="1"/>
        <rFont val="Arial Unicode MS"/>
        <family val="2"/>
        <charset val="186"/>
      </rPr>
      <t>annual new construction rate for A-rated apartments = BUI_COL15; for nraB</t>
    </r>
    <r>
      <rPr>
        <vertAlign val="subscript"/>
        <sz val="10"/>
        <color theme="1"/>
        <rFont val="Arial Unicode MS"/>
        <family val="2"/>
        <charset val="186"/>
      </rPr>
      <t xml:space="preserve">a </t>
    </r>
    <r>
      <rPr>
        <sz val="10"/>
        <color theme="1"/>
        <rFont val="Arial Unicode MS"/>
        <family val="2"/>
        <charset val="186"/>
      </rPr>
      <t>annual new construction rate for B-rated apartments = BUI_COL18</t>
    </r>
  </si>
  <si>
    <t>for years 2041-2050 the following dataset columns are applied:</t>
  </si>
  <si>
    <r>
      <t>for nraX</t>
    </r>
    <r>
      <rPr>
        <vertAlign val="subscript"/>
        <sz val="10"/>
        <color theme="1"/>
        <rFont val="Arial Unicode MS"/>
        <family val="2"/>
        <charset val="186"/>
      </rPr>
      <t xml:space="preserve">a </t>
    </r>
    <r>
      <rPr>
        <sz val="10"/>
        <color theme="1"/>
        <rFont val="Arial Unicode MS"/>
        <family val="2"/>
        <charset val="186"/>
      </rPr>
      <t>annual demolition rate = BUI_COL10; for nraA</t>
    </r>
    <r>
      <rPr>
        <vertAlign val="subscript"/>
        <sz val="10"/>
        <color theme="1"/>
        <rFont val="Arial Unicode MS"/>
        <family val="2"/>
        <charset val="186"/>
      </rPr>
      <t xml:space="preserve">a </t>
    </r>
    <r>
      <rPr>
        <sz val="10"/>
        <color theme="1"/>
        <rFont val="Arial Unicode MS"/>
        <family val="2"/>
        <charset val="186"/>
      </rPr>
      <t>annual new construction rate for A-rated apartments = BUI_COL16; for nraB</t>
    </r>
    <r>
      <rPr>
        <vertAlign val="subscript"/>
        <sz val="10"/>
        <color theme="1"/>
        <rFont val="Arial Unicode MS"/>
        <family val="2"/>
        <charset val="186"/>
      </rPr>
      <t xml:space="preserve">a </t>
    </r>
    <r>
      <rPr>
        <sz val="10"/>
        <color theme="1"/>
        <rFont val="Arial Unicode MS"/>
        <family val="2"/>
        <charset val="186"/>
      </rPr>
      <t>annual new construction rate for B-rated apartments = BUI_COL19</t>
    </r>
  </si>
  <si>
    <r>
      <t>emission factors EFGE</t>
    </r>
    <r>
      <rPr>
        <vertAlign val="subscript"/>
        <sz val="10"/>
        <color theme="1"/>
        <rFont val="Arial Unicode MS"/>
        <family val="2"/>
        <charset val="186"/>
      </rPr>
      <t>a</t>
    </r>
    <r>
      <rPr>
        <sz val="10"/>
        <color theme="1"/>
        <rFont val="Arial Unicode MS"/>
        <family val="2"/>
        <charset val="186"/>
      </rPr>
      <t xml:space="preserve"> and  EFDH</t>
    </r>
    <r>
      <rPr>
        <vertAlign val="subscript"/>
        <sz val="10"/>
        <color theme="1"/>
        <rFont val="Arial Unicode MS"/>
        <family val="2"/>
        <charset val="186"/>
      </rPr>
      <t>a</t>
    </r>
  </si>
  <si>
    <r>
      <t>EFDH</t>
    </r>
    <r>
      <rPr>
        <vertAlign val="subscript"/>
        <sz val="9"/>
        <color theme="1"/>
        <rFont val="Arial Unicode MS"/>
        <family val="2"/>
        <charset val="186"/>
      </rPr>
      <t>a</t>
    </r>
    <r>
      <rPr>
        <sz val="9"/>
        <color theme="1"/>
        <rFont val="Arial Unicode MS"/>
        <family val="2"/>
        <charset val="186"/>
      </rPr>
      <t xml:space="preserve"> = EFDH</t>
    </r>
    <r>
      <rPr>
        <vertAlign val="subscript"/>
        <sz val="9"/>
        <color theme="1"/>
        <rFont val="Arial Unicode MS"/>
        <family val="2"/>
        <charset val="186"/>
      </rPr>
      <t>a-1</t>
    </r>
    <r>
      <rPr>
        <sz val="9"/>
        <color theme="1"/>
        <rFont val="Arial Unicode MS"/>
        <family val="2"/>
        <charset val="186"/>
      </rPr>
      <t xml:space="preserve"> * (100+ENE_COL6,7,8)/100 </t>
    </r>
  </si>
  <si>
    <r>
      <t>EFGE</t>
    </r>
    <r>
      <rPr>
        <vertAlign val="subscript"/>
        <sz val="9"/>
        <color theme="1"/>
        <rFont val="Arial Unicode MS"/>
        <family val="2"/>
        <charset val="186"/>
      </rPr>
      <t>a</t>
    </r>
    <r>
      <rPr>
        <sz val="9"/>
        <color theme="1"/>
        <rFont val="Arial Unicode MS"/>
        <family val="2"/>
        <charset val="186"/>
      </rPr>
      <t xml:space="preserve"> = EFGE</t>
    </r>
    <r>
      <rPr>
        <vertAlign val="subscript"/>
        <sz val="9"/>
        <color theme="1"/>
        <rFont val="Arial Unicode MS"/>
        <family val="2"/>
        <charset val="186"/>
      </rPr>
      <t>a-1</t>
    </r>
    <r>
      <rPr>
        <sz val="9"/>
        <color theme="1"/>
        <rFont val="Arial Unicode MS"/>
        <family val="2"/>
        <charset val="186"/>
      </rPr>
      <t xml:space="preserve"> * (100+ENE_COL2,3,4)/100 </t>
    </r>
  </si>
  <si>
    <r>
      <t>EFGE</t>
    </r>
    <r>
      <rPr>
        <vertAlign val="subscript"/>
        <sz val="9"/>
        <color theme="1"/>
        <rFont val="Arial Unicode MS"/>
        <family val="2"/>
        <charset val="186"/>
      </rPr>
      <t>2021</t>
    </r>
    <r>
      <rPr>
        <sz val="9"/>
        <color theme="1"/>
        <rFont val="Arial Unicode MS"/>
        <family val="2"/>
        <charset val="186"/>
      </rPr>
      <t xml:space="preserve"> = ENE_COL1; 'EFDH</t>
    </r>
    <r>
      <rPr>
        <vertAlign val="subscript"/>
        <sz val="9"/>
        <color theme="1"/>
        <rFont val="Arial Unicode MS"/>
        <family val="2"/>
        <charset val="186"/>
      </rPr>
      <t>2021</t>
    </r>
    <r>
      <rPr>
        <sz val="9"/>
        <color theme="1"/>
        <rFont val="Arial Unicode MS"/>
        <family val="2"/>
        <charset val="186"/>
      </rPr>
      <t xml:space="preserve"> = ENE_COL5</t>
    </r>
  </si>
  <si>
    <t>ENE_COL1, ENE_COL5</t>
  </si>
  <si>
    <t>calculated with ENE_COL2, ENE_COL6</t>
  </si>
  <si>
    <t>calculated with ENE_COL3, ENE_COL7</t>
  </si>
  <si>
    <t>calculated with ENE_COL4, ENE_COL8</t>
  </si>
  <si>
    <r>
      <rPr>
        <sz val="10"/>
        <color theme="1"/>
        <rFont val="Arial Unicode MS"/>
        <family val="2"/>
        <charset val="186"/>
      </rPr>
      <t>if a &gt; a1 -&gt; nraX</t>
    </r>
    <r>
      <rPr>
        <vertAlign val="subscript"/>
        <sz val="10"/>
        <color theme="1"/>
        <rFont val="Arial Unicode MS"/>
        <family val="2"/>
        <charset val="186"/>
      </rPr>
      <t>a</t>
    </r>
    <r>
      <rPr>
        <sz val="10"/>
        <color theme="1"/>
        <rFont val="Arial Unicode MS"/>
        <family val="2"/>
        <charset val="186"/>
      </rPr>
      <t xml:space="preserve">  = nraX</t>
    </r>
    <r>
      <rPr>
        <vertAlign val="subscript"/>
        <sz val="10"/>
        <color theme="1"/>
        <rFont val="Arial Unicode MS"/>
        <family val="2"/>
        <charset val="186"/>
      </rPr>
      <t>a-1</t>
    </r>
    <r>
      <rPr>
        <sz val="10"/>
        <color theme="1"/>
        <rFont val="Arial Unicode MS"/>
        <family val="2"/>
        <charset val="186"/>
      </rPr>
      <t xml:space="preserve"> - ((nraX</t>
    </r>
    <r>
      <rPr>
        <vertAlign val="subscript"/>
        <sz val="10"/>
        <color theme="1"/>
        <rFont val="Arial Unicode MS"/>
        <family val="2"/>
        <charset val="186"/>
      </rPr>
      <t>a-1</t>
    </r>
    <r>
      <rPr>
        <sz val="10"/>
        <color theme="1"/>
        <rFont val="Arial Unicode MS"/>
        <family val="2"/>
        <charset val="186"/>
      </rPr>
      <t xml:space="preserve"> + nraA</t>
    </r>
    <r>
      <rPr>
        <vertAlign val="subscript"/>
        <sz val="10"/>
        <color theme="1"/>
        <rFont val="Arial Unicode MS"/>
        <family val="2"/>
        <charset val="186"/>
      </rPr>
      <t>a-1</t>
    </r>
    <r>
      <rPr>
        <sz val="10"/>
        <color theme="1"/>
        <rFont val="Arial Unicode MS"/>
        <family val="2"/>
        <charset val="186"/>
      </rPr>
      <t xml:space="preserve"> + nraB</t>
    </r>
    <r>
      <rPr>
        <vertAlign val="subscript"/>
        <sz val="10"/>
        <color theme="1"/>
        <rFont val="Arial Unicode MS"/>
        <family val="2"/>
        <charset val="186"/>
      </rPr>
      <t>a-1</t>
    </r>
    <r>
      <rPr>
        <sz val="10"/>
        <color theme="1"/>
        <rFont val="Arial Unicode MS"/>
        <family val="2"/>
        <charset val="186"/>
      </rPr>
      <t>) * (BUI_COL8,9,10 / 100)); nraA</t>
    </r>
    <r>
      <rPr>
        <vertAlign val="subscript"/>
        <sz val="10"/>
        <color theme="1"/>
        <rFont val="Arial Unicode MS"/>
        <family val="2"/>
        <charset val="186"/>
      </rPr>
      <t>a</t>
    </r>
    <r>
      <rPr>
        <sz val="10"/>
        <color theme="1"/>
        <rFont val="Arial Unicode MS"/>
        <family val="2"/>
        <charset val="186"/>
      </rPr>
      <t xml:space="preserve"> = nraA</t>
    </r>
    <r>
      <rPr>
        <vertAlign val="subscript"/>
        <sz val="10"/>
        <color theme="1"/>
        <rFont val="Arial Unicode MS"/>
        <family val="2"/>
        <charset val="186"/>
      </rPr>
      <t>a-1</t>
    </r>
    <r>
      <rPr>
        <sz val="10"/>
        <color theme="1"/>
        <rFont val="Arial Unicode MS"/>
        <family val="2"/>
        <charset val="186"/>
      </rPr>
      <t xml:space="preserve"> + ((nraX</t>
    </r>
    <r>
      <rPr>
        <vertAlign val="subscript"/>
        <sz val="10"/>
        <color theme="1"/>
        <rFont val="Arial Unicode MS"/>
        <family val="2"/>
        <charset val="186"/>
      </rPr>
      <t>a-1</t>
    </r>
    <r>
      <rPr>
        <sz val="10"/>
        <color theme="1"/>
        <rFont val="Arial Unicode MS"/>
        <family val="2"/>
        <charset val="186"/>
      </rPr>
      <t xml:space="preserve"> + nraA</t>
    </r>
    <r>
      <rPr>
        <vertAlign val="subscript"/>
        <sz val="10"/>
        <color theme="1"/>
        <rFont val="Arial Unicode MS"/>
        <family val="2"/>
        <charset val="186"/>
      </rPr>
      <t>a-1</t>
    </r>
    <r>
      <rPr>
        <sz val="10"/>
        <color theme="1"/>
        <rFont val="Arial Unicode MS"/>
        <family val="2"/>
        <charset val="186"/>
      </rPr>
      <t xml:space="preserve"> + nraB</t>
    </r>
    <r>
      <rPr>
        <vertAlign val="subscript"/>
        <sz val="10"/>
        <color theme="1"/>
        <rFont val="Arial Unicode MS"/>
        <family val="2"/>
        <charset val="186"/>
      </rPr>
      <t>a-1</t>
    </r>
    <r>
      <rPr>
        <sz val="10"/>
        <color theme="1"/>
        <rFont val="Arial Unicode MS"/>
        <family val="2"/>
        <charset val="186"/>
      </rPr>
      <t>) * (BUI_COL14,15,16 / 100)); nraA</t>
    </r>
    <r>
      <rPr>
        <vertAlign val="subscript"/>
        <sz val="10"/>
        <color theme="1"/>
        <rFont val="Arial Unicode MS"/>
        <family val="2"/>
        <charset val="186"/>
      </rPr>
      <t>a</t>
    </r>
    <r>
      <rPr>
        <sz val="10"/>
        <color theme="1"/>
        <rFont val="Arial Unicode MS"/>
        <family val="2"/>
        <charset val="186"/>
      </rPr>
      <t xml:space="preserve"> = nraA</t>
    </r>
    <r>
      <rPr>
        <vertAlign val="subscript"/>
        <sz val="10"/>
        <color theme="1"/>
        <rFont val="Arial Unicode MS"/>
        <family val="2"/>
        <charset val="186"/>
      </rPr>
      <t>a-1</t>
    </r>
    <r>
      <rPr>
        <sz val="10"/>
        <color theme="1"/>
        <rFont val="Arial Unicode MS"/>
        <family val="2"/>
        <charset val="186"/>
      </rPr>
      <t xml:space="preserve"> + (nraX</t>
    </r>
    <r>
      <rPr>
        <vertAlign val="subscript"/>
        <sz val="10"/>
        <color theme="1"/>
        <rFont val="Arial Unicode MS"/>
        <family val="2"/>
        <charset val="186"/>
      </rPr>
      <t>a-1</t>
    </r>
    <r>
      <rPr>
        <sz val="10"/>
        <color theme="1"/>
        <rFont val="Arial Unicode MS"/>
        <family val="2"/>
        <charset val="186"/>
      </rPr>
      <t xml:space="preserve"> + nraA</t>
    </r>
    <r>
      <rPr>
        <vertAlign val="subscript"/>
        <sz val="10"/>
        <color theme="1"/>
        <rFont val="Arial Unicode MS"/>
        <family val="2"/>
        <charset val="186"/>
      </rPr>
      <t>a-1</t>
    </r>
    <r>
      <rPr>
        <sz val="10"/>
        <color theme="1"/>
        <rFont val="Arial Unicode MS"/>
        <family val="2"/>
        <charset val="186"/>
      </rPr>
      <t xml:space="preserve"> + nraB</t>
    </r>
    <r>
      <rPr>
        <vertAlign val="subscript"/>
        <sz val="10"/>
        <color theme="1"/>
        <rFont val="Arial Unicode MS"/>
        <family val="2"/>
        <charset val="186"/>
      </rPr>
      <t>a-1</t>
    </r>
    <r>
      <rPr>
        <sz val="10"/>
        <color theme="1"/>
        <rFont val="Arial Unicode MS"/>
        <family val="2"/>
        <charset val="186"/>
      </rPr>
      <t xml:space="preserve">) * ((BUI_COL17,18,19 / 100)). </t>
    </r>
  </si>
  <si>
    <t>a1 (first assessment year) = user input, StartB2+2021 (StartB2 = 1,2,3,...).</t>
  </si>
  <si>
    <t>a = year</t>
  </si>
  <si>
    <r>
      <t>GHG_electricity</t>
    </r>
    <r>
      <rPr>
        <vertAlign val="subscript"/>
        <sz val="10"/>
        <color theme="1"/>
        <rFont val="Arial Unicode MS"/>
        <family val="2"/>
        <charset val="186"/>
      </rPr>
      <t>a</t>
    </r>
    <r>
      <rPr>
        <sz val="10"/>
        <color theme="1"/>
        <rFont val="Arial Unicode MS"/>
        <family val="2"/>
        <charset val="186"/>
      </rPr>
      <t xml:space="preserve"> = ((nraX</t>
    </r>
    <r>
      <rPr>
        <vertAlign val="subscript"/>
        <sz val="10"/>
        <color theme="1"/>
        <rFont val="Arial Unicode MS"/>
        <family val="2"/>
        <charset val="186"/>
      </rPr>
      <t>a</t>
    </r>
    <r>
      <rPr>
        <sz val="10"/>
        <color theme="1"/>
        <rFont val="Arial Unicode MS"/>
        <family val="2"/>
        <charset val="186"/>
      </rPr>
      <t xml:space="preserve"> * BUI_COL275) + (nraA</t>
    </r>
    <r>
      <rPr>
        <vertAlign val="subscript"/>
        <sz val="10"/>
        <color theme="1"/>
        <rFont val="Arial Unicode MS"/>
        <family val="2"/>
        <charset val="186"/>
      </rPr>
      <t>a</t>
    </r>
    <r>
      <rPr>
        <sz val="10"/>
        <color theme="1"/>
        <rFont val="Arial Unicode MS"/>
        <family val="2"/>
        <charset val="186"/>
      </rPr>
      <t xml:space="preserve"> * BUI_COL51) + (nrB</t>
    </r>
    <r>
      <rPr>
        <vertAlign val="subscript"/>
        <sz val="10"/>
        <color theme="1"/>
        <rFont val="Arial Unicode MS"/>
        <family val="2"/>
        <charset val="186"/>
      </rPr>
      <t>a</t>
    </r>
    <r>
      <rPr>
        <sz val="10"/>
        <color theme="1"/>
        <rFont val="Arial Unicode MS"/>
        <family val="2"/>
        <charset val="186"/>
      </rPr>
      <t xml:space="preserve"> * BUI_COL83)) * GRID_ELECTRICITY_emission_factor</t>
    </r>
    <r>
      <rPr>
        <vertAlign val="subscript"/>
        <sz val="10"/>
        <color theme="1"/>
        <rFont val="Arial Unicode MS"/>
        <family val="2"/>
        <charset val="186"/>
      </rPr>
      <t>a</t>
    </r>
    <r>
      <rPr>
        <sz val="10"/>
        <color theme="1"/>
        <rFont val="Arial Unicode MS"/>
        <family val="2"/>
        <charset val="186"/>
      </rPr>
      <t xml:space="preserve"> (from row4)</t>
    </r>
  </si>
  <si>
    <r>
      <t>GHG_gas</t>
    </r>
    <r>
      <rPr>
        <vertAlign val="subscript"/>
        <sz val="10"/>
        <color theme="1"/>
        <rFont val="Arial Unicode MS"/>
        <family val="2"/>
        <charset val="186"/>
      </rPr>
      <t>a</t>
    </r>
    <r>
      <rPr>
        <sz val="10"/>
        <color theme="1"/>
        <rFont val="Arial Unicode MS"/>
        <family val="2"/>
        <charset val="186"/>
      </rPr>
      <t xml:space="preserve"> = ((nraX</t>
    </r>
    <r>
      <rPr>
        <vertAlign val="subscript"/>
        <sz val="10"/>
        <color theme="1"/>
        <rFont val="Arial Unicode MS"/>
        <family val="2"/>
        <charset val="186"/>
      </rPr>
      <t>a</t>
    </r>
    <r>
      <rPr>
        <sz val="10"/>
        <color theme="1"/>
        <rFont val="Arial Unicode MS"/>
        <family val="2"/>
        <charset val="186"/>
      </rPr>
      <t xml:space="preserve"> * BUI_COL276) + (nraA</t>
    </r>
    <r>
      <rPr>
        <vertAlign val="subscript"/>
        <sz val="10"/>
        <color theme="1"/>
        <rFont val="Arial Unicode MS"/>
        <family val="2"/>
        <charset val="186"/>
      </rPr>
      <t>a</t>
    </r>
    <r>
      <rPr>
        <sz val="10"/>
        <color theme="1"/>
        <rFont val="Arial Unicode MS"/>
        <family val="2"/>
        <charset val="186"/>
      </rPr>
      <t xml:space="preserve"> * BUI_COL52) + (nraB</t>
    </r>
    <r>
      <rPr>
        <vertAlign val="subscript"/>
        <sz val="10"/>
        <color theme="1"/>
        <rFont val="Arial Unicode MS"/>
        <family val="2"/>
        <charset val="186"/>
      </rPr>
      <t>a</t>
    </r>
    <r>
      <rPr>
        <sz val="10"/>
        <color theme="1"/>
        <rFont val="Arial Unicode MS"/>
        <family val="2"/>
        <charset val="186"/>
      </rPr>
      <t xml:space="preserve"> * BUI_COL84)) * BUI_COL1</t>
    </r>
  </si>
  <si>
    <r>
      <t>GHG_oil</t>
    </r>
    <r>
      <rPr>
        <vertAlign val="subscript"/>
        <sz val="10"/>
        <color theme="1"/>
        <rFont val="Arial Unicode MS"/>
        <family val="2"/>
        <charset val="186"/>
      </rPr>
      <t>a</t>
    </r>
    <r>
      <rPr>
        <sz val="10"/>
        <color theme="1"/>
        <rFont val="Arial Unicode MS"/>
        <family val="2"/>
        <charset val="186"/>
      </rPr>
      <t xml:space="preserve"> = ((nraX</t>
    </r>
    <r>
      <rPr>
        <vertAlign val="subscript"/>
        <sz val="10"/>
        <color theme="1"/>
        <rFont val="Arial Unicode MS"/>
        <family val="2"/>
        <charset val="186"/>
      </rPr>
      <t>a</t>
    </r>
    <r>
      <rPr>
        <sz val="10"/>
        <color theme="1"/>
        <rFont val="Arial Unicode MS"/>
        <family val="2"/>
        <charset val="186"/>
      </rPr>
      <t xml:space="preserve"> * BUI_COL277) + (nraA</t>
    </r>
    <r>
      <rPr>
        <vertAlign val="subscript"/>
        <sz val="10"/>
        <color theme="1"/>
        <rFont val="Arial Unicode MS"/>
        <family val="2"/>
        <charset val="186"/>
      </rPr>
      <t>a</t>
    </r>
    <r>
      <rPr>
        <sz val="10"/>
        <color theme="1"/>
        <rFont val="Arial Unicode MS"/>
        <family val="2"/>
        <charset val="186"/>
      </rPr>
      <t xml:space="preserve"> * BUI_COL53) + (nraB</t>
    </r>
    <r>
      <rPr>
        <vertAlign val="subscript"/>
        <sz val="10"/>
        <color theme="1"/>
        <rFont val="Arial Unicode MS"/>
        <family val="2"/>
        <charset val="186"/>
      </rPr>
      <t>a</t>
    </r>
    <r>
      <rPr>
        <sz val="10"/>
        <color theme="1"/>
        <rFont val="Arial Unicode MS"/>
        <family val="2"/>
        <charset val="186"/>
      </rPr>
      <t xml:space="preserve"> * BUI_COL85)) * BUI_COL2</t>
    </r>
  </si>
  <si>
    <r>
      <t>GHG_coal</t>
    </r>
    <r>
      <rPr>
        <vertAlign val="subscript"/>
        <sz val="10"/>
        <color theme="1"/>
        <rFont val="Arial Unicode MS"/>
        <family val="2"/>
        <charset val="186"/>
      </rPr>
      <t>a</t>
    </r>
    <r>
      <rPr>
        <sz val="10"/>
        <color theme="1"/>
        <rFont val="Arial Unicode MS"/>
        <family val="2"/>
        <charset val="186"/>
      </rPr>
      <t xml:space="preserve"> = ((nraX</t>
    </r>
    <r>
      <rPr>
        <vertAlign val="subscript"/>
        <sz val="10"/>
        <color theme="1"/>
        <rFont val="Arial Unicode MS"/>
        <family val="2"/>
        <charset val="186"/>
      </rPr>
      <t>a</t>
    </r>
    <r>
      <rPr>
        <sz val="10"/>
        <color theme="1"/>
        <rFont val="Arial Unicode MS"/>
        <family val="2"/>
        <charset val="186"/>
      </rPr>
      <t xml:space="preserve"> * BUI_COL278) + (nraA</t>
    </r>
    <r>
      <rPr>
        <vertAlign val="subscript"/>
        <sz val="10"/>
        <color theme="1"/>
        <rFont val="Arial Unicode MS"/>
        <family val="2"/>
        <charset val="186"/>
      </rPr>
      <t>a</t>
    </r>
    <r>
      <rPr>
        <sz val="10"/>
        <color theme="1"/>
        <rFont val="Arial Unicode MS"/>
        <family val="2"/>
        <charset val="186"/>
      </rPr>
      <t xml:space="preserve"> * BUI_COL54) + (nraB</t>
    </r>
    <r>
      <rPr>
        <vertAlign val="subscript"/>
        <sz val="10"/>
        <color theme="1"/>
        <rFont val="Arial Unicode MS"/>
        <family val="2"/>
        <charset val="186"/>
      </rPr>
      <t>a</t>
    </r>
    <r>
      <rPr>
        <sz val="10"/>
        <color theme="1"/>
        <rFont val="Arial Unicode MS"/>
        <family val="2"/>
        <charset val="186"/>
      </rPr>
      <t xml:space="preserve"> * BUI_COL86)) * BUI_COL3</t>
    </r>
  </si>
  <si>
    <r>
      <t>GHG_peat</t>
    </r>
    <r>
      <rPr>
        <vertAlign val="subscript"/>
        <sz val="10"/>
        <color theme="1"/>
        <rFont val="Arial Unicode MS"/>
        <family val="2"/>
        <charset val="186"/>
      </rPr>
      <t>a</t>
    </r>
    <r>
      <rPr>
        <sz val="10"/>
        <color theme="1"/>
        <rFont val="Arial Unicode MS"/>
        <family val="2"/>
        <charset val="186"/>
      </rPr>
      <t xml:space="preserve"> = ((nraX</t>
    </r>
    <r>
      <rPr>
        <vertAlign val="subscript"/>
        <sz val="10"/>
        <color theme="1"/>
        <rFont val="Arial Unicode MS"/>
        <family val="2"/>
        <charset val="186"/>
      </rPr>
      <t>a</t>
    </r>
    <r>
      <rPr>
        <sz val="10"/>
        <color theme="1"/>
        <rFont val="Arial Unicode MS"/>
        <family val="2"/>
        <charset val="186"/>
      </rPr>
      <t xml:space="preserve"> * BUI_COL279) + (nraA</t>
    </r>
    <r>
      <rPr>
        <vertAlign val="subscript"/>
        <sz val="10"/>
        <color theme="1"/>
        <rFont val="Arial Unicode MS"/>
        <family val="2"/>
        <charset val="186"/>
      </rPr>
      <t>a</t>
    </r>
    <r>
      <rPr>
        <sz val="10"/>
        <color theme="1"/>
        <rFont val="Arial Unicode MS"/>
        <family val="2"/>
        <charset val="186"/>
      </rPr>
      <t xml:space="preserve"> * BUI_COL55) + (nraB</t>
    </r>
    <r>
      <rPr>
        <vertAlign val="subscript"/>
        <sz val="10"/>
        <color theme="1"/>
        <rFont val="Arial Unicode MS"/>
        <family val="2"/>
        <charset val="186"/>
      </rPr>
      <t>a</t>
    </r>
    <r>
      <rPr>
        <sz val="10"/>
        <color theme="1"/>
        <rFont val="Arial Unicode MS"/>
        <family val="2"/>
        <charset val="186"/>
      </rPr>
      <t xml:space="preserve"> * BUI_COL87)) * BUI_COL4</t>
    </r>
  </si>
  <si>
    <r>
      <t>GHG_wood</t>
    </r>
    <r>
      <rPr>
        <vertAlign val="subscript"/>
        <sz val="10"/>
        <color theme="1"/>
        <rFont val="Arial Unicode MS"/>
        <family val="2"/>
        <charset val="186"/>
      </rPr>
      <t>a</t>
    </r>
    <r>
      <rPr>
        <sz val="10"/>
        <color theme="1"/>
        <rFont val="Arial Unicode MS"/>
        <family val="2"/>
        <charset val="186"/>
      </rPr>
      <t xml:space="preserve"> = ((nra</t>
    </r>
    <r>
      <rPr>
        <vertAlign val="subscript"/>
        <sz val="10"/>
        <color theme="1"/>
        <rFont val="Arial Unicode MS"/>
        <family val="2"/>
        <charset val="186"/>
      </rPr>
      <t>a *</t>
    </r>
    <r>
      <rPr>
        <sz val="10"/>
        <color theme="1"/>
        <rFont val="Arial Unicode MS"/>
        <family val="2"/>
        <charset val="186"/>
      </rPr>
      <t xml:space="preserve"> BUI_COL280) + (nraA</t>
    </r>
    <r>
      <rPr>
        <vertAlign val="subscript"/>
        <sz val="10"/>
        <color theme="1"/>
        <rFont val="Arial Unicode MS"/>
        <family val="2"/>
        <charset val="186"/>
      </rPr>
      <t>a</t>
    </r>
    <r>
      <rPr>
        <sz val="10"/>
        <color theme="1"/>
        <rFont val="Arial Unicode MS"/>
        <family val="2"/>
        <charset val="186"/>
      </rPr>
      <t xml:space="preserve"> * BUI_COL56) + (nraB</t>
    </r>
    <r>
      <rPr>
        <vertAlign val="subscript"/>
        <sz val="10"/>
        <color theme="1"/>
        <rFont val="Arial Unicode MS"/>
        <family val="2"/>
        <charset val="186"/>
      </rPr>
      <t>a</t>
    </r>
    <r>
      <rPr>
        <sz val="10"/>
        <color theme="1"/>
        <rFont val="Arial Unicode MS"/>
        <family val="2"/>
        <charset val="186"/>
      </rPr>
      <t xml:space="preserve"> * BUI_COL88)) * BUI_COL5</t>
    </r>
  </si>
  <si>
    <r>
      <t>GHG_renewable</t>
    </r>
    <r>
      <rPr>
        <vertAlign val="subscript"/>
        <sz val="10"/>
        <color theme="1"/>
        <rFont val="Arial Unicode MS"/>
        <family val="2"/>
        <charset val="186"/>
      </rPr>
      <t>a</t>
    </r>
    <r>
      <rPr>
        <sz val="10"/>
        <color theme="1"/>
        <rFont val="Arial Unicode MS"/>
        <family val="2"/>
        <charset val="186"/>
      </rPr>
      <t xml:space="preserve"> = ((nraX</t>
    </r>
    <r>
      <rPr>
        <vertAlign val="subscript"/>
        <sz val="10"/>
        <color theme="1"/>
        <rFont val="Arial Unicode MS"/>
        <family val="2"/>
        <charset val="186"/>
      </rPr>
      <t>a</t>
    </r>
    <r>
      <rPr>
        <sz val="10"/>
        <color theme="1"/>
        <rFont val="Arial Unicode MS"/>
        <family val="2"/>
        <charset val="186"/>
      </rPr>
      <t xml:space="preserve"> * BUI_COL281) + (nraA</t>
    </r>
    <r>
      <rPr>
        <vertAlign val="subscript"/>
        <sz val="10"/>
        <color theme="1"/>
        <rFont val="Arial Unicode MS"/>
        <family val="2"/>
        <charset val="186"/>
      </rPr>
      <t>a</t>
    </r>
    <r>
      <rPr>
        <sz val="10"/>
        <color theme="1"/>
        <rFont val="Arial Unicode MS"/>
        <family val="2"/>
        <charset val="186"/>
      </rPr>
      <t xml:space="preserve"> * BUI_COL57) + (nraB</t>
    </r>
    <r>
      <rPr>
        <vertAlign val="subscript"/>
        <sz val="10"/>
        <color theme="1"/>
        <rFont val="Arial Unicode MS"/>
        <family val="2"/>
        <charset val="186"/>
      </rPr>
      <t>a</t>
    </r>
    <r>
      <rPr>
        <sz val="10"/>
        <color theme="1"/>
        <rFont val="Arial Unicode MS"/>
        <family val="2"/>
        <charset val="186"/>
      </rPr>
      <t xml:space="preserve"> * BUI_COL89)) * BUI_COL6</t>
    </r>
  </si>
  <si>
    <r>
      <t>GHG_heat</t>
    </r>
    <r>
      <rPr>
        <vertAlign val="subscript"/>
        <sz val="10"/>
        <color theme="1"/>
        <rFont val="Arial Unicode MS"/>
        <family val="2"/>
        <charset val="186"/>
      </rPr>
      <t>a</t>
    </r>
    <r>
      <rPr>
        <sz val="10"/>
        <color theme="1"/>
        <rFont val="Arial Unicode MS"/>
        <family val="2"/>
        <charset val="186"/>
      </rPr>
      <t xml:space="preserve"> = ((nraX</t>
    </r>
    <r>
      <rPr>
        <vertAlign val="subscript"/>
        <sz val="10"/>
        <color theme="1"/>
        <rFont val="Arial Unicode MS"/>
        <family val="2"/>
        <charset val="186"/>
      </rPr>
      <t>a</t>
    </r>
    <r>
      <rPr>
        <sz val="10"/>
        <color theme="1"/>
        <rFont val="Arial Unicode MS"/>
        <family val="2"/>
        <charset val="186"/>
      </rPr>
      <t xml:space="preserve"> * BUI_COL282) + (nraA</t>
    </r>
    <r>
      <rPr>
        <vertAlign val="subscript"/>
        <sz val="10"/>
        <color theme="1"/>
        <rFont val="Arial Unicode MS"/>
        <family val="2"/>
        <charset val="186"/>
      </rPr>
      <t>a</t>
    </r>
    <r>
      <rPr>
        <sz val="10"/>
        <color theme="1"/>
        <rFont val="Arial Unicode MS"/>
        <family val="2"/>
        <charset val="186"/>
      </rPr>
      <t xml:space="preserve"> * BUI_COL58) + (nraB</t>
    </r>
    <r>
      <rPr>
        <vertAlign val="subscript"/>
        <sz val="10"/>
        <color theme="1"/>
        <rFont val="Arial Unicode MS"/>
        <family val="2"/>
        <charset val="186"/>
      </rPr>
      <t>a</t>
    </r>
    <r>
      <rPr>
        <sz val="10"/>
        <color theme="1"/>
        <rFont val="Arial Unicode MS"/>
        <family val="2"/>
        <charset val="186"/>
      </rPr>
      <t xml:space="preserve"> * BUI_COL90)) * DISTRICT_HEATING_emission_factor</t>
    </r>
    <r>
      <rPr>
        <vertAlign val="subscript"/>
        <sz val="10"/>
        <color theme="1"/>
        <rFont val="Arial Unicode MS"/>
        <family val="2"/>
        <charset val="186"/>
      </rPr>
      <t>a</t>
    </r>
    <r>
      <rPr>
        <sz val="10"/>
        <color theme="1"/>
        <rFont val="Arial Unicode MS"/>
        <family val="2"/>
        <charset val="186"/>
      </rPr>
      <t xml:space="preserve"> (from row 5)</t>
    </r>
  </si>
  <si>
    <t>= row131 * BUI_COL307 * row4 / 1000 000</t>
  </si>
  <si>
    <t>= row131 * BUI_COL308 * BUI_COL1 / 1000 000</t>
  </si>
  <si>
    <t>= row131 * BUI_COL309 * BUI_COL2 / 1000 000</t>
  </si>
  <si>
    <t>= row131 * BUI_COL310 * BUI_COL3 / 1000 000</t>
  </si>
  <si>
    <t>= row131 * BUI_COL311 * BUI_COL4 / 1000 000</t>
  </si>
  <si>
    <t>= row131 * BUI_COL312 * BUI_COL5 / 1000 000</t>
  </si>
  <si>
    <t>= row131 * BUI_COL313 * BUI_COL6 / 1000 000</t>
  </si>
  <si>
    <t>= row131 * BUI_COL314 * row5 / 1000 000</t>
  </si>
  <si>
    <t>= row132 * BUI_COL315 * row4 / 1000 000 etc.</t>
  </si>
  <si>
    <t>= row133 * BUI_COL323 * row4 / 1000 000 etc.</t>
  </si>
  <si>
    <t>= row134 * BUI_COL331 * row4 / 1000 000 etc.</t>
  </si>
  <si>
    <t>= row135 * BUI_COL339 * row4 / 1000 000 etc.</t>
  </si>
  <si>
    <t>= row136 * BUI_COL347 * row4 / 1000 000 etc.</t>
  </si>
  <si>
    <t>SUMMARY TABLE</t>
  </si>
  <si>
    <t>Baseline</t>
  </si>
  <si>
    <t>Baseline + policy impacts</t>
  </si>
  <si>
    <t>7.1 addition</t>
  </si>
  <si>
    <t>7.3 additiona</t>
  </si>
  <si>
    <t>8.1 reduction</t>
  </si>
  <si>
    <t>8.3 reduction</t>
  </si>
  <si>
    <t>8.3 addition</t>
  </si>
  <si>
    <t>= row 262</t>
  </si>
  <si>
    <t>= row 381</t>
  </si>
  <si>
    <t>= -row 493</t>
  </si>
  <si>
    <t>= -row 504</t>
  </si>
  <si>
    <t>= -row 515</t>
  </si>
  <si>
    <t>= -row 526</t>
  </si>
  <si>
    <t>= -row 537</t>
  </si>
  <si>
    <t>= -row 548</t>
  </si>
  <si>
    <t>= -row 627</t>
  </si>
  <si>
    <t>= -row 638</t>
  </si>
  <si>
    <t>= -row 649</t>
  </si>
  <si>
    <t>= -row 660</t>
  </si>
  <si>
    <t>= -row 671</t>
  </si>
  <si>
    <t>= -row 682</t>
  </si>
  <si>
    <t>= row 627</t>
  </si>
  <si>
    <t>= row 638</t>
  </si>
  <si>
    <t>= row 649</t>
  </si>
  <si>
    <t>= row 660</t>
  </si>
  <si>
    <t>= row 671</t>
  </si>
  <si>
    <t>= row 682</t>
  </si>
  <si>
    <t>= row219</t>
  </si>
  <si>
    <t>= row220</t>
  </si>
  <si>
    <t>= row221</t>
  </si>
  <si>
    <t>= row222</t>
  </si>
  <si>
    <t>a</t>
  </si>
  <si>
    <t>kWh/unit</t>
  </si>
  <si>
    <t xml:space="preserve">existing </t>
  </si>
  <si>
    <t>apartments</t>
  </si>
  <si>
    <t>BUI_COL275</t>
  </si>
  <si>
    <t>BUI_COL51</t>
  </si>
  <si>
    <t>BUI_COL83</t>
  </si>
  <si>
    <t>EF</t>
  </si>
  <si>
    <t>GRID_ELECTRICITY_emission_factora (from row4)</t>
  </si>
  <si>
    <t>BUI_COL276</t>
  </si>
  <si>
    <t>BUI_COL277</t>
  </si>
  <si>
    <t>BUI_COL278</t>
  </si>
  <si>
    <t>BUI_COL279</t>
  </si>
  <si>
    <t>BUI_COL280</t>
  </si>
  <si>
    <t>BUI_COL281</t>
  </si>
  <si>
    <t>BUI_COL282</t>
  </si>
  <si>
    <t>BUI_COL52</t>
  </si>
  <si>
    <t>BUI_COL53</t>
  </si>
  <si>
    <t>BUI_COL54</t>
  </si>
  <si>
    <t>BUI_COL55</t>
  </si>
  <si>
    <t>BUI_COL56</t>
  </si>
  <si>
    <t>BUI_COL57</t>
  </si>
  <si>
    <t>BUI_COL58</t>
  </si>
  <si>
    <t>BUI_COL84</t>
  </si>
  <si>
    <t>BUI_COL85</t>
  </si>
  <si>
    <t>BUI_COL86</t>
  </si>
  <si>
    <t>BUI_COL87</t>
  </si>
  <si>
    <t>BUI_COL88</t>
  </si>
  <si>
    <t>BUI_COL89</t>
  </si>
  <si>
    <t>BUI_COL90</t>
  </si>
  <si>
    <t>BUI_COL2</t>
  </si>
  <si>
    <t>BUI_COL3</t>
  </si>
  <si>
    <t>BUI_COL4</t>
  </si>
  <si>
    <t>BUI_COL5</t>
  </si>
  <si>
    <t>BUI_COL6</t>
  </si>
  <si>
    <t>DISTRICT_HEATING_emission_factora (from row 5)</t>
  </si>
  <si>
    <t>APARTMENTS / GHG-EMISSSIONS</t>
  </si>
  <si>
    <t>NUMBER OF APARTMENTS</t>
  </si>
  <si>
    <t>NUMBER OF TERRACED UNITS</t>
  </si>
  <si>
    <t>terraced</t>
  </si>
  <si>
    <t>BUI_COL283</t>
  </si>
  <si>
    <t>BUI_COL284</t>
  </si>
  <si>
    <t>BUI_COL285</t>
  </si>
  <si>
    <t>BUI_COL286</t>
  </si>
  <si>
    <t>BUI_COL287</t>
  </si>
  <si>
    <t>BUI_COL288</t>
  </si>
  <si>
    <t>BUI_COL289</t>
  </si>
  <si>
    <t>BUI_COL290</t>
  </si>
  <si>
    <t>BUI_COL59</t>
  </si>
  <si>
    <t>BUI_COL60</t>
  </si>
  <si>
    <t>BUI_COL61</t>
  </si>
  <si>
    <t>BUI_COL62</t>
  </si>
  <si>
    <t>BUI_COL63</t>
  </si>
  <si>
    <t>BUI_COL64</t>
  </si>
  <si>
    <t>BUI_COL65</t>
  </si>
  <si>
    <t>BUI_COL66</t>
  </si>
  <si>
    <t>BUI_COL91</t>
  </si>
  <si>
    <t>BUI_COL92</t>
  </si>
  <si>
    <t>BUI_COL93</t>
  </si>
  <si>
    <t>BUI_COL94</t>
  </si>
  <si>
    <t>BUI_COL95</t>
  </si>
  <si>
    <t>BUI_COL96</t>
  </si>
  <si>
    <t>BUI_COL97</t>
  </si>
  <si>
    <t>BUI_COL98</t>
  </si>
  <si>
    <t>TERRACED UNITS / GHG-EMISSSIONS</t>
  </si>
  <si>
    <t>NUMBER OF SEMI-DETACHED UNITS</t>
  </si>
  <si>
    <t>SEMI-DETACHED UNITS / GHG-EMISSSIONS</t>
  </si>
  <si>
    <t>semi-detached</t>
  </si>
  <si>
    <t>BUI_COL291</t>
  </si>
  <si>
    <t>BUI_COL292</t>
  </si>
  <si>
    <t>BUI_COL293</t>
  </si>
  <si>
    <t>BUI_COL294</t>
  </si>
  <si>
    <t>BUI_COL295</t>
  </si>
  <si>
    <t>BUI_COL296</t>
  </si>
  <si>
    <t>BUI_COL297</t>
  </si>
  <si>
    <t>BUI_COL298</t>
  </si>
  <si>
    <t>BUI_COL67</t>
  </si>
  <si>
    <t>BUI_COL68</t>
  </si>
  <si>
    <t>BUI_COL69</t>
  </si>
  <si>
    <t>BUI_COL70</t>
  </si>
  <si>
    <t>BUI_COL71</t>
  </si>
  <si>
    <t>BUI_COL72</t>
  </si>
  <si>
    <t>BUI_COL73</t>
  </si>
  <si>
    <t>BUI_COL74</t>
  </si>
  <si>
    <t>BUI_COL99</t>
  </si>
  <si>
    <t>BUI_COL100</t>
  </si>
  <si>
    <t>BUI_COL101</t>
  </si>
  <si>
    <t>BUI_COL102</t>
  </si>
  <si>
    <t>BUI_COL103</t>
  </si>
  <si>
    <t>BUI_COL104</t>
  </si>
  <si>
    <t>BUI_COL105</t>
  </si>
  <si>
    <t>BUI_COL106</t>
  </si>
  <si>
    <t>NUMBER OF DETACHED UNITS</t>
  </si>
  <si>
    <t>BUI_COL299</t>
  </si>
  <si>
    <t>BUI_COL75</t>
  </si>
  <si>
    <t>BUI_COL107</t>
  </si>
  <si>
    <t>BUI_COL300</t>
  </si>
  <si>
    <t>BUI_COL301</t>
  </si>
  <si>
    <t>BUI_COL302</t>
  </si>
  <si>
    <t>BUI_COL303</t>
  </si>
  <si>
    <t>BUI_COL304</t>
  </si>
  <si>
    <t>BUI_COL305</t>
  </si>
  <si>
    <t>BUI_COL306</t>
  </si>
  <si>
    <t>BUI_COL76</t>
  </si>
  <si>
    <t>BUI_COL77</t>
  </si>
  <si>
    <t>BUI_COL78</t>
  </si>
  <si>
    <t>BUI_COL79</t>
  </si>
  <si>
    <t>BUI_COL80</t>
  </si>
  <si>
    <t>BUI_COL81</t>
  </si>
  <si>
    <t>BUI_COL82</t>
  </si>
  <si>
    <t>BUI_COL108</t>
  </si>
  <si>
    <t>BUI_COL109</t>
  </si>
  <si>
    <t>BUI_COL110</t>
  </si>
  <si>
    <t>BUI_COL111</t>
  </si>
  <si>
    <t>BUI_COL112</t>
  </si>
  <si>
    <t>BUI_COL113</t>
  </si>
  <si>
    <t>BUI_COL114</t>
  </si>
  <si>
    <r>
      <t>nraX</t>
    </r>
    <r>
      <rPr>
        <vertAlign val="subscript"/>
        <sz val="10"/>
        <color theme="1"/>
        <rFont val="Albertus Medium"/>
        <family val="2"/>
      </rPr>
      <t>a</t>
    </r>
  </si>
  <si>
    <r>
      <t>nraA</t>
    </r>
    <r>
      <rPr>
        <vertAlign val="subscript"/>
        <sz val="10"/>
        <color theme="1"/>
        <rFont val="Albertus Medium"/>
        <family val="2"/>
      </rPr>
      <t>a</t>
    </r>
  </si>
  <si>
    <r>
      <t>nraB</t>
    </r>
    <r>
      <rPr>
        <vertAlign val="subscript"/>
        <sz val="10"/>
        <color theme="1"/>
        <rFont val="Albertus Medium"/>
        <family val="2"/>
      </rPr>
      <t>a</t>
    </r>
  </si>
  <si>
    <r>
      <t>nrtX</t>
    </r>
    <r>
      <rPr>
        <vertAlign val="subscript"/>
        <sz val="10"/>
        <color theme="1"/>
        <rFont val="Albertus Medium"/>
        <family val="2"/>
      </rPr>
      <t>a</t>
    </r>
  </si>
  <si>
    <r>
      <t>nrtA</t>
    </r>
    <r>
      <rPr>
        <vertAlign val="subscript"/>
        <sz val="10"/>
        <color theme="1"/>
        <rFont val="Albertus Medium"/>
        <family val="2"/>
      </rPr>
      <t>a</t>
    </r>
  </si>
  <si>
    <r>
      <t>nrtB</t>
    </r>
    <r>
      <rPr>
        <vertAlign val="subscript"/>
        <sz val="10"/>
        <color theme="1"/>
        <rFont val="Albertus Medium"/>
        <family val="2"/>
      </rPr>
      <t>a</t>
    </r>
  </si>
  <si>
    <r>
      <t>nrsX</t>
    </r>
    <r>
      <rPr>
        <vertAlign val="subscript"/>
        <sz val="10"/>
        <color theme="1"/>
        <rFont val="Albertus Medium"/>
        <family val="2"/>
      </rPr>
      <t>a</t>
    </r>
  </si>
  <si>
    <r>
      <t>nrsA</t>
    </r>
    <r>
      <rPr>
        <vertAlign val="subscript"/>
        <sz val="10"/>
        <color theme="1"/>
        <rFont val="Albertus Medium"/>
        <family val="2"/>
      </rPr>
      <t>a</t>
    </r>
  </si>
  <si>
    <r>
      <t>nrsB</t>
    </r>
    <r>
      <rPr>
        <vertAlign val="subscript"/>
        <sz val="10"/>
        <color theme="1"/>
        <rFont val="Albertus Medium"/>
        <family val="2"/>
      </rPr>
      <t>a</t>
    </r>
  </si>
  <si>
    <r>
      <t>nrdX</t>
    </r>
    <r>
      <rPr>
        <vertAlign val="subscript"/>
        <sz val="10"/>
        <color theme="1"/>
        <rFont val="Albertus Medium"/>
        <family val="2"/>
      </rPr>
      <t>a</t>
    </r>
  </si>
  <si>
    <r>
      <t>nrdA</t>
    </r>
    <r>
      <rPr>
        <vertAlign val="subscript"/>
        <sz val="10"/>
        <color theme="1"/>
        <rFont val="Albertus Medium"/>
        <family val="2"/>
      </rPr>
      <t>a</t>
    </r>
  </si>
  <si>
    <r>
      <t>nrdB</t>
    </r>
    <r>
      <rPr>
        <vertAlign val="subscript"/>
        <sz val="10"/>
        <color theme="1"/>
        <rFont val="Albertus Medium"/>
        <family val="2"/>
      </rPr>
      <t>a</t>
    </r>
  </si>
  <si>
    <r>
      <t>GHG_Gas</t>
    </r>
    <r>
      <rPr>
        <vertAlign val="subscript"/>
        <sz val="10"/>
        <color theme="1"/>
        <rFont val="Albertus Medium"/>
        <family val="2"/>
      </rPr>
      <t>a</t>
    </r>
    <r>
      <rPr>
        <sz val="10"/>
        <color theme="1"/>
        <rFont val="Albertus Medium"/>
        <family val="2"/>
      </rPr>
      <t xml:space="preserve"> = ((nraX</t>
    </r>
    <r>
      <rPr>
        <vertAlign val="subscript"/>
        <sz val="10"/>
        <color theme="1"/>
        <rFont val="Albertus Medium"/>
        <family val="2"/>
      </rPr>
      <t>a</t>
    </r>
    <r>
      <rPr>
        <sz val="10"/>
        <color theme="1"/>
        <rFont val="Albertus Medium"/>
        <family val="2"/>
      </rPr>
      <t xml:space="preserve"> * BUI_COL276) + (nraA</t>
    </r>
    <r>
      <rPr>
        <vertAlign val="subscript"/>
        <sz val="10"/>
        <color theme="1"/>
        <rFont val="Albertus Medium"/>
        <family val="2"/>
      </rPr>
      <t>a</t>
    </r>
    <r>
      <rPr>
        <sz val="10"/>
        <color theme="1"/>
        <rFont val="Albertus Medium"/>
        <family val="2"/>
      </rPr>
      <t xml:space="preserve"> * BUI_COL52) + (nraB</t>
    </r>
    <r>
      <rPr>
        <vertAlign val="subscript"/>
        <sz val="10"/>
        <color theme="1"/>
        <rFont val="Albertus Medium"/>
        <family val="2"/>
      </rPr>
      <t>a</t>
    </r>
    <r>
      <rPr>
        <sz val="10"/>
        <color theme="1"/>
        <rFont val="Albertus Medium"/>
        <family val="2"/>
      </rPr>
      <t xml:space="preserve"> * BUI_COL84)) * BUI_COL1 / 1000000</t>
    </r>
  </si>
  <si>
    <r>
      <t>GHG_Oil</t>
    </r>
    <r>
      <rPr>
        <vertAlign val="subscript"/>
        <sz val="10"/>
        <color theme="1"/>
        <rFont val="Albertus Medium"/>
        <family val="2"/>
      </rPr>
      <t>a</t>
    </r>
    <r>
      <rPr>
        <sz val="10"/>
        <color theme="1"/>
        <rFont val="Albertus Medium"/>
        <family val="2"/>
      </rPr>
      <t xml:space="preserve"> = ((nraX</t>
    </r>
    <r>
      <rPr>
        <vertAlign val="subscript"/>
        <sz val="10"/>
        <color theme="1"/>
        <rFont val="Albertus Medium"/>
        <family val="2"/>
      </rPr>
      <t>a</t>
    </r>
    <r>
      <rPr>
        <sz val="10"/>
        <color theme="1"/>
        <rFont val="Albertus Medium"/>
        <family val="2"/>
      </rPr>
      <t xml:space="preserve"> * BUI_COL277) + (nraA</t>
    </r>
    <r>
      <rPr>
        <vertAlign val="subscript"/>
        <sz val="10"/>
        <color theme="1"/>
        <rFont val="Albertus Medium"/>
        <family val="2"/>
      </rPr>
      <t>a</t>
    </r>
    <r>
      <rPr>
        <sz val="10"/>
        <color theme="1"/>
        <rFont val="Albertus Medium"/>
        <family val="2"/>
      </rPr>
      <t xml:space="preserve"> * BUI_COL53) + (nraB</t>
    </r>
    <r>
      <rPr>
        <vertAlign val="subscript"/>
        <sz val="10"/>
        <color theme="1"/>
        <rFont val="Albertus Medium"/>
        <family val="2"/>
      </rPr>
      <t>a</t>
    </r>
    <r>
      <rPr>
        <sz val="10"/>
        <color theme="1"/>
        <rFont val="Albertus Medium"/>
        <family val="2"/>
      </rPr>
      <t xml:space="preserve"> * BUI_COL85)) * BUI_COL2 / 1000000</t>
    </r>
  </si>
  <si>
    <r>
      <t>GHG_Coal</t>
    </r>
    <r>
      <rPr>
        <vertAlign val="subscript"/>
        <sz val="10"/>
        <color theme="1"/>
        <rFont val="Albertus Medium"/>
        <family val="2"/>
      </rPr>
      <t>a</t>
    </r>
    <r>
      <rPr>
        <sz val="10"/>
        <color theme="1"/>
        <rFont val="Albertus Medium"/>
        <family val="2"/>
      </rPr>
      <t xml:space="preserve"> = ((nraX</t>
    </r>
    <r>
      <rPr>
        <vertAlign val="subscript"/>
        <sz val="10"/>
        <color theme="1"/>
        <rFont val="Albertus Medium"/>
        <family val="2"/>
      </rPr>
      <t>a</t>
    </r>
    <r>
      <rPr>
        <sz val="10"/>
        <color theme="1"/>
        <rFont val="Albertus Medium"/>
        <family val="2"/>
      </rPr>
      <t xml:space="preserve"> * BUI_COL278) + (nraA</t>
    </r>
    <r>
      <rPr>
        <vertAlign val="subscript"/>
        <sz val="10"/>
        <color theme="1"/>
        <rFont val="Albertus Medium"/>
        <family val="2"/>
      </rPr>
      <t>a</t>
    </r>
    <r>
      <rPr>
        <sz val="10"/>
        <color theme="1"/>
        <rFont val="Albertus Medium"/>
        <family val="2"/>
      </rPr>
      <t xml:space="preserve"> * BUI_COL54) + (nraB</t>
    </r>
    <r>
      <rPr>
        <vertAlign val="subscript"/>
        <sz val="10"/>
        <color theme="1"/>
        <rFont val="Albertus Medium"/>
        <family val="2"/>
      </rPr>
      <t>a</t>
    </r>
    <r>
      <rPr>
        <sz val="10"/>
        <color theme="1"/>
        <rFont val="Albertus Medium"/>
        <family val="2"/>
      </rPr>
      <t xml:space="preserve"> * BUI_COL86)) * BUI_COL3 / 1000000</t>
    </r>
  </si>
  <si>
    <r>
      <t>GHG_Peat</t>
    </r>
    <r>
      <rPr>
        <vertAlign val="subscript"/>
        <sz val="10"/>
        <color theme="1"/>
        <rFont val="Albertus Medium"/>
        <family val="2"/>
      </rPr>
      <t>a</t>
    </r>
    <r>
      <rPr>
        <sz val="10"/>
        <color theme="1"/>
        <rFont val="Albertus Medium"/>
        <family val="2"/>
      </rPr>
      <t xml:space="preserve"> = ((nraX</t>
    </r>
    <r>
      <rPr>
        <vertAlign val="subscript"/>
        <sz val="10"/>
        <color theme="1"/>
        <rFont val="Albertus Medium"/>
        <family val="2"/>
      </rPr>
      <t>a</t>
    </r>
    <r>
      <rPr>
        <sz val="10"/>
        <color theme="1"/>
        <rFont val="Albertus Medium"/>
        <family val="2"/>
      </rPr>
      <t xml:space="preserve"> * BUI_COL279) + (nraA</t>
    </r>
    <r>
      <rPr>
        <vertAlign val="subscript"/>
        <sz val="10"/>
        <color theme="1"/>
        <rFont val="Albertus Medium"/>
        <family val="2"/>
      </rPr>
      <t>a</t>
    </r>
    <r>
      <rPr>
        <sz val="10"/>
        <color theme="1"/>
        <rFont val="Albertus Medium"/>
        <family val="2"/>
      </rPr>
      <t xml:space="preserve"> * BUI_COL55) + (nraB</t>
    </r>
    <r>
      <rPr>
        <vertAlign val="subscript"/>
        <sz val="10"/>
        <color theme="1"/>
        <rFont val="Albertus Medium"/>
        <family val="2"/>
      </rPr>
      <t>a</t>
    </r>
    <r>
      <rPr>
        <sz val="10"/>
        <color theme="1"/>
        <rFont val="Albertus Medium"/>
        <family val="2"/>
      </rPr>
      <t xml:space="preserve"> * BUI_COL87)) * BUI_COL4 / 1000000</t>
    </r>
  </si>
  <si>
    <r>
      <t>GHG_Wood</t>
    </r>
    <r>
      <rPr>
        <vertAlign val="subscript"/>
        <sz val="10"/>
        <color theme="1"/>
        <rFont val="Albertus Medium"/>
        <family val="2"/>
      </rPr>
      <t>a</t>
    </r>
    <r>
      <rPr>
        <sz val="10"/>
        <color theme="1"/>
        <rFont val="Albertus Medium"/>
        <family val="2"/>
      </rPr>
      <t xml:space="preserve"> = ((nraX</t>
    </r>
    <r>
      <rPr>
        <vertAlign val="subscript"/>
        <sz val="10"/>
        <color theme="1"/>
        <rFont val="Albertus Medium"/>
        <family val="2"/>
      </rPr>
      <t>a</t>
    </r>
    <r>
      <rPr>
        <sz val="10"/>
        <color theme="1"/>
        <rFont val="Albertus Medium"/>
        <family val="2"/>
      </rPr>
      <t xml:space="preserve"> * BUI_COL280) + (nraA</t>
    </r>
    <r>
      <rPr>
        <vertAlign val="subscript"/>
        <sz val="10"/>
        <color theme="1"/>
        <rFont val="Albertus Medium"/>
        <family val="2"/>
      </rPr>
      <t>a</t>
    </r>
    <r>
      <rPr>
        <sz val="10"/>
        <color theme="1"/>
        <rFont val="Albertus Medium"/>
        <family val="2"/>
      </rPr>
      <t xml:space="preserve"> * BUI_COL56) + (nraB</t>
    </r>
    <r>
      <rPr>
        <vertAlign val="subscript"/>
        <sz val="10"/>
        <color theme="1"/>
        <rFont val="Albertus Medium"/>
        <family val="2"/>
      </rPr>
      <t>a</t>
    </r>
    <r>
      <rPr>
        <sz val="10"/>
        <color theme="1"/>
        <rFont val="Albertus Medium"/>
        <family val="2"/>
      </rPr>
      <t xml:space="preserve"> * BUI_COL88)) * BUI_COL5 / 1000000</t>
    </r>
  </si>
  <si>
    <r>
      <t>GHG_Renewable</t>
    </r>
    <r>
      <rPr>
        <vertAlign val="subscript"/>
        <sz val="10"/>
        <color theme="1"/>
        <rFont val="Albertus Medium"/>
        <family val="2"/>
      </rPr>
      <t>a</t>
    </r>
    <r>
      <rPr>
        <sz val="10"/>
        <color theme="1"/>
        <rFont val="Albertus Medium"/>
        <family val="2"/>
      </rPr>
      <t xml:space="preserve"> = ((nraX</t>
    </r>
    <r>
      <rPr>
        <vertAlign val="subscript"/>
        <sz val="10"/>
        <color theme="1"/>
        <rFont val="Albertus Medium"/>
        <family val="2"/>
      </rPr>
      <t>a</t>
    </r>
    <r>
      <rPr>
        <sz val="10"/>
        <color theme="1"/>
        <rFont val="Albertus Medium"/>
        <family val="2"/>
      </rPr>
      <t xml:space="preserve"> * BUI_COL281) + (nraA</t>
    </r>
    <r>
      <rPr>
        <vertAlign val="subscript"/>
        <sz val="10"/>
        <color theme="1"/>
        <rFont val="Albertus Medium"/>
        <family val="2"/>
      </rPr>
      <t>a</t>
    </r>
    <r>
      <rPr>
        <sz val="10"/>
        <color theme="1"/>
        <rFont val="Albertus Medium"/>
        <family val="2"/>
      </rPr>
      <t xml:space="preserve"> * BUI_COL57) + (nraB</t>
    </r>
    <r>
      <rPr>
        <vertAlign val="subscript"/>
        <sz val="10"/>
        <color theme="1"/>
        <rFont val="Albertus Medium"/>
        <family val="2"/>
      </rPr>
      <t>a</t>
    </r>
    <r>
      <rPr>
        <sz val="10"/>
        <color theme="1"/>
        <rFont val="Albertus Medium"/>
        <family val="2"/>
      </rPr>
      <t xml:space="preserve"> * BUI_COL89)) * BUI_COL6 / 1000000</t>
    </r>
  </si>
  <si>
    <r>
      <t>GHG_Heat</t>
    </r>
    <r>
      <rPr>
        <vertAlign val="subscript"/>
        <sz val="10"/>
        <color theme="1"/>
        <rFont val="Albertus Medium"/>
        <family val="2"/>
      </rPr>
      <t>a</t>
    </r>
    <r>
      <rPr>
        <sz val="10"/>
        <color theme="1"/>
        <rFont val="Albertus Medium"/>
        <family val="2"/>
      </rPr>
      <t xml:space="preserve"> = ((nraX</t>
    </r>
    <r>
      <rPr>
        <vertAlign val="subscript"/>
        <sz val="10"/>
        <color theme="1"/>
        <rFont val="Albertus Medium"/>
        <family val="2"/>
      </rPr>
      <t>a</t>
    </r>
    <r>
      <rPr>
        <sz val="10"/>
        <color theme="1"/>
        <rFont val="Albertus Medium"/>
        <family val="2"/>
      </rPr>
      <t xml:space="preserve"> * BUI_COL282) + (nraA</t>
    </r>
    <r>
      <rPr>
        <vertAlign val="subscript"/>
        <sz val="10"/>
        <color theme="1"/>
        <rFont val="Albertus Medium"/>
        <family val="2"/>
      </rPr>
      <t>a</t>
    </r>
    <r>
      <rPr>
        <sz val="10"/>
        <color theme="1"/>
        <rFont val="Albertus Medium"/>
        <family val="2"/>
      </rPr>
      <t xml:space="preserve"> * BUI_COL58) + (nraB</t>
    </r>
    <r>
      <rPr>
        <vertAlign val="subscript"/>
        <sz val="10"/>
        <color theme="1"/>
        <rFont val="Albertus Medium"/>
        <family val="2"/>
      </rPr>
      <t>a</t>
    </r>
    <r>
      <rPr>
        <sz val="10"/>
        <color theme="1"/>
        <rFont val="Albertus Medium"/>
        <family val="2"/>
      </rPr>
      <t xml:space="preserve"> * BUI_COL90)) * DISTRICT_HEATING_emission_factor</t>
    </r>
    <r>
      <rPr>
        <vertAlign val="subscript"/>
        <sz val="10"/>
        <color theme="1"/>
        <rFont val="Albertus Medium"/>
        <family val="2"/>
      </rPr>
      <t>a</t>
    </r>
    <r>
      <rPr>
        <sz val="10"/>
        <color theme="1"/>
        <rFont val="Albertus Medium"/>
        <family val="2"/>
      </rPr>
      <t xml:space="preserve"> (from row 5) / 1000000</t>
    </r>
  </si>
  <si>
    <r>
      <t>GHG_Electricity</t>
    </r>
    <r>
      <rPr>
        <vertAlign val="subscript"/>
        <sz val="10"/>
        <color theme="1"/>
        <rFont val="Albertus Medium"/>
        <family val="2"/>
      </rPr>
      <t>a</t>
    </r>
    <r>
      <rPr>
        <sz val="10"/>
        <color theme="1"/>
        <rFont val="Albertus Medium"/>
        <family val="2"/>
      </rPr>
      <t xml:space="preserve"> = ((nraX</t>
    </r>
    <r>
      <rPr>
        <vertAlign val="subscript"/>
        <sz val="10"/>
        <color theme="1"/>
        <rFont val="Albertus Medium"/>
        <family val="2"/>
      </rPr>
      <t>a</t>
    </r>
    <r>
      <rPr>
        <sz val="10"/>
        <color theme="1"/>
        <rFont val="Albertus Medium"/>
        <family val="2"/>
      </rPr>
      <t xml:space="preserve"> * BUI_COL275) + (nraA</t>
    </r>
    <r>
      <rPr>
        <vertAlign val="subscript"/>
        <sz val="10"/>
        <color theme="1"/>
        <rFont val="Albertus Medium"/>
        <family val="2"/>
      </rPr>
      <t>a</t>
    </r>
    <r>
      <rPr>
        <sz val="10"/>
        <color theme="1"/>
        <rFont val="Albertus Medium"/>
        <family val="2"/>
      </rPr>
      <t xml:space="preserve"> * BUI_COL51) + (nraB</t>
    </r>
    <r>
      <rPr>
        <vertAlign val="subscript"/>
        <sz val="10"/>
        <color theme="1"/>
        <rFont val="Albertus Medium"/>
        <family val="2"/>
      </rPr>
      <t>a</t>
    </r>
    <r>
      <rPr>
        <sz val="10"/>
        <color theme="1"/>
        <rFont val="Albertus Medium"/>
        <family val="2"/>
      </rPr>
      <t xml:space="preserve"> * BUI_COL83)) * GRID_ELECTRICITY_emission_factor</t>
    </r>
    <r>
      <rPr>
        <vertAlign val="subscript"/>
        <sz val="10"/>
        <color theme="1"/>
        <rFont val="Albertus Medium"/>
        <family val="2"/>
      </rPr>
      <t>a</t>
    </r>
    <r>
      <rPr>
        <sz val="10"/>
        <color theme="1"/>
        <rFont val="Albertus Medium"/>
        <family val="2"/>
      </rPr>
      <t xml:space="preserve"> (from row4) / 1000000</t>
    </r>
  </si>
  <si>
    <r>
      <t>GHG_Electricity</t>
    </r>
    <r>
      <rPr>
        <vertAlign val="subscript"/>
        <sz val="10"/>
        <color theme="1"/>
        <rFont val="Albertus Medium"/>
        <family val="2"/>
      </rPr>
      <t>a</t>
    </r>
    <r>
      <rPr>
        <sz val="10"/>
        <color theme="1"/>
        <rFont val="Albertus Medium"/>
        <family val="2"/>
      </rPr>
      <t xml:space="preserve"> = ((nrtX</t>
    </r>
    <r>
      <rPr>
        <vertAlign val="subscript"/>
        <sz val="10"/>
        <color theme="1"/>
        <rFont val="Albertus Medium"/>
        <family val="2"/>
      </rPr>
      <t>a</t>
    </r>
    <r>
      <rPr>
        <sz val="10"/>
        <color theme="1"/>
        <rFont val="Albertus Medium"/>
        <family val="2"/>
      </rPr>
      <t xml:space="preserve"> * BUI_COL283) + (nrtA</t>
    </r>
    <r>
      <rPr>
        <vertAlign val="subscript"/>
        <sz val="10"/>
        <color theme="1"/>
        <rFont val="Albertus Medium"/>
        <family val="2"/>
      </rPr>
      <t>a</t>
    </r>
    <r>
      <rPr>
        <sz val="10"/>
        <color theme="1"/>
        <rFont val="Albertus Medium"/>
        <family val="2"/>
      </rPr>
      <t xml:space="preserve"> * BUI_COL59) + (nrtB</t>
    </r>
    <r>
      <rPr>
        <vertAlign val="subscript"/>
        <sz val="10"/>
        <color theme="1"/>
        <rFont val="Albertus Medium"/>
        <family val="2"/>
      </rPr>
      <t>a</t>
    </r>
    <r>
      <rPr>
        <sz val="10"/>
        <color theme="1"/>
        <rFont val="Albertus Medium"/>
        <family val="2"/>
      </rPr>
      <t xml:space="preserve"> * BUI_COL91)) * GRID_ELECTRICITY_emission_factor</t>
    </r>
    <r>
      <rPr>
        <vertAlign val="subscript"/>
        <sz val="10"/>
        <color theme="1"/>
        <rFont val="Albertus Medium"/>
        <family val="2"/>
      </rPr>
      <t>a</t>
    </r>
    <r>
      <rPr>
        <sz val="10"/>
        <color theme="1"/>
        <rFont val="Albertus Medium"/>
        <family val="2"/>
      </rPr>
      <t xml:space="preserve"> (from row4) / 1000000</t>
    </r>
  </si>
  <si>
    <r>
      <t>GHG_Gas</t>
    </r>
    <r>
      <rPr>
        <vertAlign val="subscript"/>
        <sz val="10"/>
        <color theme="1"/>
        <rFont val="Albertus Medium"/>
        <family val="2"/>
      </rPr>
      <t>a</t>
    </r>
    <r>
      <rPr>
        <sz val="10"/>
        <color theme="1"/>
        <rFont val="Albertus Medium"/>
        <family val="2"/>
      </rPr>
      <t xml:space="preserve"> = ((nrtX</t>
    </r>
    <r>
      <rPr>
        <vertAlign val="subscript"/>
        <sz val="10"/>
        <color theme="1"/>
        <rFont val="Albertus Medium"/>
        <family val="2"/>
      </rPr>
      <t xml:space="preserve">a </t>
    </r>
    <r>
      <rPr>
        <sz val="10"/>
        <color theme="1"/>
        <rFont val="Albertus Medium"/>
        <family val="2"/>
      </rPr>
      <t>* BUI_COL284) + (nrtA</t>
    </r>
    <r>
      <rPr>
        <vertAlign val="subscript"/>
        <sz val="10"/>
        <color theme="1"/>
        <rFont val="Albertus Medium"/>
        <family val="2"/>
      </rPr>
      <t>a</t>
    </r>
    <r>
      <rPr>
        <sz val="10"/>
        <color theme="1"/>
        <rFont val="Albertus Medium"/>
        <family val="2"/>
      </rPr>
      <t xml:space="preserve"> * BUI_COL60) + (nrtB</t>
    </r>
    <r>
      <rPr>
        <vertAlign val="subscript"/>
        <sz val="10"/>
        <color theme="1"/>
        <rFont val="Albertus Medium"/>
        <family val="2"/>
      </rPr>
      <t>a</t>
    </r>
    <r>
      <rPr>
        <sz val="10"/>
        <color theme="1"/>
        <rFont val="Albertus Medium"/>
        <family val="2"/>
      </rPr>
      <t xml:space="preserve"> * BUI_COL92)) * BUI_COL1 / 1000000</t>
    </r>
  </si>
  <si>
    <r>
      <t>GHG_Oil</t>
    </r>
    <r>
      <rPr>
        <vertAlign val="subscript"/>
        <sz val="10"/>
        <color theme="1"/>
        <rFont val="Albertus Medium"/>
        <family val="2"/>
      </rPr>
      <t>a</t>
    </r>
    <r>
      <rPr>
        <sz val="10"/>
        <color theme="1"/>
        <rFont val="Albertus Medium"/>
        <family val="2"/>
      </rPr>
      <t xml:space="preserve"> = ((nrtX</t>
    </r>
    <r>
      <rPr>
        <vertAlign val="subscript"/>
        <sz val="10"/>
        <color theme="1"/>
        <rFont val="Albertus Medium"/>
        <family val="2"/>
      </rPr>
      <t>a</t>
    </r>
    <r>
      <rPr>
        <sz val="10"/>
        <color theme="1"/>
        <rFont val="Albertus Medium"/>
        <family val="2"/>
      </rPr>
      <t xml:space="preserve"> * BUI_COL285) + (nrtA</t>
    </r>
    <r>
      <rPr>
        <vertAlign val="subscript"/>
        <sz val="10"/>
        <color theme="1"/>
        <rFont val="Albertus Medium"/>
        <family val="2"/>
      </rPr>
      <t>a</t>
    </r>
    <r>
      <rPr>
        <sz val="10"/>
        <color theme="1"/>
        <rFont val="Albertus Medium"/>
        <family val="2"/>
      </rPr>
      <t xml:space="preserve"> * BUI_COL61) + (nrtB</t>
    </r>
    <r>
      <rPr>
        <vertAlign val="subscript"/>
        <sz val="10"/>
        <color theme="1"/>
        <rFont val="Albertus Medium"/>
        <family val="2"/>
      </rPr>
      <t>a</t>
    </r>
    <r>
      <rPr>
        <sz val="10"/>
        <color theme="1"/>
        <rFont val="Albertus Medium"/>
        <family val="2"/>
      </rPr>
      <t xml:space="preserve"> * BUI_COL93)) * BUI_COL2 / 1000000</t>
    </r>
  </si>
  <si>
    <r>
      <t>GHG_Coa</t>
    </r>
    <r>
      <rPr>
        <vertAlign val="subscript"/>
        <sz val="10"/>
        <color theme="1"/>
        <rFont val="Albertus Medium"/>
        <family val="2"/>
      </rPr>
      <t>la</t>
    </r>
    <r>
      <rPr>
        <sz val="10"/>
        <color theme="1"/>
        <rFont val="Albertus Medium"/>
        <family val="2"/>
      </rPr>
      <t xml:space="preserve"> = ((nrtX</t>
    </r>
    <r>
      <rPr>
        <vertAlign val="subscript"/>
        <sz val="10"/>
        <color theme="1"/>
        <rFont val="Albertus Medium"/>
        <family val="2"/>
      </rPr>
      <t>a</t>
    </r>
    <r>
      <rPr>
        <sz val="10"/>
        <color theme="1"/>
        <rFont val="Albertus Medium"/>
        <family val="2"/>
      </rPr>
      <t xml:space="preserve"> * BUI_COL286) + (nrtA</t>
    </r>
    <r>
      <rPr>
        <vertAlign val="subscript"/>
        <sz val="10"/>
        <color theme="1"/>
        <rFont val="Albertus Medium"/>
        <family val="2"/>
      </rPr>
      <t>a</t>
    </r>
    <r>
      <rPr>
        <sz val="10"/>
        <color theme="1"/>
        <rFont val="Albertus Medium"/>
        <family val="2"/>
      </rPr>
      <t xml:space="preserve"> * BUI_COL62) + (nrtB</t>
    </r>
    <r>
      <rPr>
        <vertAlign val="subscript"/>
        <sz val="10"/>
        <color theme="1"/>
        <rFont val="Albertus Medium"/>
        <family val="2"/>
      </rPr>
      <t>a</t>
    </r>
    <r>
      <rPr>
        <sz val="10"/>
        <color theme="1"/>
        <rFont val="Albertus Medium"/>
        <family val="2"/>
      </rPr>
      <t xml:space="preserve"> * BUI_COL94)) * BUI_COL3 / 1000000</t>
    </r>
  </si>
  <si>
    <r>
      <t>GHG_Peat</t>
    </r>
    <r>
      <rPr>
        <vertAlign val="subscript"/>
        <sz val="10"/>
        <color theme="1"/>
        <rFont val="Albertus Medium"/>
        <family val="2"/>
      </rPr>
      <t>a</t>
    </r>
    <r>
      <rPr>
        <sz val="10"/>
        <color theme="1"/>
        <rFont val="Albertus Medium"/>
        <family val="2"/>
      </rPr>
      <t xml:space="preserve"> = ((nrtX</t>
    </r>
    <r>
      <rPr>
        <vertAlign val="subscript"/>
        <sz val="10"/>
        <color theme="1"/>
        <rFont val="Albertus Medium"/>
        <family val="2"/>
      </rPr>
      <t>a</t>
    </r>
    <r>
      <rPr>
        <sz val="10"/>
        <color theme="1"/>
        <rFont val="Albertus Medium"/>
        <family val="2"/>
      </rPr>
      <t xml:space="preserve"> * BUI_COL287) + (nrtA</t>
    </r>
    <r>
      <rPr>
        <vertAlign val="subscript"/>
        <sz val="10"/>
        <color theme="1"/>
        <rFont val="Albertus Medium"/>
        <family val="2"/>
      </rPr>
      <t>a</t>
    </r>
    <r>
      <rPr>
        <sz val="10"/>
        <color theme="1"/>
        <rFont val="Albertus Medium"/>
        <family val="2"/>
      </rPr>
      <t xml:space="preserve"> * BUI_COL63) + (nrtB</t>
    </r>
    <r>
      <rPr>
        <vertAlign val="subscript"/>
        <sz val="10"/>
        <color theme="1"/>
        <rFont val="Albertus Medium"/>
        <family val="2"/>
      </rPr>
      <t>a</t>
    </r>
    <r>
      <rPr>
        <sz val="10"/>
        <color theme="1"/>
        <rFont val="Albertus Medium"/>
        <family val="2"/>
      </rPr>
      <t xml:space="preserve"> * BUI_COL95)) * BUI_COL4 / 1000000</t>
    </r>
  </si>
  <si>
    <r>
      <t>GHG_Wood</t>
    </r>
    <r>
      <rPr>
        <vertAlign val="subscript"/>
        <sz val="10"/>
        <color theme="1"/>
        <rFont val="Albertus Medium"/>
        <family val="2"/>
      </rPr>
      <t>a</t>
    </r>
    <r>
      <rPr>
        <sz val="10"/>
        <color theme="1"/>
        <rFont val="Albertus Medium"/>
        <family val="2"/>
      </rPr>
      <t xml:space="preserve"> = ((nrtX</t>
    </r>
    <r>
      <rPr>
        <vertAlign val="subscript"/>
        <sz val="10"/>
        <color theme="1"/>
        <rFont val="Albertus Medium"/>
        <family val="2"/>
      </rPr>
      <t>a</t>
    </r>
    <r>
      <rPr>
        <sz val="10"/>
        <color theme="1"/>
        <rFont val="Albertus Medium"/>
        <family val="2"/>
      </rPr>
      <t xml:space="preserve"> * BUI_COL288) + (nrtA</t>
    </r>
    <r>
      <rPr>
        <vertAlign val="subscript"/>
        <sz val="10"/>
        <color theme="1"/>
        <rFont val="Albertus Medium"/>
        <family val="2"/>
      </rPr>
      <t>a</t>
    </r>
    <r>
      <rPr>
        <sz val="10"/>
        <color theme="1"/>
        <rFont val="Albertus Medium"/>
        <family val="2"/>
      </rPr>
      <t xml:space="preserve"> * BUI_COL64) + (nrtB</t>
    </r>
    <r>
      <rPr>
        <vertAlign val="subscript"/>
        <sz val="10"/>
        <color theme="1"/>
        <rFont val="Albertus Medium"/>
        <family val="2"/>
      </rPr>
      <t>a</t>
    </r>
    <r>
      <rPr>
        <sz val="10"/>
        <color theme="1"/>
        <rFont val="Albertus Medium"/>
        <family val="2"/>
      </rPr>
      <t xml:space="preserve"> * BUI_COL96)) * BUI_COL5 / 1000000</t>
    </r>
  </si>
  <si>
    <r>
      <t>GHG_Renewable</t>
    </r>
    <r>
      <rPr>
        <vertAlign val="subscript"/>
        <sz val="10"/>
        <color theme="1"/>
        <rFont val="Albertus Medium"/>
        <family val="2"/>
      </rPr>
      <t>a</t>
    </r>
    <r>
      <rPr>
        <sz val="10"/>
        <color theme="1"/>
        <rFont val="Albertus Medium"/>
        <family val="2"/>
      </rPr>
      <t xml:space="preserve"> = ((nrtX</t>
    </r>
    <r>
      <rPr>
        <vertAlign val="subscript"/>
        <sz val="10"/>
        <color theme="1"/>
        <rFont val="Albertus Medium"/>
        <family val="2"/>
      </rPr>
      <t>a</t>
    </r>
    <r>
      <rPr>
        <sz val="10"/>
        <color theme="1"/>
        <rFont val="Albertus Medium"/>
        <family val="2"/>
      </rPr>
      <t xml:space="preserve"> * BUI_COL289) + (nrtA</t>
    </r>
    <r>
      <rPr>
        <vertAlign val="subscript"/>
        <sz val="10"/>
        <color theme="1"/>
        <rFont val="Albertus Medium"/>
        <family val="2"/>
      </rPr>
      <t>a</t>
    </r>
    <r>
      <rPr>
        <sz val="10"/>
        <color theme="1"/>
        <rFont val="Albertus Medium"/>
        <family val="2"/>
      </rPr>
      <t xml:space="preserve"> * BUI_COL65) + (nrtB</t>
    </r>
    <r>
      <rPr>
        <vertAlign val="subscript"/>
        <sz val="10"/>
        <color theme="1"/>
        <rFont val="Albertus Medium"/>
        <family val="2"/>
      </rPr>
      <t>a</t>
    </r>
    <r>
      <rPr>
        <sz val="10"/>
        <color theme="1"/>
        <rFont val="Albertus Medium"/>
        <family val="2"/>
      </rPr>
      <t xml:space="preserve"> * BUI_COL97)) * BUI_COL6 / 1000000</t>
    </r>
  </si>
  <si>
    <r>
      <t>GHG_Heat</t>
    </r>
    <r>
      <rPr>
        <vertAlign val="subscript"/>
        <sz val="10"/>
        <color theme="1"/>
        <rFont val="Albertus Medium"/>
        <family val="2"/>
      </rPr>
      <t>a</t>
    </r>
    <r>
      <rPr>
        <sz val="10"/>
        <color theme="1"/>
        <rFont val="Albertus Medium"/>
        <family val="2"/>
      </rPr>
      <t xml:space="preserve"> = ((nrtX</t>
    </r>
    <r>
      <rPr>
        <vertAlign val="subscript"/>
        <sz val="10"/>
        <color theme="1"/>
        <rFont val="Albertus Medium"/>
        <family val="2"/>
      </rPr>
      <t>a</t>
    </r>
    <r>
      <rPr>
        <sz val="10"/>
        <color theme="1"/>
        <rFont val="Albertus Medium"/>
        <family val="2"/>
      </rPr>
      <t xml:space="preserve"> * BUI_COL290) + (nrtA</t>
    </r>
    <r>
      <rPr>
        <vertAlign val="subscript"/>
        <sz val="10"/>
        <color theme="1"/>
        <rFont val="Albertus Medium"/>
        <family val="2"/>
      </rPr>
      <t>a</t>
    </r>
    <r>
      <rPr>
        <sz val="10"/>
        <color theme="1"/>
        <rFont val="Albertus Medium"/>
        <family val="2"/>
      </rPr>
      <t xml:space="preserve"> * BUI_COL66) + (nrtB</t>
    </r>
    <r>
      <rPr>
        <vertAlign val="subscript"/>
        <sz val="10"/>
        <color theme="1"/>
        <rFont val="Albertus Medium"/>
        <family val="2"/>
      </rPr>
      <t>a</t>
    </r>
    <r>
      <rPr>
        <sz val="10"/>
        <color theme="1"/>
        <rFont val="Albertus Medium"/>
        <family val="2"/>
      </rPr>
      <t xml:space="preserve"> * BUI_COL98)) * DISTRICT_HEATING_emission_factor</t>
    </r>
    <r>
      <rPr>
        <vertAlign val="subscript"/>
        <sz val="10"/>
        <color theme="1"/>
        <rFont val="Albertus Medium"/>
        <family val="2"/>
      </rPr>
      <t>a</t>
    </r>
    <r>
      <rPr>
        <sz val="10"/>
        <color theme="1"/>
        <rFont val="Albertus Medium"/>
        <family val="2"/>
      </rPr>
      <t xml:space="preserve"> (from row 5) / 1000000</t>
    </r>
  </si>
  <si>
    <r>
      <t>GHG_Electricity</t>
    </r>
    <r>
      <rPr>
        <vertAlign val="subscript"/>
        <sz val="10"/>
        <color theme="1"/>
        <rFont val="Albertus Medium"/>
        <family val="2"/>
      </rPr>
      <t>a</t>
    </r>
    <r>
      <rPr>
        <sz val="10"/>
        <color theme="1"/>
        <rFont val="Albertus Medium"/>
        <family val="2"/>
      </rPr>
      <t xml:space="preserve"> = ((nrsX</t>
    </r>
    <r>
      <rPr>
        <vertAlign val="subscript"/>
        <sz val="10"/>
        <color theme="1"/>
        <rFont val="Albertus Medium"/>
        <family val="2"/>
      </rPr>
      <t>a</t>
    </r>
    <r>
      <rPr>
        <sz val="10"/>
        <color theme="1"/>
        <rFont val="Albertus Medium"/>
        <family val="2"/>
      </rPr>
      <t xml:space="preserve"> * BUI_COL291) + (nrsA</t>
    </r>
    <r>
      <rPr>
        <vertAlign val="subscript"/>
        <sz val="10"/>
        <color theme="1"/>
        <rFont val="Albertus Medium"/>
        <family val="2"/>
      </rPr>
      <t>a</t>
    </r>
    <r>
      <rPr>
        <sz val="10"/>
        <color theme="1"/>
        <rFont val="Albertus Medium"/>
        <family val="2"/>
      </rPr>
      <t xml:space="preserve"> * BUI_COL67) + (nrsB</t>
    </r>
    <r>
      <rPr>
        <vertAlign val="subscript"/>
        <sz val="10"/>
        <color theme="1"/>
        <rFont val="Albertus Medium"/>
        <family val="2"/>
      </rPr>
      <t>a</t>
    </r>
    <r>
      <rPr>
        <sz val="10"/>
        <color theme="1"/>
        <rFont val="Albertus Medium"/>
        <family val="2"/>
      </rPr>
      <t xml:space="preserve"> * BUI_COL99)) * GRID_ELECTRICITY_emission_facto</t>
    </r>
    <r>
      <rPr>
        <sz val="10"/>
        <color theme="1"/>
        <rFont val="Albertus Medium"/>
        <family val="2"/>
      </rPr>
      <t>r</t>
    </r>
    <r>
      <rPr>
        <vertAlign val="subscript"/>
        <sz val="10"/>
        <color theme="1"/>
        <rFont val="Albertus Medium"/>
        <family val="2"/>
      </rPr>
      <t>a</t>
    </r>
    <r>
      <rPr>
        <sz val="10"/>
        <color theme="1"/>
        <rFont val="Albertus Medium"/>
        <family val="2"/>
      </rPr>
      <t xml:space="preserve"> (from row4) / 1000000</t>
    </r>
  </si>
  <si>
    <r>
      <t>GHG_Gas</t>
    </r>
    <r>
      <rPr>
        <vertAlign val="subscript"/>
        <sz val="10"/>
        <color theme="1"/>
        <rFont val="Albertus Medium"/>
        <family val="2"/>
      </rPr>
      <t>a</t>
    </r>
    <r>
      <rPr>
        <sz val="10"/>
        <color theme="1"/>
        <rFont val="Albertus Medium"/>
        <family val="2"/>
      </rPr>
      <t xml:space="preserve"> = ((nrsX</t>
    </r>
    <r>
      <rPr>
        <vertAlign val="subscript"/>
        <sz val="10"/>
        <color theme="1"/>
        <rFont val="Albertus Medium"/>
        <family val="2"/>
      </rPr>
      <t>a</t>
    </r>
    <r>
      <rPr>
        <sz val="10"/>
        <color theme="1"/>
        <rFont val="Albertus Medium"/>
        <family val="2"/>
      </rPr>
      <t xml:space="preserve"> * BUI_COL292) + (nrsA</t>
    </r>
    <r>
      <rPr>
        <vertAlign val="subscript"/>
        <sz val="10"/>
        <color theme="1"/>
        <rFont val="Albertus Medium"/>
        <family val="2"/>
      </rPr>
      <t>a</t>
    </r>
    <r>
      <rPr>
        <sz val="10"/>
        <color theme="1"/>
        <rFont val="Albertus Medium"/>
        <family val="2"/>
      </rPr>
      <t xml:space="preserve"> * BUI_COL68) + (nrsB</t>
    </r>
    <r>
      <rPr>
        <vertAlign val="subscript"/>
        <sz val="10"/>
        <color theme="1"/>
        <rFont val="Albertus Medium"/>
        <family val="2"/>
      </rPr>
      <t>a</t>
    </r>
    <r>
      <rPr>
        <sz val="10"/>
        <color theme="1"/>
        <rFont val="Albertus Medium"/>
        <family val="2"/>
      </rPr>
      <t xml:space="preserve"> * BUI_COL100)) * BUI_COL1 / 1000000</t>
    </r>
  </si>
  <si>
    <r>
      <t>GHG_Oil</t>
    </r>
    <r>
      <rPr>
        <vertAlign val="subscript"/>
        <sz val="10"/>
        <color theme="1"/>
        <rFont val="Albertus Medium"/>
        <family val="2"/>
      </rPr>
      <t>a</t>
    </r>
    <r>
      <rPr>
        <sz val="10"/>
        <color theme="1"/>
        <rFont val="Albertus Medium"/>
        <family val="2"/>
      </rPr>
      <t xml:space="preserve"> = ((nrsX</t>
    </r>
    <r>
      <rPr>
        <vertAlign val="subscript"/>
        <sz val="10"/>
        <color theme="1"/>
        <rFont val="Albertus Medium"/>
        <family val="2"/>
      </rPr>
      <t>a</t>
    </r>
    <r>
      <rPr>
        <sz val="10"/>
        <color theme="1"/>
        <rFont val="Albertus Medium"/>
        <family val="2"/>
      </rPr>
      <t xml:space="preserve"> * BUI_COL293) + (nrsA</t>
    </r>
    <r>
      <rPr>
        <vertAlign val="subscript"/>
        <sz val="10"/>
        <color theme="1"/>
        <rFont val="Albertus Medium"/>
        <family val="2"/>
      </rPr>
      <t>a</t>
    </r>
    <r>
      <rPr>
        <sz val="10"/>
        <color theme="1"/>
        <rFont val="Albertus Medium"/>
        <family val="2"/>
      </rPr>
      <t xml:space="preserve"> * BUI_COL69) + (nrsB</t>
    </r>
    <r>
      <rPr>
        <vertAlign val="subscript"/>
        <sz val="10"/>
        <color theme="1"/>
        <rFont val="Albertus Medium"/>
        <family val="2"/>
      </rPr>
      <t>a</t>
    </r>
    <r>
      <rPr>
        <sz val="10"/>
        <color theme="1"/>
        <rFont val="Albertus Medium"/>
        <family val="2"/>
      </rPr>
      <t xml:space="preserve"> * BUI_COL101)) * BUI_COL2 / 1000000</t>
    </r>
  </si>
  <si>
    <r>
      <t>GHG_Coal</t>
    </r>
    <r>
      <rPr>
        <vertAlign val="subscript"/>
        <sz val="10"/>
        <color theme="1"/>
        <rFont val="Albertus Medium"/>
        <family val="2"/>
      </rPr>
      <t>a</t>
    </r>
    <r>
      <rPr>
        <sz val="10"/>
        <color theme="1"/>
        <rFont val="Albertus Medium"/>
        <family val="2"/>
      </rPr>
      <t xml:space="preserve"> = ((nrsX</t>
    </r>
    <r>
      <rPr>
        <vertAlign val="subscript"/>
        <sz val="10"/>
        <color theme="1"/>
        <rFont val="Albertus Medium"/>
        <family val="2"/>
      </rPr>
      <t>a</t>
    </r>
    <r>
      <rPr>
        <sz val="10"/>
        <color theme="1"/>
        <rFont val="Albertus Medium"/>
        <family val="2"/>
      </rPr>
      <t xml:space="preserve"> * BUI_COL294) + (nrsA</t>
    </r>
    <r>
      <rPr>
        <vertAlign val="subscript"/>
        <sz val="10"/>
        <color theme="1"/>
        <rFont val="Albertus Medium"/>
        <family val="2"/>
      </rPr>
      <t>a</t>
    </r>
    <r>
      <rPr>
        <sz val="10"/>
        <color theme="1"/>
        <rFont val="Albertus Medium"/>
        <family val="2"/>
      </rPr>
      <t xml:space="preserve"> * BUI_COL70) + (nrsB</t>
    </r>
    <r>
      <rPr>
        <vertAlign val="subscript"/>
        <sz val="10"/>
        <color theme="1"/>
        <rFont val="Albertus Medium"/>
        <family val="2"/>
      </rPr>
      <t>a</t>
    </r>
    <r>
      <rPr>
        <sz val="10"/>
        <color theme="1"/>
        <rFont val="Albertus Medium"/>
        <family val="2"/>
      </rPr>
      <t xml:space="preserve"> * BUI_COL102)) * BUI_COL3 / 1000000</t>
    </r>
  </si>
  <si>
    <r>
      <t>GHG_Peat</t>
    </r>
    <r>
      <rPr>
        <vertAlign val="subscript"/>
        <sz val="10"/>
        <color theme="1"/>
        <rFont val="Albertus Medium"/>
        <family val="2"/>
      </rPr>
      <t>a</t>
    </r>
    <r>
      <rPr>
        <sz val="10"/>
        <color theme="1"/>
        <rFont val="Albertus Medium"/>
        <family val="2"/>
      </rPr>
      <t xml:space="preserve"> = ((nrsX</t>
    </r>
    <r>
      <rPr>
        <vertAlign val="subscript"/>
        <sz val="10"/>
        <color theme="1"/>
        <rFont val="Albertus Medium"/>
        <family val="2"/>
      </rPr>
      <t>a</t>
    </r>
    <r>
      <rPr>
        <sz val="10"/>
        <color theme="1"/>
        <rFont val="Albertus Medium"/>
        <family val="2"/>
      </rPr>
      <t xml:space="preserve"> * BUI_COL295) + (nrsA</t>
    </r>
    <r>
      <rPr>
        <vertAlign val="subscript"/>
        <sz val="10"/>
        <color theme="1"/>
        <rFont val="Albertus Medium"/>
        <family val="2"/>
      </rPr>
      <t>a</t>
    </r>
    <r>
      <rPr>
        <sz val="10"/>
        <color theme="1"/>
        <rFont val="Albertus Medium"/>
        <family val="2"/>
      </rPr>
      <t xml:space="preserve"> * BUI_COL71) + (nrsB</t>
    </r>
    <r>
      <rPr>
        <vertAlign val="subscript"/>
        <sz val="10"/>
        <color theme="1"/>
        <rFont val="Albertus Medium"/>
        <family val="2"/>
      </rPr>
      <t>a</t>
    </r>
    <r>
      <rPr>
        <sz val="10"/>
        <color theme="1"/>
        <rFont val="Albertus Medium"/>
        <family val="2"/>
      </rPr>
      <t xml:space="preserve"> * BUI_COL103)) * BUI_COL4 / 1000000</t>
    </r>
  </si>
  <si>
    <r>
      <t>GHG_Wood</t>
    </r>
    <r>
      <rPr>
        <vertAlign val="subscript"/>
        <sz val="10"/>
        <color theme="1"/>
        <rFont val="Albertus Medium"/>
        <family val="2"/>
      </rPr>
      <t>a</t>
    </r>
    <r>
      <rPr>
        <sz val="10"/>
        <color theme="1"/>
        <rFont val="Albertus Medium"/>
        <family val="2"/>
      </rPr>
      <t xml:space="preserve"> = ((nrsX</t>
    </r>
    <r>
      <rPr>
        <vertAlign val="subscript"/>
        <sz val="10"/>
        <color theme="1"/>
        <rFont val="Albertus Medium"/>
        <family val="2"/>
      </rPr>
      <t>a</t>
    </r>
    <r>
      <rPr>
        <sz val="10"/>
        <color theme="1"/>
        <rFont val="Albertus Medium"/>
        <family val="2"/>
      </rPr>
      <t xml:space="preserve"> * BUI_COL296) + (nrsA</t>
    </r>
    <r>
      <rPr>
        <vertAlign val="subscript"/>
        <sz val="10"/>
        <color theme="1"/>
        <rFont val="Albertus Medium"/>
        <family val="2"/>
      </rPr>
      <t>a</t>
    </r>
    <r>
      <rPr>
        <sz val="10"/>
        <color theme="1"/>
        <rFont val="Albertus Medium"/>
        <family val="2"/>
      </rPr>
      <t xml:space="preserve"> * BUI_COL72) + (nrsB</t>
    </r>
    <r>
      <rPr>
        <vertAlign val="subscript"/>
        <sz val="10"/>
        <color theme="1"/>
        <rFont val="Albertus Medium"/>
        <family val="2"/>
      </rPr>
      <t>a</t>
    </r>
    <r>
      <rPr>
        <sz val="10"/>
        <color theme="1"/>
        <rFont val="Albertus Medium"/>
        <family val="2"/>
      </rPr>
      <t xml:space="preserve"> * BUI_COL104)) * BUI_COL5 / 1000000</t>
    </r>
  </si>
  <si>
    <r>
      <t>GHG_Renewable</t>
    </r>
    <r>
      <rPr>
        <vertAlign val="subscript"/>
        <sz val="10"/>
        <color theme="1"/>
        <rFont val="Albertus Medium"/>
        <family val="2"/>
      </rPr>
      <t>a</t>
    </r>
    <r>
      <rPr>
        <sz val="10"/>
        <color theme="1"/>
        <rFont val="Albertus Medium"/>
        <family val="2"/>
      </rPr>
      <t xml:space="preserve"> = ((nrsX</t>
    </r>
    <r>
      <rPr>
        <vertAlign val="subscript"/>
        <sz val="10"/>
        <color theme="1"/>
        <rFont val="Albertus Medium"/>
        <family val="2"/>
      </rPr>
      <t>a</t>
    </r>
    <r>
      <rPr>
        <sz val="10"/>
        <color theme="1"/>
        <rFont val="Albertus Medium"/>
        <family val="2"/>
      </rPr>
      <t xml:space="preserve"> * BUI_COL297) + (nrsA</t>
    </r>
    <r>
      <rPr>
        <vertAlign val="subscript"/>
        <sz val="10"/>
        <color theme="1"/>
        <rFont val="Albertus Medium"/>
        <family val="2"/>
      </rPr>
      <t>a</t>
    </r>
    <r>
      <rPr>
        <sz val="10"/>
        <color theme="1"/>
        <rFont val="Albertus Medium"/>
        <family val="2"/>
      </rPr>
      <t xml:space="preserve"> * BUI_COL73) + (nrsB</t>
    </r>
    <r>
      <rPr>
        <vertAlign val="subscript"/>
        <sz val="10"/>
        <color theme="1"/>
        <rFont val="Albertus Medium"/>
        <family val="2"/>
      </rPr>
      <t>a</t>
    </r>
    <r>
      <rPr>
        <sz val="10"/>
        <color theme="1"/>
        <rFont val="Albertus Medium"/>
        <family val="2"/>
      </rPr>
      <t xml:space="preserve"> * BUI_COL105)) * BUI_COL6 / 1000000</t>
    </r>
  </si>
  <si>
    <r>
      <t>GHG_Heat</t>
    </r>
    <r>
      <rPr>
        <vertAlign val="subscript"/>
        <sz val="10"/>
        <color theme="1"/>
        <rFont val="Albertus Medium"/>
        <family val="2"/>
      </rPr>
      <t>a</t>
    </r>
    <r>
      <rPr>
        <sz val="10"/>
        <color theme="1"/>
        <rFont val="Albertus Medium"/>
        <family val="2"/>
      </rPr>
      <t xml:space="preserve"> = ((nrsX</t>
    </r>
    <r>
      <rPr>
        <vertAlign val="subscript"/>
        <sz val="10"/>
        <color theme="1"/>
        <rFont val="Albertus Medium"/>
        <family val="2"/>
      </rPr>
      <t>a</t>
    </r>
    <r>
      <rPr>
        <sz val="10"/>
        <color theme="1"/>
        <rFont val="Albertus Medium"/>
        <family val="2"/>
      </rPr>
      <t xml:space="preserve"> * BUI_COL298) + (nrsA</t>
    </r>
    <r>
      <rPr>
        <vertAlign val="subscript"/>
        <sz val="10"/>
        <color theme="1"/>
        <rFont val="Albertus Medium"/>
        <family val="2"/>
      </rPr>
      <t>a</t>
    </r>
    <r>
      <rPr>
        <sz val="10"/>
        <color theme="1"/>
        <rFont val="Albertus Medium"/>
        <family val="2"/>
      </rPr>
      <t xml:space="preserve"> * BUI_COL74) + (nrsB</t>
    </r>
    <r>
      <rPr>
        <vertAlign val="subscript"/>
        <sz val="10"/>
        <color theme="1"/>
        <rFont val="Albertus Medium"/>
        <family val="2"/>
      </rPr>
      <t>a</t>
    </r>
    <r>
      <rPr>
        <sz val="10"/>
        <color theme="1"/>
        <rFont val="Albertus Medium"/>
        <family val="2"/>
      </rPr>
      <t xml:space="preserve"> * BUI_COL106)) * DISTRICT_HEATING_emission_factor</t>
    </r>
    <r>
      <rPr>
        <vertAlign val="subscript"/>
        <sz val="10"/>
        <color theme="1"/>
        <rFont val="Albertus Medium"/>
        <family val="2"/>
      </rPr>
      <t>a</t>
    </r>
    <r>
      <rPr>
        <sz val="10"/>
        <color theme="1"/>
        <rFont val="Albertus Medium"/>
        <family val="2"/>
      </rPr>
      <t xml:space="preserve"> (from row 5) / 1000000</t>
    </r>
  </si>
  <si>
    <t>DETACHED UNITS / GHG-EMISSSIONS</t>
  </si>
  <si>
    <t>detached</t>
  </si>
  <si>
    <r>
      <t>GHG_Electricity</t>
    </r>
    <r>
      <rPr>
        <vertAlign val="subscript"/>
        <sz val="10"/>
        <color theme="1"/>
        <rFont val="Albertus Medium"/>
        <family val="2"/>
      </rPr>
      <t>a</t>
    </r>
    <r>
      <rPr>
        <sz val="10"/>
        <color theme="1"/>
        <rFont val="Albertus Medium"/>
        <family val="2"/>
      </rPr>
      <t xml:space="preserve"> = ((nrdX</t>
    </r>
    <r>
      <rPr>
        <vertAlign val="subscript"/>
        <sz val="10"/>
        <color theme="1"/>
        <rFont val="Albertus Medium"/>
        <family val="2"/>
      </rPr>
      <t>a</t>
    </r>
    <r>
      <rPr>
        <sz val="10"/>
        <color theme="1"/>
        <rFont val="Albertus Medium"/>
        <family val="2"/>
      </rPr>
      <t xml:space="preserve"> * BUI_COL299) + (nrdA</t>
    </r>
    <r>
      <rPr>
        <vertAlign val="subscript"/>
        <sz val="10"/>
        <color theme="1"/>
        <rFont val="Albertus Medium"/>
        <family val="2"/>
      </rPr>
      <t>a</t>
    </r>
    <r>
      <rPr>
        <sz val="10"/>
        <color theme="1"/>
        <rFont val="Albertus Medium"/>
        <family val="2"/>
      </rPr>
      <t xml:space="preserve"> * BUI_COL75) + (nrdB</t>
    </r>
    <r>
      <rPr>
        <vertAlign val="subscript"/>
        <sz val="10"/>
        <color theme="1"/>
        <rFont val="Albertus Medium"/>
        <family val="2"/>
      </rPr>
      <t>a</t>
    </r>
    <r>
      <rPr>
        <sz val="10"/>
        <color theme="1"/>
        <rFont val="Albertus Medium"/>
        <family val="2"/>
      </rPr>
      <t xml:space="preserve"> * BUI_COL107)) * GRID_ELECTRICITY_emission_factor</t>
    </r>
    <r>
      <rPr>
        <vertAlign val="subscript"/>
        <sz val="10"/>
        <color theme="1"/>
        <rFont val="Albertus Medium"/>
        <family val="2"/>
      </rPr>
      <t>a</t>
    </r>
    <r>
      <rPr>
        <sz val="10"/>
        <color theme="1"/>
        <rFont val="Albertus Medium"/>
        <family val="2"/>
      </rPr>
      <t xml:space="preserve"> (from row4) / 1000000</t>
    </r>
  </si>
  <si>
    <r>
      <t>GHG_Gas</t>
    </r>
    <r>
      <rPr>
        <vertAlign val="subscript"/>
        <sz val="10"/>
        <color theme="1"/>
        <rFont val="Albertus Medium"/>
        <family val="2"/>
      </rPr>
      <t>a</t>
    </r>
    <r>
      <rPr>
        <sz val="10"/>
        <color theme="1"/>
        <rFont val="Albertus Medium"/>
        <family val="2"/>
      </rPr>
      <t xml:space="preserve"> = ((nrdX</t>
    </r>
    <r>
      <rPr>
        <vertAlign val="subscript"/>
        <sz val="10"/>
        <color theme="1"/>
        <rFont val="Albertus Medium"/>
        <family val="2"/>
      </rPr>
      <t>a</t>
    </r>
    <r>
      <rPr>
        <sz val="10"/>
        <color theme="1"/>
        <rFont val="Albertus Medium"/>
        <family val="2"/>
      </rPr>
      <t xml:space="preserve"> * BUI_COL300) + (nrdA</t>
    </r>
    <r>
      <rPr>
        <vertAlign val="subscript"/>
        <sz val="10"/>
        <color theme="1"/>
        <rFont val="Albertus Medium"/>
        <family val="2"/>
      </rPr>
      <t>a</t>
    </r>
    <r>
      <rPr>
        <sz val="10"/>
        <color theme="1"/>
        <rFont val="Albertus Medium"/>
        <family val="2"/>
      </rPr>
      <t xml:space="preserve"> * BUI_COL76) + (nrdB</t>
    </r>
    <r>
      <rPr>
        <vertAlign val="subscript"/>
        <sz val="10"/>
        <color theme="1"/>
        <rFont val="Albertus Medium"/>
        <family val="2"/>
      </rPr>
      <t>a</t>
    </r>
    <r>
      <rPr>
        <sz val="10"/>
        <color theme="1"/>
        <rFont val="Albertus Medium"/>
        <family val="2"/>
      </rPr>
      <t xml:space="preserve"> * BUI_COL108)) * BUI_COL1 / 1000000</t>
    </r>
  </si>
  <si>
    <r>
      <t>GHG_Oil</t>
    </r>
    <r>
      <rPr>
        <vertAlign val="subscript"/>
        <sz val="10"/>
        <color theme="1"/>
        <rFont val="Albertus Medium"/>
        <family val="2"/>
      </rPr>
      <t>a</t>
    </r>
    <r>
      <rPr>
        <sz val="10"/>
        <color theme="1"/>
        <rFont val="Albertus Medium"/>
        <family val="2"/>
      </rPr>
      <t xml:space="preserve"> = ((nrdX</t>
    </r>
    <r>
      <rPr>
        <vertAlign val="subscript"/>
        <sz val="10"/>
        <color theme="1"/>
        <rFont val="Albertus Medium"/>
        <family val="2"/>
      </rPr>
      <t>a</t>
    </r>
    <r>
      <rPr>
        <sz val="10"/>
        <color theme="1"/>
        <rFont val="Albertus Medium"/>
        <family val="2"/>
      </rPr>
      <t xml:space="preserve"> * BUI_COL301) + (nrdA</t>
    </r>
    <r>
      <rPr>
        <vertAlign val="subscript"/>
        <sz val="10"/>
        <color theme="1"/>
        <rFont val="Albertus Medium"/>
        <family val="2"/>
      </rPr>
      <t>a</t>
    </r>
    <r>
      <rPr>
        <sz val="10"/>
        <color theme="1"/>
        <rFont val="Albertus Medium"/>
        <family val="2"/>
      </rPr>
      <t xml:space="preserve"> * BUI_COL77) + (nrdB</t>
    </r>
    <r>
      <rPr>
        <vertAlign val="subscript"/>
        <sz val="10"/>
        <color theme="1"/>
        <rFont val="Albertus Medium"/>
        <family val="2"/>
      </rPr>
      <t>a</t>
    </r>
    <r>
      <rPr>
        <sz val="10"/>
        <color theme="1"/>
        <rFont val="Albertus Medium"/>
        <family val="2"/>
      </rPr>
      <t xml:space="preserve"> * BUI_COL109)) * BUI_COL2 / 1000000</t>
    </r>
  </si>
  <si>
    <r>
      <t>GHG_Coal</t>
    </r>
    <r>
      <rPr>
        <vertAlign val="subscript"/>
        <sz val="10"/>
        <color theme="1"/>
        <rFont val="Albertus Medium"/>
        <family val="2"/>
      </rPr>
      <t>a</t>
    </r>
    <r>
      <rPr>
        <sz val="10"/>
        <color theme="1"/>
        <rFont val="Albertus Medium"/>
        <family val="2"/>
      </rPr>
      <t xml:space="preserve"> = ((nrdX</t>
    </r>
    <r>
      <rPr>
        <vertAlign val="subscript"/>
        <sz val="10"/>
        <color theme="1"/>
        <rFont val="Albertus Medium"/>
        <family val="2"/>
      </rPr>
      <t>a</t>
    </r>
    <r>
      <rPr>
        <sz val="10"/>
        <color theme="1"/>
        <rFont val="Albertus Medium"/>
        <family val="2"/>
      </rPr>
      <t xml:space="preserve"> * BUI_COL302) + (nrdA</t>
    </r>
    <r>
      <rPr>
        <vertAlign val="subscript"/>
        <sz val="10"/>
        <color theme="1"/>
        <rFont val="Albertus Medium"/>
        <family val="2"/>
      </rPr>
      <t>a</t>
    </r>
    <r>
      <rPr>
        <sz val="10"/>
        <color theme="1"/>
        <rFont val="Albertus Medium"/>
        <family val="2"/>
      </rPr>
      <t xml:space="preserve"> * BUI_COL78) + (nrdB</t>
    </r>
    <r>
      <rPr>
        <vertAlign val="subscript"/>
        <sz val="10"/>
        <color theme="1"/>
        <rFont val="Albertus Medium"/>
        <family val="2"/>
      </rPr>
      <t>a</t>
    </r>
    <r>
      <rPr>
        <sz val="10"/>
        <color theme="1"/>
        <rFont val="Albertus Medium"/>
        <family val="2"/>
      </rPr>
      <t xml:space="preserve"> * BUI_COL110)) * BUI_COL3 / 1000000</t>
    </r>
  </si>
  <si>
    <r>
      <t>GHG_Peat</t>
    </r>
    <r>
      <rPr>
        <vertAlign val="subscript"/>
        <sz val="10"/>
        <color theme="1"/>
        <rFont val="Albertus Medium"/>
        <family val="2"/>
      </rPr>
      <t>a</t>
    </r>
    <r>
      <rPr>
        <sz val="10"/>
        <color theme="1"/>
        <rFont val="Albertus Medium"/>
        <family val="2"/>
      </rPr>
      <t xml:space="preserve"> = ((nrdX</t>
    </r>
    <r>
      <rPr>
        <vertAlign val="subscript"/>
        <sz val="10"/>
        <color theme="1"/>
        <rFont val="Albertus Medium"/>
        <family val="2"/>
      </rPr>
      <t>a</t>
    </r>
    <r>
      <rPr>
        <sz val="10"/>
        <color theme="1"/>
        <rFont val="Albertus Medium"/>
        <family val="2"/>
      </rPr>
      <t xml:space="preserve"> * BUI_COL303) + (nrdA</t>
    </r>
    <r>
      <rPr>
        <vertAlign val="subscript"/>
        <sz val="10"/>
        <color theme="1"/>
        <rFont val="Albertus Medium"/>
        <family val="2"/>
      </rPr>
      <t>a</t>
    </r>
    <r>
      <rPr>
        <sz val="10"/>
        <color theme="1"/>
        <rFont val="Albertus Medium"/>
        <family val="2"/>
      </rPr>
      <t xml:space="preserve"> * BUI_COL79) + (nrdB</t>
    </r>
    <r>
      <rPr>
        <vertAlign val="subscript"/>
        <sz val="10"/>
        <color theme="1"/>
        <rFont val="Albertus Medium"/>
        <family val="2"/>
      </rPr>
      <t>a</t>
    </r>
    <r>
      <rPr>
        <sz val="10"/>
        <color theme="1"/>
        <rFont val="Albertus Medium"/>
        <family val="2"/>
      </rPr>
      <t xml:space="preserve"> * BUI_COL111)) * BUI_COL4 / 1000000</t>
    </r>
  </si>
  <si>
    <r>
      <t>GHG_Wood</t>
    </r>
    <r>
      <rPr>
        <vertAlign val="subscript"/>
        <sz val="10"/>
        <color theme="1"/>
        <rFont val="Albertus Medium"/>
        <family val="2"/>
      </rPr>
      <t>a</t>
    </r>
    <r>
      <rPr>
        <sz val="10"/>
        <color theme="1"/>
        <rFont val="Albertus Medium"/>
        <family val="2"/>
      </rPr>
      <t xml:space="preserve"> = ((nrdX</t>
    </r>
    <r>
      <rPr>
        <vertAlign val="subscript"/>
        <sz val="10"/>
        <color theme="1"/>
        <rFont val="Albertus Medium"/>
        <family val="2"/>
      </rPr>
      <t>a</t>
    </r>
    <r>
      <rPr>
        <sz val="10"/>
        <color theme="1"/>
        <rFont val="Albertus Medium"/>
        <family val="2"/>
      </rPr>
      <t xml:space="preserve"> * BUI_COL304) + (nrdA</t>
    </r>
    <r>
      <rPr>
        <vertAlign val="subscript"/>
        <sz val="10"/>
        <color theme="1"/>
        <rFont val="Albertus Medium"/>
        <family val="2"/>
      </rPr>
      <t>a</t>
    </r>
    <r>
      <rPr>
        <sz val="10"/>
        <color theme="1"/>
        <rFont val="Albertus Medium"/>
        <family val="2"/>
      </rPr>
      <t xml:space="preserve"> * BUI_COL80) + (nrdB</t>
    </r>
    <r>
      <rPr>
        <vertAlign val="subscript"/>
        <sz val="10"/>
        <color theme="1"/>
        <rFont val="Albertus Medium"/>
        <family val="2"/>
      </rPr>
      <t>a</t>
    </r>
    <r>
      <rPr>
        <sz val="10"/>
        <color theme="1"/>
        <rFont val="Albertus Medium"/>
        <family val="2"/>
      </rPr>
      <t xml:space="preserve"> * BUI_COL112)) * BUI_COL5 / 1000000</t>
    </r>
  </si>
  <si>
    <r>
      <t>GHG_Renewable</t>
    </r>
    <r>
      <rPr>
        <vertAlign val="subscript"/>
        <sz val="10"/>
        <color theme="1"/>
        <rFont val="Albertus Medium"/>
        <family val="2"/>
      </rPr>
      <t>a</t>
    </r>
    <r>
      <rPr>
        <sz val="10"/>
        <color theme="1"/>
        <rFont val="Albertus Medium"/>
        <family val="2"/>
      </rPr>
      <t xml:space="preserve"> = ((nrdX</t>
    </r>
    <r>
      <rPr>
        <vertAlign val="subscript"/>
        <sz val="10"/>
        <color theme="1"/>
        <rFont val="Albertus Medium"/>
        <family val="2"/>
      </rPr>
      <t>a</t>
    </r>
    <r>
      <rPr>
        <sz val="10"/>
        <color theme="1"/>
        <rFont val="Albertus Medium"/>
        <family val="2"/>
      </rPr>
      <t xml:space="preserve"> * BUI_COL305) + (nrdA</t>
    </r>
    <r>
      <rPr>
        <vertAlign val="subscript"/>
        <sz val="10"/>
        <color theme="1"/>
        <rFont val="Albertus Medium"/>
        <family val="2"/>
      </rPr>
      <t>a</t>
    </r>
    <r>
      <rPr>
        <sz val="10"/>
        <color theme="1"/>
        <rFont val="Albertus Medium"/>
        <family val="2"/>
      </rPr>
      <t xml:space="preserve"> * BUI_COL81) + (nrdB</t>
    </r>
    <r>
      <rPr>
        <vertAlign val="subscript"/>
        <sz val="10"/>
        <color theme="1"/>
        <rFont val="Albertus Medium"/>
        <family val="2"/>
      </rPr>
      <t>a</t>
    </r>
    <r>
      <rPr>
        <sz val="10"/>
        <color theme="1"/>
        <rFont val="Albertus Medium"/>
        <family val="2"/>
      </rPr>
      <t xml:space="preserve"> * BUI_COL113)) * BUI_COL6 / 1000000</t>
    </r>
  </si>
  <si>
    <r>
      <t>GHG_Heat</t>
    </r>
    <r>
      <rPr>
        <vertAlign val="subscript"/>
        <sz val="10"/>
        <color theme="1"/>
        <rFont val="Albertus Medium"/>
        <family val="2"/>
      </rPr>
      <t>a</t>
    </r>
    <r>
      <rPr>
        <sz val="10"/>
        <color theme="1"/>
        <rFont val="Albertus Medium"/>
        <family val="2"/>
      </rPr>
      <t xml:space="preserve"> = ((nrdX</t>
    </r>
    <r>
      <rPr>
        <vertAlign val="subscript"/>
        <sz val="10"/>
        <color theme="1"/>
        <rFont val="Albertus Medium"/>
        <family val="2"/>
      </rPr>
      <t>a</t>
    </r>
    <r>
      <rPr>
        <sz val="10"/>
        <color theme="1"/>
        <rFont val="Albertus Medium"/>
        <family val="2"/>
      </rPr>
      <t xml:space="preserve"> * BUI_COL306) + (nrdA</t>
    </r>
    <r>
      <rPr>
        <vertAlign val="subscript"/>
        <sz val="10"/>
        <color theme="1"/>
        <rFont val="Albertus Medium"/>
        <family val="2"/>
      </rPr>
      <t>a</t>
    </r>
    <r>
      <rPr>
        <sz val="10"/>
        <color theme="1"/>
        <rFont val="Albertus Medium"/>
        <family val="2"/>
      </rPr>
      <t xml:space="preserve"> * BUI_COL82) + (nrdB</t>
    </r>
    <r>
      <rPr>
        <vertAlign val="subscript"/>
        <sz val="10"/>
        <color theme="1"/>
        <rFont val="Albertus Medium"/>
        <family val="2"/>
      </rPr>
      <t>a</t>
    </r>
    <r>
      <rPr>
        <sz val="10"/>
        <color theme="1"/>
        <rFont val="Albertus Medium"/>
        <family val="2"/>
      </rPr>
      <t xml:space="preserve"> * BUI_COL114)) * DISTRICT_HEATING_emission_factor</t>
    </r>
    <r>
      <rPr>
        <vertAlign val="subscript"/>
        <sz val="10"/>
        <color theme="1"/>
        <rFont val="Albertus Medium"/>
        <family val="2"/>
      </rPr>
      <t>a</t>
    </r>
    <r>
      <rPr>
        <sz val="10"/>
        <color theme="1"/>
        <rFont val="Albertus Medium"/>
        <family val="2"/>
      </rPr>
      <t xml:space="preserve"> (from row 5) / 1000000</t>
    </r>
  </si>
  <si>
    <t>FLOOR AREA OF COMMERCIAL BUILDINGS</t>
  </si>
  <si>
    <r>
      <t>ARe</t>
    </r>
    <r>
      <rPr>
        <vertAlign val="subscript"/>
        <sz val="10"/>
        <color theme="1"/>
        <rFont val="Albertus Medium"/>
        <family val="2"/>
      </rPr>
      <t>a</t>
    </r>
  </si>
  <si>
    <r>
      <t>AHe</t>
    </r>
    <r>
      <rPr>
        <vertAlign val="subscript"/>
        <sz val="10"/>
        <color theme="1"/>
        <rFont val="Albertus Medium"/>
        <family val="2"/>
      </rPr>
      <t>a</t>
    </r>
  </si>
  <si>
    <r>
      <t>AHo</t>
    </r>
    <r>
      <rPr>
        <vertAlign val="subscript"/>
        <sz val="10"/>
        <color theme="1"/>
        <rFont val="Albertus Medium"/>
        <family val="2"/>
      </rPr>
      <t>a</t>
    </r>
  </si>
  <si>
    <r>
      <t>AOf</t>
    </r>
    <r>
      <rPr>
        <vertAlign val="subscript"/>
        <sz val="10"/>
        <color theme="1"/>
        <rFont val="Albertus Medium"/>
        <family val="2"/>
      </rPr>
      <t>a</t>
    </r>
  </si>
  <si>
    <r>
      <t>AIn</t>
    </r>
    <r>
      <rPr>
        <vertAlign val="subscript"/>
        <sz val="10"/>
        <color theme="1"/>
        <rFont val="Albertus Medium"/>
        <family val="2"/>
      </rPr>
      <t>a</t>
    </r>
  </si>
  <si>
    <r>
      <t>AWa</t>
    </r>
    <r>
      <rPr>
        <vertAlign val="subscript"/>
        <sz val="10"/>
        <color theme="1"/>
        <rFont val="Albertus Medium"/>
        <family val="2"/>
      </rPr>
      <t>a</t>
    </r>
  </si>
  <si>
    <t>Before the selected year</t>
  </si>
  <si>
    <t>On selected year</t>
  </si>
  <si>
    <t>After the selected year</t>
  </si>
  <si>
    <r>
      <t>ARe</t>
    </r>
    <r>
      <rPr>
        <vertAlign val="subscript"/>
        <sz val="10"/>
        <color theme="1"/>
        <rFont val="Albertus Medium"/>
        <family val="2"/>
      </rPr>
      <t>a</t>
    </r>
    <r>
      <rPr>
        <sz val="10"/>
        <color theme="1"/>
        <rFont val="Albertus Medium"/>
        <family val="2"/>
      </rPr>
      <t xml:space="preserve"> = 0</t>
    </r>
  </si>
  <si>
    <r>
      <t>ARe</t>
    </r>
    <r>
      <rPr>
        <vertAlign val="subscript"/>
        <sz val="10"/>
        <color theme="1"/>
        <rFont val="Albertus Medium"/>
        <family val="2"/>
      </rPr>
      <t>a</t>
    </r>
    <r>
      <rPr>
        <sz val="10"/>
        <color theme="1"/>
        <rFont val="Albertus Medium"/>
        <family val="2"/>
      </rPr>
      <t xml:space="preserve"> = User input from cell B82</t>
    </r>
  </si>
  <si>
    <r>
      <t>ARe</t>
    </r>
    <r>
      <rPr>
        <vertAlign val="subscript"/>
        <sz val="10"/>
        <color theme="1"/>
        <rFont val="Albertus Medium"/>
        <family val="2"/>
      </rPr>
      <t>a</t>
    </r>
    <r>
      <rPr>
        <sz val="10"/>
        <color theme="1"/>
        <rFont val="Albertus Medium"/>
        <family val="2"/>
      </rPr>
      <t xml:space="preserve"> = ARe</t>
    </r>
    <r>
      <rPr>
        <vertAlign val="subscript"/>
        <sz val="10"/>
        <color theme="1"/>
        <rFont val="Albertus Medium"/>
        <family val="2"/>
      </rPr>
      <t>(a-1)</t>
    </r>
    <r>
      <rPr>
        <sz val="10"/>
        <color theme="1"/>
        <rFont val="Albertus Medium"/>
        <family val="2"/>
      </rPr>
      <t xml:space="preserve"> * (100 - demolition rate + increase rate) / 100</t>
    </r>
  </si>
  <si>
    <t>energy consumption</t>
  </si>
  <si>
    <t>RETAIL BUILDINGS / GHG-EMISSSIONS</t>
  </si>
  <si>
    <r>
      <t>kWh/m</t>
    </r>
    <r>
      <rPr>
        <vertAlign val="superscript"/>
        <sz val="8"/>
        <color theme="1"/>
        <rFont val="Albertus Medium"/>
        <family val="2"/>
      </rPr>
      <t>2</t>
    </r>
  </si>
  <si>
    <t>BUI_COL307</t>
  </si>
  <si>
    <t>BUI_COL308</t>
  </si>
  <si>
    <t>BUI_COL309</t>
  </si>
  <si>
    <t>BUI_COL310</t>
  </si>
  <si>
    <t>BUI_COL311</t>
  </si>
  <si>
    <t>BUI_COL312</t>
  </si>
  <si>
    <t>BUI_COL313</t>
  </si>
  <si>
    <t>BUI_COL314</t>
  </si>
  <si>
    <t>WAREHOUSES / GHG-EMISSSIONS</t>
  </si>
  <si>
    <t>HEALTH BUILDINGS / GHG-EMISSSIONS</t>
  </si>
  <si>
    <t>HOSPITALITY BUILDINGS / GHG-EMISSSIONS</t>
  </si>
  <si>
    <t>OFFICES / GHG-EMISSSIONS</t>
  </si>
  <si>
    <t>INDUSTRIAL BUILDINGS / GHG-EMISSSIONS</t>
  </si>
  <si>
    <t>BUI_COL315</t>
  </si>
  <si>
    <t>BUI_COL316</t>
  </si>
  <si>
    <t>BUI_COL317</t>
  </si>
  <si>
    <t>BUI_COL318</t>
  </si>
  <si>
    <t>BUI_COL319</t>
  </si>
  <si>
    <t>BUI_COL320</t>
  </si>
  <si>
    <t>BUI_COL321</t>
  </si>
  <si>
    <t>BUI_COL322</t>
  </si>
  <si>
    <t>BUI_COL323</t>
  </si>
  <si>
    <t>BUI_COL324</t>
  </si>
  <si>
    <t>BUI_COL325</t>
  </si>
  <si>
    <t>BUI_COL326</t>
  </si>
  <si>
    <t>BUI_COL327</t>
  </si>
  <si>
    <t>BUI_COL328</t>
  </si>
  <si>
    <t>BUI_COL329</t>
  </si>
  <si>
    <t>BUI_COL330</t>
  </si>
  <si>
    <t>BUI_COL331</t>
  </si>
  <si>
    <t>BUI_COL332</t>
  </si>
  <si>
    <t>BUI_COL333</t>
  </si>
  <si>
    <t>BUI_COL334</t>
  </si>
  <si>
    <t>BUI_COL335</t>
  </si>
  <si>
    <t>BUI_COL336</t>
  </si>
  <si>
    <t>BUI_COL337</t>
  </si>
  <si>
    <t>BUI_COL338</t>
  </si>
  <si>
    <t>BUI_COL339</t>
  </si>
  <si>
    <t>BUI_COL340</t>
  </si>
  <si>
    <t>BUI_COL341</t>
  </si>
  <si>
    <t>BUI_COL342</t>
  </si>
  <si>
    <t>BUI_COL343</t>
  </si>
  <si>
    <t>BUI_COL344</t>
  </si>
  <si>
    <t>BUI_COL345</t>
  </si>
  <si>
    <t>BUI_COL346</t>
  </si>
  <si>
    <t>BUI_COL347</t>
  </si>
  <si>
    <t>BUI_COL348</t>
  </si>
  <si>
    <t>BUI_COL349</t>
  </si>
  <si>
    <t>BUI_COL350</t>
  </si>
  <si>
    <t>BUI_COL351</t>
  </si>
  <si>
    <t>BUI_COL352</t>
  </si>
  <si>
    <t>BUI_COL353</t>
  </si>
  <si>
    <t>BUI_COL354</t>
  </si>
  <si>
    <r>
      <t>GHG_Gas</t>
    </r>
    <r>
      <rPr>
        <vertAlign val="subscript"/>
        <sz val="10"/>
        <color theme="1"/>
        <rFont val="Albertus Medium"/>
        <family val="2"/>
      </rPr>
      <t>a</t>
    </r>
    <r>
      <rPr>
        <sz val="10"/>
        <color theme="1"/>
        <rFont val="Albertus Medium"/>
        <family val="2"/>
      </rPr>
      <t xml:space="preserve"> = ARe</t>
    </r>
    <r>
      <rPr>
        <vertAlign val="subscript"/>
        <sz val="10"/>
        <color theme="1"/>
        <rFont val="Albertus Medium"/>
        <family val="2"/>
      </rPr>
      <t>a</t>
    </r>
    <r>
      <rPr>
        <sz val="10"/>
        <color theme="1"/>
        <rFont val="Albertus Medium"/>
        <family val="2"/>
      </rPr>
      <t xml:space="preserve"> * BUI_COL308 * BUI_COL1 / 1000000</t>
    </r>
  </si>
  <si>
    <r>
      <t>GHG_Oil</t>
    </r>
    <r>
      <rPr>
        <vertAlign val="subscript"/>
        <sz val="10"/>
        <color theme="1"/>
        <rFont val="Albertus Medium"/>
        <family val="2"/>
      </rPr>
      <t>a</t>
    </r>
    <r>
      <rPr>
        <sz val="10"/>
        <color theme="1"/>
        <rFont val="Albertus Medium"/>
        <family val="2"/>
      </rPr>
      <t xml:space="preserve"> = ARe</t>
    </r>
    <r>
      <rPr>
        <vertAlign val="subscript"/>
        <sz val="10"/>
        <color theme="1"/>
        <rFont val="Albertus Medium"/>
        <family val="2"/>
      </rPr>
      <t>a</t>
    </r>
    <r>
      <rPr>
        <sz val="10"/>
        <color theme="1"/>
        <rFont val="Albertus Medium"/>
        <family val="2"/>
      </rPr>
      <t xml:space="preserve"> * BUI_COL309 * BUI_COL2 / 1000000</t>
    </r>
  </si>
  <si>
    <r>
      <t>GHG_Coal</t>
    </r>
    <r>
      <rPr>
        <vertAlign val="subscript"/>
        <sz val="10"/>
        <color theme="1"/>
        <rFont val="Albertus Medium"/>
        <family val="2"/>
      </rPr>
      <t>a</t>
    </r>
    <r>
      <rPr>
        <sz val="10"/>
        <color theme="1"/>
        <rFont val="Albertus Medium"/>
        <family val="2"/>
      </rPr>
      <t xml:space="preserve"> = ARe</t>
    </r>
    <r>
      <rPr>
        <vertAlign val="subscript"/>
        <sz val="10"/>
        <color theme="1"/>
        <rFont val="Albertus Medium"/>
        <family val="2"/>
      </rPr>
      <t>a</t>
    </r>
    <r>
      <rPr>
        <sz val="10"/>
        <color theme="1"/>
        <rFont val="Albertus Medium"/>
        <family val="2"/>
      </rPr>
      <t xml:space="preserve"> * BUI_COL310 * BUI_COL3 / 1000000</t>
    </r>
  </si>
  <si>
    <r>
      <t>GHG_Peat</t>
    </r>
    <r>
      <rPr>
        <vertAlign val="subscript"/>
        <sz val="10"/>
        <color theme="1"/>
        <rFont val="Albertus Medium"/>
        <family val="2"/>
      </rPr>
      <t>a</t>
    </r>
    <r>
      <rPr>
        <sz val="10"/>
        <color theme="1"/>
        <rFont val="Albertus Medium"/>
        <family val="2"/>
      </rPr>
      <t xml:space="preserve"> = ARe</t>
    </r>
    <r>
      <rPr>
        <vertAlign val="subscript"/>
        <sz val="10"/>
        <color theme="1"/>
        <rFont val="Albertus Medium"/>
        <family val="2"/>
      </rPr>
      <t>a</t>
    </r>
    <r>
      <rPr>
        <sz val="10"/>
        <color theme="1"/>
        <rFont val="Albertus Medium"/>
        <family val="2"/>
      </rPr>
      <t xml:space="preserve"> * BUI_COL311 * BUI_COL4 / 1000000</t>
    </r>
  </si>
  <si>
    <r>
      <t>GHG_Wood</t>
    </r>
    <r>
      <rPr>
        <vertAlign val="subscript"/>
        <sz val="10"/>
        <color theme="1"/>
        <rFont val="Albertus Medium"/>
        <family val="2"/>
      </rPr>
      <t>a</t>
    </r>
    <r>
      <rPr>
        <sz val="10"/>
        <color theme="1"/>
        <rFont val="Albertus Medium"/>
        <family val="2"/>
      </rPr>
      <t xml:space="preserve"> = ARe</t>
    </r>
    <r>
      <rPr>
        <vertAlign val="subscript"/>
        <sz val="10"/>
        <color theme="1"/>
        <rFont val="Albertus Medium"/>
        <family val="2"/>
      </rPr>
      <t>a</t>
    </r>
    <r>
      <rPr>
        <sz val="10"/>
        <color theme="1"/>
        <rFont val="Albertus Medium"/>
        <family val="2"/>
      </rPr>
      <t xml:space="preserve"> * BUI_COL312 * BUI_COL5 / 1000000</t>
    </r>
  </si>
  <si>
    <r>
      <t>GHG_Renewable</t>
    </r>
    <r>
      <rPr>
        <vertAlign val="subscript"/>
        <sz val="10"/>
        <color theme="1"/>
        <rFont val="Albertus Medium"/>
        <family val="2"/>
      </rPr>
      <t>a</t>
    </r>
    <r>
      <rPr>
        <sz val="10"/>
        <color theme="1"/>
        <rFont val="Albertus Medium"/>
        <family val="2"/>
      </rPr>
      <t xml:space="preserve"> = ARe</t>
    </r>
    <r>
      <rPr>
        <vertAlign val="subscript"/>
        <sz val="10"/>
        <color theme="1"/>
        <rFont val="Albertus Medium"/>
        <family val="2"/>
      </rPr>
      <t>a</t>
    </r>
    <r>
      <rPr>
        <sz val="10"/>
        <color theme="1"/>
        <rFont val="Albertus Medium"/>
        <family val="2"/>
      </rPr>
      <t xml:space="preserve"> * BUI_COL313 * BUI_COL6 / 1000000</t>
    </r>
  </si>
  <si>
    <r>
      <t>GHG_Heat</t>
    </r>
    <r>
      <rPr>
        <vertAlign val="subscript"/>
        <sz val="10"/>
        <color theme="1"/>
        <rFont val="Albertus Medium"/>
        <family val="2"/>
      </rPr>
      <t>a</t>
    </r>
    <r>
      <rPr>
        <sz val="10"/>
        <color theme="1"/>
        <rFont val="Albertus Medium"/>
        <family val="2"/>
      </rPr>
      <t xml:space="preserve"> = ARe</t>
    </r>
    <r>
      <rPr>
        <vertAlign val="subscript"/>
        <sz val="10"/>
        <color theme="1"/>
        <rFont val="Albertus Medium"/>
        <family val="2"/>
      </rPr>
      <t>a</t>
    </r>
    <r>
      <rPr>
        <sz val="10"/>
        <color theme="1"/>
        <rFont val="Albertus Medium"/>
        <family val="2"/>
      </rPr>
      <t xml:space="preserve"> * BUI_COL314 * DISTRICT_HEATING_emission_factor</t>
    </r>
    <r>
      <rPr>
        <vertAlign val="subscript"/>
        <sz val="10"/>
        <color theme="1"/>
        <rFont val="Albertus Medium"/>
        <family val="2"/>
      </rPr>
      <t>a</t>
    </r>
    <r>
      <rPr>
        <sz val="10"/>
        <color theme="1"/>
        <rFont val="Albertus Medium"/>
        <family val="2"/>
      </rPr>
      <t xml:space="preserve"> (from row 5) / 1000000</t>
    </r>
  </si>
  <si>
    <r>
      <t>GHG_Gas</t>
    </r>
    <r>
      <rPr>
        <vertAlign val="subscript"/>
        <sz val="10"/>
        <color theme="1"/>
        <rFont val="Albertus Medium"/>
        <family val="2"/>
      </rPr>
      <t>a</t>
    </r>
    <r>
      <rPr>
        <sz val="10"/>
        <color theme="1"/>
        <rFont val="Albertus Medium"/>
        <family val="2"/>
      </rPr>
      <t xml:space="preserve"> = AHe</t>
    </r>
    <r>
      <rPr>
        <vertAlign val="subscript"/>
        <sz val="10"/>
        <color theme="1"/>
        <rFont val="Albertus Medium"/>
        <family val="2"/>
      </rPr>
      <t>a</t>
    </r>
    <r>
      <rPr>
        <sz val="10"/>
        <color theme="1"/>
        <rFont val="Albertus Medium"/>
        <family val="2"/>
      </rPr>
      <t xml:space="preserve"> * BUI_COL316 * BUI_COL1 / 1000000</t>
    </r>
  </si>
  <si>
    <r>
      <t>GHG_Oil</t>
    </r>
    <r>
      <rPr>
        <vertAlign val="subscript"/>
        <sz val="10"/>
        <color theme="1"/>
        <rFont val="Albertus Medium"/>
        <family val="2"/>
      </rPr>
      <t>a</t>
    </r>
    <r>
      <rPr>
        <sz val="10"/>
        <color theme="1"/>
        <rFont val="Albertus Medium"/>
        <family val="2"/>
      </rPr>
      <t xml:space="preserve"> = AHe</t>
    </r>
    <r>
      <rPr>
        <vertAlign val="subscript"/>
        <sz val="10"/>
        <color theme="1"/>
        <rFont val="Albertus Medium"/>
        <family val="2"/>
      </rPr>
      <t>a</t>
    </r>
    <r>
      <rPr>
        <sz val="10"/>
        <color theme="1"/>
        <rFont val="Albertus Medium"/>
        <family val="2"/>
      </rPr>
      <t xml:space="preserve"> * BUI_COL317 * BUI_COL2 / 1000000</t>
    </r>
  </si>
  <si>
    <r>
      <t>GHG_Coal</t>
    </r>
    <r>
      <rPr>
        <vertAlign val="subscript"/>
        <sz val="10"/>
        <color theme="1"/>
        <rFont val="Albertus Medium"/>
        <family val="2"/>
      </rPr>
      <t>a</t>
    </r>
    <r>
      <rPr>
        <sz val="10"/>
        <color theme="1"/>
        <rFont val="Albertus Medium"/>
        <family val="2"/>
      </rPr>
      <t xml:space="preserve"> = AHe</t>
    </r>
    <r>
      <rPr>
        <vertAlign val="subscript"/>
        <sz val="10"/>
        <color theme="1"/>
        <rFont val="Albertus Medium"/>
        <family val="2"/>
      </rPr>
      <t>a</t>
    </r>
    <r>
      <rPr>
        <sz val="10"/>
        <color theme="1"/>
        <rFont val="Albertus Medium"/>
        <family val="2"/>
      </rPr>
      <t xml:space="preserve"> * BUI_COL318 * BUI_COL3 / 1000000</t>
    </r>
  </si>
  <si>
    <r>
      <t>GHG_Peat</t>
    </r>
    <r>
      <rPr>
        <vertAlign val="subscript"/>
        <sz val="10"/>
        <color theme="1"/>
        <rFont val="Albertus Medium"/>
        <family val="2"/>
      </rPr>
      <t>a</t>
    </r>
    <r>
      <rPr>
        <sz val="10"/>
        <color theme="1"/>
        <rFont val="Albertus Medium"/>
        <family val="2"/>
      </rPr>
      <t xml:space="preserve"> = AHe</t>
    </r>
    <r>
      <rPr>
        <vertAlign val="subscript"/>
        <sz val="10"/>
        <color theme="1"/>
        <rFont val="Albertus Medium"/>
        <family val="2"/>
      </rPr>
      <t>a</t>
    </r>
    <r>
      <rPr>
        <sz val="10"/>
        <color theme="1"/>
        <rFont val="Albertus Medium"/>
        <family val="2"/>
      </rPr>
      <t xml:space="preserve"> * BUI_COL319 * BUI_COL4 / 1000000</t>
    </r>
  </si>
  <si>
    <r>
      <t>GHG_Wood</t>
    </r>
    <r>
      <rPr>
        <vertAlign val="subscript"/>
        <sz val="10"/>
        <color theme="1"/>
        <rFont val="Albertus Medium"/>
        <family val="2"/>
      </rPr>
      <t>a</t>
    </r>
    <r>
      <rPr>
        <sz val="10"/>
        <color theme="1"/>
        <rFont val="Albertus Medium"/>
        <family val="2"/>
      </rPr>
      <t xml:space="preserve"> = AHe</t>
    </r>
    <r>
      <rPr>
        <vertAlign val="subscript"/>
        <sz val="10"/>
        <color theme="1"/>
        <rFont val="Albertus Medium"/>
        <family val="2"/>
      </rPr>
      <t>a</t>
    </r>
    <r>
      <rPr>
        <sz val="10"/>
        <color theme="1"/>
        <rFont val="Albertus Medium"/>
        <family val="2"/>
      </rPr>
      <t xml:space="preserve"> * BUI_COL320 * BUI_COL5 / 1000000</t>
    </r>
  </si>
  <si>
    <r>
      <t>GHG_Renewable</t>
    </r>
    <r>
      <rPr>
        <vertAlign val="subscript"/>
        <sz val="10"/>
        <color theme="1"/>
        <rFont val="Albertus Medium"/>
        <family val="2"/>
      </rPr>
      <t>a</t>
    </r>
    <r>
      <rPr>
        <sz val="10"/>
        <color theme="1"/>
        <rFont val="Albertus Medium"/>
        <family val="2"/>
      </rPr>
      <t xml:space="preserve"> = AHe</t>
    </r>
    <r>
      <rPr>
        <vertAlign val="subscript"/>
        <sz val="10"/>
        <color theme="1"/>
        <rFont val="Albertus Medium"/>
        <family val="2"/>
      </rPr>
      <t>a</t>
    </r>
    <r>
      <rPr>
        <sz val="10"/>
        <color theme="1"/>
        <rFont val="Albertus Medium"/>
        <family val="2"/>
      </rPr>
      <t xml:space="preserve"> * BUI_COL321 * BUI_COL6 / 1000000</t>
    </r>
  </si>
  <si>
    <r>
      <t>GHG_Heat</t>
    </r>
    <r>
      <rPr>
        <vertAlign val="subscript"/>
        <sz val="10"/>
        <color theme="1"/>
        <rFont val="Albertus Medium"/>
        <family val="2"/>
      </rPr>
      <t>a</t>
    </r>
    <r>
      <rPr>
        <sz val="10"/>
        <color theme="1"/>
        <rFont val="Albertus Medium"/>
        <family val="2"/>
      </rPr>
      <t xml:space="preserve"> = AHe</t>
    </r>
    <r>
      <rPr>
        <vertAlign val="subscript"/>
        <sz val="10"/>
        <color theme="1"/>
        <rFont val="Albertus Medium"/>
        <family val="2"/>
      </rPr>
      <t>a</t>
    </r>
    <r>
      <rPr>
        <sz val="10"/>
        <color theme="1"/>
        <rFont val="Albertus Medium"/>
        <family val="2"/>
      </rPr>
      <t xml:space="preserve"> * BUI_COL322 * DISTRICT_HEATING_emission_factor</t>
    </r>
    <r>
      <rPr>
        <vertAlign val="subscript"/>
        <sz val="10"/>
        <color theme="1"/>
        <rFont val="Albertus Medium"/>
        <family val="2"/>
      </rPr>
      <t>a</t>
    </r>
    <r>
      <rPr>
        <sz val="10"/>
        <color theme="1"/>
        <rFont val="Albertus Medium"/>
        <family val="2"/>
      </rPr>
      <t xml:space="preserve"> (from row 5) / 1000000</t>
    </r>
  </si>
  <si>
    <r>
      <t>GHG_Gas</t>
    </r>
    <r>
      <rPr>
        <vertAlign val="subscript"/>
        <sz val="10"/>
        <color theme="1"/>
        <rFont val="Albertus Medium"/>
        <family val="2"/>
      </rPr>
      <t>a</t>
    </r>
    <r>
      <rPr>
        <sz val="10"/>
        <color theme="1"/>
        <rFont val="Albertus Medium"/>
        <family val="2"/>
      </rPr>
      <t xml:space="preserve"> = AHo</t>
    </r>
    <r>
      <rPr>
        <vertAlign val="subscript"/>
        <sz val="10"/>
        <color theme="1"/>
        <rFont val="Albertus Medium"/>
        <family val="2"/>
      </rPr>
      <t>a</t>
    </r>
    <r>
      <rPr>
        <sz val="10"/>
        <color theme="1"/>
        <rFont val="Albertus Medium"/>
        <family val="2"/>
      </rPr>
      <t xml:space="preserve"> * BUI_COL324 * BUI_COL1 / 1000000</t>
    </r>
  </si>
  <si>
    <r>
      <t>GHG_Oil</t>
    </r>
    <r>
      <rPr>
        <vertAlign val="subscript"/>
        <sz val="10"/>
        <color theme="1"/>
        <rFont val="Albertus Medium"/>
        <family val="2"/>
      </rPr>
      <t>a</t>
    </r>
    <r>
      <rPr>
        <sz val="10"/>
        <color theme="1"/>
        <rFont val="Albertus Medium"/>
        <family val="2"/>
      </rPr>
      <t xml:space="preserve"> = AHo</t>
    </r>
    <r>
      <rPr>
        <vertAlign val="subscript"/>
        <sz val="10"/>
        <color theme="1"/>
        <rFont val="Albertus Medium"/>
        <family val="2"/>
      </rPr>
      <t>a</t>
    </r>
    <r>
      <rPr>
        <sz val="10"/>
        <color theme="1"/>
        <rFont val="Albertus Medium"/>
        <family val="2"/>
      </rPr>
      <t xml:space="preserve"> * BUI_COL325 * BUI_COL2 / 1000000</t>
    </r>
  </si>
  <si>
    <r>
      <t>GHG_Coal</t>
    </r>
    <r>
      <rPr>
        <vertAlign val="subscript"/>
        <sz val="10"/>
        <color theme="1"/>
        <rFont val="Albertus Medium"/>
        <family val="2"/>
      </rPr>
      <t>a</t>
    </r>
    <r>
      <rPr>
        <sz val="10"/>
        <color theme="1"/>
        <rFont val="Albertus Medium"/>
        <family val="2"/>
      </rPr>
      <t xml:space="preserve"> = AHo</t>
    </r>
    <r>
      <rPr>
        <vertAlign val="subscript"/>
        <sz val="10"/>
        <color theme="1"/>
        <rFont val="Albertus Medium"/>
        <family val="2"/>
      </rPr>
      <t>a</t>
    </r>
    <r>
      <rPr>
        <sz val="10"/>
        <color theme="1"/>
        <rFont val="Albertus Medium"/>
        <family val="2"/>
      </rPr>
      <t xml:space="preserve"> * BUI_COL326 * BUI_COL3 / 1000000</t>
    </r>
  </si>
  <si>
    <r>
      <t>GHG_Peat</t>
    </r>
    <r>
      <rPr>
        <vertAlign val="subscript"/>
        <sz val="10"/>
        <color theme="1"/>
        <rFont val="Albertus Medium"/>
        <family val="2"/>
      </rPr>
      <t>a</t>
    </r>
    <r>
      <rPr>
        <sz val="10"/>
        <color theme="1"/>
        <rFont val="Albertus Medium"/>
        <family val="2"/>
      </rPr>
      <t xml:space="preserve"> = AHo</t>
    </r>
    <r>
      <rPr>
        <vertAlign val="subscript"/>
        <sz val="10"/>
        <color theme="1"/>
        <rFont val="Albertus Medium"/>
        <family val="2"/>
      </rPr>
      <t>a</t>
    </r>
    <r>
      <rPr>
        <sz val="10"/>
        <color theme="1"/>
        <rFont val="Albertus Medium"/>
        <family val="2"/>
      </rPr>
      <t xml:space="preserve"> * BUI_COL327 * BUI_COL4 / 1000000</t>
    </r>
  </si>
  <si>
    <r>
      <t>GHG_Wood</t>
    </r>
    <r>
      <rPr>
        <vertAlign val="subscript"/>
        <sz val="10"/>
        <color theme="1"/>
        <rFont val="Albertus Medium"/>
        <family val="2"/>
      </rPr>
      <t>a</t>
    </r>
    <r>
      <rPr>
        <sz val="10"/>
        <color theme="1"/>
        <rFont val="Albertus Medium"/>
        <family val="2"/>
      </rPr>
      <t xml:space="preserve"> = AHo</t>
    </r>
    <r>
      <rPr>
        <vertAlign val="subscript"/>
        <sz val="10"/>
        <color theme="1"/>
        <rFont val="Albertus Medium"/>
        <family val="2"/>
      </rPr>
      <t>a</t>
    </r>
    <r>
      <rPr>
        <sz val="10"/>
        <color theme="1"/>
        <rFont val="Albertus Medium"/>
        <family val="2"/>
      </rPr>
      <t xml:space="preserve"> * BUI_COL328 * BUI_COL5 / 1000000</t>
    </r>
  </si>
  <si>
    <r>
      <t>GHG_Renewable</t>
    </r>
    <r>
      <rPr>
        <vertAlign val="subscript"/>
        <sz val="10"/>
        <color theme="1"/>
        <rFont val="Albertus Medium"/>
        <family val="2"/>
      </rPr>
      <t>a</t>
    </r>
    <r>
      <rPr>
        <sz val="10"/>
        <color theme="1"/>
        <rFont val="Albertus Medium"/>
        <family val="2"/>
      </rPr>
      <t xml:space="preserve"> = AHo</t>
    </r>
    <r>
      <rPr>
        <vertAlign val="subscript"/>
        <sz val="10"/>
        <color theme="1"/>
        <rFont val="Albertus Medium"/>
        <family val="2"/>
      </rPr>
      <t>a</t>
    </r>
    <r>
      <rPr>
        <sz val="10"/>
        <color theme="1"/>
        <rFont val="Albertus Medium"/>
        <family val="2"/>
      </rPr>
      <t xml:space="preserve"> * BUI_COL329 * BUI_COL6 / 1000000</t>
    </r>
  </si>
  <si>
    <r>
      <t>GHG_Heat</t>
    </r>
    <r>
      <rPr>
        <vertAlign val="subscript"/>
        <sz val="10"/>
        <color theme="1"/>
        <rFont val="Albertus Medium"/>
        <family val="2"/>
      </rPr>
      <t>a</t>
    </r>
    <r>
      <rPr>
        <sz val="10"/>
        <color theme="1"/>
        <rFont val="Albertus Medium"/>
        <family val="2"/>
      </rPr>
      <t xml:space="preserve"> = AHo</t>
    </r>
    <r>
      <rPr>
        <vertAlign val="subscript"/>
        <sz val="10"/>
        <color theme="1"/>
        <rFont val="Albertus Medium"/>
        <family val="2"/>
      </rPr>
      <t>a</t>
    </r>
    <r>
      <rPr>
        <sz val="10"/>
        <color theme="1"/>
        <rFont val="Albertus Medium"/>
        <family val="2"/>
      </rPr>
      <t xml:space="preserve"> * BUI_COL330 * DISTRICT_HEATING_emission_factor</t>
    </r>
    <r>
      <rPr>
        <vertAlign val="subscript"/>
        <sz val="10"/>
        <color theme="1"/>
        <rFont val="Albertus Medium"/>
        <family val="2"/>
      </rPr>
      <t>a</t>
    </r>
    <r>
      <rPr>
        <sz val="10"/>
        <color theme="1"/>
        <rFont val="Albertus Medium"/>
        <family val="2"/>
      </rPr>
      <t xml:space="preserve"> (from row 5) / 1000000</t>
    </r>
  </si>
  <si>
    <r>
      <t>GHG_Gas</t>
    </r>
    <r>
      <rPr>
        <vertAlign val="subscript"/>
        <sz val="10"/>
        <color theme="1"/>
        <rFont val="Albertus Medium"/>
        <family val="2"/>
      </rPr>
      <t>a</t>
    </r>
    <r>
      <rPr>
        <sz val="10"/>
        <color theme="1"/>
        <rFont val="Albertus Medium"/>
        <family val="2"/>
      </rPr>
      <t xml:space="preserve"> = AOf</t>
    </r>
    <r>
      <rPr>
        <vertAlign val="subscript"/>
        <sz val="10"/>
        <color theme="1"/>
        <rFont val="Albertus Medium"/>
        <family val="2"/>
      </rPr>
      <t>a</t>
    </r>
    <r>
      <rPr>
        <sz val="10"/>
        <color theme="1"/>
        <rFont val="Albertus Medium"/>
        <family val="2"/>
      </rPr>
      <t xml:space="preserve"> * BUI_COL332 * BUI_COL1 / 1000000</t>
    </r>
  </si>
  <si>
    <r>
      <t>GHG_Oil</t>
    </r>
    <r>
      <rPr>
        <vertAlign val="subscript"/>
        <sz val="10"/>
        <color theme="1"/>
        <rFont val="Albertus Medium"/>
        <family val="2"/>
      </rPr>
      <t>a</t>
    </r>
    <r>
      <rPr>
        <sz val="10"/>
        <color theme="1"/>
        <rFont val="Albertus Medium"/>
        <family val="2"/>
      </rPr>
      <t xml:space="preserve"> = AOf</t>
    </r>
    <r>
      <rPr>
        <vertAlign val="subscript"/>
        <sz val="10"/>
        <color theme="1"/>
        <rFont val="Albertus Medium"/>
        <family val="2"/>
      </rPr>
      <t>a</t>
    </r>
    <r>
      <rPr>
        <sz val="10"/>
        <color theme="1"/>
        <rFont val="Albertus Medium"/>
        <family val="2"/>
      </rPr>
      <t xml:space="preserve"> * BUI_COL333 * BUI_COL2 / 1000000</t>
    </r>
  </si>
  <si>
    <r>
      <t>GHG_Coal</t>
    </r>
    <r>
      <rPr>
        <vertAlign val="subscript"/>
        <sz val="10"/>
        <color theme="1"/>
        <rFont val="Albertus Medium"/>
        <family val="2"/>
      </rPr>
      <t>a</t>
    </r>
    <r>
      <rPr>
        <sz val="10"/>
        <color theme="1"/>
        <rFont val="Albertus Medium"/>
        <family val="2"/>
      </rPr>
      <t xml:space="preserve"> = AOf</t>
    </r>
    <r>
      <rPr>
        <vertAlign val="subscript"/>
        <sz val="10"/>
        <color theme="1"/>
        <rFont val="Albertus Medium"/>
        <family val="2"/>
      </rPr>
      <t>a</t>
    </r>
    <r>
      <rPr>
        <sz val="10"/>
        <color theme="1"/>
        <rFont val="Albertus Medium"/>
        <family val="2"/>
      </rPr>
      <t xml:space="preserve"> * BUI_COL334 * BUI_COL3 / 1000000</t>
    </r>
  </si>
  <si>
    <r>
      <t>GHG_Peat</t>
    </r>
    <r>
      <rPr>
        <vertAlign val="subscript"/>
        <sz val="10"/>
        <color theme="1"/>
        <rFont val="Albertus Medium"/>
        <family val="2"/>
      </rPr>
      <t>a</t>
    </r>
    <r>
      <rPr>
        <sz val="10"/>
        <color theme="1"/>
        <rFont val="Albertus Medium"/>
        <family val="2"/>
      </rPr>
      <t xml:space="preserve"> = AOf</t>
    </r>
    <r>
      <rPr>
        <vertAlign val="subscript"/>
        <sz val="10"/>
        <color theme="1"/>
        <rFont val="Albertus Medium"/>
        <family val="2"/>
      </rPr>
      <t>a</t>
    </r>
    <r>
      <rPr>
        <sz val="10"/>
        <color theme="1"/>
        <rFont val="Albertus Medium"/>
        <family val="2"/>
      </rPr>
      <t xml:space="preserve"> * BUI_COL335 * BUI_COL4 / 1000000</t>
    </r>
  </si>
  <si>
    <r>
      <t>GHG_Wood</t>
    </r>
    <r>
      <rPr>
        <vertAlign val="subscript"/>
        <sz val="10"/>
        <color theme="1"/>
        <rFont val="Albertus Medium"/>
        <family val="2"/>
      </rPr>
      <t>a</t>
    </r>
    <r>
      <rPr>
        <sz val="10"/>
        <color theme="1"/>
        <rFont val="Albertus Medium"/>
        <family val="2"/>
      </rPr>
      <t xml:space="preserve"> = AOf</t>
    </r>
    <r>
      <rPr>
        <vertAlign val="subscript"/>
        <sz val="10"/>
        <color theme="1"/>
        <rFont val="Albertus Medium"/>
        <family val="2"/>
      </rPr>
      <t>a</t>
    </r>
    <r>
      <rPr>
        <sz val="10"/>
        <color theme="1"/>
        <rFont val="Albertus Medium"/>
        <family val="2"/>
      </rPr>
      <t xml:space="preserve"> * BUI_COL336 * BUI_COL5 / 1000000</t>
    </r>
  </si>
  <si>
    <r>
      <t>GHG_Renewable</t>
    </r>
    <r>
      <rPr>
        <vertAlign val="subscript"/>
        <sz val="10"/>
        <color theme="1"/>
        <rFont val="Albertus Medium"/>
        <family val="2"/>
      </rPr>
      <t>a</t>
    </r>
    <r>
      <rPr>
        <sz val="10"/>
        <color theme="1"/>
        <rFont val="Albertus Medium"/>
        <family val="2"/>
      </rPr>
      <t xml:space="preserve"> = AOf</t>
    </r>
    <r>
      <rPr>
        <vertAlign val="subscript"/>
        <sz val="10"/>
        <color theme="1"/>
        <rFont val="Albertus Medium"/>
        <family val="2"/>
      </rPr>
      <t>a</t>
    </r>
    <r>
      <rPr>
        <sz val="10"/>
        <color theme="1"/>
        <rFont val="Albertus Medium"/>
        <family val="2"/>
      </rPr>
      <t xml:space="preserve"> * BUI_COL337 * BUI_COL6 / 1000000</t>
    </r>
  </si>
  <si>
    <r>
      <t>GHG_Heat</t>
    </r>
    <r>
      <rPr>
        <vertAlign val="subscript"/>
        <sz val="10"/>
        <color theme="1"/>
        <rFont val="Albertus Medium"/>
        <family val="2"/>
      </rPr>
      <t>a</t>
    </r>
    <r>
      <rPr>
        <sz val="10"/>
        <color theme="1"/>
        <rFont val="Albertus Medium"/>
        <family val="2"/>
      </rPr>
      <t xml:space="preserve"> = AOf</t>
    </r>
    <r>
      <rPr>
        <vertAlign val="subscript"/>
        <sz val="10"/>
        <color theme="1"/>
        <rFont val="Albertus Medium"/>
        <family val="2"/>
      </rPr>
      <t>a</t>
    </r>
    <r>
      <rPr>
        <sz val="10"/>
        <color theme="1"/>
        <rFont val="Albertus Medium"/>
        <family val="2"/>
      </rPr>
      <t xml:space="preserve"> * BUI_COL338 * DISTRICT_HEATING_emission_factor</t>
    </r>
    <r>
      <rPr>
        <vertAlign val="subscript"/>
        <sz val="10"/>
        <color theme="1"/>
        <rFont val="Albertus Medium"/>
        <family val="2"/>
      </rPr>
      <t>a</t>
    </r>
    <r>
      <rPr>
        <sz val="10"/>
        <color theme="1"/>
        <rFont val="Albertus Medium"/>
        <family val="2"/>
      </rPr>
      <t xml:space="preserve"> (from row 5) / 1000000</t>
    </r>
  </si>
  <si>
    <r>
      <t>GHG_Gas</t>
    </r>
    <r>
      <rPr>
        <vertAlign val="subscript"/>
        <sz val="10"/>
        <color theme="1"/>
        <rFont val="Albertus Medium"/>
        <family val="2"/>
      </rPr>
      <t>a</t>
    </r>
    <r>
      <rPr>
        <sz val="10"/>
        <color theme="1"/>
        <rFont val="Albertus Medium"/>
        <family val="2"/>
      </rPr>
      <t xml:space="preserve"> = AIn</t>
    </r>
    <r>
      <rPr>
        <vertAlign val="subscript"/>
        <sz val="10"/>
        <color theme="1"/>
        <rFont val="Albertus Medium"/>
        <family val="2"/>
      </rPr>
      <t>a</t>
    </r>
    <r>
      <rPr>
        <sz val="10"/>
        <color theme="1"/>
        <rFont val="Albertus Medium"/>
        <family val="2"/>
      </rPr>
      <t xml:space="preserve"> * BUI_COL340 * BUI_COL1 / 1000000</t>
    </r>
  </si>
  <si>
    <r>
      <t>GHG_Oil</t>
    </r>
    <r>
      <rPr>
        <vertAlign val="subscript"/>
        <sz val="10"/>
        <color theme="1"/>
        <rFont val="Albertus Medium"/>
        <family val="2"/>
      </rPr>
      <t>a</t>
    </r>
    <r>
      <rPr>
        <sz val="10"/>
        <color theme="1"/>
        <rFont val="Albertus Medium"/>
        <family val="2"/>
      </rPr>
      <t xml:space="preserve"> = AIn</t>
    </r>
    <r>
      <rPr>
        <vertAlign val="subscript"/>
        <sz val="10"/>
        <color theme="1"/>
        <rFont val="Albertus Medium"/>
        <family val="2"/>
      </rPr>
      <t>a</t>
    </r>
    <r>
      <rPr>
        <sz val="10"/>
        <color theme="1"/>
        <rFont val="Albertus Medium"/>
        <family val="2"/>
      </rPr>
      <t xml:space="preserve"> * BUI_COL341 * BUI_COL2 / 1000000</t>
    </r>
  </si>
  <si>
    <r>
      <t>GHG_Coal</t>
    </r>
    <r>
      <rPr>
        <vertAlign val="subscript"/>
        <sz val="10"/>
        <color theme="1"/>
        <rFont val="Albertus Medium"/>
        <family val="2"/>
      </rPr>
      <t>a</t>
    </r>
    <r>
      <rPr>
        <sz val="10"/>
        <color theme="1"/>
        <rFont val="Albertus Medium"/>
        <family val="2"/>
      </rPr>
      <t xml:space="preserve"> = AIn</t>
    </r>
    <r>
      <rPr>
        <vertAlign val="subscript"/>
        <sz val="10"/>
        <color theme="1"/>
        <rFont val="Albertus Medium"/>
        <family val="2"/>
      </rPr>
      <t>a</t>
    </r>
    <r>
      <rPr>
        <sz val="10"/>
        <color theme="1"/>
        <rFont val="Albertus Medium"/>
        <family val="2"/>
      </rPr>
      <t xml:space="preserve"> * BUI_COL342 * BUI_COL3 / 1000000</t>
    </r>
  </si>
  <si>
    <r>
      <t>GHG_Peat</t>
    </r>
    <r>
      <rPr>
        <vertAlign val="subscript"/>
        <sz val="10"/>
        <color theme="1"/>
        <rFont val="Albertus Medium"/>
        <family val="2"/>
      </rPr>
      <t xml:space="preserve">a </t>
    </r>
    <r>
      <rPr>
        <sz val="10"/>
        <color theme="1"/>
        <rFont val="Albertus Medium"/>
        <family val="2"/>
      </rPr>
      <t>= AIn</t>
    </r>
    <r>
      <rPr>
        <vertAlign val="subscript"/>
        <sz val="10"/>
        <color theme="1"/>
        <rFont val="Albertus Medium"/>
        <family val="2"/>
      </rPr>
      <t>a</t>
    </r>
    <r>
      <rPr>
        <sz val="10"/>
        <color theme="1"/>
        <rFont val="Albertus Medium"/>
        <family val="2"/>
      </rPr>
      <t xml:space="preserve"> * BUI_COL343 * BUI_COL4 / 1000000</t>
    </r>
  </si>
  <si>
    <r>
      <t>GHG_Wood</t>
    </r>
    <r>
      <rPr>
        <vertAlign val="subscript"/>
        <sz val="10"/>
        <color theme="1"/>
        <rFont val="Albertus Medium"/>
        <family val="2"/>
      </rPr>
      <t>a</t>
    </r>
    <r>
      <rPr>
        <sz val="10"/>
        <color theme="1"/>
        <rFont val="Albertus Medium"/>
        <family val="2"/>
      </rPr>
      <t xml:space="preserve"> = AIn</t>
    </r>
    <r>
      <rPr>
        <vertAlign val="subscript"/>
        <sz val="10"/>
        <color theme="1"/>
        <rFont val="Albertus Medium"/>
        <family val="2"/>
      </rPr>
      <t>a</t>
    </r>
    <r>
      <rPr>
        <sz val="10"/>
        <color theme="1"/>
        <rFont val="Albertus Medium"/>
        <family val="2"/>
      </rPr>
      <t xml:space="preserve"> * BUI_COL344 * BUI_COL5 / 1000000</t>
    </r>
  </si>
  <si>
    <r>
      <t>GHG_Renewable</t>
    </r>
    <r>
      <rPr>
        <vertAlign val="subscript"/>
        <sz val="10"/>
        <color theme="1"/>
        <rFont val="Albertus Medium"/>
        <family val="2"/>
      </rPr>
      <t>a</t>
    </r>
    <r>
      <rPr>
        <sz val="10"/>
        <color theme="1"/>
        <rFont val="Albertus Medium"/>
        <family val="2"/>
      </rPr>
      <t xml:space="preserve"> = AIn</t>
    </r>
    <r>
      <rPr>
        <vertAlign val="subscript"/>
        <sz val="10"/>
        <color theme="1"/>
        <rFont val="Albertus Medium"/>
        <family val="2"/>
      </rPr>
      <t>a</t>
    </r>
    <r>
      <rPr>
        <sz val="10"/>
        <color theme="1"/>
        <rFont val="Albertus Medium"/>
        <family val="2"/>
      </rPr>
      <t xml:space="preserve"> * BUI_COL345 * BUI_COL6 / 1000000</t>
    </r>
  </si>
  <si>
    <r>
      <t>GHG_Heat</t>
    </r>
    <r>
      <rPr>
        <vertAlign val="subscript"/>
        <sz val="10"/>
        <color theme="1"/>
        <rFont val="Albertus Medium"/>
        <family val="2"/>
      </rPr>
      <t>a</t>
    </r>
    <r>
      <rPr>
        <sz val="10"/>
        <color theme="1"/>
        <rFont val="Albertus Medium"/>
        <family val="2"/>
      </rPr>
      <t xml:space="preserve"> = AIn</t>
    </r>
    <r>
      <rPr>
        <vertAlign val="subscript"/>
        <sz val="10"/>
        <color theme="1"/>
        <rFont val="Albertus Medium"/>
        <family val="2"/>
      </rPr>
      <t xml:space="preserve">a </t>
    </r>
    <r>
      <rPr>
        <sz val="10"/>
        <color theme="1"/>
        <rFont val="Albertus Medium"/>
        <family val="2"/>
      </rPr>
      <t>* BUI_COL346 * DISTRICT_HEATING_emission_factor</t>
    </r>
    <r>
      <rPr>
        <vertAlign val="subscript"/>
        <sz val="10"/>
        <color theme="1"/>
        <rFont val="Albertus Medium"/>
        <family val="2"/>
      </rPr>
      <t>a</t>
    </r>
    <r>
      <rPr>
        <sz val="10"/>
        <color theme="1"/>
        <rFont val="Albertus Medium"/>
        <family val="2"/>
      </rPr>
      <t xml:space="preserve"> (from row 5) / 1000000</t>
    </r>
  </si>
  <si>
    <r>
      <t>GHG_Gas</t>
    </r>
    <r>
      <rPr>
        <vertAlign val="subscript"/>
        <sz val="10"/>
        <color theme="1"/>
        <rFont val="Albertus Medium"/>
        <family val="2"/>
      </rPr>
      <t>a</t>
    </r>
    <r>
      <rPr>
        <sz val="10"/>
        <color theme="1"/>
        <rFont val="Albertus Medium"/>
        <family val="2"/>
      </rPr>
      <t xml:space="preserve"> = AWa</t>
    </r>
    <r>
      <rPr>
        <vertAlign val="subscript"/>
        <sz val="10"/>
        <color theme="1"/>
        <rFont val="Albertus Medium"/>
        <family val="2"/>
      </rPr>
      <t>a</t>
    </r>
    <r>
      <rPr>
        <sz val="10"/>
        <color theme="1"/>
        <rFont val="Albertus Medium"/>
        <family val="2"/>
      </rPr>
      <t xml:space="preserve"> * BUI_COL348 * BUI_COL1 / 1000000</t>
    </r>
  </si>
  <si>
    <r>
      <t>GHG_Oil</t>
    </r>
    <r>
      <rPr>
        <vertAlign val="subscript"/>
        <sz val="10"/>
        <color theme="1"/>
        <rFont val="Albertus Medium"/>
        <family val="2"/>
      </rPr>
      <t>a</t>
    </r>
    <r>
      <rPr>
        <sz val="10"/>
        <color theme="1"/>
        <rFont val="Albertus Medium"/>
        <family val="2"/>
      </rPr>
      <t xml:space="preserve"> = AWa</t>
    </r>
    <r>
      <rPr>
        <vertAlign val="subscript"/>
        <sz val="10"/>
        <color theme="1"/>
        <rFont val="Albertus Medium"/>
        <family val="2"/>
      </rPr>
      <t>a</t>
    </r>
    <r>
      <rPr>
        <sz val="10"/>
        <color theme="1"/>
        <rFont val="Albertus Medium"/>
        <family val="2"/>
      </rPr>
      <t xml:space="preserve"> * BUI_COL349 * BUI_COL2 / 1000000</t>
    </r>
  </si>
  <si>
    <r>
      <t>GHG_Coal</t>
    </r>
    <r>
      <rPr>
        <vertAlign val="subscript"/>
        <sz val="10"/>
        <color theme="1"/>
        <rFont val="Albertus Medium"/>
        <family val="2"/>
      </rPr>
      <t>a</t>
    </r>
    <r>
      <rPr>
        <sz val="10"/>
        <color theme="1"/>
        <rFont val="Albertus Medium"/>
        <family val="2"/>
      </rPr>
      <t xml:space="preserve"> = AWa</t>
    </r>
    <r>
      <rPr>
        <vertAlign val="subscript"/>
        <sz val="10"/>
        <color theme="1"/>
        <rFont val="Albertus Medium"/>
        <family val="2"/>
      </rPr>
      <t>a</t>
    </r>
    <r>
      <rPr>
        <sz val="10"/>
        <color theme="1"/>
        <rFont val="Albertus Medium"/>
        <family val="2"/>
      </rPr>
      <t xml:space="preserve"> * BUI_COL350 * BUI_COL3 / 1000000</t>
    </r>
  </si>
  <si>
    <r>
      <t>GHG_Peat</t>
    </r>
    <r>
      <rPr>
        <vertAlign val="subscript"/>
        <sz val="10"/>
        <color theme="1"/>
        <rFont val="Albertus Medium"/>
        <family val="2"/>
      </rPr>
      <t>a</t>
    </r>
    <r>
      <rPr>
        <sz val="10"/>
        <color theme="1"/>
        <rFont val="Albertus Medium"/>
        <family val="2"/>
      </rPr>
      <t xml:space="preserve"> = AWa</t>
    </r>
    <r>
      <rPr>
        <vertAlign val="subscript"/>
        <sz val="10"/>
        <color theme="1"/>
        <rFont val="Albertus Medium"/>
        <family val="2"/>
      </rPr>
      <t>a</t>
    </r>
    <r>
      <rPr>
        <sz val="10"/>
        <color theme="1"/>
        <rFont val="Albertus Medium"/>
        <family val="2"/>
      </rPr>
      <t xml:space="preserve"> * BUI_COL351 * BUI_COL4 / 1000000</t>
    </r>
  </si>
  <si>
    <r>
      <t>GHG_Wood</t>
    </r>
    <r>
      <rPr>
        <vertAlign val="subscript"/>
        <sz val="10"/>
        <color theme="1"/>
        <rFont val="Albertus Medium"/>
        <family val="2"/>
      </rPr>
      <t>a</t>
    </r>
    <r>
      <rPr>
        <sz val="10"/>
        <color theme="1"/>
        <rFont val="Albertus Medium"/>
        <family val="2"/>
      </rPr>
      <t xml:space="preserve"> = AWa</t>
    </r>
    <r>
      <rPr>
        <vertAlign val="subscript"/>
        <sz val="10"/>
        <color theme="1"/>
        <rFont val="Albertus Medium"/>
        <family val="2"/>
      </rPr>
      <t>a</t>
    </r>
    <r>
      <rPr>
        <sz val="10"/>
        <color theme="1"/>
        <rFont val="Albertus Medium"/>
        <family val="2"/>
      </rPr>
      <t xml:space="preserve"> * BUI_COL352 * BUI_COL5 / 1000000</t>
    </r>
  </si>
  <si>
    <r>
      <t>GHG_Renewable</t>
    </r>
    <r>
      <rPr>
        <vertAlign val="subscript"/>
        <sz val="10"/>
        <color theme="1"/>
        <rFont val="Albertus Medium"/>
        <family val="2"/>
      </rPr>
      <t>a</t>
    </r>
    <r>
      <rPr>
        <sz val="10"/>
        <color theme="1"/>
        <rFont val="Albertus Medium"/>
        <family val="2"/>
      </rPr>
      <t xml:space="preserve"> = AWa</t>
    </r>
    <r>
      <rPr>
        <vertAlign val="subscript"/>
        <sz val="10"/>
        <color theme="1"/>
        <rFont val="Albertus Medium"/>
        <family val="2"/>
      </rPr>
      <t>a</t>
    </r>
    <r>
      <rPr>
        <sz val="10"/>
        <color theme="1"/>
        <rFont val="Albertus Medium"/>
        <family val="2"/>
      </rPr>
      <t xml:space="preserve"> * BUI_COL353 * BUI_COL6 / 1000000</t>
    </r>
  </si>
  <si>
    <r>
      <t>GHG_Heat</t>
    </r>
    <r>
      <rPr>
        <vertAlign val="subscript"/>
        <sz val="10"/>
        <color theme="1"/>
        <rFont val="Albertus Medium"/>
        <family val="2"/>
      </rPr>
      <t>a</t>
    </r>
    <r>
      <rPr>
        <sz val="10"/>
        <color theme="1"/>
        <rFont val="Albertus Medium"/>
        <family val="2"/>
      </rPr>
      <t xml:space="preserve"> = AWa</t>
    </r>
    <r>
      <rPr>
        <vertAlign val="subscript"/>
        <sz val="10"/>
        <color theme="1"/>
        <rFont val="Albertus Medium"/>
        <family val="2"/>
      </rPr>
      <t>a</t>
    </r>
    <r>
      <rPr>
        <sz val="10"/>
        <color theme="1"/>
        <rFont val="Albertus Medium"/>
        <family val="2"/>
      </rPr>
      <t xml:space="preserve"> * BUI_COL354 * DISTRICT_HEATING_emission_factor</t>
    </r>
    <r>
      <rPr>
        <vertAlign val="subscript"/>
        <sz val="10"/>
        <color theme="1"/>
        <rFont val="Albertus Medium"/>
        <family val="2"/>
      </rPr>
      <t>a</t>
    </r>
    <r>
      <rPr>
        <sz val="10"/>
        <color theme="1"/>
        <rFont val="Albertus Medium"/>
        <family val="2"/>
      </rPr>
      <t xml:space="preserve"> (from row 5) / 1000000</t>
    </r>
  </si>
  <si>
    <t>GRID_ELECTRICITY_emission_factora (from row 4)</t>
  </si>
  <si>
    <r>
      <t>GHG_Electricity</t>
    </r>
    <r>
      <rPr>
        <vertAlign val="subscript"/>
        <sz val="10"/>
        <color theme="1"/>
        <rFont val="Albertus Medium"/>
        <family val="2"/>
      </rPr>
      <t>a</t>
    </r>
    <r>
      <rPr>
        <sz val="10"/>
        <color theme="1"/>
        <rFont val="Albertus Medium"/>
        <family val="2"/>
      </rPr>
      <t xml:space="preserve"> = ARe</t>
    </r>
    <r>
      <rPr>
        <vertAlign val="subscript"/>
        <sz val="10"/>
        <color theme="1"/>
        <rFont val="Albertus Medium"/>
        <family val="2"/>
      </rPr>
      <t>a</t>
    </r>
    <r>
      <rPr>
        <sz val="10"/>
        <color theme="1"/>
        <rFont val="Albertus Medium"/>
        <family val="2"/>
      </rPr>
      <t xml:space="preserve"> * BUI_COL307 * GRID_ELECTRICITY_emission_factor</t>
    </r>
    <r>
      <rPr>
        <vertAlign val="subscript"/>
        <sz val="10"/>
        <color theme="1"/>
        <rFont val="Albertus Medium"/>
        <family val="2"/>
      </rPr>
      <t>a</t>
    </r>
    <r>
      <rPr>
        <sz val="10"/>
        <color theme="1"/>
        <rFont val="Albertus Medium"/>
        <family val="2"/>
      </rPr>
      <t xml:space="preserve"> (from row 4) / 1000000</t>
    </r>
  </si>
  <si>
    <r>
      <t>GHG_Electricity</t>
    </r>
    <r>
      <rPr>
        <vertAlign val="subscript"/>
        <sz val="10"/>
        <color theme="1"/>
        <rFont val="Albertus Medium"/>
        <family val="2"/>
      </rPr>
      <t>a</t>
    </r>
    <r>
      <rPr>
        <sz val="10"/>
        <color theme="1"/>
        <rFont val="Albertus Medium"/>
        <family val="2"/>
      </rPr>
      <t xml:space="preserve"> = AHe</t>
    </r>
    <r>
      <rPr>
        <vertAlign val="subscript"/>
        <sz val="10"/>
        <color theme="1"/>
        <rFont val="Albertus Medium"/>
        <family val="2"/>
      </rPr>
      <t>a</t>
    </r>
    <r>
      <rPr>
        <sz val="10"/>
        <color theme="1"/>
        <rFont val="Albertus Medium"/>
        <family val="2"/>
      </rPr>
      <t xml:space="preserve"> * BUI_COL315 * GRID_ELECTRICITY_emission_factor</t>
    </r>
    <r>
      <rPr>
        <vertAlign val="subscript"/>
        <sz val="10"/>
        <color theme="1"/>
        <rFont val="Albertus Medium"/>
        <family val="2"/>
      </rPr>
      <t>a</t>
    </r>
    <r>
      <rPr>
        <sz val="10"/>
        <color theme="1"/>
        <rFont val="Albertus Medium"/>
        <family val="2"/>
      </rPr>
      <t xml:space="preserve"> (from row 4) / 1000000</t>
    </r>
  </si>
  <si>
    <r>
      <t>GHG_Electricity</t>
    </r>
    <r>
      <rPr>
        <vertAlign val="subscript"/>
        <sz val="10"/>
        <color theme="1"/>
        <rFont val="Albertus Medium"/>
        <family val="2"/>
      </rPr>
      <t>a</t>
    </r>
    <r>
      <rPr>
        <sz val="10"/>
        <color theme="1"/>
        <rFont val="Albertus Medium"/>
        <family val="2"/>
      </rPr>
      <t xml:space="preserve"> = AHo</t>
    </r>
    <r>
      <rPr>
        <vertAlign val="subscript"/>
        <sz val="10"/>
        <color theme="1"/>
        <rFont val="Albertus Medium"/>
        <family val="2"/>
      </rPr>
      <t>a</t>
    </r>
    <r>
      <rPr>
        <sz val="10"/>
        <color theme="1"/>
        <rFont val="Albertus Medium"/>
        <family val="2"/>
      </rPr>
      <t xml:space="preserve"> * BUI_COL323 * GRID_ELECTRICITY_emission_factor</t>
    </r>
    <r>
      <rPr>
        <vertAlign val="subscript"/>
        <sz val="10"/>
        <color theme="1"/>
        <rFont val="Albertus Medium"/>
        <family val="2"/>
      </rPr>
      <t>a</t>
    </r>
    <r>
      <rPr>
        <sz val="10"/>
        <color theme="1"/>
        <rFont val="Albertus Medium"/>
        <family val="2"/>
      </rPr>
      <t xml:space="preserve"> (from row 4) / 1000000</t>
    </r>
  </si>
  <si>
    <r>
      <t>GHG_Electricity</t>
    </r>
    <r>
      <rPr>
        <vertAlign val="subscript"/>
        <sz val="10"/>
        <color theme="1"/>
        <rFont val="Albertus Medium"/>
        <family val="2"/>
      </rPr>
      <t>a</t>
    </r>
    <r>
      <rPr>
        <sz val="10"/>
        <color theme="1"/>
        <rFont val="Albertus Medium"/>
        <family val="2"/>
      </rPr>
      <t xml:space="preserve"> = AOf</t>
    </r>
    <r>
      <rPr>
        <vertAlign val="subscript"/>
        <sz val="10"/>
        <color theme="1"/>
        <rFont val="Albertus Medium"/>
        <family val="2"/>
      </rPr>
      <t>a</t>
    </r>
    <r>
      <rPr>
        <sz val="10"/>
        <color theme="1"/>
        <rFont val="Albertus Medium"/>
        <family val="2"/>
      </rPr>
      <t xml:space="preserve"> * BUI_COL331 * GRID_ELECTRICITY_emission_factor</t>
    </r>
    <r>
      <rPr>
        <vertAlign val="subscript"/>
        <sz val="10"/>
        <color theme="1"/>
        <rFont val="Albertus Medium"/>
        <family val="2"/>
      </rPr>
      <t>a</t>
    </r>
    <r>
      <rPr>
        <sz val="10"/>
        <color theme="1"/>
        <rFont val="Albertus Medium"/>
        <family val="2"/>
      </rPr>
      <t xml:space="preserve"> (from row 4) / 1000000</t>
    </r>
  </si>
  <si>
    <r>
      <t>GHG_Electricity</t>
    </r>
    <r>
      <rPr>
        <vertAlign val="subscript"/>
        <sz val="10"/>
        <color theme="1"/>
        <rFont val="Albertus Medium"/>
        <family val="2"/>
      </rPr>
      <t>a</t>
    </r>
    <r>
      <rPr>
        <sz val="10"/>
        <color theme="1"/>
        <rFont val="Albertus Medium"/>
        <family val="2"/>
      </rPr>
      <t xml:space="preserve"> = AIn</t>
    </r>
    <r>
      <rPr>
        <vertAlign val="subscript"/>
        <sz val="10"/>
        <color theme="1"/>
        <rFont val="Albertus Medium"/>
        <family val="2"/>
      </rPr>
      <t>a</t>
    </r>
    <r>
      <rPr>
        <sz val="10"/>
        <color theme="1"/>
        <rFont val="Albertus Medium"/>
        <family val="2"/>
      </rPr>
      <t xml:space="preserve"> * BUI_COL339 * GRID_ELECTRICITY_emission_factor</t>
    </r>
    <r>
      <rPr>
        <vertAlign val="subscript"/>
        <sz val="10"/>
        <color theme="1"/>
        <rFont val="Albertus Medium"/>
        <family val="2"/>
      </rPr>
      <t>a</t>
    </r>
    <r>
      <rPr>
        <sz val="10"/>
        <color theme="1"/>
        <rFont val="Albertus Medium"/>
        <family val="2"/>
      </rPr>
      <t xml:space="preserve"> (from row 4) / 1000000</t>
    </r>
  </si>
  <si>
    <r>
      <t>GHG_Electricity</t>
    </r>
    <r>
      <rPr>
        <vertAlign val="subscript"/>
        <sz val="10"/>
        <color theme="1"/>
        <rFont val="Albertus Medium"/>
        <family val="2"/>
      </rPr>
      <t>a</t>
    </r>
    <r>
      <rPr>
        <sz val="10"/>
        <color theme="1"/>
        <rFont val="Albertus Medium"/>
        <family val="2"/>
      </rPr>
      <t xml:space="preserve"> = AWa</t>
    </r>
    <r>
      <rPr>
        <vertAlign val="subscript"/>
        <sz val="10"/>
        <color theme="1"/>
        <rFont val="Albertus Medium"/>
        <family val="2"/>
      </rPr>
      <t>a</t>
    </r>
    <r>
      <rPr>
        <sz val="10"/>
        <color theme="1"/>
        <rFont val="Albertus Medium"/>
        <family val="2"/>
      </rPr>
      <t xml:space="preserve"> * BUI_COL347 * GRID_ELECTRICITY_emission_factor</t>
    </r>
    <r>
      <rPr>
        <vertAlign val="subscript"/>
        <sz val="10"/>
        <color theme="1"/>
        <rFont val="Albertus Medium"/>
        <family val="2"/>
      </rPr>
      <t>a</t>
    </r>
    <r>
      <rPr>
        <sz val="10"/>
        <color theme="1"/>
        <rFont val="Albertus Medium"/>
        <family val="2"/>
      </rPr>
      <t xml:space="preserve"> (from row 4) / 1000000</t>
    </r>
  </si>
  <si>
    <t>demolition rate comes from the database: 2021-30 BUI_COL11; 2031-40 BUI_COL12; 2041-50 BUI_COL13 (same rate for all commercial buildings)</t>
  </si>
  <si>
    <t>increase rate comes from the database: 2021-30 BUI_COL38; 2031-40 BUI_COL39; 2041-50 BUI_COL40 (same rate for all commercial buildings)</t>
  </si>
  <si>
    <r>
      <t>AHe</t>
    </r>
    <r>
      <rPr>
        <vertAlign val="subscript"/>
        <sz val="11"/>
        <color theme="1"/>
        <rFont val="Albertus Medium"/>
        <family val="2"/>
      </rPr>
      <t xml:space="preserve">a </t>
    </r>
    <r>
      <rPr>
        <sz val="11"/>
        <color theme="1"/>
        <rFont val="Albertus Medium"/>
        <family val="2"/>
      </rPr>
      <t>= floor area from the previous table</t>
    </r>
  </si>
  <si>
    <t>LAND USE CHANGE - RESULTS</t>
  </si>
  <si>
    <r>
      <t>tnCO</t>
    </r>
    <r>
      <rPr>
        <vertAlign val="subscript"/>
        <sz val="10"/>
        <color theme="1"/>
        <rFont val="Arial Unicode MS"/>
        <family val="2"/>
        <charset val="186"/>
      </rPr>
      <t>2</t>
    </r>
    <r>
      <rPr>
        <sz val="10"/>
        <color theme="1"/>
        <rFont val="Arial Unicode MS"/>
        <family val="2"/>
        <charset val="186"/>
      </rPr>
      <t xml:space="preserve"> /resident, a</t>
    </r>
  </si>
  <si>
    <r>
      <t>The first table calculates the number of existing apartment units (nraX</t>
    </r>
    <r>
      <rPr>
        <b/>
        <vertAlign val="subscript"/>
        <sz val="10"/>
        <color theme="1"/>
        <rFont val="Arial Unicode MS"/>
        <family val="2"/>
        <charset val="186"/>
      </rPr>
      <t>a</t>
    </r>
    <r>
      <rPr>
        <b/>
        <sz val="10"/>
        <color theme="1"/>
        <rFont val="Arial Unicode MS"/>
        <family val="2"/>
        <charset val="186"/>
      </rPr>
      <t>), new A-rated apartment units (nraA</t>
    </r>
    <r>
      <rPr>
        <b/>
        <vertAlign val="subscript"/>
        <sz val="10"/>
        <color theme="1"/>
        <rFont val="Arial Unicode MS"/>
        <family val="2"/>
        <charset val="186"/>
      </rPr>
      <t>a</t>
    </r>
    <r>
      <rPr>
        <b/>
        <sz val="10"/>
        <color theme="1"/>
        <rFont val="Arial Unicode MS"/>
        <family val="2"/>
        <charset val="186"/>
      </rPr>
      <t>) and new B-rated apartment units (nraB</t>
    </r>
    <r>
      <rPr>
        <b/>
        <vertAlign val="subscript"/>
        <sz val="10"/>
        <color theme="1"/>
        <rFont val="Arial Unicode MS"/>
        <family val="2"/>
        <charset val="186"/>
      </rPr>
      <t>a</t>
    </r>
    <r>
      <rPr>
        <b/>
        <sz val="10"/>
        <color theme="1"/>
        <rFont val="Arial Unicode MS"/>
        <family val="2"/>
        <charset val="186"/>
      </rPr>
      <t>).</t>
    </r>
  </si>
  <si>
    <t xml:space="preserve">EXAMPLE </t>
  </si>
  <si>
    <t>USER INPUT FROM CELLS B74, D74, E74 -&gt; 12 new apartment units constructed in 2030-2032</t>
  </si>
  <si>
    <r>
      <t>kWh/m</t>
    </r>
    <r>
      <rPr>
        <vertAlign val="superscript"/>
        <sz val="10"/>
        <color theme="1"/>
        <rFont val="Albertus Medium"/>
        <family val="2"/>
      </rPr>
      <t>2</t>
    </r>
  </si>
  <si>
    <r>
      <t>GRID_ELECTRICITY_emission_factor</t>
    </r>
    <r>
      <rPr>
        <vertAlign val="subscript"/>
        <sz val="9"/>
        <color theme="1"/>
        <rFont val="Arial Unicode MS"/>
        <family val="2"/>
        <charset val="186"/>
      </rPr>
      <t>a</t>
    </r>
    <r>
      <rPr>
        <sz val="9"/>
        <color theme="1"/>
        <rFont val="Arial Unicode MS"/>
        <family val="2"/>
        <charset val="186"/>
      </rPr>
      <t xml:space="preserve"> (from row4)</t>
    </r>
  </si>
  <si>
    <r>
      <t>DISTRICT_HEATING_emission_factor</t>
    </r>
    <r>
      <rPr>
        <vertAlign val="subscript"/>
        <sz val="9"/>
        <color theme="1"/>
        <rFont val="Arial Unicode MS"/>
        <family val="2"/>
        <charset val="186"/>
      </rPr>
      <t>a</t>
    </r>
    <r>
      <rPr>
        <sz val="9"/>
        <color theme="1"/>
        <rFont val="Arial Unicode MS"/>
        <family val="2"/>
        <charset val="186"/>
      </rPr>
      <t xml:space="preserve"> (from row 5)</t>
    </r>
  </si>
  <si>
    <t>annual increase = ROUND (B74 / (E74 - D74 + 1)) = 12 / (2032 - 2030 + 1) = 12 / 3 = 4</t>
  </si>
  <si>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(B74 / (E74 - D74 + 1)) * BUI_COL51 * GRID_ELECTRICITY_emission_factor</t>
    </r>
    <r>
      <rPr>
        <vertAlign val="subscript"/>
        <sz val="10"/>
        <color theme="1"/>
        <rFont val="Arial Unicode MS"/>
        <family val="2"/>
        <charset val="186"/>
      </rPr>
      <t>a</t>
    </r>
    <r>
      <rPr>
        <sz val="10"/>
        <color theme="1"/>
        <rFont val="Arial Unicode MS"/>
        <family val="2"/>
        <charset val="186"/>
      </rPr>
      <t xml:space="preserve"> (from row 4) * ((100 - F74)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</si>
  <si>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(B74 / (E74 - D74 + 1)) * BUI_COL52 * BUI_COL1 * ((100 - F74)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</si>
  <si>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(B74 / (E74 - D74 + 1)) * BUI_COL58 * DISTRICT_HEAT_emission_factor</t>
    </r>
    <r>
      <rPr>
        <vertAlign val="subscript"/>
        <sz val="10"/>
        <color theme="1"/>
        <rFont val="Arial Unicode MS"/>
        <family val="2"/>
        <charset val="186"/>
      </rPr>
      <t>a</t>
    </r>
    <r>
      <rPr>
        <sz val="10"/>
        <color theme="1"/>
        <rFont val="Arial Unicode MS"/>
        <family val="2"/>
        <charset val="186"/>
      </rPr>
      <t xml:space="preserve"> (from row 5) * ((100 - F74)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</si>
  <si>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(B74 / (E74 - D74 + 1)) * BUI_COL53 * BUI_COL2 * ((100 - F74)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</si>
  <si>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(B74 / (E74 - D74 + 1)) * BUI_COL54 * BUI_COL3 * ((100 - F74)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</si>
  <si>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(B74 / (E74 - D74 + 1)) * BUI_COL55 * BUI_COL4 * ((100 - F74)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</si>
  <si>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(B74 / (E74 - D74 + 1)) * BUI_COL56 * BUI_COL5 * ((100 - F74)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</si>
  <si>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(B74 / (E74 - D74 + 1)) * BUI_COL57 * BUI_COL6 * ((100 - F74) / 100) / 1000000)</t>
    </r>
  </si>
  <si>
    <t>user input cells</t>
  </si>
  <si>
    <t>number of apartments</t>
  </si>
  <si>
    <t>D74</t>
  </si>
  <si>
    <t>start year</t>
  </si>
  <si>
    <t>E74</t>
  </si>
  <si>
    <t>end year</t>
  </si>
  <si>
    <t xml:space="preserve">F74 </t>
  </si>
  <si>
    <t>apartment</t>
  </si>
  <si>
    <t>semi-d</t>
  </si>
  <si>
    <t>B75</t>
  </si>
  <si>
    <t>D75</t>
  </si>
  <si>
    <t>E75</t>
  </si>
  <si>
    <t>F75</t>
  </si>
  <si>
    <t>B76</t>
  </si>
  <si>
    <t>B77</t>
  </si>
  <si>
    <t>D76</t>
  </si>
  <si>
    <t>D77</t>
  </si>
  <si>
    <t>E76</t>
  </si>
  <si>
    <t>E77</t>
  </si>
  <si>
    <t>F76</t>
  </si>
  <si>
    <t>F77</t>
  </si>
  <si>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(B75 / (E75 - D75 + 1)) * BUI_COL59 * GRID_ELECTRICITY_emission_factor</t>
    </r>
    <r>
      <rPr>
        <vertAlign val="subscript"/>
        <sz val="10"/>
        <color theme="1"/>
        <rFont val="Arial Unicode MS"/>
        <family val="2"/>
        <charset val="186"/>
      </rPr>
      <t>a</t>
    </r>
    <r>
      <rPr>
        <sz val="10"/>
        <color theme="1"/>
        <rFont val="Arial Unicode MS"/>
        <family val="2"/>
        <charset val="186"/>
      </rPr>
      <t xml:space="preserve"> (from row 4) * ((100 - F75)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</si>
  <si>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(B75 / (E75 - D75 + 1)) * BUI_COL60 * BUI_COL1 * ((100 - F75)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</si>
  <si>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(B75 / (E75 - D75 + 1)) * BUI_COL61 * BUI_COL2 * ((100 - F75)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</si>
  <si>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(B75 / (E75 - D75 + 1)) * BUI_COL62 * BUI_COL3 * ((100 - F75)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</si>
  <si>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(B75 / (E75 - D75 + 1)) * BUI_COL63 * BUI_COL4 * ((100 - F75)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</si>
  <si>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(B75 / (E75 - D75 + 1)) * BUI_COL64 * BUI_COL5 * ((100 - F75)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</si>
  <si>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(B75 / (E75 - D75 + 1)) * BUI_COL65 * BUI_COL6 * ((100 - F75)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</si>
  <si>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(B75 / (E75 - D75 + 1)) * BUI_COL66 * DISTRICT_HEAT_emission_factor</t>
    </r>
    <r>
      <rPr>
        <vertAlign val="subscript"/>
        <sz val="10"/>
        <color theme="1"/>
        <rFont val="Arial Unicode MS"/>
        <family val="2"/>
        <charset val="186"/>
      </rPr>
      <t>a</t>
    </r>
    <r>
      <rPr>
        <sz val="10"/>
        <color theme="1"/>
        <rFont val="Arial Unicode MS"/>
        <family val="2"/>
        <charset val="186"/>
      </rPr>
      <t xml:space="preserve"> (from row 5) * ((100 - F75) / 100) / 1000000)</t>
    </r>
  </si>
  <si>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(B76 / (E76 - D76 + 1)) * BUI_COL67 * GRID_ELECTRICITY_emission_factor</t>
    </r>
    <r>
      <rPr>
        <vertAlign val="subscript"/>
        <sz val="10"/>
        <color theme="1"/>
        <rFont val="Arial Unicode MS"/>
        <family val="2"/>
        <charset val="186"/>
      </rPr>
      <t>a</t>
    </r>
    <r>
      <rPr>
        <sz val="10"/>
        <color theme="1"/>
        <rFont val="Arial Unicode MS"/>
        <family val="2"/>
        <charset val="186"/>
      </rPr>
      <t xml:space="preserve"> (from row 4) * ((100 - F76)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</si>
  <si>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(B76 / (E76 - D76 + 1)) * BUI_COL68 * BUI_COL1 * ((100 - F76)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</si>
  <si>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(B76 / (E76 - D76 + 1)) * BUI_COL69 * BUI_COL2 * ((100 - F76)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</si>
  <si>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(B76 / (E76 - D76 + 1)) * BUI_COL70 * BUI_COL3 * ((100 - F76)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</si>
  <si>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(B76 / (E76 - D76 + 1)) * BUI_COL71 * BUI_COL4 * ((100 - F76)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</si>
  <si>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(B76 / (E76 - D76 + 1)) * BUI_COL72 * BUI_COL5 * ((100 - F76)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</si>
  <si>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(B76 / (E76 - D76 + 1)) * BUI_COL73 * BUI_COL6 * ((100 - F76)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</si>
  <si>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(B76 / (E76 - D76 + 1)) * BUI_COL74 * DISTRICT_HEAT_emission_factor</t>
    </r>
    <r>
      <rPr>
        <vertAlign val="subscript"/>
        <sz val="10"/>
        <color theme="1"/>
        <rFont val="Arial Unicode MS"/>
        <family val="2"/>
        <charset val="186"/>
      </rPr>
      <t>a</t>
    </r>
    <r>
      <rPr>
        <sz val="10"/>
        <color theme="1"/>
        <rFont val="Arial Unicode MS"/>
        <family val="2"/>
        <charset val="186"/>
      </rPr>
      <t xml:space="preserve"> (from row 5) * ((100 - F76) / 100) / 1000000)</t>
    </r>
  </si>
  <si>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(B77 / (E77 - D77 + 1)) * BUI_COL75 * GRID_ELECTRICITY_emission_factor</t>
    </r>
    <r>
      <rPr>
        <vertAlign val="subscript"/>
        <sz val="10"/>
        <color theme="1"/>
        <rFont val="Arial Unicode MS"/>
        <family val="2"/>
        <charset val="186"/>
      </rPr>
      <t>a</t>
    </r>
    <r>
      <rPr>
        <sz val="10"/>
        <color theme="1"/>
        <rFont val="Arial Unicode MS"/>
        <family val="2"/>
        <charset val="186"/>
      </rPr>
      <t xml:space="preserve"> (from row 4) * ((100 - F77)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</si>
  <si>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(B77 / (E77 - D77 + 1)) * BUI_COL76 * BUI_COL1 * ((100 - F77)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</si>
  <si>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(B77 / (E77 - D77 + 1)) * BUI_COL77 * BUI_COL2 * ((100 - F77)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</si>
  <si>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(B77 / (E77 - D77 + 1)) * BUI_COL78 * BUI_COL3 * ((100 - F77)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</si>
  <si>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(B77 / (E77 - D77 + 1)) * BUI_COL79 * BUI_COL4 * ((100 - F77)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</si>
  <si>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(B77 / (E77 - D77 + 1)) * BUI_COL80 * BUI_COL5 * ((100 - F77)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</si>
  <si>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(B77 / (E77 - D77 + 1)) * BUI_COL81 * BUI_COL6 * ((100 - F77)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</si>
  <si>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(B77 / (E77 - D77 + 1)) * BUI_COL82 * DISTRICT_HEAT_emission_factor</t>
    </r>
    <r>
      <rPr>
        <vertAlign val="subscript"/>
        <sz val="10"/>
        <color theme="1"/>
        <rFont val="Arial Unicode MS"/>
        <family val="2"/>
        <charset val="186"/>
      </rPr>
      <t>a</t>
    </r>
    <r>
      <rPr>
        <sz val="10"/>
        <color theme="1"/>
        <rFont val="Arial Unicode MS"/>
        <family val="2"/>
        <charset val="186"/>
      </rPr>
      <t xml:space="preserve"> (from row 5) * ((100 - F77) / 100) / 1000000)</t>
    </r>
  </si>
  <si>
    <t>settlement type</t>
  </si>
  <si>
    <r>
      <t>CF</t>
    </r>
    <r>
      <rPr>
        <vertAlign val="subscript"/>
        <sz val="10"/>
        <color theme="1"/>
        <rFont val="Arial Unicode MS"/>
        <family val="2"/>
        <charset val="186"/>
      </rPr>
      <t>MODE</t>
    </r>
    <r>
      <rPr>
        <sz val="10"/>
        <color theme="1"/>
        <rFont val="Arial Unicode MS"/>
        <family val="2"/>
        <charset val="186"/>
      </rPr>
      <t xml:space="preserve"> weighted average</t>
    </r>
  </si>
  <si>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(B77 / (E77 - D77 + 1)) * BUI_COL135 * GRID_ELECTRICITY_emission_factor</t>
    </r>
    <r>
      <rPr>
        <vertAlign val="subscript"/>
        <sz val="10"/>
        <color theme="1"/>
        <rFont val="Arial Unicode MS"/>
        <family val="2"/>
        <charset val="186"/>
      </rPr>
      <t>a</t>
    </r>
    <r>
      <rPr>
        <sz val="10"/>
        <color theme="1"/>
        <rFont val="Arial Unicode MS"/>
        <family val="2"/>
        <charset val="186"/>
      </rPr>
      <t xml:space="preserve"> (from row 4) * ((100 - F77)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</si>
  <si>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(B77 / (E77 - D77 + 1)) * BUI_COL316 * BUI_COL1 * ((100 - F77)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</si>
  <si>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(B77 / (E77 - D77 + 1)) * BUI_COL317 * BUI_COL2 * ((100 - F77)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</si>
  <si>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(B77 / (E77 - D77 + 1)) * BUI_COL318 * BUI_COL3 * ((100 - F77)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</si>
  <si>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(B77 / (E77 - D77 + 1)) * BUI_COL319 * BUI_COL4 * ((100 - F77)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</si>
  <si>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(B77 / (E77 - D77 + 1)) * BUI_COL320 * BUI_COL5 * ((100 - F77)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</si>
  <si>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(B77 / (E77 - D77 + 1)) * BUI_COL321 * BUI_COL6 * ((100 - F77)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</si>
  <si>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(B77 / (E77 - D77 + 1)) * BUI_COL322 * DISTRICT_HEAT_emission_factor</t>
    </r>
    <r>
      <rPr>
        <vertAlign val="subscript"/>
        <sz val="10"/>
        <color theme="1"/>
        <rFont val="Arial Unicode MS"/>
        <family val="2"/>
        <charset val="186"/>
      </rPr>
      <t>a</t>
    </r>
    <r>
      <rPr>
        <sz val="10"/>
        <color theme="1"/>
        <rFont val="Arial Unicode MS"/>
        <family val="2"/>
        <charset val="186"/>
      </rPr>
      <t xml:space="preserve"> (from row 5) * ((100 - F77) / 100) / 1000000)</t>
    </r>
  </si>
  <si>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(B77 / (E77 - D77 + 1)) * BUI_COL323 * GRID_ELECTRICITY_emission_factor</t>
    </r>
    <r>
      <rPr>
        <vertAlign val="subscript"/>
        <sz val="10"/>
        <color theme="1"/>
        <rFont val="Arial Unicode MS"/>
        <family val="2"/>
        <charset val="186"/>
      </rPr>
      <t>a</t>
    </r>
    <r>
      <rPr>
        <sz val="10"/>
        <color theme="1"/>
        <rFont val="Arial Unicode MS"/>
        <family val="2"/>
        <charset val="186"/>
      </rPr>
      <t xml:space="preserve"> (from row 4) * ((100 - F77)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</si>
  <si>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(B77 / (E77 - D77 + 1)) * BUI_COL324 * BUI_COL1 * ((100 - F77)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</si>
  <si>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(B77 / (E77 - D77 + 1)) * BUI_COL325 * BUI_COL2 * ((100 - F77)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</si>
  <si>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(B77 / (E77 - D77 + 1)) * BUI_COL326 * BUI_COL3 * ((100 - F77)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</si>
  <si>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(B77 / (E77 - D77 + 1)) * BUI_COL327 * BUI_COL4 * ((100 - F77)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</si>
  <si>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(B77 / (E77 - D77 + 1)) * BUI_COL328 * BUI_COL5 * ((100 - F77)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</si>
  <si>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(B77 / (E77 - D77 + 1)) * BUI_COL329 * BUI_COL6 * ((100 - F77)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</si>
  <si>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(B77 / (E77 - D77 + 1)) * BUI_COL330 * DISTRICT_HEAT_emission_factor</t>
    </r>
    <r>
      <rPr>
        <vertAlign val="subscript"/>
        <sz val="10"/>
        <color theme="1"/>
        <rFont val="Arial Unicode MS"/>
        <family val="2"/>
        <charset val="186"/>
      </rPr>
      <t>a</t>
    </r>
    <r>
      <rPr>
        <sz val="10"/>
        <color theme="1"/>
        <rFont val="Arial Unicode MS"/>
        <family val="2"/>
        <charset val="186"/>
      </rPr>
      <t xml:space="preserve"> (from row 5) * ((100 - F77) / 100) / 1000000)</t>
    </r>
  </si>
  <si>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(B77 / (E77 - D77 + 1)) * BUI_COL331 * GRID_ELECTRICITY_emission_factor</t>
    </r>
    <r>
      <rPr>
        <vertAlign val="subscript"/>
        <sz val="10"/>
        <color theme="1"/>
        <rFont val="Arial Unicode MS"/>
        <family val="2"/>
        <charset val="186"/>
      </rPr>
      <t>a</t>
    </r>
    <r>
      <rPr>
        <sz val="10"/>
        <color theme="1"/>
        <rFont val="Arial Unicode MS"/>
        <family val="2"/>
        <charset val="186"/>
      </rPr>
      <t xml:space="preserve"> (from row 4) * ((100 - F77)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</si>
  <si>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(B77 / (E77 - D77 + 1)) * BUI_COL332 * BUI_COL1 * ((100 - F77)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</si>
  <si>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(B77 / (E77 - D77 + 1)) * BUI_COL333 * BUI_COL2 * ((100 - F77)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</si>
  <si>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(B77 / (E77 - D77 + 1)) * BUI_COL334 * BUI_COL3 * ((100 - F77)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</si>
  <si>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(B77 / (E77 - D77 + 1)) * BUI_COL335 * BUI_COL4 * ((100 - F77)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</si>
  <si>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(B77 / (E77 - D77 + 1)) * BUI_COL336 * BUI_COL5 * ((100 - F77)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</si>
  <si>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(B77 / (E77 - D77 + 1)) * BUI_COL338 * DISTRICT_HEAT_emission_factor</t>
    </r>
    <r>
      <rPr>
        <vertAlign val="subscript"/>
        <sz val="10"/>
        <color theme="1"/>
        <rFont val="Arial Unicode MS"/>
        <family val="2"/>
        <charset val="186"/>
      </rPr>
      <t>a</t>
    </r>
    <r>
      <rPr>
        <sz val="10"/>
        <color theme="1"/>
        <rFont val="Arial Unicode MS"/>
        <family val="2"/>
        <charset val="186"/>
      </rPr>
      <t xml:space="preserve"> (from row 5) * ((100 - F77)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</si>
  <si>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(B77 / (E77 - D77 + 1)) * BUI_COL337 * BUI_COL6 * ((100 - F77) / 100) / 1000000)</t>
    </r>
  </si>
  <si>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(B77 / (E77 - D77 + 1)) * BUI_COL339 * GRID_ELECTRICITY_emission_factor</t>
    </r>
    <r>
      <rPr>
        <vertAlign val="subscript"/>
        <sz val="10"/>
        <color theme="1"/>
        <rFont val="Arial Unicode MS"/>
        <family val="2"/>
        <charset val="186"/>
      </rPr>
      <t>a</t>
    </r>
    <r>
      <rPr>
        <sz val="10"/>
        <color theme="1"/>
        <rFont val="Arial Unicode MS"/>
        <family val="2"/>
        <charset val="186"/>
      </rPr>
      <t xml:space="preserve"> (from row 4) * ((100 - F77)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</si>
  <si>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(B77 / (E77 - D77 + 1)) * BUI_COL340 * BUI_COL1 * ((100 - F77)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</si>
  <si>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(B77 / (E77 - D77 + 1)) * BUI_COL341 * BUI_COL2 * ((100 - F77)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</si>
  <si>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(B77 / (E77 - D77 + 1)) * BUI_COL342 * BUI_COL3 * ((100 - F77)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</si>
  <si>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(B77 / (E77 - D77 + 1)) * BUI_COL343 * BUI_COL4 * ((100 - F77)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</si>
  <si>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(B77 / (E77 - D77 + 1)) * BUI_COL344 * BUI_COL5 * ((100 - F77)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</si>
  <si>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(B77 / (E77 - D77 + 1)) * BUI_COL345 * BUI_COL6 * ((100 - F77)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</si>
  <si>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(B77 / (E77 - D77 + 1)) * BUI_COL346 * DISTRICT_HEAT_emission_factor</t>
    </r>
    <r>
      <rPr>
        <vertAlign val="subscript"/>
        <sz val="10"/>
        <color theme="1"/>
        <rFont val="Arial Unicode MS"/>
        <family val="2"/>
        <charset val="186"/>
      </rPr>
      <t>a</t>
    </r>
    <r>
      <rPr>
        <sz val="10"/>
        <color theme="1"/>
        <rFont val="Arial Unicode MS"/>
        <family val="2"/>
        <charset val="186"/>
      </rPr>
      <t xml:space="preserve"> (from row 5) * ((100 - F77) / 100) / 1000000)</t>
    </r>
  </si>
  <si>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(B77 / (E77 - D77 + 1)) * BUI_COL347 * GRID_ELECTRICITY_emission_factor</t>
    </r>
    <r>
      <rPr>
        <vertAlign val="subscript"/>
        <sz val="10"/>
        <color theme="1"/>
        <rFont val="Arial Unicode MS"/>
        <family val="2"/>
        <charset val="186"/>
      </rPr>
      <t>a</t>
    </r>
    <r>
      <rPr>
        <sz val="10"/>
        <color theme="1"/>
        <rFont val="Arial Unicode MS"/>
        <family val="2"/>
        <charset val="186"/>
      </rPr>
      <t xml:space="preserve"> (from row 4) * ((100 - F77)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</si>
  <si>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(B77 / (E77 - D77 + 1)) * BUI_COL349 * BUI_COL2 * ((100 - F77)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</si>
  <si>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(B77 / (E77 - D77 + 1)) * BUI_COL348 * BUI_COL1 * ((100 - F77)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</si>
  <si>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(B77 / (E77 - D77 + 1)) * BUI_COL350 * BUI_COL3 * ((100 - F77)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</si>
  <si>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(B77 / (E77 - D77 + 1)) * BUI_COL351 * BUI_COL4 * ((100 - F77)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</si>
  <si>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(B77 / (E77 - D77 + 1)) * BUI_COL352* BUI_COL5 * ((100 - F77)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</si>
  <si>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(B77 / (E77 - D77 + 1)) * BUI_COL353 * BUI_COL6 * ((100 - F77)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</si>
  <si>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(B77 / (E77 - D77 + 1)) * BUI_COL354 * DISTRICT_HEAT_emission_factor</t>
    </r>
    <r>
      <rPr>
        <vertAlign val="subscript"/>
        <sz val="10"/>
        <color theme="1"/>
        <rFont val="Arial Unicode MS"/>
        <family val="2"/>
        <charset val="186"/>
      </rPr>
      <t>a</t>
    </r>
    <r>
      <rPr>
        <sz val="10"/>
        <color theme="1"/>
        <rFont val="Arial Unicode MS"/>
        <family val="2"/>
        <charset val="186"/>
      </rPr>
      <t xml:space="preserve"> (from row 5) * ((100 - F77) / 100) / 1000000)</t>
    </r>
  </si>
  <si>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(B82 / (E82 - D82 + 1)) * BUI_COL307 * GRID_ELECTRICITY_emission_factor</t>
    </r>
    <r>
      <rPr>
        <vertAlign val="subscript"/>
        <sz val="10"/>
        <color theme="1"/>
        <rFont val="Arial Unicode MS"/>
        <family val="2"/>
        <charset val="186"/>
      </rPr>
      <t>a</t>
    </r>
    <r>
      <rPr>
        <sz val="10"/>
        <color theme="1"/>
        <rFont val="Arial Unicode MS"/>
        <family val="2"/>
        <charset val="186"/>
      </rPr>
      <t xml:space="preserve"> (from row 4) * ((100 - F82)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</si>
  <si>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(B82 / (E82 - D82 + 1)) * BUI_COL308 * BUI_COL1 * ((100 - F82)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</si>
  <si>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(B82 / (E82 - D82 + 1)) * BUI_COL309 * BUI_COL2 * ((100 - F82)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</si>
  <si>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(B82 / (E82 - D82 + 1)) * BUI_COL310 * BUI_COL3 * ((100 - F82)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</si>
  <si>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(B82 / (E82 - D82 + 1)) * BUI_COL311 * BUI_COL4 * ((100 - F82)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</si>
  <si>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(B82 / (E82 - D82 + 1)) * BUI_COL312 * BUI_COL5 * ((100 - F82)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</si>
  <si>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(B82 / (E82 - D82 + 1)) * BUI_COL313 * BUI_COL6 * ((100 - F82)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</si>
  <si>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(B82 / (E82 - D82 + 1)) * BUI_COL314 * DISTRICT_HEAT_emission_factor</t>
    </r>
    <r>
      <rPr>
        <vertAlign val="subscript"/>
        <sz val="10"/>
        <color theme="1"/>
        <rFont val="Arial Unicode MS"/>
        <family val="2"/>
        <charset val="186"/>
      </rPr>
      <t>a</t>
    </r>
    <r>
      <rPr>
        <sz val="10"/>
        <color theme="1"/>
        <rFont val="Arial Unicode MS"/>
        <family val="2"/>
        <charset val="186"/>
      </rPr>
      <t xml:space="preserve"> (from row 5) * ((100 - F82) / 100) / 1000000)</t>
    </r>
  </si>
  <si>
    <t>NOT READY YET</t>
  </si>
  <si>
    <t>77 -&gt; 83</t>
  </si>
  <si>
    <t>AVERAGE FLOOR AREA PER DWELLING UNIT TYPE</t>
  </si>
  <si>
    <t>Parameter</t>
  </si>
  <si>
    <t>Specification</t>
  </si>
  <si>
    <t>Annual demolition rate of residential buildings</t>
  </si>
  <si>
    <t>Annual demolition of commercial buildings</t>
  </si>
  <si>
    <t>Annual increase in A-class apartments</t>
  </si>
  <si>
    <t>Annual increase in B-class apartments</t>
  </si>
  <si>
    <t>Annual increase in A-class terraced units</t>
  </si>
  <si>
    <t>Annual increase in B-class terraced units</t>
  </si>
  <si>
    <t>Annual increase in A-class semi-detached units</t>
  </si>
  <si>
    <t>Annual increase in B-class semi-detached units</t>
  </si>
  <si>
    <t>Annual increase in A-class detached units</t>
  </si>
  <si>
    <t>Annual increase in B-class detached units</t>
  </si>
  <si>
    <t>Annual increase in commercial buildings</t>
  </si>
  <si>
    <t>Floor area per residential unit</t>
  </si>
  <si>
    <t>EU Buildings database</t>
  </si>
  <si>
    <t>A-rated_Semi-Detached</t>
  </si>
  <si>
    <t>A-rated_Detached</t>
  </si>
  <si>
    <t>A-rated_Terraced</t>
  </si>
  <si>
    <t>A-rated_Apartment</t>
  </si>
  <si>
    <t>End_Use_of_Energy_Residential_buildings</t>
  </si>
  <si>
    <t>All_residential</t>
  </si>
  <si>
    <t>Average_Total_Energy_Use</t>
  </si>
  <si>
    <t>B-rated_Apartment</t>
  </si>
  <si>
    <t>B-rated_Terraced</t>
  </si>
  <si>
    <t>B-rated_Semi-Detached</t>
  </si>
  <si>
    <t>B-rated_Detached</t>
  </si>
  <si>
    <t>C-rated_Apartment</t>
  </si>
  <si>
    <t>C-rated_Terraced</t>
  </si>
  <si>
    <t>C-rated_Semi-Detached</t>
  </si>
  <si>
    <t>C-rated_Detached</t>
  </si>
  <si>
    <t>D-rated_Apartment</t>
  </si>
  <si>
    <t>Default_naming</t>
  </si>
  <si>
    <t>Commercial_1</t>
  </si>
  <si>
    <t>Residential_1</t>
  </si>
  <si>
    <t>Residential_2</t>
  </si>
  <si>
    <t>Residential_3</t>
  </si>
  <si>
    <t>Residential_4</t>
  </si>
  <si>
    <t>Commercial_2</t>
  </si>
  <si>
    <t>Commercial_3</t>
  </si>
  <si>
    <t>Commercial_4</t>
  </si>
  <si>
    <t>Commercial_5</t>
  </si>
  <si>
    <t>Commercial_6</t>
  </si>
  <si>
    <t>kWh/(m2 a)</t>
  </si>
  <si>
    <t>D-rated_Terraced</t>
  </si>
  <si>
    <t>D-rated_Semi-Detached</t>
  </si>
  <si>
    <t>D-rated_Detached</t>
  </si>
  <si>
    <t>E-rated_Apartment</t>
  </si>
  <si>
    <t>E-rated_Terraced</t>
  </si>
  <si>
    <t>E-rated_Semi-Detached</t>
  </si>
  <si>
    <t>E-rated_Detached</t>
  </si>
  <si>
    <t>F-rated_Apartment</t>
  </si>
  <si>
    <t>F-rated_Terraced</t>
  </si>
  <si>
    <t>F-rated_Semi-Detached</t>
  </si>
  <si>
    <t>F-rated_Detached</t>
  </si>
  <si>
    <t>G-rated_Apartment</t>
  </si>
  <si>
    <t>G-rated_Terraced</t>
  </si>
  <si>
    <t>G-rated_Semi-Detached</t>
  </si>
  <si>
    <t>G-rated_Detached</t>
  </si>
  <si>
    <t>vehicle-km/(capita, a)</t>
  </si>
  <si>
    <t>Annual_Change_Rail_Freight</t>
  </si>
  <si>
    <t>CF_Passenger_Train</t>
  </si>
  <si>
    <t>CF_Road_Freight</t>
  </si>
  <si>
    <t>CF_Bus</t>
  </si>
  <si>
    <t>CF_Car</t>
  </si>
  <si>
    <t>Annual_Change_Passenger_Train</t>
  </si>
  <si>
    <t>Annual_Change_Bus</t>
  </si>
  <si>
    <t>Annual_Change_Car</t>
  </si>
  <si>
    <t>CF_Rail_Freight</t>
  </si>
  <si>
    <t>Annual_Change_Road_Freight</t>
  </si>
  <si>
    <t>Annual_Change_Waterways_Transport</t>
  </si>
  <si>
    <t>CF_Waterways_Transport</t>
  </si>
  <si>
    <t>Annual_Change_Population</t>
  </si>
  <si>
    <t>Annual_Change_Grid_Electricity_EF</t>
  </si>
  <si>
    <t>Annual_Change_District_Heating_EF</t>
  </si>
  <si>
    <t>Passenger-km_per_capita_Bus</t>
  </si>
  <si>
    <t>Eurostat</t>
  </si>
  <si>
    <t>passengers/vehicle</t>
  </si>
  <si>
    <t>LPG</t>
  </si>
  <si>
    <t>CNG</t>
  </si>
  <si>
    <t>Propulsion_Share_Bus</t>
  </si>
  <si>
    <t>EF_Street_Driving_Bus</t>
  </si>
  <si>
    <t>kWh/vkm</t>
  </si>
  <si>
    <t>BUS_COL17</t>
  </si>
  <si>
    <t>BUS_COL18</t>
  </si>
  <si>
    <t>BUS_COL19</t>
  </si>
  <si>
    <t>BUS_COL20</t>
  </si>
  <si>
    <t>BUS_COL21</t>
  </si>
  <si>
    <t>BUS_COL22</t>
  </si>
  <si>
    <t>BUS_COL23</t>
  </si>
  <si>
    <t>BUS_COL24</t>
  </si>
  <si>
    <t>BUS_COL25</t>
  </si>
  <si>
    <t>EF_Road_Driving_Bus</t>
  </si>
  <si>
    <t>Electricity_Consumption_Road_Driving_Bus</t>
  </si>
  <si>
    <t>Electricity_Consumption_Street_Driving_Bus</t>
  </si>
  <si>
    <t>Passenger-km_per_capita_Car</t>
  </si>
  <si>
    <t>Propulsion_Share_Car</t>
  </si>
  <si>
    <t>NGV</t>
  </si>
  <si>
    <t>EF_Diesel_CAR</t>
  </si>
  <si>
    <t>Hybrid_electric-petrol</t>
  </si>
  <si>
    <t>petrol_PHEV</t>
  </si>
  <si>
    <t>Hybrid_electric-diesel</t>
  </si>
  <si>
    <t>diesel_PHEV</t>
  </si>
  <si>
    <t>Hydrogen_fuel-cell</t>
  </si>
  <si>
    <t>Bi-Fuel</t>
  </si>
  <si>
    <t xml:space="preserve">BEV </t>
  </si>
  <si>
    <t>EF_Street_Driving_Car</t>
  </si>
  <si>
    <t>EF_Road_Driving_Car</t>
  </si>
  <si>
    <t>CAR_COL29</t>
  </si>
  <si>
    <t>CAR_COL30</t>
  </si>
  <si>
    <t>CAR_COL31</t>
  </si>
  <si>
    <t>CAR_COL32</t>
  </si>
  <si>
    <t>CAR_COL33</t>
  </si>
  <si>
    <t>CAR_COL34</t>
  </si>
  <si>
    <t>CAR_COL35</t>
  </si>
  <si>
    <t>CAR_COL36</t>
  </si>
  <si>
    <t>CAR_COL37</t>
  </si>
  <si>
    <t>CAR_COL38</t>
  </si>
  <si>
    <t>CAR_COL39</t>
  </si>
  <si>
    <t>CAR_COL40</t>
  </si>
  <si>
    <t>CAR_COL41</t>
  </si>
  <si>
    <t>CAR_COL42</t>
  </si>
  <si>
    <t>CAR_COL43</t>
  </si>
  <si>
    <t>CAR_COL44</t>
  </si>
  <si>
    <t>CAR_COL45</t>
  </si>
  <si>
    <t>CAR_COL46</t>
  </si>
  <si>
    <t>CAR_COL47</t>
  </si>
  <si>
    <t>CAR_COL48</t>
  </si>
  <si>
    <t>CAR_COL49</t>
  </si>
  <si>
    <t>CAR_COL50</t>
  </si>
  <si>
    <t>CAR_COL51</t>
  </si>
  <si>
    <t>CAR_COL52</t>
  </si>
  <si>
    <t>CAR_COL53</t>
  </si>
  <si>
    <t>CAR_COL54</t>
  </si>
  <si>
    <t>CAR_COL55</t>
  </si>
  <si>
    <t>CAR_COL56</t>
  </si>
  <si>
    <t>CAR_COL57</t>
  </si>
  <si>
    <t>CAR_COL58</t>
  </si>
  <si>
    <t>pkm/(capita, a)</t>
  </si>
  <si>
    <t>Occupancy_Rate_Car</t>
  </si>
  <si>
    <t>Occupancy_Rate_Bus</t>
  </si>
  <si>
    <t>Passenger-km_per_capita_Metro</t>
  </si>
  <si>
    <t>Annual_Change_Metro</t>
  </si>
  <si>
    <t>Occupancy_Rate_Metro</t>
  </si>
  <si>
    <t>Electricity_Consumption_Metro</t>
  </si>
  <si>
    <t>Passenger-km_per_capita_Tram</t>
  </si>
  <si>
    <t>Occupancy_Rate_Tram</t>
  </si>
  <si>
    <t>EU refernce scenario 2016</t>
  </si>
  <si>
    <t>EU refernce scenario 2017</t>
  </si>
  <si>
    <t>EU refernce scenario 2018</t>
  </si>
  <si>
    <t>Electricity_Consumption_Tram</t>
  </si>
  <si>
    <t>Annual_Change_Tram</t>
  </si>
  <si>
    <t>Passenger-km_per_capita_Train</t>
  </si>
  <si>
    <t>Occupancy_Rate_Train</t>
  </si>
  <si>
    <t>EF_Diesel_Train</t>
  </si>
  <si>
    <t>Energy_Consumption_Electric_Train</t>
  </si>
  <si>
    <t>TRAIN_COL13</t>
  </si>
  <si>
    <t>Vehicle-km_per_capita_Rail_Freight</t>
  </si>
  <si>
    <t>Share_of_Electric_Engines</t>
  </si>
  <si>
    <t>Vehicle-km_per_capita_Road_Freight</t>
  </si>
  <si>
    <t>Vehicle-km_per_capita_Waterways_Transport</t>
  </si>
  <si>
    <t>EF_Inland_Waterways</t>
  </si>
  <si>
    <t>TECHNOLOGY DEVELOPMENT FACTOR</t>
  </si>
  <si>
    <t>Annual_Change_Vehicle_Efficiency</t>
  </si>
  <si>
    <t>with policy (%)</t>
  </si>
  <si>
    <t>all freight transport affected</t>
  </si>
  <si>
    <t>% of the area affected</t>
  </si>
  <si>
    <t>with policy %</t>
  </si>
  <si>
    <t>without policy  %</t>
  </si>
  <si>
    <t>U3.7 Transport electricity</t>
  </si>
  <si>
    <t>U3.6 Fuel shares in car transport</t>
  </si>
  <si>
    <r>
      <t>gCO</t>
    </r>
    <r>
      <rPr>
        <vertAlign val="subscript"/>
        <sz val="10"/>
        <color theme="1"/>
        <rFont val="Arial Unicode MS"/>
        <family val="2"/>
        <charset val="186"/>
      </rPr>
      <t>2</t>
    </r>
    <r>
      <rPr>
        <sz val="10"/>
        <color theme="1"/>
        <rFont val="Arial Unicode MS"/>
        <family val="2"/>
        <charset val="186"/>
      </rPr>
      <t>e/kWh without policy</t>
    </r>
  </si>
  <si>
    <t>ROAD FREIGHT</t>
  </si>
  <si>
    <t>FREIGHT ON RAILS</t>
  </si>
  <si>
    <t>Share</t>
  </si>
  <si>
    <t>TRACCS</t>
  </si>
  <si>
    <t>EF_Petrol_CAR</t>
  </si>
  <si>
    <t>END USE OF ENERGY RESIDENTIAL BUILDINGS</t>
  </si>
  <si>
    <t>ENERGY CONSUMPTION A-RATED RESIDENTIAL</t>
  </si>
  <si>
    <t>ENERGY CONSUMPTION B-RATED RESIDENTIAL</t>
  </si>
  <si>
    <t>ENERGY CONSUMPTION C-RATED RESIDENTIAL</t>
  </si>
  <si>
    <t>ENERGY CONSUMPTION D-RATED RESIDENTIAL</t>
  </si>
  <si>
    <t>ENERGY CONSUMPTION E-RATED RESIDENTIAL</t>
  </si>
  <si>
    <t>ENERGY CONSUMPTION F-RATED RESIDENTIAL</t>
  </si>
  <si>
    <t>ENERGY CONSUMPTION G-RATED RESIDENTIAL</t>
  </si>
  <si>
    <t>ENERGY CONSUMPTION EXISTING APARTMENTS</t>
  </si>
  <si>
    <t>ENERGY CONSUMPTION EXISTING TERRACED</t>
  </si>
  <si>
    <t>ENERGY CONSUMPTION DETACHED</t>
  </si>
  <si>
    <t>ENERGY CONSUMPTION SEMI-DETACHED</t>
  </si>
  <si>
    <t>BUILDING TYPES</t>
  </si>
  <si>
    <t>NIR 2021</t>
  </si>
  <si>
    <t>land_use_baseline_forestland_annual_change</t>
  </si>
  <si>
    <t>land_use_baseline_cropland_annual_change</t>
  </si>
  <si>
    <t>land_use_baseline_grassland_annual_change</t>
  </si>
  <si>
    <t>land_use_baseline_wetlands_annual_change</t>
  </si>
  <si>
    <t>land_use_baseline_settlements_annual_change</t>
  </si>
  <si>
    <t>land_use_baseline_other_land_annual_change</t>
  </si>
  <si>
    <t>FAO</t>
  </si>
  <si>
    <t>TECH_COL1</t>
  </si>
  <si>
    <t>TECH_COL2</t>
  </si>
  <si>
    <t>TECH_COL3</t>
  </si>
  <si>
    <t>BUI_COL7</t>
  </si>
  <si>
    <t>BUI_COL8</t>
  </si>
  <si>
    <t>BUI_COL9</t>
  </si>
  <si>
    <t>BUI_COL10</t>
  </si>
  <si>
    <t>BUI_COL11</t>
  </si>
  <si>
    <t>BUI_COL12</t>
  </si>
  <si>
    <t>BUI_COL13</t>
  </si>
  <si>
    <t>BUI_COL14</t>
  </si>
  <si>
    <t>BUI_COL15</t>
  </si>
  <si>
    <t>BUI_COL16</t>
  </si>
  <si>
    <t>BUI_COL17</t>
  </si>
  <si>
    <t>BUI_COL18</t>
  </si>
  <si>
    <t>BUI_COL19</t>
  </si>
  <si>
    <t>BUI_COL20</t>
  </si>
  <si>
    <t>BUI_COL21</t>
  </si>
  <si>
    <t>BUI_COL22</t>
  </si>
  <si>
    <t>BUI_COL23</t>
  </si>
  <si>
    <t>BUI_COL24</t>
  </si>
  <si>
    <t>BUI_COL25</t>
  </si>
  <si>
    <t>BUI_COL26</t>
  </si>
  <si>
    <t>BUI_COL27</t>
  </si>
  <si>
    <t>BUI_COL28</t>
  </si>
  <si>
    <t>BUI_COL29</t>
  </si>
  <si>
    <t>BUI_COL30</t>
  </si>
  <si>
    <t>BUI_COL31</t>
  </si>
  <si>
    <t>BUI_COL32</t>
  </si>
  <si>
    <t>BUI_COL33</t>
  </si>
  <si>
    <t>BUI_COL34</t>
  </si>
  <si>
    <t>BUI_COL35</t>
  </si>
  <si>
    <t>BUI_COL36</t>
  </si>
  <si>
    <t>BUI_COL37</t>
  </si>
  <si>
    <t>BUI_COL38</t>
  </si>
  <si>
    <t>BUI_COL39</t>
  </si>
  <si>
    <t>BUI_COL40</t>
  </si>
  <si>
    <t>BUI_COL41</t>
  </si>
  <si>
    <t>BUI_COL42</t>
  </si>
  <si>
    <t>BUI_COL43</t>
  </si>
  <si>
    <t>BUI_COL44</t>
  </si>
  <si>
    <t>BUI_COL45</t>
  </si>
  <si>
    <t>BUI_COL46</t>
  </si>
  <si>
    <t>BUI_COL47</t>
  </si>
  <si>
    <t>BUI_COL48</t>
  </si>
  <si>
    <t>BUI_COL49</t>
  </si>
  <si>
    <t>BUI_COL50</t>
  </si>
  <si>
    <t>BUI_COL115</t>
  </si>
  <si>
    <t>BUI_COL116</t>
  </si>
  <si>
    <t>BUI_COL117</t>
  </si>
  <si>
    <t>BUI_COL118</t>
  </si>
  <si>
    <t>BUI_COL119</t>
  </si>
  <si>
    <t>BUI_COL120</t>
  </si>
  <si>
    <t>BUI_COL121</t>
  </si>
  <si>
    <t>BUI_COL122</t>
  </si>
  <si>
    <t>BUI_COL123</t>
  </si>
  <si>
    <t>BUI_COL124</t>
  </si>
  <si>
    <t>BUI_COL125</t>
  </si>
  <si>
    <t>BUI_COL126</t>
  </si>
  <si>
    <t>BUI_COL127</t>
  </si>
  <si>
    <t>BUI_COL128</t>
  </si>
  <si>
    <t>BUI_COL129</t>
  </si>
  <si>
    <t>BUI_COL130</t>
  </si>
  <si>
    <t>BUI_COL131</t>
  </si>
  <si>
    <t>BUI_COL132</t>
  </si>
  <si>
    <t>BUI_COL133</t>
  </si>
  <si>
    <t>BUI_COL134</t>
  </si>
  <si>
    <t>BUI_COL135</t>
  </si>
  <si>
    <t>BUI_COL136</t>
  </si>
  <si>
    <t>BUI_COL137</t>
  </si>
  <si>
    <t>BUI_COL138</t>
  </si>
  <si>
    <t>BUI_COL139</t>
  </si>
  <si>
    <t>BUI_COL140</t>
  </si>
  <si>
    <t>BUI_COL141</t>
  </si>
  <si>
    <t>BUI_COL142</t>
  </si>
  <si>
    <t>BUI_COL143</t>
  </si>
  <si>
    <t>BUI_COL144</t>
  </si>
  <si>
    <t>BUI_COL145</t>
  </si>
  <si>
    <t>BUI_COL146</t>
  </si>
  <si>
    <t>BUI_COL147</t>
  </si>
  <si>
    <t>BUI_COL148</t>
  </si>
  <si>
    <t>BUI_COL149</t>
  </si>
  <si>
    <t>BUI_COL150</t>
  </si>
  <si>
    <t>BUI_COL151</t>
  </si>
  <si>
    <t>BUI_COL152</t>
  </si>
  <si>
    <t>BUI_COL153</t>
  </si>
  <si>
    <t>BUI_COL154</t>
  </si>
  <si>
    <t>BUI_COL155</t>
  </si>
  <si>
    <t>BUI_COL156</t>
  </si>
  <si>
    <t>BUI_COL157</t>
  </si>
  <si>
    <t>BUI_COL158</t>
  </si>
  <si>
    <t>BUI_COL159</t>
  </si>
  <si>
    <t>BUI_COL160</t>
  </si>
  <si>
    <t>BUI_COL161</t>
  </si>
  <si>
    <t>BUI_COL162</t>
  </si>
  <si>
    <t>BUI_COL163</t>
  </si>
  <si>
    <t>BUI_COL164</t>
  </si>
  <si>
    <t>BUI_COL165</t>
  </si>
  <si>
    <t>BUI_COL166</t>
  </si>
  <si>
    <t>BUI_COL167</t>
  </si>
  <si>
    <t>BUI_COL168</t>
  </si>
  <si>
    <t>BUI_COL169</t>
  </si>
  <si>
    <t>BUI_COL170</t>
  </si>
  <si>
    <t>BUI_COL171</t>
  </si>
  <si>
    <t>BUI_COL172</t>
  </si>
  <si>
    <t>BUI_COL173</t>
  </si>
  <si>
    <t>BUI_COL174</t>
  </si>
  <si>
    <t>BUI_COL175</t>
  </si>
  <si>
    <t>BUI_COL176</t>
  </si>
  <si>
    <t>BUI_COL177</t>
  </si>
  <si>
    <t>BUI_COL178</t>
  </si>
  <si>
    <t>BUI_COL179</t>
  </si>
  <si>
    <t>BUI_COL180</t>
  </si>
  <si>
    <t>BUI_COL181</t>
  </si>
  <si>
    <t>BUI_COL182</t>
  </si>
  <si>
    <t>BUI_COL183</t>
  </si>
  <si>
    <t>BUI_COL184</t>
  </si>
  <si>
    <t>BUI_COL185</t>
  </si>
  <si>
    <t>BUI_COL186</t>
  </si>
  <si>
    <t>BUI_COL187</t>
  </si>
  <si>
    <t>BUI_COL188</t>
  </si>
  <si>
    <t>BUI_COL189</t>
  </si>
  <si>
    <t>BUI_COL190</t>
  </si>
  <si>
    <t>BUI_COL191</t>
  </si>
  <si>
    <t>BUI_COL192</t>
  </si>
  <si>
    <t>BUI_COL193</t>
  </si>
  <si>
    <t>BUI_COL194</t>
  </si>
  <si>
    <t>BUI_COL195</t>
  </si>
  <si>
    <t>BUI_COL196</t>
  </si>
  <si>
    <t>BUI_COL197</t>
  </si>
  <si>
    <t>BUI_COL198</t>
  </si>
  <si>
    <t>BUI_COL199</t>
  </si>
  <si>
    <t>BUI_COL200</t>
  </si>
  <si>
    <t>BUI_COL201</t>
  </si>
  <si>
    <t>BUI_COL202</t>
  </si>
  <si>
    <t>BUI_COL203</t>
  </si>
  <si>
    <t>BUI_COL204</t>
  </si>
  <si>
    <t>BUI_COL205</t>
  </si>
  <si>
    <t>BUI_COL206</t>
  </si>
  <si>
    <t>BUI_COL207</t>
  </si>
  <si>
    <t>BUI_COL208</t>
  </si>
  <si>
    <t>BUI_COL209</t>
  </si>
  <si>
    <t>BUI_COL210</t>
  </si>
  <si>
    <t>BUI_COL211</t>
  </si>
  <si>
    <t>BUI_COL212</t>
  </si>
  <si>
    <t>BUI_COL213</t>
  </si>
  <si>
    <t>BUI_COL214</t>
  </si>
  <si>
    <t>BUI_COL215</t>
  </si>
  <si>
    <t>BUI_COL216</t>
  </si>
  <si>
    <t>BUI_COL217</t>
  </si>
  <si>
    <t>BUI_COL218</t>
  </si>
  <si>
    <t>BUI_COL219</t>
  </si>
  <si>
    <t>BUI_COL220</t>
  </si>
  <si>
    <t>BUI_COL221</t>
  </si>
  <si>
    <t>BUI_COL222</t>
  </si>
  <si>
    <t>BUI_COL223</t>
  </si>
  <si>
    <t>BUI_COL224</t>
  </si>
  <si>
    <t>BUI_COL225</t>
  </si>
  <si>
    <t>BUI_COL226</t>
  </si>
  <si>
    <t>BUI_COL227</t>
  </si>
  <si>
    <t>BUI_COL228</t>
  </si>
  <si>
    <t>BUI_COL229</t>
  </si>
  <si>
    <t>BUI_COL230</t>
  </si>
  <si>
    <t>BUI_COL231</t>
  </si>
  <si>
    <t>BUI_COL232</t>
  </si>
  <si>
    <t>BUI_COL233</t>
  </si>
  <si>
    <t>BUI_COL234</t>
  </si>
  <si>
    <t>BUI_COL235</t>
  </si>
  <si>
    <t>BUI_COL236</t>
  </si>
  <si>
    <t>BUI_COL237</t>
  </si>
  <si>
    <t>BUI_COL238</t>
  </si>
  <si>
    <t>BUI_COL239</t>
  </si>
  <si>
    <t>BUI_COL240</t>
  </si>
  <si>
    <t>BUI_COL241</t>
  </si>
  <si>
    <t>BUI_COL242</t>
  </si>
  <si>
    <t>BUI_COL243</t>
  </si>
  <si>
    <t>BUI_COL244</t>
  </si>
  <si>
    <t>BUI_COL245</t>
  </si>
  <si>
    <t>BUI_COL246</t>
  </si>
  <si>
    <t>BUI_COL247</t>
  </si>
  <si>
    <t>BUI_COL248</t>
  </si>
  <si>
    <t>BUI_COL249</t>
  </si>
  <si>
    <t>BUI_COL250</t>
  </si>
  <si>
    <t>BUI_COL251</t>
  </si>
  <si>
    <t>BUI_COL252</t>
  </si>
  <si>
    <t>BUI_COL253</t>
  </si>
  <si>
    <t>BUI_COL254</t>
  </si>
  <si>
    <t>BUI_COL255</t>
  </si>
  <si>
    <t>BUI_COL256</t>
  </si>
  <si>
    <t>BUI_COL257</t>
  </si>
  <si>
    <t>BUI_COL258</t>
  </si>
  <si>
    <t>BUI_COL259</t>
  </si>
  <si>
    <t>BUI_COL260</t>
  </si>
  <si>
    <t>BUI_COL261</t>
  </si>
  <si>
    <t>BUI_COL262</t>
  </si>
  <si>
    <t>BUI_COL263</t>
  </si>
  <si>
    <t>BUI_COL264</t>
  </si>
  <si>
    <t>BUI_COL265</t>
  </si>
  <si>
    <t>BUI_COL266</t>
  </si>
  <si>
    <t>BUI_COL267</t>
  </si>
  <si>
    <t>BUI_COL268</t>
  </si>
  <si>
    <t>BUI_COL269</t>
  </si>
  <si>
    <t>BUI_COL270</t>
  </si>
  <si>
    <t>BUI_COL271</t>
  </si>
  <si>
    <t>BUI_COL272</t>
  </si>
  <si>
    <t>BUI_COL273</t>
  </si>
  <si>
    <t>BUI_COL274</t>
  </si>
  <si>
    <t>BUI_COL355</t>
  </si>
  <si>
    <t>BUI_COL356</t>
  </si>
  <si>
    <t>BUI_COL357</t>
  </si>
  <si>
    <t>BUI_COL358</t>
  </si>
  <si>
    <t>BUI_COL359</t>
  </si>
  <si>
    <t>BUI_COL360</t>
  </si>
  <si>
    <t>BUI_COL361</t>
  </si>
  <si>
    <t>BUI_COL362</t>
  </si>
  <si>
    <t>BUI_COL363</t>
  </si>
  <si>
    <t>BUI_COL364</t>
  </si>
  <si>
    <r>
      <t>BASELINE EF</t>
    </r>
    <r>
      <rPr>
        <vertAlign val="subscript"/>
        <sz val="10"/>
        <rFont val="Arial Unicode MS"/>
        <family val="2"/>
        <charset val="186"/>
      </rPr>
      <t>bus_road</t>
    </r>
    <r>
      <rPr>
        <sz val="10"/>
        <rFont val="Arial Unicode MS"/>
        <family val="2"/>
        <charset val="186"/>
      </rPr>
      <t xml:space="preserve"> and EF</t>
    </r>
    <r>
      <rPr>
        <vertAlign val="subscript"/>
        <sz val="10"/>
        <rFont val="Arial Unicode MS"/>
        <family val="2"/>
        <charset val="186"/>
      </rPr>
      <t>bus_street</t>
    </r>
  </si>
  <si>
    <t>Emission factors by type of fuel and driving</t>
  </si>
  <si>
    <r>
      <t>EF</t>
    </r>
    <r>
      <rPr>
        <vertAlign val="subscript"/>
        <sz val="11"/>
        <color theme="1"/>
        <rFont val="Albertus Medium"/>
        <family val="2"/>
      </rPr>
      <t>bus_road</t>
    </r>
  </si>
  <si>
    <r>
      <t>EF</t>
    </r>
    <r>
      <rPr>
        <vertAlign val="subscript"/>
        <sz val="11"/>
        <color theme="1"/>
        <rFont val="Albertus Medium"/>
        <family val="2"/>
      </rPr>
      <t>bus_street</t>
    </r>
  </si>
  <si>
    <t>parameters from the dataset (row according to country selection)</t>
  </si>
  <si>
    <r>
      <t>EF</t>
    </r>
    <r>
      <rPr>
        <vertAlign val="subscript"/>
        <sz val="10"/>
        <color theme="1"/>
        <rFont val="Arial Unicode MS"/>
        <family val="2"/>
        <charset val="186"/>
      </rPr>
      <t>bus_road</t>
    </r>
    <r>
      <rPr>
        <sz val="10"/>
        <color theme="1"/>
        <rFont val="Arial Unicode MS"/>
        <family val="2"/>
        <charset val="186"/>
      </rPr>
      <t>, gCO</t>
    </r>
    <r>
      <rPr>
        <vertAlign val="subscript"/>
        <sz val="10"/>
        <color theme="1"/>
        <rFont val="Arial Unicode MS"/>
        <family val="2"/>
        <charset val="186"/>
      </rPr>
      <t>2</t>
    </r>
    <r>
      <rPr>
        <sz val="10"/>
        <color theme="1"/>
        <rFont val="Arial Unicode MS"/>
        <family val="2"/>
        <charset val="186"/>
      </rPr>
      <t>e/vehicle-km</t>
    </r>
  </si>
  <si>
    <r>
      <t>EF</t>
    </r>
    <r>
      <rPr>
        <vertAlign val="subscript"/>
        <sz val="10"/>
        <color theme="1"/>
        <rFont val="Arial Unicode MS"/>
        <family val="2"/>
        <charset val="186"/>
      </rPr>
      <t>bus_street</t>
    </r>
    <r>
      <rPr>
        <sz val="10"/>
        <color theme="1"/>
        <rFont val="Arial Unicode MS"/>
        <family val="2"/>
        <charset val="186"/>
      </rPr>
      <t>, gCO</t>
    </r>
    <r>
      <rPr>
        <vertAlign val="subscript"/>
        <sz val="10"/>
        <color theme="1"/>
        <rFont val="Arial Unicode MS"/>
        <family val="2"/>
        <charset val="186"/>
      </rPr>
      <t>2</t>
    </r>
    <r>
      <rPr>
        <sz val="10"/>
        <color theme="1"/>
        <rFont val="Arial Unicode MS"/>
        <family val="2"/>
        <charset val="186"/>
      </rPr>
      <t>e/vehicle-km</t>
    </r>
  </si>
  <si>
    <t>BUS_COL11-15</t>
  </si>
  <si>
    <t>always 1</t>
  </si>
  <si>
    <t>the results is per capita, as V is per capita</t>
  </si>
  <si>
    <r>
      <t>Area-specific EF</t>
    </r>
    <r>
      <rPr>
        <vertAlign val="subscript"/>
        <sz val="10"/>
        <color theme="1"/>
        <rFont val="Arial Unicode MS"/>
        <family val="2"/>
        <charset val="186"/>
      </rPr>
      <t>bus</t>
    </r>
  </si>
  <si>
    <t>explanatory note / equation</t>
  </si>
  <si>
    <t>Bi-fuel</t>
  </si>
  <si>
    <t>KWh/vkm</t>
  </si>
  <si>
    <t>weighted average (this value is not used in the calculation)</t>
  </si>
  <si>
    <r>
      <t>average gCO</t>
    </r>
    <r>
      <rPr>
        <vertAlign val="subscript"/>
        <sz val="10"/>
        <color theme="1"/>
        <rFont val="Arial Unicode MS"/>
        <family val="2"/>
        <charset val="186"/>
      </rPr>
      <t>2</t>
    </r>
    <r>
      <rPr>
        <sz val="10"/>
        <color theme="1"/>
        <rFont val="Arial Unicode MS"/>
        <family val="2"/>
        <charset val="186"/>
      </rPr>
      <t>e/vehicle-km</t>
    </r>
  </si>
  <si>
    <r>
      <t>EF</t>
    </r>
    <r>
      <rPr>
        <vertAlign val="subscript"/>
        <sz val="10"/>
        <color theme="1"/>
        <rFont val="Arial Unicode MS"/>
        <family val="2"/>
        <charset val="186"/>
      </rPr>
      <t>car_road</t>
    </r>
    <r>
      <rPr>
        <sz val="10"/>
        <color theme="1"/>
        <rFont val="Arial Unicode MS"/>
        <family val="2"/>
        <charset val="186"/>
      </rPr>
      <t>, gCO</t>
    </r>
    <r>
      <rPr>
        <vertAlign val="subscript"/>
        <sz val="10"/>
        <color theme="1"/>
        <rFont val="Arial Unicode MS"/>
        <family val="2"/>
        <charset val="186"/>
      </rPr>
      <t>2</t>
    </r>
    <r>
      <rPr>
        <sz val="10"/>
        <color theme="1"/>
        <rFont val="Arial Unicode MS"/>
        <family val="2"/>
        <charset val="186"/>
      </rPr>
      <t>e/vehicle-km</t>
    </r>
  </si>
  <si>
    <r>
      <t>EF</t>
    </r>
    <r>
      <rPr>
        <vertAlign val="subscript"/>
        <sz val="10"/>
        <color theme="1"/>
        <rFont val="Arial Unicode MS"/>
        <family val="2"/>
        <charset val="186"/>
      </rPr>
      <t>car_street</t>
    </r>
    <r>
      <rPr>
        <sz val="10"/>
        <color theme="1"/>
        <rFont val="Arial Unicode MS"/>
        <family val="2"/>
        <charset val="186"/>
      </rPr>
      <t>, gCO</t>
    </r>
    <r>
      <rPr>
        <vertAlign val="subscript"/>
        <sz val="10"/>
        <color theme="1"/>
        <rFont val="Arial Unicode MS"/>
        <family val="2"/>
        <charset val="186"/>
      </rPr>
      <t>2</t>
    </r>
    <r>
      <rPr>
        <sz val="10"/>
        <color theme="1"/>
        <rFont val="Arial Unicode MS"/>
        <family val="2"/>
        <charset val="186"/>
      </rPr>
      <t>e/vehicle-km</t>
    </r>
  </si>
  <si>
    <r>
      <t>EF</t>
    </r>
    <r>
      <rPr>
        <vertAlign val="subscript"/>
        <sz val="11"/>
        <color theme="1"/>
        <rFont val="Albertus Medium"/>
        <family val="2"/>
      </rPr>
      <t>car_road</t>
    </r>
  </si>
  <si>
    <r>
      <t>EF</t>
    </r>
    <r>
      <rPr>
        <vertAlign val="subscript"/>
        <sz val="11"/>
        <color theme="1"/>
        <rFont val="Albertus Medium"/>
        <family val="2"/>
      </rPr>
      <t>car_street</t>
    </r>
  </si>
  <si>
    <r>
      <t>EF</t>
    </r>
    <r>
      <rPr>
        <vertAlign val="subscript"/>
        <sz val="10"/>
        <color theme="1"/>
        <rFont val="Arial Unicode MS"/>
        <family val="2"/>
        <charset val="186"/>
      </rPr>
      <t>METRO</t>
    </r>
  </si>
  <si>
    <r>
      <t>EF</t>
    </r>
    <r>
      <rPr>
        <vertAlign val="subscript"/>
        <sz val="10"/>
        <color theme="1"/>
        <rFont val="Arial Unicode MS"/>
        <family val="2"/>
        <charset val="186"/>
      </rPr>
      <t>TRAM</t>
    </r>
  </si>
  <si>
    <r>
      <t>EF</t>
    </r>
    <r>
      <rPr>
        <vertAlign val="subscript"/>
        <sz val="10"/>
        <color theme="1"/>
        <rFont val="Arial Unicode MS"/>
        <family val="2"/>
        <charset val="186"/>
      </rPr>
      <t>TRAIN</t>
    </r>
  </si>
  <si>
    <r>
      <t>V</t>
    </r>
    <r>
      <rPr>
        <vertAlign val="subscript"/>
        <sz val="10"/>
        <color theme="1"/>
        <rFont val="Arial Unicode MS"/>
        <family val="2"/>
        <charset val="186"/>
      </rPr>
      <t>TRAIN</t>
    </r>
    <r>
      <rPr>
        <sz val="10"/>
        <color theme="1"/>
        <rFont val="Arial Unicode MS"/>
        <family val="2"/>
        <charset val="186"/>
      </rPr>
      <t xml:space="preserve"> * EF</t>
    </r>
    <r>
      <rPr>
        <vertAlign val="subscript"/>
        <sz val="10"/>
        <color theme="1"/>
        <rFont val="Arial Unicode MS"/>
        <family val="2"/>
        <charset val="186"/>
      </rPr>
      <t>TRAIN</t>
    </r>
    <r>
      <rPr>
        <sz val="10"/>
        <color theme="1"/>
        <rFont val="Arial Unicode MS"/>
        <family val="2"/>
        <charset val="186"/>
      </rPr>
      <t xml:space="preserve"> / 1000 (unit conversion from gCO2e to kgCO2e)</t>
    </r>
  </si>
  <si>
    <r>
      <t>V</t>
    </r>
    <r>
      <rPr>
        <vertAlign val="subscript"/>
        <sz val="10"/>
        <color theme="1"/>
        <rFont val="Arial Unicode MS"/>
        <family val="2"/>
        <charset val="186"/>
      </rPr>
      <t>CAR</t>
    </r>
    <r>
      <rPr>
        <sz val="10"/>
        <color theme="1"/>
        <rFont val="Arial Unicode MS"/>
        <family val="2"/>
        <charset val="186"/>
      </rPr>
      <t xml:space="preserve"> * EF</t>
    </r>
    <r>
      <rPr>
        <vertAlign val="subscript"/>
        <sz val="10"/>
        <color theme="1"/>
        <rFont val="Arial Unicode MS"/>
        <family val="2"/>
        <charset val="186"/>
      </rPr>
      <t>CAR</t>
    </r>
    <r>
      <rPr>
        <sz val="10"/>
        <color theme="1"/>
        <rFont val="Arial Unicode MS"/>
        <family val="2"/>
        <charset val="186"/>
      </rPr>
      <t xml:space="preserve"> / 1000 (unit conversion from gCO2e to kgCO2e)</t>
    </r>
  </si>
  <si>
    <t>ROAD-%  * road emission factor + STREET-% * street emission factor</t>
  </si>
  <si>
    <r>
      <t>V</t>
    </r>
    <r>
      <rPr>
        <vertAlign val="subscript"/>
        <sz val="10"/>
        <color theme="1"/>
        <rFont val="Arial Unicode MS"/>
        <family val="2"/>
        <charset val="186"/>
      </rPr>
      <t>BUS</t>
    </r>
    <r>
      <rPr>
        <sz val="10"/>
        <color theme="1"/>
        <rFont val="Arial Unicode MS"/>
        <family val="2"/>
        <charset val="186"/>
      </rPr>
      <t xml:space="preserve"> * EF</t>
    </r>
    <r>
      <rPr>
        <vertAlign val="subscript"/>
        <sz val="10"/>
        <color theme="1"/>
        <rFont val="Arial Unicode MS"/>
        <family val="2"/>
        <charset val="186"/>
      </rPr>
      <t>BUS</t>
    </r>
    <r>
      <rPr>
        <sz val="10"/>
        <color theme="1"/>
        <rFont val="Arial Unicode MS"/>
        <family val="2"/>
        <charset val="186"/>
      </rPr>
      <t xml:space="preserve"> / 1000 (conversion from gCO2e to kgCO2e)</t>
    </r>
  </si>
  <si>
    <t>METRO_COL3 * grid electricity emission factor from row 4</t>
  </si>
  <si>
    <t>TRAM_COL3 * grid electricity emission factor from row 4</t>
  </si>
  <si>
    <r>
      <t>EF</t>
    </r>
    <r>
      <rPr>
        <vertAlign val="subscript"/>
        <sz val="10"/>
        <color theme="1"/>
        <rFont val="Arial Unicode MS"/>
        <family val="2"/>
        <charset val="186"/>
      </rPr>
      <t>RAILTRN</t>
    </r>
  </si>
  <si>
    <t>Grid electricity</t>
  </si>
  <si>
    <t>Emission factor 2021</t>
  </si>
  <si>
    <t>Emission factor 2022-50</t>
  </si>
  <si>
    <t>baseline bus</t>
  </si>
  <si>
    <r>
      <t>V</t>
    </r>
    <r>
      <rPr>
        <vertAlign val="subscript"/>
        <sz val="11"/>
        <color theme="1"/>
        <rFont val="Arial Unicode MS"/>
        <family val="2"/>
        <charset val="186"/>
      </rPr>
      <t>RAILTRN</t>
    </r>
  </si>
  <si>
    <t>RAILTRN BASELINE EMISSIONS</t>
  </si>
  <si>
    <r>
      <t>V</t>
    </r>
    <r>
      <rPr>
        <vertAlign val="subscript"/>
        <sz val="10"/>
        <color theme="1"/>
        <rFont val="Arial Unicode MS"/>
        <family val="2"/>
        <charset val="186"/>
      </rPr>
      <t>RAILTRN</t>
    </r>
    <r>
      <rPr>
        <sz val="10"/>
        <color theme="1"/>
        <rFont val="Arial Unicode MS"/>
        <family val="2"/>
        <charset val="186"/>
      </rPr>
      <t xml:space="preserve"> * EF</t>
    </r>
    <r>
      <rPr>
        <vertAlign val="subscript"/>
        <sz val="10"/>
        <color theme="1"/>
        <rFont val="Arial Unicode MS"/>
        <family val="2"/>
        <charset val="186"/>
      </rPr>
      <t>RAILTRN</t>
    </r>
    <r>
      <rPr>
        <sz val="10"/>
        <color theme="1"/>
        <rFont val="Arial Unicode MS"/>
        <family val="2"/>
        <charset val="186"/>
      </rPr>
      <t xml:space="preserve"> / 1000 (unit conversion from gCO2e to kgCO2e)</t>
    </r>
  </si>
  <si>
    <t>The equation  for calculating the right data column is</t>
  </si>
  <si>
    <t>If Energy rating selection is "A", the value of the cell D113 = 1</t>
  </si>
  <si>
    <t>BUI_COL (51 + ((A113 - 1) * 8) + ((D113 - 1) * 32))</t>
  </si>
  <si>
    <t>51 + ((1 - 1) * 8) + ((1 - 1) * 32)</t>
  </si>
  <si>
    <t>= 51 + 0 + 0</t>
  </si>
  <si>
    <t>-&gt; the right column is BUI_COL51</t>
  </si>
  <si>
    <t>where</t>
  </si>
  <si>
    <t xml:space="preserve">   energy consumption is collected from the database as explained above</t>
  </si>
  <si>
    <t xml:space="preserve">   emission factors are collected from row4 (grid electricity), row5 (district heating) and the database</t>
  </si>
  <si>
    <t xml:space="preserve">   years (calculated from user inputs) = 1 + J113 - I113</t>
  </si>
  <si>
    <t xml:space="preserve">   % of renewables = user input from cell F113</t>
  </si>
  <si>
    <t xml:space="preserve">   1 000 000 is the unit conversion</t>
  </si>
  <si>
    <t>If Energy rating selection is "D", the value of the cell D113 = 4</t>
  </si>
  <si>
    <t>51 + ((2 - 1) * 8) + ((4 - 1) * 32)</t>
  </si>
  <si>
    <t>= 51 + 8 + 96</t>
  </si>
  <si>
    <t>-&gt; the right column is BUI_COL155</t>
  </si>
  <si>
    <t>Thus the column number for electricity consumption is:</t>
  </si>
  <si>
    <t>Thus the column number for the electricity consumption is:</t>
  </si>
  <si>
    <t>reduction in energy demand (%)</t>
  </si>
  <si>
    <t>1) upgrade of energy efficiency, based on two numbers from the database: energy consumption before and after the retrofit (by type of energy).</t>
  </si>
  <si>
    <t>2) introduction of an on-site renewable energy system, based on the user input (% of energy consumption from renewables)</t>
  </si>
  <si>
    <t>The energy consumption before and after the retrofit is announced using the energy rating (A...E).</t>
  </si>
  <si>
    <t>The result for each cell is calculated as follows (electricity 2022 as example):</t>
  </si>
  <si>
    <t xml:space="preserve">   number of units is a user input from cell C113</t>
  </si>
  <si>
    <r>
      <t>energy cons</t>
    </r>
    <r>
      <rPr>
        <vertAlign val="subscript"/>
        <sz val="10"/>
        <color theme="1"/>
        <rFont val="Albertus Medium"/>
        <family val="2"/>
      </rPr>
      <t>BEFORE</t>
    </r>
  </si>
  <si>
    <r>
      <t>energy cons</t>
    </r>
    <r>
      <rPr>
        <vertAlign val="subscript"/>
        <sz val="10"/>
        <color theme="1"/>
        <rFont val="Albertus Medium"/>
        <family val="2"/>
      </rPr>
      <t>AFTER</t>
    </r>
  </si>
  <si>
    <t>BUI_COL(51+((A113-1)*8)+((D113-1)*32))</t>
  </si>
  <si>
    <t>BUI_COL(51+((A113-1)*8)+((E113-1)*32))</t>
  </si>
  <si>
    <t>BUI_COL(52+((A113-1)*8)+((D113-1)*32))</t>
  </si>
  <si>
    <t>BUI_COL(53+((A113-1)*8)+((D113-1)*32))</t>
  </si>
  <si>
    <t>BUI_COL(54+((A113-1)*8)+((D113-1)*32))</t>
  </si>
  <si>
    <t>BUI_COL(55+((A113-1)*8)+((D113-1)*32))</t>
  </si>
  <si>
    <t>BUI_COL(56+((A113-1)*8)+((D113-1)*32))</t>
  </si>
  <si>
    <t>BUI_COL(57+((A113-1)*8)+((D113-1)*32))</t>
  </si>
  <si>
    <t>BUI_COL(58+((A113-1)*8)+((D113-1)*32))</t>
  </si>
  <si>
    <t>BUI_COL(52+((A113-1)*8)+((E113-1)*32))</t>
  </si>
  <si>
    <t>BUI_COL(53+((A113-1)*8)+((E113-1)*32))</t>
  </si>
  <si>
    <t>BUI_COL(54+((A113-1)*8)+((E113-1)*32))</t>
  </si>
  <si>
    <t>BUI_COL(55+((A113-1)*8)+((E113-1)*32))</t>
  </si>
  <si>
    <t>BUI_COL(56+((A113-1)*8)+((E113-1)*32))</t>
  </si>
  <si>
    <t>BUI_COL(57+((A113-1)*8)+((E113-1)*32))</t>
  </si>
  <si>
    <t>BUI_COL(58+((A113-1)*8)+((E113-1)*32))</t>
  </si>
  <si>
    <t>BUI_COL(51+((A114-1)*8)+((D114-1)*32))</t>
  </si>
  <si>
    <t>BUI_COL(51+((A114-1)*8)+((E114-1)*32))</t>
  </si>
  <si>
    <t>BUI_COL(51+((A115-1)*8)+((D115-1)*32))</t>
  </si>
  <si>
    <t>BUI_COL(51+((A115-1)*8)+((E115-1)*32))</t>
  </si>
  <si>
    <t>BUI_COL(51+((A116-1)*8)+((D116-1)*32))</t>
  </si>
  <si>
    <t>BUI_COL(51+((A116-1)*8)+((E116-1)*32))</t>
  </si>
  <si>
    <t>BUI_COL(51+((A117-1)*8)+((D117-1)*32))</t>
  </si>
  <si>
    <t>BUI_COL(51+((A117-1)*8)+((E117-1)*32))</t>
  </si>
  <si>
    <t>BUI_COL(51+((A118-1)*8)+((D118-1)*32))</t>
  </si>
  <si>
    <t>BUI_COL(51+((A118-1)*8)+((E118-1)*32))</t>
  </si>
  <si>
    <t>1) upgrade of energy efficiency, based on the user input (reduction in %)</t>
  </si>
  <si>
    <t>retail</t>
  </si>
  <si>
    <t>health</t>
  </si>
  <si>
    <t>hospitality</t>
  </si>
  <si>
    <t>offices</t>
  </si>
  <si>
    <t xml:space="preserve">industrial </t>
  </si>
  <si>
    <t>warehouses</t>
  </si>
  <si>
    <t>BUI_COL (307 + ((A123 - 1) * 8)</t>
  </si>
  <si>
    <t>307 + ((5 - 1) * 8)</t>
  </si>
  <si>
    <t>= 307 + 32</t>
  </si>
  <si>
    <t>-&gt; the right column is BUI_COL339</t>
  </si>
  <si>
    <t xml:space="preserve">   floor area is a user input from cell C123</t>
  </si>
  <si>
    <t xml:space="preserve">   energy consBEFORE is collected from the database as explained above</t>
  </si>
  <si>
    <t xml:space="preserve">   energy consAFTER is energy consBEFORE * (100 - reduction percentage) / 100</t>
  </si>
  <si>
    <t xml:space="preserve">   years (calculated from user inputs) = 1 + J123 - I123</t>
  </si>
  <si>
    <t xml:space="preserve">   % of renewables = user input from cell F123</t>
  </si>
  <si>
    <t>1) the reduction in the building type category (conversion from) specified by the user</t>
  </si>
  <si>
    <t>2) the increase in the building type category (conversion to) specified by the user</t>
  </si>
  <si>
    <t xml:space="preserve">   these tables are labelled as 1a-6a below</t>
  </si>
  <si>
    <t xml:space="preserve">   these tables are labelled as 1b-6b below</t>
  </si>
  <si>
    <t>The section 8.3 calculates the impact of building conversions from one use to another. This is calculated in two parts</t>
  </si>
  <si>
    <t>BUI_COL (275 + ((A134 - 1) * 8)</t>
  </si>
  <si>
    <t>275 + ((9 - 1) * 8)</t>
  </si>
  <si>
    <t>= 275 + 64</t>
  </si>
  <si>
    <t>In the Excel equation we have "1" instead of "275" because the INDEX function collects the value from the given data range.</t>
  </si>
  <si>
    <t>In the Excel equation we have "1" instead of "307" because the INDEX function collects the value from the given data range.</t>
  </si>
  <si>
    <t>In the Excel equation we have "1" instead of "51" because the INDEX function collects the value from the given data range.</t>
  </si>
  <si>
    <r>
      <t xml:space="preserve">The section 8.1 calculates </t>
    </r>
    <r>
      <rPr>
        <b/>
        <sz val="10"/>
        <color theme="1"/>
        <rFont val="Arial Unicode MS"/>
        <family val="2"/>
        <charset val="186"/>
      </rPr>
      <t>annual reduction in energy consumption gained by retrofitting of residential buildings</t>
    </r>
    <r>
      <rPr>
        <sz val="10"/>
        <color theme="1"/>
        <rFont val="Arial Unicode MS"/>
        <family val="2"/>
        <charset val="186"/>
      </rPr>
      <t>. The saving consists of two components:</t>
    </r>
  </si>
  <si>
    <r>
      <t xml:space="preserve">The consumption data range starts from the database column </t>
    </r>
    <r>
      <rPr>
        <b/>
        <sz val="10"/>
        <color theme="1"/>
        <rFont val="Arial Unicode MS"/>
        <family val="2"/>
        <charset val="186"/>
      </rPr>
      <t>BUI_COL51</t>
    </r>
  </si>
  <si>
    <r>
      <t xml:space="preserve">The right </t>
    </r>
    <r>
      <rPr>
        <b/>
        <sz val="10"/>
        <color theme="1"/>
        <rFont val="Arial Unicode MS"/>
        <family val="2"/>
        <charset val="186"/>
      </rPr>
      <t>data column</t>
    </r>
    <r>
      <rPr>
        <sz val="10"/>
        <color theme="1"/>
        <rFont val="Arial Unicode MS"/>
        <family val="2"/>
        <charset val="186"/>
      </rPr>
      <t xml:space="preserve"> is calculated based on the two user inputs</t>
    </r>
  </si>
  <si>
    <r>
      <rPr>
        <b/>
        <sz val="10"/>
        <color theme="1"/>
        <rFont val="Arial Unicode MS"/>
        <family val="2"/>
        <charset val="186"/>
      </rPr>
      <t xml:space="preserve">1) BUILDING TYPE </t>
    </r>
    <r>
      <rPr>
        <sz val="10"/>
        <color theme="1"/>
        <rFont val="Arial Unicode MS"/>
        <family val="2"/>
        <charset val="186"/>
      </rPr>
      <t>from cell A113, which has a numeric value according to the user selection as follows:</t>
    </r>
  </si>
  <si>
    <r>
      <rPr>
        <b/>
        <sz val="10"/>
        <color theme="1"/>
        <rFont val="Arial Unicode MS"/>
        <family val="2"/>
        <charset val="186"/>
      </rPr>
      <t xml:space="preserve">2) ENERGY RATING </t>
    </r>
    <r>
      <rPr>
        <sz val="10"/>
        <color theme="1"/>
        <rFont val="Arial Unicode MS"/>
        <family val="2"/>
        <charset val="186"/>
      </rPr>
      <t>from cell D113, which has a numeric value according to the user selection as follows:</t>
    </r>
  </si>
  <si>
    <r>
      <rPr>
        <b/>
        <sz val="10"/>
        <color theme="1"/>
        <rFont val="Arial Unicode MS"/>
        <family val="2"/>
        <charset val="186"/>
      </rPr>
      <t>EXAMPLE 1:</t>
    </r>
    <r>
      <rPr>
        <sz val="10"/>
        <color theme="1"/>
        <rFont val="Arial Unicode MS"/>
        <family val="2"/>
        <charset val="186"/>
      </rPr>
      <t xml:space="preserve"> If Building type selection is "apartment", the value of the cell A113 = 1</t>
    </r>
  </si>
  <si>
    <r>
      <rPr>
        <b/>
        <sz val="10"/>
        <color theme="1"/>
        <rFont val="Arial Unicode MS"/>
        <family val="2"/>
        <charset val="186"/>
      </rPr>
      <t>EXAMPLE 2:</t>
    </r>
    <r>
      <rPr>
        <sz val="10"/>
        <color theme="1"/>
        <rFont val="Arial Unicode MS"/>
        <family val="2"/>
        <charset val="186"/>
      </rPr>
      <t xml:space="preserve"> If Building type selection is "terraced", the value of the cell A113 = 2</t>
    </r>
  </si>
  <si>
    <r>
      <t xml:space="preserve">The </t>
    </r>
    <r>
      <rPr>
        <b/>
        <sz val="10"/>
        <color theme="1"/>
        <rFont val="Arial Unicode MS"/>
        <family val="2"/>
        <charset val="186"/>
      </rPr>
      <t>data row</t>
    </r>
    <r>
      <rPr>
        <sz val="10"/>
        <color theme="1"/>
        <rFont val="Arial Unicode MS"/>
        <family val="2"/>
        <charset val="186"/>
      </rPr>
      <t xml:space="preserve"> is always according to the country selection on the Start page (cell B3).</t>
    </r>
  </si>
  <si>
    <r>
      <t>GHG</t>
    </r>
    <r>
      <rPr>
        <b/>
        <vertAlign val="subscript"/>
        <sz val="10"/>
        <color theme="1"/>
        <rFont val="Arial Unicode MS"/>
        <family val="2"/>
        <charset val="186"/>
      </rPr>
      <t>electricity_2022</t>
    </r>
    <r>
      <rPr>
        <b/>
        <sz val="10"/>
        <color theme="1"/>
        <rFont val="Arial Unicode MS"/>
        <family val="2"/>
        <charset val="186"/>
      </rPr>
      <t xml:space="preserve"> = GHG</t>
    </r>
    <r>
      <rPr>
        <b/>
        <vertAlign val="subscript"/>
        <sz val="10"/>
        <color theme="1"/>
        <rFont val="Arial Unicode MS"/>
        <family val="2"/>
        <charset val="186"/>
      </rPr>
      <t>electricity_2021</t>
    </r>
    <r>
      <rPr>
        <b/>
        <sz val="10"/>
        <color theme="1"/>
        <rFont val="Arial Unicode MS"/>
        <family val="2"/>
        <charset val="186"/>
      </rPr>
      <t xml:space="preserve"> + (number of units * ((energy cons</t>
    </r>
    <r>
      <rPr>
        <b/>
        <vertAlign val="subscript"/>
        <sz val="10"/>
        <color theme="1"/>
        <rFont val="Arial Unicode MS"/>
        <family val="2"/>
        <charset val="186"/>
      </rPr>
      <t>BEFORE</t>
    </r>
    <r>
      <rPr>
        <b/>
        <sz val="10"/>
        <color theme="1"/>
        <rFont val="Arial Unicode MS"/>
        <family val="2"/>
        <charset val="186"/>
      </rPr>
      <t xml:space="preserve"> - energy cons</t>
    </r>
    <r>
      <rPr>
        <b/>
        <vertAlign val="subscript"/>
        <sz val="10"/>
        <color theme="1"/>
        <rFont val="Arial Unicode MS"/>
        <family val="2"/>
        <charset val="186"/>
      </rPr>
      <t>AFTER</t>
    </r>
    <r>
      <rPr>
        <b/>
        <sz val="10"/>
        <color theme="1"/>
        <rFont val="Arial Unicode MS"/>
        <family val="2"/>
        <charset val="186"/>
      </rPr>
      <t>) + (% of renewables / 100 * energy cons</t>
    </r>
    <r>
      <rPr>
        <b/>
        <vertAlign val="subscript"/>
        <sz val="10"/>
        <color theme="1"/>
        <rFont val="Arial Unicode MS"/>
        <family val="2"/>
        <charset val="186"/>
      </rPr>
      <t>AFTER</t>
    </r>
    <r>
      <rPr>
        <b/>
        <sz val="10"/>
        <color theme="1"/>
        <rFont val="Arial Unicode MS"/>
        <family val="2"/>
        <charset val="186"/>
      </rPr>
      <t>)) * emission factor / years / 1 000 000)</t>
    </r>
  </si>
  <si>
    <r>
      <t xml:space="preserve">The section 8.2 calculates </t>
    </r>
    <r>
      <rPr>
        <b/>
        <sz val="10"/>
        <color theme="1"/>
        <rFont val="Arial Unicode MS"/>
        <family val="2"/>
        <charset val="186"/>
      </rPr>
      <t>annual reduction in energy consumption gained by retrofitting of commercial buildings</t>
    </r>
    <r>
      <rPr>
        <sz val="10"/>
        <color theme="1"/>
        <rFont val="Arial Unicode MS"/>
        <family val="2"/>
        <charset val="186"/>
      </rPr>
      <t>. The saving consists of two components:</t>
    </r>
  </si>
  <si>
    <r>
      <t xml:space="preserve">The consumption data range starts from the database column </t>
    </r>
    <r>
      <rPr>
        <b/>
        <sz val="10"/>
        <color theme="1"/>
        <rFont val="Arial Unicode MS"/>
        <family val="2"/>
        <charset val="186"/>
      </rPr>
      <t>BUI_COL307</t>
    </r>
  </si>
  <si>
    <r>
      <t xml:space="preserve">The right </t>
    </r>
    <r>
      <rPr>
        <b/>
        <sz val="10"/>
        <color theme="1"/>
        <rFont val="Arial Unicode MS"/>
        <family val="2"/>
        <charset val="186"/>
      </rPr>
      <t>data column</t>
    </r>
    <r>
      <rPr>
        <sz val="10"/>
        <color theme="1"/>
        <rFont val="Arial Unicode MS"/>
        <family val="2"/>
        <charset val="186"/>
      </rPr>
      <t xml:space="preserve"> is calculated based on a single user input:</t>
    </r>
  </si>
  <si>
    <r>
      <rPr>
        <b/>
        <sz val="10"/>
        <color theme="1"/>
        <rFont val="Arial Unicode MS"/>
        <family val="2"/>
        <charset val="186"/>
      </rPr>
      <t xml:space="preserve">BUILDING TYPE </t>
    </r>
    <r>
      <rPr>
        <sz val="10"/>
        <color theme="1"/>
        <rFont val="Arial Unicode MS"/>
        <family val="2"/>
        <charset val="186"/>
      </rPr>
      <t>from cell A123, which has a numeric value according to the user selection as follows:</t>
    </r>
  </si>
  <si>
    <r>
      <rPr>
        <b/>
        <sz val="10"/>
        <color theme="1"/>
        <rFont val="Arial Unicode MS"/>
        <family val="2"/>
        <charset val="186"/>
      </rPr>
      <t>EXAMPLE 1:</t>
    </r>
    <r>
      <rPr>
        <sz val="10"/>
        <color theme="1"/>
        <rFont val="Arial Unicode MS"/>
        <family val="2"/>
        <charset val="186"/>
      </rPr>
      <t xml:space="preserve"> If Building type selection is "industrial", the value of the cell A123 = 5</t>
    </r>
  </si>
  <si>
    <t>If the selected building type is residential, then the floor area (user input from cell E134) has to be divided by average floor area per residential unit type to get the number of residential units.</t>
  </si>
  <si>
    <t>The average floor area per residential unit type is provided in the database columns BUI_COL42-BUI_COL45.</t>
  </si>
  <si>
    <t xml:space="preserve">   floor area is a user input from cell E134</t>
  </si>
  <si>
    <t xml:space="preserve">   emission factor (EF) is collected from row4 (grid electricity), row5 (district heating) or the database</t>
  </si>
  <si>
    <t xml:space="preserve">   years (calculated from user inputs) = 1 + J134 - I134</t>
  </si>
  <si>
    <r>
      <t>GHG</t>
    </r>
    <r>
      <rPr>
        <b/>
        <vertAlign val="subscript"/>
        <sz val="10"/>
        <color theme="1"/>
        <rFont val="Arial Unicode MS"/>
        <family val="2"/>
        <charset val="186"/>
      </rPr>
      <t>electricity_2022</t>
    </r>
    <r>
      <rPr>
        <b/>
        <sz val="10"/>
        <color theme="1"/>
        <rFont val="Arial Unicode MS"/>
        <family val="2"/>
        <charset val="186"/>
      </rPr>
      <t xml:space="preserve"> = GHG</t>
    </r>
    <r>
      <rPr>
        <b/>
        <vertAlign val="subscript"/>
        <sz val="10"/>
        <color theme="1"/>
        <rFont val="Arial Unicode MS"/>
        <family val="2"/>
        <charset val="186"/>
      </rPr>
      <t>electricity_2021</t>
    </r>
    <r>
      <rPr>
        <b/>
        <sz val="10"/>
        <color theme="1"/>
        <rFont val="Arial Unicode MS"/>
        <family val="2"/>
        <charset val="186"/>
      </rPr>
      <t xml:space="preserve"> + (floor area * energy consumption * emission factor / years / 1 000 000)</t>
    </r>
  </si>
  <si>
    <r>
      <t xml:space="preserve">The consumption data range starts from the database column </t>
    </r>
    <r>
      <rPr>
        <b/>
        <sz val="10"/>
        <color theme="1"/>
        <rFont val="Arial Unicode MS"/>
        <family val="2"/>
        <charset val="186"/>
      </rPr>
      <t>BUI_COL275</t>
    </r>
  </si>
  <si>
    <r>
      <rPr>
        <b/>
        <sz val="10"/>
        <color theme="1"/>
        <rFont val="Arial Unicode MS"/>
        <family val="2"/>
        <charset val="186"/>
      </rPr>
      <t>EXAMPLE 1:</t>
    </r>
    <r>
      <rPr>
        <sz val="10"/>
        <color theme="1"/>
        <rFont val="Arial Unicode MS"/>
        <family val="2"/>
        <charset val="186"/>
      </rPr>
      <t xml:space="preserve"> If Building type selection in A134 is "industrial", the value of the cell A134 = 9</t>
    </r>
  </si>
  <si>
    <r>
      <t>reduced cons./m</t>
    </r>
    <r>
      <rPr>
        <vertAlign val="superscript"/>
        <sz val="10"/>
        <color theme="1"/>
        <rFont val="Arial Unicode MS"/>
        <family val="2"/>
        <charset val="186"/>
      </rPr>
      <t>2</t>
    </r>
  </si>
  <si>
    <r>
      <t>increased cons./m</t>
    </r>
    <r>
      <rPr>
        <vertAlign val="superscript"/>
        <sz val="10"/>
        <color theme="1"/>
        <rFont val="Arial Unicode MS"/>
        <family val="2"/>
        <charset val="186"/>
      </rPr>
      <t>2</t>
    </r>
  </si>
  <si>
    <t>b-tables are calculated the same way than a-tables; but the selection of the building type comes from C134 instead of A134.</t>
  </si>
  <si>
    <t>GHG emissions from the energy use in buildings by unit type and source of heating energy</t>
  </si>
  <si>
    <t>policy period (years)</t>
  </si>
  <si>
    <t>J117-I117+1</t>
  </si>
  <si>
    <t>J118-I118+1</t>
  </si>
  <si>
    <t>J113-I113+1</t>
  </si>
  <si>
    <t>J114-I114+1</t>
  </si>
  <si>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a-1</t>
    </r>
    <r>
      <rPr>
        <sz val="10"/>
        <color theme="1"/>
        <rFont val="Arial Unicode MS"/>
        <family val="2"/>
        <charset val="186"/>
      </rPr>
      <t xml:space="preserve"> + (C113 * (energy cons</t>
    </r>
    <r>
      <rPr>
        <vertAlign val="subscript"/>
        <sz val="10"/>
        <color theme="1"/>
        <rFont val="Arial Unicode MS"/>
        <family val="2"/>
        <charset val="186"/>
      </rPr>
      <t>BEFORE</t>
    </r>
    <r>
      <rPr>
        <sz val="10"/>
        <color theme="1"/>
        <rFont val="Arial Unicode MS"/>
        <family val="2"/>
        <charset val="186"/>
      </rPr>
      <t xml:space="preserve"> - energy cons</t>
    </r>
    <r>
      <rPr>
        <vertAlign val="subscript"/>
        <sz val="10"/>
        <color theme="1"/>
        <rFont val="Arial Unicode MS"/>
        <family val="2"/>
        <charset val="186"/>
      </rPr>
      <t>AFTER</t>
    </r>
    <r>
      <rPr>
        <sz val="10"/>
        <color theme="1"/>
        <rFont val="Arial Unicode MS"/>
        <family val="2"/>
        <charset val="186"/>
      </rPr>
      <t xml:space="preserve"> + (F113/100 * energy cons</t>
    </r>
    <r>
      <rPr>
        <vertAlign val="subscript"/>
        <sz val="10"/>
        <color theme="1"/>
        <rFont val="Arial Unicode MS"/>
        <family val="2"/>
        <charset val="186"/>
      </rPr>
      <t>AFTER</t>
    </r>
    <r>
      <rPr>
        <sz val="10"/>
        <color theme="1"/>
        <rFont val="Arial Unicode MS"/>
        <family val="2"/>
        <charset val="186"/>
      </rPr>
      <t>)) * EF / policy period / 1000000)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</si>
  <si>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a-1</t>
    </r>
    <r>
      <rPr>
        <sz val="10"/>
        <color theme="1"/>
        <rFont val="Arial Unicode MS"/>
        <family val="2"/>
        <charset val="186"/>
      </rPr>
      <t xml:space="preserve"> + (C114 * (energy cons</t>
    </r>
    <r>
      <rPr>
        <vertAlign val="subscript"/>
        <sz val="10"/>
        <color theme="1"/>
        <rFont val="Arial Unicode MS"/>
        <family val="2"/>
        <charset val="186"/>
      </rPr>
      <t>BEFORE</t>
    </r>
    <r>
      <rPr>
        <sz val="10"/>
        <color theme="1"/>
        <rFont val="Arial Unicode MS"/>
        <family val="2"/>
        <charset val="186"/>
      </rPr>
      <t xml:space="preserve"> - energy cons</t>
    </r>
    <r>
      <rPr>
        <vertAlign val="subscript"/>
        <sz val="10"/>
        <color theme="1"/>
        <rFont val="Arial Unicode MS"/>
        <family val="2"/>
        <charset val="186"/>
      </rPr>
      <t>AFTER</t>
    </r>
    <r>
      <rPr>
        <sz val="10"/>
        <color theme="1"/>
        <rFont val="Arial Unicode MS"/>
        <family val="2"/>
        <charset val="186"/>
      </rPr>
      <t xml:space="preserve"> + (F114/100 * energy cons</t>
    </r>
    <r>
      <rPr>
        <vertAlign val="subscript"/>
        <sz val="10"/>
        <color theme="1"/>
        <rFont val="Arial Unicode MS"/>
        <family val="2"/>
        <charset val="186"/>
      </rPr>
      <t>AFTER</t>
    </r>
    <r>
      <rPr>
        <sz val="10"/>
        <color theme="1"/>
        <rFont val="Arial Unicode MS"/>
        <family val="2"/>
        <charset val="186"/>
      </rPr>
      <t>)) * EF / policy period / 1000000)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</si>
  <si>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a-1</t>
    </r>
    <r>
      <rPr>
        <sz val="10"/>
        <color theme="1"/>
        <rFont val="Arial Unicode MS"/>
        <family val="2"/>
        <charset val="186"/>
      </rPr>
      <t xml:space="preserve"> + (C115 * (energy cons</t>
    </r>
    <r>
      <rPr>
        <vertAlign val="subscript"/>
        <sz val="10"/>
        <color theme="1"/>
        <rFont val="Arial Unicode MS"/>
        <family val="2"/>
        <charset val="186"/>
      </rPr>
      <t>BEFORE</t>
    </r>
    <r>
      <rPr>
        <sz val="10"/>
        <color theme="1"/>
        <rFont val="Arial Unicode MS"/>
        <family val="2"/>
        <charset val="186"/>
      </rPr>
      <t xml:space="preserve"> - energy cons</t>
    </r>
    <r>
      <rPr>
        <vertAlign val="subscript"/>
        <sz val="10"/>
        <color theme="1"/>
        <rFont val="Arial Unicode MS"/>
        <family val="2"/>
        <charset val="186"/>
      </rPr>
      <t>AFTER</t>
    </r>
    <r>
      <rPr>
        <sz val="10"/>
        <color theme="1"/>
        <rFont val="Arial Unicode MS"/>
        <family val="2"/>
        <charset val="186"/>
      </rPr>
      <t xml:space="preserve"> + (F115/100 * energy cons</t>
    </r>
    <r>
      <rPr>
        <vertAlign val="subscript"/>
        <sz val="10"/>
        <color theme="1"/>
        <rFont val="Arial Unicode MS"/>
        <family val="2"/>
        <charset val="186"/>
      </rPr>
      <t>AFTER</t>
    </r>
    <r>
      <rPr>
        <sz val="10"/>
        <color theme="1"/>
        <rFont val="Arial Unicode MS"/>
        <family val="2"/>
        <charset val="186"/>
      </rPr>
      <t>)) * EF / policy period / 1000000)</t>
    </r>
  </si>
  <si>
    <t>J115-I115+1</t>
  </si>
  <si>
    <t>J116-I116+1</t>
  </si>
  <si>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a-1</t>
    </r>
    <r>
      <rPr>
        <sz val="10"/>
        <color theme="1"/>
        <rFont val="Arial Unicode MS"/>
        <family val="2"/>
        <charset val="186"/>
      </rPr>
      <t xml:space="preserve"> + (C116 * (energy cons</t>
    </r>
    <r>
      <rPr>
        <vertAlign val="subscript"/>
        <sz val="10"/>
        <color theme="1"/>
        <rFont val="Arial Unicode MS"/>
        <family val="2"/>
        <charset val="186"/>
      </rPr>
      <t>BEFORE</t>
    </r>
    <r>
      <rPr>
        <sz val="10"/>
        <color theme="1"/>
        <rFont val="Arial Unicode MS"/>
        <family val="2"/>
        <charset val="186"/>
      </rPr>
      <t xml:space="preserve"> - energy cons</t>
    </r>
    <r>
      <rPr>
        <vertAlign val="subscript"/>
        <sz val="10"/>
        <color theme="1"/>
        <rFont val="Arial Unicode MS"/>
        <family val="2"/>
        <charset val="186"/>
      </rPr>
      <t>AFTER</t>
    </r>
    <r>
      <rPr>
        <sz val="10"/>
        <color theme="1"/>
        <rFont val="Arial Unicode MS"/>
        <family val="2"/>
        <charset val="186"/>
      </rPr>
      <t xml:space="preserve"> + (F116/100 * energy cons</t>
    </r>
    <r>
      <rPr>
        <vertAlign val="subscript"/>
        <sz val="10"/>
        <color theme="1"/>
        <rFont val="Arial Unicode MS"/>
        <family val="2"/>
        <charset val="186"/>
      </rPr>
      <t>AFTER</t>
    </r>
    <r>
      <rPr>
        <sz val="10"/>
        <color theme="1"/>
        <rFont val="Arial Unicode MS"/>
        <family val="2"/>
        <charset val="186"/>
      </rPr>
      <t>)) * EF / policy period / 1000000)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</si>
  <si>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a-1</t>
    </r>
    <r>
      <rPr>
        <sz val="10"/>
        <color theme="1"/>
        <rFont val="Arial Unicode MS"/>
        <family val="2"/>
        <charset val="186"/>
      </rPr>
      <t xml:space="preserve"> + (C117 * (energy cons</t>
    </r>
    <r>
      <rPr>
        <vertAlign val="subscript"/>
        <sz val="10"/>
        <color theme="1"/>
        <rFont val="Arial Unicode MS"/>
        <family val="2"/>
        <charset val="186"/>
      </rPr>
      <t>BEFORE</t>
    </r>
    <r>
      <rPr>
        <sz val="10"/>
        <color theme="1"/>
        <rFont val="Arial Unicode MS"/>
        <family val="2"/>
        <charset val="186"/>
      </rPr>
      <t xml:space="preserve"> - energy cons</t>
    </r>
    <r>
      <rPr>
        <vertAlign val="subscript"/>
        <sz val="10"/>
        <color theme="1"/>
        <rFont val="Arial Unicode MS"/>
        <family val="2"/>
        <charset val="186"/>
      </rPr>
      <t>AFTER</t>
    </r>
    <r>
      <rPr>
        <sz val="10"/>
        <color theme="1"/>
        <rFont val="Arial Unicode MS"/>
        <family val="2"/>
        <charset val="186"/>
      </rPr>
      <t xml:space="preserve"> + (F117/100 * energy cons</t>
    </r>
    <r>
      <rPr>
        <vertAlign val="subscript"/>
        <sz val="10"/>
        <color theme="1"/>
        <rFont val="Arial Unicode MS"/>
        <family val="2"/>
        <charset val="186"/>
      </rPr>
      <t>AFTER</t>
    </r>
    <r>
      <rPr>
        <sz val="10"/>
        <color theme="1"/>
        <rFont val="Arial Unicode MS"/>
        <family val="2"/>
        <charset val="186"/>
      </rPr>
      <t>)) * EF / policy period / 1000000)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</si>
  <si>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a-1</t>
    </r>
    <r>
      <rPr>
        <sz val="10"/>
        <color theme="1"/>
        <rFont val="Arial Unicode MS"/>
        <family val="2"/>
        <charset val="186"/>
      </rPr>
      <t xml:space="preserve"> + (C118 * (energy cons</t>
    </r>
    <r>
      <rPr>
        <vertAlign val="subscript"/>
        <sz val="10"/>
        <color theme="1"/>
        <rFont val="Arial Unicode MS"/>
        <family val="2"/>
        <charset val="186"/>
      </rPr>
      <t>BEFORE</t>
    </r>
    <r>
      <rPr>
        <sz val="10"/>
        <color theme="1"/>
        <rFont val="Arial Unicode MS"/>
        <family val="2"/>
        <charset val="186"/>
      </rPr>
      <t xml:space="preserve"> - energy cons</t>
    </r>
    <r>
      <rPr>
        <vertAlign val="subscript"/>
        <sz val="10"/>
        <color theme="1"/>
        <rFont val="Arial Unicode MS"/>
        <family val="2"/>
        <charset val="186"/>
      </rPr>
      <t>AFTER</t>
    </r>
    <r>
      <rPr>
        <sz val="10"/>
        <color theme="1"/>
        <rFont val="Arial Unicode MS"/>
        <family val="2"/>
        <charset val="186"/>
      </rPr>
      <t xml:space="preserve"> + (F118/100 * energy cons</t>
    </r>
    <r>
      <rPr>
        <vertAlign val="subscript"/>
        <sz val="10"/>
        <color theme="1"/>
        <rFont val="Arial Unicode MS"/>
        <family val="2"/>
        <charset val="186"/>
      </rPr>
      <t>AFTER</t>
    </r>
    <r>
      <rPr>
        <sz val="10"/>
        <color theme="1"/>
        <rFont val="Arial Unicode MS"/>
        <family val="2"/>
        <charset val="186"/>
      </rPr>
      <t>)) * EF / policy period / 1000000)</t>
    </r>
  </si>
  <si>
    <r>
      <t xml:space="preserve">The right </t>
    </r>
    <r>
      <rPr>
        <b/>
        <sz val="10"/>
        <color theme="1"/>
        <rFont val="Arial Unicode MS"/>
        <family val="2"/>
        <charset val="186"/>
      </rPr>
      <t>data column for energy cons</t>
    </r>
    <r>
      <rPr>
        <b/>
        <vertAlign val="subscript"/>
        <sz val="10"/>
        <color theme="1"/>
        <rFont val="Arial Unicode MS"/>
        <family val="2"/>
        <charset val="186"/>
      </rPr>
      <t>BEFORE</t>
    </r>
    <r>
      <rPr>
        <sz val="10"/>
        <color theme="1"/>
        <rFont val="Arial Unicode MS"/>
        <family val="2"/>
        <charset val="186"/>
      </rPr>
      <t xml:space="preserve"> is calculated based on a single user input:</t>
    </r>
  </si>
  <si>
    <r>
      <t>GHG</t>
    </r>
    <r>
      <rPr>
        <b/>
        <vertAlign val="subscript"/>
        <sz val="10"/>
        <color theme="1"/>
        <rFont val="Arial Unicode MS"/>
        <family val="2"/>
        <charset val="186"/>
      </rPr>
      <t>electricity_2022</t>
    </r>
    <r>
      <rPr>
        <b/>
        <sz val="10"/>
        <color theme="1"/>
        <rFont val="Arial Unicode MS"/>
        <family val="2"/>
        <charset val="186"/>
      </rPr>
      <t xml:space="preserve"> = GHG</t>
    </r>
    <r>
      <rPr>
        <b/>
        <vertAlign val="subscript"/>
        <sz val="10"/>
        <color theme="1"/>
        <rFont val="Arial Unicode MS"/>
        <family val="2"/>
        <charset val="186"/>
      </rPr>
      <t>electricity_2021</t>
    </r>
    <r>
      <rPr>
        <b/>
        <sz val="10"/>
        <color theme="1"/>
        <rFont val="Arial Unicode MS"/>
        <family val="2"/>
        <charset val="186"/>
      </rPr>
      <t xml:space="preserve"> + (floor area * ((energy cons</t>
    </r>
    <r>
      <rPr>
        <b/>
        <vertAlign val="subscript"/>
        <sz val="10"/>
        <color theme="1"/>
        <rFont val="Arial Unicode MS"/>
        <family val="2"/>
        <charset val="186"/>
      </rPr>
      <t xml:space="preserve">BEFORE </t>
    </r>
    <r>
      <rPr>
        <b/>
        <sz val="10"/>
        <color theme="1"/>
        <rFont val="Arial Unicode MS"/>
        <family val="2"/>
        <charset val="186"/>
      </rPr>
      <t>* reduction percentage / 100) + (% of renewables / 100 * energy cons</t>
    </r>
    <r>
      <rPr>
        <b/>
        <vertAlign val="subscript"/>
        <sz val="10"/>
        <color theme="1"/>
        <rFont val="Arial Unicode MS"/>
        <family val="2"/>
        <charset val="186"/>
      </rPr>
      <t>AFTER</t>
    </r>
    <r>
      <rPr>
        <b/>
        <sz val="10"/>
        <color theme="1"/>
        <rFont val="Arial Unicode MS"/>
        <family val="2"/>
        <charset val="186"/>
      </rPr>
      <t>)) * emission factor / years / 1 000 000)</t>
    </r>
  </si>
  <si>
    <t xml:space="preserve">   reduction percentage = the user input from cell E123</t>
  </si>
  <si>
    <t>BUI_COL (307 + ((A123 - 1) * 8) * (100 - E123) / 100</t>
  </si>
  <si>
    <t>J123-I123+1</t>
  </si>
  <si>
    <t>EQUATIONS</t>
  </si>
  <si>
    <t>BUI_COL (307 + ((A124 - 1) * 8)</t>
  </si>
  <si>
    <t>BUI_COL (307 + ((A124 - 1) * 8) * (100 - E124) / 100</t>
  </si>
  <si>
    <t>J124-I124+1</t>
  </si>
  <si>
    <t>BUI_COL (307 + ((A124 - 1) * 8) * (100 - E124) / 101</t>
  </si>
  <si>
    <t>BUI_COL (307 + ((A124 - 1) * 8) * (100 - E124) / 102</t>
  </si>
  <si>
    <t>BUI_COL (307 + ((A124 - 1) * 8) * (100 - E124) / 103</t>
  </si>
  <si>
    <t>BUI_COL (307 + ((A124 - 1) * 8) * (100 - E124) / 104</t>
  </si>
  <si>
    <t>BUI_COL (307 + ((A124 - 1) * 8) * (100 - E124) / 105</t>
  </si>
  <si>
    <t>BUI_COL (307 + ((A124 - 1) * 8) * (100 - E124) / 106</t>
  </si>
  <si>
    <t>BUI_COL (307 + ((A124 - 1) * 8) * (100 - E124) / 107</t>
  </si>
  <si>
    <r>
      <t>energy cons</t>
    </r>
    <r>
      <rPr>
        <vertAlign val="subscript"/>
        <sz val="10"/>
        <color theme="1"/>
        <rFont val="Arial Unicode MS"/>
        <family val="2"/>
        <charset val="186"/>
      </rPr>
      <t>BEFORE</t>
    </r>
  </si>
  <si>
    <r>
      <t>energy cons</t>
    </r>
    <r>
      <rPr>
        <vertAlign val="subscript"/>
        <sz val="10"/>
        <color theme="1"/>
        <rFont val="Arial Unicode MS"/>
        <family val="2"/>
        <charset val="186"/>
      </rPr>
      <t>AFTER</t>
    </r>
  </si>
  <si>
    <t>BUI_COL (307 + ((A125 - 1) * 8)</t>
  </si>
  <si>
    <t>BUI_COL (307 + ((A125 - 1) * 8) * (100 - E125) / 100</t>
  </si>
  <si>
    <t>J125-I125+1</t>
  </si>
  <si>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C123 * ((energy cons</t>
    </r>
    <r>
      <rPr>
        <vertAlign val="subscript"/>
        <sz val="10"/>
        <color theme="1"/>
        <rFont val="Arial Unicode MS"/>
        <family val="2"/>
        <charset val="186"/>
      </rPr>
      <t>BEFORE</t>
    </r>
    <r>
      <rPr>
        <sz val="10"/>
        <color theme="1"/>
        <rFont val="Arial Unicode MS"/>
        <family val="2"/>
        <charset val="186"/>
      </rPr>
      <t xml:space="preserve"> * reduction percentage E123 / 100) + (renewables percentage F123 / 100 * energy cons</t>
    </r>
    <r>
      <rPr>
        <vertAlign val="subscript"/>
        <sz val="10"/>
        <color theme="1"/>
        <rFont val="Arial Unicode MS"/>
        <family val="2"/>
        <charset val="186"/>
      </rPr>
      <t>AFTER</t>
    </r>
    <r>
      <rPr>
        <sz val="10"/>
        <color theme="1"/>
        <rFont val="Arial Unicode MS"/>
        <family val="2"/>
        <charset val="186"/>
      </rPr>
      <t>)) * EF / policy period / 1 000 000)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</si>
  <si>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C124 * ((energy cons</t>
    </r>
    <r>
      <rPr>
        <vertAlign val="subscript"/>
        <sz val="10"/>
        <color theme="1"/>
        <rFont val="Arial Unicode MS"/>
        <family val="2"/>
        <charset val="186"/>
      </rPr>
      <t>BEFORE</t>
    </r>
    <r>
      <rPr>
        <sz val="10"/>
        <color theme="1"/>
        <rFont val="Arial Unicode MS"/>
        <family val="2"/>
        <charset val="186"/>
      </rPr>
      <t xml:space="preserve"> * reduction percentage E124 / 100) + (renewables percentage F124 / 100 * energy cons</t>
    </r>
    <r>
      <rPr>
        <vertAlign val="subscript"/>
        <sz val="10"/>
        <color theme="1"/>
        <rFont val="Arial Unicode MS"/>
        <family val="2"/>
        <charset val="186"/>
      </rPr>
      <t>AFTER</t>
    </r>
    <r>
      <rPr>
        <sz val="10"/>
        <color theme="1"/>
        <rFont val="Arial Unicode MS"/>
        <family val="2"/>
        <charset val="186"/>
      </rPr>
      <t>)) * EF / policy period / 1 000 000)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</si>
  <si>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C125 * ((energy cons</t>
    </r>
    <r>
      <rPr>
        <vertAlign val="subscript"/>
        <sz val="10"/>
        <color theme="1"/>
        <rFont val="Arial Unicode MS"/>
        <family val="2"/>
        <charset val="186"/>
      </rPr>
      <t>BEFORE</t>
    </r>
    <r>
      <rPr>
        <sz val="10"/>
        <color theme="1"/>
        <rFont val="Arial Unicode MS"/>
        <family val="2"/>
        <charset val="186"/>
      </rPr>
      <t xml:space="preserve"> * reduction percentage E125 / 100) + (renewables percentage F125 / 100 * energy cons</t>
    </r>
    <r>
      <rPr>
        <vertAlign val="subscript"/>
        <sz val="10"/>
        <color theme="1"/>
        <rFont val="Arial Unicode MS"/>
        <family val="2"/>
        <charset val="186"/>
      </rPr>
      <t>AFTER</t>
    </r>
    <r>
      <rPr>
        <sz val="10"/>
        <color theme="1"/>
        <rFont val="Arial Unicode MS"/>
        <family val="2"/>
        <charset val="186"/>
      </rPr>
      <t>)) * EF / policy period / 1 000 000)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</si>
  <si>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C126 * ((energy cons</t>
    </r>
    <r>
      <rPr>
        <vertAlign val="subscript"/>
        <sz val="10"/>
        <color theme="1"/>
        <rFont val="Arial Unicode MS"/>
        <family val="2"/>
        <charset val="186"/>
      </rPr>
      <t>BEFORE</t>
    </r>
    <r>
      <rPr>
        <sz val="10"/>
        <color theme="1"/>
        <rFont val="Arial Unicode MS"/>
        <family val="2"/>
        <charset val="186"/>
      </rPr>
      <t xml:space="preserve"> * reduction percentage E126 / 100) + (renewables percentage F126 / 100 * energy cons</t>
    </r>
    <r>
      <rPr>
        <vertAlign val="subscript"/>
        <sz val="10"/>
        <color theme="1"/>
        <rFont val="Arial Unicode MS"/>
        <family val="2"/>
        <charset val="186"/>
      </rPr>
      <t>AFTER</t>
    </r>
    <r>
      <rPr>
        <sz val="10"/>
        <color theme="1"/>
        <rFont val="Arial Unicode MS"/>
        <family val="2"/>
        <charset val="186"/>
      </rPr>
      <t>)) * EF / policy period / 1 000 000)</t>
    </r>
  </si>
  <si>
    <t>BUI_COL (307 + ((A126 - 1) * 8)</t>
  </si>
  <si>
    <t>BUI_COL (307 + ((A126 - 1) * 8) * (100 - E126) / 100</t>
  </si>
  <si>
    <t>J126-I126+1</t>
  </si>
  <si>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C127 * ((energy cons</t>
    </r>
    <r>
      <rPr>
        <vertAlign val="subscript"/>
        <sz val="10"/>
        <color theme="1"/>
        <rFont val="Arial Unicode MS"/>
        <family val="2"/>
        <charset val="186"/>
      </rPr>
      <t>BEFORE</t>
    </r>
    <r>
      <rPr>
        <sz val="10"/>
        <color theme="1"/>
        <rFont val="Arial Unicode MS"/>
        <family val="2"/>
        <charset val="186"/>
      </rPr>
      <t xml:space="preserve"> * reduction percentage E127 / 100) + (renewables percentage F127 / 100 * energy cons</t>
    </r>
    <r>
      <rPr>
        <vertAlign val="subscript"/>
        <sz val="10"/>
        <color theme="1"/>
        <rFont val="Arial Unicode MS"/>
        <family val="2"/>
        <charset val="186"/>
      </rPr>
      <t>AFTER</t>
    </r>
    <r>
      <rPr>
        <sz val="10"/>
        <color theme="1"/>
        <rFont val="Arial Unicode MS"/>
        <family val="2"/>
        <charset val="186"/>
      </rPr>
      <t>)) * EF / policy period / 1 000 000)</t>
    </r>
  </si>
  <si>
    <t>BUI_COL (307 + ((A127 - 1) * 8)</t>
  </si>
  <si>
    <t>BUI_COL (307 + ((A127 - 1) * 8) * (100 - E127) / 100</t>
  </si>
  <si>
    <t>J127-I127+1</t>
  </si>
  <si>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C128 * ((energy cons</t>
    </r>
    <r>
      <rPr>
        <vertAlign val="subscript"/>
        <sz val="10"/>
        <color theme="1"/>
        <rFont val="Arial Unicode MS"/>
        <family val="2"/>
        <charset val="186"/>
      </rPr>
      <t>BEFORE</t>
    </r>
    <r>
      <rPr>
        <sz val="10"/>
        <color theme="1"/>
        <rFont val="Arial Unicode MS"/>
        <family val="2"/>
        <charset val="186"/>
      </rPr>
      <t xml:space="preserve"> * reduction percentage E128 / 100) + (renewables percentage F128 / 100 * energy cons</t>
    </r>
    <r>
      <rPr>
        <vertAlign val="subscript"/>
        <sz val="10"/>
        <color theme="1"/>
        <rFont val="Arial Unicode MS"/>
        <family val="2"/>
        <charset val="186"/>
      </rPr>
      <t>AFTER</t>
    </r>
    <r>
      <rPr>
        <sz val="10"/>
        <color theme="1"/>
        <rFont val="Arial Unicode MS"/>
        <family val="2"/>
        <charset val="186"/>
      </rPr>
      <t>)) * EF / policy period / 1 000 000)</t>
    </r>
  </si>
  <si>
    <t>BUI_COL (307 + ((A128 - 1) * 8)</t>
  </si>
  <si>
    <t>BUI_COL (307 + ((A128 - 1) * 8) * (100 - E128) / 100</t>
  </si>
  <si>
    <t>J128-I128+1</t>
  </si>
  <si>
    <r>
      <t>GRID_ELECTRICITY_emission_factor</t>
    </r>
    <r>
      <rPr>
        <vertAlign val="subscript"/>
        <sz val="10"/>
        <color theme="1"/>
        <rFont val="Arial Unicode MS"/>
        <family val="2"/>
        <charset val="186"/>
      </rPr>
      <t>a</t>
    </r>
    <r>
      <rPr>
        <sz val="10"/>
        <color theme="1"/>
        <rFont val="Arial Unicode MS"/>
        <family val="2"/>
        <charset val="186"/>
      </rPr>
      <t xml:space="preserve"> (from row4)</t>
    </r>
  </si>
  <si>
    <r>
      <t>DISTRICT_HEATING_emission_factor</t>
    </r>
    <r>
      <rPr>
        <vertAlign val="subscript"/>
        <sz val="10"/>
        <color theme="1"/>
        <rFont val="Arial Unicode MS"/>
        <family val="2"/>
        <charset val="186"/>
      </rPr>
      <t>a</t>
    </r>
    <r>
      <rPr>
        <sz val="10"/>
        <color theme="1"/>
        <rFont val="Arial Unicode MS"/>
        <family val="2"/>
        <charset val="186"/>
      </rPr>
      <t xml:space="preserve"> (from row 5)</t>
    </r>
  </si>
  <si>
    <t>BUI_COL (307 + ((A134 - 1) * 8)</t>
  </si>
  <si>
    <t>J134-I134+1</t>
  </si>
  <si>
    <t>BUI_COL (307 + ((A135 - 1) * 8)</t>
  </si>
  <si>
    <t>J135-I135+1</t>
  </si>
  <si>
    <t>BUI_COL (307 + ((A136 - 1) * 8)</t>
  </si>
  <si>
    <t>J136-I136+1</t>
  </si>
  <si>
    <t>BUI_COL (307 + ((A137 - 1) * 8)</t>
  </si>
  <si>
    <t>J137-I137+1</t>
  </si>
  <si>
    <t>BUI_COL (307 + ((A138 - 1) * 8)</t>
  </si>
  <si>
    <t>J138-I138+1</t>
  </si>
  <si>
    <t>BUI_COL (307 + ((A139 - 1) * 8)</t>
  </si>
  <si>
    <t>J139-I139+1</t>
  </si>
  <si>
    <t>BUI_COL (307 + ((C134 - 1) * 8)</t>
  </si>
  <si>
    <r>
      <rPr>
        <b/>
        <sz val="10"/>
        <color theme="1"/>
        <rFont val="Arial Unicode MS"/>
        <family val="2"/>
        <charset val="186"/>
      </rPr>
      <t xml:space="preserve">BUILDING TYPE </t>
    </r>
    <r>
      <rPr>
        <sz val="10"/>
        <color theme="1"/>
        <rFont val="Arial Unicode MS"/>
        <family val="2"/>
        <charset val="186"/>
      </rPr>
      <t>from cell A134, which has a numeric value according to the user selection as follows:</t>
    </r>
  </si>
  <si>
    <t>and in b-labelled tables</t>
  </si>
  <si>
    <t>BUI_COL (275 + ((C134 - 1) * 8)</t>
  </si>
  <si>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E134 * energy consumption * EF / policy period / 1 000 000)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</si>
  <si>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E135 * energy consumption * EF / policy period / 1 000 000)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</si>
  <si>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E136 * energy consumption * EF / policy period / 1 000 000)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</si>
  <si>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E137 * energy consumption * EF / policy period / 1 000 000)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</si>
  <si>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E138 * energy consumption * EF / policy period / 1 000 000)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</si>
  <si>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E139 * energy consumption * EF / policy period / 1 000 000)</t>
    </r>
  </si>
  <si>
    <t>from cells A134-A139</t>
  </si>
  <si>
    <t>from cells C134-C139</t>
  </si>
  <si>
    <t>BUI_COL (307 + ((C135 - 1) * 8)</t>
  </si>
  <si>
    <t>BUI_COL (307 + ((C136 - 1) * 8)</t>
  </si>
  <si>
    <t>BUI_COL (307 + ((C137 - 1) * 8)</t>
  </si>
  <si>
    <t>BUI_COL (307 + ((C138 - 1) * 8)</t>
  </si>
  <si>
    <t>BUI_COL (307 + ((C139 - 1) * 8)</t>
  </si>
  <si>
    <t>Building type</t>
  </si>
  <si>
    <t>NEW SUMMARY TABLE</t>
  </si>
  <si>
    <t>Total with policy impacts</t>
  </si>
  <si>
    <t>total emissions (positive values)</t>
  </si>
  <si>
    <t>carbon sinks, total</t>
  </si>
  <si>
    <t>transport</t>
  </si>
  <si>
    <t>buildings</t>
  </si>
  <si>
    <t>TERRITORIAL APPROACH</t>
  </si>
  <si>
    <t>net balance</t>
  </si>
  <si>
    <t>RESULTS</t>
  </si>
  <si>
    <r>
      <t>ABSOLUTE CO</t>
    </r>
    <r>
      <rPr>
        <vertAlign val="subscript"/>
        <sz val="10"/>
        <color theme="1"/>
        <rFont val="Arial Unicode MS"/>
        <family val="2"/>
        <charset val="186"/>
      </rPr>
      <t>2</t>
    </r>
    <r>
      <rPr>
        <sz val="10"/>
        <color theme="1"/>
        <rFont val="Arial Unicode MS"/>
        <family val="2"/>
        <charset val="186"/>
      </rPr>
      <t>e EMISSIONS</t>
    </r>
  </si>
  <si>
    <r>
      <t>CO</t>
    </r>
    <r>
      <rPr>
        <vertAlign val="subscript"/>
        <sz val="10"/>
        <color theme="1"/>
        <rFont val="Arial Unicode MS"/>
        <family val="2"/>
        <charset val="186"/>
      </rPr>
      <t>2</t>
    </r>
    <r>
      <rPr>
        <sz val="10"/>
        <color theme="1"/>
        <rFont val="Arial Unicode MS"/>
        <family val="2"/>
        <charset val="186"/>
      </rPr>
      <t>e EMISSIONS PER CAPITA</t>
    </r>
  </si>
  <si>
    <t>population</t>
  </si>
  <si>
    <t>area</t>
  </si>
  <si>
    <t>LUC emissions</t>
  </si>
  <si>
    <t>Total emissions from energy use</t>
  </si>
  <si>
    <t>baseline scenario</t>
  </si>
  <si>
    <t>LUC CO2 removal</t>
  </si>
  <si>
    <t>CAR_COL54-58</t>
  </si>
  <si>
    <t>always 2</t>
  </si>
  <si>
    <t>TRAIN_COL9-13</t>
  </si>
  <si>
    <t>RAIL_TRN_COL8-12</t>
  </si>
  <si>
    <t>ROAD_TRN6-10</t>
  </si>
  <si>
    <t>WATER_TRN_COL6-10</t>
  </si>
  <si>
    <t>Share_of_electric_buses</t>
  </si>
  <si>
    <t>BUS_COL26</t>
  </si>
  <si>
    <t>BUS_COL27</t>
  </si>
  <si>
    <t>BUS_COL28</t>
  </si>
  <si>
    <t>BUS_COL29</t>
  </si>
  <si>
    <t>BUS_COL30</t>
  </si>
  <si>
    <t>BUS_COL31</t>
  </si>
  <si>
    <t>BUS_COL32</t>
  </si>
  <si>
    <t>see equation</t>
  </si>
  <si>
    <t>100 - others</t>
  </si>
  <si>
    <t>2020-25</t>
  </si>
  <si>
    <t>2031-35</t>
  </si>
  <si>
    <t>2036-40</t>
  </si>
  <si>
    <t>2041-45</t>
  </si>
  <si>
    <t>2046-50</t>
  </si>
  <si>
    <t>2026-30</t>
  </si>
  <si>
    <r>
      <t>share</t>
    </r>
    <r>
      <rPr>
        <vertAlign val="subscript"/>
        <sz val="10"/>
        <color theme="1"/>
        <rFont val="Arial Unicode MS"/>
        <family val="2"/>
        <charset val="186"/>
      </rPr>
      <t>a</t>
    </r>
    <r>
      <rPr>
        <sz val="10"/>
        <color theme="1"/>
        <rFont val="Arial Unicode MS"/>
        <family val="2"/>
        <charset val="186"/>
      </rPr>
      <t xml:space="preserve"> = share</t>
    </r>
    <r>
      <rPr>
        <vertAlign val="subscript"/>
        <sz val="10"/>
        <color theme="1"/>
        <rFont val="Arial Unicode MS"/>
        <family val="2"/>
        <charset val="186"/>
      </rPr>
      <t>a-1</t>
    </r>
    <r>
      <rPr>
        <sz val="10"/>
        <color theme="1"/>
        <rFont val="Arial Unicode MS"/>
        <family val="2"/>
        <charset val="186"/>
      </rPr>
      <t xml:space="preserve"> + (BUS_COL27 - BUS_COL26) / 5</t>
    </r>
  </si>
  <si>
    <r>
      <t>share</t>
    </r>
    <r>
      <rPr>
        <vertAlign val="subscript"/>
        <sz val="10"/>
        <color theme="1"/>
        <rFont val="Arial Unicode MS"/>
        <family val="2"/>
        <charset val="186"/>
      </rPr>
      <t>a</t>
    </r>
    <r>
      <rPr>
        <sz val="10"/>
        <color theme="1"/>
        <rFont val="Arial Unicode MS"/>
        <family val="2"/>
        <charset val="186"/>
      </rPr>
      <t xml:space="preserve"> = share</t>
    </r>
    <r>
      <rPr>
        <vertAlign val="subscript"/>
        <sz val="10"/>
        <color theme="1"/>
        <rFont val="Arial Unicode MS"/>
        <family val="2"/>
        <charset val="186"/>
      </rPr>
      <t>a-1</t>
    </r>
    <r>
      <rPr>
        <sz val="10"/>
        <color theme="1"/>
        <rFont val="Arial Unicode MS"/>
        <family val="2"/>
        <charset val="186"/>
      </rPr>
      <t xml:space="preserve"> + (BUS_COL28 - BUS_COL27) / 5</t>
    </r>
  </si>
  <si>
    <r>
      <t>share</t>
    </r>
    <r>
      <rPr>
        <vertAlign val="subscript"/>
        <sz val="10"/>
        <color theme="1"/>
        <rFont val="Arial Unicode MS"/>
        <family val="2"/>
        <charset val="186"/>
      </rPr>
      <t>a</t>
    </r>
    <r>
      <rPr>
        <sz val="10"/>
        <color theme="1"/>
        <rFont val="Arial Unicode MS"/>
        <family val="2"/>
        <charset val="186"/>
      </rPr>
      <t xml:space="preserve"> = share</t>
    </r>
    <r>
      <rPr>
        <vertAlign val="subscript"/>
        <sz val="10"/>
        <color theme="1"/>
        <rFont val="Arial Unicode MS"/>
        <family val="2"/>
        <charset val="186"/>
      </rPr>
      <t>a-1</t>
    </r>
    <r>
      <rPr>
        <sz val="10"/>
        <color theme="1"/>
        <rFont val="Arial Unicode MS"/>
        <family val="2"/>
        <charset val="186"/>
      </rPr>
      <t xml:space="preserve"> + (BUS_COL29 - BUS_COL28) / 5</t>
    </r>
  </si>
  <si>
    <r>
      <t>share</t>
    </r>
    <r>
      <rPr>
        <vertAlign val="subscript"/>
        <sz val="10"/>
        <color theme="1"/>
        <rFont val="Arial Unicode MS"/>
        <family val="2"/>
        <charset val="186"/>
      </rPr>
      <t>a</t>
    </r>
    <r>
      <rPr>
        <sz val="10"/>
        <color theme="1"/>
        <rFont val="Arial Unicode MS"/>
        <family val="2"/>
        <charset val="186"/>
      </rPr>
      <t xml:space="preserve"> = share</t>
    </r>
    <r>
      <rPr>
        <vertAlign val="subscript"/>
        <sz val="10"/>
        <color theme="1"/>
        <rFont val="Arial Unicode MS"/>
        <family val="2"/>
        <charset val="186"/>
      </rPr>
      <t>a-1</t>
    </r>
    <r>
      <rPr>
        <sz val="10"/>
        <color theme="1"/>
        <rFont val="Arial Unicode MS"/>
        <family val="2"/>
        <charset val="186"/>
      </rPr>
      <t xml:space="preserve"> + (BUS_COL30 - BUS_COL29) / 5</t>
    </r>
  </si>
  <si>
    <r>
      <t>share</t>
    </r>
    <r>
      <rPr>
        <vertAlign val="subscript"/>
        <sz val="10"/>
        <color theme="1"/>
        <rFont val="Arial Unicode MS"/>
        <family val="2"/>
        <charset val="186"/>
      </rPr>
      <t>a</t>
    </r>
    <r>
      <rPr>
        <sz val="10"/>
        <color theme="1"/>
        <rFont val="Arial Unicode MS"/>
        <family val="2"/>
        <charset val="186"/>
      </rPr>
      <t xml:space="preserve"> = share</t>
    </r>
    <r>
      <rPr>
        <vertAlign val="subscript"/>
        <sz val="10"/>
        <color theme="1"/>
        <rFont val="Arial Unicode MS"/>
        <family val="2"/>
        <charset val="186"/>
      </rPr>
      <t>a-1</t>
    </r>
    <r>
      <rPr>
        <sz val="10"/>
        <color theme="1"/>
        <rFont val="Arial Unicode MS"/>
        <family val="2"/>
        <charset val="186"/>
      </rPr>
      <t xml:space="preserve"> + (BUS_COL31 - BUS_COL30) / 5</t>
    </r>
  </si>
  <si>
    <r>
      <t>share</t>
    </r>
    <r>
      <rPr>
        <vertAlign val="subscript"/>
        <sz val="10"/>
        <color theme="1"/>
        <rFont val="Arial Unicode MS"/>
        <family val="2"/>
        <charset val="186"/>
      </rPr>
      <t>a</t>
    </r>
    <r>
      <rPr>
        <sz val="10"/>
        <color theme="1"/>
        <rFont val="Arial Unicode MS"/>
        <family val="2"/>
        <charset val="186"/>
      </rPr>
      <t xml:space="preserve"> = share</t>
    </r>
    <r>
      <rPr>
        <vertAlign val="subscript"/>
        <sz val="10"/>
        <color theme="1"/>
        <rFont val="Arial Unicode MS"/>
        <family val="2"/>
        <charset val="186"/>
      </rPr>
      <t>a-1</t>
    </r>
    <r>
      <rPr>
        <sz val="10"/>
        <color theme="1"/>
        <rFont val="Arial Unicode MS"/>
        <family val="2"/>
        <charset val="186"/>
      </rPr>
      <t xml:space="preserve"> + (BUS_COL32 - BUS_COL31) / 5</t>
    </r>
  </si>
  <si>
    <t>®</t>
  </si>
  <si>
    <t>SHARE OF ELECTRIC BUSES</t>
  </si>
  <si>
    <r>
      <t>share</t>
    </r>
    <r>
      <rPr>
        <vertAlign val="subscript"/>
        <sz val="10"/>
        <color theme="1"/>
        <rFont val="Arial Unicode MS"/>
        <family val="2"/>
        <charset val="186"/>
      </rPr>
      <t>2021</t>
    </r>
    <r>
      <rPr>
        <sz val="10"/>
        <color theme="1"/>
        <rFont val="Arial Unicode MS"/>
        <family val="2"/>
        <charset val="186"/>
      </rPr>
      <t xml:space="preserve"> = BUS_COL26 + (BUS_COL27 - BUS_COL26) / 5</t>
    </r>
  </si>
  <si>
    <t>BUS_COL33</t>
  </si>
  <si>
    <t>BUS_COL35</t>
  </si>
  <si>
    <t>BUS_COL37</t>
  </si>
  <si>
    <t>BUS_COL39</t>
  </si>
  <si>
    <t>METROPOLITAN_CENTER</t>
  </si>
  <si>
    <t>BUS_COL41</t>
  </si>
  <si>
    <r>
      <t>CO</t>
    </r>
    <r>
      <rPr>
        <vertAlign val="subscript"/>
        <sz val="11"/>
        <color theme="1"/>
        <rFont val="Arial Unicode MS"/>
        <family val="2"/>
        <charset val="186"/>
      </rPr>
      <t>2</t>
    </r>
    <r>
      <rPr>
        <sz val="11"/>
        <color theme="1"/>
        <rFont val="Arial Unicode MS"/>
        <family val="2"/>
        <charset val="186"/>
      </rPr>
      <t>e EMISSION CALCULATION</t>
    </r>
  </si>
  <si>
    <r>
      <t>RESULT = V</t>
    </r>
    <r>
      <rPr>
        <b/>
        <vertAlign val="subscript"/>
        <sz val="12"/>
        <color theme="1"/>
        <rFont val="Arial Unicode MS"/>
        <family val="2"/>
        <charset val="186"/>
      </rPr>
      <t>MODE</t>
    </r>
    <r>
      <rPr>
        <b/>
        <sz val="12"/>
        <color theme="1"/>
        <rFont val="Arial Unicode MS"/>
        <family val="2"/>
        <charset val="186"/>
      </rPr>
      <t xml:space="preserve"> x EF</t>
    </r>
    <r>
      <rPr>
        <b/>
        <vertAlign val="subscript"/>
        <sz val="12"/>
        <color theme="1"/>
        <rFont val="Arial Unicode MS"/>
        <family val="2"/>
        <charset val="186"/>
      </rPr>
      <t>MODE</t>
    </r>
  </si>
  <si>
    <r>
      <t>V</t>
    </r>
    <r>
      <rPr>
        <vertAlign val="subscript"/>
        <sz val="10"/>
        <color theme="1"/>
        <rFont val="Arial Unicode MS"/>
        <family val="2"/>
        <charset val="186"/>
      </rPr>
      <t>MODE</t>
    </r>
    <r>
      <rPr>
        <sz val="10"/>
        <color theme="1"/>
        <rFont val="Arial Unicode MS"/>
        <family val="2"/>
        <charset val="186"/>
      </rPr>
      <t xml:space="preserve"> = annual vehicle-kms per mode of transport [vkm/(resident/year)]</t>
    </r>
  </si>
  <si>
    <r>
      <t>EF</t>
    </r>
    <r>
      <rPr>
        <vertAlign val="subscript"/>
        <sz val="10"/>
        <color theme="1"/>
        <rFont val="Arial Unicode MS"/>
        <family val="2"/>
        <charset val="186"/>
      </rPr>
      <t>MODE</t>
    </r>
    <r>
      <rPr>
        <sz val="10"/>
        <color theme="1"/>
        <rFont val="Arial Unicode MS"/>
        <family val="2"/>
        <charset val="186"/>
      </rPr>
      <t xml:space="preserve"> = area-specific emission factor per mode of transport [gCO</t>
    </r>
    <r>
      <rPr>
        <vertAlign val="subscript"/>
        <sz val="10"/>
        <color theme="1"/>
        <rFont val="Arial Unicode MS"/>
        <family val="2"/>
        <charset val="186"/>
      </rPr>
      <t>2</t>
    </r>
    <r>
      <rPr>
        <sz val="10"/>
        <color theme="1"/>
        <rFont val="Arial Unicode MS"/>
        <family val="2"/>
        <charset val="186"/>
      </rPr>
      <t>e/km]</t>
    </r>
  </si>
  <si>
    <r>
      <t>CF</t>
    </r>
    <r>
      <rPr>
        <b/>
        <vertAlign val="subscript"/>
        <sz val="11"/>
        <color theme="1"/>
        <rFont val="Arial Unicode MS"/>
        <family val="2"/>
        <charset val="186"/>
      </rPr>
      <t>MODE</t>
    </r>
  </si>
  <si>
    <r>
      <t>EF</t>
    </r>
    <r>
      <rPr>
        <vertAlign val="subscript"/>
        <sz val="10"/>
        <color theme="1"/>
        <rFont val="Arial Unicode MS"/>
        <family val="2"/>
        <charset val="186"/>
      </rPr>
      <t>2021</t>
    </r>
    <r>
      <rPr>
        <sz val="10"/>
        <color theme="1"/>
        <rFont val="Arial Unicode MS"/>
        <family val="2"/>
        <charset val="186"/>
      </rPr>
      <t xml:space="preserve"> = ENE_COL1 by country selection</t>
    </r>
  </si>
  <si>
    <r>
      <t>EF</t>
    </r>
    <r>
      <rPr>
        <vertAlign val="subscript"/>
        <sz val="10"/>
        <color theme="1"/>
        <rFont val="Arial Unicode MS"/>
        <family val="2"/>
        <charset val="186"/>
      </rPr>
      <t>a</t>
    </r>
    <r>
      <rPr>
        <sz val="10"/>
        <color theme="1"/>
        <rFont val="Arial Unicode MS"/>
        <family val="2"/>
        <charset val="186"/>
      </rPr>
      <t xml:space="preserve"> = EF</t>
    </r>
    <r>
      <rPr>
        <vertAlign val="subscript"/>
        <sz val="10"/>
        <color theme="1"/>
        <rFont val="Arial Unicode MS"/>
        <family val="2"/>
        <charset val="186"/>
      </rPr>
      <t>a-1</t>
    </r>
    <r>
      <rPr>
        <sz val="10"/>
        <color theme="1"/>
        <rFont val="Arial Unicode MS"/>
        <family val="2"/>
        <charset val="186"/>
      </rPr>
      <t xml:space="preserve"> * (100+annual change ENE_COL2,3,4)/100 </t>
    </r>
  </si>
  <si>
    <r>
      <t>after year x: P</t>
    </r>
    <r>
      <rPr>
        <vertAlign val="subscript"/>
        <sz val="10"/>
        <color theme="1"/>
        <rFont val="Arial Unicode MS"/>
        <family val="2"/>
        <charset val="186"/>
      </rPr>
      <t>a</t>
    </r>
    <r>
      <rPr>
        <sz val="10"/>
        <color theme="1"/>
        <rFont val="Arial Unicode MS"/>
        <family val="2"/>
        <charset val="186"/>
      </rPr>
      <t xml:space="preserve"> = P</t>
    </r>
    <r>
      <rPr>
        <vertAlign val="subscript"/>
        <sz val="10"/>
        <color theme="1"/>
        <rFont val="Arial Unicode MS"/>
        <family val="2"/>
        <charset val="186"/>
      </rPr>
      <t>a-1</t>
    </r>
    <r>
      <rPr>
        <sz val="10"/>
        <color theme="1"/>
        <rFont val="Arial Unicode MS"/>
        <family val="2"/>
        <charset val="186"/>
      </rPr>
      <t xml:space="preserve"> * (100+annual change POP_COL1,2,3)/100 </t>
    </r>
  </si>
  <si>
    <r>
      <t>x=start year; P</t>
    </r>
    <r>
      <rPr>
        <vertAlign val="subscript"/>
        <sz val="10"/>
        <color theme="1"/>
        <rFont val="Arial Unicode MS"/>
        <family val="2"/>
        <charset val="186"/>
      </rPr>
      <t>x</t>
    </r>
    <r>
      <rPr>
        <sz val="10"/>
        <color theme="1"/>
        <rFont val="Arial Unicode MS"/>
        <family val="2"/>
        <charset val="186"/>
      </rPr>
      <t>=user input from Start page cell B4; before year x: P</t>
    </r>
    <r>
      <rPr>
        <vertAlign val="subscript"/>
        <sz val="10"/>
        <color theme="1"/>
        <rFont val="Arial Unicode MS"/>
        <family val="2"/>
        <charset val="186"/>
      </rPr>
      <t>a</t>
    </r>
    <r>
      <rPr>
        <sz val="10"/>
        <color theme="1"/>
        <rFont val="Arial Unicode MS"/>
        <family val="2"/>
        <charset val="186"/>
      </rPr>
      <t xml:space="preserve"> = 0</t>
    </r>
  </si>
  <si>
    <r>
      <t>after 2021: V</t>
    </r>
    <r>
      <rPr>
        <vertAlign val="subscript"/>
        <sz val="10"/>
        <rFont val="Arial Unicode MS"/>
        <family val="2"/>
        <charset val="186"/>
      </rPr>
      <t>CAR_a</t>
    </r>
    <r>
      <rPr>
        <sz val="10"/>
        <rFont val="Arial Unicode MS"/>
        <family val="2"/>
        <charset val="186"/>
      </rPr>
      <t xml:space="preserve"> = V</t>
    </r>
    <r>
      <rPr>
        <vertAlign val="subscript"/>
        <sz val="10"/>
        <rFont val="Arial Unicode MS"/>
        <family val="2"/>
        <charset val="186"/>
      </rPr>
      <t>CAR_a-1</t>
    </r>
    <r>
      <rPr>
        <sz val="10"/>
        <rFont val="Arial Unicode MS"/>
        <family val="2"/>
        <charset val="186"/>
      </rPr>
      <t xml:space="preserve"> * (100+CAR_COL4,5,6) / 100</t>
    </r>
  </si>
  <si>
    <t>ROAD TRANSPORT EMISSIONS</t>
  </si>
  <si>
    <t>ROAD_TRN_COL2</t>
  </si>
  <si>
    <t>ROAD_TRN_COL3</t>
  </si>
  <si>
    <t>ROAD_TRN_COL4</t>
  </si>
  <si>
    <t>ROAD_TRN_COL5</t>
  </si>
  <si>
    <t>ROAD_TRN_COL1</t>
  </si>
  <si>
    <t>ROAD_TRN_COL6</t>
  </si>
  <si>
    <t>ROAD_TRN_COL7</t>
  </si>
  <si>
    <t>ROAD_TRN_COL8</t>
  </si>
  <si>
    <t>ROAD_TRN_COL9</t>
  </si>
  <si>
    <t>ROAD_TRN_COL10</t>
  </si>
  <si>
    <t>WATER_TRN_COL1</t>
  </si>
  <si>
    <t>WATER_TRN_COL2</t>
  </si>
  <si>
    <t>WATER_TRN_COL3</t>
  </si>
  <si>
    <t>WATER_TRN_COL4</t>
  </si>
  <si>
    <t>WATER_TRN_COL5</t>
  </si>
  <si>
    <t>WATER_TRN_COL6</t>
  </si>
  <si>
    <t>WATER_TRN_COL7</t>
  </si>
  <si>
    <t>WATER_TRN_COL8</t>
  </si>
  <si>
    <t>WATER_TRN_COL9</t>
  </si>
  <si>
    <t>WATER_TRN_COL10</t>
  </si>
  <si>
    <r>
      <t>V</t>
    </r>
    <r>
      <rPr>
        <vertAlign val="subscript"/>
        <sz val="11"/>
        <color theme="1"/>
        <rFont val="Arial Unicode MS"/>
        <family val="2"/>
        <charset val="186"/>
      </rPr>
      <t>ROAD_TRN</t>
    </r>
  </si>
  <si>
    <r>
      <t>V</t>
    </r>
    <r>
      <rPr>
        <vertAlign val="subscript"/>
        <sz val="10"/>
        <color theme="1"/>
        <rFont val="Arial Unicode MS"/>
        <family val="2"/>
        <charset val="186"/>
      </rPr>
      <t>ROAD_TRN</t>
    </r>
    <r>
      <rPr>
        <sz val="10"/>
        <color theme="1"/>
        <rFont val="Arial Unicode MS"/>
        <family val="2"/>
        <charset val="186"/>
      </rPr>
      <t xml:space="preserve"> * EF</t>
    </r>
    <r>
      <rPr>
        <vertAlign val="subscript"/>
        <sz val="10"/>
        <color theme="1"/>
        <rFont val="Arial Unicode MS"/>
        <family val="2"/>
        <charset val="186"/>
      </rPr>
      <t>ROAD_TRN</t>
    </r>
    <r>
      <rPr>
        <sz val="10"/>
        <color theme="1"/>
        <rFont val="Arial Unicode MS"/>
        <family val="2"/>
        <charset val="186"/>
      </rPr>
      <t xml:space="preserve"> / 1000 (unit conversion from gCO2e to kgCO2e)</t>
    </r>
  </si>
  <si>
    <r>
      <t>otherwise: V</t>
    </r>
    <r>
      <rPr>
        <vertAlign val="subscript"/>
        <sz val="10"/>
        <rFont val="Arial Unicode MS"/>
        <family val="2"/>
        <charset val="186"/>
      </rPr>
      <t>ROAD_TRN_a</t>
    </r>
    <r>
      <rPr>
        <sz val="10"/>
        <rFont val="Arial Unicode MS"/>
        <family val="2"/>
        <charset val="186"/>
      </rPr>
      <t xml:space="preserve"> = V</t>
    </r>
    <r>
      <rPr>
        <vertAlign val="subscript"/>
        <sz val="10"/>
        <rFont val="Arial Unicode MS"/>
        <family val="2"/>
        <charset val="186"/>
      </rPr>
      <t>ROAD_TRN_a-1</t>
    </r>
    <r>
      <rPr>
        <sz val="10"/>
        <rFont val="Arial Unicode MS"/>
        <family val="2"/>
        <charset val="186"/>
      </rPr>
      <t xml:space="preserve"> * (100 + ROAD_TRN_COL5,6,7) / 100</t>
    </r>
  </si>
  <si>
    <t>diesel engines</t>
  </si>
  <si>
    <t>electric engines</t>
  </si>
  <si>
    <t>EF total (weighted average)</t>
  </si>
  <si>
    <t>Metro</t>
  </si>
  <si>
    <t>Metro_2</t>
  </si>
  <si>
    <t>Metro_3</t>
  </si>
  <si>
    <t>Metro_4</t>
  </si>
  <si>
    <t>Metro_5</t>
  </si>
  <si>
    <t>Metro_6</t>
  </si>
  <si>
    <t>Metro_7</t>
  </si>
  <si>
    <t>METRO_COL7</t>
  </si>
  <si>
    <t>METRO_COL8</t>
  </si>
  <si>
    <t>METRO_COL9</t>
  </si>
  <si>
    <t>METRO_COL10</t>
  </si>
  <si>
    <t>METRO_COL11</t>
  </si>
  <si>
    <t>METRO_COL12</t>
  </si>
  <si>
    <t>METRO_COL13</t>
  </si>
  <si>
    <t>METRO_COL14</t>
  </si>
  <si>
    <t>METRO_COL15</t>
  </si>
  <si>
    <t>METRO_COL16</t>
  </si>
  <si>
    <t>METRO_COL17</t>
  </si>
  <si>
    <t>METRO_COL18</t>
  </si>
  <si>
    <t>METRO_COL19</t>
  </si>
  <si>
    <t>METRO_COL20</t>
  </si>
  <si>
    <t>TRAM_COL7</t>
  </si>
  <si>
    <t>TRAM_COL8</t>
  </si>
  <si>
    <t>TRAM_COL9</t>
  </si>
  <si>
    <t>TRAM_COL10</t>
  </si>
  <si>
    <t>TRAM_COL11</t>
  </si>
  <si>
    <t>TRAM_COL12</t>
  </si>
  <si>
    <t>TRAM_COL13</t>
  </si>
  <si>
    <t>TRAM_COL14</t>
  </si>
  <si>
    <t>TRAM_COL15</t>
  </si>
  <si>
    <t>TRAM_COL16</t>
  </si>
  <si>
    <t>TRAM_COL17</t>
  </si>
  <si>
    <t>TRAM_COL18</t>
  </si>
  <si>
    <t>TRAM_COL19</t>
  </si>
  <si>
    <t>TRAM_COL20</t>
  </si>
  <si>
    <t>TRAM_COL21</t>
  </si>
  <si>
    <t>TRAM_COL22</t>
  </si>
  <si>
    <t>TRAM_COL23</t>
  </si>
  <si>
    <t>TRAM_COL24</t>
  </si>
  <si>
    <t>TRAM_COL25</t>
  </si>
  <si>
    <t>TRAM_COL26</t>
  </si>
  <si>
    <t>TRAM_COL27</t>
  </si>
  <si>
    <t>TRAM_COL28</t>
  </si>
  <si>
    <t>TRAM_COL29</t>
  </si>
  <si>
    <t>TRAM_COL30</t>
  </si>
  <si>
    <t>TRAM_COL31</t>
  </si>
  <si>
    <t>TRAM_COL32</t>
  </si>
  <si>
    <t>TRAM_COL33</t>
  </si>
  <si>
    <t>TRAM_COL34</t>
  </si>
  <si>
    <t>TRAM_COL35</t>
  </si>
  <si>
    <t>TRAM_COL36</t>
  </si>
  <si>
    <t>TRAM_COL37</t>
  </si>
  <si>
    <t>TRAM_COL38</t>
  </si>
  <si>
    <t>TRAM_COL39</t>
  </si>
  <si>
    <t>TRAM_COL40</t>
  </si>
  <si>
    <t>TRAM_COL41</t>
  </si>
  <si>
    <t>TRAM_COL42</t>
  </si>
  <si>
    <t>TRAM_COL43</t>
  </si>
  <si>
    <t>TRAM_COL44</t>
  </si>
  <si>
    <t>TRAM_COL45</t>
  </si>
  <si>
    <t>TRAM_COL46</t>
  </si>
  <si>
    <t>TRAM_COL47</t>
  </si>
  <si>
    <t>TRAM_COL48</t>
  </si>
  <si>
    <t>TRAM_COL49</t>
  </si>
  <si>
    <t>TRAM_COL50</t>
  </si>
  <si>
    <t>TRAM_COL51</t>
  </si>
  <si>
    <t>TRAM_COL52</t>
  </si>
  <si>
    <t>TRAM_COL53</t>
  </si>
  <si>
    <t>TRAM_COL54</t>
  </si>
  <si>
    <t>TRAM_COL55</t>
  </si>
  <si>
    <t>TRAM_COL56</t>
  </si>
  <si>
    <t>TRAM_COL57</t>
  </si>
  <si>
    <t>TRAM_COL58</t>
  </si>
  <si>
    <t>TRAM_COL59</t>
  </si>
  <si>
    <t>TRAM_COL60</t>
  </si>
  <si>
    <t>TRAM_COL61</t>
  </si>
  <si>
    <t>TRAM_COL62</t>
  </si>
  <si>
    <t>TRAM_COL63</t>
  </si>
  <si>
    <t>TRAM_COL64</t>
  </si>
  <si>
    <t>TRAM_COL66</t>
  </si>
  <si>
    <t>TRAM_COL67</t>
  </si>
  <si>
    <t>TRAM_COL68</t>
  </si>
  <si>
    <t>TRAM_COL69</t>
  </si>
  <si>
    <t>TRAM_COL70</t>
  </si>
  <si>
    <t>TRAM_COL71</t>
  </si>
  <si>
    <t>TRAM_COL72</t>
  </si>
  <si>
    <t>TRAM_COL73</t>
  </si>
  <si>
    <t>TRAM_COL74</t>
  </si>
  <si>
    <t>TRAM_COL75</t>
  </si>
  <si>
    <t>TRAM_COL76</t>
  </si>
  <si>
    <t>TRAM_COL77</t>
  </si>
  <si>
    <t>TRAM_COL78</t>
  </si>
  <si>
    <t>TRAM_COL79</t>
  </si>
  <si>
    <t>TRAM_COL80</t>
  </si>
  <si>
    <t>TRAM_COL81</t>
  </si>
  <si>
    <t>TRAM_COL82</t>
  </si>
  <si>
    <t>TRAM_COL83</t>
  </si>
  <si>
    <t>TRAM_COL84</t>
  </si>
  <si>
    <t>TRAM_COL85</t>
  </si>
  <si>
    <t>TRAM_COL86</t>
  </si>
  <si>
    <t>TRAM_COL87</t>
  </si>
  <si>
    <t>TRAM_COL88</t>
  </si>
  <si>
    <t>TRAM_COL89</t>
  </si>
  <si>
    <t>TRAM_COL90</t>
  </si>
  <si>
    <t>TRAM_COL91</t>
  </si>
  <si>
    <t>TRAM_COL92</t>
  </si>
  <si>
    <t>TRAM_COL93</t>
  </si>
  <si>
    <t>TRAM_COL94</t>
  </si>
  <si>
    <t>TRAM_COL95</t>
  </si>
  <si>
    <t>TRAM_COL96</t>
  </si>
  <si>
    <t>TRAM_COL97</t>
  </si>
  <si>
    <t>TRAM_COL98</t>
  </si>
  <si>
    <t>TRAM_COL99</t>
  </si>
  <si>
    <t>TRAM_COL100</t>
  </si>
  <si>
    <t>TRAM_COL101</t>
  </si>
  <si>
    <t>TRAM_COL102</t>
  </si>
  <si>
    <t>TRAM_COL103</t>
  </si>
  <si>
    <t>TRAM_COL104</t>
  </si>
  <si>
    <t>TRAM_COL105</t>
  </si>
  <si>
    <t>TRAM_COL106</t>
  </si>
  <si>
    <t>TRAM_COL107</t>
  </si>
  <si>
    <t>TRAM_COL108</t>
  </si>
  <si>
    <t>TRAM_COL109</t>
  </si>
  <si>
    <t>TRAM_COL110</t>
  </si>
  <si>
    <t>TRAM_COL111</t>
  </si>
  <si>
    <t>TRAM_COL112</t>
  </si>
  <si>
    <t>TRAM_COL113</t>
  </si>
  <si>
    <t>TRAM_COL114</t>
  </si>
  <si>
    <t>TRAM_COL115</t>
  </si>
  <si>
    <t>TRAM_COL116</t>
  </si>
  <si>
    <t>TRAM_COL117</t>
  </si>
  <si>
    <t>TRAM_COL118</t>
  </si>
  <si>
    <t>TRAM_COL119</t>
  </si>
  <si>
    <t>TRAM_COL120</t>
  </si>
  <si>
    <t>TRAM_COL121</t>
  </si>
  <si>
    <t>TRAM_COL122</t>
  </si>
  <si>
    <t>Tram</t>
  </si>
  <si>
    <t>Tram_1</t>
  </si>
  <si>
    <t>Tram_2</t>
  </si>
  <si>
    <t>Tram_3</t>
  </si>
  <si>
    <t>Tram_4</t>
  </si>
  <si>
    <t>Tram_5</t>
  </si>
  <si>
    <t>Tram_6</t>
  </si>
  <si>
    <t>Tram_7</t>
  </si>
  <si>
    <t>Tram_8</t>
  </si>
  <si>
    <t>Tram_9</t>
  </si>
  <si>
    <t>Tram_10</t>
  </si>
  <si>
    <t>Tram_11</t>
  </si>
  <si>
    <t>Tram_12</t>
  </si>
  <si>
    <t>Tram_13</t>
  </si>
  <si>
    <t>Tram_14</t>
  </si>
  <si>
    <t>Tram_15</t>
  </si>
  <si>
    <t>Tram_16</t>
  </si>
  <si>
    <t>Tram_17</t>
  </si>
  <si>
    <t>Tram_18</t>
  </si>
  <si>
    <t>Tram_19</t>
  </si>
  <si>
    <t>Tram_20</t>
  </si>
  <si>
    <t>Tram_21</t>
  </si>
  <si>
    <t>Tram_22</t>
  </si>
  <si>
    <t>Tram_23</t>
  </si>
  <si>
    <t>Tram_24</t>
  </si>
  <si>
    <t>Tram_25</t>
  </si>
  <si>
    <t>Tram_26</t>
  </si>
  <si>
    <t>Tram_27</t>
  </si>
  <si>
    <t>Tram_28</t>
  </si>
  <si>
    <t>Tram_29</t>
  </si>
  <si>
    <t>Tram_30</t>
  </si>
  <si>
    <t>Tram_31</t>
  </si>
  <si>
    <t>Tram_32</t>
  </si>
  <si>
    <t>Tram_33</t>
  </si>
  <si>
    <t>Tram_34</t>
  </si>
  <si>
    <t>Tram_35</t>
  </si>
  <si>
    <t>Tram_36</t>
  </si>
  <si>
    <t>Tram_37</t>
  </si>
  <si>
    <t>Tram_38</t>
  </si>
  <si>
    <t>Tram_39</t>
  </si>
  <si>
    <t>Tram_40</t>
  </si>
  <si>
    <t>Tram_41</t>
  </si>
  <si>
    <t>Tram_42</t>
  </si>
  <si>
    <t>Tram_43</t>
  </si>
  <si>
    <t>Tram_44</t>
  </si>
  <si>
    <t>Tram_45</t>
  </si>
  <si>
    <t>Tram_46</t>
  </si>
  <si>
    <t>Tram_47</t>
  </si>
  <si>
    <t>Tram_48</t>
  </si>
  <si>
    <t>Tram_49</t>
  </si>
  <si>
    <t>Tram_50</t>
  </si>
  <si>
    <t>Tram_51</t>
  </si>
  <si>
    <t>Tram_52</t>
  </si>
  <si>
    <t>Tram_53</t>
  </si>
  <si>
    <t>Tram_54</t>
  </si>
  <si>
    <t>Tram_55</t>
  </si>
  <si>
    <t>Tram_56</t>
  </si>
  <si>
    <t>Tram_57</t>
  </si>
  <si>
    <t>Tram_58</t>
  </si>
  <si>
    <t>Share_road_driving_buses</t>
  </si>
  <si>
    <t>=(TRAIN_COL5 / 100 * row 4 * TRAIN_COL4</t>
  </si>
  <si>
    <t>construction of the V2021 equation for trams</t>
  </si>
  <si>
    <t>to cell N99</t>
  </si>
  <si>
    <t>+</t>
  </si>
  <si>
    <t>million pkm/a</t>
  </si>
  <si>
    <t>=(F24/100*INDEX('DEFAULT DATA'!$GI$9:$IN$41,START!$B$3,1)/INDEX('DEFAULT DATA'!$DX$9:$DX$41,START!$B$3,1))+(F25/100*INDEX('DEFAULT DATA'!$GI$9:$IN$41,START!$B$3,2)/INDEX('DEFAULT DATA'!$DX$9:$DX$41,START!$B$3,1))+(F26/100*INDEX('DEFAULT DATA'!$GI$9:$IN$41,START!$B$3,3)/INDEX('DEFAULT DATA'!$DX$9:$DX$41,START!$B$3,1))+(F27/100*INDEX('DEFAULT DATA'!$GI$9:$IN$41,START!$B$3,4)/INDEX('DEFAULT DATA'!$DX$9:$DX$41,START!$B$3,1))+(F28/100*INDEX('DEFAULT DATA'!$GI$9:$IN$41,START!$B$3,5)/INDEX('DEFAULT DATA'!$DX$9:$DX$41,START!$B$3,1))+(F29/100*INDEX('DEFAULT DATA'!$GI$9:$IN$41,START!$B$3,6)/INDEX('DEFAULT DATA'!$DX$9:$DX$41,START!$B$3,1))+(F30/100*INDEX('DEFAULT DATA'!$GI$9:$IN$41,START!$B$3,7)/INDEX('DEFAULT DATA'!$DX$9:$DX$41,START!$B$3,1))+(F31/100*INDEX('DEFAULT DATA'!$GI$9:$IN$41,START!$B$3,8)/INDEX('DEFAULT DATA'!$DX$9:$DX$41,START!$B$3,1))+(F32/100*INDEX('DEFAULT DATA'!$GI$9:$IN$41,START!$B$3,9)/INDEX('DEFAULT DATA'!$DX$9:$DX$41,START!$B$3,1))+(F33/100*INDEX('DEFAULT DATA'!$GI$9:$IN$41,START!$B$3,10)/INDEX('DEFAULT DATA'!$DX$9:$DX$41,START!$B$3,1))+(F34/100*INDEX('DEFAULT DATA'!$GI$9:$IN$41,START!$B$3,11)/INDEX('DEFAULT DATA'!$DX$9:$DX$41,START!$B$3,1))+(F35/100*INDEX('DEFAULT DATA'!$GI$9:$IN$41,START!$B$3,12)/INDEX('DEFAULT DATA'!$DX$9:$DX$41,START!$B$3,1))+(F36/100*INDEX('DEFAULT DATA'!$GI$9:$IN$41,START!$B$3,13)/INDEX('DEFAULT DATA'!$DX$9:$DX$41,START!$B$3,1))+(F37/100*INDEX('DEFAULT DATA'!$GI$9:$IN$41,START!$B$3,14)/INDEX('DEFAULT DATA'!$DX$9:$DX$41,START!$B$3,1))+(F38/100*INDEX('DEFAULT DATA'!$GI$9:$IN$41,START!$B$3,15)/INDEX('DEFAULT DATA'!$DX$9:$DX$41,START!$B$3,1))+(F39/100*INDEX('DEFAULT DATA'!$GI$9:$IN$41,START!$B$3,16)/INDEX('DEFAULT DATA'!$DX$9:$DX$41,START!$B$3,1))+(F40/100*INDEX('DEFAULT DATA'!$GI$9:$IN$41,START!$B$3,17)/INDEX('DEFAULT DATA'!$DX$9:$DX$41,START!$B$3,1))+(F41/100*INDEX('DEFAULT DATA'!$GI$9:$IN$41,START!$B$3,18)/INDEX('DEFAULT DATA'!$DX$9:$DX$41,START!$B$3,1))+(F42/100*INDEX('DEFAULT DATA'!$GI$9:$IN$41,START!$B$3,19)/INDEX('DEFAULT DATA'!$DX$9:$DX$41,START!$B$3,1))+(F43/100*INDEX('DEFAULT DATA'!$GI$9:$IN$41,START!$B$3,20)/INDEX('DEFAULT DATA'!$DX$9:$DX$41,START!$B$3,1))+(F44/100*INDEX('DEFAULT DATA'!$GI$9:$IN$41,START!$B$3,21)/INDEX('DEFAULT DATA'!$DX$9:$DX$41,START!$B$3,1))+(F45/100*INDEX('DEFAULT DATA'!$GI$9:$IN$41,START!$B$3,22)/INDEX('DEFAULT DATA'!$DX$9:$DX$41,START!$B$3,1))+(F46/100*INDEX('DEFAULT DATA'!$GI$9:$IN$41,START!$B$3,23)/INDEX('DEFAULT DATA'!$DX$9:$DX$41,START!$B$3,1))+(F47/100*INDEX('DEFAULT DATA'!$GI$9:$IN$41,START!$B$3,24)/INDEX('DEFAULT DATA'!$DX$9:$DX$41,START!$B$3,1))+(F48/100*INDEX('DEFAULT DATA'!$GI$9:$IN$41,START!$B$3,25)/INDEX('DEFAULT DATA'!$DX$9:$DX$41,START!$B$3,1))+(F49/100*INDEX('DEFAULT DATA'!$GI$9:$IN$41,START!$B$3,26)/INDEX('DEFAULT DATA'!$DX$9:$DX$41,START!$B$3,1))+(F50/100*INDEX('DEFAULT DATA'!$GI$9:$IN$41,START!$B$3,27)/INDEX('DEFAULT DATA'!$DX$9:$DX$41,START!$B$3,1))+(F51/100*INDEX('DEFAULT DATA'!$GI$9:$IN$41,START!$B$3,28)/INDEX('DEFAULT DATA'!$DX$9:$DX$41,START!$B$3,1))+(F52/100*INDEX('DEFAULT DATA'!$GI$9:$IN$41,START!$B$3,29)/INDEX('DEFAULT DATA'!$DX$9:$DX$41,START!$B$3,1))+(F53/100*INDEX('DEFAULT DATA'!$GI$9:$IN$41,START!$B$3,30)/INDEX('DEFAULT DATA'!$DX$9:$DX$41,START!$B$3,1))+(F54/100*INDEX('DEFAULT DATA'!$GI$9:$IN$41,START!$B$3,31)/INDEX('DEFAULT DATA'!$DX$9:$DX$41,START!$B$3,1))+(F55/100*INDEX('DEFAULT DATA'!$GI$9:$IN$41,START!$B$3,32)/INDEX('DEFAULT DATA'!$DX$9:$DX$41,START!$B$3,1))+(F56/100*INDEX('DEFAULT DATA'!$GI$9:$IN$41,START!$B$3,33)/INDEX('DEFAULT DATA'!$DX$9:$DX$41,START!$B$3,1))+(F57/100*INDEX('DEFAULT DATA'!$GI$9:$IN$41,START!$B$3,34)/INDEX('DEFAULT DATA'!$DX$9:$DX$41,START!$B$3,1))+(F58/100*INDEX('DEFAULT DATA'!$GI$9:$IN$41,START!$B$3,35)/INDEX('DEFAULT DATA'!$DX$9:$DX$41,START!$B$3,1))+(F59/100*INDEX('DEFAULT DATA'!$GI$9:$IN$41,START!$B$3,36)/INDEX('DEFAULT DATA'!$DX$9:$DX$41,START!$B$3,1))+(F60/100*INDEX('DEFAULT DATA'!$GI$9:$IN$41,START!$B$3,37)/INDEX('DEFAULT DATA'!$DX$9:$DX$41,START!$B$3,1))+(F61/100*INDEX('DEFAULT DATA'!$GI$9:$IN$41,START!$B$3,38)/INDEX('DEFAULT DATA'!$DX$9:$DX$41,START!$B$3,1))+(F62/100*INDEX('DEFAULT DATA'!$GI$9:$IN$41,START!$B$3,39)/INDEX('DEFAULT DATA'!$DX$9:$DX$41,START!$B$3,1))+(F63/100*INDEX('DEFAULT DATA'!$GI$9:$IN$41,START!$B$3,40)/INDEX('DEFAULT DATA'!$DX$9:$DX$41,START!$B$3,1))+(F64/100*INDEX('DEFAULT DATA'!$GI$9:$IN$41,START!$B$3,41)/INDEX('DEFAULT DATA'!$DX$9:$DX$41,START!$B$3,1))+(F65/100*INDEX('DEFAULT DATA'!$GI$9:$IN$41,START!$B$3,42)/INDEX('DEFAULT DATA'!$DX$9:$DX$41,START!$B$3,1))+(F66/100*INDEX('DEFAULT DATA'!$GI$9:$IN$41,START!$B$3,43)/INDEX('DEFAULT DATA'!$DX$9:$DX$41,START!$B$3,1))+(F67/100*INDEX('DEFAULT DATA'!$GI$9:$IN$41,START!$B$3,44)/INDEX('DEFAULT DATA'!$DX$9:$DX$41,START!$B$3,1))+(F68/100*INDEX('DEFAULT DATA'!$GI$9:$IN$41,START!$B$3,45)/INDEX('DEFAULT DATA'!$DX$9:$DX$41,START!$B$3,1))+(F69/100*INDEX('DEFAULT DATA'!$GI$9:$IN$41,START!$B$3,46)/INDEX('DEFAULT DATA'!$DX$9:$DX$41,START!$B$3,1))+(F70/100*INDEX('DEFAULT DATA'!$GI$9:$IN$41,START!$B$3,47)/INDEX('DEFAULT DATA'!$DX$9:$DX$41,START!$B$3,1))+(F71/100*INDEX('DEFAULT DATA'!$GI$9:$IN$41,START!$B$3,48)/INDEX('DEFAULT DATA'!$DX$9:$DX$41,START!$B$3,1))+(F72/100*INDEX('DEFAULT DATA'!$GI$9:$IN$41,START!$B$3,49)/INDEX('DEFAULT DATA'!$DX$9:$DX$41,START!$B$3,1))+(F73/100*INDEX('DEFAULT DATA'!$GI$9:$IN$41,START!$B$3,50)/INDEX('DEFAULT DATA'!$DX$9:$DX$41,START!$B$3,1))+(F74/100*INDEX('DEFAULT DATA'!$GI$9:$IN$41,START!$B$3,51)/INDEX('DEFAULT DATA'!$DX$9:$DX$41,START!$B$3,1))+(F75/100*INDEX('DEFAULT DATA'!$GI$9:$IN$41,START!$B$3,52)/INDEX('DEFAULT DATA'!$DX$9:$DX$41,START!$B$3,1))+(F76/100*INDEX('DEFAULT DATA'!$GI$9:$IN$41,START!$B$3,53)/INDEX('DEFAULT DATA'!$DX$9:$DX$41,START!$B$3,1))+(F77/100*INDEX('DEFAULT DATA'!$GI$9:$IN$41,START!$B$3,54)/INDEX('DEFAULT DATA'!$DX$9:$DX$41,START!$B$3,1))+(F78/100*INDEX('DEFAULT DATA'!$GI$9:$IN$41,START!$B$3,55)/INDEX('DEFAULT DATA'!$DX$9:$DX$41,START!$B$3,1))+(F79/100*INDEX('DEFAULT DATA'!$GI$9:$IN$41,START!$B$3,56)/INDEX('DEFAULT DATA'!$DX$9:$DX$41,START!$B$3,1))+(F80/100*INDEX('DEFAULT DATA'!$GI$9:$IN$41,START!$B$3,57)/INDEX('DEFAULT DATA'!$DX$9:$DX$41,START!$B$3,1))+(F81/100*INDEX('DEFAULT DATA'!$GI$9:$IN$41,START!$B$3,58)/INDEX('DEFAULT DATA'!$DX$9:$DX$41,START!$B$3,1))</t>
  </si>
  <si>
    <t>cell N99</t>
  </si>
  <si>
    <t>user input (x) defines the percentage to be included in the calculation</t>
  </si>
  <si>
    <t>x</t>
  </si>
  <si>
    <t>passenger-km of the tram system</t>
  </si>
  <si>
    <t>range from TRAM_COL66 to TRAM_COL123</t>
  </si>
  <si>
    <t>occupancy rate</t>
  </si>
  <si>
    <t>always TRAM_COL2</t>
  </si>
  <si>
    <r>
      <t>Explanatory note to V</t>
    </r>
    <r>
      <rPr>
        <vertAlign val="subscript"/>
        <sz val="11"/>
        <color theme="1"/>
        <rFont val="Albertus Medium"/>
        <family val="2"/>
      </rPr>
      <t>TRAM_2021</t>
    </r>
    <r>
      <rPr>
        <sz val="11"/>
        <color theme="1"/>
        <rFont val="Albertus Medium"/>
        <family val="2"/>
      </rPr>
      <t xml:space="preserve"> (cell N99 equation)</t>
    </r>
  </si>
  <si>
    <r>
      <t>V</t>
    </r>
    <r>
      <rPr>
        <vertAlign val="subscript"/>
        <sz val="11"/>
        <color theme="1"/>
        <rFont val="Albertus Medium"/>
        <family val="2"/>
      </rPr>
      <t>TRAM_SYSTEM</t>
    </r>
  </si>
  <si>
    <t>= x / 100 * passenger-km of the tram system / occupancy rate</t>
  </si>
  <si>
    <r>
      <t>V</t>
    </r>
    <r>
      <rPr>
        <vertAlign val="subscript"/>
        <sz val="11"/>
        <color theme="1"/>
        <rFont val="Albertus Medium"/>
        <family val="2"/>
      </rPr>
      <t>TRAM_2021</t>
    </r>
  </si>
  <si>
    <r>
      <t>∑V</t>
    </r>
    <r>
      <rPr>
        <vertAlign val="subscript"/>
        <sz val="11"/>
        <color theme="1"/>
        <rFont val="Albertus Medium"/>
        <family val="2"/>
      </rPr>
      <t>TRAM_SYSTEMS</t>
    </r>
  </si>
  <si>
    <t>Bus</t>
  </si>
  <si>
    <t>Car</t>
  </si>
  <si>
    <t>Passenger train</t>
  </si>
  <si>
    <t>Freight on rails</t>
  </si>
  <si>
    <t>Freight on road</t>
  </si>
  <si>
    <t>baseline rail freight transport</t>
  </si>
  <si>
    <t>baseline road freight transport</t>
  </si>
  <si>
    <t>baseline inland waterways freight transport</t>
  </si>
  <si>
    <t>Freight on waterways</t>
  </si>
  <si>
    <t>Summary table, CO2e emissions per capita</t>
  </si>
  <si>
    <t>Summary table, Absolute CO2e emissions</t>
  </si>
  <si>
    <t>Baseline, kgCO2e/ capita, a</t>
  </si>
  <si>
    <t>Baseline, tCO2e/ a</t>
  </si>
  <si>
    <t>results needs to be divided by population  + converted from t to kg</t>
  </si>
  <si>
    <t>result is already in kilograms and announced per capita, a</t>
  </si>
  <si>
    <t>result needs to be multiplied by population + converted from kg to t</t>
  </si>
  <si>
    <t>result is already in tonnes and announced as total per annum</t>
  </si>
  <si>
    <t>Transport_activity_tram</t>
  </si>
  <si>
    <t>Transport_activity_metro</t>
  </si>
  <si>
    <t>million vkm/a</t>
  </si>
  <si>
    <t>kgCO2e/a</t>
  </si>
  <si>
    <r>
      <t>V</t>
    </r>
    <r>
      <rPr>
        <vertAlign val="subscript"/>
        <sz val="10"/>
        <rFont val="Albertus Medium"/>
        <family val="2"/>
      </rPr>
      <t>METRO_2021</t>
    </r>
    <r>
      <rPr>
        <sz val="10"/>
        <rFont val="Albertus Medium"/>
        <family val="2"/>
      </rPr>
      <t>=</t>
    </r>
    <r>
      <rPr>
        <sz val="10"/>
        <rFont val="Arial Unicode MS"/>
        <family val="2"/>
        <charset val="186"/>
      </rPr>
      <t>∑(User</t>
    </r>
    <r>
      <rPr>
        <sz val="10"/>
        <rFont val="Albertus Medium"/>
        <family val="2"/>
      </rPr>
      <t xml:space="preserve"> input / 100 x range of values METRO_COL14:20) / METRO_COL2</t>
    </r>
  </si>
  <si>
    <r>
      <t>otherwise: V</t>
    </r>
    <r>
      <rPr>
        <vertAlign val="subscript"/>
        <sz val="10"/>
        <color theme="1"/>
        <rFont val="Albertus Medium"/>
        <family val="2"/>
      </rPr>
      <t>METRO</t>
    </r>
    <r>
      <rPr>
        <sz val="10"/>
        <color theme="1"/>
        <rFont val="Albertus Medium"/>
        <family val="2"/>
      </rPr>
      <t>_</t>
    </r>
    <r>
      <rPr>
        <vertAlign val="subscript"/>
        <sz val="10"/>
        <color theme="1"/>
        <rFont val="Albertus Medium"/>
        <family val="2"/>
      </rPr>
      <t>a</t>
    </r>
    <r>
      <rPr>
        <sz val="10"/>
        <color theme="1"/>
        <rFont val="Albertus Medium"/>
        <family val="2"/>
      </rPr>
      <t xml:space="preserve"> = V</t>
    </r>
    <r>
      <rPr>
        <vertAlign val="subscript"/>
        <sz val="10"/>
        <color theme="1"/>
        <rFont val="Albertus Medium"/>
        <family val="2"/>
      </rPr>
      <t>METRO_a-1</t>
    </r>
    <r>
      <rPr>
        <sz val="10"/>
        <color theme="1"/>
        <rFont val="Albertus Medium"/>
        <family val="2"/>
      </rPr>
      <t xml:space="preserve"> * (100+METRO_COL4,5,6) / 100</t>
    </r>
  </si>
  <si>
    <r>
      <t>V</t>
    </r>
    <r>
      <rPr>
        <vertAlign val="subscript"/>
        <sz val="10"/>
        <color theme="1"/>
        <rFont val="Arial Unicode MS"/>
        <family val="2"/>
        <charset val="186"/>
      </rPr>
      <t>METRO_a</t>
    </r>
    <r>
      <rPr>
        <sz val="10"/>
        <color theme="1"/>
        <rFont val="Arial Unicode MS"/>
        <family val="2"/>
        <charset val="186"/>
      </rPr>
      <t xml:space="preserve"> x EF</t>
    </r>
    <r>
      <rPr>
        <vertAlign val="subscript"/>
        <sz val="10"/>
        <color theme="1"/>
        <rFont val="Arial Unicode MS"/>
        <family val="2"/>
        <charset val="186"/>
      </rPr>
      <t>METRO</t>
    </r>
    <r>
      <rPr>
        <sz val="10"/>
        <color theme="1"/>
        <rFont val="Arial Unicode MS"/>
        <family val="2"/>
        <charset val="186"/>
      </rPr>
      <t xml:space="preserve"> / 1000 (unit conversion from gCO2e to kgCO2e)</t>
    </r>
  </si>
  <si>
    <r>
      <t>V</t>
    </r>
    <r>
      <rPr>
        <vertAlign val="subscript"/>
        <sz val="10"/>
        <rFont val="Arial Unicode MS"/>
        <family val="2"/>
        <charset val="186"/>
      </rPr>
      <t>TRAM_2021</t>
    </r>
    <r>
      <rPr>
        <sz val="10"/>
        <rFont val="Arial Unicode MS"/>
        <family val="2"/>
        <charset val="186"/>
      </rPr>
      <t>=∑(user input / 100 x range of values TRAM_COL66:123) / TRAM_COL2</t>
    </r>
  </si>
  <si>
    <r>
      <t>otherwise: V</t>
    </r>
    <r>
      <rPr>
        <vertAlign val="subscript"/>
        <sz val="10"/>
        <color theme="1"/>
        <rFont val="Arial Unicode MS"/>
        <family val="2"/>
        <charset val="186"/>
      </rPr>
      <t>TRAM_a</t>
    </r>
    <r>
      <rPr>
        <sz val="10"/>
        <color theme="1"/>
        <rFont val="Arial Unicode MS"/>
        <family val="2"/>
        <charset val="186"/>
      </rPr>
      <t xml:space="preserve"> = V</t>
    </r>
    <r>
      <rPr>
        <vertAlign val="subscript"/>
        <sz val="10"/>
        <color theme="1"/>
        <rFont val="Arial Unicode MS"/>
        <family val="2"/>
        <charset val="186"/>
      </rPr>
      <t>TRAM_a-1</t>
    </r>
    <r>
      <rPr>
        <sz val="10"/>
        <color theme="1"/>
        <rFont val="Arial Unicode MS"/>
        <family val="2"/>
        <charset val="186"/>
      </rPr>
      <t xml:space="preserve"> * (100+TRAM_COL4,5,6) / 100</t>
    </r>
  </si>
  <si>
    <r>
      <t>V</t>
    </r>
    <r>
      <rPr>
        <vertAlign val="subscript"/>
        <sz val="10"/>
        <color theme="1"/>
        <rFont val="Arial Unicode MS"/>
        <family val="2"/>
        <charset val="186"/>
      </rPr>
      <t>TRAM_a</t>
    </r>
    <r>
      <rPr>
        <sz val="10"/>
        <color theme="1"/>
        <rFont val="Arial Unicode MS"/>
        <family val="2"/>
        <charset val="186"/>
      </rPr>
      <t xml:space="preserve"> * EF</t>
    </r>
    <r>
      <rPr>
        <vertAlign val="subscript"/>
        <sz val="10"/>
        <color theme="1"/>
        <rFont val="Arial Unicode MS"/>
        <family val="2"/>
        <charset val="186"/>
      </rPr>
      <t>TRAM</t>
    </r>
    <r>
      <rPr>
        <sz val="10"/>
        <color theme="1"/>
        <rFont val="Arial Unicode MS"/>
        <family val="2"/>
        <charset val="186"/>
      </rPr>
      <t xml:space="preserve"> / 1000 (unit conversion from gCO2e to kgCO2e)</t>
    </r>
  </si>
  <si>
    <t>The baseline results are multiplied with these factors to calculate the impact of U2.</t>
  </si>
  <si>
    <t>impact factor = after/before (=CF weighted average / CF baseline)</t>
  </si>
  <si>
    <t>total population</t>
  </si>
  <si>
    <t>baseline population</t>
  </si>
  <si>
    <r>
      <t>otherwise: V</t>
    </r>
    <r>
      <rPr>
        <vertAlign val="subscript"/>
        <sz val="10"/>
        <rFont val="Arial Unicode MS"/>
        <family val="2"/>
        <charset val="186"/>
      </rPr>
      <t>TRAIN_a</t>
    </r>
    <r>
      <rPr>
        <sz val="10"/>
        <rFont val="Arial Unicode MS"/>
        <family val="2"/>
        <charset val="186"/>
      </rPr>
      <t xml:space="preserve"> = V</t>
    </r>
    <r>
      <rPr>
        <vertAlign val="subscript"/>
        <sz val="10"/>
        <rFont val="Arial Unicode MS"/>
        <family val="2"/>
        <charset val="186"/>
      </rPr>
      <t>TRAIN_a-1</t>
    </r>
    <r>
      <rPr>
        <sz val="10"/>
        <rFont val="Arial Unicode MS"/>
        <family val="2"/>
        <charset val="186"/>
      </rPr>
      <t xml:space="preserve"> * (100+TRAIN_COL6,7,8) / 100</t>
    </r>
  </si>
  <si>
    <t>EU refernce scenario 2015</t>
  </si>
  <si>
    <t>kWh/train-km</t>
  </si>
  <si>
    <r>
      <t>=(share</t>
    </r>
    <r>
      <rPr>
        <vertAlign val="subscript"/>
        <sz val="10"/>
        <color theme="1"/>
        <rFont val="Arial Unicode MS"/>
        <family val="2"/>
        <charset val="186"/>
      </rPr>
      <t>electric engines</t>
    </r>
    <r>
      <rPr>
        <sz val="10"/>
        <color theme="1"/>
        <rFont val="Arial Unicode MS"/>
        <family val="2"/>
        <charset val="186"/>
      </rPr>
      <t xml:space="preserve"> * EF</t>
    </r>
    <r>
      <rPr>
        <vertAlign val="subscript"/>
        <sz val="10"/>
        <color theme="1"/>
        <rFont val="Arial Unicode MS"/>
        <family val="2"/>
        <charset val="186"/>
      </rPr>
      <t>electricity</t>
    </r>
    <r>
      <rPr>
        <sz val="10"/>
        <color theme="1"/>
        <rFont val="Arial Unicode MS"/>
        <family val="2"/>
        <charset val="186"/>
      </rPr>
      <t xml:space="preserve"> * consumption) + (share</t>
    </r>
    <r>
      <rPr>
        <vertAlign val="subscript"/>
        <sz val="10"/>
        <color theme="1"/>
        <rFont val="Arial Unicode MS"/>
        <family val="2"/>
        <charset val="186"/>
      </rPr>
      <t>diesel engines</t>
    </r>
    <r>
      <rPr>
        <sz val="10"/>
        <color theme="1"/>
        <rFont val="Arial Unicode MS"/>
        <family val="2"/>
        <charset val="186"/>
      </rPr>
      <t xml:space="preserve"> x EF</t>
    </r>
    <r>
      <rPr>
        <vertAlign val="subscript"/>
        <sz val="10"/>
        <color theme="1"/>
        <rFont val="Arial Unicode MS"/>
        <family val="2"/>
        <charset val="186"/>
      </rPr>
      <t>diesel</t>
    </r>
    <r>
      <rPr>
        <sz val="10"/>
        <color theme="1"/>
        <rFont val="Arial Unicode MS"/>
        <family val="2"/>
        <charset val="186"/>
      </rPr>
      <t>))</t>
    </r>
  </si>
  <si>
    <r>
      <t>otherwise: V</t>
    </r>
    <r>
      <rPr>
        <vertAlign val="subscript"/>
        <sz val="10"/>
        <rFont val="Arial Unicode MS"/>
        <family val="2"/>
        <charset val="186"/>
      </rPr>
      <t>RAILTRN_a</t>
    </r>
    <r>
      <rPr>
        <sz val="10"/>
        <rFont val="Arial Unicode MS"/>
        <family val="2"/>
        <charset val="186"/>
      </rPr>
      <t xml:space="preserve"> = V</t>
    </r>
    <r>
      <rPr>
        <vertAlign val="subscript"/>
        <sz val="10"/>
        <rFont val="Arial Unicode MS"/>
        <family val="2"/>
        <charset val="186"/>
      </rPr>
      <t>RAILTRN_a-1</t>
    </r>
    <r>
      <rPr>
        <sz val="10"/>
        <rFont val="Arial Unicode MS"/>
        <family val="2"/>
        <charset val="186"/>
      </rPr>
      <t xml:space="preserve"> * (100 + RAILTRN_COL5,6,7) / 100</t>
    </r>
  </si>
  <si>
    <r>
      <t>BASELINE / EF</t>
    </r>
    <r>
      <rPr>
        <vertAlign val="subscript"/>
        <sz val="10"/>
        <rFont val="Arial Unicode MS"/>
        <family val="2"/>
        <charset val="186"/>
      </rPr>
      <t>car_road</t>
    </r>
    <r>
      <rPr>
        <sz val="10"/>
        <rFont val="Arial Unicode MS"/>
        <family val="2"/>
        <charset val="186"/>
      </rPr>
      <t xml:space="preserve"> and EF</t>
    </r>
    <r>
      <rPr>
        <vertAlign val="subscript"/>
        <sz val="10"/>
        <rFont val="Arial Unicode MS"/>
        <family val="2"/>
        <charset val="186"/>
      </rPr>
      <t>car_street</t>
    </r>
  </si>
  <si>
    <r>
      <t>BASELINE / EF</t>
    </r>
    <r>
      <rPr>
        <vertAlign val="subscript"/>
        <sz val="10"/>
        <rFont val="Arial Unicode MS"/>
        <family val="2"/>
        <charset val="186"/>
      </rPr>
      <t>ROAD_TRN_road</t>
    </r>
    <r>
      <rPr>
        <sz val="10"/>
        <rFont val="Arial Unicode MS"/>
        <family val="2"/>
        <charset val="186"/>
      </rPr>
      <t xml:space="preserve"> and EF</t>
    </r>
    <r>
      <rPr>
        <vertAlign val="subscript"/>
        <sz val="10"/>
        <rFont val="Arial Unicode MS"/>
        <family val="2"/>
        <charset val="186"/>
      </rPr>
      <t>ROAD_TRN_street</t>
    </r>
  </si>
  <si>
    <t>Liquefied petroleum gases (LPG)</t>
  </si>
  <si>
    <t>Natural Gas</t>
  </si>
  <si>
    <t>Alternative Energy</t>
  </si>
  <si>
    <t>Compressed natural gas (CNG)  </t>
  </si>
  <si>
    <r>
      <t>EF</t>
    </r>
    <r>
      <rPr>
        <vertAlign val="subscript"/>
        <sz val="10"/>
        <color theme="1"/>
        <rFont val="Arial Unicode MS"/>
        <family val="2"/>
        <charset val="186"/>
      </rPr>
      <t>ROAD_TRN_road</t>
    </r>
    <r>
      <rPr>
        <sz val="10"/>
        <color theme="1"/>
        <rFont val="Arial Unicode MS"/>
        <family val="2"/>
        <charset val="186"/>
      </rPr>
      <t>, gCO</t>
    </r>
    <r>
      <rPr>
        <vertAlign val="subscript"/>
        <sz val="10"/>
        <color theme="1"/>
        <rFont val="Arial Unicode MS"/>
        <family val="2"/>
        <charset val="186"/>
      </rPr>
      <t>2</t>
    </r>
    <r>
      <rPr>
        <sz val="10"/>
        <color theme="1"/>
        <rFont val="Arial Unicode MS"/>
        <family val="2"/>
        <charset val="186"/>
      </rPr>
      <t>e/vehicle-km</t>
    </r>
  </si>
  <si>
    <r>
      <t>EF</t>
    </r>
    <r>
      <rPr>
        <vertAlign val="subscript"/>
        <sz val="10"/>
        <color theme="1"/>
        <rFont val="Arial Unicode MS"/>
        <family val="2"/>
        <charset val="186"/>
      </rPr>
      <t>ROAD_TRN_street</t>
    </r>
    <r>
      <rPr>
        <sz val="10"/>
        <color theme="1"/>
        <rFont val="Arial Unicode MS"/>
        <family val="2"/>
        <charset val="186"/>
      </rPr>
      <t>, gCO</t>
    </r>
    <r>
      <rPr>
        <vertAlign val="subscript"/>
        <sz val="10"/>
        <color theme="1"/>
        <rFont val="Arial Unicode MS"/>
        <family val="2"/>
        <charset val="186"/>
      </rPr>
      <t>2</t>
    </r>
    <r>
      <rPr>
        <sz val="10"/>
        <color theme="1"/>
        <rFont val="Arial Unicode MS"/>
        <family val="2"/>
        <charset val="186"/>
      </rPr>
      <t>e/vehicle-km</t>
    </r>
  </si>
  <si>
    <r>
      <t>ROAD TRANSPORT: Area-specific emission factor EF</t>
    </r>
    <r>
      <rPr>
        <vertAlign val="subscript"/>
        <sz val="10"/>
        <color theme="1"/>
        <rFont val="Arial Unicode MS"/>
        <family val="2"/>
        <charset val="186"/>
      </rPr>
      <t>CAR</t>
    </r>
    <r>
      <rPr>
        <sz val="10"/>
        <color theme="1"/>
        <rFont val="Arial Unicode MS"/>
        <family val="2"/>
        <charset val="186"/>
      </rPr>
      <t xml:space="preserve"> for baseline calculation</t>
    </r>
  </si>
  <si>
    <r>
      <t>Average emission factor E</t>
    </r>
    <r>
      <rPr>
        <vertAlign val="subscript"/>
        <sz val="10"/>
        <color theme="1"/>
        <rFont val="Arial Unicode MS"/>
        <family val="2"/>
        <charset val="186"/>
      </rPr>
      <t>ROAD_TRN</t>
    </r>
  </si>
  <si>
    <t>Propulsion_Share_Road_freight</t>
  </si>
  <si>
    <t>ROAD_TRN_COL11</t>
  </si>
  <si>
    <t>ROAD_TRN_COL12</t>
  </si>
  <si>
    <t>ROAD_TRN_COL13</t>
  </si>
  <si>
    <t>ROAD_TRN_COL14</t>
  </si>
  <si>
    <t>ROAD_TRN_COL15</t>
  </si>
  <si>
    <t>ROAD_TRN_COL16</t>
  </si>
  <si>
    <t>ROAD_TRN_COL17</t>
  </si>
  <si>
    <t>ROAD_TRN_COL18</t>
  </si>
  <si>
    <t>ROAD_TRN_COL19</t>
  </si>
  <si>
    <t>ROAD_TRN_COL20</t>
  </si>
  <si>
    <t>ROAD_TRN_COL21</t>
  </si>
  <si>
    <t>ROAD_TRN_COL22</t>
  </si>
  <si>
    <t>ROAD_TRN_COL23</t>
  </si>
  <si>
    <t>ROAD_TRN_COL24</t>
  </si>
  <si>
    <t>ROAD_TRN_COL25</t>
  </si>
  <si>
    <t>ROAD_TRN_COL26</t>
  </si>
  <si>
    <r>
      <t>gCO</t>
    </r>
    <r>
      <rPr>
        <vertAlign val="superscript"/>
        <sz val="10"/>
        <rFont val="Arial Unicode MS"/>
        <family val="2"/>
        <charset val="186"/>
      </rPr>
      <t>2</t>
    </r>
    <r>
      <rPr>
        <sz val="10"/>
        <rFont val="Arial Unicode MS"/>
        <family val="2"/>
        <charset val="186"/>
      </rPr>
      <t>e/vkm</t>
    </r>
  </si>
  <si>
    <t>CAR_COL59</t>
  </si>
  <si>
    <t>CAR_COL60</t>
  </si>
  <si>
    <t>CAR_COL61</t>
  </si>
  <si>
    <t>CAR_COL62</t>
  </si>
  <si>
    <t>CAR_COL63</t>
  </si>
  <si>
    <t>Share_road_driving_Car</t>
  </si>
  <si>
    <t>road driving percentages from range CAR_COL59: CAR_COL63</t>
  </si>
  <si>
    <t>road driving percentages from range BUS_COL33: BUS_COL42</t>
  </si>
  <si>
    <t>Electricity BEV</t>
  </si>
  <si>
    <t>Electricity, Petrol PHEV</t>
  </si>
  <si>
    <t>Electricity, Diesel PHEV</t>
  </si>
  <si>
    <t>Petrol including hybrids</t>
  </si>
  <si>
    <t>Diesel including hybrids</t>
  </si>
  <si>
    <t>EF_Street_Driving_Road_freight</t>
  </si>
  <si>
    <t>ROAD_TRN_COL27</t>
  </si>
  <si>
    <t>ROAD_TRN_COL28</t>
  </si>
  <si>
    <t>ROAD_TRN_COL29</t>
  </si>
  <si>
    <t>ROAD_TRN_COL30</t>
  </si>
  <si>
    <t>ROAD_TRN_COL31</t>
  </si>
  <si>
    <t>ROAD_TRN_COL32</t>
  </si>
  <si>
    <t>ROAD_TRN_COL33</t>
  </si>
  <si>
    <t>ROAD_TRN_COL34</t>
  </si>
  <si>
    <t>ROAD_TRN_COL35</t>
  </si>
  <si>
    <t>ROAD_TRN_COL36</t>
  </si>
  <si>
    <t>ROAD_TRN_COL37</t>
  </si>
  <si>
    <r>
      <t>gCO</t>
    </r>
    <r>
      <rPr>
        <vertAlign val="subscript"/>
        <sz val="10"/>
        <rFont val="Arial Unicode MS"/>
        <family val="2"/>
        <charset val="186"/>
      </rPr>
      <t>2</t>
    </r>
    <r>
      <rPr>
        <sz val="10"/>
        <rFont val="Arial Unicode MS"/>
        <family val="2"/>
        <charset val="186"/>
      </rPr>
      <t>e/vkm</t>
    </r>
  </si>
  <si>
    <t>EF_Road_Driving_Road_freight</t>
  </si>
  <si>
    <t>Share_road_driving_Road_freight</t>
  </si>
  <si>
    <t>ROAD_TRN_COL38</t>
  </si>
  <si>
    <t>ROAD_TRN_COL39</t>
  </si>
  <si>
    <t>ROAD_TRN_COL40</t>
  </si>
  <si>
    <t>ROAD_TRN_COL41</t>
  </si>
  <si>
    <t>ROAD_TRN_COL42</t>
  </si>
  <si>
    <t>road driving percentages from range ROAD_TRN_COL38: CAR_COL42</t>
  </si>
  <si>
    <r>
      <t>after 2021: V</t>
    </r>
    <r>
      <rPr>
        <vertAlign val="subscript"/>
        <sz val="10"/>
        <rFont val="Arial Unicode MS"/>
        <family val="2"/>
        <charset val="186"/>
      </rPr>
      <t>BUS_a</t>
    </r>
    <r>
      <rPr>
        <sz val="10"/>
        <rFont val="Arial Unicode MS"/>
        <family val="2"/>
        <charset val="186"/>
      </rPr>
      <t xml:space="preserve"> = V</t>
    </r>
    <r>
      <rPr>
        <vertAlign val="subscript"/>
        <sz val="10"/>
        <rFont val="Arial Unicode MS"/>
        <family val="2"/>
        <charset val="186"/>
      </rPr>
      <t>BUS_a-1</t>
    </r>
    <r>
      <rPr>
        <sz val="10"/>
        <rFont val="Arial Unicode MS"/>
        <family val="2"/>
        <charset val="186"/>
      </rPr>
      <t xml:space="preserve"> * (100+BUS_COL3,4,5) / 100 </t>
    </r>
  </si>
  <si>
    <t>TRAM_COL65</t>
  </si>
  <si>
    <t>Policy impacts, Summary table, CO2e emissions per capita</t>
  </si>
  <si>
    <t>Policy impacts, Summary table, Absolute CO2e emissions</t>
  </si>
  <si>
    <t>Policy impacts total, kgCO2e/ capita, a</t>
  </si>
  <si>
    <t>Baseline total, kgCO2e/ capita, a</t>
  </si>
  <si>
    <t>Baseline total, tCO2e/a</t>
  </si>
  <si>
    <t>Policy impacts total, tCO2e/a</t>
  </si>
  <si>
    <t>POLICY IMPACT, SUMMARY</t>
  </si>
  <si>
    <r>
      <t>V</t>
    </r>
    <r>
      <rPr>
        <vertAlign val="subscript"/>
        <sz val="10"/>
        <color theme="1"/>
        <rFont val="Albertus Medium"/>
        <family val="2"/>
      </rPr>
      <t>BUS</t>
    </r>
    <r>
      <rPr>
        <sz val="10"/>
        <color theme="1"/>
        <rFont val="Albertus Medium"/>
        <family val="2"/>
      </rPr>
      <t xml:space="preserve"> (row 24) * occupancy rate BUS_COL2 * impact factor (row 253)</t>
    </r>
  </si>
  <si>
    <r>
      <t>V</t>
    </r>
    <r>
      <rPr>
        <vertAlign val="subscript"/>
        <sz val="10"/>
        <color theme="1"/>
        <rFont val="Albertus Medium"/>
        <family val="2"/>
      </rPr>
      <t>METRO</t>
    </r>
    <r>
      <rPr>
        <sz val="10"/>
        <color theme="1"/>
        <rFont val="Albertus Medium"/>
        <family val="2"/>
      </rPr>
      <t xml:space="preserve"> (row 91) * occupancy rate METRO_COL2 * impact factor (row 255)</t>
    </r>
  </si>
  <si>
    <r>
      <t>V</t>
    </r>
    <r>
      <rPr>
        <vertAlign val="subscript"/>
        <sz val="10"/>
        <color theme="1"/>
        <rFont val="Albertus Medium"/>
        <family val="2"/>
      </rPr>
      <t>TRAM</t>
    </r>
    <r>
      <rPr>
        <sz val="10"/>
        <color theme="1"/>
        <rFont val="Albertus Medium"/>
        <family val="2"/>
      </rPr>
      <t xml:space="preserve"> (row 101) * occupancy rate TRAM_COL2 * impact factor (row 256)</t>
    </r>
  </si>
  <si>
    <r>
      <t>V</t>
    </r>
    <r>
      <rPr>
        <vertAlign val="subscript"/>
        <sz val="10"/>
        <color theme="1"/>
        <rFont val="Albertus Medium"/>
        <family val="2"/>
      </rPr>
      <t>TRAIN</t>
    </r>
    <r>
      <rPr>
        <sz val="10"/>
        <color theme="1"/>
        <rFont val="Albertus Medium"/>
        <family val="2"/>
      </rPr>
      <t xml:space="preserve"> (row 111) * occupancy rate TRAIN_COL2 * impact factor (row 257)</t>
    </r>
  </si>
  <si>
    <r>
      <t>V</t>
    </r>
    <r>
      <rPr>
        <vertAlign val="subscript"/>
        <sz val="10"/>
        <color theme="1"/>
        <rFont val="Albertus Medium"/>
        <family val="2"/>
      </rPr>
      <t>CAR</t>
    </r>
    <r>
      <rPr>
        <sz val="10"/>
        <color theme="1"/>
        <rFont val="Albertus Medium"/>
        <family val="2"/>
      </rPr>
      <t xml:space="preserve"> (row 51) * occupancy rate CAR_COL2 * impact factor (row 254)</t>
    </r>
  </si>
  <si>
    <t>conversion to percentages, zero division prevented with IF function</t>
  </si>
  <si>
    <t>U3.1 IMPACT IN PASSENGER-KM (weighted average)</t>
  </si>
  <si>
    <t>MODAL SPLIT AS % WITH U3.1 IMPACT</t>
  </si>
  <si>
    <t>Modal split in freight transport with U2 impact (tonne-km/capita a)</t>
  </si>
  <si>
    <t>Modal split in passenger transport with U2 impact (passenger-km/capita a)</t>
  </si>
  <si>
    <t>Average load</t>
  </si>
  <si>
    <t>tonnes</t>
  </si>
  <si>
    <t>average load</t>
  </si>
  <si>
    <t>ROAD_TRN_COL43</t>
  </si>
  <si>
    <t>WATER_TRN_COL11</t>
  </si>
  <si>
    <t>=(100-reduction percentage, row 349) / 100 x tonne-km after U2 (row 280)</t>
  </si>
  <si>
    <t>=(100-reduction percentage, row 349) / 100 x tonne-km after U2 (row 281)</t>
  </si>
  <si>
    <t>modal share with the policy U3.4 impact (%)</t>
  </si>
  <si>
    <t>MODAL SHARES IN FREIGHT TRANSPORT, as tonne-km</t>
  </si>
  <si>
    <t>modal share without the policy U3.4 impact (%)</t>
  </si>
  <si>
    <t>Baseline: Tonne-kilometers per capita for each mode of freight transport</t>
  </si>
  <si>
    <t>Baseline: Modal split, freight transport (%)</t>
  </si>
  <si>
    <t>Modal split after U3.2 impact as %</t>
  </si>
  <si>
    <t>TOTAL, tonne-km</t>
  </si>
  <si>
    <t>TOTAL, %</t>
  </si>
  <si>
    <t>Annual change</t>
  </si>
  <si>
    <t>RAIL TRANSPORT without policy</t>
  </si>
  <si>
    <t>RAIL TRANSPORT with policy</t>
  </si>
  <si>
    <t>WATERWAYS without policy</t>
  </si>
  <si>
    <t>WATERWAYS with policy</t>
  </si>
  <si>
    <t>With U3.4 impact per mode of freight transport as tonne-km</t>
  </si>
  <si>
    <t>percentage with U3.5 impact</t>
  </si>
  <si>
    <t>Petroleum products with policy</t>
  </si>
  <si>
    <t>LPG with policy</t>
  </si>
  <si>
    <t>CNG with policy</t>
  </si>
  <si>
    <t>Electricity with policy</t>
  </si>
  <si>
    <t>impact on the shares of fuel types</t>
  </si>
  <si>
    <t>baseline percentage from row 28</t>
  </si>
  <si>
    <t>baseline percentage from row 29</t>
  </si>
  <si>
    <t>baseline percentage from row 31</t>
  </si>
  <si>
    <t>baseline percentage from row 32</t>
  </si>
  <si>
    <t>NATURAL GAS (CNG)</t>
  </si>
  <si>
    <t>average kgCO2e/vehicle-km</t>
  </si>
  <si>
    <t>EFbus_road, gCO2e/vehicle-km</t>
  </si>
  <si>
    <t>EFbus_street, gCO2e/vehicle-km</t>
  </si>
  <si>
    <t>Final V in vehicle-km</t>
  </si>
  <si>
    <t>U3.2 impact per mode of freight transport, tonne-km</t>
  </si>
  <si>
    <t>TOTAL, vehicle-km</t>
  </si>
  <si>
    <t>Baseline + U2 impact: Passenger-kilometers per capita for each mode of passenger transport</t>
  </si>
  <si>
    <t>Baseline + U2 impact: Modal split, passenger transport (%)</t>
  </si>
  <si>
    <t>same as above but in percentages</t>
  </si>
  <si>
    <t>baseline vkm converted to pkm and with U2 impact factor</t>
  </si>
  <si>
    <t>vkm to tonne-km and with U2 impact factor</t>
  </si>
  <si>
    <t>cell F148 / timing according to F150 and G150 = F148 / ( G150-F150+1)</t>
  </si>
  <si>
    <t>area type % baseline + U2 impact</t>
  </si>
  <si>
    <t>from row 294</t>
  </si>
  <si>
    <t>from row 295</t>
  </si>
  <si>
    <t>from row 296</t>
  </si>
  <si>
    <t>EFbus_road and EFbus_street with U3.5 impact</t>
  </si>
  <si>
    <t>FINAL RESULT</t>
  </si>
  <si>
    <t>weighted average based on the shares of baseline and new population</t>
  </si>
  <si>
    <t>TRAIN</t>
  </si>
  <si>
    <t>RAIL</t>
  </si>
  <si>
    <t>WATERWAYS</t>
  </si>
  <si>
    <t>Natural gas (CNG)</t>
  </si>
  <si>
    <t>percentage with U3.6 impact</t>
  </si>
  <si>
    <t>NGV with policy</t>
  </si>
  <si>
    <t>Petrol with policy</t>
  </si>
  <si>
    <t>Petrol-electric hybrid with policy</t>
  </si>
  <si>
    <t>Petrol PHEV with policy</t>
  </si>
  <si>
    <t>Diesel with policy</t>
  </si>
  <si>
    <t>Diesel-electric hybrid with policy</t>
  </si>
  <si>
    <t>Diesel PHEV with policy</t>
  </si>
  <si>
    <t>Hydrogen+fuel cell with policy</t>
  </si>
  <si>
    <t>Biotethanol with policy</t>
  </si>
  <si>
    <t>Biodiesel with policy</t>
  </si>
  <si>
    <t>Bi-fuel with policy</t>
  </si>
  <si>
    <t>Other with policy</t>
  </si>
  <si>
    <t>BEV with policy</t>
  </si>
  <si>
    <r>
      <t>Policy impact on EF</t>
    </r>
    <r>
      <rPr>
        <vertAlign val="subscript"/>
        <sz val="10"/>
        <rFont val="Arial Unicode MS"/>
        <family val="2"/>
        <charset val="186"/>
      </rPr>
      <t>car_road</t>
    </r>
    <r>
      <rPr>
        <sz val="10"/>
        <rFont val="Arial Unicode MS"/>
        <family val="2"/>
        <charset val="186"/>
      </rPr>
      <t xml:space="preserve"> and EF</t>
    </r>
    <r>
      <rPr>
        <vertAlign val="subscript"/>
        <sz val="10"/>
        <rFont val="Arial Unicode MS"/>
        <family val="2"/>
        <charset val="186"/>
      </rPr>
      <t>car_street</t>
    </r>
  </si>
  <si>
    <t>this share is included twice: 1) fuel consumption, 2) electricity use</t>
  </si>
  <si>
    <r>
      <t>Area-specific EF</t>
    </r>
    <r>
      <rPr>
        <vertAlign val="subscript"/>
        <sz val="10"/>
        <color theme="1"/>
        <rFont val="Arial Unicode MS"/>
        <family val="2"/>
        <charset val="186"/>
      </rPr>
      <t>CAR</t>
    </r>
  </si>
  <si>
    <t>CAR EMISSIONS</t>
  </si>
  <si>
    <r>
      <t>V</t>
    </r>
    <r>
      <rPr>
        <vertAlign val="subscript"/>
        <sz val="10"/>
        <color theme="1"/>
        <rFont val="Arial Unicode MS"/>
        <family val="2"/>
        <charset val="186"/>
      </rPr>
      <t>CAR</t>
    </r>
    <r>
      <rPr>
        <sz val="10"/>
        <color theme="1"/>
        <rFont val="Arial Unicode MS"/>
        <family val="2"/>
        <charset val="186"/>
      </rPr>
      <t xml:space="preserve"> (row354) / CAR_COL2 (occupancy rate) * EF</t>
    </r>
    <r>
      <rPr>
        <vertAlign val="subscript"/>
        <sz val="10"/>
        <color theme="1"/>
        <rFont val="Arial Unicode MS"/>
        <family val="2"/>
        <charset val="186"/>
      </rPr>
      <t>CAR</t>
    </r>
    <r>
      <rPr>
        <sz val="10"/>
        <color theme="1"/>
        <rFont val="Arial Unicode MS"/>
        <family val="2"/>
        <charset val="186"/>
      </rPr>
      <t xml:space="preserve"> from above</t>
    </r>
  </si>
  <si>
    <t>U3.5 IMPACT ON BUS EF</t>
  </si>
  <si>
    <t>U3.4 IMPACT ON FREIGHT TRANSPORT V</t>
  </si>
  <si>
    <t>U3.2 IMPACT ON FREIGHT TRANSPORT V</t>
  </si>
  <si>
    <t>U3.3 IMPACT ON PASSENGER TRANSPORT V</t>
  </si>
  <si>
    <t>U3.1 IMPACT ON PASSENGER TRANSPORT V</t>
  </si>
  <si>
    <t>U2 ON V AND EF</t>
  </si>
  <si>
    <t>BUS EMISSIONS WITH 3.5 IMPACT</t>
  </si>
  <si>
    <t>Emission factors (EF) from rows 419 and 420</t>
  </si>
  <si>
    <r>
      <t>Area-specific EF</t>
    </r>
    <r>
      <rPr>
        <vertAlign val="subscript"/>
        <sz val="10"/>
        <color theme="1"/>
        <rFont val="Arial Unicode MS"/>
        <family val="2"/>
        <charset val="186"/>
      </rPr>
      <t>BUS</t>
    </r>
    <r>
      <rPr>
        <sz val="10"/>
        <color theme="1"/>
        <rFont val="Arial Unicode MS"/>
        <family val="2"/>
        <charset val="186"/>
      </rPr>
      <t>with 3.5</t>
    </r>
  </si>
  <si>
    <t>Emission factors (EF) from rows 34 and 35</t>
  </si>
  <si>
    <r>
      <t>Area-specific EF</t>
    </r>
    <r>
      <rPr>
        <vertAlign val="subscript"/>
        <sz val="10"/>
        <color theme="1"/>
        <rFont val="Arial Unicode MS"/>
        <family val="2"/>
        <charset val="186"/>
      </rPr>
      <t>BUS</t>
    </r>
    <r>
      <rPr>
        <sz val="10"/>
        <color theme="1"/>
        <rFont val="Arial Unicode MS"/>
        <family val="2"/>
        <charset val="186"/>
      </rPr>
      <t>without 3.5</t>
    </r>
  </si>
  <si>
    <t>BUS: WEIGHTED AVERAGE (DEPENDING ON THE AREA AFFECTED BY THE POLICY, cell H190)</t>
  </si>
  <si>
    <r>
      <t>BUS: Area-specific emission factor EF</t>
    </r>
    <r>
      <rPr>
        <vertAlign val="subscript"/>
        <sz val="10"/>
        <color theme="1"/>
        <rFont val="Arial Unicode MS"/>
        <family val="2"/>
        <charset val="186"/>
      </rPr>
      <t>bus</t>
    </r>
    <r>
      <rPr>
        <sz val="10"/>
        <color theme="1"/>
        <rFont val="Arial Unicode MS"/>
        <family val="2"/>
        <charset val="186"/>
      </rPr>
      <t xml:space="preserve"> with U2,</t>
    </r>
    <r>
      <rPr>
        <b/>
        <sz val="10"/>
        <color theme="1"/>
        <rFont val="Arial Unicode MS"/>
        <family val="2"/>
        <charset val="186"/>
      </rPr>
      <t xml:space="preserve"> </t>
    </r>
    <r>
      <rPr>
        <sz val="10"/>
        <color theme="1"/>
        <rFont val="Arial Unicode MS"/>
        <family val="2"/>
        <charset val="186"/>
      </rPr>
      <t>U3.5 and U3.7 impact</t>
    </r>
  </si>
  <si>
    <r>
      <t>BUS: Area-specific emission factor EF</t>
    </r>
    <r>
      <rPr>
        <vertAlign val="subscript"/>
        <sz val="10"/>
        <color theme="1"/>
        <rFont val="Arial Unicode MS"/>
        <family val="2"/>
        <charset val="186"/>
      </rPr>
      <t>bus</t>
    </r>
    <r>
      <rPr>
        <sz val="10"/>
        <color theme="1"/>
        <rFont val="Arial Unicode MS"/>
        <family val="2"/>
        <charset val="186"/>
      </rPr>
      <t xml:space="preserve"> with U2 and U3.7 impact but </t>
    </r>
    <r>
      <rPr>
        <b/>
        <sz val="10"/>
        <color theme="1"/>
        <rFont val="Arial Unicode MS"/>
        <family val="2"/>
        <charset val="186"/>
      </rPr>
      <t>without</t>
    </r>
    <r>
      <rPr>
        <sz val="10"/>
        <color theme="1"/>
        <rFont val="Arial Unicode MS"/>
        <family val="2"/>
        <charset val="186"/>
      </rPr>
      <t xml:space="preserve"> U3.5 impact</t>
    </r>
  </si>
  <si>
    <t>Weighted average</t>
  </si>
  <si>
    <t>the policy achieves the desired reduction-% by the end year</t>
  </si>
  <si>
    <t>weighted average, U3.7 included (this row not used in the calculation)</t>
  </si>
  <si>
    <t>weighted average, U3.7 included</t>
  </si>
  <si>
    <t>weighted average, U3.7 included (this value not used in the calculation)</t>
  </si>
  <si>
    <t>Emission factors (EF) from rows 523 and 524</t>
  </si>
  <si>
    <t>Emission factors (EF) from rows 73 and 74</t>
  </si>
  <si>
    <r>
      <t xml:space="preserve">CAR: Area-specific emission factor EFCAR with U2 and U3.7 impacts and </t>
    </r>
    <r>
      <rPr>
        <b/>
        <sz val="10"/>
        <color theme="1"/>
        <rFont val="Arial Unicode MS"/>
        <family val="2"/>
        <charset val="186"/>
      </rPr>
      <t xml:space="preserve">without </t>
    </r>
    <r>
      <rPr>
        <sz val="10"/>
        <color theme="1"/>
        <rFont val="Arial Unicode MS"/>
        <family val="2"/>
        <charset val="186"/>
      </rPr>
      <t>U3.6 impact</t>
    </r>
  </si>
  <si>
    <r>
      <t>CAR: Area-specific emission factor EFCAR with U2, U3.7 impacts and</t>
    </r>
    <r>
      <rPr>
        <b/>
        <sz val="10"/>
        <color theme="1"/>
        <rFont val="Arial Unicode MS"/>
        <family val="2"/>
        <charset val="186"/>
      </rPr>
      <t xml:space="preserve"> with</t>
    </r>
    <r>
      <rPr>
        <sz val="10"/>
        <color theme="1"/>
        <rFont val="Arial Unicode MS"/>
        <family val="2"/>
        <charset val="186"/>
      </rPr>
      <t xml:space="preserve"> U3.6 impact</t>
    </r>
  </si>
  <si>
    <t>CAR: WEIGHTED AVERAGE (DEPENDING ON THE AREA AFFECTED BY THE POLICY, cell H202)</t>
  </si>
  <si>
    <t>Total with U2 impact, kgCO2e/ capita, a</t>
  </si>
  <si>
    <t>U2 Summary table, CO2e emissions per capita</t>
  </si>
  <si>
    <r>
      <t>V</t>
    </r>
    <r>
      <rPr>
        <vertAlign val="subscript"/>
        <sz val="10"/>
        <color theme="1"/>
        <rFont val="Arial Unicode MS"/>
        <family val="2"/>
        <charset val="186"/>
      </rPr>
      <t>BUS</t>
    </r>
    <r>
      <rPr>
        <sz val="10"/>
        <color theme="1"/>
        <rFont val="Arial Unicode MS"/>
        <family val="2"/>
        <charset val="186"/>
      </rPr>
      <t xml:space="preserve"> with U2 impact</t>
    </r>
  </si>
  <si>
    <t>baseline result (row 179) * impact factor (row 256)</t>
  </si>
  <si>
    <t>baseline result (row 180) * impact factor (row 257)</t>
  </si>
  <si>
    <r>
      <t>V</t>
    </r>
    <r>
      <rPr>
        <vertAlign val="subscript"/>
        <sz val="10"/>
        <color theme="1"/>
        <rFont val="Arial Unicode MS"/>
        <family val="2"/>
        <charset val="186"/>
      </rPr>
      <t>CAR</t>
    </r>
    <r>
      <rPr>
        <sz val="10"/>
        <color theme="1"/>
        <rFont val="Arial Unicode MS"/>
        <family val="2"/>
        <charset val="186"/>
      </rPr>
      <t xml:space="preserve"> with U2 impact</t>
    </r>
  </si>
  <si>
    <r>
      <t>V</t>
    </r>
    <r>
      <rPr>
        <vertAlign val="subscript"/>
        <sz val="10"/>
        <color theme="1"/>
        <rFont val="Arial Unicode MS"/>
        <family val="2"/>
        <charset val="186"/>
      </rPr>
      <t>BUS</t>
    </r>
    <r>
      <rPr>
        <sz val="10"/>
        <color theme="1"/>
        <rFont val="Arial Unicode MS"/>
        <family val="2"/>
        <charset val="186"/>
      </rPr>
      <t xml:space="preserve"> = passenger-km (row 265) after U2 / occupancy rate (BUS_COL2)</t>
    </r>
  </si>
  <si>
    <t>average of baseline-% and U2-%, weighted by population (rows 202, 203)</t>
  </si>
  <si>
    <t>U2 impact SETTLEMENT TYPES</t>
  </si>
  <si>
    <t>row 301 * row 302</t>
  </si>
  <si>
    <r>
      <t>Area-specific EF</t>
    </r>
    <r>
      <rPr>
        <vertAlign val="subscript"/>
        <sz val="10"/>
        <color theme="1"/>
        <rFont val="Arial Unicode MS"/>
        <family val="2"/>
        <charset val="186"/>
      </rPr>
      <t>BUS</t>
    </r>
    <r>
      <rPr>
        <sz val="10"/>
        <color theme="1"/>
        <rFont val="Arial Unicode MS"/>
        <family val="2"/>
        <charset val="186"/>
      </rPr>
      <t xml:space="preserve"> with U2</t>
    </r>
  </si>
  <si>
    <r>
      <t>Area-specific EF</t>
    </r>
    <r>
      <rPr>
        <vertAlign val="subscript"/>
        <sz val="10"/>
        <color theme="1"/>
        <rFont val="Arial Unicode MS"/>
        <family val="2"/>
        <charset val="186"/>
      </rPr>
      <t xml:space="preserve">CAR </t>
    </r>
    <r>
      <rPr>
        <sz val="10"/>
        <color theme="1"/>
        <rFont val="Arial Unicode MS"/>
        <family val="2"/>
        <charset val="186"/>
      </rPr>
      <t>with U2</t>
    </r>
  </si>
  <si>
    <r>
      <t>BUS: Area-specific emission factor EF</t>
    </r>
    <r>
      <rPr>
        <vertAlign val="subscript"/>
        <sz val="10"/>
        <color theme="1"/>
        <rFont val="Arial Unicode MS"/>
        <family val="2"/>
        <charset val="186"/>
      </rPr>
      <t>bus</t>
    </r>
    <r>
      <rPr>
        <sz val="10"/>
        <color theme="1"/>
        <rFont val="Arial Unicode MS"/>
        <family val="2"/>
        <charset val="186"/>
      </rPr>
      <t xml:space="preserve"> per settlement type, for baseline</t>
    </r>
  </si>
  <si>
    <r>
      <t>CAR: Area-specific emission factor EF</t>
    </r>
    <r>
      <rPr>
        <vertAlign val="subscript"/>
        <sz val="10"/>
        <color theme="1"/>
        <rFont val="Arial Unicode MS"/>
        <family val="2"/>
        <charset val="186"/>
      </rPr>
      <t>CAR</t>
    </r>
    <r>
      <rPr>
        <sz val="10"/>
        <color theme="1"/>
        <rFont val="Arial Unicode MS"/>
        <family val="2"/>
        <charset val="186"/>
      </rPr>
      <t xml:space="preserve"> per settlement type, for baseline</t>
    </r>
  </si>
  <si>
    <r>
      <t>EF</t>
    </r>
    <r>
      <rPr>
        <vertAlign val="subscript"/>
        <sz val="10"/>
        <color theme="1"/>
        <rFont val="Arial Unicode MS"/>
        <family val="2"/>
        <charset val="186"/>
      </rPr>
      <t>BUS_METROPOLITAN</t>
    </r>
    <r>
      <rPr>
        <sz val="10"/>
        <color theme="1"/>
        <rFont val="Arial Unicode MS"/>
        <family val="2"/>
        <charset val="186"/>
      </rPr>
      <t xml:space="preserve"> (row40) * SHARE (row294/100)  + EF</t>
    </r>
    <r>
      <rPr>
        <vertAlign val="subscript"/>
        <sz val="10"/>
        <color theme="1"/>
        <rFont val="Arial Unicode MS"/>
        <family val="2"/>
        <charset val="186"/>
      </rPr>
      <t>BUS_URBAN</t>
    </r>
    <r>
      <rPr>
        <sz val="10"/>
        <color theme="1"/>
        <rFont val="Arial Unicode MS"/>
        <family val="2"/>
        <charset val="186"/>
      </rPr>
      <t xml:space="preserve"> (row 41) * SHARE (row295/100) etc.</t>
    </r>
  </si>
  <si>
    <r>
      <t>EF</t>
    </r>
    <r>
      <rPr>
        <vertAlign val="subscript"/>
        <sz val="10"/>
        <color theme="1"/>
        <rFont val="Arial Unicode MS"/>
        <family val="2"/>
        <charset val="186"/>
      </rPr>
      <t>CAR_METROPOLITAN</t>
    </r>
    <r>
      <rPr>
        <sz val="10"/>
        <color theme="1"/>
        <rFont val="Arial Unicode MS"/>
        <family val="2"/>
        <charset val="186"/>
      </rPr>
      <t xml:space="preserve"> (row79) * SHARE (row294/100)  + EF</t>
    </r>
    <r>
      <rPr>
        <vertAlign val="subscript"/>
        <sz val="10"/>
        <color theme="1"/>
        <rFont val="Arial Unicode MS"/>
        <family val="2"/>
        <charset val="186"/>
      </rPr>
      <t>CAR_URBAN</t>
    </r>
    <r>
      <rPr>
        <sz val="10"/>
        <color theme="1"/>
        <rFont val="Arial Unicode MS"/>
        <family val="2"/>
        <charset val="186"/>
      </rPr>
      <t xml:space="preserve"> (row 80) * SHARE (row295/100) etc.</t>
    </r>
  </si>
  <si>
    <r>
      <t>Area-specific EF</t>
    </r>
    <r>
      <rPr>
        <vertAlign val="subscript"/>
        <sz val="10"/>
        <color theme="1"/>
        <rFont val="Arial Unicode MS"/>
        <family val="2"/>
        <charset val="186"/>
      </rPr>
      <t xml:space="preserve">TRAIN </t>
    </r>
    <r>
      <rPr>
        <sz val="10"/>
        <color theme="1"/>
        <rFont val="Arial Unicode MS"/>
        <family val="2"/>
        <charset val="186"/>
      </rPr>
      <t>with U2</t>
    </r>
  </si>
  <si>
    <r>
      <t>V</t>
    </r>
    <r>
      <rPr>
        <vertAlign val="subscript"/>
        <sz val="10"/>
        <color theme="1"/>
        <rFont val="Arial Unicode MS"/>
        <family val="2"/>
        <charset val="186"/>
      </rPr>
      <t>TRAIN</t>
    </r>
    <r>
      <rPr>
        <sz val="10"/>
        <color theme="1"/>
        <rFont val="Arial Unicode MS"/>
        <family val="2"/>
        <charset val="186"/>
      </rPr>
      <t xml:space="preserve"> = passenger-km (row 266) after U2 / occupancy rate (TRAIN_COL2)</t>
    </r>
  </si>
  <si>
    <r>
      <t>V</t>
    </r>
    <r>
      <rPr>
        <vertAlign val="subscript"/>
        <sz val="10"/>
        <color theme="1"/>
        <rFont val="Arial Unicode MS"/>
        <family val="2"/>
        <charset val="186"/>
      </rPr>
      <t>CAR</t>
    </r>
    <r>
      <rPr>
        <sz val="10"/>
        <color theme="1"/>
        <rFont val="Arial Unicode MS"/>
        <family val="2"/>
        <charset val="186"/>
      </rPr>
      <t xml:space="preserve"> = passenger-km (row 269) after U2 / occupancy rate (CAR_COL2)</t>
    </r>
  </si>
  <si>
    <r>
      <t>V</t>
    </r>
    <r>
      <rPr>
        <vertAlign val="subscript"/>
        <sz val="10"/>
        <color theme="1"/>
        <rFont val="Arial Unicode MS"/>
        <family val="2"/>
        <charset val="186"/>
      </rPr>
      <t>TRAIN</t>
    </r>
    <r>
      <rPr>
        <sz val="10"/>
        <color theme="1"/>
        <rFont val="Arial Unicode MS"/>
        <family val="2"/>
        <charset val="186"/>
      </rPr>
      <t xml:space="preserve"> with U2 impact</t>
    </r>
  </si>
  <si>
    <t>row 305 * row 306</t>
  </si>
  <si>
    <t>row 309 * row 310</t>
  </si>
  <si>
    <t>vkm/capita, a</t>
  </si>
  <si>
    <r>
      <t>V</t>
    </r>
    <r>
      <rPr>
        <vertAlign val="subscript"/>
        <sz val="10"/>
        <color theme="1"/>
        <rFont val="Arial Unicode MS"/>
        <family val="2"/>
        <charset val="186"/>
      </rPr>
      <t xml:space="preserve">RAIL_TRN </t>
    </r>
    <r>
      <rPr>
        <sz val="10"/>
        <color theme="1"/>
        <rFont val="Arial Unicode MS"/>
        <family val="2"/>
        <charset val="186"/>
      </rPr>
      <t>(row 123) * average load RAIL_TRN_COL13 * impact factor (row 258)</t>
    </r>
  </si>
  <si>
    <r>
      <t>V</t>
    </r>
    <r>
      <rPr>
        <vertAlign val="subscript"/>
        <sz val="10"/>
        <color theme="1"/>
        <rFont val="Arial Unicode MS"/>
        <family val="2"/>
        <charset val="186"/>
      </rPr>
      <t>ROAD_TRN</t>
    </r>
    <r>
      <rPr>
        <sz val="10"/>
        <color theme="1"/>
        <rFont val="Arial Unicode MS"/>
        <family val="2"/>
        <charset val="186"/>
      </rPr>
      <t xml:space="preserve"> (row 135) * average load RAIL_TRN_COL43 * impact factor (row 259)</t>
    </r>
  </si>
  <si>
    <r>
      <t>V</t>
    </r>
    <r>
      <rPr>
        <vertAlign val="subscript"/>
        <sz val="10"/>
        <color theme="1"/>
        <rFont val="Arial Unicode MS"/>
        <family val="2"/>
        <charset val="186"/>
      </rPr>
      <t>WATER_TRN</t>
    </r>
    <r>
      <rPr>
        <sz val="10"/>
        <color theme="1"/>
        <rFont val="Arial Unicode MS"/>
        <family val="2"/>
        <charset val="186"/>
      </rPr>
      <t xml:space="preserve"> (row 166) * average load WATER_TRN_COL11 * impact factor (row 260)</t>
    </r>
  </si>
  <si>
    <r>
      <t>Area-specific EF</t>
    </r>
    <r>
      <rPr>
        <vertAlign val="subscript"/>
        <sz val="10"/>
        <color theme="1"/>
        <rFont val="Arial Unicode MS"/>
        <family val="2"/>
        <charset val="186"/>
      </rPr>
      <t xml:space="preserve">RAIL_TRN </t>
    </r>
    <r>
      <rPr>
        <sz val="10"/>
        <color theme="1"/>
        <rFont val="Arial Unicode MS"/>
        <family val="2"/>
        <charset val="186"/>
      </rPr>
      <t>with U2</t>
    </r>
  </si>
  <si>
    <r>
      <t>EF</t>
    </r>
    <r>
      <rPr>
        <vertAlign val="subscript"/>
        <sz val="10"/>
        <color theme="1"/>
        <rFont val="Arial Unicode MS"/>
        <family val="2"/>
        <charset val="186"/>
      </rPr>
      <t>TRAIN</t>
    </r>
    <r>
      <rPr>
        <sz val="10"/>
        <color theme="1"/>
        <rFont val="Arial Unicode MS"/>
        <family val="2"/>
        <charset val="186"/>
      </rPr>
      <t xml:space="preserve"> same as for the baseline calculation (U2 has no impact)</t>
    </r>
  </si>
  <si>
    <r>
      <t>V</t>
    </r>
    <r>
      <rPr>
        <vertAlign val="subscript"/>
        <sz val="10"/>
        <color theme="1"/>
        <rFont val="Arial Unicode MS"/>
        <family val="2"/>
        <charset val="186"/>
      </rPr>
      <t>RAIL_TRN</t>
    </r>
    <r>
      <rPr>
        <sz val="10"/>
        <color theme="1"/>
        <rFont val="Arial Unicode MS"/>
        <family val="2"/>
        <charset val="186"/>
      </rPr>
      <t xml:space="preserve"> with U2 impact</t>
    </r>
  </si>
  <si>
    <r>
      <t>EF</t>
    </r>
    <r>
      <rPr>
        <vertAlign val="subscript"/>
        <sz val="10"/>
        <color theme="1"/>
        <rFont val="Arial Unicode MS"/>
        <family val="2"/>
        <charset val="186"/>
      </rPr>
      <t>RAIL_TRN</t>
    </r>
    <r>
      <rPr>
        <sz val="10"/>
        <color theme="1"/>
        <rFont val="Arial Unicode MS"/>
        <family val="2"/>
        <charset val="186"/>
      </rPr>
      <t xml:space="preserve"> same as for the baseline calculation (U2 has no impact)</t>
    </r>
  </si>
  <si>
    <t>row 313 * row 314</t>
  </si>
  <si>
    <t>FREIGHT ON ROAD</t>
  </si>
  <si>
    <r>
      <t>Area-specific EF</t>
    </r>
    <r>
      <rPr>
        <vertAlign val="subscript"/>
        <sz val="10"/>
        <color theme="1"/>
        <rFont val="Arial Unicode MS"/>
        <family val="2"/>
        <charset val="186"/>
      </rPr>
      <t xml:space="preserve">ROAD_TRN </t>
    </r>
    <r>
      <rPr>
        <sz val="10"/>
        <color theme="1"/>
        <rFont val="Arial Unicode MS"/>
        <family val="2"/>
        <charset val="186"/>
      </rPr>
      <t>with U2</t>
    </r>
  </si>
  <si>
    <r>
      <t>V</t>
    </r>
    <r>
      <rPr>
        <vertAlign val="subscript"/>
        <sz val="10"/>
        <color theme="1"/>
        <rFont val="Arial Unicode MS"/>
        <family val="2"/>
        <charset val="186"/>
      </rPr>
      <t>ROAD_TRN</t>
    </r>
    <r>
      <rPr>
        <sz val="10"/>
        <color theme="1"/>
        <rFont val="Arial Unicode MS"/>
        <family val="2"/>
        <charset val="186"/>
      </rPr>
      <t xml:space="preserve"> with U2 impact</t>
    </r>
  </si>
  <si>
    <r>
      <t>V</t>
    </r>
    <r>
      <rPr>
        <vertAlign val="subscript"/>
        <sz val="10"/>
        <color theme="1"/>
        <rFont val="Arial Unicode MS"/>
        <family val="2"/>
        <charset val="186"/>
      </rPr>
      <t>RAIL_TRN</t>
    </r>
    <r>
      <rPr>
        <sz val="10"/>
        <color theme="1"/>
        <rFont val="Arial Unicode MS"/>
        <family val="2"/>
        <charset val="186"/>
      </rPr>
      <t xml:space="preserve"> = passenger-km (row 281) after U2 / average load (RAIL_TRN_COL13)</t>
    </r>
  </si>
  <si>
    <r>
      <t>EF</t>
    </r>
    <r>
      <rPr>
        <vertAlign val="subscript"/>
        <sz val="10"/>
        <color theme="1"/>
        <rFont val="Arial Unicode MS"/>
        <family val="2"/>
        <charset val="186"/>
      </rPr>
      <t>ROAD_TRN_METROPOLITAN</t>
    </r>
    <r>
      <rPr>
        <sz val="10"/>
        <color theme="1"/>
        <rFont val="Arial Unicode MS"/>
        <family val="2"/>
        <charset val="186"/>
      </rPr>
      <t xml:space="preserve"> (row155) * SHARE (row294/100)  + EF</t>
    </r>
    <r>
      <rPr>
        <vertAlign val="subscript"/>
        <sz val="10"/>
        <color theme="1"/>
        <rFont val="Arial Unicode MS"/>
        <family val="2"/>
        <charset val="186"/>
      </rPr>
      <t>ROAD_URBAN</t>
    </r>
    <r>
      <rPr>
        <sz val="10"/>
        <color theme="1"/>
        <rFont val="Arial Unicode MS"/>
        <family val="2"/>
        <charset val="186"/>
      </rPr>
      <t xml:space="preserve"> (row 156) * SHARE (row295/100) etc.</t>
    </r>
  </si>
  <si>
    <t>The results serve bus, car and road transport calculations</t>
  </si>
  <si>
    <t>row 317 * row 318</t>
  </si>
  <si>
    <t>FREIGHT ON WATERWAYS</t>
  </si>
  <si>
    <r>
      <t>Area-specific EF</t>
    </r>
    <r>
      <rPr>
        <vertAlign val="subscript"/>
        <sz val="10"/>
        <color theme="1"/>
        <rFont val="Arial Unicode MS"/>
        <family val="2"/>
        <charset val="186"/>
      </rPr>
      <t xml:space="preserve">WATER_TRN </t>
    </r>
    <r>
      <rPr>
        <sz val="10"/>
        <color theme="1"/>
        <rFont val="Arial Unicode MS"/>
        <family val="2"/>
        <charset val="186"/>
      </rPr>
      <t>with U2</t>
    </r>
  </si>
  <si>
    <r>
      <t>V</t>
    </r>
    <r>
      <rPr>
        <vertAlign val="subscript"/>
        <sz val="10"/>
        <color theme="1"/>
        <rFont val="Arial Unicode MS"/>
        <family val="2"/>
        <charset val="186"/>
      </rPr>
      <t>WATER_TRN</t>
    </r>
    <r>
      <rPr>
        <sz val="10"/>
        <color theme="1"/>
        <rFont val="Arial Unicode MS"/>
        <family val="2"/>
        <charset val="186"/>
      </rPr>
      <t xml:space="preserve"> with U2 impact</t>
    </r>
  </si>
  <si>
    <t>SUMMARY U2 IMPACTS</t>
  </si>
  <si>
    <t>RAIL_TRN_COL1</t>
  </si>
  <si>
    <t>RAIL_TRN_COL2</t>
  </si>
  <si>
    <t>RAIL_TRN_COL3</t>
  </si>
  <si>
    <t>RAIL_TRN_COL4</t>
  </si>
  <si>
    <t>RAIL_TRN_COL5</t>
  </si>
  <si>
    <t>RAIL_TRN_COL6</t>
  </si>
  <si>
    <t>RAIL_TRN_COL7</t>
  </si>
  <si>
    <t>RAIL_TRN_COL8</t>
  </si>
  <si>
    <t>RAIL_TRN_COL9</t>
  </si>
  <si>
    <t>RAIL_TRN_COL10</t>
  </si>
  <si>
    <t>RAIL_TRN_COL11</t>
  </si>
  <si>
    <t>RAIL_TRN_COL12</t>
  </si>
  <si>
    <t>RAIL_TRN_COL13</t>
  </si>
  <si>
    <r>
      <t>V</t>
    </r>
    <r>
      <rPr>
        <vertAlign val="subscript"/>
        <sz val="10"/>
        <color theme="1"/>
        <rFont val="Arial Unicode MS"/>
        <family val="2"/>
        <charset val="186"/>
      </rPr>
      <t>WATER_TRN</t>
    </r>
    <r>
      <rPr>
        <sz val="10"/>
        <color theme="1"/>
        <rFont val="Arial Unicode MS"/>
        <family val="2"/>
        <charset val="186"/>
      </rPr>
      <t xml:space="preserve"> * EF</t>
    </r>
    <r>
      <rPr>
        <vertAlign val="subscript"/>
        <sz val="10"/>
        <color theme="1"/>
        <rFont val="Arial Unicode MS"/>
        <family val="2"/>
        <charset val="186"/>
      </rPr>
      <t>WATER_TRN</t>
    </r>
    <r>
      <rPr>
        <sz val="10"/>
        <color theme="1"/>
        <rFont val="Arial Unicode MS"/>
        <family val="2"/>
        <charset val="186"/>
      </rPr>
      <t xml:space="preserve"> / 1000 (unit conversion from gCO2e to kgCO2e)</t>
    </r>
  </si>
  <si>
    <t>WATER_TRN EMISSIONS</t>
  </si>
  <si>
    <r>
      <t>V</t>
    </r>
    <r>
      <rPr>
        <vertAlign val="subscript"/>
        <sz val="11"/>
        <color theme="1"/>
        <rFont val="Arial Unicode MS"/>
        <family val="2"/>
        <charset val="186"/>
      </rPr>
      <t>WATER_TRN</t>
    </r>
  </si>
  <si>
    <r>
      <t>EF</t>
    </r>
    <r>
      <rPr>
        <vertAlign val="subscript"/>
        <sz val="10"/>
        <color theme="1"/>
        <rFont val="Arial Unicode MS"/>
        <family val="2"/>
        <charset val="186"/>
      </rPr>
      <t>WATER_TRN</t>
    </r>
  </si>
  <si>
    <r>
      <t>otherwise: V</t>
    </r>
    <r>
      <rPr>
        <vertAlign val="subscript"/>
        <sz val="10"/>
        <rFont val="Arial Unicode MS"/>
        <family val="2"/>
        <charset val="186"/>
      </rPr>
      <t>WATER_TRN_a</t>
    </r>
    <r>
      <rPr>
        <sz val="10"/>
        <rFont val="Arial Unicode MS"/>
        <family val="2"/>
        <charset val="186"/>
      </rPr>
      <t xml:space="preserve"> = V</t>
    </r>
    <r>
      <rPr>
        <vertAlign val="subscript"/>
        <sz val="10"/>
        <rFont val="Arial Unicode MS"/>
        <family val="2"/>
        <charset val="186"/>
      </rPr>
      <t>WATER_TRN_a-1</t>
    </r>
    <r>
      <rPr>
        <sz val="10"/>
        <rFont val="Arial Unicode MS"/>
        <family val="2"/>
        <charset val="186"/>
      </rPr>
      <t xml:space="preserve"> * (100 + WATER_TRN_COL3,4,5) / 100</t>
    </r>
  </si>
  <si>
    <t>=WATER_TRN_COL2</t>
  </si>
  <si>
    <r>
      <t>EF</t>
    </r>
    <r>
      <rPr>
        <vertAlign val="subscript"/>
        <sz val="10"/>
        <color theme="1"/>
        <rFont val="Arial Unicode MS"/>
        <family val="2"/>
        <charset val="186"/>
      </rPr>
      <t>WATER_TRN</t>
    </r>
    <r>
      <rPr>
        <sz val="10"/>
        <color theme="1"/>
        <rFont val="Arial Unicode MS"/>
        <family val="2"/>
        <charset val="186"/>
      </rPr>
      <t xml:space="preserve"> same as for the baseline calculation (U2 has no impact) row170</t>
    </r>
  </si>
  <si>
    <r>
      <t>V</t>
    </r>
    <r>
      <rPr>
        <vertAlign val="subscript"/>
        <sz val="10"/>
        <color theme="1"/>
        <rFont val="Arial Unicode MS"/>
        <family val="2"/>
        <charset val="186"/>
      </rPr>
      <t>ROAD_TRN</t>
    </r>
    <r>
      <rPr>
        <sz val="10"/>
        <color theme="1"/>
        <rFont val="Arial Unicode MS"/>
        <family val="2"/>
        <charset val="186"/>
      </rPr>
      <t xml:space="preserve"> = passenger-km (row 282) after U2 / average load (RAIL_TRN_COL43)</t>
    </r>
  </si>
  <si>
    <r>
      <t>V</t>
    </r>
    <r>
      <rPr>
        <vertAlign val="subscript"/>
        <sz val="10"/>
        <color theme="1"/>
        <rFont val="Arial Unicode MS"/>
        <family val="2"/>
        <charset val="186"/>
      </rPr>
      <t>WATER_TRN</t>
    </r>
    <r>
      <rPr>
        <sz val="10"/>
        <color theme="1"/>
        <rFont val="Arial Unicode MS"/>
        <family val="2"/>
        <charset val="186"/>
      </rPr>
      <t xml:space="preserve"> = passenger-km (row 283) after U2 / average load (WATER_TRN_COL13)</t>
    </r>
  </si>
  <si>
    <t>row 321 * row 322</t>
  </si>
  <si>
    <r>
      <t>=(100-reduction percentage)/100 x V</t>
    </r>
    <r>
      <rPr>
        <vertAlign val="subscript"/>
        <sz val="10"/>
        <color theme="1"/>
        <rFont val="Albertus Medium"/>
        <family val="2"/>
      </rPr>
      <t>BUS</t>
    </r>
    <r>
      <rPr>
        <sz val="10"/>
        <color theme="1"/>
        <rFont val="Albertus Medium"/>
        <family val="2"/>
      </rPr>
      <t xml:space="preserve"> (row 265)</t>
    </r>
  </si>
  <si>
    <r>
      <t>=(100-reduction percentage)/100 x V</t>
    </r>
    <r>
      <rPr>
        <vertAlign val="subscript"/>
        <sz val="10"/>
        <color theme="1"/>
        <rFont val="Albertus Medium"/>
        <family val="2"/>
      </rPr>
      <t>METRO</t>
    </r>
    <r>
      <rPr>
        <sz val="10"/>
        <color theme="1"/>
        <rFont val="Albertus Medium"/>
        <family val="2"/>
      </rPr>
      <t xml:space="preserve"> (row 266)</t>
    </r>
  </si>
  <si>
    <r>
      <t>=(100-reduction percentage)/100 x V</t>
    </r>
    <r>
      <rPr>
        <vertAlign val="subscript"/>
        <sz val="10"/>
        <color theme="1"/>
        <rFont val="Albertus Medium"/>
        <family val="2"/>
      </rPr>
      <t>TRAM</t>
    </r>
    <r>
      <rPr>
        <sz val="10"/>
        <color theme="1"/>
        <rFont val="Albertus Medium"/>
        <family val="2"/>
      </rPr>
      <t xml:space="preserve"> (row 267)</t>
    </r>
  </si>
  <si>
    <r>
      <t>=(100-reduction percentage)/100 x V</t>
    </r>
    <r>
      <rPr>
        <vertAlign val="subscript"/>
        <sz val="10"/>
        <color theme="1"/>
        <rFont val="Albertus Medium"/>
        <family val="2"/>
      </rPr>
      <t xml:space="preserve">TRAIN </t>
    </r>
    <r>
      <rPr>
        <sz val="10"/>
        <color theme="1"/>
        <rFont val="Albertus Medium"/>
        <family val="2"/>
      </rPr>
      <t>(row 268)</t>
    </r>
  </si>
  <si>
    <r>
      <t>=(100-reduction percentage)/100 x V</t>
    </r>
    <r>
      <rPr>
        <vertAlign val="subscript"/>
        <sz val="10"/>
        <color theme="1"/>
        <rFont val="Albertus Medium"/>
        <family val="2"/>
      </rPr>
      <t xml:space="preserve">CAR </t>
    </r>
    <r>
      <rPr>
        <sz val="10"/>
        <color theme="1"/>
        <rFont val="Albertus Medium"/>
        <family val="2"/>
      </rPr>
      <t>(row 269)</t>
    </r>
  </si>
  <si>
    <t>TOTAL, pkm/capita, a</t>
  </si>
  <si>
    <t>U3.1 full impact per mode of passenger transport</t>
  </si>
  <si>
    <t>FULL 3.1 IMPACT</t>
  </si>
  <si>
    <r>
      <t>=(100-G148)/100 * V</t>
    </r>
    <r>
      <rPr>
        <vertAlign val="subscript"/>
        <sz val="10"/>
        <color theme="1"/>
        <rFont val="Albertus Medium"/>
        <family val="2"/>
      </rPr>
      <t>BUS</t>
    </r>
    <r>
      <rPr>
        <sz val="10"/>
        <color theme="1"/>
        <rFont val="Albertus Medium"/>
        <family val="2"/>
      </rPr>
      <t xml:space="preserve"> before3.1 (row 265) + G148/100 * V</t>
    </r>
    <r>
      <rPr>
        <vertAlign val="subscript"/>
        <sz val="10"/>
        <color theme="1"/>
        <rFont val="Albertus Medium"/>
        <family val="2"/>
      </rPr>
      <t>BUS</t>
    </r>
    <r>
      <rPr>
        <sz val="10"/>
        <color theme="1"/>
        <rFont val="Albertus Medium"/>
        <family val="2"/>
      </rPr>
      <t xml:space="preserve"> after3.1 (row 340)</t>
    </r>
  </si>
  <si>
    <r>
      <t>=(100-G148F149)/100 * V</t>
    </r>
    <r>
      <rPr>
        <vertAlign val="subscript"/>
        <sz val="10"/>
        <color theme="1"/>
        <rFont val="Albertus Medium"/>
        <family val="2"/>
      </rPr>
      <t>METRO</t>
    </r>
    <r>
      <rPr>
        <sz val="10"/>
        <color theme="1"/>
        <rFont val="Albertus Medium"/>
        <family val="2"/>
      </rPr>
      <t xml:space="preserve"> before3.1 (row 266) + G148/100 * V</t>
    </r>
    <r>
      <rPr>
        <vertAlign val="subscript"/>
        <sz val="10"/>
        <color theme="1"/>
        <rFont val="Albertus Medium"/>
        <family val="2"/>
      </rPr>
      <t>METRO</t>
    </r>
    <r>
      <rPr>
        <sz val="10"/>
        <color theme="1"/>
        <rFont val="Albertus Medium"/>
        <family val="2"/>
      </rPr>
      <t xml:space="preserve"> after3.1 (row 341)</t>
    </r>
  </si>
  <si>
    <r>
      <t>=(100-G148)/100 * V</t>
    </r>
    <r>
      <rPr>
        <vertAlign val="subscript"/>
        <sz val="10"/>
        <color theme="1"/>
        <rFont val="Albertus Medium"/>
        <family val="2"/>
      </rPr>
      <t>TRAM</t>
    </r>
    <r>
      <rPr>
        <sz val="10"/>
        <color theme="1"/>
        <rFont val="Albertus Medium"/>
        <family val="2"/>
      </rPr>
      <t xml:space="preserve"> before3.1 (row 267) + G148/100 * V</t>
    </r>
    <r>
      <rPr>
        <vertAlign val="subscript"/>
        <sz val="10"/>
        <color theme="1"/>
        <rFont val="Albertus Medium"/>
        <family val="2"/>
      </rPr>
      <t>TRAM</t>
    </r>
    <r>
      <rPr>
        <sz val="10"/>
        <color theme="1"/>
        <rFont val="Albertus Medium"/>
        <family val="2"/>
      </rPr>
      <t xml:space="preserve"> after3.1 (row 342)</t>
    </r>
  </si>
  <si>
    <r>
      <t>=(100-G148)/100 * V</t>
    </r>
    <r>
      <rPr>
        <vertAlign val="subscript"/>
        <sz val="10"/>
        <color theme="1"/>
        <rFont val="Albertus Medium"/>
        <family val="2"/>
      </rPr>
      <t>TRAIN</t>
    </r>
    <r>
      <rPr>
        <sz val="10"/>
        <color theme="1"/>
        <rFont val="Albertus Medium"/>
        <family val="2"/>
      </rPr>
      <t xml:space="preserve"> before3.1 (row 268) + G148/100 * V</t>
    </r>
    <r>
      <rPr>
        <vertAlign val="subscript"/>
        <sz val="10"/>
        <color theme="1"/>
        <rFont val="Albertus Medium"/>
        <family val="2"/>
      </rPr>
      <t>TRAIN</t>
    </r>
    <r>
      <rPr>
        <sz val="10"/>
        <color theme="1"/>
        <rFont val="Albertus Medium"/>
        <family val="2"/>
      </rPr>
      <t xml:space="preserve"> after3.1 (row 343)</t>
    </r>
  </si>
  <si>
    <r>
      <t>=(100-G148)/100 * V</t>
    </r>
    <r>
      <rPr>
        <vertAlign val="subscript"/>
        <sz val="10"/>
        <color theme="1"/>
        <rFont val="Albertus Medium"/>
        <family val="2"/>
      </rPr>
      <t>CAR</t>
    </r>
    <r>
      <rPr>
        <sz val="10"/>
        <color theme="1"/>
        <rFont val="Albertus Medium"/>
        <family val="2"/>
      </rPr>
      <t xml:space="preserve"> before3.1 (row 269) + G148/100 * V</t>
    </r>
    <r>
      <rPr>
        <vertAlign val="subscript"/>
        <sz val="10"/>
        <color theme="1"/>
        <rFont val="Albertus Medium"/>
        <family val="2"/>
      </rPr>
      <t>CAR</t>
    </r>
    <r>
      <rPr>
        <sz val="10"/>
        <color theme="1"/>
        <rFont val="Albertus Medium"/>
        <family val="2"/>
      </rPr>
      <t xml:space="preserve"> after3.1 (row 344)</t>
    </r>
  </si>
  <si>
    <t>U3.3 full impact as passenger-km</t>
  </si>
  <si>
    <t>V with U3.3 impact, weighted average in passenger-km</t>
  </si>
  <si>
    <t>according to input value in cell H228</t>
  </si>
  <si>
    <t>TOTAL, pkm / capita, a</t>
  </si>
  <si>
    <t>(100-H169) / 100 * without impact (row 347) + H169 / 100 * with impact (row 377)</t>
  </si>
  <si>
    <t>(100-H169) / 100 * without impact (row 348) + H169 / 100 * with impact (row 378)</t>
  </si>
  <si>
    <t>(100-H169) / 100 * without impact (row 349) + H169 / 100 * with impact (row 379)</t>
  </si>
  <si>
    <t>(100-H169) / 100 * without impact (row 350) + H169 / 100 * with impact (row 380)</t>
  </si>
  <si>
    <t>(100-H169) / 100 * without impact (row 351) + H169 / 100 * with impact (row 381)</t>
  </si>
  <si>
    <t>the impact of U3.7 included</t>
  </si>
  <si>
    <t>from row 297</t>
  </si>
  <si>
    <t>from row 298</t>
  </si>
  <si>
    <r>
      <t>V</t>
    </r>
    <r>
      <rPr>
        <vertAlign val="subscript"/>
        <sz val="10"/>
        <color theme="1"/>
        <rFont val="Arial Unicode MS"/>
        <family val="2"/>
        <charset val="186"/>
      </rPr>
      <t>BUS</t>
    </r>
    <r>
      <rPr>
        <sz val="10"/>
        <color theme="1"/>
        <rFont val="Arial Unicode MS"/>
        <family val="2"/>
        <charset val="186"/>
      </rPr>
      <t xml:space="preserve"> (row350) / BUS_COL2 (occupancy rate) * EF</t>
    </r>
    <r>
      <rPr>
        <vertAlign val="subscript"/>
        <sz val="10"/>
        <color theme="1"/>
        <rFont val="Arial Unicode MS"/>
        <family val="2"/>
        <charset val="186"/>
      </rPr>
      <t>BUS</t>
    </r>
    <r>
      <rPr>
        <sz val="10"/>
        <color theme="1"/>
        <rFont val="Arial Unicode MS"/>
        <family val="2"/>
        <charset val="186"/>
      </rPr>
      <t xml:space="preserve"> from above / 1000</t>
    </r>
  </si>
  <si>
    <t>impact on the shares of car fuel types</t>
  </si>
  <si>
    <t>U3.6 IMPACT ON CAR EF</t>
  </si>
  <si>
    <t>row 387 / TRAIN_COL2</t>
  </si>
  <si>
    <t>V vkm/capita, a</t>
  </si>
  <si>
    <t>EFelectric engines</t>
  </si>
  <si>
    <t>EFdiesel engines</t>
  </si>
  <si>
    <t>=((100-TRAIN_COL5)/100) * TRAIN_COL3</t>
  </si>
  <si>
    <t>EFaverage</t>
  </si>
  <si>
    <t>sum of the two rows above</t>
  </si>
  <si>
    <t>same as baseline =((100-TRAIN_COL5)/100) * TRAIN_COL3</t>
  </si>
  <si>
    <t>with U3.7 impact =(TRAIN_COL5 / 100 * row 594 * TRAIN_COL4</t>
  </si>
  <si>
    <t>row 603</t>
  </si>
  <si>
    <r>
      <rPr>
        <b/>
        <sz val="10"/>
        <color theme="1"/>
        <rFont val="Arial Unicode MS"/>
        <family val="2"/>
        <charset val="186"/>
      </rPr>
      <t>without</t>
    </r>
    <r>
      <rPr>
        <sz val="10"/>
        <color theme="1"/>
        <rFont val="Arial Unicode MS"/>
        <family val="2"/>
        <charset val="186"/>
      </rPr>
      <t xml:space="preserve"> U3.7 (gCO2e/kWh)</t>
    </r>
  </si>
  <si>
    <r>
      <t>EF</t>
    </r>
    <r>
      <rPr>
        <vertAlign val="subscript"/>
        <sz val="10"/>
        <color theme="1"/>
        <rFont val="Arial Unicode MS"/>
        <family val="2"/>
        <charset val="186"/>
      </rPr>
      <t>ELECTRICITY_BEFORE</t>
    </r>
  </si>
  <si>
    <t>change</t>
  </si>
  <si>
    <r>
      <rPr>
        <b/>
        <sz val="10"/>
        <color theme="1"/>
        <rFont val="Arial Unicode MS"/>
        <family val="2"/>
        <charset val="186"/>
      </rPr>
      <t>with</t>
    </r>
    <r>
      <rPr>
        <sz val="10"/>
        <color theme="1"/>
        <rFont val="Arial Unicode MS"/>
        <family val="2"/>
        <charset val="186"/>
      </rPr>
      <t xml:space="preserve"> U3.7 (gCO2e/kWh)</t>
    </r>
  </si>
  <si>
    <r>
      <t>EF</t>
    </r>
    <r>
      <rPr>
        <vertAlign val="subscript"/>
        <sz val="10"/>
        <color theme="1"/>
        <rFont val="Arial Unicode MS"/>
        <family val="2"/>
        <charset val="186"/>
      </rPr>
      <t>ELECTRICITY_AFTER</t>
    </r>
  </si>
  <si>
    <t>U3.7 IMPACT ON GRID ELECTRICITY EMISSION FACTOR</t>
  </si>
  <si>
    <t>row 482</t>
  </si>
  <si>
    <t>row 586</t>
  </si>
  <si>
    <t>row 196</t>
  </si>
  <si>
    <t>sum from above, excl. Baseline total</t>
  </si>
  <si>
    <t>row 422</t>
  </si>
  <si>
    <t>=(RAIL_TRN_COL4 / 100 * row 4 * RAIL_TRN_COL3</t>
  </si>
  <si>
    <t>=((100-RAIL_TRN_COL4)/100) * RAIL_TRN_COL2</t>
  </si>
  <si>
    <t>=(RAIL_TRN_COL4 / 100 * row 4 * RAIL_TRN_COL3) + ((100-RAIL_TRN_COL4)/100) * RAIL_TRN_COL2)</t>
  </si>
  <si>
    <t>V * EFaverage / 1000</t>
  </si>
  <si>
    <t>row 611</t>
  </si>
  <si>
    <r>
      <t>RAIL_TRN_COL4 / 100 * RAIL_TRN_COL3 * EF</t>
    </r>
    <r>
      <rPr>
        <vertAlign val="subscript"/>
        <sz val="10"/>
        <color theme="1"/>
        <rFont val="Arial Unicode MS"/>
        <family val="2"/>
        <charset val="186"/>
      </rPr>
      <t>ELECTRICITY</t>
    </r>
    <r>
      <rPr>
        <sz val="10"/>
        <color theme="1"/>
        <rFont val="Arial Unicode MS"/>
        <family val="2"/>
        <charset val="186"/>
      </rPr>
      <t xml:space="preserve"> row 594</t>
    </r>
  </si>
  <si>
    <t>row 423</t>
  </si>
  <si>
    <r>
      <t>V * EF</t>
    </r>
    <r>
      <rPr>
        <vertAlign val="subscript"/>
        <sz val="10"/>
        <color theme="1"/>
        <rFont val="Arial Unicode MS"/>
        <family val="2"/>
        <charset val="186"/>
      </rPr>
      <t>ROAD_TRN</t>
    </r>
    <r>
      <rPr>
        <sz val="10"/>
        <color theme="1"/>
        <rFont val="Arial Unicode MS"/>
        <family val="2"/>
        <charset val="186"/>
      </rPr>
      <t xml:space="preserve"> / 1000</t>
    </r>
  </si>
  <si>
    <t>FREIGHT ON WATER</t>
  </si>
  <si>
    <r>
      <t>V * EF</t>
    </r>
    <r>
      <rPr>
        <vertAlign val="subscript"/>
        <sz val="10"/>
        <color theme="1"/>
        <rFont val="Arial Unicode MS"/>
        <family val="2"/>
        <charset val="186"/>
      </rPr>
      <t>WATER_TRN</t>
    </r>
    <r>
      <rPr>
        <sz val="10"/>
        <color theme="1"/>
        <rFont val="Arial Unicode MS"/>
        <family val="2"/>
        <charset val="186"/>
      </rPr>
      <t xml:space="preserve"> / 1000</t>
    </r>
  </si>
  <si>
    <t>row 424</t>
  </si>
  <si>
    <r>
      <t>EF</t>
    </r>
    <r>
      <rPr>
        <vertAlign val="subscript"/>
        <sz val="10"/>
        <color theme="1"/>
        <rFont val="Arial Unicode MS"/>
        <family val="2"/>
        <charset val="186"/>
      </rPr>
      <t>WATER_TRN</t>
    </r>
    <r>
      <rPr>
        <sz val="10"/>
        <color theme="1"/>
        <rFont val="Arial Unicode MS"/>
        <family val="2"/>
        <charset val="186"/>
      </rPr>
      <t xml:space="preserve"> same as for the baseline calculation, row170</t>
    </r>
  </si>
  <si>
    <t>row 150, row 594 instead of row 5 (grid electricity)</t>
  </si>
  <si>
    <t>row 151, row 594 instead of row 5 (grid electricity)</t>
  </si>
  <si>
    <t>row 625</t>
  </si>
  <si>
    <t>total ROAD_TRN</t>
  </si>
  <si>
    <t>total WATER_TRN</t>
  </si>
  <si>
    <t>total RAIL_TRN</t>
  </si>
  <si>
    <t>total TRAIN</t>
  </si>
  <si>
    <t>row 619</t>
  </si>
  <si>
    <t>from table above, multiplied by population + unit conversion = (*Y204/1000)</t>
  </si>
  <si>
    <t>vkm/(capita, a)</t>
  </si>
  <si>
    <t>kgCO2e/(capita, a)</t>
  </si>
  <si>
    <r>
      <t>V row 385 / METRO_COL2 x METRO_COL3 x EF</t>
    </r>
    <r>
      <rPr>
        <vertAlign val="subscript"/>
        <sz val="10"/>
        <color theme="1"/>
        <rFont val="Arial Unicode MS"/>
        <family val="2"/>
        <charset val="186"/>
      </rPr>
      <t>ELECTRICITY</t>
    </r>
    <r>
      <rPr>
        <sz val="10"/>
        <color theme="1"/>
        <rFont val="Arial Unicode MS"/>
        <family val="2"/>
        <charset val="186"/>
      </rPr>
      <t xml:space="preserve"> row 594 / 1000</t>
    </r>
  </si>
  <si>
    <r>
      <t>V row 386 / TRAM_COL2 x TRAM_COL3 x EF</t>
    </r>
    <r>
      <rPr>
        <vertAlign val="subscript"/>
        <sz val="10"/>
        <color theme="1"/>
        <rFont val="Arial Unicode MS"/>
        <family val="2"/>
        <charset val="186"/>
      </rPr>
      <t>ELECTRICITY</t>
    </r>
    <r>
      <rPr>
        <sz val="10"/>
        <color theme="1"/>
        <rFont val="Arial Unicode MS"/>
        <family val="2"/>
        <charset val="186"/>
      </rPr>
      <t xml:space="preserve"> row 594 / 1000</t>
    </r>
  </si>
  <si>
    <t>(100 - RAIL_TRN_COL4) / 100 * RAIL_TRN_5</t>
  </si>
  <si>
    <t>weighted average of the previous rows</t>
  </si>
  <si>
    <t>none</t>
  </si>
  <si>
    <t>menu options</t>
  </si>
  <si>
    <t>MENU_COL1</t>
  </si>
  <si>
    <t>MENU_COL2</t>
  </si>
  <si>
    <t>MENU_COL3</t>
  </si>
  <si>
    <t>MENU_COL4</t>
  </si>
  <si>
    <t>MENU_COL5</t>
  </si>
  <si>
    <t>MENU_COL6</t>
  </si>
  <si>
    <t>MENU_COL7</t>
  </si>
  <si>
    <t>MENU_COL8</t>
  </si>
  <si>
    <t>MENU_COL9</t>
  </si>
  <si>
    <t>MENU_COL10</t>
  </si>
  <si>
    <t>MENU_COL11</t>
  </si>
  <si>
    <t>MENU_COL12</t>
  </si>
  <si>
    <t>MENU_COL13</t>
  </si>
  <si>
    <t>MENU_COL14</t>
  </si>
  <si>
    <t>MENU_COL15</t>
  </si>
  <si>
    <t>MENU_COL16</t>
  </si>
  <si>
    <t>average intensity</t>
  </si>
  <si>
    <t>Non-residential passenger transport on road</t>
  </si>
  <si>
    <t>Intensity of non-residential and freight transport</t>
  </si>
  <si>
    <t>Area size</t>
  </si>
  <si>
    <t>Non-residental passenger transport on road</t>
  </si>
  <si>
    <t>MENU_COL17</t>
  </si>
  <si>
    <t>MENU_COL18</t>
  </si>
  <si>
    <t>MENU_COL19</t>
  </si>
  <si>
    <t>MENU_COL20</t>
  </si>
  <si>
    <t>MENU_COL21</t>
  </si>
  <si>
    <t>MENU_COL22</t>
  </si>
  <si>
    <t>Factor_inclusion</t>
  </si>
  <si>
    <r>
      <t>V</t>
    </r>
    <r>
      <rPr>
        <vertAlign val="subscript"/>
        <sz val="10"/>
        <rFont val="Arial Unicode MS"/>
        <family val="2"/>
        <charset val="186"/>
      </rPr>
      <t>CAR_2021</t>
    </r>
    <r>
      <rPr>
        <sz val="10"/>
        <rFont val="Arial Unicode MS"/>
        <family val="2"/>
        <charset val="186"/>
      </rPr>
      <t xml:space="preserve"> = CAR_COL1 / CAR_COL2 * CF</t>
    </r>
    <r>
      <rPr>
        <vertAlign val="subscript"/>
        <sz val="10"/>
        <rFont val="Arial Unicode MS"/>
        <family val="2"/>
        <charset val="186"/>
      </rPr>
      <t>CAR</t>
    </r>
    <r>
      <rPr>
        <sz val="10"/>
        <rFont val="Arial Unicode MS"/>
        <family val="2"/>
        <charset val="186"/>
      </rPr>
      <t xml:space="preserve"> (cell M20) * menu option G19</t>
    </r>
  </si>
  <si>
    <r>
      <t>V</t>
    </r>
    <r>
      <rPr>
        <vertAlign val="subscript"/>
        <sz val="10"/>
        <color theme="1"/>
        <rFont val="Arial Unicode MS"/>
        <family val="2"/>
        <charset val="186"/>
      </rPr>
      <t>RAILTRN_2021</t>
    </r>
    <r>
      <rPr>
        <sz val="10"/>
        <color theme="1"/>
        <rFont val="Arial Unicode MS"/>
        <family val="2"/>
        <charset val="186"/>
      </rPr>
      <t xml:space="preserve"> = RAILTRN_COL1  * CF</t>
    </r>
    <r>
      <rPr>
        <vertAlign val="subscript"/>
        <sz val="10"/>
        <color theme="1"/>
        <rFont val="Arial Unicode MS"/>
        <family val="2"/>
        <charset val="186"/>
      </rPr>
      <t>RAIL_TRN</t>
    </r>
    <r>
      <rPr>
        <sz val="10"/>
        <color theme="1"/>
        <rFont val="Arial Unicode MS"/>
        <family val="2"/>
        <charset val="186"/>
      </rPr>
      <t xml:space="preserve"> * menu option G21</t>
    </r>
  </si>
  <si>
    <r>
      <t>V</t>
    </r>
    <r>
      <rPr>
        <vertAlign val="subscript"/>
        <sz val="10"/>
        <color theme="1"/>
        <rFont val="Arial Unicode MS"/>
        <family val="2"/>
        <charset val="186"/>
      </rPr>
      <t>ROAD_TRN_2021</t>
    </r>
    <r>
      <rPr>
        <sz val="10"/>
        <color theme="1"/>
        <rFont val="Arial Unicode MS"/>
        <family val="2"/>
        <charset val="186"/>
      </rPr>
      <t xml:space="preserve"> = ROAD_TRN_COL1  * CF</t>
    </r>
    <r>
      <rPr>
        <vertAlign val="subscript"/>
        <sz val="10"/>
        <color theme="1"/>
        <rFont val="Arial Unicode MS"/>
        <family val="2"/>
        <charset val="186"/>
      </rPr>
      <t>ROAD_TRN</t>
    </r>
    <r>
      <rPr>
        <sz val="10"/>
        <color theme="1"/>
        <rFont val="Arial Unicode MS"/>
        <family val="2"/>
        <charset val="186"/>
      </rPr>
      <t xml:space="preserve"> (cell R20) * menu option G20</t>
    </r>
  </si>
  <si>
    <r>
      <t>V</t>
    </r>
    <r>
      <rPr>
        <vertAlign val="subscript"/>
        <sz val="10"/>
        <color theme="1"/>
        <rFont val="Arial Unicode MS"/>
        <family val="2"/>
        <charset val="186"/>
      </rPr>
      <t>WATER_TRN_2021</t>
    </r>
    <r>
      <rPr>
        <sz val="10"/>
        <color theme="1"/>
        <rFont val="Arial Unicode MS"/>
        <family val="2"/>
        <charset val="186"/>
      </rPr>
      <t xml:space="preserve"> = WATER_TRN_COL1  * CF</t>
    </r>
    <r>
      <rPr>
        <vertAlign val="subscript"/>
        <sz val="10"/>
        <color theme="1"/>
        <rFont val="Arial Unicode MS"/>
        <family val="2"/>
        <charset val="186"/>
      </rPr>
      <t>WATER_TRN</t>
    </r>
    <r>
      <rPr>
        <sz val="10"/>
        <color theme="1"/>
        <rFont val="Arial Unicode MS"/>
        <family val="2"/>
        <charset val="186"/>
      </rPr>
      <t xml:space="preserve"> * menu option G22</t>
    </r>
  </si>
  <si>
    <r>
      <t>V</t>
    </r>
    <r>
      <rPr>
        <vertAlign val="subscript"/>
        <sz val="10"/>
        <rFont val="Arial Unicode MS"/>
        <family val="2"/>
        <charset val="186"/>
      </rPr>
      <t>BUS_2021</t>
    </r>
    <r>
      <rPr>
        <sz val="10"/>
        <rFont val="Arial Unicode MS"/>
        <family val="2"/>
        <charset val="186"/>
      </rPr>
      <t xml:space="preserve"> = BUS_COL1 / BUS_COL2 * CF</t>
    </r>
    <r>
      <rPr>
        <vertAlign val="subscript"/>
        <sz val="10"/>
        <rFont val="Arial Unicode MS"/>
        <family val="2"/>
        <charset val="186"/>
      </rPr>
      <t>BUS</t>
    </r>
    <r>
      <rPr>
        <sz val="10"/>
        <rFont val="Arial Unicode MS"/>
        <family val="2"/>
        <charset val="186"/>
      </rPr>
      <t xml:space="preserve"> * menu option G19 * r / rcountry</t>
    </r>
  </si>
  <si>
    <t>Country_land_area</t>
  </si>
  <si>
    <t>km²</t>
  </si>
  <si>
    <t>ENERGY CONSUMPTION EXISTING COMMERCIAL BUILDINGS</t>
  </si>
  <si>
    <t>BUI_COL365</t>
  </si>
  <si>
    <t>BUI_COL366</t>
  </si>
  <si>
    <t>BUI_COL367</t>
  </si>
  <si>
    <t>BUI_COL368</t>
  </si>
  <si>
    <t>BUI_COL369</t>
  </si>
  <si>
    <t>BUI_COL370</t>
  </si>
  <si>
    <t>BUI_COL371</t>
  </si>
  <si>
    <t>BUI_COL372</t>
  </si>
  <si>
    <t>BUI_COL373</t>
  </si>
  <si>
    <t>BUI_COL374</t>
  </si>
  <si>
    <t>BUI_COL375</t>
  </si>
  <si>
    <t>BUI_COL376</t>
  </si>
  <si>
    <t>BUI_COL377</t>
  </si>
  <si>
    <t>BUI_COL378</t>
  </si>
  <si>
    <t>BUI_COL379</t>
  </si>
  <si>
    <t>BUI_COL380</t>
  </si>
  <si>
    <t>BUI_COL381</t>
  </si>
  <si>
    <t>BUI_COL382</t>
  </si>
  <si>
    <t>BUI_COL383</t>
  </si>
  <si>
    <t>BUI_COL384</t>
  </si>
  <si>
    <t>BUI_COL385</t>
  </si>
  <si>
    <t>BUI_COL386</t>
  </si>
  <si>
    <t>BUI_COL387</t>
  </si>
  <si>
    <t>BUI_COL388</t>
  </si>
  <si>
    <t>BUI_COL389</t>
  </si>
  <si>
    <t>BUI_COL390</t>
  </si>
  <si>
    <t>BUI_COL391</t>
  </si>
  <si>
    <t>BUI_COL392</t>
  </si>
  <si>
    <t>BUI_COL393</t>
  </si>
  <si>
    <t>BUI_COL394</t>
  </si>
  <si>
    <t>BUI_COL395</t>
  </si>
  <si>
    <t>BUI_COL396</t>
  </si>
  <si>
    <t>BUI_COL397</t>
  </si>
  <si>
    <t>BUI_COL398</t>
  </si>
  <si>
    <t>BUI_COL399</t>
  </si>
  <si>
    <t>BUI_COL400</t>
  </si>
  <si>
    <t>BUI_COL401</t>
  </si>
  <si>
    <t>BUI_COL402</t>
  </si>
  <si>
    <t>BUI_COL403</t>
  </si>
  <si>
    <t>BUI_COL404</t>
  </si>
  <si>
    <t>BUI_COL405</t>
  </si>
  <si>
    <t>BUI_COL406</t>
  </si>
  <si>
    <t>BUI_COL407</t>
  </si>
  <si>
    <t>BUI_COL408</t>
  </si>
  <si>
    <t>BUI_COL409</t>
  </si>
  <si>
    <t>BUI_COL410</t>
  </si>
  <si>
    <t>BUI_COL411</t>
  </si>
  <si>
    <t>BUI_COL412</t>
  </si>
  <si>
    <t>ENERGY CONSUMPTION NEW COMMERCIAL BUILDINGS</t>
  </si>
  <si>
    <t>renewables</t>
  </si>
  <si>
    <t>Increase in renewables in transport electricity</t>
  </si>
  <si>
    <t>Grid electricity emission factor (gCO2e/kWh)</t>
  </si>
  <si>
    <t>District heating emission factor (gCO2e/kWh)</t>
  </si>
  <si>
    <t>Prognosis on district heating emission factor (kgCO2e/kWh)</t>
  </si>
  <si>
    <t>factor_name</t>
  </si>
  <si>
    <t>value</t>
  </si>
  <si>
    <t>local dataset name</t>
  </si>
  <si>
    <t>Engine types in bus transport (bus fleet)</t>
  </si>
  <si>
    <t>ELECTRICITY (%)</t>
  </si>
  <si>
    <t>from Transport module - includes the possible new residents</t>
  </si>
  <si>
    <r>
      <t>E</t>
    </r>
    <r>
      <rPr>
        <vertAlign val="subscript"/>
        <sz val="10"/>
        <color theme="1"/>
        <rFont val="Arial Unicode MS"/>
        <family val="2"/>
        <charset val="186"/>
      </rPr>
      <t>forestland_2021</t>
    </r>
    <r>
      <rPr>
        <sz val="10"/>
        <color theme="1"/>
        <rFont val="Arial Unicode MS"/>
        <family val="2"/>
        <charset val="186"/>
      </rPr>
      <t xml:space="preserve"> = CSC_COL1</t>
    </r>
  </si>
  <si>
    <r>
      <t>2022-30: E</t>
    </r>
    <r>
      <rPr>
        <vertAlign val="subscript"/>
        <sz val="10"/>
        <color theme="1"/>
        <rFont val="Arial Unicode MS"/>
        <family val="2"/>
        <charset val="186"/>
      </rPr>
      <t>forestland_a</t>
    </r>
    <r>
      <rPr>
        <sz val="10"/>
        <color theme="1"/>
        <rFont val="Arial Unicode MS"/>
        <family val="2"/>
        <charset val="186"/>
      </rPr>
      <t xml:space="preserve"> = E</t>
    </r>
    <r>
      <rPr>
        <vertAlign val="subscript"/>
        <sz val="10"/>
        <color theme="1"/>
        <rFont val="Arial Unicode MS"/>
        <family val="2"/>
        <charset val="186"/>
      </rPr>
      <t>forestland_a-1</t>
    </r>
    <r>
      <rPr>
        <sz val="10"/>
        <color theme="1"/>
        <rFont val="Arial Unicode MS"/>
        <family val="2"/>
        <charset val="186"/>
      </rPr>
      <t xml:space="preserve"> * (100+CSC_COL2)/100</t>
    </r>
  </si>
  <si>
    <r>
      <t>2031-40: E</t>
    </r>
    <r>
      <rPr>
        <vertAlign val="subscript"/>
        <sz val="10"/>
        <color theme="1"/>
        <rFont val="Arial Unicode MS"/>
        <family val="2"/>
        <charset val="186"/>
      </rPr>
      <t>forestland_a</t>
    </r>
    <r>
      <rPr>
        <sz val="10"/>
        <color theme="1"/>
        <rFont val="Arial Unicode MS"/>
        <family val="2"/>
        <charset val="186"/>
      </rPr>
      <t xml:space="preserve"> = E</t>
    </r>
    <r>
      <rPr>
        <vertAlign val="subscript"/>
        <sz val="10"/>
        <color theme="1"/>
        <rFont val="Arial Unicode MS"/>
        <family val="2"/>
        <charset val="186"/>
      </rPr>
      <t>forestland_a-1</t>
    </r>
    <r>
      <rPr>
        <sz val="10"/>
        <color theme="1"/>
        <rFont val="Arial Unicode MS"/>
        <family val="2"/>
        <charset val="186"/>
      </rPr>
      <t xml:space="preserve"> * (100+CSC_COL3)/100</t>
    </r>
  </si>
  <si>
    <r>
      <t>2041-50: E</t>
    </r>
    <r>
      <rPr>
        <vertAlign val="subscript"/>
        <sz val="10"/>
        <color theme="1"/>
        <rFont val="Arial Unicode MS"/>
        <family val="2"/>
        <charset val="186"/>
      </rPr>
      <t>forestland_a</t>
    </r>
    <r>
      <rPr>
        <sz val="10"/>
        <color theme="1"/>
        <rFont val="Arial Unicode MS"/>
        <family val="2"/>
        <charset val="186"/>
      </rPr>
      <t xml:space="preserve"> = E</t>
    </r>
    <r>
      <rPr>
        <vertAlign val="subscript"/>
        <sz val="10"/>
        <color theme="1"/>
        <rFont val="Arial Unicode MS"/>
        <family val="2"/>
        <charset val="186"/>
      </rPr>
      <t>forestland_a-1</t>
    </r>
    <r>
      <rPr>
        <sz val="10"/>
        <color theme="1"/>
        <rFont val="Arial Unicode MS"/>
        <family val="2"/>
        <charset val="186"/>
      </rPr>
      <t xml:space="preserve"> * (100+CSC_COL4)/100</t>
    </r>
  </si>
  <si>
    <r>
      <t>E</t>
    </r>
    <r>
      <rPr>
        <vertAlign val="subscript"/>
        <sz val="10"/>
        <color theme="1"/>
        <rFont val="Arial Unicode MS"/>
        <family val="2"/>
        <charset val="186"/>
      </rPr>
      <t>cropland_2021</t>
    </r>
    <r>
      <rPr>
        <sz val="10"/>
        <color theme="1"/>
        <rFont val="Arial Unicode MS"/>
        <family val="2"/>
        <charset val="186"/>
      </rPr>
      <t xml:space="preserve"> = CSC_COL5</t>
    </r>
  </si>
  <si>
    <r>
      <t>E</t>
    </r>
    <r>
      <rPr>
        <vertAlign val="subscript"/>
        <sz val="10"/>
        <color theme="1"/>
        <rFont val="Arial Unicode MS"/>
        <family val="2"/>
        <charset val="186"/>
      </rPr>
      <t>grassland_2021</t>
    </r>
    <r>
      <rPr>
        <sz val="10"/>
        <color theme="1"/>
        <rFont val="Arial Unicode MS"/>
        <family val="2"/>
        <charset val="186"/>
      </rPr>
      <t xml:space="preserve"> = CSC_COL9</t>
    </r>
  </si>
  <si>
    <r>
      <t>E</t>
    </r>
    <r>
      <rPr>
        <vertAlign val="subscript"/>
        <sz val="10"/>
        <color theme="1"/>
        <rFont val="Arial Unicode MS"/>
        <family val="2"/>
        <charset val="186"/>
      </rPr>
      <t>wetland_2021</t>
    </r>
    <r>
      <rPr>
        <sz val="10"/>
        <color theme="1"/>
        <rFont val="Arial Unicode MS"/>
        <family val="2"/>
        <charset val="186"/>
      </rPr>
      <t xml:space="preserve"> = CSC_COL13</t>
    </r>
  </si>
  <si>
    <r>
      <t>E</t>
    </r>
    <r>
      <rPr>
        <vertAlign val="subscript"/>
        <sz val="10"/>
        <color theme="1"/>
        <rFont val="Arial Unicode MS"/>
        <family val="2"/>
        <charset val="186"/>
      </rPr>
      <t>settlement_2021</t>
    </r>
    <r>
      <rPr>
        <sz val="10"/>
        <color theme="1"/>
        <rFont val="Arial Unicode MS"/>
        <family val="2"/>
        <charset val="186"/>
      </rPr>
      <t xml:space="preserve"> = CSC_COL17</t>
    </r>
  </si>
  <si>
    <r>
      <t>E</t>
    </r>
    <r>
      <rPr>
        <vertAlign val="subscript"/>
        <sz val="10"/>
        <color theme="1"/>
        <rFont val="Arial Unicode MS"/>
        <family val="2"/>
        <charset val="186"/>
      </rPr>
      <t>other_land_2021</t>
    </r>
    <r>
      <rPr>
        <sz val="10"/>
        <color theme="1"/>
        <rFont val="Arial Unicode MS"/>
        <family val="2"/>
        <charset val="186"/>
      </rPr>
      <t xml:space="preserve"> = CSC_COL21</t>
    </r>
  </si>
  <si>
    <t>Land-use baseline: no user inputs, directly from CSC_COL1-CSC_COL24</t>
  </si>
  <si>
    <t>Total = sum per annum</t>
  </si>
  <si>
    <r>
      <t>2022-30: E</t>
    </r>
    <r>
      <rPr>
        <vertAlign val="subscript"/>
        <sz val="10"/>
        <color theme="1"/>
        <rFont val="Arial Unicode MS"/>
        <family val="2"/>
        <charset val="186"/>
      </rPr>
      <t>cropland_a</t>
    </r>
    <r>
      <rPr>
        <sz val="10"/>
        <color theme="1"/>
        <rFont val="Arial Unicode MS"/>
        <family val="2"/>
        <charset val="186"/>
      </rPr>
      <t xml:space="preserve"> = E</t>
    </r>
    <r>
      <rPr>
        <vertAlign val="subscript"/>
        <sz val="10"/>
        <color theme="1"/>
        <rFont val="Arial Unicode MS"/>
        <family val="2"/>
        <charset val="186"/>
      </rPr>
      <t>cropland_a-1</t>
    </r>
    <r>
      <rPr>
        <sz val="10"/>
        <color theme="1"/>
        <rFont val="Arial Unicode MS"/>
        <family val="2"/>
        <charset val="186"/>
      </rPr>
      <t xml:space="preserve"> * (100+CSC_COL6)/100</t>
    </r>
  </si>
  <si>
    <r>
      <t>2031-40: E</t>
    </r>
    <r>
      <rPr>
        <vertAlign val="subscript"/>
        <sz val="10"/>
        <color theme="1"/>
        <rFont val="Arial Unicode MS"/>
        <family val="2"/>
        <charset val="186"/>
      </rPr>
      <t>cropland_a</t>
    </r>
    <r>
      <rPr>
        <sz val="10"/>
        <color theme="1"/>
        <rFont val="Arial Unicode MS"/>
        <family val="2"/>
        <charset val="186"/>
      </rPr>
      <t xml:space="preserve"> = E</t>
    </r>
    <r>
      <rPr>
        <vertAlign val="subscript"/>
        <sz val="10"/>
        <color theme="1"/>
        <rFont val="Arial Unicode MS"/>
        <family val="2"/>
        <charset val="186"/>
      </rPr>
      <t>cropland_a-1</t>
    </r>
    <r>
      <rPr>
        <sz val="10"/>
        <color theme="1"/>
        <rFont val="Arial Unicode MS"/>
        <family val="2"/>
        <charset val="186"/>
      </rPr>
      <t xml:space="preserve"> * (100+CSC_COL7)/100</t>
    </r>
  </si>
  <si>
    <r>
      <t>2041-50: E</t>
    </r>
    <r>
      <rPr>
        <vertAlign val="subscript"/>
        <sz val="10"/>
        <color theme="1"/>
        <rFont val="Arial Unicode MS"/>
        <family val="2"/>
        <charset val="186"/>
      </rPr>
      <t>cropland_a</t>
    </r>
    <r>
      <rPr>
        <sz val="10"/>
        <color theme="1"/>
        <rFont val="Arial Unicode MS"/>
        <family val="2"/>
        <charset val="186"/>
      </rPr>
      <t xml:space="preserve"> = E</t>
    </r>
    <r>
      <rPr>
        <vertAlign val="subscript"/>
        <sz val="10"/>
        <color theme="1"/>
        <rFont val="Arial Unicode MS"/>
        <family val="2"/>
        <charset val="186"/>
      </rPr>
      <t>cropland_a-1</t>
    </r>
    <r>
      <rPr>
        <sz val="10"/>
        <color theme="1"/>
        <rFont val="Arial Unicode MS"/>
        <family val="2"/>
        <charset val="186"/>
      </rPr>
      <t xml:space="preserve"> * (100+CSC_COL8)/100</t>
    </r>
  </si>
  <si>
    <r>
      <t>2022-30: E</t>
    </r>
    <r>
      <rPr>
        <vertAlign val="subscript"/>
        <sz val="10"/>
        <color theme="1"/>
        <rFont val="Arial Unicode MS"/>
        <family val="2"/>
        <charset val="186"/>
      </rPr>
      <t>grassland_a</t>
    </r>
    <r>
      <rPr>
        <sz val="10"/>
        <color theme="1"/>
        <rFont val="Arial Unicode MS"/>
        <family val="2"/>
        <charset val="186"/>
      </rPr>
      <t xml:space="preserve"> = E</t>
    </r>
    <r>
      <rPr>
        <vertAlign val="subscript"/>
        <sz val="10"/>
        <color theme="1"/>
        <rFont val="Arial Unicode MS"/>
        <family val="2"/>
        <charset val="186"/>
      </rPr>
      <t>grassland_a-1</t>
    </r>
    <r>
      <rPr>
        <sz val="10"/>
        <color theme="1"/>
        <rFont val="Arial Unicode MS"/>
        <family val="2"/>
        <charset val="186"/>
      </rPr>
      <t xml:space="preserve"> * (100+CSC_COL10)/100</t>
    </r>
  </si>
  <si>
    <r>
      <t>2031-40: E</t>
    </r>
    <r>
      <rPr>
        <vertAlign val="subscript"/>
        <sz val="10"/>
        <color theme="1"/>
        <rFont val="Arial Unicode MS"/>
        <family val="2"/>
        <charset val="186"/>
      </rPr>
      <t>grassland_a</t>
    </r>
    <r>
      <rPr>
        <sz val="10"/>
        <color theme="1"/>
        <rFont val="Arial Unicode MS"/>
        <family val="2"/>
        <charset val="186"/>
      </rPr>
      <t xml:space="preserve"> = E</t>
    </r>
    <r>
      <rPr>
        <vertAlign val="subscript"/>
        <sz val="10"/>
        <color theme="1"/>
        <rFont val="Arial Unicode MS"/>
        <family val="2"/>
        <charset val="186"/>
      </rPr>
      <t>grassland_a-1</t>
    </r>
    <r>
      <rPr>
        <sz val="10"/>
        <color theme="1"/>
        <rFont val="Arial Unicode MS"/>
        <family val="2"/>
        <charset val="186"/>
      </rPr>
      <t xml:space="preserve"> * (100+CSC_COL11)/100</t>
    </r>
  </si>
  <si>
    <r>
      <t>2041-50: E</t>
    </r>
    <r>
      <rPr>
        <vertAlign val="subscript"/>
        <sz val="10"/>
        <color theme="1"/>
        <rFont val="Arial Unicode MS"/>
        <family val="2"/>
        <charset val="186"/>
      </rPr>
      <t>grassland_a</t>
    </r>
    <r>
      <rPr>
        <sz val="10"/>
        <color theme="1"/>
        <rFont val="Arial Unicode MS"/>
        <family val="2"/>
        <charset val="186"/>
      </rPr>
      <t xml:space="preserve"> = E</t>
    </r>
    <r>
      <rPr>
        <vertAlign val="subscript"/>
        <sz val="10"/>
        <color theme="1"/>
        <rFont val="Arial Unicode MS"/>
        <family val="2"/>
        <charset val="186"/>
      </rPr>
      <t>grassland_a-1</t>
    </r>
    <r>
      <rPr>
        <sz val="10"/>
        <color theme="1"/>
        <rFont val="Arial Unicode MS"/>
        <family val="2"/>
        <charset val="186"/>
      </rPr>
      <t xml:space="preserve"> * (100+CSC_COL12)/100</t>
    </r>
  </si>
  <si>
    <r>
      <t>2022-30: E</t>
    </r>
    <r>
      <rPr>
        <vertAlign val="subscript"/>
        <sz val="10"/>
        <color theme="1"/>
        <rFont val="Arial Unicode MS"/>
        <family val="2"/>
        <charset val="186"/>
      </rPr>
      <t>wetland_a</t>
    </r>
    <r>
      <rPr>
        <sz val="10"/>
        <color theme="1"/>
        <rFont val="Arial Unicode MS"/>
        <family val="2"/>
        <charset val="186"/>
      </rPr>
      <t xml:space="preserve"> = E</t>
    </r>
    <r>
      <rPr>
        <vertAlign val="subscript"/>
        <sz val="10"/>
        <color theme="1"/>
        <rFont val="Arial Unicode MS"/>
        <family val="2"/>
        <charset val="186"/>
      </rPr>
      <t>wetland_a-1</t>
    </r>
    <r>
      <rPr>
        <sz val="10"/>
        <color theme="1"/>
        <rFont val="Arial Unicode MS"/>
        <family val="2"/>
        <charset val="186"/>
      </rPr>
      <t xml:space="preserve"> * (100+CSC_COL14)/100</t>
    </r>
  </si>
  <si>
    <r>
      <t>2031-40: E</t>
    </r>
    <r>
      <rPr>
        <vertAlign val="subscript"/>
        <sz val="10"/>
        <color theme="1"/>
        <rFont val="Arial Unicode MS"/>
        <family val="2"/>
        <charset val="186"/>
      </rPr>
      <t>wetland_a</t>
    </r>
    <r>
      <rPr>
        <sz val="10"/>
        <color theme="1"/>
        <rFont val="Arial Unicode MS"/>
        <family val="2"/>
        <charset val="186"/>
      </rPr>
      <t xml:space="preserve"> = E</t>
    </r>
    <r>
      <rPr>
        <vertAlign val="subscript"/>
        <sz val="10"/>
        <color theme="1"/>
        <rFont val="Arial Unicode MS"/>
        <family val="2"/>
        <charset val="186"/>
      </rPr>
      <t>wetland_a-1</t>
    </r>
    <r>
      <rPr>
        <sz val="10"/>
        <color theme="1"/>
        <rFont val="Arial Unicode MS"/>
        <family val="2"/>
        <charset val="186"/>
      </rPr>
      <t xml:space="preserve"> * (100+CSC_COL15)/100</t>
    </r>
  </si>
  <si>
    <r>
      <t>2041-50: E</t>
    </r>
    <r>
      <rPr>
        <vertAlign val="subscript"/>
        <sz val="10"/>
        <color theme="1"/>
        <rFont val="Arial Unicode MS"/>
        <family val="2"/>
        <charset val="186"/>
      </rPr>
      <t>wetland_a</t>
    </r>
    <r>
      <rPr>
        <sz val="10"/>
        <color theme="1"/>
        <rFont val="Arial Unicode MS"/>
        <family val="2"/>
        <charset val="186"/>
      </rPr>
      <t xml:space="preserve"> = E</t>
    </r>
    <r>
      <rPr>
        <vertAlign val="subscript"/>
        <sz val="10"/>
        <color theme="1"/>
        <rFont val="Arial Unicode MS"/>
        <family val="2"/>
        <charset val="186"/>
      </rPr>
      <t>wetland_a-1</t>
    </r>
    <r>
      <rPr>
        <sz val="10"/>
        <color theme="1"/>
        <rFont val="Arial Unicode MS"/>
        <family val="2"/>
        <charset val="186"/>
      </rPr>
      <t xml:space="preserve"> * (100+CSC_COL16)/100</t>
    </r>
  </si>
  <si>
    <r>
      <t>2022-30: E</t>
    </r>
    <r>
      <rPr>
        <vertAlign val="subscript"/>
        <sz val="10"/>
        <color theme="1"/>
        <rFont val="Arial Unicode MS"/>
        <family val="2"/>
        <charset val="186"/>
      </rPr>
      <t>settlement_a</t>
    </r>
    <r>
      <rPr>
        <sz val="10"/>
        <color theme="1"/>
        <rFont val="Arial Unicode MS"/>
        <family val="2"/>
        <charset val="186"/>
      </rPr>
      <t xml:space="preserve"> = E</t>
    </r>
    <r>
      <rPr>
        <vertAlign val="subscript"/>
        <sz val="10"/>
        <color theme="1"/>
        <rFont val="Arial Unicode MS"/>
        <family val="2"/>
        <charset val="186"/>
      </rPr>
      <t>settlement_a-1</t>
    </r>
    <r>
      <rPr>
        <sz val="10"/>
        <color theme="1"/>
        <rFont val="Arial Unicode MS"/>
        <family val="2"/>
        <charset val="186"/>
      </rPr>
      <t xml:space="preserve"> * (100+CSC_COL18)/100</t>
    </r>
  </si>
  <si>
    <r>
      <t>2031-40: E</t>
    </r>
    <r>
      <rPr>
        <vertAlign val="subscript"/>
        <sz val="10"/>
        <color theme="1"/>
        <rFont val="Arial Unicode MS"/>
        <family val="2"/>
        <charset val="186"/>
      </rPr>
      <t>settlement_a</t>
    </r>
    <r>
      <rPr>
        <sz val="10"/>
        <color theme="1"/>
        <rFont val="Arial Unicode MS"/>
        <family val="2"/>
        <charset val="186"/>
      </rPr>
      <t xml:space="preserve"> = E</t>
    </r>
    <r>
      <rPr>
        <vertAlign val="subscript"/>
        <sz val="10"/>
        <color theme="1"/>
        <rFont val="Arial Unicode MS"/>
        <family val="2"/>
        <charset val="186"/>
      </rPr>
      <t>settlement_a-1</t>
    </r>
    <r>
      <rPr>
        <sz val="10"/>
        <color theme="1"/>
        <rFont val="Arial Unicode MS"/>
        <family val="2"/>
        <charset val="186"/>
      </rPr>
      <t xml:space="preserve"> * (100+CSC_COL19)/100</t>
    </r>
  </si>
  <si>
    <r>
      <t>2041-50: E</t>
    </r>
    <r>
      <rPr>
        <vertAlign val="subscript"/>
        <sz val="10"/>
        <color theme="1"/>
        <rFont val="Arial Unicode MS"/>
        <family val="2"/>
        <charset val="186"/>
      </rPr>
      <t>settlement_a</t>
    </r>
    <r>
      <rPr>
        <sz val="10"/>
        <color theme="1"/>
        <rFont val="Arial Unicode MS"/>
        <family val="2"/>
        <charset val="186"/>
      </rPr>
      <t xml:space="preserve"> = E</t>
    </r>
    <r>
      <rPr>
        <vertAlign val="subscript"/>
        <sz val="10"/>
        <color theme="1"/>
        <rFont val="Arial Unicode MS"/>
        <family val="2"/>
        <charset val="186"/>
      </rPr>
      <t>settlement_a-1</t>
    </r>
    <r>
      <rPr>
        <sz val="10"/>
        <color theme="1"/>
        <rFont val="Arial Unicode MS"/>
        <family val="2"/>
        <charset val="186"/>
      </rPr>
      <t xml:space="preserve"> * (100+CSC_COL20)/100</t>
    </r>
  </si>
  <si>
    <r>
      <t>2022-30: E</t>
    </r>
    <r>
      <rPr>
        <vertAlign val="subscript"/>
        <sz val="10"/>
        <color theme="1"/>
        <rFont val="Arial Unicode MS"/>
        <family val="2"/>
        <charset val="186"/>
      </rPr>
      <t>other_land_a</t>
    </r>
    <r>
      <rPr>
        <sz val="10"/>
        <color theme="1"/>
        <rFont val="Arial Unicode MS"/>
        <family val="2"/>
        <charset val="186"/>
      </rPr>
      <t xml:space="preserve"> = E</t>
    </r>
    <r>
      <rPr>
        <vertAlign val="subscript"/>
        <sz val="10"/>
        <color theme="1"/>
        <rFont val="Arial Unicode MS"/>
        <family val="2"/>
        <charset val="186"/>
      </rPr>
      <t>other_land_a-1</t>
    </r>
    <r>
      <rPr>
        <sz val="10"/>
        <color theme="1"/>
        <rFont val="Arial Unicode MS"/>
        <family val="2"/>
        <charset val="186"/>
      </rPr>
      <t xml:space="preserve"> * (100+CSC_COL22)/100</t>
    </r>
  </si>
  <si>
    <r>
      <t>2031-40: E</t>
    </r>
    <r>
      <rPr>
        <vertAlign val="subscript"/>
        <sz val="10"/>
        <color theme="1"/>
        <rFont val="Arial Unicode MS"/>
        <family val="2"/>
        <charset val="186"/>
      </rPr>
      <t>other_land_a</t>
    </r>
    <r>
      <rPr>
        <sz val="10"/>
        <color theme="1"/>
        <rFont val="Arial Unicode MS"/>
        <family val="2"/>
        <charset val="186"/>
      </rPr>
      <t xml:space="preserve"> = E</t>
    </r>
    <r>
      <rPr>
        <vertAlign val="subscript"/>
        <sz val="10"/>
        <color theme="1"/>
        <rFont val="Arial Unicode MS"/>
        <family val="2"/>
        <charset val="186"/>
      </rPr>
      <t>other_land_a-1</t>
    </r>
    <r>
      <rPr>
        <sz val="10"/>
        <color theme="1"/>
        <rFont val="Arial Unicode MS"/>
        <family val="2"/>
        <charset val="186"/>
      </rPr>
      <t xml:space="preserve"> * (100+CSC_COL23)/100</t>
    </r>
  </si>
  <si>
    <r>
      <t>2041-50: E</t>
    </r>
    <r>
      <rPr>
        <vertAlign val="subscript"/>
        <sz val="10"/>
        <color theme="1"/>
        <rFont val="Arial Unicode MS"/>
        <family val="2"/>
        <charset val="186"/>
      </rPr>
      <t>other_land_a</t>
    </r>
    <r>
      <rPr>
        <sz val="10"/>
        <color theme="1"/>
        <rFont val="Arial Unicode MS"/>
        <family val="2"/>
        <charset val="186"/>
      </rPr>
      <t xml:space="preserve"> = E</t>
    </r>
    <r>
      <rPr>
        <vertAlign val="subscript"/>
        <sz val="10"/>
        <color theme="1"/>
        <rFont val="Arial Unicode MS"/>
        <family val="2"/>
        <charset val="186"/>
      </rPr>
      <t>other_land_a-1</t>
    </r>
    <r>
      <rPr>
        <sz val="10"/>
        <color theme="1"/>
        <rFont val="Arial Unicode MS"/>
        <family val="2"/>
        <charset val="186"/>
      </rPr>
      <t xml:space="preserve"> * (100+CSC_COL24)/100</t>
    </r>
  </si>
  <si>
    <t>Each result from the previous table is divided by population.</t>
  </si>
  <si>
    <t>IF function prevents the division by zero.</t>
  </si>
  <si>
    <t>total area (ha) = INPUT1</t>
  </si>
  <si>
    <t>soil area (ha) mineral = INPUT2</t>
  </si>
  <si>
    <t>soil area (ha) organic = INPUT3</t>
  </si>
  <si>
    <t>same as year 1</t>
  </si>
  <si>
    <t>(INPUT1*CSC_COL205*-44/12)+(INPUT1*CSC_COL206*-44/12)+(INPUT1*CSC_COL207*-44/12)+(INPUT1*CSC_COL208*-44/12)+(INPUT2*CSC_COL209*-44/12)+(INPUT3*CSC_COL210*-44/12)</t>
  </si>
  <si>
    <t>same as year 21</t>
  </si>
  <si>
    <t>same as year 2</t>
  </si>
  <si>
    <t>(INPUT1*CSC_COL211*-44/12)+(INPUT1*CSC_COL212*-44/12)+(INPUT1*CSC_COL213*-44/12)+(INPUT1*CSC_COL214*-44/12)+(INPUT2*CSC_COL215*-44/12)+(INPUT3*CSC_COL216*-44/12)</t>
  </si>
  <si>
    <t>same as year 6</t>
  </si>
  <si>
    <t>(INPUT2*CSC_COL89*-44/12)+(INPUT3*CSC_COL90*-44/12)</t>
  </si>
  <si>
    <t>(INPUT2*CSC_COL59*-44/12)+(INPUT3*CSC_COL60*-44/12)</t>
  </si>
  <si>
    <t>(INPUT2*CSC_COL149*-44/12)+(INPUT3*CSC_COL150*-44/12)</t>
  </si>
  <si>
    <t>(INPUT2*CSC_COL179*-44/12)+(INPUT3*CSC_COL180*-44/12)</t>
  </si>
  <si>
    <t>(INPUT1*CSC_COL217*-44/12)+(INPUT1*CSC_COL218*-44/12)+(INPUT1*CSC_COL219*-44/12)+(INPUT1*CSC_COL220*-44/12)+(INPUT2*CSC_COL221*-44/12)+(INPUT3*CSC_COL222*-44/12)</t>
  </si>
  <si>
    <t>(INPUT1*CSC_COL223*-44/12)+(INPUT1*CSC_COL224*-44/12)+(INPUT1*CSC_COL225*-44/12)+(INPUT1*CSC_COL226*-44/12)+(INPUT2*CSC_COL227*-44/12)+(INPUT3*CSC_COL228*-44/12)</t>
  </si>
  <si>
    <t>(INPUT1*CSC_COL229*-44/12)+(INPUT1*CSC_COL230*-44/12)+(INPUT1*CSC_COL231*-44/12)+(INPUT1*CSC_COL232*-44/12)+(INPUT2*CSC_COL233*-44/12)+(INPUT3*CSC_COL234*-44/12)</t>
  </si>
  <si>
    <t>(INPUT1*CSC_COL235*-44/12)+(INPUT1*CSC_COL236*-44/12)+(INPUT1*CSC_COL237*-44/12)+(INPUT1*CSC_COL238*-44/12)+(INPUT2*CSC_COL239*-44/12)+(INPUT3*CSC_COL240*-44/12)</t>
  </si>
  <si>
    <t>METADATA</t>
  </si>
  <si>
    <t>MET_COL1</t>
  </si>
  <si>
    <t>MET_COL2</t>
  </si>
  <si>
    <t>MET_COL3</t>
  </si>
  <si>
    <t>Creator</t>
  </si>
  <si>
    <t>Description</t>
  </si>
  <si>
    <t>QGasSP</t>
  </si>
  <si>
    <t>local dataset</t>
  </si>
  <si>
    <t>Date</t>
  </si>
  <si>
    <t>Data origin</t>
  </si>
  <si>
    <t>TalTech</t>
  </si>
  <si>
    <r>
      <t>gCO</t>
    </r>
    <r>
      <rPr>
        <vertAlign val="subscript"/>
        <sz val="10"/>
        <rFont val="Arial Unicode MS"/>
        <family val="2"/>
        <charset val="186"/>
      </rPr>
      <t>2</t>
    </r>
    <r>
      <rPr>
        <sz val="10"/>
        <rFont val="Arial Unicode MS"/>
        <family val="2"/>
        <charset val="186"/>
      </rPr>
      <t>e/train-km</t>
    </r>
  </si>
  <si>
    <t>Creator of the dataset</t>
  </si>
  <si>
    <t>Year of data origin</t>
  </si>
  <si>
    <t>Brief description serves the other users of this dataset and is saved as background information for all local datasets.</t>
  </si>
  <si>
    <t>Select a unique dataset name that includes the name of the area in concern.</t>
  </si>
  <si>
    <t>This information is saved as background information.</t>
  </si>
  <si>
    <t>Select an existing dataset that provides default values for input fields.</t>
  </si>
  <si>
    <t>Note! This button resets all inputs and fills the input fields with the tool default data according to the selection above.</t>
  </si>
  <si>
    <t>Default data for input fields</t>
  </si>
  <si>
    <t>Year of origin for the most important data sources</t>
  </si>
  <si>
    <t>annual_change_population--2021-30</t>
  </si>
  <si>
    <t>annual_change_population--2031-40</t>
  </si>
  <si>
    <t>annual_change_population--2041-50</t>
  </si>
  <si>
    <t>annual_change_grid_electricity_ef--2021-30</t>
  </si>
  <si>
    <t>annual_change_grid_electricity_ef--2031-40</t>
  </si>
  <si>
    <t>annual_change_grid_electricity_ef--2041-50</t>
  </si>
  <si>
    <t>annual_change_district_heating_ef--2021-30</t>
  </si>
  <si>
    <t>annual_change_district_heating_ef--2031-40</t>
  </si>
  <si>
    <t>annual_change_district_heating_ef--2041-50</t>
  </si>
  <si>
    <t>passenger-km_per_capita_bus</t>
  </si>
  <si>
    <t>occupancy_rate_bus</t>
  </si>
  <si>
    <t>annual_change_bus--2020-30</t>
  </si>
  <si>
    <t>annual_change_bus--2030-40</t>
  </si>
  <si>
    <t>annual_change_bus--2040-50</t>
  </si>
  <si>
    <t>propulsion_share_bus--petrol</t>
  </si>
  <si>
    <t>propulsion_share_bus--lpg</t>
  </si>
  <si>
    <t>propulsion_share_bus--diesel</t>
  </si>
  <si>
    <t>propulsion_share_bus--cng</t>
  </si>
  <si>
    <t>propulsion_share_bus--electricity</t>
  </si>
  <si>
    <t>cf_bus--metropolitan</t>
  </si>
  <si>
    <t>cf_bus--city</t>
  </si>
  <si>
    <t>cf_bus--suburban</t>
  </si>
  <si>
    <t>cf_bus--town</t>
  </si>
  <si>
    <t>cf_bus--rural</t>
  </si>
  <si>
    <t>ef_street_driving_bus--petrol</t>
  </si>
  <si>
    <t>ef_street_driving_bus--lpg</t>
  </si>
  <si>
    <t>ef_street_driving_bus--diesel</t>
  </si>
  <si>
    <t>ef_street_driving_bus--cng</t>
  </si>
  <si>
    <t>electricity_consumption_street_driving_bus--electricity</t>
  </si>
  <si>
    <t>ef_road_driving_bus--petrol</t>
  </si>
  <si>
    <t>ef_road_driving_bus--lpg</t>
  </si>
  <si>
    <t>ef_road_driving_bus--diesel</t>
  </si>
  <si>
    <t>ef_road_driving_bus--cng</t>
  </si>
  <si>
    <t>electricity_consumption_road_driving_bus--electricity</t>
  </si>
  <si>
    <t>share_of_electric_buses--2020</t>
  </si>
  <si>
    <t>share_of_electric_buses--2025</t>
  </si>
  <si>
    <t>share_of_electric_buses--2030</t>
  </si>
  <si>
    <t>share_of_electric_buses--2035</t>
  </si>
  <si>
    <t>share_of_electric_buses--2040</t>
  </si>
  <si>
    <t>share_of_electric_buses--2045</t>
  </si>
  <si>
    <t>share_of_electric_buses--2050</t>
  </si>
  <si>
    <t>share_road_driving_buses--metropolitan_center</t>
  </si>
  <si>
    <t>share_road_driving_buses--urban</t>
  </si>
  <si>
    <t>share_road_driving_buses--suburban</t>
  </si>
  <si>
    <t>share_road_driving_buses--town</t>
  </si>
  <si>
    <t>share_road_driving_buses--rural</t>
  </si>
  <si>
    <t>passenger-km_per_capita_car</t>
  </si>
  <si>
    <t>occupancy_rate_car</t>
  </si>
  <si>
    <t>annual_change_car--2021-30</t>
  </si>
  <si>
    <t>annual_change_car--2031-40</t>
  </si>
  <si>
    <t>annual_change_car--2041-50</t>
  </si>
  <si>
    <t>ef_petrol_car</t>
  </si>
  <si>
    <t>ef_diesel_car</t>
  </si>
  <si>
    <t>propulsion_share_car--lpg</t>
  </si>
  <si>
    <t>propulsion_share_car--cng</t>
  </si>
  <si>
    <t>propulsion_share_car--ngv</t>
  </si>
  <si>
    <t>propulsion_share_car--petrol</t>
  </si>
  <si>
    <t>propulsion_share_car--hybrid_electric-petrol</t>
  </si>
  <si>
    <t>propulsion_share_car--petrol_phev</t>
  </si>
  <si>
    <t>propulsion_share_car--diesel</t>
  </si>
  <si>
    <t>propulsion_share_car--hybrid_electric-diesel</t>
  </si>
  <si>
    <t>propulsion_share_car--diesel_phev</t>
  </si>
  <si>
    <t>propulsion_share_car--hydrogen_fuel-cell</t>
  </si>
  <si>
    <t>propulsion_share_car--bioethanol</t>
  </si>
  <si>
    <t>propulsion_share_car--biodiesel</t>
  </si>
  <si>
    <t>propulsion_share_car--bi-fuel</t>
  </si>
  <si>
    <t>propulsion_share_car--other</t>
  </si>
  <si>
    <t>propulsion_share_car--bev</t>
  </si>
  <si>
    <t>ef_street_driving_car--lpg</t>
  </si>
  <si>
    <t>ef_street_driving_car--cng</t>
  </si>
  <si>
    <t>ef_street_driving_car--ngv</t>
  </si>
  <si>
    <t>ef_street_driving_car--petrol</t>
  </si>
  <si>
    <t>ef_street_driving_car--hybrid_electric-petrol</t>
  </si>
  <si>
    <t>ef_street_driving_car--petrol_phev</t>
  </si>
  <si>
    <t>ef_street_driving_car--diesel</t>
  </si>
  <si>
    <t>ef_street_driving_car--hybrid_electric-diesel</t>
  </si>
  <si>
    <t>ef_street_driving_car--diesel_phev</t>
  </si>
  <si>
    <t>ef_street_driving_car--hydrogen_fuel-cell</t>
  </si>
  <si>
    <t>ef_street_driving_car--bioethanol</t>
  </si>
  <si>
    <t>ef_street_driving_car--biodiesel</t>
  </si>
  <si>
    <t>ef_street_driving_car--bi-fuel</t>
  </si>
  <si>
    <t>ef_street_driving_car--other</t>
  </si>
  <si>
    <t>ef_street_driving_car--bev</t>
  </si>
  <si>
    <t>ef_road_driving_car--lpg</t>
  </si>
  <si>
    <t>ef_road_driving_car--cng</t>
  </si>
  <si>
    <t>ef_road_driving_car--ngv</t>
  </si>
  <si>
    <t>ef_road_driving_car--petrol</t>
  </si>
  <si>
    <t>ef_road_driving_car--hybrid_electric-petrol</t>
  </si>
  <si>
    <t>ef_road_driving_car--petrol_phev</t>
  </si>
  <si>
    <t>ef_road_driving_car--diesel</t>
  </si>
  <si>
    <t>ef_road_driving_car--hybrid_electric-diesel</t>
  </si>
  <si>
    <t>ef_road_driving_car--diesel_phev</t>
  </si>
  <si>
    <t>ef_road_driving_car--hydrogen_fuel-cell</t>
  </si>
  <si>
    <t>ef_road_driving_car--bioethanol</t>
  </si>
  <si>
    <t>ef_road_driving_car--biodiesel</t>
  </si>
  <si>
    <t>ef_road_driving_car--bi-fuel</t>
  </si>
  <si>
    <t>ef_road_driving_car--other</t>
  </si>
  <si>
    <t>ef_road_driving_car--bev</t>
  </si>
  <si>
    <t>cf_car--metropolitan</t>
  </si>
  <si>
    <t>cf_car--city</t>
  </si>
  <si>
    <t>cf_car--suburban</t>
  </si>
  <si>
    <t>cf_car--town</t>
  </si>
  <si>
    <t>cf_car--rural</t>
  </si>
  <si>
    <t>share_road_driving_car--metropolitan_center</t>
  </si>
  <si>
    <t>share_road_driving_car--urban</t>
  </si>
  <si>
    <t>share_road_driving_car--suburban</t>
  </si>
  <si>
    <t>share_road_driving_car--town</t>
  </si>
  <si>
    <t>share_road_driving_car--rural</t>
  </si>
  <si>
    <t>passenger-km_per_capita_metro</t>
  </si>
  <si>
    <t>occupancy_rate_metro</t>
  </si>
  <si>
    <t>electricity_consumption_metro</t>
  </si>
  <si>
    <t>annual_change_metro--2021-30</t>
  </si>
  <si>
    <t>annual_change_metro--2031-40</t>
  </si>
  <si>
    <t>annual_change_metro--2041-50</t>
  </si>
  <si>
    <t>metro--1</t>
  </si>
  <si>
    <t>metro--2</t>
  </si>
  <si>
    <t>metro--3</t>
  </si>
  <si>
    <t>metro--4</t>
  </si>
  <si>
    <t>metro--5</t>
  </si>
  <si>
    <t>metro--6</t>
  </si>
  <si>
    <t>metro--7</t>
  </si>
  <si>
    <t>transport_activity_metro--pkm/a</t>
  </si>
  <si>
    <t>transport_activity_metro--metro_2</t>
  </si>
  <si>
    <t>transport_activity_metro--metro_3</t>
  </si>
  <si>
    <t>transport_activity_metro--metro_4</t>
  </si>
  <si>
    <t>transport_activity_metro--metro_5</t>
  </si>
  <si>
    <t>transport_activity_metro--metro_6</t>
  </si>
  <si>
    <t>transport_activity_metro--metro_7</t>
  </si>
  <si>
    <t>passenger-km_per_capita_tram</t>
  </si>
  <si>
    <t>occupancy_rate_tram</t>
  </si>
  <si>
    <t>electricity_consumption_tram</t>
  </si>
  <si>
    <t>annual_change_tram--2021-30</t>
  </si>
  <si>
    <t>annual_change_tram--2031-40</t>
  </si>
  <si>
    <t>annual_change_tram--2041-50</t>
  </si>
  <si>
    <t>tram--1</t>
  </si>
  <si>
    <t>tram--2</t>
  </si>
  <si>
    <t>tram--3</t>
  </si>
  <si>
    <t>tram--4</t>
  </si>
  <si>
    <t>tram--5</t>
  </si>
  <si>
    <t>tram--6</t>
  </si>
  <si>
    <t>tram--7</t>
  </si>
  <si>
    <t>tram--8</t>
  </si>
  <si>
    <t>tram--9</t>
  </si>
  <si>
    <t>tram--10</t>
  </si>
  <si>
    <t>tram--11</t>
  </si>
  <si>
    <t>tram--12</t>
  </si>
  <si>
    <t>tram--13</t>
  </si>
  <si>
    <t>tram--14</t>
  </si>
  <si>
    <t>tram--15</t>
  </si>
  <si>
    <t>tram--16</t>
  </si>
  <si>
    <t>tram--17</t>
  </si>
  <si>
    <t>tram--18</t>
  </si>
  <si>
    <t>tram--19</t>
  </si>
  <si>
    <t>tram--20</t>
  </si>
  <si>
    <t>tram--21</t>
  </si>
  <si>
    <t>tram--22</t>
  </si>
  <si>
    <t>tram--23</t>
  </si>
  <si>
    <t>tram--24</t>
  </si>
  <si>
    <t>tram--25</t>
  </si>
  <si>
    <t>tram--26</t>
  </si>
  <si>
    <t>tram--27</t>
  </si>
  <si>
    <t>tram--28</t>
  </si>
  <si>
    <t>tram--29</t>
  </si>
  <si>
    <t>tram--30</t>
  </si>
  <si>
    <t>tram--31</t>
  </si>
  <si>
    <t>tram--32</t>
  </si>
  <si>
    <t>tram--33</t>
  </si>
  <si>
    <t>tram--34</t>
  </si>
  <si>
    <t>tram--35</t>
  </si>
  <si>
    <t>tram--36</t>
  </si>
  <si>
    <t>tram--37</t>
  </si>
  <si>
    <t>tram--38</t>
  </si>
  <si>
    <t>tram--39</t>
  </si>
  <si>
    <t>tram--40</t>
  </si>
  <si>
    <t>tram--41</t>
  </si>
  <si>
    <t>tram--42</t>
  </si>
  <si>
    <t>tram--43</t>
  </si>
  <si>
    <t>tram--44</t>
  </si>
  <si>
    <t>tram--45</t>
  </si>
  <si>
    <t>tram--46</t>
  </si>
  <si>
    <t>tram--47</t>
  </si>
  <si>
    <t>tram--48</t>
  </si>
  <si>
    <t>tram--49</t>
  </si>
  <si>
    <t>tram--50</t>
  </si>
  <si>
    <t>tram--51</t>
  </si>
  <si>
    <t>tram--52</t>
  </si>
  <si>
    <t>tram--53</t>
  </si>
  <si>
    <t>tram--54</t>
  </si>
  <si>
    <t>tram--55</t>
  </si>
  <si>
    <t>tram--56</t>
  </si>
  <si>
    <t>tram--57</t>
  </si>
  <si>
    <t>tram--58</t>
  </si>
  <si>
    <t>transport_activity_tram--tram_1</t>
  </si>
  <si>
    <t>transport_activity_tram--tram_2</t>
  </si>
  <si>
    <t>transport_activity_tram--tram_3</t>
  </si>
  <si>
    <t>transport_activity_tram--tram_4</t>
  </si>
  <si>
    <t>transport_activity_tram--tram_5</t>
  </si>
  <si>
    <t>transport_activity_tram--tram_6</t>
  </si>
  <si>
    <t>transport_activity_tram--tram_7</t>
  </si>
  <si>
    <t>transport_activity_tram--tram_8</t>
  </si>
  <si>
    <t>transport_activity_tram--tram_9</t>
  </si>
  <si>
    <t>transport_activity_tram--tram_10</t>
  </si>
  <si>
    <t>transport_activity_tram--tram_11</t>
  </si>
  <si>
    <t>transport_activity_tram--tram_12</t>
  </si>
  <si>
    <t>transport_activity_tram--tram_13</t>
  </si>
  <si>
    <t>transport_activity_tram--tram_14</t>
  </si>
  <si>
    <t>transport_activity_tram--tram_15</t>
  </si>
  <si>
    <t>transport_activity_tram--tram_16</t>
  </si>
  <si>
    <t>transport_activity_tram--tram_17</t>
  </si>
  <si>
    <t>transport_activity_tram--tram_18</t>
  </si>
  <si>
    <t>transport_activity_tram--tram_19</t>
  </si>
  <si>
    <t>transport_activity_tram--tram_20</t>
  </si>
  <si>
    <t>transport_activity_tram--tram_21</t>
  </si>
  <si>
    <t>transport_activity_tram--tram_22</t>
  </si>
  <si>
    <t>transport_activity_tram--tram_23</t>
  </si>
  <si>
    <t>transport_activity_tram--tram_24</t>
  </si>
  <si>
    <t>transport_activity_tram--tram_25</t>
  </si>
  <si>
    <t>transport_activity_tram--tram_26</t>
  </si>
  <si>
    <t>transport_activity_tram--tram_27</t>
  </si>
  <si>
    <t>transport_activity_tram--tram_28</t>
  </si>
  <si>
    <t>transport_activity_tram--tram_29</t>
  </si>
  <si>
    <t>transport_activity_tram--tram_30</t>
  </si>
  <si>
    <t>transport_activity_tram--tram_31</t>
  </si>
  <si>
    <t>transport_activity_tram--tram_32</t>
  </si>
  <si>
    <t>transport_activity_tram--tram_33</t>
  </si>
  <si>
    <t>transport_activity_tram--tram_34</t>
  </si>
  <si>
    <t>transport_activity_tram--tram_35</t>
  </si>
  <si>
    <t>transport_activity_tram--tram_36</t>
  </si>
  <si>
    <t>transport_activity_tram--tram_37</t>
  </si>
  <si>
    <t>transport_activity_tram--tram_38</t>
  </si>
  <si>
    <t>transport_activity_tram--tram_39</t>
  </si>
  <si>
    <t>transport_activity_tram--tram_40</t>
  </si>
  <si>
    <t>transport_activity_tram--tram_41</t>
  </si>
  <si>
    <t>transport_activity_tram--tram_42</t>
  </si>
  <si>
    <t>transport_activity_tram--tram_43</t>
  </si>
  <si>
    <t>transport_activity_tram--tram_44</t>
  </si>
  <si>
    <t>transport_activity_tram--tram_45</t>
  </si>
  <si>
    <t>transport_activity_tram--tram_46</t>
  </si>
  <si>
    <t>transport_activity_tram--tram_47</t>
  </si>
  <si>
    <t>transport_activity_tram--tram_48</t>
  </si>
  <si>
    <t>transport_activity_tram--tram_49</t>
  </si>
  <si>
    <t>transport_activity_tram--tram_50</t>
  </si>
  <si>
    <t>transport_activity_tram--tram_51</t>
  </si>
  <si>
    <t>transport_activity_tram--tram_52</t>
  </si>
  <si>
    <t>transport_activity_tram--tram_53</t>
  </si>
  <si>
    <t>transport_activity_tram--tram_54</t>
  </si>
  <si>
    <t>transport_activity_tram--tram_55</t>
  </si>
  <si>
    <t>transport_activity_tram--tram_56</t>
  </si>
  <si>
    <t>transport_activity_tram--tram_57</t>
  </si>
  <si>
    <t>transport_activity_tram--tram_58</t>
  </si>
  <si>
    <t>passenger-km_per_capita_train</t>
  </si>
  <si>
    <t>occupancy_rate_train</t>
  </si>
  <si>
    <t>ef_diesel_train</t>
  </si>
  <si>
    <t>energy_consumption_electric_train</t>
  </si>
  <si>
    <t>share_of_electric_engines</t>
  </si>
  <si>
    <t>annual_change_passenger_train--2021-30</t>
  </si>
  <si>
    <t>annual_change_passenger_train--2031-40</t>
  </si>
  <si>
    <t>annual_change_passenger_train--2041-50</t>
  </si>
  <si>
    <t>cf_passenger_train--metropolitan</t>
  </si>
  <si>
    <t>cf_passenger_train--city</t>
  </si>
  <si>
    <t>cf_passenger_train--suburban</t>
  </si>
  <si>
    <t>cf_passenger_train--town</t>
  </si>
  <si>
    <t>cf_passenger_train--rural</t>
  </si>
  <si>
    <t>vehicle-km_per_capita_rail_freight</t>
  </si>
  <si>
    <t>ef_diesel_rail_freight</t>
  </si>
  <si>
    <t>energy_consumption_electric_rail_freight</t>
  </si>
  <si>
    <t>share_of_electric_engines_rail_freight</t>
  </si>
  <si>
    <t>annual_change_rail_freight--2021-30</t>
  </si>
  <si>
    <t>annual_change_rail_freight--2031-40</t>
  </si>
  <si>
    <t>annual_change_rail_freight--2041-50</t>
  </si>
  <si>
    <t>cf_rail_freight--metropolitan</t>
  </si>
  <si>
    <t>cf_rail_freight--city</t>
  </si>
  <si>
    <t>cf_rail_freight--suburban</t>
  </si>
  <si>
    <t>cf_rail_freight--town</t>
  </si>
  <si>
    <t>cf_rail_freight--rural</t>
  </si>
  <si>
    <t>average_load_rail_freight</t>
  </si>
  <si>
    <t>vehicle-km_per_capita_road_freight</t>
  </si>
  <si>
    <t>road_transport_emission_factor</t>
  </si>
  <si>
    <t>annual_change_road_freight--2021-30</t>
  </si>
  <si>
    <t>annual_change_road_freight--2031-40</t>
  </si>
  <si>
    <t>annual_change_road_freight--2041-50</t>
  </si>
  <si>
    <t>cf_road_freight--metropolitan</t>
  </si>
  <si>
    <t>cf_road_freight--city</t>
  </si>
  <si>
    <t>cf_road_freight--suburban</t>
  </si>
  <si>
    <t>cf_road_freight--town</t>
  </si>
  <si>
    <t>cf_road_freight--rural</t>
  </si>
  <si>
    <t>propulsion_share_road_freight--petrol_including_hybrids</t>
  </si>
  <si>
    <t>propulsion_share_road_freight--lpg</t>
  </si>
  <si>
    <t>propulsion_share_road_freight--diesel_including_hybrids</t>
  </si>
  <si>
    <t>propulsion_share_road_freight--natural_gas</t>
  </si>
  <si>
    <t>propulsion_share_road_freight--electricity</t>
  </si>
  <si>
    <t>propulsion_share_road_freight--alternative_energy</t>
  </si>
  <si>
    <t>propulsion_share_road_freight--bioethanol</t>
  </si>
  <si>
    <t>propulsion_share_road_freight--biodiesel</t>
  </si>
  <si>
    <t>propulsion_share_road_freight--cng</t>
  </si>
  <si>
    <t>ef_street_driving_road_freight--petrol_including_hybrids</t>
  </si>
  <si>
    <t>ef_street_driving_road_freight--lpg</t>
  </si>
  <si>
    <t>ef_street_driving_road_freight--diesel_including_hybrids</t>
  </si>
  <si>
    <t>ef_street_driving_road_freight--natural_gas</t>
  </si>
  <si>
    <t>ef_street_driving_road_freight--electricity</t>
  </si>
  <si>
    <t>ef_street_driving_road_freight--alternative_energy</t>
  </si>
  <si>
    <t>ef_street_driving_road_freight--bioethanol</t>
  </si>
  <si>
    <t>ef_street_driving_road_freight--biodiesel</t>
  </si>
  <si>
    <t>ef_street_driving_road_freight--cng</t>
  </si>
  <si>
    <t>ef_road_driving_road_freight--petrol_including_hybrids</t>
  </si>
  <si>
    <t>ef_road_driving_road_freight--lpg</t>
  </si>
  <si>
    <t>ef_road_driving_road_freight--diesel_including_hybrids</t>
  </si>
  <si>
    <t>ef_road_driving_road_freight--natural_gas</t>
  </si>
  <si>
    <t>ef_road_driving_road_freight--electricity</t>
  </si>
  <si>
    <t>ef_road_driving_road_freight--alternative_energy</t>
  </si>
  <si>
    <t>ef_road_driving_road_freight--bioethanol</t>
  </si>
  <si>
    <t>ef_road_driving_road_freight--biodiesel</t>
  </si>
  <si>
    <t>ef_road_driving_road_freight--cng</t>
  </si>
  <si>
    <t>share_road_driving_road_freight--metropolitan_center</t>
  </si>
  <si>
    <t>share_road_driving_road_freight--urban</t>
  </si>
  <si>
    <t>share_road_driving_road_freight--suburban</t>
  </si>
  <si>
    <t>share_road_driving_road_freight--town</t>
  </si>
  <si>
    <t>share_road_driving_road_freight--rural</t>
  </si>
  <si>
    <t>average_load_road_freight</t>
  </si>
  <si>
    <t>vehicle-km_per_capita_waterways_transport</t>
  </si>
  <si>
    <t>ef_inland_waterways</t>
  </si>
  <si>
    <t>annual_change_waterways_transport--2021-30</t>
  </si>
  <si>
    <t>annual_change_waterways_transport--2031-40</t>
  </si>
  <si>
    <t>annual_change_waterways_transport--2041-50</t>
  </si>
  <si>
    <t>cf_waterways_transport--metropolitan</t>
  </si>
  <si>
    <t>cf_waterways_transport--city</t>
  </si>
  <si>
    <t>cf_waterways_transport--suburban</t>
  </si>
  <si>
    <t>cf_waterways_transport--town</t>
  </si>
  <si>
    <t>cf_waterways_transport--rural</t>
  </si>
  <si>
    <t>average_load_inland_waterways</t>
  </si>
  <si>
    <t>country_land_area</t>
  </si>
  <si>
    <t>factor_inclusion</t>
  </si>
  <si>
    <t>menu_options_inland_waterways_intensity--1</t>
  </si>
  <si>
    <t>menu_options_inland_waterways_intensity--2</t>
  </si>
  <si>
    <t>menu_options_inland_waterways_intensity--3</t>
  </si>
  <si>
    <t>menu_options_inland_waterways_intensity--4</t>
  </si>
  <si>
    <t>non-residental_passenger_transport_on_road--none</t>
  </si>
  <si>
    <t>non-residental_passenger_transport_on_road--low_intensity</t>
  </si>
  <si>
    <t>non-residental_passenger_transport_on_road--average_intensity</t>
  </si>
  <si>
    <t>non-residental_passenger_transport_on_road--high_intensity</t>
  </si>
  <si>
    <t>freight_transport_by_road--none</t>
  </si>
  <si>
    <t>freight_transport_by_road--low_intensity</t>
  </si>
  <si>
    <t>freight_transport_by_road--average_intensity</t>
  </si>
  <si>
    <t>freight_transport_by_road--high_intensity</t>
  </si>
  <si>
    <t>freight_transport_by_rail--none</t>
  </si>
  <si>
    <t>freight_transport_by_rail--low_intensity</t>
  </si>
  <si>
    <t>freight_transport_by_rail--average_intensity</t>
  </si>
  <si>
    <t>freight_transport_by_rail--high_intensity</t>
  </si>
  <si>
    <t>freight_transport_by_inland_waterways--none</t>
  </si>
  <si>
    <t>freight_transport_by_inland_waterways--low_intensity</t>
  </si>
  <si>
    <t>freight_transport_by_inland_waterways--average_intensity</t>
  </si>
  <si>
    <t>freight_transport_by_inland_waterways--high_intensity</t>
  </si>
  <si>
    <t>annual_change_vehicle_efficiency--2021-30</t>
  </si>
  <si>
    <t>annual_change_vehicle_efficiency--2031-40</t>
  </si>
  <si>
    <t>annual_change_vehicle_efficiency--2041-50</t>
  </si>
  <si>
    <t>land_use_baseline_forestland_annual_change--2021-30</t>
  </si>
  <si>
    <t>land_use_baseline_forestland_annual_change--2031-40</t>
  </si>
  <si>
    <t>land_use_baseline_forestland_annual_change--2041-50</t>
  </si>
  <si>
    <t>land_use_baseline_cropland_annual_change--2021-30</t>
  </si>
  <si>
    <t>land_use_baseline_cropland_annual_change--2031-40</t>
  </si>
  <si>
    <t>land_use_baseline_cropland_annual_change--2041-50</t>
  </si>
  <si>
    <t>land_use_baseline_grassland_annual_change--2021-30</t>
  </si>
  <si>
    <t>land_use_baseline_grassland_annual_change--2031-40</t>
  </si>
  <si>
    <t>land_use_baseline_grassland_annual_change--2041-50</t>
  </si>
  <si>
    <t>land_use_baseline_wetlands_annual_change--2021-30</t>
  </si>
  <si>
    <t>land_use_baseline_wetlands_annual_change--2031-40</t>
  </si>
  <si>
    <t>land_use_baseline_wetlands_annual_change--2041-50</t>
  </si>
  <si>
    <t>land_use_baseline_settlements_annual_change--2021-30</t>
  </si>
  <si>
    <t>land_use_baseline_settlements_annual_change--2031-40</t>
  </si>
  <si>
    <t>land_use_baseline_settlements_annual_change--2041-50</t>
  </si>
  <si>
    <t>land_use_baseline_other_land_annual_change--2021-30</t>
  </si>
  <si>
    <t>land_use_baseline_other_land_annual_change--2031-40</t>
  </si>
  <si>
    <t>land_use_baseline_other_land_annual_change--2041-50</t>
  </si>
  <si>
    <t>cropland_to_forestland--aboveground_biomass</t>
  </si>
  <si>
    <t>cropland_to_forestland--belowground_biomass</t>
  </si>
  <si>
    <t>cropland_to_forestland--dead_wood</t>
  </si>
  <si>
    <t>cropland_to_forestland--litter</t>
  </si>
  <si>
    <t>cropland_to_forestland--mineral_soil</t>
  </si>
  <si>
    <t>cropland_to_forestland--organic_soil</t>
  </si>
  <si>
    <t>grassland_to_forestland--aboveground_biomass</t>
  </si>
  <si>
    <t>grassland_to_forestland--belowground_biomass</t>
  </si>
  <si>
    <t>grassland_to_forestland--dead_wood</t>
  </si>
  <si>
    <t>grassland_to_forestland--litter</t>
  </si>
  <si>
    <t>grassland_to_forestland--mineral_soil</t>
  </si>
  <si>
    <t>grassland_to_forestland--organic_soil</t>
  </si>
  <si>
    <t>wetland_to_forestland--aboveground_biomass</t>
  </si>
  <si>
    <t>wetland_to_forestland--belowground_biomass</t>
  </si>
  <si>
    <t>wetland_to_forestland--dead_wood</t>
  </si>
  <si>
    <t>wetland_to_forestland--litter</t>
  </si>
  <si>
    <t>wetland_to_forestland--mineral_soil</t>
  </si>
  <si>
    <t>wetland_to_forestland--organic_soil</t>
  </si>
  <si>
    <t>settlement_to_forestland--aboveground_biomass</t>
  </si>
  <si>
    <t>settlement_to_forestland--belowground_biomass</t>
  </si>
  <si>
    <t>settlement_to_forestland--dead_wood</t>
  </si>
  <si>
    <t>settlement_to_forestland--litter</t>
  </si>
  <si>
    <t>settlement_to_forestland--mineral_soil</t>
  </si>
  <si>
    <t>settlement_to_forestland--organic_soil</t>
  </si>
  <si>
    <t>otherland_to_forestland--aboveground_biomass</t>
  </si>
  <si>
    <t>otherland_to_forestland--belowground_biomass</t>
  </si>
  <si>
    <t>otherland_to_forestland--dead_wood</t>
  </si>
  <si>
    <t>otherland_to_forestland--litter</t>
  </si>
  <si>
    <t>otherland_to_forestland--mineral_soil</t>
  </si>
  <si>
    <t>otherland_to_forestland--organic_soil</t>
  </si>
  <si>
    <t>forestland_to_cropland--aboveground_biomass</t>
  </si>
  <si>
    <t>forestland_to_cropland--belowground_biomass</t>
  </si>
  <si>
    <t>forestland_to_cropland--dead_wood</t>
  </si>
  <si>
    <t>forestland_to_cropland--litter</t>
  </si>
  <si>
    <t>forestland_to_cropland--mineral_soil</t>
  </si>
  <si>
    <t>forestland_to_cropland--organic_soil</t>
  </si>
  <si>
    <t>grassland_to_cropland--aboveground_biomass</t>
  </si>
  <si>
    <t>grassland_to_cropland--belowground_biomass</t>
  </si>
  <si>
    <t>grassland_to_cropland--dead_wood</t>
  </si>
  <si>
    <t>grassland_to_cropland--litter</t>
  </si>
  <si>
    <t>grassland_to_cropland--mineral_soil</t>
  </si>
  <si>
    <t>grassland_to_cropland--organic_soil</t>
  </si>
  <si>
    <t>wetland_to_cropland--aboveground_biomass</t>
  </si>
  <si>
    <t>wetland_to_cropland--belowground_biomass</t>
  </si>
  <si>
    <t>wetland_to_cropland--dead_wood</t>
  </si>
  <si>
    <t>wetland_to_cropland--litter</t>
  </si>
  <si>
    <t>wetland_to_cropland--mineral_soil</t>
  </si>
  <si>
    <t>wetland_to_cropland--organic_soil</t>
  </si>
  <si>
    <t>settlement_to_cropland--aboveground_biomass</t>
  </si>
  <si>
    <t>settlement_to_cropland--belowground_biomass</t>
  </si>
  <si>
    <t>settlement_to_cropland--dead_wood</t>
  </si>
  <si>
    <t>settlement_to_cropland--litter</t>
  </si>
  <si>
    <t>settlement_to_cropland--mineral_soil</t>
  </si>
  <si>
    <t>settlement_to_cropland--organic_soil</t>
  </si>
  <si>
    <t>otherland_to_cropland--aboveground_biomass</t>
  </si>
  <si>
    <t>otherland_to_cropland--belowground_biomass</t>
  </si>
  <si>
    <t>otherland_to_cropland--dead_wood</t>
  </si>
  <si>
    <t>otherland_to_cropland--litter</t>
  </si>
  <si>
    <t>otherland_to_cropland--mineral_soil</t>
  </si>
  <si>
    <t>otherland_to_cropland--organic_soil</t>
  </si>
  <si>
    <t>forestland_to_grassland--aboveground_biomass</t>
  </si>
  <si>
    <t>forestland_to_grassland--belowground_biomass</t>
  </si>
  <si>
    <t>forestland_to_grassland--dead_wood</t>
  </si>
  <si>
    <t>forestland_to_grassland--litter</t>
  </si>
  <si>
    <t>forestland_to_grassland--mineral_soil</t>
  </si>
  <si>
    <t>forestland_to_grassland--organic_soil</t>
  </si>
  <si>
    <t>cropland_to_grassland--aboveground_biomass</t>
  </si>
  <si>
    <t>cropland_to_grassland--belowground_biomass</t>
  </si>
  <si>
    <t>cropland_to_grassland--dead_wood</t>
  </si>
  <si>
    <t>cropland_to_grassland--litter</t>
  </si>
  <si>
    <t>cropland_to_grassland--mineral_soil</t>
  </si>
  <si>
    <t>cropland_to_grassland--organic_soil</t>
  </si>
  <si>
    <t>wetland_to_grassland--aboveground_biomass</t>
  </si>
  <si>
    <t>wetland_to_grassland--belowground_biomass</t>
  </si>
  <si>
    <t>wetland_to_grassland--dead_wood</t>
  </si>
  <si>
    <t>wetland_to_grassland--litter</t>
  </si>
  <si>
    <t>wetland_to_grassland--mineral_soil</t>
  </si>
  <si>
    <t>wetland_to_grassland--organic_soil</t>
  </si>
  <si>
    <t>settlement_to_grassland--aboveground_biomass</t>
  </si>
  <si>
    <t>settlement_to_grassland--belowground_biomass</t>
  </si>
  <si>
    <t>settlement_to_grassland--dead_wood</t>
  </si>
  <si>
    <t>settlement_to_grassland--litter</t>
  </si>
  <si>
    <t>settlement_to_grassland--mineral_soil</t>
  </si>
  <si>
    <t>settlement_to_grassland--organic_soil</t>
  </si>
  <si>
    <t>otherland_to_grassland--aboveground_biomass</t>
  </si>
  <si>
    <t>otherland_to_grassland--belowground_biomass</t>
  </si>
  <si>
    <t>otherland_to_grassland--dead_wood</t>
  </si>
  <si>
    <t>otherland_to_grassland--litter</t>
  </si>
  <si>
    <t>otherland_to_grassland--mineral_soil</t>
  </si>
  <si>
    <t>otherland_to_grassland--organic_soil</t>
  </si>
  <si>
    <t>land_to_peat_extraction--aboveground_biomass</t>
  </si>
  <si>
    <t>land_to_peat_extraction--belowground_biomass</t>
  </si>
  <si>
    <t>land_to_peat_extraction--dead_wood</t>
  </si>
  <si>
    <t>land_to_peat_extraction--litter</t>
  </si>
  <si>
    <t>land_to_peat_extraction--mineral_soil</t>
  </si>
  <si>
    <t>land_to_peat_extraction--organic_soil</t>
  </si>
  <si>
    <t>peatland_restoration--aboveground_biomass</t>
  </si>
  <si>
    <t>peatland_restoration--belowground_biomass</t>
  </si>
  <si>
    <t>peatland_restoration--dead_wood</t>
  </si>
  <si>
    <t>peatland_restoration--litter</t>
  </si>
  <si>
    <t>peatland_restoration--mineral_soil</t>
  </si>
  <si>
    <t>peatland_restoration--organic_soil</t>
  </si>
  <si>
    <t>forestland_to_other_wetland--aboveground_biomass</t>
  </si>
  <si>
    <t>forestland_to_other_wetland--belowground_biomass</t>
  </si>
  <si>
    <t>forestland_to_other_wetland--dead_wood</t>
  </si>
  <si>
    <t>forestland_to_other_wetland--litter</t>
  </si>
  <si>
    <t>forestland_to_other_wetland--mineral_soil</t>
  </si>
  <si>
    <t>forestland_to_other_wetland--organic_soil</t>
  </si>
  <si>
    <t>cropland_to_other_wetland--aboveground_biomass</t>
  </si>
  <si>
    <t>cropland_to_other_wetland--belowground_biomass</t>
  </si>
  <si>
    <t>cropland_to_other_wetland--dead_wood</t>
  </si>
  <si>
    <t>cropland_to_other_wetland--litter</t>
  </si>
  <si>
    <t>cropland_to_other_wetland--mineral_soil</t>
  </si>
  <si>
    <t>cropland_to_other_wetland--organic_soil</t>
  </si>
  <si>
    <t>grassland_to_other_wetland--aboveground_biomass</t>
  </si>
  <si>
    <t>grassland_to_other_wetland--belowground_biomass</t>
  </si>
  <si>
    <t>grassland_to_other_wetland--dead_wood</t>
  </si>
  <si>
    <t>grassland_to_other_wetland--litter</t>
  </si>
  <si>
    <t>grassland_to_other_wetland--mineral_soil</t>
  </si>
  <si>
    <t>grassland_to_other_wetland--organic_soil</t>
  </si>
  <si>
    <t>forestland_to_settlement--aboveground_biomass</t>
  </si>
  <si>
    <t>forestland_to_settlement--belowground_biomass</t>
  </si>
  <si>
    <t>forestland_to_settlement--dead_wood</t>
  </si>
  <si>
    <t>forestland_to_settlement--litter</t>
  </si>
  <si>
    <t>forestland_to_settlement--mineral_soil</t>
  </si>
  <si>
    <t>forestland_to_settlement--organic_soil</t>
  </si>
  <si>
    <t>cropland_to_settlement--aboveground_biomass</t>
  </si>
  <si>
    <t>cropland_to_settlement--belowground_biomass</t>
  </si>
  <si>
    <t>cropland_to_settlement--dead_wood</t>
  </si>
  <si>
    <t>cropland_to_settlement--litter</t>
  </si>
  <si>
    <t>cropland_to_settlement--mineral_soil</t>
  </si>
  <si>
    <t>cropland_to_settlement--organic_soil</t>
  </si>
  <si>
    <t>grassland_to_settlement--aboveground_biomass</t>
  </si>
  <si>
    <t>grassland_to_settlement--belowground_biomass</t>
  </si>
  <si>
    <t>grassland_to_settlement--dead_wood</t>
  </si>
  <si>
    <t>grassland_to_settlement--litter</t>
  </si>
  <si>
    <t>grassland_to_settlement--mineral_soil</t>
  </si>
  <si>
    <t>grassland_to_settlement--organic_soil</t>
  </si>
  <si>
    <t>wetland_to_settlement--aboveground_biomass</t>
  </si>
  <si>
    <t>wetland_to_settlement--belowground_biomass</t>
  </si>
  <si>
    <t>wetland_to_settlement--dead_wood</t>
  </si>
  <si>
    <t>wetland_to_settlement--litter</t>
  </si>
  <si>
    <t>wetland_to_settlement--mineral_soil</t>
  </si>
  <si>
    <t>wetland_to_settlement--organic_soil</t>
  </si>
  <si>
    <t>otherland_to_settlement--aboveground_biomass</t>
  </si>
  <si>
    <t>otherland_to_settlement--belowground_biomass</t>
  </si>
  <si>
    <t>otherland_to_settlement--dead_wood</t>
  </si>
  <si>
    <t>otherland_to_settlement--litter</t>
  </si>
  <si>
    <t>otherland_to_settlement--mineral_soil</t>
  </si>
  <si>
    <t>otherland_to_settlement--organic_soil</t>
  </si>
  <si>
    <t>forestland_to_otherland--aboveground_biomass</t>
  </si>
  <si>
    <t>forestland_to_otherland--belowground_biomass</t>
  </si>
  <si>
    <t>forestland_to_otherland--dead_wood</t>
  </si>
  <si>
    <t>forestland_to_otherland--litter</t>
  </si>
  <si>
    <t>forestland_to_otherland--mineral_soil</t>
  </si>
  <si>
    <t>forestland_to_otherland--organic_soil</t>
  </si>
  <si>
    <t>cropland_to_otherland--aboveground_biomass</t>
  </si>
  <si>
    <t>cropland_to_otherland--belowground_biomass</t>
  </si>
  <si>
    <t>cropland_to_otherland--dead_wood</t>
  </si>
  <si>
    <t>cropland_to_otherland--litter</t>
  </si>
  <si>
    <t>cropland_to_otherland--mineral_soil</t>
  </si>
  <si>
    <t>cropland_to_otherland--organic_soil</t>
  </si>
  <si>
    <t>grassland_to_otherland--aboveground_biomass</t>
  </si>
  <si>
    <t>grassland_to_otherland--belowground_biomass</t>
  </si>
  <si>
    <t>grassland_to_otherland--dead_wood</t>
  </si>
  <si>
    <t>grassland_to_otherland--litter</t>
  </si>
  <si>
    <t>grassland_to_otherland--mineral_soil</t>
  </si>
  <si>
    <t>grassland_to_otherland--organic_soil</t>
  </si>
  <si>
    <t>wetland_to_otherland--aboveground_biomass</t>
  </si>
  <si>
    <t>wetland_to_otherland--belowground_biomass</t>
  </si>
  <si>
    <t>wetland_to_otherland--dead_wood</t>
  </si>
  <si>
    <t>wetland_to_otherland--litter</t>
  </si>
  <si>
    <t>wetland_to_otherland--mineral_soil</t>
  </si>
  <si>
    <t>wetland_to_otherland--organic_soil</t>
  </si>
  <si>
    <t>settlement_to_otherland--aboveground_biomass</t>
  </si>
  <si>
    <t>settlement_to_otherland--belowground_biomass</t>
  </si>
  <si>
    <t>settlement_to_otherland--dead_wood</t>
  </si>
  <si>
    <t>settlement_to_otherland--litter</t>
  </si>
  <si>
    <t>settlement_to_otherland--mineral_soil</t>
  </si>
  <si>
    <t>settlement_to_otherland--organic_soil</t>
  </si>
  <si>
    <t>forestland_remaining_forestland--aboveground_biomass</t>
  </si>
  <si>
    <t>forestland_remaining_forestland--belowground_biomass</t>
  </si>
  <si>
    <t>forestland_remaining_forestland--dead_wood</t>
  </si>
  <si>
    <t>forestland_remaining_forestland--litter</t>
  </si>
  <si>
    <t>forestland_remaining_forestland--mineral_soil</t>
  </si>
  <si>
    <t>forestland_remaining_forestland--organic_soil</t>
  </si>
  <si>
    <t>cropland_remaining_cropland--aboveground_biomass</t>
  </si>
  <si>
    <t>cropland_remaining_cropland--belowground_biomass</t>
  </si>
  <si>
    <t>cropland_remaining_cropland--dead_wood</t>
  </si>
  <si>
    <t>cropland_remaining_cropland--litter</t>
  </si>
  <si>
    <t>cropland_remaining_cropland--mineral_soil</t>
  </si>
  <si>
    <t>cropland_remaining_cropland--organic_soil</t>
  </si>
  <si>
    <t>grassland_remaining_grassland--aboveground_biomass</t>
  </si>
  <si>
    <t>grassland_remaining_grassland--belowground_biomass</t>
  </si>
  <si>
    <t>grassland_remaining_grassland--dead_wood</t>
  </si>
  <si>
    <t>grassland_remaining_grassland--litter</t>
  </si>
  <si>
    <t>grassland_remaining_grassland--mineral_soil</t>
  </si>
  <si>
    <t>grassland_remaining_grassland--organic_soil</t>
  </si>
  <si>
    <t>peat_extraction_remaining_peat_extraction--aboveground_biomass</t>
  </si>
  <si>
    <t>peat_extraction_remaining_peat_extraction--belowground_biomass</t>
  </si>
  <si>
    <t>peat_extraction_remaining_peat_extraction--dead_wood</t>
  </si>
  <si>
    <t>peat_extraction_remaining_peat_extraction--litter</t>
  </si>
  <si>
    <t>peat_extraction_remaining_peat_extraction--mineral_soil</t>
  </si>
  <si>
    <t>peat_extraction_remaining_peat_extraction--organic_soil</t>
  </si>
  <si>
    <t>wetland_remaining_wetland--aboveground_biomass</t>
  </si>
  <si>
    <t>wetland_remaining_wetland--belowground_biomass</t>
  </si>
  <si>
    <t>wetland_remaining_wetland--dead_wood</t>
  </si>
  <si>
    <t>wetland_remaining_wetland--litter</t>
  </si>
  <si>
    <t>wetland_remaining_wetland--mineral_soil</t>
  </si>
  <si>
    <t>wetland_remaining_wetland--organic_soil</t>
  </si>
  <si>
    <t>settlement_remaining_settlement--aboveground_biomass</t>
  </si>
  <si>
    <t>settlement_remaining_settlement--belowground_biomass</t>
  </si>
  <si>
    <t>settlement_remaining_settlement--dead_wood</t>
  </si>
  <si>
    <t>settlement_remaining_settlement--litter</t>
  </si>
  <si>
    <t>settlement_remaining_settlement--mineral_soil</t>
  </si>
  <si>
    <t>settlement_remaining_settlement--organic_soil</t>
  </si>
  <si>
    <t>emission_factor_for_energy_carrier--gas</t>
  </si>
  <si>
    <t>emission_factor_for_energy_carrier--oil</t>
  </si>
  <si>
    <t>emission_factor_for_energy_carrier--coal</t>
  </si>
  <si>
    <t>emission_factor_for_energy_carrier--peat</t>
  </si>
  <si>
    <t>emission_factor_for_energy_carrier--wood</t>
  </si>
  <si>
    <t>emission_factor_for_energy_carrier--renewable</t>
  </si>
  <si>
    <t>emission_factor_for_energy_carrier--district_heating</t>
  </si>
  <si>
    <t>annual_demolition_rate_of_residential_buildings--2021-30</t>
  </si>
  <si>
    <t>annual_demolition_rate_of_residential_buildings--2031-40</t>
  </si>
  <si>
    <t>annual_demolition_rate_of_residential_buildings--2041-50</t>
  </si>
  <si>
    <t>annual_demolition_of_commercial_buildings--2021-30</t>
  </si>
  <si>
    <t>annual_demolition_of_commercial_buildings--2031-40</t>
  </si>
  <si>
    <t>annual_demolition_of_commercial_buildings--2041-50</t>
  </si>
  <si>
    <t>annual_increase_a-class_apartments--2021-30</t>
  </si>
  <si>
    <t>annual_increase_a-class_apartments--2031-40</t>
  </si>
  <si>
    <t>annual_increase_a-class_apartments--2041-50</t>
  </si>
  <si>
    <t>annual_increase_b-class_apartments--2021-30</t>
  </si>
  <si>
    <t>annual_increase_b-class_apartments--2031-40</t>
  </si>
  <si>
    <t>annual_increase_b-class_apartments--2041-50</t>
  </si>
  <si>
    <t>annual_increase_a-class_terraced_units--2021-30</t>
  </si>
  <si>
    <t>annual_increase_a-class_terraced_units--2031-40</t>
  </si>
  <si>
    <t>annual_increase_a-class_terraced_units--2041-50</t>
  </si>
  <si>
    <t>annual_increase_b-class_terraced_units--2021-30</t>
  </si>
  <si>
    <t>annual_increase_b-class_terraced_units--2031-40</t>
  </si>
  <si>
    <t>annual_increase_b-class_terraced_units--2041-50</t>
  </si>
  <si>
    <t>annual_increase_a-class_semi-detached_units--2021-30</t>
  </si>
  <si>
    <t>annual_increase_a-class_semi-detached_units--2031-40</t>
  </si>
  <si>
    <t>annual_increase_a-class_semi-detached_units--2041-50</t>
  </si>
  <si>
    <t>annual_increase_b-class_semi-detached_units--2021-30</t>
  </si>
  <si>
    <t>annual_increase_b-class_semi-detached_units--2031-40</t>
  </si>
  <si>
    <t>annual_increase_b-class_semi-detached_units--2041-50</t>
  </si>
  <si>
    <t>annual_increase_a-class_detached_units--2021-30</t>
  </si>
  <si>
    <t>annual_increase_a-class_detached_units--2031-40</t>
  </si>
  <si>
    <t>annual_increase_a-class_detached_units--2041-50</t>
  </si>
  <si>
    <t>annual_increase_b-class_detached_units--2021-30</t>
  </si>
  <si>
    <t>annual_increase_b-class_detached_units--2031-40</t>
  </si>
  <si>
    <t>annual_increase_b-class_detached_units--2041-50</t>
  </si>
  <si>
    <t>annual_increase_commercial_buildings--2021-30</t>
  </si>
  <si>
    <t>annual_increase_commercial_buildings--2031-40</t>
  </si>
  <si>
    <t>annual_increase_commercial_buildings--2041-50</t>
  </si>
  <si>
    <t>floor_area_per_residential_unit--average</t>
  </si>
  <si>
    <t>floor_area_per_residential_unit--apartment</t>
  </si>
  <si>
    <t>floor_area_per_residential_unit--terraced</t>
  </si>
  <si>
    <t>floor_area_per_residential_unit--semi-detached</t>
  </si>
  <si>
    <t>floor_area_per_residential_unit--detached</t>
  </si>
  <si>
    <t>average_total_energy_use--all_residential</t>
  </si>
  <si>
    <t>end_use_of_energy_residential_buildings--space_heating</t>
  </si>
  <si>
    <t>end_use_of_energy_residential_buildings--water_heating</t>
  </si>
  <si>
    <t>end_use_of_energy_residential_buildings--lights_&amp;_appliances</t>
  </si>
  <si>
    <t>end_use_of_energy_residential_buildings--pumps_&amp;_fans</t>
  </si>
  <si>
    <t>a-rated_apartment--electricity</t>
  </si>
  <si>
    <t>a-rated_apartment--gas</t>
  </si>
  <si>
    <t>a-rated_apartment--oil</t>
  </si>
  <si>
    <t>a-rated_apartment--coal</t>
  </si>
  <si>
    <t>a-rated_apartment--peat</t>
  </si>
  <si>
    <t>a-rated_apartment--wood</t>
  </si>
  <si>
    <t>a-rated_apartment--renewable</t>
  </si>
  <si>
    <t>a-rated_apartment--heat</t>
  </si>
  <si>
    <t>a-rated_terraced--electricity</t>
  </si>
  <si>
    <t>a-rated_terraced--gas</t>
  </si>
  <si>
    <t>a-rated_terraced--oil</t>
  </si>
  <si>
    <t>a-rated_terraced--coal</t>
  </si>
  <si>
    <t>a-rated_terraced--peat</t>
  </si>
  <si>
    <t>a-rated_terraced--wood</t>
  </si>
  <si>
    <t>a-rated_terraced--renewable</t>
  </si>
  <si>
    <t>a-rated_terraced--heat</t>
  </si>
  <si>
    <t>a-rated_semi-detached--electricity</t>
  </si>
  <si>
    <t>a-rated_semi-detached--gas</t>
  </si>
  <si>
    <t>a-rated_semi-detached--oil</t>
  </si>
  <si>
    <t>a-rated_semi-detached--coal</t>
  </si>
  <si>
    <t>a-rated_semi-detached--peat</t>
  </si>
  <si>
    <t>a-rated_semi-detached--wood</t>
  </si>
  <si>
    <t>a-rated_semi-detached--renewable</t>
  </si>
  <si>
    <t>a-rated_semi-detached--heat</t>
  </si>
  <si>
    <t>a-rated_detached--electricity</t>
  </si>
  <si>
    <t>a-rated_detached--gas</t>
  </si>
  <si>
    <t>a-rated_detached--oil</t>
  </si>
  <si>
    <t>a-rated_detached--coal</t>
  </si>
  <si>
    <t>a-rated_detached--peat</t>
  </si>
  <si>
    <t>a-rated_detached--wood</t>
  </si>
  <si>
    <t>a-rated_detached--renewable</t>
  </si>
  <si>
    <t>a-rated_detached--heat</t>
  </si>
  <si>
    <t>b-rated_apartment--electricity</t>
  </si>
  <si>
    <t>b-rated_apartment--gas</t>
  </si>
  <si>
    <t>b-rated_apartment--oil</t>
  </si>
  <si>
    <t>b-rated_apartment--coal</t>
  </si>
  <si>
    <t>b-rated_apartment--peat</t>
  </si>
  <si>
    <t>b-rated_apartment--wood</t>
  </si>
  <si>
    <t>b-rated_apartment--renewable</t>
  </si>
  <si>
    <t>b-rated_apartment--heat</t>
  </si>
  <si>
    <t>b-rated_terraced--electricity</t>
  </si>
  <si>
    <t>b-rated_terraced--gas</t>
  </si>
  <si>
    <t>b-rated_terraced--oil</t>
  </si>
  <si>
    <t>b-rated_terraced--coal</t>
  </si>
  <si>
    <t>b-rated_terraced--peat</t>
  </si>
  <si>
    <t>b-rated_terraced--wood</t>
  </si>
  <si>
    <t>b-rated_terraced--renewable</t>
  </si>
  <si>
    <t>b-rated_terraced--heat</t>
  </si>
  <si>
    <t>b-rated_semi-detached--electricity</t>
  </si>
  <si>
    <t>b-rated_semi-detached--gas</t>
  </si>
  <si>
    <t>b-rated_semi-detached--oil</t>
  </si>
  <si>
    <t>b-rated_semi-detached--coal</t>
  </si>
  <si>
    <t>b-rated_semi-detached--peat</t>
  </si>
  <si>
    <t>b-rated_semi-detached--wood</t>
  </si>
  <si>
    <t>b-rated_semi-detached--renewable</t>
  </si>
  <si>
    <t>b-rated_semi-detached--heat</t>
  </si>
  <si>
    <t>b-rated_detached--electricity</t>
  </si>
  <si>
    <t>b-rated_detached--gas</t>
  </si>
  <si>
    <t>b-rated_detached--oil</t>
  </si>
  <si>
    <t>b-rated_detached--coal</t>
  </si>
  <si>
    <t>b-rated_detached--peat</t>
  </si>
  <si>
    <t>b-rated_detached--wood</t>
  </si>
  <si>
    <t>b-rated_detached--renewable</t>
  </si>
  <si>
    <t>b-rated_detached--heat</t>
  </si>
  <si>
    <t>c-rated_apartment--electricity</t>
  </si>
  <si>
    <t>c-rated_apartment--gas</t>
  </si>
  <si>
    <t>c-rated_apartment--oil</t>
  </si>
  <si>
    <t>c-rated_apartment--coal</t>
  </si>
  <si>
    <t>c-rated_apartment--peat</t>
  </si>
  <si>
    <t>c-rated_apartment--wood</t>
  </si>
  <si>
    <t>c-rated_apartment--renewable</t>
  </si>
  <si>
    <t>c-rated_apartment--heat</t>
  </si>
  <si>
    <t>c-rated_terraced--electricity</t>
  </si>
  <si>
    <t>c-rated_terraced--gas</t>
  </si>
  <si>
    <t>c-rated_terraced--oil</t>
  </si>
  <si>
    <t>c-rated_terraced--coal</t>
  </si>
  <si>
    <t>c-rated_terraced--peat</t>
  </si>
  <si>
    <t>c-rated_terraced--wood</t>
  </si>
  <si>
    <t>c-rated_terraced--renewable</t>
  </si>
  <si>
    <t>c-rated_terraced--heat</t>
  </si>
  <si>
    <t>c-rated_semi-detached--electricity</t>
  </si>
  <si>
    <t>c-rated_semi-detached--gas</t>
  </si>
  <si>
    <t>c-rated_semi-detached--oil</t>
  </si>
  <si>
    <t>c-rated_semi-detached--coal</t>
  </si>
  <si>
    <t>c-rated_semi-detached--peat</t>
  </si>
  <si>
    <t>c-rated_semi-detached--wood</t>
  </si>
  <si>
    <t>c-rated_semi-detached--renewable</t>
  </si>
  <si>
    <t>c-rated_semi-detached--heat</t>
  </si>
  <si>
    <t>c-rated_detached--electricity</t>
  </si>
  <si>
    <t>c-rated_detached--gas</t>
  </si>
  <si>
    <t>c-rated_detached--oil</t>
  </si>
  <si>
    <t>c-rated_detached--coal</t>
  </si>
  <si>
    <t>c-rated_detached--peat</t>
  </si>
  <si>
    <t>c-rated_detached--wood</t>
  </si>
  <si>
    <t>c-rated_detached--renewable</t>
  </si>
  <si>
    <t>c-rated_detached--heat</t>
  </si>
  <si>
    <t>d-rated_apartment--electricity</t>
  </si>
  <si>
    <t>d-rated_apartment--gas</t>
  </si>
  <si>
    <t>d-rated_apartment--oil</t>
  </si>
  <si>
    <t>d-rated_apartment--coal</t>
  </si>
  <si>
    <t>d-rated_apartment--peat</t>
  </si>
  <si>
    <t>d-rated_apartment--wood</t>
  </si>
  <si>
    <t>d-rated_apartment--renewable</t>
  </si>
  <si>
    <t>d-rated_apartment--heat</t>
  </si>
  <si>
    <t>d-rated_terraced--electricity</t>
  </si>
  <si>
    <t>d-rated_terraced--gas</t>
  </si>
  <si>
    <t>d-rated_terraced--oil</t>
  </si>
  <si>
    <t>d-rated_terraced--coal</t>
  </si>
  <si>
    <t>d-rated_terraced--peat</t>
  </si>
  <si>
    <t>d-rated_terraced--wood</t>
  </si>
  <si>
    <t>d-rated_terraced--renewable</t>
  </si>
  <si>
    <t>d-rated_terraced--heat</t>
  </si>
  <si>
    <t>d-rated_semi-detached--electricity</t>
  </si>
  <si>
    <t>d-rated_semi-detached--gas</t>
  </si>
  <si>
    <t>d-rated_semi-detached--oil</t>
  </si>
  <si>
    <t>d-rated_semi-detached--coal</t>
  </si>
  <si>
    <t>d-rated_semi-detached--peat</t>
  </si>
  <si>
    <t>d-rated_semi-detached--wood</t>
  </si>
  <si>
    <t>d-rated_semi-detached--renewable</t>
  </si>
  <si>
    <t>d-rated_semi-detached--heat</t>
  </si>
  <si>
    <t>d-rated_detached--electricity</t>
  </si>
  <si>
    <t>d-rated_detached--gas</t>
  </si>
  <si>
    <t>d-rated_detached--oil</t>
  </si>
  <si>
    <t>d-rated_detached--coal</t>
  </si>
  <si>
    <t>d-rated_detached--peat</t>
  </si>
  <si>
    <t>d-rated_detached--wood</t>
  </si>
  <si>
    <t>d-rated_detached--renewable</t>
  </si>
  <si>
    <t>d-rated_detached--heat</t>
  </si>
  <si>
    <t>e-rated_apartment--electricity</t>
  </si>
  <si>
    <t>e-rated_apartment--gas</t>
  </si>
  <si>
    <t>e-rated_apartment--oil</t>
  </si>
  <si>
    <t>e-rated_apartment--coal</t>
  </si>
  <si>
    <t>e-rated_apartment--peat</t>
  </si>
  <si>
    <t>e-rated_apartment--wood</t>
  </si>
  <si>
    <t>e-rated_apartment--renewable</t>
  </si>
  <si>
    <t>e-rated_apartment--heat</t>
  </si>
  <si>
    <t>e-rated_terraced--electricity</t>
  </si>
  <si>
    <t>e-rated_terraced--gas</t>
  </si>
  <si>
    <t>e-rated_terraced--oil</t>
  </si>
  <si>
    <t>e-rated_terraced--coal</t>
  </si>
  <si>
    <t>e-rated_terraced--peat</t>
  </si>
  <si>
    <t>e-rated_terraced--wood</t>
  </si>
  <si>
    <t>e-rated_terraced--renewable</t>
  </si>
  <si>
    <t>e-rated_terraced--heat</t>
  </si>
  <si>
    <t>e-rated_semi-detached--electricity</t>
  </si>
  <si>
    <t>e-rated_semi-detached--gas</t>
  </si>
  <si>
    <t>e-rated_semi-detached--oil</t>
  </si>
  <si>
    <t>e-rated_semi-detached--coal</t>
  </si>
  <si>
    <t>e-rated_semi-detached--peat</t>
  </si>
  <si>
    <t>e-rated_semi-detached--wood</t>
  </si>
  <si>
    <t>e-rated_semi-detached--renewable</t>
  </si>
  <si>
    <t>e-rated_semi-detached--heat</t>
  </si>
  <si>
    <t>e-rated_detached--electricity</t>
  </si>
  <si>
    <t>e-rated_detached--gas</t>
  </si>
  <si>
    <t>e-rated_detached--oil</t>
  </si>
  <si>
    <t>e-rated_detached--coal</t>
  </si>
  <si>
    <t>e-rated_detached--peat</t>
  </si>
  <si>
    <t>e-rated_detached--wood</t>
  </si>
  <si>
    <t>e-rated_detached--renewable</t>
  </si>
  <si>
    <t>e-rated_detached--heat</t>
  </si>
  <si>
    <t>f-rated_apartment--electricity</t>
  </si>
  <si>
    <t>f-rated_apartment--gas</t>
  </si>
  <si>
    <t>f-rated_apartment--oil</t>
  </si>
  <si>
    <t>f-rated_apartment--coal</t>
  </si>
  <si>
    <t>f-rated_apartment--peat</t>
  </si>
  <si>
    <t>f-rated_apartment--wood</t>
  </si>
  <si>
    <t>f-rated_apartment--renewable</t>
  </si>
  <si>
    <t>f-rated_apartment--heat</t>
  </si>
  <si>
    <t>f-rated_terraced--electricity</t>
  </si>
  <si>
    <t>f-rated_terraced--gas</t>
  </si>
  <si>
    <t>f-rated_terraced--oil</t>
  </si>
  <si>
    <t>f-rated_terraced--coal</t>
  </si>
  <si>
    <t>f-rated_terraced--peat</t>
  </si>
  <si>
    <t>f-rated_terraced--wood</t>
  </si>
  <si>
    <t>f-rated_terraced--renewable</t>
  </si>
  <si>
    <t>f-rated_terraced--heat</t>
  </si>
  <si>
    <t>f-rated_semi-detached--electricity</t>
  </si>
  <si>
    <t>f-rated_semi-detached--gas</t>
  </si>
  <si>
    <t>f-rated_semi-detached--oil</t>
  </si>
  <si>
    <t>f-rated_semi-detached--coal</t>
  </si>
  <si>
    <t>f-rated_semi-detached--peat</t>
  </si>
  <si>
    <t>f-rated_semi-detached--wood</t>
  </si>
  <si>
    <t>f-rated_semi-detached--renewable</t>
  </si>
  <si>
    <t>f-rated_semi-detached--heat</t>
  </si>
  <si>
    <t>f-rated_detached--electricity</t>
  </si>
  <si>
    <t>f-rated_detached--gas</t>
  </si>
  <si>
    <t>f-rated_detached--oil</t>
  </si>
  <si>
    <t>f-rated_detached--coal</t>
  </si>
  <si>
    <t>f-rated_detached--peat</t>
  </si>
  <si>
    <t>f-rated_detached--wood</t>
  </si>
  <si>
    <t>f-rated_detached--renewable</t>
  </si>
  <si>
    <t>f-rated_detached--heat</t>
  </si>
  <si>
    <t>g-rated_apartment--electricity</t>
  </si>
  <si>
    <t>g-rated_apartment--gas</t>
  </si>
  <si>
    <t>g-rated_apartment--oil</t>
  </si>
  <si>
    <t>g-rated_apartment--coal</t>
  </si>
  <si>
    <t>g-rated_apartment--peat</t>
  </si>
  <si>
    <t>g-rated_apartment--wood</t>
  </si>
  <si>
    <t>g-rated_apartment--renewable</t>
  </si>
  <si>
    <t>g-rated_apartment--heat</t>
  </si>
  <si>
    <t>g-rated_terraced--electricity</t>
  </si>
  <si>
    <t>g-rated_terraced--gas</t>
  </si>
  <si>
    <t>g-rated_terraced--oil</t>
  </si>
  <si>
    <t>g-rated_terraced--coal</t>
  </si>
  <si>
    <t>g-rated_terraced--peat</t>
  </si>
  <si>
    <t>g-rated_terraced--wood</t>
  </si>
  <si>
    <t>g-rated_terraced--renewable</t>
  </si>
  <si>
    <t>g-rated_terraced--heat</t>
  </si>
  <si>
    <t>g-rated_semi-detached--electricity</t>
  </si>
  <si>
    <t>g-rated_semi-detached--gas</t>
  </si>
  <si>
    <t>g-rated_semi-detached--oil</t>
  </si>
  <si>
    <t>g-rated_semi-detached--coal</t>
  </si>
  <si>
    <t>g-rated_semi-detached--peat</t>
  </si>
  <si>
    <t>g-rated_semi-detached--wood</t>
  </si>
  <si>
    <t>g-rated_semi-detached--renewable</t>
  </si>
  <si>
    <t>g-rated_semi-detached--heat</t>
  </si>
  <si>
    <t>g-rated_detached--electricity</t>
  </si>
  <si>
    <t>g-rated_detached--gas</t>
  </si>
  <si>
    <t>g-rated_detached--oil</t>
  </si>
  <si>
    <t>g-rated_detached--coal</t>
  </si>
  <si>
    <t>g-rated_detached--peat</t>
  </si>
  <si>
    <t>g-rated_detached--wood</t>
  </si>
  <si>
    <t>g-rated_detached--renewable</t>
  </si>
  <si>
    <t>g-rated_detached--heat</t>
  </si>
  <si>
    <t>existing_apartments--electricity</t>
  </si>
  <si>
    <t>existing_apartments--gas</t>
  </si>
  <si>
    <t>existing_apartments--oil</t>
  </si>
  <si>
    <t>existing_apartments--coal</t>
  </si>
  <si>
    <t>existing_apartments--peat</t>
  </si>
  <si>
    <t>existing_apartments--wood</t>
  </si>
  <si>
    <t>existing_apartments--renewable</t>
  </si>
  <si>
    <t>existing_apartments--heat</t>
  </si>
  <si>
    <t>existing_terraced--electricity</t>
  </si>
  <si>
    <t>existing_terraced--gas</t>
  </si>
  <si>
    <t>existing_terraced--oil</t>
  </si>
  <si>
    <t>existing_terraced--coal</t>
  </si>
  <si>
    <t>existing_terraced--peat</t>
  </si>
  <si>
    <t>existing_terraced--wood</t>
  </si>
  <si>
    <t>existing_terraced--renewable</t>
  </si>
  <si>
    <t>existing_terraced--heat</t>
  </si>
  <si>
    <t>existing_semi-detached--electricity</t>
  </si>
  <si>
    <t>existing_semi-detached--gas</t>
  </si>
  <si>
    <t>existing_semi-detached--oil</t>
  </si>
  <si>
    <t>existing_semi-detached--coal</t>
  </si>
  <si>
    <t>existing_semi-detached--peat</t>
  </si>
  <si>
    <t>existing_semi-detached--wood</t>
  </si>
  <si>
    <t>existing_semi-detached--renewable</t>
  </si>
  <si>
    <t>existing_semi-detached--heat</t>
  </si>
  <si>
    <t>existing_detached--electricity</t>
  </si>
  <si>
    <t>existing_detached--gas</t>
  </si>
  <si>
    <t>existing_detached--oil</t>
  </si>
  <si>
    <t>existing_detached--coal</t>
  </si>
  <si>
    <t>existing_detached--peat</t>
  </si>
  <si>
    <t>existing_detached--wood</t>
  </si>
  <si>
    <t>existing_detached--renewable</t>
  </si>
  <si>
    <t>existing_detached--heat</t>
  </si>
  <si>
    <t>ec_exiting_building_retail--electricity</t>
  </si>
  <si>
    <t>ec_exiting_building_retail--gas</t>
  </si>
  <si>
    <t>ec_exiting_building_retail--oil</t>
  </si>
  <si>
    <t>ec_exiting_building_retail--coal</t>
  </si>
  <si>
    <t>ec_exiting_building_retail--peat</t>
  </si>
  <si>
    <t>ec_exiting_building_retail--wood</t>
  </si>
  <si>
    <t>ec_exiting_building_retail--renewable</t>
  </si>
  <si>
    <t>ec_exiting_building_retail--heat</t>
  </si>
  <si>
    <t>ec_exiting_building_health--electricity</t>
  </si>
  <si>
    <t>ec_exiting_building_health--gas</t>
  </si>
  <si>
    <t>ec_exiting_building_health--oil</t>
  </si>
  <si>
    <t>ec_exiting_building_health--coal</t>
  </si>
  <si>
    <t>ec_exiting_building_health--peat</t>
  </si>
  <si>
    <t>ec_exiting_building_health--wood</t>
  </si>
  <si>
    <t>ec_exiting_building_health--renewable</t>
  </si>
  <si>
    <t>ec_exiting_building_health--heat</t>
  </si>
  <si>
    <t>ec_exiting_building_hospitality--electricity</t>
  </si>
  <si>
    <t>ec_exiting_building_hospitality--gas</t>
  </si>
  <si>
    <t>ec_exiting_building_hospitality--oil</t>
  </si>
  <si>
    <t>ec_exiting_building_hospitality--coal</t>
  </si>
  <si>
    <t>ec_exiting_building_hospitality--peat</t>
  </si>
  <si>
    <t>ec_exiting_building_hospitality--wood</t>
  </si>
  <si>
    <t>ec_exiting_building_hospitality--renewable</t>
  </si>
  <si>
    <t>ec_exiting_building_hospitality--heat</t>
  </si>
  <si>
    <t>ec_exiting_building_offices--electricity</t>
  </si>
  <si>
    <t>ec_exiting_building_offices--gas</t>
  </si>
  <si>
    <t>ec_exiting_building_offices--oil</t>
  </si>
  <si>
    <t>ec_exiting_building_offices--coal</t>
  </si>
  <si>
    <t>ec_exiting_building_offices--peat</t>
  </si>
  <si>
    <t>ec_exiting_building_offices--wood</t>
  </si>
  <si>
    <t>ec_exiting_building_offices--renewable</t>
  </si>
  <si>
    <t>ec_exiting_building_offices--heat</t>
  </si>
  <si>
    <t>ec_exiting_building_industrial--electricity</t>
  </si>
  <si>
    <t>ec_exiting_building_industrial--gas</t>
  </si>
  <si>
    <t>ec_exiting_building_industrial--oil</t>
  </si>
  <si>
    <t>ec_exiting_building_industrial--coal</t>
  </si>
  <si>
    <t>ec_exiting_building_industrial--peat</t>
  </si>
  <si>
    <t>ec_exiting_building_industrial--wood</t>
  </si>
  <si>
    <t>ec_exiting_building_industrial--renewable</t>
  </si>
  <si>
    <t>ec_exiting_building_industrial--heat</t>
  </si>
  <si>
    <t>ec_exiting_building_warehouses--electricity</t>
  </si>
  <si>
    <t>ec_exiting_building_warehouses--gas</t>
  </si>
  <si>
    <t>ec_exiting_building_warehouses--oil</t>
  </si>
  <si>
    <t>ec_exiting_building_warehouses--coal</t>
  </si>
  <si>
    <t>ec_exiting_building_warehouses--peat</t>
  </si>
  <si>
    <t>ec_exiting_building_warehouses--wood</t>
  </si>
  <si>
    <t>ec_exiting_building_warehouses--renewable</t>
  </si>
  <si>
    <t>ec_exiting_building_warehouses--heat</t>
  </si>
  <si>
    <t>building_type--residential_1</t>
  </si>
  <si>
    <t>building_type--residential_2</t>
  </si>
  <si>
    <t>building_type--residential_3</t>
  </si>
  <si>
    <t>building_type--residential_4</t>
  </si>
  <si>
    <t>building_type--commercial_1</t>
  </si>
  <si>
    <t>building_type--commercial_2</t>
  </si>
  <si>
    <t>building_type--commercial_3</t>
  </si>
  <si>
    <t>building_type--commercial_4</t>
  </si>
  <si>
    <t>building_type--commercial_5</t>
  </si>
  <si>
    <t>building_type--commercial_6</t>
  </si>
  <si>
    <t>ec_new_building_retail--electricity</t>
  </si>
  <si>
    <t>ec_new_building_retail--gas</t>
  </si>
  <si>
    <t>ec_new_building_retail--oil</t>
  </si>
  <si>
    <t>ec_new_building_retail--coal</t>
  </si>
  <si>
    <t>ec_new_building_retail--peat</t>
  </si>
  <si>
    <t>ec_new_building_retail--wood</t>
  </si>
  <si>
    <t>ec_new_building_retail--renewable</t>
  </si>
  <si>
    <t>ec_new_building_retail--heat</t>
  </si>
  <si>
    <t>ec_new_building_health--electricity</t>
  </si>
  <si>
    <t>ec_new_building_health--gas</t>
  </si>
  <si>
    <t>ec_new_building_health--oil</t>
  </si>
  <si>
    <t>ec_new_building_health--coal</t>
  </si>
  <si>
    <t>ec_new_building_health--peat</t>
  </si>
  <si>
    <t>ec_new_building_health--wood</t>
  </si>
  <si>
    <t>ec_new_building_health--renewable</t>
  </si>
  <si>
    <t>ec_new_building_health--heat</t>
  </si>
  <si>
    <t>ec_new_building_hospitality--electricity</t>
  </si>
  <si>
    <t>ec_new_building_hospitality--gas</t>
  </si>
  <si>
    <t>ec_new_building_hospitality--oil</t>
  </si>
  <si>
    <t>ec_new_building_hospitality--coal</t>
  </si>
  <si>
    <t>ec_new_building_hospitality--peat</t>
  </si>
  <si>
    <t>ec_new_building_hospitality--wood</t>
  </si>
  <si>
    <t>ec_new_building_hospitality--renewable</t>
  </si>
  <si>
    <t>ec_new_building_hospitality--heat</t>
  </si>
  <si>
    <t>ec_new_building_offices--electricity</t>
  </si>
  <si>
    <t>ec_new_building_offices--gas</t>
  </si>
  <si>
    <t>ec_new_building_offices--oil</t>
  </si>
  <si>
    <t>ec_new_building_offices--coal</t>
  </si>
  <si>
    <t>ec_new_building_offices--peat</t>
  </si>
  <si>
    <t>ec_new_building_offices--wood</t>
  </si>
  <si>
    <t>ec_new_building_offices--renewable</t>
  </si>
  <si>
    <t>ec_new_building_offices--heat</t>
  </si>
  <si>
    <t>ec_new_building_industrial--electricity</t>
  </si>
  <si>
    <t>ec_new_building_industrial--gas</t>
  </si>
  <si>
    <t>ec_new_building_industrial--oil</t>
  </si>
  <si>
    <t>ec_new_building_industrial--coal</t>
  </si>
  <si>
    <t>ec_new_building_industrial--peat</t>
  </si>
  <si>
    <t>ec_new_building_industrial--wood</t>
  </si>
  <si>
    <t>ec_new_building_industrial--renewable</t>
  </si>
  <si>
    <t>ec_new_building_industrial--heat</t>
  </si>
  <si>
    <t>ec_new_building_warehouses--electricity</t>
  </si>
  <si>
    <t>ec_new_building_warehouses--gas</t>
  </si>
  <si>
    <t>ec_new_building_warehouses--oil</t>
  </si>
  <si>
    <t>ec_new_building_warehouses--coal</t>
  </si>
  <si>
    <t>ec_new_building_warehouses--peat</t>
  </si>
  <si>
    <t>ec_new_building_warehouses--wood</t>
  </si>
  <si>
    <t>ec_new_building_warehouses--renewable</t>
  </si>
  <si>
    <t>ec_new_building_warehouses--heat</t>
  </si>
  <si>
    <t>creator</t>
  </si>
  <si>
    <t>year_data</t>
  </si>
  <si>
    <t>description</t>
  </si>
  <si>
    <t>Average car occupancy</t>
  </si>
  <si>
    <t xml:space="preserve">URBAN </t>
  </si>
  <si>
    <t>road driving</t>
  </si>
  <si>
    <t>street driving</t>
  </si>
  <si>
    <t>shares (%) of</t>
  </si>
  <si>
    <t>Driving profile for settlement type</t>
  </si>
  <si>
    <t>Annual passenger-kilometers per capita</t>
  </si>
  <si>
    <t>not in use</t>
  </si>
  <si>
    <t>Engine types in car transport (car fleet)</t>
  </si>
  <si>
    <t>HYDROGEN FUEL CELL</t>
  </si>
  <si>
    <t>BIOETHANOL</t>
  </si>
  <si>
    <t>BIODIESEL</t>
  </si>
  <si>
    <t>BI-FUEL</t>
  </si>
  <si>
    <t>OTHER</t>
  </si>
  <si>
    <r>
      <t>gCO</t>
    </r>
    <r>
      <rPr>
        <vertAlign val="subscript"/>
        <sz val="10"/>
        <color theme="1"/>
        <rFont val="Arial Unicode MS"/>
        <family val="2"/>
        <charset val="186"/>
      </rPr>
      <t>2</t>
    </r>
    <r>
      <rPr>
        <sz val="10"/>
        <color theme="1"/>
        <rFont val="Arial Unicode MS"/>
        <family val="2"/>
        <charset val="186"/>
      </rPr>
      <t>e/vkm</t>
    </r>
  </si>
  <si>
    <t>Average metro occupancy</t>
  </si>
  <si>
    <t>Electricity consumption</t>
  </si>
  <si>
    <t>Average train occupancy</t>
  </si>
  <si>
    <t>Electricity consumption, electric train</t>
  </si>
  <si>
    <t>Emission factor, diesel train</t>
  </si>
  <si>
    <t>Annual vehicle-kilometers per capita</t>
  </si>
  <si>
    <t>Share of diesel engines</t>
  </si>
  <si>
    <t>Share of electric engines</t>
  </si>
  <si>
    <t>Engine types in road freight transport</t>
  </si>
  <si>
    <t>COMPRESSED NATURAL GAS (CNG)</t>
  </si>
  <si>
    <t>PETROL INCL HYBRIDS</t>
  </si>
  <si>
    <t>PETROLEUM GASES</t>
  </si>
  <si>
    <t>DIESEL INCL HYBRIDS</t>
  </si>
  <si>
    <t>NATURAL GAS</t>
  </si>
  <si>
    <t>ALTERNATIVE ENERGY</t>
  </si>
  <si>
    <t>ELECTRICITY</t>
  </si>
  <si>
    <t>PETROL</t>
  </si>
  <si>
    <t>HYBRID ELECTRIC-PETROL</t>
  </si>
  <si>
    <t>PETROL PHEV</t>
  </si>
  <si>
    <t>DIESEL</t>
  </si>
  <si>
    <t>HYBRID ELECTRIC-DIESEL</t>
  </si>
  <si>
    <t>DIESEL PHEV</t>
  </si>
  <si>
    <t>FREIGHT ON INLAND WATERWAYS</t>
  </si>
  <si>
    <t>Emission factor, average for all water transport</t>
  </si>
  <si>
    <t>Emission factors for energy carriers</t>
  </si>
  <si>
    <t>Renewables</t>
  </si>
  <si>
    <t>Annual demolition rate, residential buildings</t>
  </si>
  <si>
    <t>Annual demolition rate, commercial buildings</t>
  </si>
  <si>
    <t>Annual increase, commercial buildings</t>
  </si>
  <si>
    <t>Average total energy use, all residential</t>
  </si>
  <si>
    <t>End use of energy, residential buildings (%)</t>
  </si>
  <si>
    <t>Heating of spaces</t>
  </si>
  <si>
    <t>Heating of water</t>
  </si>
  <si>
    <t>Lights and appliances</t>
  </si>
  <si>
    <t>Pumps and fans</t>
  </si>
  <si>
    <t>Average energy consumption by energy carrier</t>
  </si>
  <si>
    <t>industrial</t>
  </si>
  <si>
    <t>A-rated (kWh/(dwelling,a))</t>
  </si>
  <si>
    <t>B-rated (kWh/(dwelling,a))</t>
  </si>
  <si>
    <t>C-rated (kWh/(dwelling,a))</t>
  </si>
  <si>
    <t>D-rated (kWh/(dwelling,a))</t>
  </si>
  <si>
    <t>E-rated (kWh/(dwelling,a))</t>
  </si>
  <si>
    <t>F-rated (kWh/(dwelling,a))</t>
  </si>
  <si>
    <t>G-rated (kWh/(dwelling,a))</t>
  </si>
  <si>
    <t>Existing residential (kWh/(dwelling,a))</t>
  </si>
  <si>
    <t>Existing commercial  (kWh/(m²a))</t>
  </si>
  <si>
    <t>This creates a new dataset for the browser-based GGIA tool as a csv file and saves it on the same folder where this MS Excel file is saved.</t>
  </si>
  <si>
    <t>https://github.com/QGasSP/ggia-backend/tree/main/CSVfiles </t>
  </si>
  <si>
    <t>Please share Your local dataset with other users of the browser-based GGIA tool: upload the csv dataset in GitHub and submit a pull request.</t>
  </si>
  <si>
    <t>This adds a new local dataset option in this Excel file. It will be saved on Your local computer as You save the whole file before closing the program.</t>
  </si>
  <si>
    <t>Carbon stock change factors, 
tC/(ha,a)</t>
  </si>
  <si>
    <t>NAMING</t>
  </si>
  <si>
    <t>Residential</t>
  </si>
  <si>
    <t>Future changes in building stock (%)</t>
  </si>
  <si>
    <t>m²/dwelling</t>
  </si>
  <si>
    <r>
      <t>gCO</t>
    </r>
    <r>
      <rPr>
        <vertAlign val="subscript"/>
        <sz val="10"/>
        <color theme="1"/>
        <rFont val="Arial Unicode MS"/>
        <family val="2"/>
        <charset val="186"/>
      </rPr>
      <t>2</t>
    </r>
    <r>
      <rPr>
        <sz val="10"/>
        <color theme="1"/>
        <rFont val="Arial Unicode MS"/>
        <family val="2"/>
        <charset val="186"/>
      </rPr>
      <t>e/kWh</t>
    </r>
  </si>
  <si>
    <t>C3</t>
  </si>
  <si>
    <t>C4</t>
  </si>
  <si>
    <t>C6</t>
  </si>
  <si>
    <t>D17:M17</t>
  </si>
  <si>
    <t>N17:W17</t>
  </si>
  <si>
    <t>X17:AG17</t>
  </si>
  <si>
    <t>C20</t>
  </si>
  <si>
    <t>D22:M22</t>
  </si>
  <si>
    <t>N22:W22</t>
  </si>
  <si>
    <t>X22:AG22</t>
  </si>
  <si>
    <t>C25</t>
  </si>
  <si>
    <t>D27:M27</t>
  </si>
  <si>
    <t>N27:W27</t>
  </si>
  <si>
    <t>X27:AG27</t>
  </si>
  <si>
    <t>C31</t>
  </si>
  <si>
    <t>C32</t>
  </si>
  <si>
    <t>D34:M34</t>
  </si>
  <si>
    <t>N34:W34</t>
  </si>
  <si>
    <t>X34:AG34</t>
  </si>
  <si>
    <t>D38</t>
  </si>
  <si>
    <t>D39</t>
  </si>
  <si>
    <t>D40</t>
  </si>
  <si>
    <t>D41</t>
  </si>
  <si>
    <t>E38</t>
  </si>
  <si>
    <t>E39</t>
  </si>
  <si>
    <t>E40</t>
  </si>
  <si>
    <t>E41</t>
  </si>
  <si>
    <t>F38</t>
  </si>
  <si>
    <t>F39</t>
  </si>
  <si>
    <t>F40</t>
  </si>
  <si>
    <t>F41</t>
  </si>
  <si>
    <t>H42</t>
  </si>
  <si>
    <t>C46</t>
  </si>
  <si>
    <t>C47</t>
  </si>
  <si>
    <t>C48</t>
  </si>
  <si>
    <t>C49</t>
  </si>
  <si>
    <t>C53</t>
  </si>
  <si>
    <t>D63</t>
  </si>
  <si>
    <t>D64</t>
  </si>
  <si>
    <t>D65</t>
  </si>
  <si>
    <t>D66</t>
  </si>
  <si>
    <t>D67</t>
  </si>
  <si>
    <t>D68</t>
  </si>
  <si>
    <t>D69</t>
  </si>
  <si>
    <t>D70</t>
  </si>
  <si>
    <t>D71</t>
  </si>
  <si>
    <t>D72</t>
  </si>
  <si>
    <t>D73</t>
  </si>
  <si>
    <t>E63</t>
  </si>
  <si>
    <t>E64</t>
  </si>
  <si>
    <t>E65</t>
  </si>
  <si>
    <t>E66</t>
  </si>
  <si>
    <t>E67</t>
  </si>
  <si>
    <t>E68</t>
  </si>
  <si>
    <t>E69</t>
  </si>
  <si>
    <t>E70</t>
  </si>
  <si>
    <t>E71</t>
  </si>
  <si>
    <t>E72</t>
  </si>
  <si>
    <t>E73</t>
  </si>
  <si>
    <t>F63</t>
  </si>
  <si>
    <t>F64</t>
  </si>
  <si>
    <t>F65</t>
  </si>
  <si>
    <t>F66</t>
  </si>
  <si>
    <t>F67</t>
  </si>
  <si>
    <t>F68</t>
  </si>
  <si>
    <t>F69</t>
  </si>
  <si>
    <t>F70</t>
  </si>
  <si>
    <t>F71</t>
  </si>
  <si>
    <t>F72</t>
  </si>
  <si>
    <t>F73</t>
  </si>
  <si>
    <t>F74</t>
  </si>
  <si>
    <t>C81</t>
  </si>
  <si>
    <t>C82</t>
  </si>
  <si>
    <t>C83</t>
  </si>
  <si>
    <t>C88</t>
  </si>
  <si>
    <t>B96</t>
  </si>
  <si>
    <t>B97</t>
  </si>
  <si>
    <t>B98</t>
  </si>
  <si>
    <t>B99</t>
  </si>
  <si>
    <t>C96</t>
  </si>
  <si>
    <t>C97</t>
  </si>
  <si>
    <t>C98</t>
  </si>
  <si>
    <t>C99</t>
  </si>
  <si>
    <t>C102</t>
  </si>
  <si>
    <t>B113</t>
  </si>
  <si>
    <t>B114</t>
  </si>
  <si>
    <t>B115</t>
  </si>
  <si>
    <t>B116</t>
  </si>
  <si>
    <t>B117</t>
  </si>
  <si>
    <t>B118</t>
  </si>
  <si>
    <t>B119</t>
  </si>
  <si>
    <t>B120</t>
  </si>
  <si>
    <t>B121</t>
  </si>
  <si>
    <t>B122</t>
  </si>
  <si>
    <t>B123</t>
  </si>
  <si>
    <t>B124</t>
  </si>
  <si>
    <t>B125</t>
  </si>
  <si>
    <t>B126</t>
  </si>
  <si>
    <t>B127</t>
  </si>
  <si>
    <t>B128</t>
  </si>
  <si>
    <t>B129</t>
  </si>
  <si>
    <t>B130</t>
  </si>
  <si>
    <t>B131</t>
  </si>
  <si>
    <t>B132</t>
  </si>
  <si>
    <t>B133</t>
  </si>
  <si>
    <t>B134</t>
  </si>
  <si>
    <t>B135</t>
  </si>
  <si>
    <t>B136</t>
  </si>
  <si>
    <t>B137</t>
  </si>
  <si>
    <t>B138</t>
  </si>
  <si>
    <t>B139</t>
  </si>
  <si>
    <t>B140</t>
  </si>
  <si>
    <t>B141</t>
  </si>
  <si>
    <t>B142</t>
  </si>
  <si>
    <t>B143</t>
  </si>
  <si>
    <t>B144</t>
  </si>
  <si>
    <t>B145</t>
  </si>
  <si>
    <t>B146</t>
  </si>
  <si>
    <t>B147</t>
  </si>
  <si>
    <t>B148</t>
  </si>
  <si>
    <t>B149</t>
  </si>
  <si>
    <t>B150</t>
  </si>
  <si>
    <t>B151</t>
  </si>
  <si>
    <t>B152</t>
  </si>
  <si>
    <t>B153</t>
  </si>
  <si>
    <t>B154</t>
  </si>
  <si>
    <t>B155</t>
  </si>
  <si>
    <t>B156</t>
  </si>
  <si>
    <t>B157</t>
  </si>
  <si>
    <t>B158</t>
  </si>
  <si>
    <t>B159</t>
  </si>
  <si>
    <t>B160</t>
  </si>
  <si>
    <t>B161</t>
  </si>
  <si>
    <t>B162</t>
  </si>
  <si>
    <t>B163</t>
  </si>
  <si>
    <t>B164</t>
  </si>
  <si>
    <t>B165</t>
  </si>
  <si>
    <t>B166</t>
  </si>
  <si>
    <t>C113</t>
  </si>
  <si>
    <t>C114</t>
  </si>
  <si>
    <t>C115</t>
  </si>
  <si>
    <t>C116</t>
  </si>
  <si>
    <t>C117</t>
  </si>
  <si>
    <t>C118</t>
  </si>
  <si>
    <t>C119</t>
  </si>
  <si>
    <t>C120</t>
  </si>
  <si>
    <t>C121</t>
  </si>
  <si>
    <t>C122</t>
  </si>
  <si>
    <t>C123</t>
  </si>
  <si>
    <t>C124</t>
  </si>
  <si>
    <t>C125</t>
  </si>
  <si>
    <t>C126</t>
  </si>
  <si>
    <t>C127</t>
  </si>
  <si>
    <t>C128</t>
  </si>
  <si>
    <t>C129</t>
  </si>
  <si>
    <t>C130</t>
  </si>
  <si>
    <t>C131</t>
  </si>
  <si>
    <t>C132</t>
  </si>
  <si>
    <t>C133</t>
  </si>
  <si>
    <t>C134</t>
  </si>
  <si>
    <t>C135</t>
  </si>
  <si>
    <t>C136</t>
  </si>
  <si>
    <t>C137</t>
  </si>
  <si>
    <t>C138</t>
  </si>
  <si>
    <t>C139</t>
  </si>
  <si>
    <t>C140</t>
  </si>
  <si>
    <t>C141</t>
  </si>
  <si>
    <t>C142</t>
  </si>
  <si>
    <t>C143</t>
  </si>
  <si>
    <t>C144</t>
  </si>
  <si>
    <t>C145</t>
  </si>
  <si>
    <t>C146</t>
  </si>
  <si>
    <t>C147</t>
  </si>
  <si>
    <t>C148</t>
  </si>
  <si>
    <t>C149</t>
  </si>
  <si>
    <t>C150</t>
  </si>
  <si>
    <t>C151</t>
  </si>
  <si>
    <t>C152</t>
  </si>
  <si>
    <t>C153</t>
  </si>
  <si>
    <t>C154</t>
  </si>
  <si>
    <t>C155</t>
  </si>
  <si>
    <t>C156</t>
  </si>
  <si>
    <t>C157</t>
  </si>
  <si>
    <t>C158</t>
  </si>
  <si>
    <t>C159</t>
  </si>
  <si>
    <t>C160</t>
  </si>
  <si>
    <t>C161</t>
  </si>
  <si>
    <t>C162</t>
  </si>
  <si>
    <t>C163</t>
  </si>
  <si>
    <t>C164</t>
  </si>
  <si>
    <t>C165</t>
  </si>
  <si>
    <t>C166</t>
  </si>
  <si>
    <t>C169</t>
  </si>
  <si>
    <t>C170</t>
  </si>
  <si>
    <t>C173</t>
  </si>
  <si>
    <t>C184</t>
  </si>
  <si>
    <t>C189</t>
  </si>
  <si>
    <t>D203</t>
  </si>
  <si>
    <t>D204</t>
  </si>
  <si>
    <t>E203</t>
  </si>
  <si>
    <t>E204</t>
  </si>
  <si>
    <t>F203</t>
  </si>
  <si>
    <t>F204</t>
  </si>
  <si>
    <t>C215</t>
  </si>
  <si>
    <t>C216</t>
  </si>
  <si>
    <t>C217</t>
  </si>
  <si>
    <t>TECHNOLOGY DEVELOPMENT INDEX</t>
  </si>
  <si>
    <t>Factor, technology impact on emission factor</t>
  </si>
  <si>
    <t>Expected annual change in passenger-km (%)</t>
  </si>
  <si>
    <t>EF street driving</t>
  </si>
  <si>
    <t>EF road driving</t>
  </si>
  <si>
    <t>Future prognosis, share of electric cars (%)</t>
  </si>
  <si>
    <t>Future prognosis, share of electric buses (%)</t>
  </si>
  <si>
    <t>Future prognosis, share of electric lorries (%)</t>
  </si>
  <si>
    <t>1 = no impact</t>
  </si>
  <si>
    <t>Expected annual change in vehicle-kilometres (%)</t>
  </si>
  <si>
    <t>C349</t>
  </si>
  <si>
    <t>D349</t>
  </si>
  <si>
    <t>E349</t>
  </si>
  <si>
    <t>F349</t>
  </si>
  <si>
    <t>G349</t>
  </si>
  <si>
    <t>C350</t>
  </si>
  <si>
    <t>D350</t>
  </si>
  <si>
    <t>E350</t>
  </si>
  <si>
    <t>F350</t>
  </si>
  <si>
    <t>G350</t>
  </si>
  <si>
    <t>C351</t>
  </si>
  <si>
    <t>D351</t>
  </si>
  <si>
    <t>E351</t>
  </si>
  <si>
    <t>F351</t>
  </si>
  <si>
    <t>G351</t>
  </si>
  <si>
    <t>C352</t>
  </si>
  <si>
    <t>D352</t>
  </si>
  <si>
    <t>E352</t>
  </si>
  <si>
    <t>F352</t>
  </si>
  <si>
    <t>G352</t>
  </si>
  <si>
    <t>C353</t>
  </si>
  <si>
    <t>D353</t>
  </si>
  <si>
    <t>E353</t>
  </si>
  <si>
    <t>F353</t>
  </si>
  <si>
    <t>G353</t>
  </si>
  <si>
    <t>""</t>
  </si>
  <si>
    <t>Expected annual change in vehicle-km (%)</t>
  </si>
  <si>
    <t>E42</t>
  </si>
  <si>
    <t>F42</t>
  </si>
  <si>
    <t>I42</t>
  </si>
  <si>
    <t>J42</t>
  </si>
  <si>
    <t>K42</t>
  </si>
  <si>
    <t>L42</t>
  </si>
  <si>
    <t>M42</t>
  </si>
  <si>
    <t>N42</t>
  </si>
  <si>
    <t>C50</t>
  </si>
  <si>
    <t>C54</t>
  </si>
  <si>
    <t>D57:M57</t>
  </si>
  <si>
    <t>N57:W57</t>
  </si>
  <si>
    <t>X57:AG57</t>
  </si>
  <si>
    <t>C84</t>
  </si>
  <si>
    <t>C85</t>
  </si>
  <si>
    <t>C89</t>
  </si>
  <si>
    <t>C90</t>
  </si>
  <si>
    <t>D93:M93</t>
  </si>
  <si>
    <t>N93:W93</t>
  </si>
  <si>
    <t>X93:AG93</t>
  </si>
  <si>
    <t>B100</t>
  </si>
  <si>
    <t>B101</t>
  </si>
  <si>
    <t>B102</t>
  </si>
  <si>
    <t>C100</t>
  </si>
  <si>
    <t>C101</t>
  </si>
  <si>
    <t>C105</t>
  </si>
  <si>
    <t>C106</t>
  </si>
  <si>
    <t>C107</t>
  </si>
  <si>
    <t>D110:M110</t>
  </si>
  <si>
    <t>N110:W110</t>
  </si>
  <si>
    <t>X110:AG110</t>
  </si>
  <si>
    <t>B167</t>
  </si>
  <si>
    <t>B168</t>
  </si>
  <si>
    <t>B169</t>
  </si>
  <si>
    <t>B170</t>
  </si>
  <si>
    <t>C167</t>
  </si>
  <si>
    <t>C168</t>
  </si>
  <si>
    <t>C174</t>
  </si>
  <si>
    <t>C175</t>
  </si>
  <si>
    <t>C176</t>
  </si>
  <si>
    <t>C177</t>
  </si>
  <si>
    <t>D180:M180</t>
  </si>
  <si>
    <t>N180:W180</t>
  </si>
  <si>
    <t>X180:AG180</t>
  </si>
  <si>
    <t>C185</t>
  </si>
  <si>
    <t>C186</t>
  </si>
  <si>
    <t>C187</t>
  </si>
  <si>
    <t>D191:M191</t>
  </si>
  <si>
    <t>N191:W191</t>
  </si>
  <si>
    <t>X191:AG191</t>
  </si>
  <si>
    <t>C195</t>
  </si>
  <si>
    <t>C196</t>
  </si>
  <si>
    <t>D198:M198</t>
  </si>
  <si>
    <t>N198:W198</t>
  </si>
  <si>
    <t>X198:AG198</t>
  </si>
  <si>
    <t>D205</t>
  </si>
  <si>
    <t>D206</t>
  </si>
  <si>
    <t>D207</t>
  </si>
  <si>
    <t>D208</t>
  </si>
  <si>
    <t>D209</t>
  </si>
  <si>
    <t>D210</t>
  </si>
  <si>
    <t>D211</t>
  </si>
  <si>
    <t>E205</t>
  </si>
  <si>
    <t>E206</t>
  </si>
  <si>
    <t>E207</t>
  </si>
  <si>
    <t>E208</t>
  </si>
  <si>
    <t>E209</t>
  </si>
  <si>
    <t>E210</t>
  </si>
  <si>
    <t>E211</t>
  </si>
  <si>
    <t>F205</t>
  </si>
  <si>
    <t>F206</t>
  </si>
  <si>
    <t>F207</t>
  </si>
  <si>
    <t>F208</t>
  </si>
  <si>
    <t>F209</t>
  </si>
  <si>
    <t>F210</t>
  </si>
  <si>
    <t>F211</t>
  </si>
  <si>
    <t>C218</t>
  </si>
  <si>
    <t>C219</t>
  </si>
  <si>
    <t>C222</t>
  </si>
  <si>
    <t>C223</t>
  </si>
  <si>
    <t>D226:M226</t>
  </si>
  <si>
    <t>N226:W226</t>
  </si>
  <si>
    <t>X226:AG226</t>
  </si>
  <si>
    <t>C224</t>
  </si>
  <si>
    <t>C247:M247</t>
  </si>
  <si>
    <t>N247:W247</t>
  </si>
  <si>
    <t>X247:AG247</t>
  </si>
  <si>
    <t>C240</t>
  </si>
  <si>
    <t>C241</t>
  </si>
  <si>
    <t>C242</t>
  </si>
  <si>
    <t>C243</t>
  </si>
  <si>
    <t>C244</t>
  </si>
  <si>
    <t>C245</t>
  </si>
  <si>
    <t>C257</t>
  </si>
  <si>
    <t>D257</t>
  </si>
  <si>
    <t>E257</t>
  </si>
  <si>
    <t>F257</t>
  </si>
  <si>
    <t>G257</t>
  </si>
  <si>
    <t>H257</t>
  </si>
  <si>
    <t>C258</t>
  </si>
  <si>
    <t>D258</t>
  </si>
  <si>
    <t>E258</t>
  </si>
  <si>
    <t>F258</t>
  </si>
  <si>
    <t>G258</t>
  </si>
  <si>
    <t>H258</t>
  </si>
  <si>
    <t>C259</t>
  </si>
  <si>
    <t>D259</t>
  </si>
  <si>
    <t>E259</t>
  </si>
  <si>
    <t>F259</t>
  </si>
  <si>
    <t>G259</t>
  </si>
  <si>
    <t>H259</t>
  </si>
  <si>
    <t>C260</t>
  </si>
  <si>
    <t>D260</t>
  </si>
  <si>
    <t>E260</t>
  </si>
  <si>
    <t>F260</t>
  </si>
  <si>
    <t>G260</t>
  </si>
  <si>
    <t>H260</t>
  </si>
  <si>
    <t>C261</t>
  </si>
  <si>
    <t>D261</t>
  </si>
  <si>
    <t>E261</t>
  </si>
  <si>
    <t>F261</t>
  </si>
  <si>
    <t>G261</t>
  </si>
  <si>
    <t>H261</t>
  </si>
  <si>
    <t>C262</t>
  </si>
  <si>
    <t>D262</t>
  </si>
  <si>
    <t>E262</t>
  </si>
  <si>
    <t>F262</t>
  </si>
  <si>
    <t>G262</t>
  </si>
  <si>
    <t>H262</t>
  </si>
  <si>
    <t>C263</t>
  </si>
  <si>
    <t>D263</t>
  </si>
  <si>
    <t>E263</t>
  </si>
  <si>
    <t>F263</t>
  </si>
  <si>
    <t>G263</t>
  </si>
  <si>
    <t>H263</t>
  </si>
  <si>
    <t>C264</t>
  </si>
  <si>
    <t>D264</t>
  </si>
  <si>
    <t>E264</t>
  </si>
  <si>
    <t>F264</t>
  </si>
  <si>
    <t>G264</t>
  </si>
  <si>
    <t>H264</t>
  </si>
  <si>
    <t>C265</t>
  </si>
  <si>
    <t>D265</t>
  </si>
  <si>
    <t>E265</t>
  </si>
  <si>
    <t>F265</t>
  </si>
  <si>
    <t>G265</t>
  </si>
  <si>
    <t>H265</t>
  </si>
  <si>
    <t>C266</t>
  </si>
  <si>
    <t>D266</t>
  </si>
  <si>
    <t>E266</t>
  </si>
  <si>
    <t>F266</t>
  </si>
  <si>
    <t>G266</t>
  </si>
  <si>
    <t>H266</t>
  </si>
  <si>
    <t>C267</t>
  </si>
  <si>
    <t>D267</t>
  </si>
  <si>
    <t>E267</t>
  </si>
  <si>
    <t>F267</t>
  </si>
  <si>
    <t>G267</t>
  </si>
  <si>
    <t>H267</t>
  </si>
  <si>
    <t>C268</t>
  </si>
  <si>
    <t>D268</t>
  </si>
  <si>
    <t>E268</t>
  </si>
  <si>
    <t>F268</t>
  </si>
  <si>
    <t>G268</t>
  </si>
  <si>
    <t>H268</t>
  </si>
  <si>
    <t>C269</t>
  </si>
  <si>
    <t>D269</t>
  </si>
  <si>
    <t>E269</t>
  </si>
  <si>
    <t>F269</t>
  </si>
  <si>
    <t>G269</t>
  </si>
  <si>
    <t>H269</t>
  </si>
  <si>
    <t>C270</t>
  </si>
  <si>
    <t>D270</t>
  </si>
  <si>
    <t>E270</t>
  </si>
  <si>
    <t>F270</t>
  </si>
  <si>
    <t>G270</t>
  </si>
  <si>
    <t>H270</t>
  </si>
  <si>
    <t>C271</t>
  </si>
  <si>
    <t>D271</t>
  </si>
  <si>
    <t>E271</t>
  </si>
  <si>
    <t>F271</t>
  </si>
  <si>
    <t>G271</t>
  </si>
  <si>
    <t>H271</t>
  </si>
  <si>
    <t>C272</t>
  </si>
  <si>
    <t>D272</t>
  </si>
  <si>
    <t>E272</t>
  </si>
  <si>
    <t>F272</t>
  </si>
  <si>
    <t>G272</t>
  </si>
  <si>
    <t>H272</t>
  </si>
  <si>
    <t>C273</t>
  </si>
  <si>
    <t>D273</t>
  </si>
  <si>
    <t>E273</t>
  </si>
  <si>
    <t>F273</t>
  </si>
  <si>
    <t>G273</t>
  </si>
  <si>
    <t>H273</t>
  </si>
  <si>
    <t>C274</t>
  </si>
  <si>
    <t>D274</t>
  </si>
  <si>
    <t>E274</t>
  </si>
  <si>
    <t>F274</t>
  </si>
  <si>
    <t>G274</t>
  </si>
  <si>
    <t>H274</t>
  </si>
  <si>
    <t>C275</t>
  </si>
  <si>
    <t>D275</t>
  </si>
  <si>
    <t>E275</t>
  </si>
  <si>
    <t>F275</t>
  </si>
  <si>
    <t>G275</t>
  </si>
  <si>
    <t>H275</t>
  </si>
  <si>
    <t>C276</t>
  </si>
  <si>
    <t>D276</t>
  </si>
  <si>
    <t>E276</t>
  </si>
  <si>
    <t>F276</t>
  </si>
  <si>
    <t>G276</t>
  </si>
  <si>
    <t>H276</t>
  </si>
  <si>
    <t>C277</t>
  </si>
  <si>
    <t>D277</t>
  </si>
  <si>
    <t>E277</t>
  </si>
  <si>
    <t>F277</t>
  </si>
  <si>
    <t>G277</t>
  </si>
  <si>
    <t>H277</t>
  </si>
  <si>
    <t>C278</t>
  </si>
  <si>
    <t>D278</t>
  </si>
  <si>
    <t>E278</t>
  </si>
  <si>
    <t>F278</t>
  </si>
  <si>
    <t>G278</t>
  </si>
  <si>
    <t>H278</t>
  </si>
  <si>
    <t>C279</t>
  </si>
  <si>
    <t>D279</t>
  </si>
  <si>
    <t>E279</t>
  </si>
  <si>
    <t>F279</t>
  </si>
  <si>
    <t>G279</t>
  </si>
  <si>
    <t>H279</t>
  </si>
  <si>
    <t>C280</t>
  </si>
  <si>
    <t>D280</t>
  </si>
  <si>
    <t>E280</t>
  </si>
  <si>
    <t>F280</t>
  </si>
  <si>
    <t>G280</t>
  </si>
  <si>
    <t>H280</t>
  </si>
  <si>
    <t>C281</t>
  </si>
  <si>
    <t>D281</t>
  </si>
  <si>
    <t>E281</t>
  </si>
  <si>
    <t>F281</t>
  </si>
  <si>
    <t>G281</t>
  </si>
  <si>
    <t>H281</t>
  </si>
  <si>
    <t>C282</t>
  </si>
  <si>
    <t>D282</t>
  </si>
  <si>
    <t>E282</t>
  </si>
  <si>
    <t>F282</t>
  </si>
  <si>
    <t>G282</t>
  </si>
  <si>
    <t>H282</t>
  </si>
  <si>
    <t>C283</t>
  </si>
  <si>
    <t>D283</t>
  </si>
  <si>
    <t>E283</t>
  </si>
  <si>
    <t>F283</t>
  </si>
  <si>
    <t>G283</t>
  </si>
  <si>
    <t>H283</t>
  </si>
  <si>
    <t>C284</t>
  </si>
  <si>
    <t>D284</t>
  </si>
  <si>
    <t>E284</t>
  </si>
  <si>
    <t>F284</t>
  </si>
  <si>
    <t>G284</t>
  </si>
  <si>
    <t>H284</t>
  </si>
  <si>
    <t>C285</t>
  </si>
  <si>
    <t>D285</t>
  </si>
  <si>
    <t>E285</t>
  </si>
  <si>
    <t>F285</t>
  </si>
  <si>
    <t>G285</t>
  </si>
  <si>
    <t>H285</t>
  </si>
  <si>
    <t>C286</t>
  </si>
  <si>
    <t>D286</t>
  </si>
  <si>
    <t>E286</t>
  </si>
  <si>
    <t>F286</t>
  </si>
  <si>
    <t>G286</t>
  </si>
  <si>
    <t>H286</t>
  </si>
  <si>
    <t>C287</t>
  </si>
  <si>
    <t>D287</t>
  </si>
  <si>
    <t>E287</t>
  </si>
  <si>
    <t>F287</t>
  </si>
  <si>
    <t>G287</t>
  </si>
  <si>
    <t>H287</t>
  </si>
  <si>
    <t>C288</t>
  </si>
  <si>
    <t>D288</t>
  </si>
  <si>
    <t>E288</t>
  </si>
  <si>
    <t>F288</t>
  </si>
  <si>
    <t>G288</t>
  </si>
  <si>
    <t>H288</t>
  </si>
  <si>
    <t>C289</t>
  </si>
  <si>
    <t>D289</t>
  </si>
  <si>
    <t>E289</t>
  </si>
  <si>
    <t>F289</t>
  </si>
  <si>
    <t>G289</t>
  </si>
  <si>
    <t>H289</t>
  </si>
  <si>
    <t>C290</t>
  </si>
  <si>
    <t>D290</t>
  </si>
  <si>
    <t>E290</t>
  </si>
  <si>
    <t>F290</t>
  </si>
  <si>
    <t>G290</t>
  </si>
  <si>
    <t>H290</t>
  </si>
  <si>
    <t>C291</t>
  </si>
  <si>
    <t>D291</t>
  </si>
  <si>
    <t>E291</t>
  </si>
  <si>
    <t>F291</t>
  </si>
  <si>
    <t>G291</t>
  </si>
  <si>
    <t>H291</t>
  </si>
  <si>
    <t>C292</t>
  </si>
  <si>
    <t>D292</t>
  </si>
  <si>
    <t>E292</t>
  </si>
  <si>
    <t>F292</t>
  </si>
  <si>
    <t>G292</t>
  </si>
  <si>
    <t>H292</t>
  </si>
  <si>
    <t>C310</t>
  </si>
  <si>
    <t>C311</t>
  </si>
  <si>
    <t>C312</t>
  </si>
  <si>
    <t>C313</t>
  </si>
  <si>
    <t>C314</t>
  </si>
  <si>
    <t>C315</t>
  </si>
  <si>
    <t>C316</t>
  </si>
  <si>
    <t>C319</t>
  </si>
  <si>
    <t>D319</t>
  </si>
  <si>
    <t>E319</t>
  </si>
  <si>
    <t>C320</t>
  </si>
  <si>
    <t>D320</t>
  </si>
  <si>
    <t>E320</t>
  </si>
  <si>
    <t>C321</t>
  </si>
  <si>
    <t>D321</t>
  </si>
  <si>
    <t>E321</t>
  </si>
  <si>
    <t>C322</t>
  </si>
  <si>
    <t>D322</t>
  </si>
  <si>
    <t>E322</t>
  </si>
  <si>
    <t>C323</t>
  </si>
  <si>
    <t>D323</t>
  </si>
  <si>
    <t>E323</t>
  </si>
  <si>
    <t>C324</t>
  </si>
  <si>
    <t>D324</t>
  </si>
  <si>
    <t>E324</t>
  </si>
  <si>
    <t>C325</t>
  </si>
  <si>
    <t>D325</t>
  </si>
  <si>
    <t>E325</t>
  </si>
  <si>
    <t>C326</t>
  </si>
  <si>
    <t>D326</t>
  </si>
  <si>
    <t>E326</t>
  </si>
  <si>
    <t>C327</t>
  </si>
  <si>
    <t>D327</t>
  </si>
  <si>
    <t>E327</t>
  </si>
  <si>
    <t>C328</t>
  </si>
  <si>
    <t>D328</t>
  </si>
  <si>
    <t>E328</t>
  </si>
  <si>
    <t>C329</t>
  </si>
  <si>
    <t>D329</t>
  </si>
  <si>
    <t>E329</t>
  </si>
  <si>
    <t>C332</t>
  </si>
  <si>
    <t>C333</t>
  </si>
  <si>
    <t>C334</t>
  </si>
  <si>
    <t>C335</t>
  </si>
  <si>
    <t>C336</t>
  </si>
  <si>
    <t>C339</t>
  </si>
  <si>
    <t>C342</t>
  </si>
  <si>
    <t>C343</t>
  </si>
  <si>
    <t>C344</t>
  </si>
  <si>
    <t>C345</t>
  </si>
  <si>
    <t>C354</t>
  </si>
  <si>
    <t>C355</t>
  </si>
  <si>
    <t>C356</t>
  </si>
  <si>
    <t>D354</t>
  </si>
  <si>
    <t>D355</t>
  </si>
  <si>
    <t>D356</t>
  </si>
  <si>
    <t>E354</t>
  </si>
  <si>
    <t>E355</t>
  </si>
  <si>
    <t>E356</t>
  </si>
  <si>
    <t>F354</t>
  </si>
  <si>
    <t>F355</t>
  </si>
  <si>
    <t>F356</t>
  </si>
  <si>
    <t>G354</t>
  </si>
  <si>
    <t>G355</t>
  </si>
  <si>
    <t>G356</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</si>
  <si>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</si>
  <si>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</si>
  <si>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</si>
  <si>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</si>
  <si>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</si>
  <si>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</si>
  <si>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</si>
  <si>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</si>
  <si>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</si>
  <si>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</si>
  <si>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</si>
  <si>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</si>
  <si>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</si>
  <si>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</si>
  <si>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</si>
  <si>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</si>
  <si>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</si>
  <si>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</si>
  <si>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</si>
  <si>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</si>
  <si>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</si>
  <si>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</si>
  <si>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</si>
  <si>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</si>
  <si>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</si>
  <si>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</si>
  <si>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</si>
  <si>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</si>
  <si>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</si>
  <si>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</si>
  <si>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</si>
  <si>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</si>
  <si>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</si>
  <si>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B298</t>
  </si>
  <si>
    <t>B299</t>
  </si>
  <si>
    <t>B300</t>
  </si>
  <si>
    <t>B301</t>
  </si>
  <si>
    <t>B302</t>
  </si>
  <si>
    <t>B303</t>
  </si>
  <si>
    <t>New commercial  (kWh/(m²a))</t>
  </si>
  <si>
    <t>AO</t>
  </si>
  <si>
    <t>D42</t>
  </si>
  <si>
    <t>=F203</t>
  </si>
  <si>
    <t>=F204</t>
  </si>
  <si>
    <t>=F205</t>
  </si>
  <si>
    <t>=F206</t>
  </si>
  <si>
    <t>=F207</t>
  </si>
  <si>
    <t>=F208</t>
  </si>
  <si>
    <t>=F209</t>
  </si>
  <si>
    <t>=F210</t>
  </si>
  <si>
    <t>=F211</t>
  </si>
  <si>
    <t>=C215</t>
  </si>
  <si>
    <t>=C216</t>
  </si>
  <si>
    <t>=C217</t>
  </si>
  <si>
    <t>=C218</t>
  </si>
  <si>
    <t>=C219</t>
  </si>
  <si>
    <t>=C196</t>
  </si>
  <si>
    <t>=C222</t>
  </si>
  <si>
    <t>C248</t>
  </si>
  <si>
    <t>=C257</t>
  </si>
  <si>
    <t>=D257</t>
  </si>
  <si>
    <t>=E257</t>
  </si>
  <si>
    <t>=F257</t>
  </si>
  <si>
    <t>=G257</t>
  </si>
  <si>
    <t>=H257</t>
  </si>
  <si>
    <t>=C258</t>
  </si>
  <si>
    <t>=D258</t>
  </si>
  <si>
    <t>=E258</t>
  </si>
  <si>
    <t>=F258</t>
  </si>
  <si>
    <t>=G258</t>
  </si>
  <si>
    <t>=H258</t>
  </si>
  <si>
    <t>=C259</t>
  </si>
  <si>
    <t>=D259</t>
  </si>
  <si>
    <t>=E259</t>
  </si>
  <si>
    <t>=F259</t>
  </si>
  <si>
    <t>=G259</t>
  </si>
  <si>
    <t>=H259</t>
  </si>
  <si>
    <t>=C260</t>
  </si>
  <si>
    <t>=D260</t>
  </si>
  <si>
    <t>=E260</t>
  </si>
  <si>
    <t>=F260</t>
  </si>
  <si>
    <t>=G260</t>
  </si>
  <si>
    <t>=H260</t>
  </si>
  <si>
    <t>=C261</t>
  </si>
  <si>
    <t>=D261</t>
  </si>
  <si>
    <t>=E261</t>
  </si>
  <si>
    <t>=F261</t>
  </si>
  <si>
    <t>=G261</t>
  </si>
  <si>
    <t>=H261</t>
  </si>
  <si>
    <t>=C262</t>
  </si>
  <si>
    <t>=D262</t>
  </si>
  <si>
    <t>=E262</t>
  </si>
  <si>
    <t>=F262</t>
  </si>
  <si>
    <t>=G262</t>
  </si>
  <si>
    <t>=H262</t>
  </si>
  <si>
    <t>=C263</t>
  </si>
  <si>
    <t>=D263</t>
  </si>
  <si>
    <t>=E263</t>
  </si>
  <si>
    <t>=F263</t>
  </si>
  <si>
    <t>=G263</t>
  </si>
  <si>
    <t>=H263</t>
  </si>
  <si>
    <t>=C264</t>
  </si>
  <si>
    <t>=D264</t>
  </si>
  <si>
    <t>=E264</t>
  </si>
  <si>
    <t>=F264</t>
  </si>
  <si>
    <t>=G264</t>
  </si>
  <si>
    <t>=H264</t>
  </si>
  <si>
    <t>=C265</t>
  </si>
  <si>
    <t>=D265</t>
  </si>
  <si>
    <t>=E265</t>
  </si>
  <si>
    <t>=F265</t>
  </si>
  <si>
    <t>=G265</t>
  </si>
  <si>
    <t>=H265</t>
  </si>
  <si>
    <t>=C266</t>
  </si>
  <si>
    <t>=D266</t>
  </si>
  <si>
    <t>=E266</t>
  </si>
  <si>
    <t>=F266</t>
  </si>
  <si>
    <t>=G266</t>
  </si>
  <si>
    <t>=H266</t>
  </si>
  <si>
    <t>=C267</t>
  </si>
  <si>
    <t>=D267</t>
  </si>
  <si>
    <t>=E267</t>
  </si>
  <si>
    <t>=F267</t>
  </si>
  <si>
    <t>=G267</t>
  </si>
  <si>
    <t>=H267</t>
  </si>
  <si>
    <t>=C268</t>
  </si>
  <si>
    <t>=D268</t>
  </si>
  <si>
    <t>=E268</t>
  </si>
  <si>
    <t>=F268</t>
  </si>
  <si>
    <t>=G268</t>
  </si>
  <si>
    <t>=H268</t>
  </si>
  <si>
    <t>=C269</t>
  </si>
  <si>
    <t>=D269</t>
  </si>
  <si>
    <t>=E269</t>
  </si>
  <si>
    <t>=F269</t>
  </si>
  <si>
    <t>=G269</t>
  </si>
  <si>
    <t>=H269</t>
  </si>
  <si>
    <t>=C270</t>
  </si>
  <si>
    <t>=D270</t>
  </si>
  <si>
    <t>=E270</t>
  </si>
  <si>
    <t>=F270</t>
  </si>
  <si>
    <t>=G270</t>
  </si>
  <si>
    <t>=H270</t>
  </si>
  <si>
    <t>=C271</t>
  </si>
  <si>
    <t>=D271</t>
  </si>
  <si>
    <t>=E271</t>
  </si>
  <si>
    <t>=F271</t>
  </si>
  <si>
    <t>=G271</t>
  </si>
  <si>
    <t>=H271</t>
  </si>
  <si>
    <t>=C272</t>
  </si>
  <si>
    <t>=D272</t>
  </si>
  <si>
    <t>=E272</t>
  </si>
  <si>
    <t>=F272</t>
  </si>
  <si>
    <t>=G272</t>
  </si>
  <si>
    <t>=H272</t>
  </si>
  <si>
    <t>=C273</t>
  </si>
  <si>
    <t>=D273</t>
  </si>
  <si>
    <t>=E273</t>
  </si>
  <si>
    <t>=F273</t>
  </si>
  <si>
    <t>=G273</t>
  </si>
  <si>
    <t>=H273</t>
  </si>
  <si>
    <t>=C274</t>
  </si>
  <si>
    <t>=D274</t>
  </si>
  <si>
    <t>=E274</t>
  </si>
  <si>
    <t>=F274</t>
  </si>
  <si>
    <t>=G274</t>
  </si>
  <si>
    <t>=H274</t>
  </si>
  <si>
    <t>=C275</t>
  </si>
  <si>
    <t>=D275</t>
  </si>
  <si>
    <t>=E275</t>
  </si>
  <si>
    <t>=F275</t>
  </si>
  <si>
    <t>=G275</t>
  </si>
  <si>
    <t>=H275</t>
  </si>
  <si>
    <t>=C276</t>
  </si>
  <si>
    <t>=D276</t>
  </si>
  <si>
    <t>=E276</t>
  </si>
  <si>
    <t>=F276</t>
  </si>
  <si>
    <t>=G276</t>
  </si>
  <si>
    <t>=H276</t>
  </si>
  <si>
    <t>=C277</t>
  </si>
  <si>
    <t>=D277</t>
  </si>
  <si>
    <t>=E277</t>
  </si>
  <si>
    <t>=F277</t>
  </si>
  <si>
    <t>=G277</t>
  </si>
  <si>
    <t>=H277</t>
  </si>
  <si>
    <t>=C278</t>
  </si>
  <si>
    <t>=D278</t>
  </si>
  <si>
    <t>=E278</t>
  </si>
  <si>
    <t>=F278</t>
  </si>
  <si>
    <t>=G278</t>
  </si>
  <si>
    <t>=H278</t>
  </si>
  <si>
    <t>=C279</t>
  </si>
  <si>
    <t>=D279</t>
  </si>
  <si>
    <t>=E279</t>
  </si>
  <si>
    <t>=F279</t>
  </si>
  <si>
    <t>=G279</t>
  </si>
  <si>
    <t>=H279</t>
  </si>
  <si>
    <t>=C280</t>
  </si>
  <si>
    <t>=D280</t>
  </si>
  <si>
    <t>=E280</t>
  </si>
  <si>
    <t>=F280</t>
  </si>
  <si>
    <t>=G280</t>
  </si>
  <si>
    <t>=H280</t>
  </si>
  <si>
    <t>=C281</t>
  </si>
  <si>
    <t>=D281</t>
  </si>
  <si>
    <t>=E281</t>
  </si>
  <si>
    <t>=F281</t>
  </si>
  <si>
    <t>=G281</t>
  </si>
  <si>
    <t>=H281</t>
  </si>
  <si>
    <t>=C282</t>
  </si>
  <si>
    <t>=D282</t>
  </si>
  <si>
    <t>=E282</t>
  </si>
  <si>
    <t>=F282</t>
  </si>
  <si>
    <t>=G282</t>
  </si>
  <si>
    <t>=H282</t>
  </si>
  <si>
    <t>=C283</t>
  </si>
  <si>
    <t>=D283</t>
  </si>
  <si>
    <t>=E283</t>
  </si>
  <si>
    <t>=F283</t>
  </si>
  <si>
    <t>=G283</t>
  </si>
  <si>
    <t>=H283</t>
  </si>
  <si>
    <t>=C284</t>
  </si>
  <si>
    <t>=D284</t>
  </si>
  <si>
    <t>=E284</t>
  </si>
  <si>
    <t>=F284</t>
  </si>
  <si>
    <t>=G284</t>
  </si>
  <si>
    <t>=H284</t>
  </si>
  <si>
    <t>=C285</t>
  </si>
  <si>
    <t>=D285</t>
  </si>
  <si>
    <t>=E285</t>
  </si>
  <si>
    <t>=F285</t>
  </si>
  <si>
    <t>=G285</t>
  </si>
  <si>
    <t>=H285</t>
  </si>
  <si>
    <t>=C286</t>
  </si>
  <si>
    <t>=D286</t>
  </si>
  <si>
    <t>=E286</t>
  </si>
  <si>
    <t>=F286</t>
  </si>
  <si>
    <t>=G286</t>
  </si>
  <si>
    <t>=H286</t>
  </si>
  <si>
    <t>=C287</t>
  </si>
  <si>
    <t>=D287</t>
  </si>
  <si>
    <t>=E287</t>
  </si>
  <si>
    <t>=F287</t>
  </si>
  <si>
    <t>=G287</t>
  </si>
  <si>
    <t>=H287</t>
  </si>
  <si>
    <t>=C288</t>
  </si>
  <si>
    <t>=D288</t>
  </si>
  <si>
    <t>=E288</t>
  </si>
  <si>
    <t>=F288</t>
  </si>
  <si>
    <t>=G288</t>
  </si>
  <si>
    <t>=H288</t>
  </si>
  <si>
    <t>=C289</t>
  </si>
  <si>
    <t>=D289</t>
  </si>
  <si>
    <t>=E289</t>
  </si>
  <si>
    <t>=F289</t>
  </si>
  <si>
    <t>=G289</t>
  </si>
  <si>
    <t>=H289</t>
  </si>
  <si>
    <t>=C290</t>
  </si>
  <si>
    <t>=D290</t>
  </si>
  <si>
    <t>=E290</t>
  </si>
  <si>
    <t>=F290</t>
  </si>
  <si>
    <t>=G290</t>
  </si>
  <si>
    <t>=H290</t>
  </si>
  <si>
    <t>=C291</t>
  </si>
  <si>
    <t>=D291</t>
  </si>
  <si>
    <t>=E291</t>
  </si>
  <si>
    <t>=F291</t>
  </si>
  <si>
    <t>=G291</t>
  </si>
  <si>
    <t>=H291</t>
  </si>
  <si>
    <t>=C292</t>
  </si>
  <si>
    <t>=D292</t>
  </si>
  <si>
    <t>=E292</t>
  </si>
  <si>
    <t>=F292</t>
  </si>
  <si>
    <t>=G292</t>
  </si>
  <si>
    <t>=H292</t>
  </si>
  <si>
    <t>=C310</t>
  </si>
  <si>
    <t>=C311</t>
  </si>
  <si>
    <t>=C312</t>
  </si>
  <si>
    <t>=C313</t>
  </si>
  <si>
    <t>=C314</t>
  </si>
  <si>
    <t>=C315</t>
  </si>
  <si>
    <t>=C316</t>
  </si>
  <si>
    <t>=C319</t>
  </si>
  <si>
    <t>=D319</t>
  </si>
  <si>
    <t>=E319</t>
  </si>
  <si>
    <t>=C320</t>
  </si>
  <si>
    <t>=D320</t>
  </si>
  <si>
    <t>=E320</t>
  </si>
  <si>
    <t>=C321</t>
  </si>
  <si>
    <t>=D321</t>
  </si>
  <si>
    <t>=E321</t>
  </si>
  <si>
    <t>=C322</t>
  </si>
  <si>
    <t>=D322</t>
  </si>
  <si>
    <t>=E322</t>
  </si>
  <si>
    <t>=C323</t>
  </si>
  <si>
    <t>=D323</t>
  </si>
  <si>
    <t>=E323</t>
  </si>
  <si>
    <t>=C324</t>
  </si>
  <si>
    <t>=D324</t>
  </si>
  <si>
    <t>=E324</t>
  </si>
  <si>
    <t>=C325</t>
  </si>
  <si>
    <t>=D325</t>
  </si>
  <si>
    <t>=E325</t>
  </si>
  <si>
    <t>=C326</t>
  </si>
  <si>
    <t>=D326</t>
  </si>
  <si>
    <t>=E326</t>
  </si>
  <si>
    <t>=C327</t>
  </si>
  <si>
    <t>=D327</t>
  </si>
  <si>
    <t>=E327</t>
  </si>
  <si>
    <t>=C328</t>
  </si>
  <si>
    <t>=D328</t>
  </si>
  <si>
    <t>=E328</t>
  </si>
  <si>
    <t>=C329</t>
  </si>
  <si>
    <t>=D329</t>
  </si>
  <si>
    <t>=E329</t>
  </si>
  <si>
    <t>=C332</t>
  </si>
  <si>
    <t>=C333</t>
  </si>
  <si>
    <t>=C334</t>
  </si>
  <si>
    <t>=C335</t>
  </si>
  <si>
    <t>=C336</t>
  </si>
  <si>
    <t>=C339</t>
  </si>
  <si>
    <t>=C342</t>
  </si>
  <si>
    <t>=C343</t>
  </si>
  <si>
    <t>=C344</t>
  </si>
  <si>
    <t>=C345</t>
  </si>
  <si>
    <t>=C349</t>
  </si>
  <si>
    <t>=C350</t>
  </si>
  <si>
    <t>=C351</t>
  </si>
  <si>
    <t>=C352</t>
  </si>
  <si>
    <t>=C353</t>
  </si>
  <si>
    <t>=C354</t>
  </si>
  <si>
    <t>=C355</t>
  </si>
  <si>
    <t>=C356</t>
  </si>
  <si>
    <t>=D349</t>
  </si>
  <si>
    <t>=D350</t>
  </si>
  <si>
    <t>=D351</t>
  </si>
  <si>
    <t>=D352</t>
  </si>
  <si>
    <t>=D353</t>
  </si>
  <si>
    <t>=D354</t>
  </si>
  <si>
    <t>=D355</t>
  </si>
  <si>
    <t>=D356</t>
  </si>
  <si>
    <t>=E349</t>
  </si>
  <si>
    <t>=E350</t>
  </si>
  <si>
    <t>=E351</t>
  </si>
  <si>
    <t>=E352</t>
  </si>
  <si>
    <t>=E353</t>
  </si>
  <si>
    <t>=E354</t>
  </si>
  <si>
    <t>=E355</t>
  </si>
  <si>
    <t>=E356</t>
  </si>
  <si>
    <t>=F349</t>
  </si>
  <si>
    <t>=F350</t>
  </si>
  <si>
    <t>=F351</t>
  </si>
  <si>
    <t>=F352</t>
  </si>
  <si>
    <t>=F353</t>
  </si>
  <si>
    <t>=F354</t>
  </si>
  <si>
    <t>=F355</t>
  </si>
  <si>
    <t>=F356</t>
  </si>
  <si>
    <t>=G349</t>
  </si>
  <si>
    <t>=G350</t>
  </si>
  <si>
    <t>=G351</t>
  </si>
  <si>
    <t>=G352</t>
  </si>
  <si>
    <t>=G353</t>
  </si>
  <si>
    <t>=G354</t>
  </si>
  <si>
    <t>=G355</t>
  </si>
  <si>
    <t>=G356</t>
  </si>
  <si>
    <t>=H349</t>
  </si>
  <si>
    <t>=H350</t>
  </si>
  <si>
    <t>=H351</t>
  </si>
  <si>
    <t>=H352</t>
  </si>
  <si>
    <t>=H353</t>
  </si>
  <si>
    <t>=H354</t>
  </si>
  <si>
    <t>=H355</t>
  </si>
  <si>
    <t>=H356</t>
  </si>
  <si>
    <t>=I349</t>
  </si>
  <si>
    <t>=I350</t>
  </si>
  <si>
    <t>=I351</t>
  </si>
  <si>
    <t>=I352</t>
  </si>
  <si>
    <t>=I353</t>
  </si>
  <si>
    <t>=I354</t>
  </si>
  <si>
    <t>=I355</t>
  </si>
  <si>
    <t>=I356</t>
  </si>
  <si>
    <t>=J349</t>
  </si>
  <si>
    <t>=J350</t>
  </si>
  <si>
    <t>=J351</t>
  </si>
  <si>
    <t>=J352</t>
  </si>
  <si>
    <t>=J353</t>
  </si>
  <si>
    <t>=J354</t>
  </si>
  <si>
    <t>=J355</t>
  </si>
  <si>
    <t>=J356</t>
  </si>
  <si>
    <t>=K349</t>
  </si>
  <si>
    <t>=K350</t>
  </si>
  <si>
    <t>=K351</t>
  </si>
  <si>
    <t>=K352</t>
  </si>
  <si>
    <t>=K353</t>
  </si>
  <si>
    <t>=K354</t>
  </si>
  <si>
    <t>=K355</t>
  </si>
  <si>
    <t>=K356</t>
  </si>
  <si>
    <t>=L349</t>
  </si>
  <si>
    <t>=L350</t>
  </si>
  <si>
    <t>=L351</t>
  </si>
  <si>
    <t>=L352</t>
  </si>
  <si>
    <t>=L353</t>
  </si>
  <si>
    <t>=L354</t>
  </si>
  <si>
    <t>=L355</t>
  </si>
  <si>
    <t>=L356</t>
  </si>
  <si>
    <t>=M349</t>
  </si>
  <si>
    <t>=M350</t>
  </si>
  <si>
    <t>=M351</t>
  </si>
  <si>
    <t>=M352</t>
  </si>
  <si>
    <t>=M353</t>
  </si>
  <si>
    <t>=M354</t>
  </si>
  <si>
    <t>=M355</t>
  </si>
  <si>
    <t>=M356</t>
  </si>
  <si>
    <t>=N349</t>
  </si>
  <si>
    <t>=N350</t>
  </si>
  <si>
    <t>=N351</t>
  </si>
  <si>
    <t>=N352</t>
  </si>
  <si>
    <t>=N353</t>
  </si>
  <si>
    <t>=N354</t>
  </si>
  <si>
    <t>=N355</t>
  </si>
  <si>
    <t>=N356</t>
  </si>
  <si>
    <t>=O349</t>
  </si>
  <si>
    <t>=O350</t>
  </si>
  <si>
    <t>=O351</t>
  </si>
  <si>
    <t>=O352</t>
  </si>
  <si>
    <t>=O353</t>
  </si>
  <si>
    <t>=O354</t>
  </si>
  <si>
    <t>=O355</t>
  </si>
  <si>
    <t>=O356</t>
  </si>
  <si>
    <t>=P349</t>
  </si>
  <si>
    <t>=P350</t>
  </si>
  <si>
    <t>=P351</t>
  </si>
  <si>
    <t>=P352</t>
  </si>
  <si>
    <t>=P353</t>
  </si>
  <si>
    <t>=P354</t>
  </si>
  <si>
    <t>=P355</t>
  </si>
  <si>
    <t>=P356</t>
  </si>
  <si>
    <t>=Q349</t>
  </si>
  <si>
    <t>=Q350</t>
  </si>
  <si>
    <t>=Q351</t>
  </si>
  <si>
    <t>=Q352</t>
  </si>
  <si>
    <t>=Q353</t>
  </si>
  <si>
    <t>=Q354</t>
  </si>
  <si>
    <t>=Q355</t>
  </si>
  <si>
    <t>=Q356</t>
  </si>
  <si>
    <t>=R349</t>
  </si>
  <si>
    <t>=R350</t>
  </si>
  <si>
    <t>=R351</t>
  </si>
  <si>
    <t>=R352</t>
  </si>
  <si>
    <t>=R353</t>
  </si>
  <si>
    <t>=R354</t>
  </si>
  <si>
    <t>=R355</t>
  </si>
  <si>
    <t>=R356</t>
  </si>
  <si>
    <t>=S349</t>
  </si>
  <si>
    <t>=S350</t>
  </si>
  <si>
    <t>=S351</t>
  </si>
  <si>
    <t>=S352</t>
  </si>
  <si>
    <t>=S353</t>
  </si>
  <si>
    <t>=S354</t>
  </si>
  <si>
    <t>=S355</t>
  </si>
  <si>
    <t>=S356</t>
  </si>
  <si>
    <t>=T349</t>
  </si>
  <si>
    <t>=T350</t>
  </si>
  <si>
    <t>=T351</t>
  </si>
  <si>
    <t>=T352</t>
  </si>
  <si>
    <t>=T353</t>
  </si>
  <si>
    <t>=T354</t>
  </si>
  <si>
    <t>=T355</t>
  </si>
  <si>
    <t>=T356</t>
  </si>
  <si>
    <t>=U349</t>
  </si>
  <si>
    <t>=U350</t>
  </si>
  <si>
    <t>=U351</t>
  </si>
  <si>
    <t>=U352</t>
  </si>
  <si>
    <t>=U353</t>
  </si>
  <si>
    <t>=U354</t>
  </si>
  <si>
    <t>=U355</t>
  </si>
  <si>
    <t>=U356</t>
  </si>
  <si>
    <t>=V349</t>
  </si>
  <si>
    <t>=V350</t>
  </si>
  <si>
    <t>=V351</t>
  </si>
  <si>
    <t>=V352</t>
  </si>
  <si>
    <t>=V353</t>
  </si>
  <si>
    <t>=V354</t>
  </si>
  <si>
    <t>=V355</t>
  </si>
  <si>
    <t>=V356</t>
  </si>
  <si>
    <t>=W349</t>
  </si>
  <si>
    <t>=W350</t>
  </si>
  <si>
    <t>=W351</t>
  </si>
  <si>
    <t>=W352</t>
  </si>
  <si>
    <t>=W353</t>
  </si>
  <si>
    <t>=W354</t>
  </si>
  <si>
    <t>=W355</t>
  </si>
  <si>
    <t>=W356</t>
  </si>
  <si>
    <t>=X349</t>
  </si>
  <si>
    <t>=X350</t>
  </si>
  <si>
    <t>=X351</t>
  </si>
  <si>
    <t>=X352</t>
  </si>
  <si>
    <t>=X353</t>
  </si>
  <si>
    <t>=X354</t>
  </si>
  <si>
    <t>=X355</t>
  </si>
  <si>
    <t>=X356</t>
  </si>
  <si>
    <t>=Y349</t>
  </si>
  <si>
    <t>=Y350</t>
  </si>
  <si>
    <t>=Y351</t>
  </si>
  <si>
    <t>=Y352</t>
  </si>
  <si>
    <t>=Y353</t>
  </si>
  <si>
    <t>=Y354</t>
  </si>
  <si>
    <t>=Y355</t>
  </si>
  <si>
    <t>=Y356</t>
  </si>
  <si>
    <t>=Z349</t>
  </si>
  <si>
    <t>=Z350</t>
  </si>
  <si>
    <t>=Z351</t>
  </si>
  <si>
    <t>=Z352</t>
  </si>
  <si>
    <t>=Z353</t>
  </si>
  <si>
    <t>=Z354</t>
  </si>
  <si>
    <t>=Z355</t>
  </si>
  <si>
    <t>=Z356</t>
  </si>
  <si>
    <t>=AA349</t>
  </si>
  <si>
    <t>=AA350</t>
  </si>
  <si>
    <t>=AA351</t>
  </si>
  <si>
    <t>=AA352</t>
  </si>
  <si>
    <t>=AA353</t>
  </si>
  <si>
    <t>=AA354</t>
  </si>
  <si>
    <t>=AA355</t>
  </si>
  <si>
    <t>=AA356</t>
  </si>
  <si>
    <t>=AB349</t>
  </si>
  <si>
    <t>=AB350</t>
  </si>
  <si>
    <t>=AB351</t>
  </si>
  <si>
    <t>=AB352</t>
  </si>
  <si>
    <t>=AB353</t>
  </si>
  <si>
    <t>=AB354</t>
  </si>
  <si>
    <t>=AB355</t>
  </si>
  <si>
    <t>=AB356</t>
  </si>
  <si>
    <t>=AC349</t>
  </si>
  <si>
    <t>=AC350</t>
  </si>
  <si>
    <t>=AC351</t>
  </si>
  <si>
    <t>=AC352</t>
  </si>
  <si>
    <t>=AC353</t>
  </si>
  <si>
    <t>=AC354</t>
  </si>
  <si>
    <t>=AC355</t>
  </si>
  <si>
    <t>=AC356</t>
  </si>
  <si>
    <t>=AD349</t>
  </si>
  <si>
    <t>=AD350</t>
  </si>
  <si>
    <t>=AD351</t>
  </si>
  <si>
    <t>=AD352</t>
  </si>
  <si>
    <t>=AD353</t>
  </si>
  <si>
    <t>=AD354</t>
  </si>
  <si>
    <t>=AD355</t>
  </si>
  <si>
    <t>=AD356</t>
  </si>
  <si>
    <t>=AE349</t>
  </si>
  <si>
    <t>=AE350</t>
  </si>
  <si>
    <t>=AE351</t>
  </si>
  <si>
    <t>=AE352</t>
  </si>
  <si>
    <t>=AE353</t>
  </si>
  <si>
    <t>=AE354</t>
  </si>
  <si>
    <t>=AE355</t>
  </si>
  <si>
    <t>=AE356</t>
  </si>
  <si>
    <t>=AF349</t>
  </si>
  <si>
    <t>=AF350</t>
  </si>
  <si>
    <t>=AF351</t>
  </si>
  <si>
    <t>=AF352</t>
  </si>
  <si>
    <t>=AF353</t>
  </si>
  <si>
    <t>=AF354</t>
  </si>
  <si>
    <t>=AF355</t>
  </si>
  <si>
    <t>=AF356</t>
  </si>
  <si>
    <t>=AG349</t>
  </si>
  <si>
    <t>=AG350</t>
  </si>
  <si>
    <t>=AG351</t>
  </si>
  <si>
    <t>=AG352</t>
  </si>
  <si>
    <t>=AG353</t>
  </si>
  <si>
    <t>=AG354</t>
  </si>
  <si>
    <t>=AG355</t>
  </si>
  <si>
    <t>=AG356</t>
  </si>
  <si>
    <t>=AH349</t>
  </si>
  <si>
    <t>=AH350</t>
  </si>
  <si>
    <t>=AH351</t>
  </si>
  <si>
    <t>=AH352</t>
  </si>
  <si>
    <t>=AH353</t>
  </si>
  <si>
    <t>=AH354</t>
  </si>
  <si>
    <t>=AH355</t>
  </si>
  <si>
    <t>=AH356</t>
  </si>
  <si>
    <t>=AI349</t>
  </si>
  <si>
    <t>=AI350</t>
  </si>
  <si>
    <t>=AI351</t>
  </si>
  <si>
    <t>=AI352</t>
  </si>
  <si>
    <t>=AI353</t>
  </si>
  <si>
    <t>=AI354</t>
  </si>
  <si>
    <t>=AI355</t>
  </si>
  <si>
    <t>=AI356</t>
  </si>
  <si>
    <t>=AJ349</t>
  </si>
  <si>
    <t>=AJ350</t>
  </si>
  <si>
    <t>=AJ351</t>
  </si>
  <si>
    <t>=AJ352</t>
  </si>
  <si>
    <t>=AJ353</t>
  </si>
  <si>
    <t>=AJ354</t>
  </si>
  <si>
    <t>=AJ355</t>
  </si>
  <si>
    <t>=AJ356</t>
  </si>
  <si>
    <t>=AK349</t>
  </si>
  <si>
    <t>=AK350</t>
  </si>
  <si>
    <t>=AK351</t>
  </si>
  <si>
    <t>=AK352</t>
  </si>
  <si>
    <t>=AK353</t>
  </si>
  <si>
    <t>=AK354</t>
  </si>
  <si>
    <t>=AK355</t>
  </si>
  <si>
    <t>=AK356</t>
  </si>
  <si>
    <t>=AL349</t>
  </si>
  <si>
    <t>=AL350</t>
  </si>
  <si>
    <t>=AL351</t>
  </si>
  <si>
    <t>=AL352</t>
  </si>
  <si>
    <t>=AL353</t>
  </si>
  <si>
    <t>=AL354</t>
  </si>
  <si>
    <t>=AL355</t>
  </si>
  <si>
    <t>=AL356</t>
  </si>
  <si>
    <t>=AM349</t>
  </si>
  <si>
    <t>=AM350</t>
  </si>
  <si>
    <t>=AM351</t>
  </si>
  <si>
    <t>=AM352</t>
  </si>
  <si>
    <t>=AM353</t>
  </si>
  <si>
    <t>=AM354</t>
  </si>
  <si>
    <t>=AM355</t>
  </si>
  <si>
    <t>=AM356</t>
  </si>
  <si>
    <t>=AN349</t>
  </si>
  <si>
    <t>=AN350</t>
  </si>
  <si>
    <t>=AN351</t>
  </si>
  <si>
    <t>=AN352</t>
  </si>
  <si>
    <t>=AN353</t>
  </si>
  <si>
    <t>=AN354</t>
  </si>
  <si>
    <t>=AN355</t>
  </si>
  <si>
    <t>=AN356</t>
  </si>
  <si>
    <t>=B298</t>
  </si>
  <si>
    <t>=B299</t>
  </si>
  <si>
    <t>=B300</t>
  </si>
  <si>
    <t>=B302</t>
  </si>
  <si>
    <t>=B303</t>
  </si>
  <si>
    <t>=AO349</t>
  </si>
  <si>
    <t>=AO350</t>
  </si>
  <si>
    <t>=AO351</t>
  </si>
  <si>
    <t>=AO352</t>
  </si>
  <si>
    <t>=AO353</t>
  </si>
  <si>
    <t>=AO354</t>
  </si>
  <si>
    <t>=AO355</t>
  </si>
  <si>
    <t>=AO356</t>
  </si>
  <si>
    <t>AP</t>
  </si>
  <si>
    <t>AQ</t>
  </si>
  <si>
    <t>AR</t>
  </si>
  <si>
    <t>AS</t>
  </si>
  <si>
    <t>AT</t>
  </si>
  <si>
    <t>=AP349</t>
  </si>
  <si>
    <t>=AP350</t>
  </si>
  <si>
    <t>=AP351</t>
  </si>
  <si>
    <t>=AP352</t>
  </si>
  <si>
    <t>=AP353</t>
  </si>
  <si>
    <t>=AP354</t>
  </si>
  <si>
    <t>=AP355</t>
  </si>
  <si>
    <t>=AP356</t>
  </si>
  <si>
    <t>=AQ349</t>
  </si>
  <si>
    <t>=AQ350</t>
  </si>
  <si>
    <t>=AQ351</t>
  </si>
  <si>
    <t>=AQ352</t>
  </si>
  <si>
    <t>=AQ353</t>
  </si>
  <si>
    <t>=AQ354</t>
  </si>
  <si>
    <t>=AQ355</t>
  </si>
  <si>
    <t>=AQ356</t>
  </si>
  <si>
    <t>=AR349</t>
  </si>
  <si>
    <t>=AR350</t>
  </si>
  <si>
    <t>=AR351</t>
  </si>
  <si>
    <t>=AR352</t>
  </si>
  <si>
    <t>=AR353</t>
  </si>
  <si>
    <t>=AR354</t>
  </si>
  <si>
    <t>=AR355</t>
  </si>
  <si>
    <t>=AR356</t>
  </si>
  <si>
    <t>=AS349</t>
  </si>
  <si>
    <t>=AS350</t>
  </si>
  <si>
    <t>=AS351</t>
  </si>
  <si>
    <t>=AS352</t>
  </si>
  <si>
    <t>=AS353</t>
  </si>
  <si>
    <t>=AS354</t>
  </si>
  <si>
    <t>=AS355</t>
  </si>
  <si>
    <t>=AS356</t>
  </si>
  <si>
    <t>=AT349</t>
  </si>
  <si>
    <t>=AT350</t>
  </si>
  <si>
    <t>=AT351</t>
  </si>
  <si>
    <t>=AT352</t>
  </si>
  <si>
    <t>=AT353</t>
  </si>
  <si>
    <t>=AT354</t>
  </si>
  <si>
    <t>=AT355</t>
  </si>
  <si>
    <t>=AT356</t>
  </si>
  <si>
    <t>B293</t>
  </si>
  <si>
    <t>B294</t>
  </si>
  <si>
    <t>B295</t>
  </si>
  <si>
    <t>B296</t>
  </si>
  <si>
    <t>=B293</t>
  </si>
  <si>
    <t>=B294</t>
  </si>
  <si>
    <t>=B295</t>
  </si>
  <si>
    <t>=B296</t>
  </si>
  <si>
    <t>=B301</t>
  </si>
  <si>
    <t>TÄSSÄ MENOSSA</t>
  </si>
  <si>
    <t>London</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</si>
</sst>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
    <numFmt numFmtId="165" formatCode="0.000"/>
    <numFmt numFmtId="166" formatCode="#,##0.0"/>
    <numFmt numFmtId="167" formatCode="0.0000"/>
    <numFmt numFmtId="168" formatCode="#,##0.000"/>
  </numFmts>
  <fonts count="100">
    <font>
      <sz val="11"/>
      <color theme="1"/>
      <name val="Calibri"/>
      <family val="2"/>
      <scheme val="minor"/>
    </font>
    <font>
      <sz val="10"/>
      <name val="Arial"/>
      <family val="2"/>
    </font>
    <font>
      <sz val="9"/>
      <color indexed="81"/>
      <name val="Tahoma"/>
      <family val="2"/>
    </font>
    <font>
      <b/>
      <sz val="9"/>
      <color indexed="81"/>
      <name val="Tahoma"/>
      <family val="2"/>
    </font>
    <font>
      <sz val="10"/>
      <color theme="1"/>
      <name val="Arial"/>
      <family val="2"/>
    </font>
    <font>
      <sz val="9"/>
      <color indexed="81"/>
      <name val="Tahoma"/>
      <family val="2"/>
      <charset val="186"/>
    </font>
    <font>
      <b/>
      <sz val="9"/>
      <color indexed="81"/>
      <name val="Tahoma"/>
      <family val="2"/>
      <charset val="186"/>
    </font>
    <font>
      <b/>
      <sz val="12"/>
      <color theme="0"/>
      <name val="Albertus Medium"/>
      <family val="2"/>
    </font>
    <font>
      <sz val="11"/>
      <name val="Albertus Medium"/>
      <family val="2"/>
    </font>
    <font>
      <sz val="10"/>
      <color theme="1"/>
      <name val="Albertus Medium"/>
      <family val="2"/>
    </font>
    <font>
      <sz val="11"/>
      <color theme="1"/>
      <name val="Albertus Medium"/>
      <family val="2"/>
    </font>
    <font>
      <b/>
      <sz val="14"/>
      <color theme="1"/>
      <name val="Albertus Medium"/>
      <family val="2"/>
    </font>
    <font>
      <sz val="10"/>
      <color theme="0" tint="-0.499984740745262"/>
      <name val="Albertus Medium"/>
      <family val="2"/>
    </font>
    <font>
      <sz val="12"/>
      <color theme="1"/>
      <name val="Albertus Medium"/>
      <family val="2"/>
    </font>
    <font>
      <vertAlign val="subscript"/>
      <sz val="10"/>
      <color theme="1"/>
      <name val="Albertus Medium"/>
      <family val="2"/>
    </font>
    <font>
      <b/>
      <sz val="11"/>
      <color theme="1"/>
      <name val="Albertus Medium"/>
      <family val="2"/>
    </font>
    <font>
      <b/>
      <sz val="10"/>
      <color theme="1"/>
      <name val="Albertus Medium"/>
      <family val="2"/>
    </font>
    <font>
      <sz val="10"/>
      <name val="Albertus Medium"/>
      <family val="2"/>
    </font>
    <font>
      <i/>
      <sz val="10"/>
      <color rgb="FFC00000"/>
      <name val="Albertus Medium"/>
      <family val="2"/>
    </font>
    <font>
      <b/>
      <sz val="12"/>
      <color theme="1"/>
      <name val="Albertus Medium"/>
      <family val="2"/>
    </font>
    <font>
      <i/>
      <sz val="10"/>
      <color rgb="FFFF0000"/>
      <name val="Albertus Medium"/>
      <family val="2"/>
    </font>
    <font>
      <sz val="9"/>
      <color theme="1"/>
      <name val="Albertus Medium"/>
      <family val="2"/>
    </font>
    <font>
      <sz val="9"/>
      <name val="Albertus Medium"/>
      <family val="2"/>
    </font>
    <font>
      <sz val="8"/>
      <color theme="1"/>
      <name val="Albertus Medium"/>
      <family val="2"/>
    </font>
    <font>
      <i/>
      <sz val="9"/>
      <color rgb="FFFF0000"/>
      <name val="Albertus Medium"/>
      <family val="2"/>
    </font>
    <font>
      <i/>
      <sz val="10"/>
      <color theme="1"/>
      <name val="Albertus Medium"/>
      <family val="2"/>
    </font>
    <font>
      <sz val="10"/>
      <color theme="1"/>
      <name val="Arial Unicode MS"/>
      <family val="2"/>
      <charset val="186"/>
    </font>
    <font>
      <sz val="10"/>
      <color theme="1"/>
      <name val="Calibri"/>
      <family val="2"/>
      <scheme val="minor"/>
    </font>
    <font>
      <vertAlign val="subscript"/>
      <sz val="11"/>
      <color theme="1"/>
      <name val="Albertus Medium"/>
      <family val="2"/>
    </font>
    <font>
      <sz val="10"/>
      <name val="Arial Unicode MS"/>
      <family val="2"/>
      <charset val="186"/>
    </font>
    <font>
      <vertAlign val="subscript"/>
      <sz val="10"/>
      <name val="Albertus Medium"/>
      <family val="2"/>
    </font>
    <font>
      <sz val="12"/>
      <color theme="1"/>
      <name val="Arial Unicode MS"/>
      <family val="2"/>
      <charset val="186"/>
    </font>
    <font>
      <vertAlign val="subscript"/>
      <sz val="10"/>
      <color theme="1"/>
      <name val="Arial Unicode MS"/>
      <family val="2"/>
      <charset val="186"/>
    </font>
    <font>
      <vertAlign val="subscript"/>
      <sz val="10"/>
      <name val="Arial Unicode MS"/>
      <family val="2"/>
      <charset val="186"/>
    </font>
    <font>
      <sz val="10"/>
      <color theme="0" tint="-0.499984740745262"/>
      <name val="Arial Unicode MS"/>
      <family val="2"/>
      <charset val="186"/>
    </font>
    <font>
      <b/>
      <sz val="10"/>
      <color theme="1"/>
      <name val="Arial Unicode MS"/>
      <family val="2"/>
      <charset val="186"/>
    </font>
    <font>
      <b/>
      <sz val="11"/>
      <color theme="1"/>
      <name val="Albertus Medium"/>
      <family val="2"/>
    </font>
    <font>
      <i/>
      <sz val="10"/>
      <name val="Arial Unicode MS"/>
      <family val="2"/>
      <charset val="186"/>
    </font>
    <font>
      <i/>
      <sz val="10"/>
      <color theme="1"/>
      <name val="Arial Unicode MS"/>
      <family val="2"/>
      <charset val="186"/>
    </font>
    <font>
      <i/>
      <sz val="10"/>
      <color theme="1"/>
      <name val="Albertus Medium"/>
      <family val="2"/>
    </font>
    <font>
      <i/>
      <sz val="10"/>
      <color theme="0" tint="-0.499984740745262"/>
      <name val="Arial Unicode MS"/>
      <family val="2"/>
      <charset val="186"/>
    </font>
    <font>
      <b/>
      <sz val="10"/>
      <name val="Arial Unicode MS"/>
      <family val="2"/>
      <charset val="186"/>
    </font>
    <font>
      <sz val="9"/>
      <color theme="1"/>
      <name val="Arial Unicode MS"/>
      <family val="2"/>
      <charset val="186"/>
    </font>
    <font>
      <i/>
      <sz val="10"/>
      <color rgb="FFC00000"/>
      <name val="Albertus Medium"/>
      <family val="2"/>
    </font>
    <font>
      <i/>
      <sz val="11"/>
      <color rgb="FFC00000"/>
      <name val="Albertus Medium"/>
      <family val="2"/>
    </font>
    <font>
      <i/>
      <sz val="10"/>
      <color theme="0" tint="-0.499984740745262"/>
      <name val="Calibri"/>
      <family val="2"/>
      <charset val="186"/>
      <scheme val="minor"/>
    </font>
    <font>
      <sz val="11"/>
      <color theme="1"/>
      <name val="Arial Unicode MS"/>
      <family val="2"/>
      <charset val="186"/>
    </font>
    <font>
      <sz val="10"/>
      <color theme="1"/>
      <name val="Calibri"/>
      <family val="2"/>
      <charset val="186"/>
    </font>
    <font>
      <vertAlign val="subscript"/>
      <sz val="9"/>
      <color theme="1"/>
      <name val="Arial Unicode MS"/>
      <family val="2"/>
      <charset val="186"/>
    </font>
    <font>
      <sz val="11"/>
      <color theme="0" tint="-0.499984740745262"/>
      <name val="Albertus Medium"/>
      <family val="2"/>
    </font>
    <font>
      <sz val="11"/>
      <color theme="0" tint="-0.499984740745262"/>
      <name val="Arial Unicode MS"/>
      <family val="2"/>
      <charset val="186"/>
    </font>
    <font>
      <b/>
      <sz val="11"/>
      <color theme="0" tint="-0.499984740745262"/>
      <name val="Arial Unicode MS"/>
      <family val="2"/>
      <charset val="186"/>
    </font>
    <font>
      <sz val="28"/>
      <color theme="1"/>
      <name val="Albertus Medium"/>
      <family val="2"/>
    </font>
    <font>
      <i/>
      <sz val="10"/>
      <color rgb="FFC00000"/>
      <name val="Arial Unicode MS"/>
      <family val="2"/>
      <charset val="186"/>
    </font>
    <font>
      <b/>
      <vertAlign val="subscript"/>
      <sz val="10"/>
      <color theme="1"/>
      <name val="Arial Unicode MS"/>
      <family val="2"/>
      <charset val="186"/>
    </font>
    <font>
      <sz val="8"/>
      <color theme="1"/>
      <name val="Arial Unicode MS"/>
      <family val="2"/>
      <charset val="186"/>
    </font>
    <font>
      <vertAlign val="superscript"/>
      <sz val="8"/>
      <color theme="1"/>
      <name val="Albertus Medium"/>
      <family val="2"/>
    </font>
    <font>
      <sz val="11"/>
      <name val="Arial Unicode MS"/>
      <family val="2"/>
      <charset val="186"/>
    </font>
    <font>
      <i/>
      <sz val="11"/>
      <color rgb="FFFF0000"/>
      <name val="Arial Unicode MS"/>
      <family val="2"/>
      <charset val="186"/>
    </font>
    <font>
      <b/>
      <sz val="11"/>
      <color theme="1"/>
      <name val="Arial Unicode MS"/>
      <family val="2"/>
      <charset val="186"/>
    </font>
    <font>
      <b/>
      <sz val="9"/>
      <color theme="1"/>
      <name val="Arial Unicode MS"/>
      <family val="2"/>
      <charset val="186"/>
    </font>
    <font>
      <i/>
      <sz val="10"/>
      <color rgb="FFFF0066"/>
      <name val="Arial Unicode MS"/>
      <family val="2"/>
      <charset val="186"/>
    </font>
    <font>
      <vertAlign val="superscript"/>
      <sz val="10"/>
      <color theme="1"/>
      <name val="Albertus Medium"/>
      <family val="2"/>
    </font>
    <font>
      <sz val="11"/>
      <color rgb="FF000000"/>
      <name val="Calibri"/>
      <family val="2"/>
      <charset val="186"/>
    </font>
    <font>
      <sz val="14"/>
      <color theme="1"/>
      <name val="Albertus Medium"/>
      <family val="2"/>
    </font>
    <font>
      <b/>
      <i/>
      <sz val="10"/>
      <color rgb="FFFF0066"/>
      <name val="Arial Unicode MS"/>
      <family val="2"/>
      <charset val="186"/>
    </font>
    <font>
      <i/>
      <sz val="10"/>
      <color rgb="FFFF0000"/>
      <name val="Arial Unicode MS"/>
      <family val="2"/>
      <charset val="186"/>
    </font>
    <font>
      <i/>
      <sz val="11"/>
      <color rgb="FFFF0066"/>
      <name val="Arial Unicode MS"/>
      <family val="2"/>
      <charset val="186"/>
    </font>
    <font>
      <b/>
      <sz val="10"/>
      <color theme="0" tint="-0.499984740745262"/>
      <name val="Arial Unicode MS"/>
      <family val="2"/>
      <charset val="186"/>
    </font>
    <font>
      <b/>
      <i/>
      <sz val="11"/>
      <color rgb="FFFF0066"/>
      <name val="Arial Unicode MS"/>
      <family val="2"/>
      <charset val="186"/>
    </font>
    <font>
      <b/>
      <i/>
      <sz val="10"/>
      <color rgb="FFC00000"/>
      <name val="Arial Unicode MS"/>
      <family val="2"/>
      <charset val="186"/>
    </font>
    <font>
      <b/>
      <i/>
      <sz val="11"/>
      <color rgb="FFFF0000"/>
      <name val="Arial Unicode MS"/>
      <family val="2"/>
      <charset val="186"/>
    </font>
    <font>
      <vertAlign val="subscript"/>
      <sz val="11"/>
      <color theme="1"/>
      <name val="Arial Unicode MS"/>
      <family val="2"/>
      <charset val="186"/>
    </font>
    <font>
      <vertAlign val="superscript"/>
      <sz val="10"/>
      <color theme="1"/>
      <name val="Arial Unicode MS"/>
      <family val="2"/>
      <charset val="186"/>
    </font>
    <font>
      <b/>
      <sz val="8"/>
      <color theme="1"/>
      <name val="Arial Unicode MS"/>
      <family val="2"/>
      <charset val="186"/>
    </font>
    <font>
      <sz val="7"/>
      <color theme="1"/>
      <name val="Arial Unicode MS"/>
      <family val="2"/>
      <charset val="186"/>
    </font>
    <font>
      <sz val="6"/>
      <color theme="1"/>
      <name val="Arial Unicode MS"/>
      <family val="2"/>
      <charset val="186"/>
    </font>
    <font>
      <b/>
      <sz val="14"/>
      <color theme="1"/>
      <name val="Symbol"/>
      <family val="1"/>
      <charset val="2"/>
    </font>
    <font>
      <b/>
      <sz val="12"/>
      <color theme="1"/>
      <name val="Arial Unicode MS"/>
      <family val="2"/>
      <charset val="186"/>
    </font>
    <font>
      <b/>
      <vertAlign val="subscript"/>
      <sz val="12"/>
      <color theme="1"/>
      <name val="Arial Unicode MS"/>
      <family val="2"/>
      <charset val="186"/>
    </font>
    <font>
      <b/>
      <vertAlign val="subscript"/>
      <sz val="11"/>
      <color theme="1"/>
      <name val="Arial Unicode MS"/>
      <family val="2"/>
      <charset val="186"/>
    </font>
    <font>
      <sz val="12"/>
      <name val="Arial"/>
      <family val="2"/>
      <charset val="186"/>
    </font>
    <font>
      <sz val="10"/>
      <color rgb="FFFF0000"/>
      <name val="Arial Unicode MS"/>
      <family val="2"/>
      <charset val="186"/>
    </font>
    <font>
      <b/>
      <sz val="10"/>
      <color theme="1"/>
      <name val="Albertus Medium"/>
      <family val="2"/>
    </font>
    <font>
      <vertAlign val="superscript"/>
      <sz val="10"/>
      <name val="Arial Unicode MS"/>
      <family val="2"/>
      <charset val="186"/>
    </font>
    <font>
      <sz val="9"/>
      <name val="Arial Unicode MS"/>
      <family val="2"/>
      <charset val="186"/>
    </font>
    <font>
      <sz val="8"/>
      <name val="Arial Unicode MS"/>
      <family val="2"/>
      <charset val="186"/>
    </font>
    <font>
      <sz val="10"/>
      <color indexed="8"/>
      <name val="Calibri"/>
      <family val="2"/>
      <scheme val="minor"/>
    </font>
    <font>
      <sz val="10"/>
      <color indexed="8"/>
      <name val="Arial Unicode MS"/>
      <family val="2"/>
      <charset val="186"/>
    </font>
    <font>
      <sz val="11"/>
      <color theme="0" tint="-0.499984740745262"/>
      <name val="Albertus Medium"/>
      <family val="2"/>
    </font>
    <font>
      <sz val="10"/>
      <color theme="0" tint="-0.499984740745262"/>
      <name val="Arial Rounded MT Bold"/>
      <family val="2"/>
    </font>
    <font>
      <sz val="11"/>
      <color theme="0" tint="-0.499984740745262"/>
      <name val="Arial Rounded MT Bold"/>
      <family val="2"/>
    </font>
    <font>
      <b/>
      <sz val="12"/>
      <color theme="0"/>
      <name val="Arial Unicode MS"/>
      <family val="2"/>
      <charset val="186"/>
    </font>
    <font>
      <sz val="10"/>
      <color theme="0" tint="-4.9989318521683403E-2"/>
      <name val="Arial Unicode MS"/>
      <family val="2"/>
      <charset val="186"/>
    </font>
    <font>
      <sz val="9"/>
      <color theme="0" tint="-0.499984740745262"/>
      <name val="Arial Unicode MS"/>
      <family val="2"/>
      <charset val="186"/>
    </font>
    <font>
      <i/>
      <sz val="10"/>
      <color theme="1" tint="0.499984740745262"/>
      <name val="Arial Unicode MS"/>
      <family val="2"/>
      <charset val="186"/>
    </font>
    <font>
      <sz val="11"/>
      <color theme="0" tint="-4.9989318521683403E-2"/>
      <name val="Arial Unicode MS"/>
      <family val="2"/>
      <charset val="186"/>
    </font>
    <font>
      <i/>
      <sz val="11"/>
      <color theme="1"/>
      <name val="Arial Unicode MS"/>
      <family val="2"/>
      <charset val="186"/>
    </font>
    <font>
      <u/>
      <sz val="11"/>
      <color theme="10"/>
      <name val="Calibri"/>
      <family val="2"/>
      <scheme val="minor"/>
    </font>
    <font>
      <u/>
      <sz val="10"/>
      <color theme="10"/>
      <name val="Calibri"/>
      <family val="2"/>
      <scheme val="minor"/>
    </font>
  </fonts>
  <fills count="19">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8" tint="-0.49998474074526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7"/>
        <bgColor indexed="64"/>
      </patternFill>
    </fill>
    <fill>
      <patternFill patternType="solid">
        <fgColor theme="5"/>
        <bgColor indexed="64"/>
      </patternFill>
    </fill>
    <fill>
      <patternFill patternType="solid">
        <fgColor theme="5" tint="0.59999389629810485"/>
        <bgColor indexed="64"/>
      </patternFill>
    </fill>
    <fill>
      <patternFill patternType="solid">
        <fgColor rgb="FF66FF33"/>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theme="2" tint="-9.9978637043366805E-2"/>
        <bgColor indexed="64"/>
      </patternFill>
    </fill>
    <fill>
      <patternFill patternType="solid">
        <fgColor rgb="FFFF7C80"/>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top/>
      <bottom style="thin">
        <color indexed="64"/>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style="thin">
        <color indexed="64"/>
      </right>
      <top/>
      <bottom/>
      <diagonal/>
    </border>
    <border>
      <left style="thin">
        <color indexed="64"/>
      </left>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right style="medium">
        <color indexed="64"/>
      </right>
      <top/>
      <bottom style="thin">
        <color indexed="64"/>
      </bottom>
      <diagonal/>
    </border>
    <border>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right/>
      <top style="medium">
        <color indexed="64"/>
      </top>
      <bottom style="thin">
        <color indexed="64"/>
      </bottom>
      <diagonal/>
    </border>
    <border>
      <left style="thin">
        <color indexed="64"/>
      </left>
      <right style="medium">
        <color indexed="64"/>
      </right>
      <top style="thin">
        <color indexed="64"/>
      </top>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right style="thin">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thin">
        <color indexed="64"/>
      </bottom>
      <diagonal/>
    </border>
    <border>
      <left style="thin">
        <color indexed="64"/>
      </left>
      <right/>
      <top/>
      <bottom style="medium">
        <color indexed="64"/>
      </bottom>
      <diagonal/>
    </border>
    <border>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s>
  <cellStyleXfs count="4">
    <xf numFmtId="0" fontId="0" fillId="0" borderId="0"/>
    <xf numFmtId="0" fontId="1" fillId="0" borderId="0"/>
    <xf numFmtId="0" fontId="4" fillId="0" borderId="0"/>
    <xf numFmtId="0" fontId="98" fillId="0" borderId="0" applyNumberFormat="0" applyFill="0" applyBorder="0" applyAlignment="0" applyProtection="0"/>
  </cellStyleXfs>
  <cellXfs count="1695">
    <xf numFmtId="0" fontId="0" fillId="0" borderId="0" xfId="0"/>
    <xf numFmtId="0" fontId="7" fillId="4" borderId="0" xfId="0" applyFont="1" applyFill="1" applyBorder="1" applyAlignment="1">
      <alignment vertical="center"/>
    </xf>
    <xf numFmtId="0" fontId="8" fillId="4" borderId="0" xfId="0" applyFont="1" applyFill="1" applyBorder="1" applyAlignment="1">
      <alignment vertical="center"/>
    </xf>
    <xf numFmtId="0" fontId="10" fillId="3" borderId="0" xfId="0" applyFont="1" applyFill="1"/>
    <xf numFmtId="0" fontId="11" fillId="3" borderId="0" xfId="0" applyFont="1" applyFill="1" applyBorder="1" applyAlignment="1">
      <alignment horizontal="left"/>
    </xf>
    <xf numFmtId="0" fontId="9" fillId="3" borderId="0" xfId="0" applyFont="1" applyFill="1" applyBorder="1" applyAlignment="1">
      <alignment horizontal="left"/>
    </xf>
    <xf numFmtId="0" fontId="9" fillId="3" borderId="0" xfId="0" applyFont="1" applyFill="1"/>
    <xf numFmtId="3" fontId="9" fillId="3" borderId="0" xfId="0" applyNumberFormat="1" applyFont="1" applyFill="1" applyBorder="1" applyAlignment="1">
      <alignment horizontal="center" vertical="center"/>
    </xf>
    <xf numFmtId="0" fontId="10" fillId="4" borderId="0" xfId="0" applyFont="1" applyFill="1"/>
    <xf numFmtId="0" fontId="10" fillId="3" borderId="15" xfId="0" applyFont="1" applyFill="1" applyBorder="1"/>
    <xf numFmtId="0" fontId="10" fillId="3" borderId="21" xfId="0" applyFont="1" applyFill="1" applyBorder="1"/>
    <xf numFmtId="0" fontId="10" fillId="3" borderId="7" xfId="0" applyFont="1" applyFill="1" applyBorder="1"/>
    <xf numFmtId="3" fontId="9" fillId="2" borderId="1" xfId="0" applyNumberFormat="1" applyFont="1" applyFill="1" applyBorder="1" applyAlignment="1">
      <alignment horizontal="center"/>
    </xf>
    <xf numFmtId="0" fontId="9" fillId="3" borderId="0" xfId="0" applyFont="1" applyFill="1" applyBorder="1"/>
    <xf numFmtId="0" fontId="9" fillId="3" borderId="0" xfId="0" applyFont="1" applyFill="1" applyBorder="1" applyAlignment="1">
      <alignment horizontal="center"/>
    </xf>
    <xf numFmtId="0" fontId="10" fillId="3" borderId="4" xfId="0" applyFont="1" applyFill="1" applyBorder="1"/>
    <xf numFmtId="0" fontId="10" fillId="3" borderId="0" xfId="0" applyFont="1" applyFill="1" applyBorder="1"/>
    <xf numFmtId="0" fontId="10" fillId="3" borderId="2" xfId="0" applyFont="1" applyFill="1" applyBorder="1"/>
    <xf numFmtId="0" fontId="10" fillId="3" borderId="16" xfId="0" applyFont="1" applyFill="1" applyBorder="1"/>
    <xf numFmtId="0" fontId="10" fillId="3" borderId="10" xfId="0" applyFont="1" applyFill="1" applyBorder="1"/>
    <xf numFmtId="0" fontId="10" fillId="3" borderId="17" xfId="0" applyFont="1" applyFill="1" applyBorder="1"/>
    <xf numFmtId="0" fontId="10" fillId="2" borderId="0" xfId="0" applyFont="1" applyFill="1" applyBorder="1"/>
    <xf numFmtId="0" fontId="9" fillId="2" borderId="7" xfId="0" applyFont="1" applyFill="1" applyBorder="1"/>
    <xf numFmtId="0" fontId="9" fillId="2" borderId="7" xfId="0" applyFont="1" applyFill="1" applyBorder="1" applyAlignment="1">
      <alignment horizontal="left"/>
    </xf>
    <xf numFmtId="165" fontId="9" fillId="2" borderId="0" xfId="0" applyNumberFormat="1" applyFont="1" applyFill="1" applyBorder="1" applyAlignment="1">
      <alignment horizontal="center"/>
    </xf>
    <xf numFmtId="165" fontId="9" fillId="2" borderId="7" xfId="0" applyNumberFormat="1" applyFont="1" applyFill="1" applyBorder="1" applyAlignment="1">
      <alignment horizontal="center"/>
    </xf>
    <xf numFmtId="165" fontId="16" fillId="2" borderId="0" xfId="0" applyNumberFormat="1" applyFont="1" applyFill="1" applyBorder="1" applyAlignment="1">
      <alignment horizontal="center"/>
    </xf>
    <xf numFmtId="0" fontId="10" fillId="2" borderId="4" xfId="0" applyFont="1" applyFill="1" applyBorder="1"/>
    <xf numFmtId="0" fontId="10" fillId="2" borderId="7" xfId="0" applyFont="1" applyFill="1" applyBorder="1"/>
    <xf numFmtId="0" fontId="20" fillId="2" borderId="0" xfId="0" applyFont="1" applyFill="1" applyBorder="1"/>
    <xf numFmtId="0" fontId="9" fillId="2" borderId="0" xfId="0" applyFont="1" applyFill="1" applyBorder="1"/>
    <xf numFmtId="0" fontId="21" fillId="2" borderId="7" xfId="0" applyFont="1" applyFill="1" applyBorder="1"/>
    <xf numFmtId="0" fontId="22" fillId="2" borderId="7" xfId="0" quotePrefix="1" applyFont="1" applyFill="1" applyBorder="1" applyAlignment="1">
      <alignment horizontal="left"/>
    </xf>
    <xf numFmtId="0" fontId="24" fillId="2" borderId="7" xfId="0" applyFont="1" applyFill="1" applyBorder="1"/>
    <xf numFmtId="0" fontId="21" fillId="2" borderId="17" xfId="0" applyFont="1" applyFill="1" applyBorder="1"/>
    <xf numFmtId="0" fontId="10" fillId="3" borderId="13" xfId="0" applyFont="1" applyFill="1" applyBorder="1"/>
    <xf numFmtId="0" fontId="10" fillId="3" borderId="14" xfId="0" applyFont="1" applyFill="1" applyBorder="1"/>
    <xf numFmtId="0" fontId="12" fillId="3" borderId="0" xfId="0" applyFont="1" applyFill="1" applyBorder="1"/>
    <xf numFmtId="0" fontId="9" fillId="3" borderId="2" xfId="0" applyFont="1" applyFill="1" applyBorder="1" applyAlignment="1">
      <alignment horizontal="center"/>
    </xf>
    <xf numFmtId="0" fontId="7" fillId="4" borderId="0" xfId="0" applyFont="1" applyFill="1" applyAlignment="1">
      <alignment vertical="center"/>
    </xf>
    <xf numFmtId="0" fontId="9" fillId="2" borderId="1" xfId="0" applyFont="1" applyFill="1" applyBorder="1" applyAlignment="1">
      <alignment horizontal="center"/>
    </xf>
    <xf numFmtId="0" fontId="26" fillId="3" borderId="4" xfId="0" applyFont="1" applyFill="1" applyBorder="1"/>
    <xf numFmtId="0" fontId="9" fillId="2" borderId="14" xfId="0" applyFont="1" applyFill="1" applyBorder="1" applyAlignment="1">
      <alignment horizontal="center" wrapText="1"/>
    </xf>
    <xf numFmtId="0" fontId="10" fillId="2" borderId="14" xfId="0" applyFont="1" applyFill="1" applyBorder="1"/>
    <xf numFmtId="0" fontId="10" fillId="2" borderId="15" xfId="0" applyFont="1" applyFill="1" applyBorder="1"/>
    <xf numFmtId="0" fontId="10" fillId="2" borderId="16" xfId="0" applyFont="1" applyFill="1" applyBorder="1"/>
    <xf numFmtId="0" fontId="10" fillId="2" borderId="10" xfId="0" applyFont="1" applyFill="1" applyBorder="1"/>
    <xf numFmtId="0" fontId="10" fillId="2" borderId="17" xfId="0" applyFont="1" applyFill="1" applyBorder="1"/>
    <xf numFmtId="164" fontId="9" fillId="2" borderId="1" xfId="0" applyNumberFormat="1" applyFont="1" applyFill="1" applyBorder="1" applyAlignment="1">
      <alignment horizontal="center"/>
    </xf>
    <xf numFmtId="0" fontId="0" fillId="3" borderId="0" xfId="0" applyFill="1" applyBorder="1"/>
    <xf numFmtId="0" fontId="9" fillId="2" borderId="12" xfId="0" applyFont="1" applyFill="1" applyBorder="1" applyAlignment="1">
      <alignment horizontal="center"/>
    </xf>
    <xf numFmtId="0" fontId="9" fillId="2" borderId="1" xfId="0" applyFont="1" applyFill="1" applyBorder="1"/>
    <xf numFmtId="0" fontId="16" fillId="3" borderId="0" xfId="0" applyFont="1" applyFill="1" applyBorder="1"/>
    <xf numFmtId="0" fontId="26" fillId="3" borderId="1" xfId="0" applyFont="1" applyFill="1" applyBorder="1" applyAlignment="1">
      <alignment horizontal="center"/>
    </xf>
    <xf numFmtId="0" fontId="26" fillId="3" borderId="29" xfId="0" applyFont="1" applyFill="1" applyBorder="1" applyAlignment="1">
      <alignment horizontal="center"/>
    </xf>
    <xf numFmtId="0" fontId="10" fillId="2" borderId="13" xfId="0" applyFont="1" applyFill="1" applyBorder="1"/>
    <xf numFmtId="0" fontId="9" fillId="3" borderId="14" xfId="0" applyFont="1" applyFill="1" applyBorder="1" applyAlignment="1">
      <alignment horizontal="center"/>
    </xf>
    <xf numFmtId="0" fontId="26" fillId="3" borderId="13" xfId="0" applyFont="1" applyFill="1" applyBorder="1"/>
    <xf numFmtId="0" fontId="0" fillId="3" borderId="0" xfId="0" applyFill="1"/>
    <xf numFmtId="0" fontId="10" fillId="2" borderId="6" xfId="0" applyFont="1" applyFill="1" applyBorder="1" applyAlignment="1">
      <alignment horizontal="left" vertical="center"/>
    </xf>
    <xf numFmtId="0" fontId="10" fillId="2" borderId="38" xfId="0" applyFont="1" applyFill="1" applyBorder="1" applyAlignment="1">
      <alignment horizontal="left" vertical="center"/>
    </xf>
    <xf numFmtId="0" fontId="26" fillId="0" borderId="0" xfId="0" applyFont="1"/>
    <xf numFmtId="0" fontId="26" fillId="0" borderId="1" xfId="0" applyFont="1" applyBorder="1"/>
    <xf numFmtId="1" fontId="26" fillId="0" borderId="1" xfId="0" applyNumberFormat="1" applyFont="1" applyFill="1" applyBorder="1" applyAlignment="1">
      <alignment horizontal="center"/>
    </xf>
    <xf numFmtId="0" fontId="9" fillId="2" borderId="0" xfId="0" applyFont="1" applyFill="1" applyBorder="1" applyAlignment="1">
      <alignment horizontal="left"/>
    </xf>
    <xf numFmtId="0" fontId="9" fillId="2" borderId="0" xfId="0" applyFont="1" applyFill="1" applyBorder="1" applyAlignment="1">
      <alignment horizontal="center"/>
    </xf>
    <xf numFmtId="0" fontId="26" fillId="0" borderId="0" xfId="0" applyFont="1" applyFill="1" applyBorder="1"/>
    <xf numFmtId="0" fontId="21" fillId="2" borderId="0" xfId="0" applyFont="1" applyFill="1" applyBorder="1"/>
    <xf numFmtId="0" fontId="22" fillId="2" borderId="0" xfId="0" quotePrefix="1" applyFont="1" applyFill="1" applyBorder="1" applyAlignment="1">
      <alignment horizontal="left"/>
    </xf>
    <xf numFmtId="0" fontId="9" fillId="2" borderId="14" xfId="0" applyFont="1" applyFill="1" applyBorder="1"/>
    <xf numFmtId="0" fontId="9" fillId="2" borderId="15" xfId="0" applyFont="1" applyFill="1" applyBorder="1"/>
    <xf numFmtId="165" fontId="9" fillId="2" borderId="10" xfId="0" applyNumberFormat="1" applyFont="1" applyFill="1" applyBorder="1" applyAlignment="1">
      <alignment horizontal="center"/>
    </xf>
    <xf numFmtId="0" fontId="29" fillId="0" borderId="1" xfId="0" applyFont="1" applyFill="1" applyBorder="1" applyAlignment="1">
      <alignment horizontal="center"/>
    </xf>
    <xf numFmtId="0" fontId="29" fillId="0" borderId="0" xfId="0" applyFont="1" applyFill="1" applyBorder="1" applyAlignment="1">
      <alignment horizontal="center"/>
    </xf>
    <xf numFmtId="0" fontId="29" fillId="0" borderId="0" xfId="0" applyFont="1" applyFill="1" applyAlignment="1">
      <alignment horizontal="center"/>
    </xf>
    <xf numFmtId="164" fontId="29" fillId="0" borderId="1" xfId="0" applyNumberFormat="1" applyFont="1" applyFill="1" applyBorder="1" applyAlignment="1">
      <alignment horizontal="center"/>
    </xf>
    <xf numFmtId="1" fontId="29" fillId="0" borderId="1" xfId="0" applyNumberFormat="1" applyFont="1" applyFill="1" applyBorder="1" applyAlignment="1">
      <alignment horizontal="center"/>
    </xf>
    <xf numFmtId="164" fontId="26" fillId="0" borderId="1" xfId="0" applyNumberFormat="1" applyFont="1" applyFill="1" applyBorder="1" applyAlignment="1">
      <alignment horizontal="center"/>
    </xf>
    <xf numFmtId="0" fontId="10" fillId="2" borderId="2" xfId="0" applyFont="1" applyFill="1" applyBorder="1"/>
    <xf numFmtId="0" fontId="9" fillId="2" borderId="2" xfId="0" applyFont="1" applyFill="1" applyBorder="1" applyAlignment="1">
      <alignment horizontal="center"/>
    </xf>
    <xf numFmtId="0" fontId="9" fillId="2" borderId="21" xfId="0" applyFont="1" applyFill="1" applyBorder="1" applyAlignment="1">
      <alignment horizontal="center"/>
    </xf>
    <xf numFmtId="0" fontId="26" fillId="2" borderId="1" xfId="0" applyFont="1" applyFill="1" applyBorder="1" applyAlignment="1">
      <alignment horizontal="center"/>
    </xf>
    <xf numFmtId="0" fontId="26" fillId="3" borderId="0" xfId="0" applyFont="1" applyFill="1" applyBorder="1"/>
    <xf numFmtId="0" fontId="26" fillId="3" borderId="16" xfId="0" applyFont="1" applyFill="1" applyBorder="1"/>
    <xf numFmtId="0" fontId="29" fillId="3" borderId="3" xfId="0" applyFont="1" applyFill="1" applyBorder="1"/>
    <xf numFmtId="0" fontId="26" fillId="3" borderId="3" xfId="0" applyFont="1" applyFill="1" applyBorder="1"/>
    <xf numFmtId="0" fontId="26" fillId="2" borderId="4" xfId="0" applyFont="1" applyFill="1" applyBorder="1"/>
    <xf numFmtId="0" fontId="26" fillId="2" borderId="0" xfId="0" applyFont="1" applyFill="1" applyBorder="1" applyAlignment="1">
      <alignment horizontal="center"/>
    </xf>
    <xf numFmtId="0" fontId="26" fillId="2" borderId="3" xfId="0" applyFont="1" applyFill="1" applyBorder="1"/>
    <xf numFmtId="0" fontId="10" fillId="2" borderId="21" xfId="0" applyFont="1" applyFill="1" applyBorder="1"/>
    <xf numFmtId="0" fontId="29" fillId="2" borderId="3" xfId="0" applyFont="1" applyFill="1" applyBorder="1"/>
    <xf numFmtId="0" fontId="43" fillId="2" borderId="0" xfId="0" applyFont="1" applyFill="1" applyBorder="1" applyAlignment="1">
      <alignment horizontal="left"/>
    </xf>
    <xf numFmtId="3" fontId="9" fillId="3" borderId="0" xfId="0" applyNumberFormat="1" applyFont="1" applyFill="1" applyBorder="1" applyAlignment="1">
      <alignment horizontal="center"/>
    </xf>
    <xf numFmtId="0" fontId="31" fillId="2" borderId="16" xfId="0" applyFont="1" applyFill="1" applyBorder="1"/>
    <xf numFmtId="0" fontId="13" fillId="2" borderId="10" xfId="0" applyFont="1" applyFill="1" applyBorder="1" applyAlignment="1">
      <alignment horizontal="center"/>
    </xf>
    <xf numFmtId="0" fontId="13" fillId="2" borderId="10" xfId="0" applyFont="1" applyFill="1" applyBorder="1"/>
    <xf numFmtId="0" fontId="13" fillId="2" borderId="17" xfId="0" applyFont="1" applyFill="1" applyBorder="1"/>
    <xf numFmtId="0" fontId="26" fillId="2" borderId="13" xfId="0" applyFont="1" applyFill="1" applyBorder="1"/>
    <xf numFmtId="0" fontId="13" fillId="2" borderId="14" xfId="0" applyFont="1" applyFill="1" applyBorder="1" applyAlignment="1">
      <alignment horizontal="center"/>
    </xf>
    <xf numFmtId="0" fontId="13" fillId="2" borderId="14" xfId="0" applyFont="1" applyFill="1" applyBorder="1"/>
    <xf numFmtId="0" fontId="13" fillId="2" borderId="15" xfId="0" applyFont="1" applyFill="1" applyBorder="1"/>
    <xf numFmtId="0" fontId="26" fillId="2" borderId="26" xfId="0" applyFont="1" applyFill="1" applyBorder="1"/>
    <xf numFmtId="0" fontId="26" fillId="2" borderId="4" xfId="0" applyFont="1" applyFill="1" applyBorder="1" applyAlignment="1">
      <alignment horizontal="left"/>
    </xf>
    <xf numFmtId="0" fontId="26" fillId="2" borderId="16" xfId="0" applyFont="1" applyFill="1" applyBorder="1"/>
    <xf numFmtId="0" fontId="9" fillId="2" borderId="10" xfId="0" applyFont="1" applyFill="1" applyBorder="1" applyAlignment="1">
      <alignment horizontal="center"/>
    </xf>
    <xf numFmtId="0" fontId="31" fillId="2" borderId="5" xfId="0" applyFont="1" applyFill="1" applyBorder="1" applyAlignment="1">
      <alignment horizontal="left"/>
    </xf>
    <xf numFmtId="0" fontId="44" fillId="3" borderId="0" xfId="0" applyFont="1" applyFill="1" applyBorder="1"/>
    <xf numFmtId="0" fontId="26" fillId="0" borderId="1" xfId="0" applyFont="1" applyFill="1" applyBorder="1" applyAlignment="1">
      <alignment horizontal="left"/>
    </xf>
    <xf numFmtId="0" fontId="27" fillId="0" borderId="0" xfId="0" applyFont="1" applyFill="1" applyBorder="1" applyAlignment="1">
      <alignment horizontal="center"/>
    </xf>
    <xf numFmtId="2" fontId="27" fillId="0" borderId="0" xfId="0" applyNumberFormat="1" applyFont="1" applyFill="1" applyBorder="1" applyAlignment="1">
      <alignment horizontal="center"/>
    </xf>
    <xf numFmtId="0" fontId="26" fillId="0" borderId="0" xfId="0" applyFont="1" applyAlignment="1">
      <alignment horizontal="center"/>
    </xf>
    <xf numFmtId="0" fontId="35" fillId="3" borderId="0" xfId="0" applyFont="1" applyFill="1" applyBorder="1" applyAlignment="1">
      <alignment horizontal="left"/>
    </xf>
    <xf numFmtId="0" fontId="26" fillId="3" borderId="0" xfId="0" applyFont="1" applyFill="1" applyBorder="1" applyAlignment="1">
      <alignment horizontal="left"/>
    </xf>
    <xf numFmtId="1" fontId="26" fillId="0" borderId="29" xfId="0" applyNumberFormat="1" applyFont="1" applyFill="1" applyBorder="1" applyAlignment="1">
      <alignment horizontal="center"/>
    </xf>
    <xf numFmtId="0" fontId="26" fillId="2" borderId="14" xfId="0" applyFont="1" applyFill="1" applyBorder="1" applyAlignment="1">
      <alignment horizontal="center"/>
    </xf>
    <xf numFmtId="1" fontId="26" fillId="2" borderId="1" xfId="0" applyNumberFormat="1" applyFont="1" applyFill="1" applyBorder="1" applyAlignment="1">
      <alignment horizontal="center"/>
    </xf>
    <xf numFmtId="1" fontId="9" fillId="2" borderId="0" xfId="0" applyNumberFormat="1" applyFont="1" applyFill="1" applyBorder="1" applyAlignment="1">
      <alignment horizontal="center"/>
    </xf>
    <xf numFmtId="1" fontId="10" fillId="2" borderId="0" xfId="0" applyNumberFormat="1" applyFont="1" applyFill="1" applyBorder="1"/>
    <xf numFmtId="1" fontId="26" fillId="2" borderId="0" xfId="0" applyNumberFormat="1" applyFont="1" applyFill="1" applyBorder="1" applyAlignment="1">
      <alignment horizontal="center"/>
    </xf>
    <xf numFmtId="0" fontId="38" fillId="3" borderId="0" xfId="0" applyFont="1" applyFill="1"/>
    <xf numFmtId="0" fontId="26" fillId="2" borderId="1" xfId="0" applyFont="1" applyFill="1" applyBorder="1" applyAlignment="1">
      <alignment horizontal="left"/>
    </xf>
    <xf numFmtId="0" fontId="26" fillId="2" borderId="11" xfId="0" applyFont="1" applyFill="1" applyBorder="1" applyAlignment="1">
      <alignment horizontal="center"/>
    </xf>
    <xf numFmtId="0" fontId="49" fillId="3" borderId="0" xfId="0" applyFont="1" applyFill="1"/>
    <xf numFmtId="164" fontId="26" fillId="2" borderId="1" xfId="0" applyNumberFormat="1" applyFont="1" applyFill="1" applyBorder="1" applyAlignment="1">
      <alignment horizontal="center"/>
    </xf>
    <xf numFmtId="0" fontId="46" fillId="3" borderId="0" xfId="0" applyFont="1" applyFill="1" applyBorder="1"/>
    <xf numFmtId="0" fontId="26" fillId="3" borderId="2" xfId="0" applyFont="1" applyFill="1" applyBorder="1"/>
    <xf numFmtId="0" fontId="26" fillId="3" borderId="21" xfId="0" applyFont="1" applyFill="1" applyBorder="1"/>
    <xf numFmtId="0" fontId="26" fillId="3" borderId="7" xfId="0" applyFont="1" applyFill="1" applyBorder="1"/>
    <xf numFmtId="0" fontId="9" fillId="3" borderId="2" xfId="0" applyFont="1" applyFill="1" applyBorder="1"/>
    <xf numFmtId="0" fontId="9" fillId="3" borderId="21" xfId="0" applyFont="1" applyFill="1" applyBorder="1"/>
    <xf numFmtId="0" fontId="26" fillId="3" borderId="0" xfId="0" applyFont="1" applyFill="1"/>
    <xf numFmtId="0" fontId="26" fillId="2" borderId="1" xfId="0" applyFont="1" applyFill="1" applyBorder="1"/>
    <xf numFmtId="0" fontId="26" fillId="3" borderId="0" xfId="0" applyFont="1" applyFill="1" applyAlignment="1">
      <alignment horizontal="center"/>
    </xf>
    <xf numFmtId="3" fontId="26" fillId="2" borderId="1" xfId="0" applyNumberFormat="1" applyFont="1" applyFill="1" applyBorder="1" applyAlignment="1">
      <alignment horizontal="center"/>
    </xf>
    <xf numFmtId="0" fontId="26" fillId="3" borderId="4" xfId="0" applyFont="1" applyFill="1" applyBorder="1" applyAlignment="1">
      <alignment horizontal="center"/>
    </xf>
    <xf numFmtId="0" fontId="26" fillId="2" borderId="19" xfId="0" applyFont="1" applyFill="1" applyBorder="1" applyAlignment="1">
      <alignment horizontal="center"/>
    </xf>
    <xf numFmtId="0" fontId="26" fillId="2" borderId="12" xfId="0" applyFont="1" applyFill="1" applyBorder="1"/>
    <xf numFmtId="0" fontId="26" fillId="0" borderId="24" xfId="0" applyFont="1" applyFill="1" applyBorder="1" applyAlignment="1">
      <alignment horizontal="left"/>
    </xf>
    <xf numFmtId="0" fontId="26" fillId="2" borderId="24" xfId="0" applyFont="1" applyFill="1" applyBorder="1"/>
    <xf numFmtId="0" fontId="26" fillId="2" borderId="29" xfId="0" applyFont="1" applyFill="1" applyBorder="1"/>
    <xf numFmtId="0" fontId="26" fillId="2" borderId="12" xfId="0" applyFont="1" applyFill="1" applyBorder="1" applyAlignment="1">
      <alignment horizontal="left" vertical="top"/>
    </xf>
    <xf numFmtId="0" fontId="50" fillId="3" borderId="0" xfId="0" applyFont="1" applyFill="1"/>
    <xf numFmtId="0" fontId="26" fillId="2" borderId="60" xfId="0" applyFont="1" applyFill="1" applyBorder="1" applyAlignment="1">
      <alignment horizontal="left"/>
    </xf>
    <xf numFmtId="0" fontId="26" fillId="2" borderId="22" xfId="0" applyFont="1" applyFill="1" applyBorder="1" applyAlignment="1">
      <alignment horizontal="left"/>
    </xf>
    <xf numFmtId="0" fontId="9" fillId="2" borderId="12" xfId="0" applyFont="1" applyFill="1" applyBorder="1"/>
    <xf numFmtId="0" fontId="10" fillId="2" borderId="12" xfId="0" applyFont="1" applyFill="1" applyBorder="1"/>
    <xf numFmtId="0" fontId="26" fillId="0" borderId="29" xfId="0" applyFont="1" applyFill="1" applyBorder="1" applyAlignment="1">
      <alignment horizontal="left"/>
    </xf>
    <xf numFmtId="0" fontId="26" fillId="2" borderId="12" xfId="0" applyFont="1" applyFill="1" applyBorder="1" applyAlignment="1">
      <alignment horizontal="left" vertical="top"/>
    </xf>
    <xf numFmtId="1" fontId="26" fillId="0" borderId="24" xfId="0" applyNumberFormat="1" applyFont="1" applyFill="1" applyBorder="1" applyAlignment="1">
      <alignment horizontal="center"/>
    </xf>
    <xf numFmtId="0" fontId="26" fillId="2" borderId="22" xfId="0" applyFont="1" applyFill="1" applyBorder="1" applyAlignment="1">
      <alignment horizontal="right"/>
    </xf>
    <xf numFmtId="0" fontId="26" fillId="2" borderId="12" xfId="0" applyFont="1" applyFill="1" applyBorder="1" applyAlignment="1">
      <alignment horizontal="left" vertical="top"/>
    </xf>
    <xf numFmtId="0" fontId="26" fillId="2" borderId="12" xfId="0" applyFont="1" applyFill="1" applyBorder="1" applyAlignment="1">
      <alignment horizontal="center"/>
    </xf>
    <xf numFmtId="0" fontId="26" fillId="2" borderId="24" xfId="0" applyFont="1" applyFill="1" applyBorder="1" applyAlignment="1">
      <alignment horizontal="center"/>
    </xf>
    <xf numFmtId="0" fontId="26" fillId="2" borderId="25" xfId="0" applyFont="1" applyFill="1" applyBorder="1" applyAlignment="1">
      <alignment horizontal="center"/>
    </xf>
    <xf numFmtId="0" fontId="26" fillId="2" borderId="27" xfId="0" applyFont="1" applyFill="1" applyBorder="1" applyAlignment="1">
      <alignment horizontal="center"/>
    </xf>
    <xf numFmtId="0" fontId="26" fillId="2" borderId="29" xfId="0" applyFont="1" applyFill="1" applyBorder="1" applyAlignment="1">
      <alignment horizontal="center"/>
    </xf>
    <xf numFmtId="0" fontId="26" fillId="2" borderId="30" xfId="0" applyFont="1" applyFill="1" applyBorder="1" applyAlignment="1">
      <alignment horizontal="center"/>
    </xf>
    <xf numFmtId="164" fontId="26" fillId="2" borderId="24" xfId="0" applyNumberFormat="1" applyFont="1" applyFill="1" applyBorder="1" applyAlignment="1">
      <alignment horizontal="center"/>
    </xf>
    <xf numFmtId="164" fontId="26" fillId="2" borderId="25" xfId="0" applyNumberFormat="1" applyFont="1" applyFill="1" applyBorder="1" applyAlignment="1">
      <alignment horizontal="center"/>
    </xf>
    <xf numFmtId="164" fontId="26" fillId="2" borderId="27" xfId="0" applyNumberFormat="1" applyFont="1" applyFill="1" applyBorder="1" applyAlignment="1">
      <alignment horizontal="center"/>
    </xf>
    <xf numFmtId="164" fontId="26" fillId="2" borderId="29" xfId="0" applyNumberFormat="1" applyFont="1" applyFill="1" applyBorder="1" applyAlignment="1">
      <alignment horizontal="center"/>
    </xf>
    <xf numFmtId="164" fontId="26" fillId="2" borderId="30" xfId="0" applyNumberFormat="1" applyFont="1" applyFill="1" applyBorder="1" applyAlignment="1">
      <alignment horizontal="center"/>
    </xf>
    <xf numFmtId="164" fontId="26" fillId="2" borderId="12" xfId="0" applyNumberFormat="1" applyFont="1" applyFill="1" applyBorder="1" applyAlignment="1">
      <alignment horizontal="center"/>
    </xf>
    <xf numFmtId="164" fontId="26" fillId="2" borderId="48" xfId="0" applyNumberFormat="1" applyFont="1" applyFill="1" applyBorder="1" applyAlignment="1">
      <alignment horizontal="center"/>
    </xf>
    <xf numFmtId="164" fontId="26" fillId="2" borderId="49" xfId="0" applyNumberFormat="1" applyFont="1" applyFill="1" applyBorder="1" applyAlignment="1">
      <alignment horizontal="center"/>
    </xf>
    <xf numFmtId="1" fontId="26" fillId="2" borderId="24" xfId="0" applyNumberFormat="1" applyFont="1" applyFill="1" applyBorder="1" applyAlignment="1">
      <alignment horizontal="center"/>
    </xf>
    <xf numFmtId="1" fontId="26" fillId="2" borderId="25" xfId="0" applyNumberFormat="1" applyFont="1" applyFill="1" applyBorder="1" applyAlignment="1">
      <alignment horizontal="center"/>
    </xf>
    <xf numFmtId="0" fontId="26" fillId="2" borderId="12" xfId="0" applyFont="1" applyFill="1" applyBorder="1" applyAlignment="1">
      <alignment horizontal="left" vertical="top"/>
    </xf>
    <xf numFmtId="0" fontId="26" fillId="2" borderId="19" xfId="0" applyFont="1" applyFill="1" applyBorder="1" applyAlignment="1">
      <alignment horizontal="left"/>
    </xf>
    <xf numFmtId="0" fontId="26" fillId="2" borderId="19" xfId="0" applyFont="1" applyFill="1" applyBorder="1" applyAlignment="1">
      <alignment horizontal="right"/>
    </xf>
    <xf numFmtId="1" fontId="26" fillId="2" borderId="29" xfId="0" applyNumberFormat="1" applyFont="1" applyFill="1" applyBorder="1" applyAlignment="1">
      <alignment horizontal="center"/>
    </xf>
    <xf numFmtId="0" fontId="10" fillId="3" borderId="37" xfId="0" applyFont="1" applyFill="1" applyBorder="1"/>
    <xf numFmtId="1" fontId="26" fillId="3" borderId="29" xfId="0" applyNumberFormat="1" applyFont="1" applyFill="1" applyBorder="1" applyAlignment="1">
      <alignment horizontal="center"/>
    </xf>
    <xf numFmtId="0" fontId="26" fillId="3" borderId="12" xfId="0" applyFont="1" applyFill="1" applyBorder="1" applyAlignment="1">
      <alignment horizontal="center"/>
    </xf>
    <xf numFmtId="0" fontId="26" fillId="3" borderId="32" xfId="0" applyFont="1" applyFill="1" applyBorder="1" applyAlignment="1">
      <alignment horizontal="left"/>
    </xf>
    <xf numFmtId="0" fontId="26" fillId="2" borderId="32" xfId="0" applyFont="1" applyFill="1" applyBorder="1" applyAlignment="1">
      <alignment horizontal="left"/>
    </xf>
    <xf numFmtId="0" fontId="26" fillId="3" borderId="34" xfId="0" applyFont="1" applyFill="1" applyBorder="1" applyAlignment="1">
      <alignment horizontal="center"/>
    </xf>
    <xf numFmtId="164" fontId="26" fillId="3" borderId="24" xfId="0" applyNumberFormat="1" applyFont="1" applyFill="1" applyBorder="1" applyAlignment="1">
      <alignment horizontal="center"/>
    </xf>
    <xf numFmtId="164" fontId="26" fillId="3" borderId="48" xfId="0" applyNumberFormat="1" applyFont="1" applyFill="1" applyBorder="1" applyAlignment="1">
      <alignment horizontal="center"/>
    </xf>
    <xf numFmtId="164" fontId="26" fillId="3" borderId="12" xfId="0" applyNumberFormat="1" applyFont="1" applyFill="1" applyBorder="1" applyAlignment="1">
      <alignment horizontal="center"/>
    </xf>
    <xf numFmtId="164" fontId="26" fillId="3" borderId="1" xfId="0" applyNumberFormat="1" applyFont="1" applyFill="1" applyBorder="1" applyAlignment="1">
      <alignment horizontal="center"/>
    </xf>
    <xf numFmtId="0" fontId="26" fillId="3" borderId="19" xfId="0" applyFont="1" applyFill="1" applyBorder="1" applyAlignment="1">
      <alignment horizontal="center"/>
    </xf>
    <xf numFmtId="0" fontId="52" fillId="3" borderId="0" xfId="0" applyFont="1" applyFill="1" applyAlignment="1">
      <alignment horizontal="left"/>
    </xf>
    <xf numFmtId="164" fontId="26" fillId="3" borderId="55" xfId="0" applyNumberFormat="1" applyFont="1" applyFill="1" applyBorder="1" applyAlignment="1">
      <alignment horizontal="center"/>
    </xf>
    <xf numFmtId="0" fontId="26" fillId="3" borderId="14" xfId="0" applyFont="1" applyFill="1" applyBorder="1"/>
    <xf numFmtId="0" fontId="26" fillId="3" borderId="15" xfId="0" applyFont="1" applyFill="1" applyBorder="1"/>
    <xf numFmtId="0" fontId="53" fillId="3" borderId="0" xfId="0" applyFont="1" applyFill="1" applyBorder="1"/>
    <xf numFmtId="0" fontId="37" fillId="3" borderId="0" xfId="0" applyFont="1" applyFill="1" applyBorder="1"/>
    <xf numFmtId="0" fontId="26" fillId="3" borderId="10" xfId="0" applyFont="1" applyFill="1" applyBorder="1"/>
    <xf numFmtId="0" fontId="26" fillId="3" borderId="17" xfId="0" applyFont="1" applyFill="1" applyBorder="1"/>
    <xf numFmtId="0" fontId="26" fillId="2" borderId="46" xfId="0" applyFont="1" applyFill="1" applyBorder="1" applyAlignment="1">
      <alignment horizontal="left" vertical="top"/>
    </xf>
    <xf numFmtId="0" fontId="26" fillId="2" borderId="51" xfId="0" applyFont="1" applyFill="1" applyBorder="1" applyAlignment="1">
      <alignment horizontal="left" vertical="top"/>
    </xf>
    <xf numFmtId="0" fontId="26" fillId="2" borderId="45" xfId="0" applyFont="1" applyFill="1" applyBorder="1" applyAlignment="1">
      <alignment horizontal="left" vertical="top"/>
    </xf>
    <xf numFmtId="0" fontId="26" fillId="2" borderId="46" xfId="0" applyFont="1" applyFill="1" applyBorder="1" applyAlignment="1">
      <alignment horizontal="left" vertical="top"/>
    </xf>
    <xf numFmtId="0" fontId="26" fillId="2" borderId="51" xfId="0" applyFont="1" applyFill="1" applyBorder="1" applyAlignment="1">
      <alignment horizontal="left" vertical="top"/>
    </xf>
    <xf numFmtId="165" fontId="26" fillId="2" borderId="1" xfId="0" applyNumberFormat="1" applyFont="1" applyFill="1" applyBorder="1" applyAlignment="1">
      <alignment horizontal="center"/>
    </xf>
    <xf numFmtId="165" fontId="26" fillId="2" borderId="24" xfId="0" applyNumberFormat="1" applyFont="1" applyFill="1" applyBorder="1" applyAlignment="1">
      <alignment horizontal="center"/>
    </xf>
    <xf numFmtId="165" fontId="26" fillId="2" borderId="29" xfId="0" applyNumberFormat="1" applyFont="1" applyFill="1" applyBorder="1" applyAlignment="1">
      <alignment horizontal="center"/>
    </xf>
    <xf numFmtId="165" fontId="10" fillId="2" borderId="12" xfId="0" applyNumberFormat="1" applyFont="1" applyFill="1" applyBorder="1"/>
    <xf numFmtId="165" fontId="10" fillId="3" borderId="0" xfId="0" applyNumberFormat="1" applyFont="1" applyFill="1"/>
    <xf numFmtId="165" fontId="26" fillId="2" borderId="19" xfId="0" applyNumberFormat="1" applyFont="1" applyFill="1" applyBorder="1" applyAlignment="1">
      <alignment horizontal="center"/>
    </xf>
    <xf numFmtId="0" fontId="10" fillId="2" borderId="1" xfId="0" applyFont="1" applyFill="1" applyBorder="1"/>
    <xf numFmtId="0" fontId="10" fillId="2" borderId="24" xfId="0" applyFont="1" applyFill="1" applyBorder="1"/>
    <xf numFmtId="0" fontId="10" fillId="2" borderId="29" xfId="0" applyFont="1" applyFill="1" applyBorder="1"/>
    <xf numFmtId="164" fontId="26" fillId="3" borderId="25" xfId="0" applyNumberFormat="1" applyFont="1" applyFill="1" applyBorder="1" applyAlignment="1">
      <alignment horizontal="center"/>
    </xf>
    <xf numFmtId="164" fontId="26" fillId="0" borderId="24" xfId="0" applyNumberFormat="1" applyFont="1" applyFill="1" applyBorder="1" applyAlignment="1">
      <alignment horizontal="center"/>
    </xf>
    <xf numFmtId="164" fontId="26" fillId="0" borderId="25" xfId="0" applyNumberFormat="1" applyFont="1" applyFill="1" applyBorder="1" applyAlignment="1">
      <alignment horizontal="center"/>
    </xf>
    <xf numFmtId="0" fontId="26" fillId="2" borderId="34" xfId="0" applyFont="1" applyFill="1" applyBorder="1" applyAlignment="1">
      <alignment horizontal="center"/>
    </xf>
    <xf numFmtId="0" fontId="26" fillId="2" borderId="12" xfId="0" applyFont="1" applyFill="1" applyBorder="1" applyAlignment="1">
      <alignment horizontal="left"/>
    </xf>
    <xf numFmtId="0" fontId="26" fillId="2" borderId="23" xfId="0" applyFont="1" applyFill="1" applyBorder="1" applyAlignment="1">
      <alignment horizontal="left"/>
    </xf>
    <xf numFmtId="0" fontId="26" fillId="2" borderId="31" xfId="0" applyFont="1" applyFill="1" applyBorder="1" applyAlignment="1">
      <alignment horizontal="center"/>
    </xf>
    <xf numFmtId="0" fontId="26" fillId="2" borderId="26" xfId="0" applyFont="1" applyFill="1" applyBorder="1" applyAlignment="1">
      <alignment horizontal="left"/>
    </xf>
    <xf numFmtId="0" fontId="26" fillId="2" borderId="28" xfId="0" applyFont="1" applyFill="1" applyBorder="1" applyAlignment="1">
      <alignment horizontal="left"/>
    </xf>
    <xf numFmtId="165" fontId="10" fillId="3" borderId="0" xfId="0" applyNumberFormat="1" applyFont="1" applyFill="1" applyAlignment="1">
      <alignment horizontal="center"/>
    </xf>
    <xf numFmtId="0" fontId="9" fillId="3" borderId="10" xfId="0" applyFont="1" applyFill="1" applyBorder="1" applyAlignment="1">
      <alignment horizontal="center"/>
    </xf>
    <xf numFmtId="0" fontId="26" fillId="3" borderId="0" xfId="0" applyFont="1" applyFill="1" applyBorder="1" applyAlignment="1">
      <alignment horizontal="center" wrapText="1"/>
    </xf>
    <xf numFmtId="0" fontId="26" fillId="3" borderId="0" xfId="0" applyFont="1" applyFill="1" applyBorder="1" applyAlignment="1">
      <alignment horizontal="center"/>
    </xf>
    <xf numFmtId="0" fontId="10" fillId="3" borderId="0" xfId="0" applyFont="1" applyFill="1" applyBorder="1" applyAlignment="1">
      <alignment horizontal="left" vertical="center"/>
    </xf>
    <xf numFmtId="0" fontId="46" fillId="3" borderId="14" xfId="0" applyFont="1" applyFill="1" applyBorder="1"/>
    <xf numFmtId="0" fontId="13" fillId="3" borderId="0" xfId="0" applyFont="1" applyFill="1" applyBorder="1"/>
    <xf numFmtId="0" fontId="31" fillId="3" borderId="0" xfId="0" applyFont="1" applyFill="1" applyBorder="1" applyAlignment="1">
      <alignment horizontal="left"/>
    </xf>
    <xf numFmtId="0" fontId="55" fillId="3" borderId="1" xfId="0" applyFont="1" applyFill="1" applyBorder="1" applyAlignment="1">
      <alignment horizontal="center" wrapText="1"/>
    </xf>
    <xf numFmtId="0" fontId="26" fillId="0" borderId="1" xfId="0" quotePrefix="1" applyFont="1" applyFill="1" applyBorder="1" applyAlignment="1">
      <alignment horizontal="left"/>
    </xf>
    <xf numFmtId="0" fontId="26" fillId="0" borderId="29" xfId="0" quotePrefix="1" applyFont="1" applyFill="1" applyBorder="1" applyAlignment="1">
      <alignment horizontal="left"/>
    </xf>
    <xf numFmtId="164" fontId="26" fillId="3" borderId="29" xfId="0" applyNumberFormat="1" applyFont="1" applyFill="1" applyBorder="1" applyAlignment="1">
      <alignment horizontal="center"/>
    </xf>
    <xf numFmtId="0" fontId="23" fillId="3" borderId="0" xfId="0" applyFont="1" applyFill="1"/>
    <xf numFmtId="0" fontId="9" fillId="3" borderId="0" xfId="0" applyFont="1" applyFill="1" applyAlignment="1">
      <alignment horizontal="center"/>
    </xf>
    <xf numFmtId="0" fontId="9" fillId="3" borderId="0" xfId="0" applyFont="1" applyFill="1" applyAlignment="1">
      <alignment horizontal="right"/>
    </xf>
    <xf numFmtId="0" fontId="23" fillId="3" borderId="0" xfId="0" applyFont="1" applyFill="1" applyAlignment="1">
      <alignment horizontal="left"/>
    </xf>
    <xf numFmtId="0" fontId="9" fillId="3" borderId="0" xfId="0" applyFont="1" applyFill="1" applyBorder="1" applyAlignment="1">
      <alignment horizontal="center" wrapText="1"/>
    </xf>
    <xf numFmtId="0" fontId="9" fillId="2" borderId="0" xfId="0" applyFont="1" applyFill="1" applyBorder="1" applyAlignment="1">
      <alignment horizontal="center" wrapText="1"/>
    </xf>
    <xf numFmtId="0" fontId="9" fillId="2" borderId="2" xfId="0" applyFont="1" applyFill="1" applyBorder="1" applyAlignment="1">
      <alignment horizontal="center" wrapText="1"/>
    </xf>
    <xf numFmtId="0" fontId="26" fillId="3" borderId="0" xfId="0" applyFont="1" applyFill="1" applyBorder="1" applyAlignment="1">
      <alignment horizontal="center"/>
    </xf>
    <xf numFmtId="3" fontId="9" fillId="0" borderId="1" xfId="0" applyNumberFormat="1" applyFont="1" applyFill="1" applyBorder="1" applyAlignment="1">
      <alignment horizontal="center"/>
    </xf>
    <xf numFmtId="0" fontId="10" fillId="3" borderId="0" xfId="0" applyFont="1" applyFill="1" applyAlignment="1">
      <alignment vertical="center"/>
    </xf>
    <xf numFmtId="0" fontId="35" fillId="3" borderId="0" xfId="0" applyFont="1" applyFill="1"/>
    <xf numFmtId="0" fontId="18" fillId="3" borderId="0" xfId="0" applyFont="1" applyFill="1"/>
    <xf numFmtId="0" fontId="36" fillId="3" borderId="0" xfId="0" applyFont="1" applyFill="1"/>
    <xf numFmtId="165" fontId="9" fillId="3" borderId="0" xfId="0" applyNumberFormat="1" applyFont="1" applyFill="1" applyBorder="1" applyAlignment="1">
      <alignment horizontal="center"/>
    </xf>
    <xf numFmtId="0" fontId="21" fillId="3" borderId="0" xfId="0" applyFont="1" applyFill="1" applyBorder="1"/>
    <xf numFmtId="0" fontId="22" fillId="3" borderId="0" xfId="0" quotePrefix="1" applyFont="1" applyFill="1" applyBorder="1" applyAlignment="1">
      <alignment horizontal="left"/>
    </xf>
    <xf numFmtId="0" fontId="26" fillId="3" borderId="2" xfId="0" applyFont="1" applyFill="1" applyBorder="1" applyAlignment="1">
      <alignment horizontal="center"/>
    </xf>
    <xf numFmtId="0" fontId="24" fillId="3" borderId="0" xfId="0" applyFont="1" applyFill="1" applyBorder="1"/>
    <xf numFmtId="0" fontId="11" fillId="3" borderId="0" xfId="0" applyFont="1" applyFill="1" applyBorder="1" applyAlignment="1">
      <alignment horizontal="left" vertical="center"/>
    </xf>
    <xf numFmtId="0" fontId="25" fillId="3" borderId="0" xfId="0" applyFont="1" applyFill="1" applyBorder="1" applyAlignment="1">
      <alignment horizontal="left"/>
    </xf>
    <xf numFmtId="0" fontId="10" fillId="3" borderId="0" xfId="0" applyFont="1" applyFill="1" applyAlignment="1">
      <alignment horizontal="center"/>
    </xf>
    <xf numFmtId="0" fontId="35" fillId="3" borderId="0" xfId="0" applyFont="1" applyFill="1" applyBorder="1"/>
    <xf numFmtId="0" fontId="45" fillId="3" borderId="0" xfId="0" applyFont="1" applyFill="1"/>
    <xf numFmtId="0" fontId="57" fillId="4" borderId="0" xfId="0" applyFont="1" applyFill="1" applyBorder="1" applyAlignment="1">
      <alignment vertical="center"/>
    </xf>
    <xf numFmtId="0" fontId="46" fillId="3" borderId="0" xfId="0" applyFont="1" applyFill="1" applyBorder="1" applyAlignment="1">
      <alignment horizontal="left" vertical="center"/>
    </xf>
    <xf numFmtId="0" fontId="46" fillId="3" borderId="0" xfId="0" applyFont="1" applyFill="1"/>
    <xf numFmtId="0" fontId="31" fillId="3" borderId="0" xfId="0" applyFont="1" applyFill="1"/>
    <xf numFmtId="0" fontId="46" fillId="2" borderId="1" xfId="0" applyFont="1" applyFill="1" applyBorder="1"/>
    <xf numFmtId="4" fontId="26" fillId="2" borderId="1" xfId="0" applyNumberFormat="1" applyFont="1" applyFill="1" applyBorder="1" applyAlignment="1">
      <alignment horizontal="center"/>
    </xf>
    <xf numFmtId="0" fontId="46" fillId="3" borderId="4" xfId="0" applyFont="1" applyFill="1" applyBorder="1"/>
    <xf numFmtId="0" fontId="26" fillId="2" borderId="14" xfId="0" applyFont="1" applyFill="1" applyBorder="1" applyAlignment="1">
      <alignment horizontal="center" wrapText="1"/>
    </xf>
    <xf numFmtId="0" fontId="46" fillId="2" borderId="14" xfId="0" applyFont="1" applyFill="1" applyBorder="1"/>
    <xf numFmtId="0" fontId="46" fillId="2" borderId="15" xfId="0" applyFont="1" applyFill="1" applyBorder="1"/>
    <xf numFmtId="0" fontId="46" fillId="2" borderId="0" xfId="0" applyFont="1" applyFill="1" applyBorder="1"/>
    <xf numFmtId="0" fontId="46" fillId="2" borderId="7" xfId="0" applyFont="1" applyFill="1" applyBorder="1"/>
    <xf numFmtId="165" fontId="26" fillId="2" borderId="0" xfId="0" applyNumberFormat="1" applyFont="1" applyFill="1" applyBorder="1" applyAlignment="1">
      <alignment horizontal="center"/>
    </xf>
    <xf numFmtId="0" fontId="31" fillId="3" borderId="2" xfId="0" applyFont="1" applyFill="1" applyBorder="1"/>
    <xf numFmtId="0" fontId="46" fillId="3" borderId="2" xfId="0" applyFont="1" applyFill="1" applyBorder="1"/>
    <xf numFmtId="165" fontId="26" fillId="2" borderId="2" xfId="0" applyNumberFormat="1" applyFont="1" applyFill="1" applyBorder="1" applyAlignment="1">
      <alignment horizontal="center"/>
    </xf>
    <xf numFmtId="165" fontId="35" fillId="2" borderId="0" xfId="0" applyNumberFormat="1" applyFont="1" applyFill="1" applyBorder="1" applyAlignment="1">
      <alignment horizontal="center"/>
    </xf>
    <xf numFmtId="0" fontId="46" fillId="2" borderId="4" xfId="0" applyFont="1" applyFill="1" applyBorder="1"/>
    <xf numFmtId="0" fontId="46" fillId="3" borderId="15" xfId="0" applyFont="1" applyFill="1" applyBorder="1"/>
    <xf numFmtId="0" fontId="26" fillId="0" borderId="57" xfId="0" applyFont="1" applyBorder="1" applyAlignment="1">
      <alignment horizontal="center"/>
    </xf>
    <xf numFmtId="0" fontId="26" fillId="0" borderId="56" xfId="0" applyFont="1" applyBorder="1" applyAlignment="1">
      <alignment horizontal="center"/>
    </xf>
    <xf numFmtId="0" fontId="26" fillId="0" borderId="47" xfId="0" applyFont="1" applyBorder="1" applyAlignment="1">
      <alignment horizontal="center"/>
    </xf>
    <xf numFmtId="0" fontId="26" fillId="0" borderId="38" xfId="0" applyFont="1" applyBorder="1" applyAlignment="1">
      <alignment horizontal="center"/>
    </xf>
    <xf numFmtId="164" fontId="26" fillId="0" borderId="12" xfId="0" applyNumberFormat="1" applyFont="1" applyFill="1" applyBorder="1" applyAlignment="1">
      <alignment horizontal="center"/>
    </xf>
    <xf numFmtId="164" fontId="26" fillId="0" borderId="54" xfId="0" applyNumberFormat="1" applyFont="1" applyFill="1" applyBorder="1" applyAlignment="1">
      <alignment horizontal="center"/>
    </xf>
    <xf numFmtId="164" fontId="26" fillId="0" borderId="29" xfId="0" applyNumberFormat="1" applyFont="1" applyFill="1" applyBorder="1" applyAlignment="1">
      <alignment horizontal="center"/>
    </xf>
    <xf numFmtId="164" fontId="26" fillId="0" borderId="55" xfId="0" applyNumberFormat="1" applyFont="1" applyFill="1" applyBorder="1" applyAlignment="1">
      <alignment horizontal="center"/>
    </xf>
    <xf numFmtId="164" fontId="26" fillId="0" borderId="58" xfId="0" applyNumberFormat="1" applyFont="1" applyFill="1" applyBorder="1" applyAlignment="1">
      <alignment horizontal="center"/>
    </xf>
    <xf numFmtId="164" fontId="26" fillId="0" borderId="27" xfId="0" applyNumberFormat="1" applyFont="1" applyFill="1" applyBorder="1" applyAlignment="1">
      <alignment horizontal="center"/>
    </xf>
    <xf numFmtId="0" fontId="46" fillId="2" borderId="16" xfId="0" applyFont="1" applyFill="1" applyBorder="1"/>
    <xf numFmtId="0" fontId="46" fillId="2" borderId="10" xfId="0" applyFont="1" applyFill="1" applyBorder="1"/>
    <xf numFmtId="0" fontId="46" fillId="2" borderId="17" xfId="0" applyFont="1" applyFill="1" applyBorder="1"/>
    <xf numFmtId="0" fontId="46" fillId="3" borderId="0" xfId="0" applyFont="1" applyFill="1" applyBorder="1" applyAlignment="1">
      <alignment horizontal="left"/>
    </xf>
    <xf numFmtId="0" fontId="46" fillId="3" borderId="13" xfId="0" applyFont="1" applyFill="1" applyBorder="1"/>
    <xf numFmtId="164" fontId="26" fillId="0" borderId="30" xfId="0" applyNumberFormat="1" applyFont="1" applyFill="1" applyBorder="1" applyAlignment="1">
      <alignment horizontal="center"/>
    </xf>
    <xf numFmtId="0" fontId="59" fillId="3" borderId="0" xfId="0" applyFont="1" applyFill="1"/>
    <xf numFmtId="0" fontId="60" fillId="3" borderId="0" xfId="0" applyFont="1" applyFill="1" applyBorder="1"/>
    <xf numFmtId="0" fontId="59" fillId="3" borderId="7" xfId="0" applyFont="1" applyFill="1" applyBorder="1"/>
    <xf numFmtId="0" fontId="59" fillId="3" borderId="0" xfId="0" applyFont="1" applyFill="1" applyBorder="1"/>
    <xf numFmtId="0" fontId="60" fillId="3" borderId="10" xfId="0" applyFont="1" applyFill="1" applyBorder="1"/>
    <xf numFmtId="0" fontId="60" fillId="3" borderId="10" xfId="0" applyFont="1" applyFill="1" applyBorder="1" applyAlignment="1">
      <alignment horizontal="center" wrapText="1"/>
    </xf>
    <xf numFmtId="0" fontId="60" fillId="3" borderId="10" xfId="0" applyFont="1" applyFill="1" applyBorder="1" applyAlignment="1">
      <alignment horizontal="center" vertical="center" wrapText="1"/>
    </xf>
    <xf numFmtId="0" fontId="59" fillId="3" borderId="17" xfId="0" applyFont="1" applyFill="1" applyBorder="1"/>
    <xf numFmtId="0" fontId="46" fillId="3" borderId="7" xfId="0" applyFont="1" applyFill="1" applyBorder="1"/>
    <xf numFmtId="0" fontId="46" fillId="3" borderId="10" xfId="0" applyFont="1" applyFill="1" applyBorder="1"/>
    <xf numFmtId="0" fontId="46" fillId="3" borderId="17" xfId="0" applyFont="1" applyFill="1" applyBorder="1"/>
    <xf numFmtId="164" fontId="26" fillId="3" borderId="0" xfId="0" applyNumberFormat="1" applyFont="1" applyFill="1" applyAlignment="1">
      <alignment horizontal="center"/>
    </xf>
    <xf numFmtId="0" fontId="26" fillId="2" borderId="45" xfId="0" applyFont="1" applyFill="1" applyBorder="1"/>
    <xf numFmtId="0" fontId="46" fillId="2" borderId="48" xfId="0" applyFont="1" applyFill="1" applyBorder="1" applyAlignment="1">
      <alignment horizontal="center"/>
    </xf>
    <xf numFmtId="0" fontId="26" fillId="2" borderId="48" xfId="0" applyFont="1" applyFill="1" applyBorder="1" applyAlignment="1">
      <alignment horizontal="center"/>
    </xf>
    <xf numFmtId="0" fontId="26" fillId="2" borderId="49" xfId="0" applyFont="1" applyFill="1" applyBorder="1" applyAlignment="1">
      <alignment horizontal="center"/>
    </xf>
    <xf numFmtId="0" fontId="26" fillId="2" borderId="23" xfId="0" applyFont="1" applyFill="1" applyBorder="1"/>
    <xf numFmtId="0" fontId="46" fillId="2" borderId="24" xfId="0" applyFont="1" applyFill="1" applyBorder="1"/>
    <xf numFmtId="0" fontId="26" fillId="2" borderId="28" xfId="0" applyFont="1" applyFill="1" applyBorder="1"/>
    <xf numFmtId="0" fontId="46" fillId="2" borderId="29" xfId="0" applyFont="1" applyFill="1" applyBorder="1"/>
    <xf numFmtId="0" fontId="46" fillId="2" borderId="13" xfId="0" applyFont="1" applyFill="1" applyBorder="1"/>
    <xf numFmtId="0" fontId="61" fillId="2" borderId="14" xfId="0" applyFont="1" applyFill="1" applyBorder="1" applyAlignment="1">
      <alignment horizontal="left"/>
    </xf>
    <xf numFmtId="2" fontId="46" fillId="3" borderId="0" xfId="0" applyNumberFormat="1" applyFont="1" applyFill="1"/>
    <xf numFmtId="0" fontId="26" fillId="2" borderId="23" xfId="0" applyFont="1" applyFill="1" applyBorder="1" applyAlignment="1">
      <alignment horizontal="center"/>
    </xf>
    <xf numFmtId="0" fontId="26" fillId="2" borderId="52" xfId="0" applyFont="1" applyFill="1" applyBorder="1"/>
    <xf numFmtId="1" fontId="26" fillId="2" borderId="52" xfId="0" applyNumberFormat="1" applyFont="1" applyFill="1" applyBorder="1" applyAlignment="1">
      <alignment horizontal="center"/>
    </xf>
    <xf numFmtId="0" fontId="26" fillId="2" borderId="50" xfId="0" applyFont="1" applyFill="1" applyBorder="1" applyAlignment="1">
      <alignment horizontal="center"/>
    </xf>
    <xf numFmtId="0" fontId="26" fillId="2" borderId="20" xfId="0" applyFont="1" applyFill="1" applyBorder="1" applyAlignment="1">
      <alignment horizontal="center"/>
    </xf>
    <xf numFmtId="0" fontId="26" fillId="2" borderId="40" xfId="0" applyFont="1" applyFill="1" applyBorder="1"/>
    <xf numFmtId="1" fontId="26" fillId="2" borderId="40" xfId="0" applyNumberFormat="1" applyFont="1" applyFill="1" applyBorder="1" applyAlignment="1">
      <alignment horizontal="center"/>
    </xf>
    <xf numFmtId="0" fontId="26" fillId="2" borderId="51" xfId="0" applyFont="1" applyFill="1" applyBorder="1" applyAlignment="1">
      <alignment horizontal="center"/>
    </xf>
    <xf numFmtId="0" fontId="26" fillId="2" borderId="44" xfId="0" applyFont="1" applyFill="1" applyBorder="1" applyAlignment="1">
      <alignment horizontal="center"/>
    </xf>
    <xf numFmtId="0" fontId="26" fillId="2" borderId="53" xfId="0" applyFont="1" applyFill="1" applyBorder="1"/>
    <xf numFmtId="1" fontId="26" fillId="2" borderId="53" xfId="0" applyNumberFormat="1" applyFont="1" applyFill="1" applyBorder="1" applyAlignment="1">
      <alignment horizontal="center"/>
    </xf>
    <xf numFmtId="0" fontId="26" fillId="2" borderId="41" xfId="0" applyFont="1" applyFill="1" applyBorder="1" applyAlignment="1">
      <alignment horizontal="left"/>
    </xf>
    <xf numFmtId="0" fontId="26" fillId="2" borderId="11" xfId="0" applyFont="1" applyFill="1" applyBorder="1" applyAlignment="1">
      <alignment horizontal="left"/>
    </xf>
    <xf numFmtId="0" fontId="26" fillId="2" borderId="19" xfId="0" applyFont="1" applyFill="1" applyBorder="1"/>
    <xf numFmtId="1" fontId="26" fillId="2" borderId="19" xfId="0" applyNumberFormat="1" applyFont="1" applyFill="1" applyBorder="1" applyAlignment="1">
      <alignment horizontal="center"/>
    </xf>
    <xf numFmtId="3" fontId="26" fillId="2" borderId="31" xfId="0" applyNumberFormat="1" applyFont="1" applyFill="1" applyBorder="1" applyAlignment="1">
      <alignment horizontal="center"/>
    </xf>
    <xf numFmtId="3" fontId="26" fillId="2" borderId="11" xfId="0" applyNumberFormat="1" applyFont="1" applyFill="1" applyBorder="1" applyAlignment="1">
      <alignment horizontal="center"/>
    </xf>
    <xf numFmtId="1" fontId="26" fillId="2" borderId="27" xfId="0" applyNumberFormat="1" applyFont="1" applyFill="1" applyBorder="1" applyAlignment="1">
      <alignment horizontal="center"/>
    </xf>
    <xf numFmtId="3" fontId="26" fillId="2" borderId="32" xfId="0" applyNumberFormat="1" applyFont="1" applyFill="1" applyBorder="1" applyAlignment="1">
      <alignment horizontal="center"/>
    </xf>
    <xf numFmtId="1" fontId="26" fillId="2" borderId="30" xfId="0" applyNumberFormat="1" applyFont="1" applyFill="1" applyBorder="1" applyAlignment="1">
      <alignment horizontal="center"/>
    </xf>
    <xf numFmtId="3" fontId="26" fillId="2" borderId="12" xfId="0" applyNumberFormat="1" applyFont="1" applyFill="1" applyBorder="1" applyAlignment="1">
      <alignment horizontal="center"/>
    </xf>
    <xf numFmtId="0" fontId="26" fillId="2" borderId="24" xfId="0" applyFont="1" applyFill="1" applyBorder="1" applyAlignment="1">
      <alignment horizontal="left" vertical="top"/>
    </xf>
    <xf numFmtId="1" fontId="26" fillId="2" borderId="12" xfId="0" applyNumberFormat="1" applyFont="1" applyFill="1" applyBorder="1" applyAlignment="1">
      <alignment horizontal="center"/>
    </xf>
    <xf numFmtId="0" fontId="26" fillId="2" borderId="53" xfId="0" applyFont="1" applyFill="1" applyBorder="1" applyAlignment="1">
      <alignment horizontal="left"/>
    </xf>
    <xf numFmtId="0" fontId="26" fillId="2" borderId="37" xfId="0" applyFont="1" applyFill="1" applyBorder="1" applyAlignment="1">
      <alignment horizontal="left"/>
    </xf>
    <xf numFmtId="164" fontId="42" fillId="2" borderId="1" xfId="0" applyNumberFormat="1" applyFont="1" applyFill="1" applyBorder="1" applyAlignment="1">
      <alignment horizontal="center"/>
    </xf>
    <xf numFmtId="164" fontId="42" fillId="2" borderId="29" xfId="0" applyNumberFormat="1" applyFont="1" applyFill="1" applyBorder="1" applyAlignment="1">
      <alignment horizontal="center"/>
    </xf>
    <xf numFmtId="0" fontId="26" fillId="2" borderId="60" xfId="0" applyFont="1" applyFill="1" applyBorder="1" applyAlignment="1"/>
    <xf numFmtId="0" fontId="26" fillId="2" borderId="22" xfId="0" applyFont="1" applyFill="1" applyBorder="1" applyAlignment="1"/>
    <xf numFmtId="0" fontId="26" fillId="2" borderId="34" xfId="0" applyFont="1" applyFill="1" applyBorder="1" applyAlignment="1"/>
    <xf numFmtId="0" fontId="26" fillId="2" borderId="52" xfId="0" applyFont="1" applyFill="1" applyBorder="1" applyAlignment="1">
      <alignment horizontal="left"/>
    </xf>
    <xf numFmtId="0" fontId="26" fillId="2" borderId="35" xfId="0" applyFont="1" applyFill="1" applyBorder="1" applyAlignment="1">
      <alignment horizontal="left"/>
    </xf>
    <xf numFmtId="0" fontId="26" fillId="2" borderId="31" xfId="0" applyFont="1" applyFill="1" applyBorder="1" applyAlignment="1">
      <alignment horizontal="left"/>
    </xf>
    <xf numFmtId="0" fontId="26" fillId="2" borderId="40" xfId="0" applyFont="1" applyFill="1" applyBorder="1" applyAlignment="1">
      <alignment horizontal="left"/>
    </xf>
    <xf numFmtId="0" fontId="26" fillId="2" borderId="39" xfId="0" applyFont="1" applyFill="1" applyBorder="1" applyAlignment="1">
      <alignment horizontal="left"/>
    </xf>
    <xf numFmtId="0" fontId="26" fillId="2" borderId="2" xfId="0" applyFont="1" applyFill="1" applyBorder="1" applyAlignment="1">
      <alignment horizontal="left"/>
    </xf>
    <xf numFmtId="0" fontId="26" fillId="2" borderId="20" xfId="0" applyFont="1" applyFill="1" applyBorder="1" applyAlignment="1">
      <alignment horizontal="left"/>
    </xf>
    <xf numFmtId="0" fontId="26" fillId="2" borderId="29" xfId="0" applyFont="1" applyFill="1" applyBorder="1" applyAlignment="1">
      <alignment horizontal="left"/>
    </xf>
    <xf numFmtId="1" fontId="26" fillId="2" borderId="11" xfId="0" applyNumberFormat="1" applyFont="1" applyFill="1" applyBorder="1" applyAlignment="1">
      <alignment horizontal="center"/>
    </xf>
    <xf numFmtId="164" fontId="26" fillId="2" borderId="11" xfId="0" applyNumberFormat="1" applyFont="1" applyFill="1" applyBorder="1" applyAlignment="1">
      <alignment horizontal="center"/>
    </xf>
    <xf numFmtId="0" fontId="26" fillId="8" borderId="40" xfId="0" quotePrefix="1" applyFont="1" applyFill="1" applyBorder="1" applyAlignment="1">
      <alignment horizontal="left"/>
    </xf>
    <xf numFmtId="0" fontId="26" fillId="8" borderId="41" xfId="0" quotePrefix="1" applyFont="1" applyFill="1" applyBorder="1" applyAlignment="1">
      <alignment horizontal="left"/>
    </xf>
    <xf numFmtId="0" fontId="26" fillId="8" borderId="11" xfId="0" quotePrefix="1" applyFont="1" applyFill="1" applyBorder="1" applyAlignment="1">
      <alignment horizontal="left"/>
    </xf>
    <xf numFmtId="0" fontId="32" fillId="8" borderId="40" xfId="0" quotePrefix="1" applyFont="1" applyFill="1" applyBorder="1" applyAlignment="1">
      <alignment horizontal="left"/>
    </xf>
    <xf numFmtId="0" fontId="32" fillId="8" borderId="41" xfId="0" quotePrefix="1" applyFont="1" applyFill="1" applyBorder="1" applyAlignment="1">
      <alignment horizontal="left"/>
    </xf>
    <xf numFmtId="0" fontId="32" fillId="8" borderId="11" xfId="0" quotePrefix="1" applyFont="1" applyFill="1" applyBorder="1" applyAlignment="1">
      <alignment horizontal="left"/>
    </xf>
    <xf numFmtId="0" fontId="9" fillId="8" borderId="1" xfId="0" applyFont="1" applyFill="1" applyBorder="1"/>
    <xf numFmtId="0" fontId="9" fillId="8" borderId="60" xfId="0" applyFont="1" applyFill="1" applyBorder="1"/>
    <xf numFmtId="0" fontId="9" fillId="8" borderId="34" xfId="0" applyFont="1" applyFill="1" applyBorder="1" applyAlignment="1">
      <alignment horizontal="center"/>
    </xf>
    <xf numFmtId="0" fontId="9" fillId="8" borderId="9" xfId="0" applyFont="1" applyFill="1" applyBorder="1"/>
    <xf numFmtId="0" fontId="9" fillId="8" borderId="39" xfId="0" applyFont="1" applyFill="1" applyBorder="1"/>
    <xf numFmtId="0" fontId="9" fillId="8" borderId="22" xfId="0" applyFont="1" applyFill="1" applyBorder="1"/>
    <xf numFmtId="0" fontId="10" fillId="8" borderId="22" xfId="0" applyFont="1" applyFill="1" applyBorder="1"/>
    <xf numFmtId="0" fontId="10" fillId="8" borderId="34" xfId="0" applyFont="1" applyFill="1" applyBorder="1"/>
    <xf numFmtId="0" fontId="23" fillId="8" borderId="1" xfId="0" applyFont="1" applyFill="1" applyBorder="1"/>
    <xf numFmtId="0" fontId="9" fillId="8" borderId="0" xfId="0" applyFont="1" applyFill="1" applyBorder="1"/>
    <xf numFmtId="0" fontId="10" fillId="8" borderId="0" xfId="0" applyFont="1" applyFill="1" applyBorder="1"/>
    <xf numFmtId="0" fontId="10" fillId="8" borderId="8" xfId="0" applyFont="1" applyFill="1" applyBorder="1"/>
    <xf numFmtId="0" fontId="9" fillId="8" borderId="2" xfId="0" applyFont="1" applyFill="1" applyBorder="1"/>
    <xf numFmtId="0" fontId="10" fillId="8" borderId="2" xfId="0" applyFont="1" applyFill="1" applyBorder="1"/>
    <xf numFmtId="0" fontId="10" fillId="8" borderId="20" xfId="0" applyFont="1" applyFill="1" applyBorder="1"/>
    <xf numFmtId="0" fontId="26" fillId="8" borderId="1" xfId="0" applyFont="1" applyFill="1" applyBorder="1"/>
    <xf numFmtId="0" fontId="26" fillId="8" borderId="1" xfId="0" applyFont="1" applyFill="1" applyBorder="1" applyAlignment="1">
      <alignment horizontal="left"/>
    </xf>
    <xf numFmtId="3" fontId="26" fillId="2" borderId="29" xfId="0" applyNumberFormat="1" applyFont="1" applyFill="1" applyBorder="1" applyAlignment="1">
      <alignment horizontal="center"/>
    </xf>
    <xf numFmtId="0" fontId="9" fillId="6" borderId="60" xfId="0" applyFont="1" applyFill="1" applyBorder="1"/>
    <xf numFmtId="0" fontId="9" fillId="6" borderId="22" xfId="0" applyFont="1" applyFill="1" applyBorder="1"/>
    <xf numFmtId="0" fontId="10" fillId="6" borderId="22" xfId="0" applyFont="1" applyFill="1" applyBorder="1"/>
    <xf numFmtId="0" fontId="10" fillId="6" borderId="34" xfId="0" applyFont="1" applyFill="1" applyBorder="1"/>
    <xf numFmtId="0" fontId="23" fillId="6" borderId="1" xfId="0" applyFont="1" applyFill="1" applyBorder="1"/>
    <xf numFmtId="0" fontId="9" fillId="6" borderId="9" xfId="0" applyFont="1" applyFill="1" applyBorder="1"/>
    <xf numFmtId="0" fontId="9" fillId="6" borderId="0" xfId="0" applyFont="1" applyFill="1" applyBorder="1"/>
    <xf numFmtId="0" fontId="10" fillId="6" borderId="0" xfId="0" applyFont="1" applyFill="1" applyBorder="1"/>
    <xf numFmtId="0" fontId="10" fillId="6" borderId="8" xfId="0" applyFont="1" applyFill="1" applyBorder="1"/>
    <xf numFmtId="0" fontId="9" fillId="6" borderId="39" xfId="0" applyFont="1" applyFill="1" applyBorder="1"/>
    <xf numFmtId="0" fontId="9" fillId="6" borderId="2" xfId="0" applyFont="1" applyFill="1" applyBorder="1"/>
    <xf numFmtId="0" fontId="10" fillId="6" borderId="2" xfId="0" applyFont="1" applyFill="1" applyBorder="1"/>
    <xf numFmtId="0" fontId="10" fillId="6" borderId="20" xfId="0" applyFont="1" applyFill="1" applyBorder="1"/>
    <xf numFmtId="0" fontId="26" fillId="6" borderId="1" xfId="0" applyFont="1" applyFill="1" applyBorder="1"/>
    <xf numFmtId="0" fontId="26" fillId="6" borderId="1" xfId="0" applyFont="1" applyFill="1" applyBorder="1" applyAlignment="1">
      <alignment horizontal="center"/>
    </xf>
    <xf numFmtId="0" fontId="42" fillId="6" borderId="1" xfId="0" applyFont="1" applyFill="1" applyBorder="1"/>
    <xf numFmtId="0" fontId="9" fillId="3" borderId="0" xfId="0" applyFont="1" applyFill="1" applyAlignment="1">
      <alignment horizontal="left"/>
    </xf>
    <xf numFmtId="0" fontId="35" fillId="6" borderId="1" xfId="0" applyFont="1" applyFill="1" applyBorder="1" applyAlignment="1">
      <alignment horizontal="center"/>
    </xf>
    <xf numFmtId="0" fontId="26" fillId="3" borderId="0" xfId="0" applyFont="1" applyFill="1" applyBorder="1" applyAlignment="1">
      <alignment horizontal="right"/>
    </xf>
    <xf numFmtId="0" fontId="29" fillId="2" borderId="1" xfId="0" applyFont="1" applyFill="1" applyBorder="1" applyAlignment="1">
      <alignment horizontal="center"/>
    </xf>
    <xf numFmtId="1" fontId="29" fillId="2" borderId="1" xfId="0" applyNumberFormat="1" applyFont="1" applyFill="1" applyBorder="1" applyAlignment="1">
      <alignment horizontal="center"/>
    </xf>
    <xf numFmtId="0" fontId="35" fillId="2" borderId="12" xfId="0" applyFont="1" applyFill="1" applyBorder="1"/>
    <xf numFmtId="0" fontId="35" fillId="2" borderId="1" xfId="0" applyFont="1" applyFill="1" applyBorder="1"/>
    <xf numFmtId="164" fontId="34" fillId="2" borderId="1" xfId="0" applyNumberFormat="1" applyFont="1" applyFill="1" applyBorder="1" applyAlignment="1">
      <alignment horizontal="center"/>
    </xf>
    <xf numFmtId="0" fontId="10" fillId="2" borderId="0" xfId="0" quotePrefix="1" applyFont="1" applyFill="1" applyBorder="1"/>
    <xf numFmtId="0" fontId="26" fillId="2" borderId="1" xfId="0" applyFont="1" applyFill="1" applyBorder="1" applyAlignment="1">
      <alignment horizontal="right"/>
    </xf>
    <xf numFmtId="0" fontId="42" fillId="6" borderId="1" xfId="0" applyFont="1" applyFill="1" applyBorder="1" applyAlignment="1">
      <alignment horizontal="center"/>
    </xf>
    <xf numFmtId="0" fontId="26" fillId="10" borderId="0" xfId="0" quotePrefix="1" applyFont="1" applyFill="1" applyBorder="1" applyAlignment="1">
      <alignment horizontal="center" wrapText="1"/>
    </xf>
    <xf numFmtId="0" fontId="26" fillId="10" borderId="8" xfId="0" quotePrefix="1" applyFont="1" applyFill="1" applyBorder="1" applyAlignment="1">
      <alignment horizontal="center" wrapText="1"/>
    </xf>
    <xf numFmtId="0" fontId="26" fillId="10" borderId="9" xfId="0" quotePrefix="1" applyFont="1" applyFill="1" applyBorder="1" applyAlignment="1">
      <alignment horizontal="center" wrapText="1"/>
    </xf>
    <xf numFmtId="165" fontId="29" fillId="2" borderId="19" xfId="0" applyNumberFormat="1" applyFont="1" applyFill="1" applyBorder="1" applyAlignment="1">
      <alignment horizontal="center"/>
    </xf>
    <xf numFmtId="164" fontId="29" fillId="2" borderId="1" xfId="0" applyNumberFormat="1" applyFont="1" applyFill="1" applyBorder="1" applyAlignment="1">
      <alignment horizontal="center"/>
    </xf>
    <xf numFmtId="164" fontId="29" fillId="2" borderId="29" xfId="0" applyNumberFormat="1" applyFont="1" applyFill="1" applyBorder="1" applyAlignment="1">
      <alignment horizontal="center"/>
    </xf>
    <xf numFmtId="0" fontId="10" fillId="3" borderId="6" xfId="0" applyFont="1" applyFill="1" applyBorder="1" applyAlignment="1">
      <alignment horizontal="left" vertical="center"/>
    </xf>
    <xf numFmtId="0" fontId="10" fillId="3" borderId="38" xfId="0" applyFont="1" applyFill="1" applyBorder="1" applyAlignment="1">
      <alignment horizontal="left" vertical="center"/>
    </xf>
    <xf numFmtId="0" fontId="41" fillId="3" borderId="14" xfId="0" applyFont="1" applyFill="1" applyBorder="1"/>
    <xf numFmtId="0" fontId="41" fillId="3" borderId="14" xfId="0" applyFont="1" applyFill="1" applyBorder="1" applyAlignment="1">
      <alignment horizontal="center"/>
    </xf>
    <xf numFmtId="0" fontId="34" fillId="3" borderId="14" xfId="0" applyFont="1" applyFill="1" applyBorder="1" applyAlignment="1">
      <alignment horizontal="center"/>
    </xf>
    <xf numFmtId="0" fontId="34" fillId="3" borderId="0" xfId="0" applyFont="1" applyFill="1" applyBorder="1"/>
    <xf numFmtId="0" fontId="34" fillId="3" borderId="0" xfId="0" applyFont="1" applyFill="1" applyBorder="1" applyAlignment="1">
      <alignment horizontal="center"/>
    </xf>
    <xf numFmtId="0" fontId="41" fillId="3" borderId="0" xfId="0" applyFont="1" applyFill="1" applyBorder="1"/>
    <xf numFmtId="3" fontId="26" fillId="3" borderId="2" xfId="0" applyNumberFormat="1" applyFont="1" applyFill="1" applyBorder="1" applyAlignment="1">
      <alignment horizontal="center" vertical="center"/>
    </xf>
    <xf numFmtId="0" fontId="46" fillId="3" borderId="21" xfId="0" applyFont="1" applyFill="1" applyBorder="1"/>
    <xf numFmtId="3" fontId="26" fillId="3" borderId="0" xfId="0" applyNumberFormat="1" applyFont="1" applyFill="1" applyBorder="1" applyAlignment="1">
      <alignment horizontal="center" vertical="center"/>
    </xf>
    <xf numFmtId="0" fontId="35" fillId="3" borderId="2" xfId="0" applyFont="1" applyFill="1" applyBorder="1"/>
    <xf numFmtId="0" fontId="66" fillId="3" borderId="2" xfId="0" applyFont="1" applyFill="1" applyBorder="1"/>
    <xf numFmtId="0" fontId="34" fillId="3" borderId="7" xfId="0" applyFont="1" applyFill="1" applyBorder="1"/>
    <xf numFmtId="0" fontId="67" fillId="3" borderId="0" xfId="0" applyFont="1" applyFill="1" applyBorder="1" applyAlignment="1">
      <alignment horizontal="left"/>
    </xf>
    <xf numFmtId="0" fontId="41" fillId="3" borderId="2" xfId="0" applyFont="1" applyFill="1" applyBorder="1"/>
    <xf numFmtId="3" fontId="26" fillId="3" borderId="2" xfId="0" applyNumberFormat="1" applyFont="1" applyFill="1" applyBorder="1" applyAlignment="1">
      <alignment horizontal="center"/>
    </xf>
    <xf numFmtId="3" fontId="26" fillId="2" borderId="12" xfId="0" applyNumberFormat="1" applyFont="1" applyFill="1" applyBorder="1" applyAlignment="1">
      <alignment horizontal="center" vertical="center"/>
    </xf>
    <xf numFmtId="0" fontId="38" fillId="3" borderId="0" xfId="0" applyFont="1" applyFill="1" applyBorder="1"/>
    <xf numFmtId="0" fontId="61" fillId="3" borderId="0" xfId="0" applyFont="1" applyFill="1" applyBorder="1" applyAlignment="1">
      <alignment horizontal="left"/>
    </xf>
    <xf numFmtId="0" fontId="26" fillId="2" borderId="1" xfId="0" applyFont="1" applyFill="1" applyBorder="1" applyAlignment="1">
      <alignment horizontal="center" vertical="center"/>
    </xf>
    <xf numFmtId="167" fontId="34" fillId="3" borderId="0" xfId="0" applyNumberFormat="1" applyFont="1" applyFill="1" applyBorder="1" applyAlignment="1">
      <alignment horizontal="center"/>
    </xf>
    <xf numFmtId="164" fontId="34" fillId="3" borderId="0" xfId="0" applyNumberFormat="1" applyFont="1" applyFill="1" applyBorder="1" applyAlignment="1">
      <alignment horizontal="center"/>
    </xf>
    <xf numFmtId="0" fontId="46" fillId="3" borderId="0" xfId="0" applyFont="1" applyFill="1" applyBorder="1" applyAlignment="1">
      <alignment horizontal="center"/>
    </xf>
    <xf numFmtId="164" fontId="34" fillId="3" borderId="2" xfId="0" applyNumberFormat="1" applyFont="1" applyFill="1" applyBorder="1" applyAlignment="1">
      <alignment horizontal="center"/>
    </xf>
    <xf numFmtId="164" fontId="34" fillId="3" borderId="0" xfId="0" applyNumberFormat="1" applyFont="1" applyFill="1" applyBorder="1" applyAlignment="1">
      <alignment horizontal="center" vertical="center"/>
    </xf>
    <xf numFmtId="164" fontId="26" fillId="2" borderId="1" xfId="0" applyNumberFormat="1" applyFont="1" applyFill="1" applyBorder="1" applyAlignment="1">
      <alignment horizontal="center" vertical="center"/>
    </xf>
    <xf numFmtId="164" fontId="34" fillId="3" borderId="2" xfId="0" applyNumberFormat="1" applyFont="1" applyFill="1" applyBorder="1" applyAlignment="1">
      <alignment horizontal="center" vertical="center"/>
    </xf>
    <xf numFmtId="1" fontId="26" fillId="3" borderId="2" xfId="0" applyNumberFormat="1" applyFont="1" applyFill="1" applyBorder="1" applyAlignment="1">
      <alignment horizontal="center"/>
    </xf>
    <xf numFmtId="2" fontId="26" fillId="2" borderId="1" xfId="0" applyNumberFormat="1" applyFont="1" applyFill="1" applyBorder="1" applyAlignment="1">
      <alignment horizontal="center"/>
    </xf>
    <xf numFmtId="1" fontId="34" fillId="3" borderId="0" xfId="0" applyNumberFormat="1" applyFont="1" applyFill="1" applyBorder="1" applyAlignment="1">
      <alignment horizontal="center"/>
    </xf>
    <xf numFmtId="0" fontId="38" fillId="3" borderId="7" xfId="0" applyFont="1" applyFill="1" applyBorder="1"/>
    <xf numFmtId="0" fontId="26" fillId="3" borderId="50" xfId="0" applyFont="1" applyFill="1" applyBorder="1"/>
    <xf numFmtId="0" fontId="26" fillId="10" borderId="14" xfId="0" applyFont="1" applyFill="1" applyBorder="1" applyAlignment="1">
      <alignment horizontal="center" vertical="center" wrapText="1"/>
    </xf>
    <xf numFmtId="0" fontId="26" fillId="10" borderId="42" xfId="0" applyFont="1" applyFill="1" applyBorder="1" applyAlignment="1">
      <alignment horizontal="center" vertical="center" wrapText="1"/>
    </xf>
    <xf numFmtId="0" fontId="26" fillId="10" borderId="43" xfId="0" applyFont="1" applyFill="1" applyBorder="1" applyAlignment="1">
      <alignment horizontal="center" vertical="center" wrapText="1"/>
    </xf>
    <xf numFmtId="0" fontId="29" fillId="10" borderId="14" xfId="0" applyFont="1" applyFill="1" applyBorder="1" applyAlignment="1">
      <alignment horizontal="center" vertical="center" wrapText="1"/>
    </xf>
    <xf numFmtId="0" fontId="26" fillId="10" borderId="0" xfId="0" applyFont="1" applyFill="1" applyBorder="1" applyAlignment="1">
      <alignment horizontal="center"/>
    </xf>
    <xf numFmtId="0" fontId="29" fillId="10" borderId="13" xfId="0" applyFont="1" applyFill="1" applyBorder="1" applyAlignment="1">
      <alignment horizontal="center" vertical="center" wrapText="1"/>
    </xf>
    <xf numFmtId="0" fontId="29" fillId="10" borderId="15" xfId="0" applyFont="1" applyFill="1" applyBorder="1" applyAlignment="1">
      <alignment horizontal="center" vertical="center" wrapText="1"/>
    </xf>
    <xf numFmtId="0" fontId="26" fillId="10" borderId="4" xfId="0" applyFont="1" applyFill="1" applyBorder="1" applyAlignment="1">
      <alignment horizontal="center"/>
    </xf>
    <xf numFmtId="0" fontId="26" fillId="10" borderId="7" xfId="0" applyFont="1" applyFill="1" applyBorder="1" applyAlignment="1">
      <alignment horizontal="center"/>
    </xf>
    <xf numFmtId="0" fontId="26" fillId="2" borderId="1" xfId="0" applyFont="1" applyFill="1" applyBorder="1" applyAlignment="1">
      <alignment horizontal="center"/>
    </xf>
    <xf numFmtId="0" fontId="26" fillId="2" borderId="29" xfId="0" applyFont="1" applyFill="1" applyBorder="1" applyAlignment="1">
      <alignment horizontal="right"/>
    </xf>
    <xf numFmtId="164" fontId="9" fillId="2" borderId="29" xfId="0" applyNumberFormat="1" applyFont="1" applyFill="1" applyBorder="1" applyAlignment="1">
      <alignment horizontal="center"/>
    </xf>
    <xf numFmtId="0" fontId="26" fillId="6" borderId="29" xfId="0" applyFont="1" applyFill="1" applyBorder="1"/>
    <xf numFmtId="0" fontId="42" fillId="3" borderId="0" xfId="0" applyFont="1" applyFill="1" applyBorder="1" applyAlignment="1">
      <alignment horizontal="left" vertical="center"/>
    </xf>
    <xf numFmtId="0" fontId="26" fillId="6" borderId="12" xfId="0" applyFont="1" applyFill="1" applyBorder="1"/>
    <xf numFmtId="2" fontId="26" fillId="2" borderId="29" xfId="0" applyNumberFormat="1" applyFont="1" applyFill="1" applyBorder="1" applyAlignment="1">
      <alignment horizontal="center"/>
    </xf>
    <xf numFmtId="0" fontId="9" fillId="6" borderId="1" xfId="0" applyFont="1" applyFill="1" applyBorder="1"/>
    <xf numFmtId="0" fontId="9" fillId="2" borderId="1" xfId="0" quotePrefix="1" applyFont="1" applyFill="1" applyBorder="1"/>
    <xf numFmtId="0" fontId="9" fillId="2" borderId="1" xfId="0" applyFont="1" applyFill="1" applyBorder="1" applyAlignment="1">
      <alignment horizontal="right"/>
    </xf>
    <xf numFmtId="0" fontId="9" fillId="6" borderId="1" xfId="0" quotePrefix="1" applyFont="1" applyFill="1" applyBorder="1"/>
    <xf numFmtId="0" fontId="9" fillId="2" borderId="24" xfId="0" applyFont="1" applyFill="1" applyBorder="1"/>
    <xf numFmtId="164" fontId="9" fillId="2" borderId="24" xfId="0" applyNumberFormat="1" applyFont="1" applyFill="1" applyBorder="1" applyAlignment="1">
      <alignment horizontal="center"/>
    </xf>
    <xf numFmtId="164" fontId="9" fillId="2" borderId="25" xfId="0" applyNumberFormat="1" applyFont="1" applyFill="1" applyBorder="1" applyAlignment="1">
      <alignment horizontal="center"/>
    </xf>
    <xf numFmtId="164" fontId="9" fillId="2" borderId="27" xfId="0" applyNumberFormat="1" applyFont="1" applyFill="1" applyBorder="1" applyAlignment="1">
      <alignment horizontal="center"/>
    </xf>
    <xf numFmtId="0" fontId="9" fillId="2" borderId="29" xfId="0" applyFont="1" applyFill="1" applyBorder="1"/>
    <xf numFmtId="164" fontId="9" fillId="2" borderId="30" xfId="0" applyNumberFormat="1" applyFont="1" applyFill="1" applyBorder="1" applyAlignment="1">
      <alignment horizontal="center"/>
    </xf>
    <xf numFmtId="0" fontId="9" fillId="2" borderId="24" xfId="0" applyFont="1" applyFill="1" applyBorder="1" applyAlignment="1">
      <alignment horizontal="center"/>
    </xf>
    <xf numFmtId="0" fontId="9" fillId="2" borderId="25" xfId="0" applyFont="1" applyFill="1" applyBorder="1" applyAlignment="1">
      <alignment horizontal="center"/>
    </xf>
    <xf numFmtId="0" fontId="9" fillId="2" borderId="29" xfId="0" applyFont="1" applyFill="1" applyBorder="1" applyAlignment="1">
      <alignment horizontal="center"/>
    </xf>
    <xf numFmtId="0" fontId="9" fillId="2" borderId="64" xfId="0" applyFont="1" applyFill="1" applyBorder="1" applyAlignment="1">
      <alignment horizontal="left"/>
    </xf>
    <xf numFmtId="0" fontId="9" fillId="2" borderId="26" xfId="0" applyFont="1" applyFill="1" applyBorder="1"/>
    <xf numFmtId="0" fontId="9" fillId="2" borderId="28" xfId="0" applyFont="1" applyFill="1" applyBorder="1"/>
    <xf numFmtId="0" fontId="9" fillId="2" borderId="23" xfId="0" applyFont="1" applyFill="1" applyBorder="1"/>
    <xf numFmtId="0" fontId="16" fillId="2" borderId="5" xfId="0" applyFont="1" applyFill="1" applyBorder="1" applyAlignment="1">
      <alignment horizontal="left"/>
    </xf>
    <xf numFmtId="0" fontId="16" fillId="2" borderId="65" xfId="0" applyFont="1" applyFill="1" applyBorder="1" applyAlignment="1">
      <alignment horizontal="left"/>
    </xf>
    <xf numFmtId="0" fontId="16" fillId="2" borderId="42" xfId="0" applyFont="1" applyFill="1" applyBorder="1" applyAlignment="1">
      <alignment horizontal="left"/>
    </xf>
    <xf numFmtId="0" fontId="9" fillId="2" borderId="48" xfId="0" applyFont="1" applyFill="1" applyBorder="1" applyAlignment="1">
      <alignment horizontal="center"/>
    </xf>
    <xf numFmtId="0" fontId="9" fillId="2" borderId="49" xfId="0" applyFont="1" applyFill="1" applyBorder="1" applyAlignment="1">
      <alignment horizontal="center"/>
    </xf>
    <xf numFmtId="0" fontId="16" fillId="2" borderId="23" xfId="0" applyFont="1" applyFill="1" applyBorder="1" applyAlignment="1">
      <alignment horizontal="right"/>
    </xf>
    <xf numFmtId="0" fontId="16" fillId="2" borderId="26" xfId="0" applyFont="1" applyFill="1" applyBorder="1" applyAlignment="1">
      <alignment horizontal="right" vertical="top"/>
    </xf>
    <xf numFmtId="0" fontId="16" fillId="2" borderId="28" xfId="0" applyFont="1" applyFill="1" applyBorder="1" applyAlignment="1">
      <alignment horizontal="right" vertical="top"/>
    </xf>
    <xf numFmtId="0" fontId="16" fillId="2" borderId="23" xfId="0" applyFont="1" applyFill="1" applyBorder="1" applyAlignment="1">
      <alignment horizontal="right" wrapText="1"/>
    </xf>
    <xf numFmtId="0" fontId="16" fillId="2" borderId="26" xfId="0" applyFont="1" applyFill="1" applyBorder="1" applyAlignment="1">
      <alignment horizontal="right" vertical="top" wrapText="1"/>
    </xf>
    <xf numFmtId="0" fontId="16" fillId="2" borderId="28" xfId="0" applyFont="1" applyFill="1" applyBorder="1" applyAlignment="1">
      <alignment horizontal="right" vertical="top" wrapText="1"/>
    </xf>
    <xf numFmtId="0" fontId="9" fillId="2" borderId="29" xfId="0" applyFont="1" applyFill="1" applyBorder="1" applyAlignment="1">
      <alignment horizontal="left"/>
    </xf>
    <xf numFmtId="0" fontId="10" fillId="2" borderId="29" xfId="0" applyFont="1" applyFill="1" applyBorder="1" applyAlignment="1">
      <alignment horizontal="center"/>
    </xf>
    <xf numFmtId="0" fontId="9" fillId="2" borderId="19" xfId="0" applyFont="1" applyFill="1" applyBorder="1"/>
    <xf numFmtId="0" fontId="10" fillId="2" borderId="19" xfId="0" applyFont="1" applyFill="1" applyBorder="1"/>
    <xf numFmtId="164" fontId="9" fillId="2" borderId="19" xfId="0" applyNumberFormat="1" applyFont="1" applyFill="1" applyBorder="1" applyAlignment="1">
      <alignment horizontal="center"/>
    </xf>
    <xf numFmtId="164" fontId="9" fillId="2" borderId="36" xfId="0" applyNumberFormat="1" applyFont="1" applyFill="1" applyBorder="1" applyAlignment="1">
      <alignment horizontal="center"/>
    </xf>
    <xf numFmtId="0" fontId="9" fillId="2" borderId="24" xfId="0" applyFont="1" applyFill="1" applyBorder="1" applyAlignment="1">
      <alignment horizontal="left"/>
    </xf>
    <xf numFmtId="0" fontId="19" fillId="2" borderId="23" xfId="0" applyFont="1" applyFill="1" applyBorder="1"/>
    <xf numFmtId="0" fontId="9" fillId="2" borderId="28" xfId="0" applyFont="1" applyFill="1" applyBorder="1" applyAlignment="1">
      <alignment horizontal="left"/>
    </xf>
    <xf numFmtId="0" fontId="9" fillId="2" borderId="26" xfId="0" applyFont="1" applyFill="1" applyBorder="1" applyAlignment="1">
      <alignment horizontal="left"/>
    </xf>
    <xf numFmtId="0" fontId="9" fillId="2" borderId="33" xfId="0" applyFont="1" applyFill="1" applyBorder="1" applyAlignment="1">
      <alignment horizontal="left"/>
    </xf>
    <xf numFmtId="0" fontId="9" fillId="2" borderId="23" xfId="0" applyFont="1" applyFill="1" applyBorder="1" applyAlignment="1">
      <alignment horizontal="left"/>
    </xf>
    <xf numFmtId="0" fontId="10" fillId="6" borderId="24" xfId="0" applyFont="1" applyFill="1" applyBorder="1"/>
    <xf numFmtId="0" fontId="9" fillId="6" borderId="29" xfId="0" applyFont="1" applyFill="1" applyBorder="1" applyAlignment="1">
      <alignment horizontal="left"/>
    </xf>
    <xf numFmtId="0" fontId="9" fillId="6" borderId="19" xfId="0" applyFont="1" applyFill="1" applyBorder="1"/>
    <xf numFmtId="0" fontId="9" fillId="6" borderId="24" xfId="0" applyFont="1" applyFill="1" applyBorder="1" applyAlignment="1">
      <alignment horizontal="left"/>
    </xf>
    <xf numFmtId="0" fontId="9" fillId="6" borderId="29" xfId="0" applyFont="1" applyFill="1" applyBorder="1"/>
    <xf numFmtId="1" fontId="9" fillId="2" borderId="24" xfId="0" applyNumberFormat="1" applyFont="1" applyFill="1" applyBorder="1" applyAlignment="1">
      <alignment horizontal="center"/>
    </xf>
    <xf numFmtId="1" fontId="9" fillId="2" borderId="25" xfId="0" applyNumberFormat="1" applyFont="1" applyFill="1" applyBorder="1" applyAlignment="1">
      <alignment horizontal="center"/>
    </xf>
    <xf numFmtId="0" fontId="9" fillId="2" borderId="29" xfId="0" quotePrefix="1" applyFont="1" applyFill="1" applyBorder="1"/>
    <xf numFmtId="0" fontId="10" fillId="6" borderId="19" xfId="0" applyFont="1" applyFill="1" applyBorder="1"/>
    <xf numFmtId="0" fontId="9" fillId="6" borderId="29" xfId="0" quotePrefix="1" applyFont="1" applyFill="1" applyBorder="1"/>
    <xf numFmtId="0" fontId="16" fillId="2" borderId="23" xfId="0" applyFont="1" applyFill="1" applyBorder="1" applyAlignment="1">
      <alignment horizontal="left"/>
    </xf>
    <xf numFmtId="0" fontId="15" fillId="2" borderId="24" xfId="0" applyFont="1" applyFill="1" applyBorder="1" applyAlignment="1">
      <alignment horizontal="left"/>
    </xf>
    <xf numFmtId="0" fontId="9" fillId="2" borderId="26" xfId="0" applyFont="1" applyFill="1" applyBorder="1" applyAlignment="1">
      <alignment horizontal="left" vertical="center"/>
    </xf>
    <xf numFmtId="0" fontId="9" fillId="2" borderId="28" xfId="0" applyFont="1" applyFill="1" applyBorder="1" applyAlignment="1">
      <alignment horizontal="left" vertical="center"/>
    </xf>
    <xf numFmtId="0" fontId="16" fillId="2" borderId="23" xfId="0" applyFont="1" applyFill="1" applyBorder="1"/>
    <xf numFmtId="0" fontId="9" fillId="2" borderId="33" xfId="0" applyFont="1" applyFill="1" applyBorder="1"/>
    <xf numFmtId="0" fontId="10" fillId="2" borderId="26" xfId="0" applyFont="1" applyFill="1" applyBorder="1"/>
    <xf numFmtId="0" fontId="10" fillId="2" borderId="28" xfId="0" applyFont="1" applyFill="1" applyBorder="1"/>
    <xf numFmtId="0" fontId="35" fillId="2" borderId="23" xfId="0" applyFont="1" applyFill="1" applyBorder="1"/>
    <xf numFmtId="0" fontId="15" fillId="3" borderId="0" xfId="0" applyFont="1" applyFill="1"/>
    <xf numFmtId="0" fontId="46" fillId="6" borderId="29" xfId="0" applyFont="1" applyFill="1" applyBorder="1"/>
    <xf numFmtId="0" fontId="10" fillId="6" borderId="29" xfId="0" applyFont="1" applyFill="1" applyBorder="1"/>
    <xf numFmtId="0" fontId="15" fillId="6" borderId="24" xfId="0" applyFont="1" applyFill="1" applyBorder="1" applyAlignment="1">
      <alignment horizontal="left"/>
    </xf>
    <xf numFmtId="0" fontId="15" fillId="3" borderId="0" xfId="0" applyFont="1" applyFill="1" applyAlignment="1"/>
    <xf numFmtId="0" fontId="26" fillId="3" borderId="0" xfId="0" quotePrefix="1" applyFont="1" applyFill="1" applyBorder="1"/>
    <xf numFmtId="0" fontId="9" fillId="2" borderId="24" xfId="0" applyFont="1" applyFill="1" applyBorder="1" applyAlignment="1">
      <alignment horizontal="right"/>
    </xf>
    <xf numFmtId="3" fontId="9" fillId="2" borderId="24" xfId="0" applyNumberFormat="1" applyFont="1" applyFill="1" applyBorder="1" applyAlignment="1">
      <alignment horizontal="center"/>
    </xf>
    <xf numFmtId="0" fontId="16" fillId="2" borderId="29" xfId="0" applyFont="1" applyFill="1" applyBorder="1" applyAlignment="1">
      <alignment horizontal="right"/>
    </xf>
    <xf numFmtId="0" fontId="9" fillId="6" borderId="24" xfId="0" applyFont="1" applyFill="1" applyBorder="1"/>
    <xf numFmtId="0" fontId="19" fillId="2" borderId="26" xfId="0" applyFont="1" applyFill="1" applyBorder="1"/>
    <xf numFmtId="0" fontId="9" fillId="2" borderId="27" xfId="0" applyFont="1" applyFill="1" applyBorder="1" applyAlignment="1">
      <alignment horizontal="center"/>
    </xf>
    <xf numFmtId="0" fontId="16" fillId="2" borderId="26" xfId="0" applyFont="1" applyFill="1" applyBorder="1" applyAlignment="1">
      <alignment horizontal="right"/>
    </xf>
    <xf numFmtId="0" fontId="9" fillId="2" borderId="26" xfId="0" applyFont="1" applyFill="1" applyBorder="1" applyAlignment="1">
      <alignment horizontal="right"/>
    </xf>
    <xf numFmtId="0" fontId="16" fillId="2" borderId="28" xfId="0" applyFont="1" applyFill="1" applyBorder="1" applyAlignment="1">
      <alignment horizontal="right"/>
    </xf>
    <xf numFmtId="0" fontId="9" fillId="2" borderId="30" xfId="0" applyFont="1" applyFill="1" applyBorder="1" applyAlignment="1">
      <alignment horizontal="center"/>
    </xf>
    <xf numFmtId="0" fontId="26" fillId="0" borderId="23" xfId="0" applyFont="1" applyFill="1" applyBorder="1"/>
    <xf numFmtId="0" fontId="26" fillId="6" borderId="24" xfId="0" quotePrefix="1" applyFont="1" applyFill="1" applyBorder="1"/>
    <xf numFmtId="0" fontId="26" fillId="0" borderId="24" xfId="0" applyFont="1" applyFill="1" applyBorder="1"/>
    <xf numFmtId="1" fontId="26" fillId="0" borderId="25" xfId="0" applyNumberFormat="1" applyFont="1" applyFill="1" applyBorder="1" applyAlignment="1">
      <alignment horizontal="center"/>
    </xf>
    <xf numFmtId="0" fontId="26" fillId="0" borderId="28" xfId="0" applyFont="1" applyFill="1" applyBorder="1"/>
    <xf numFmtId="0" fontId="26" fillId="6" borderId="29" xfId="0" quotePrefix="1" applyFont="1" applyFill="1" applyBorder="1"/>
    <xf numFmtId="0" fontId="26" fillId="0" borderId="29" xfId="0" applyFont="1" applyFill="1" applyBorder="1"/>
    <xf numFmtId="0" fontId="10" fillId="2" borderId="23" xfId="0" applyFont="1" applyFill="1" applyBorder="1"/>
    <xf numFmtId="0" fontId="35" fillId="2" borderId="24" xfId="0" applyFont="1" applyFill="1" applyBorder="1" applyAlignment="1">
      <alignment horizontal="right"/>
    </xf>
    <xf numFmtId="0" fontId="26" fillId="2" borderId="55" xfId="0" applyFont="1" applyFill="1" applyBorder="1" applyAlignment="1">
      <alignment horizontal="right"/>
    </xf>
    <xf numFmtId="0" fontId="26" fillId="2" borderId="24" xfId="0" applyFont="1" applyFill="1" applyBorder="1" applyAlignment="1">
      <alignment horizontal="left"/>
    </xf>
    <xf numFmtId="0" fontId="29" fillId="6" borderId="29" xfId="0" quotePrefix="1" applyFont="1" applyFill="1" applyBorder="1" applyAlignment="1">
      <alignment horizontal="left"/>
    </xf>
    <xf numFmtId="165" fontId="26" fillId="2" borderId="28" xfId="0" applyNumberFormat="1" applyFont="1" applyFill="1" applyBorder="1" applyAlignment="1">
      <alignment horizontal="left" vertical="center"/>
    </xf>
    <xf numFmtId="0" fontId="29" fillId="2" borderId="29" xfId="0" quotePrefix="1" applyFont="1" applyFill="1" applyBorder="1" applyAlignment="1">
      <alignment horizontal="left"/>
    </xf>
    <xf numFmtId="165" fontId="26" fillId="6" borderId="24" xfId="0" applyNumberFormat="1" applyFont="1" applyFill="1" applyBorder="1" applyAlignment="1">
      <alignment horizontal="left"/>
    </xf>
    <xf numFmtId="0" fontId="29" fillId="2" borderId="26" xfId="0" applyFont="1" applyFill="1" applyBorder="1"/>
    <xf numFmtId="0" fontId="29" fillId="2" borderId="27" xfId="0" applyFont="1" applyFill="1" applyBorder="1" applyAlignment="1">
      <alignment horizontal="center"/>
    </xf>
    <xf numFmtId="0" fontId="29" fillId="2" borderId="28" xfId="0" applyFont="1" applyFill="1" applyBorder="1"/>
    <xf numFmtId="0" fontId="26" fillId="2" borderId="50" xfId="0" applyFont="1" applyFill="1" applyBorder="1"/>
    <xf numFmtId="164" fontId="26" fillId="2" borderId="54" xfId="0" applyNumberFormat="1" applyFont="1" applyFill="1" applyBorder="1" applyAlignment="1">
      <alignment horizontal="center"/>
    </xf>
    <xf numFmtId="0" fontId="26" fillId="6" borderId="55" xfId="0" applyFont="1" applyFill="1" applyBorder="1"/>
    <xf numFmtId="0" fontId="35" fillId="2" borderId="29" xfId="0" applyFont="1" applyFill="1" applyBorder="1"/>
    <xf numFmtId="164" fontId="34" fillId="2" borderId="29" xfId="0" applyNumberFormat="1" applyFont="1" applyFill="1" applyBorder="1" applyAlignment="1">
      <alignment horizontal="center"/>
    </xf>
    <xf numFmtId="0" fontId="10" fillId="6" borderId="23" xfId="0" applyFont="1" applyFill="1" applyBorder="1"/>
    <xf numFmtId="0" fontId="10" fillId="6" borderId="25" xfId="0" applyFont="1" applyFill="1" applyBorder="1"/>
    <xf numFmtId="0" fontId="26" fillId="6" borderId="26" xfId="0" applyFont="1" applyFill="1" applyBorder="1"/>
    <xf numFmtId="0" fontId="26" fillId="6" borderId="27" xfId="0" applyFont="1" applyFill="1" applyBorder="1"/>
    <xf numFmtId="0" fontId="26" fillId="6" borderId="28" xfId="0" applyFont="1" applyFill="1" applyBorder="1"/>
    <xf numFmtId="0" fontId="26" fillId="6" borderId="30" xfId="0" applyFont="1" applyFill="1" applyBorder="1"/>
    <xf numFmtId="0" fontId="26" fillId="2" borderId="25" xfId="0" applyFont="1" applyFill="1" applyBorder="1"/>
    <xf numFmtId="0" fontId="26" fillId="2" borderId="51" xfId="0" applyFont="1" applyFill="1" applyBorder="1"/>
    <xf numFmtId="0" fontId="26" fillId="2" borderId="55" xfId="0" applyFont="1" applyFill="1" applyBorder="1"/>
    <xf numFmtId="0" fontId="26" fillId="2" borderId="55" xfId="0" applyFont="1" applyFill="1" applyBorder="1" applyAlignment="1">
      <alignment horizontal="center"/>
    </xf>
    <xf numFmtId="164" fontId="26" fillId="2" borderId="55" xfId="0" applyNumberFormat="1" applyFont="1" applyFill="1" applyBorder="1" applyAlignment="1">
      <alignment horizontal="center"/>
    </xf>
    <xf numFmtId="164" fontId="26" fillId="2" borderId="58" xfId="0" applyNumberFormat="1" applyFont="1" applyFill="1" applyBorder="1" applyAlignment="1">
      <alignment horizontal="center"/>
    </xf>
    <xf numFmtId="165" fontId="26" fillId="3" borderId="0" xfId="0" applyNumberFormat="1" applyFont="1" applyFill="1" applyBorder="1" applyAlignment="1">
      <alignment horizontal="left" vertical="center"/>
    </xf>
    <xf numFmtId="164" fontId="29" fillId="2" borderId="27" xfId="0" applyNumberFormat="1" applyFont="1" applyFill="1" applyBorder="1" applyAlignment="1">
      <alignment horizontal="center"/>
    </xf>
    <xf numFmtId="164" fontId="29" fillId="2" borderId="30" xfId="0" applyNumberFormat="1" applyFont="1" applyFill="1" applyBorder="1" applyAlignment="1">
      <alignment horizontal="center"/>
    </xf>
    <xf numFmtId="0" fontId="39" fillId="2" borderId="28" xfId="0" applyFont="1" applyFill="1" applyBorder="1"/>
    <xf numFmtId="165" fontId="26" fillId="2" borderId="30" xfId="0" applyNumberFormat="1" applyFont="1" applyFill="1" applyBorder="1" applyAlignment="1">
      <alignment horizontal="center"/>
    </xf>
    <xf numFmtId="0" fontId="46" fillId="2" borderId="23" xfId="0" applyFont="1" applyFill="1" applyBorder="1"/>
    <xf numFmtId="0" fontId="46" fillId="2" borderId="28" xfId="0" applyFont="1" applyFill="1" applyBorder="1"/>
    <xf numFmtId="0" fontId="37" fillId="6" borderId="35" xfId="0" applyFont="1" applyFill="1" applyBorder="1" applyAlignment="1">
      <alignment horizontal="left"/>
    </xf>
    <xf numFmtId="0" fontId="26" fillId="6" borderId="53" xfId="0" applyFont="1" applyFill="1" applyBorder="1" applyAlignment="1">
      <alignment horizontal="left"/>
    </xf>
    <xf numFmtId="0" fontId="29" fillId="6" borderId="53" xfId="0" quotePrefix="1" applyFont="1" applyFill="1" applyBorder="1" applyAlignment="1">
      <alignment horizontal="left"/>
    </xf>
    <xf numFmtId="0" fontId="10" fillId="3" borderId="0" xfId="0" applyFont="1" applyFill="1" applyAlignment="1">
      <alignment horizontal="right"/>
    </xf>
    <xf numFmtId="0" fontId="10" fillId="3" borderId="0" xfId="0" quotePrefix="1" applyFont="1" applyFill="1"/>
    <xf numFmtId="0" fontId="26" fillId="2" borderId="24" xfId="0" applyFont="1" applyFill="1" applyBorder="1" applyAlignment="1">
      <alignment horizontal="center"/>
    </xf>
    <xf numFmtId="0" fontId="26" fillId="2" borderId="31" xfId="0" applyFont="1" applyFill="1" applyBorder="1" applyAlignment="1">
      <alignment horizontal="center"/>
    </xf>
    <xf numFmtId="0" fontId="26" fillId="8" borderId="1" xfId="0" applyFont="1" applyFill="1" applyBorder="1" applyAlignment="1">
      <alignment horizontal="left"/>
    </xf>
    <xf numFmtId="0" fontId="26" fillId="8" borderId="0" xfId="0" quotePrefix="1" applyFont="1" applyFill="1" applyBorder="1" applyAlignment="1">
      <alignment horizontal="left"/>
    </xf>
    <xf numFmtId="0" fontId="26" fillId="8" borderId="1" xfId="0" applyFont="1" applyFill="1" applyBorder="1" applyAlignment="1">
      <alignment horizontal="left"/>
    </xf>
    <xf numFmtId="0" fontId="42" fillId="8" borderId="1" xfId="0" applyFont="1" applyFill="1" applyBorder="1"/>
    <xf numFmtId="0" fontId="10" fillId="8" borderId="1" xfId="0" applyFont="1" applyFill="1" applyBorder="1"/>
    <xf numFmtId="0" fontId="10" fillId="3" borderId="0" xfId="0" quotePrefix="1" applyFont="1" applyFill="1" applyBorder="1"/>
    <xf numFmtId="0" fontId="26" fillId="8" borderId="60" xfId="0" applyFont="1" applyFill="1" applyBorder="1"/>
    <xf numFmtId="0" fontId="26" fillId="8" borderId="22" xfId="0" applyFont="1" applyFill="1" applyBorder="1"/>
    <xf numFmtId="0" fontId="26" fillId="8" borderId="34" xfId="0" applyFont="1" applyFill="1" applyBorder="1"/>
    <xf numFmtId="0" fontId="35" fillId="8" borderId="9" xfId="0" applyFont="1" applyFill="1" applyBorder="1"/>
    <xf numFmtId="0" fontId="26" fillId="8" borderId="0" xfId="0" applyFont="1" applyFill="1" applyBorder="1"/>
    <xf numFmtId="0" fontId="26" fillId="8" borderId="8" xfId="0" applyFont="1" applyFill="1" applyBorder="1"/>
    <xf numFmtId="0" fontId="26" fillId="8" borderId="9" xfId="0" applyFont="1" applyFill="1" applyBorder="1"/>
    <xf numFmtId="0" fontId="26" fillId="8" borderId="1" xfId="0" applyFont="1" applyFill="1" applyBorder="1" applyAlignment="1">
      <alignment horizontal="right"/>
    </xf>
    <xf numFmtId="0" fontId="26" fillId="8" borderId="1" xfId="0" applyFont="1" applyFill="1" applyBorder="1" applyAlignment="1">
      <alignment horizontal="center"/>
    </xf>
    <xf numFmtId="0" fontId="26" fillId="8" borderId="0" xfId="0" applyFont="1" applyFill="1" applyBorder="1" applyAlignment="1">
      <alignment horizontal="left"/>
    </xf>
    <xf numFmtId="0" fontId="26" fillId="8" borderId="9" xfId="0" applyFont="1" applyFill="1" applyBorder="1" applyAlignment="1">
      <alignment horizontal="left"/>
    </xf>
    <xf numFmtId="0" fontId="35" fillId="8" borderId="0" xfId="0" applyFont="1" applyFill="1" applyBorder="1" applyAlignment="1">
      <alignment horizontal="left"/>
    </xf>
    <xf numFmtId="0" fontId="26" fillId="8" borderId="9" xfId="0" applyFont="1" applyFill="1" applyBorder="1" applyAlignment="1">
      <alignment horizontal="right"/>
    </xf>
    <xf numFmtId="0" fontId="26" fillId="8" borderId="9" xfId="0" quotePrefix="1" applyFont="1" applyFill="1" applyBorder="1" applyAlignment="1">
      <alignment horizontal="right"/>
    </xf>
    <xf numFmtId="0" fontId="35" fillId="8" borderId="0" xfId="0" applyFont="1" applyFill="1" applyBorder="1"/>
    <xf numFmtId="0" fontId="26" fillId="8" borderId="9" xfId="0" quotePrefix="1" applyFont="1" applyFill="1" applyBorder="1"/>
    <xf numFmtId="0" fontId="26" fillId="8" borderId="39" xfId="0" quotePrefix="1" applyFont="1" applyFill="1" applyBorder="1"/>
    <xf numFmtId="0" fontId="26" fillId="8" borderId="2" xfId="0" applyFont="1" applyFill="1" applyBorder="1"/>
    <xf numFmtId="0" fontId="26" fillId="8" borderId="20" xfId="0" applyFont="1" applyFill="1" applyBorder="1"/>
    <xf numFmtId="0" fontId="26" fillId="8" borderId="0" xfId="0" applyFont="1" applyFill="1" applyBorder="1" applyAlignment="1">
      <alignment horizontal="center"/>
    </xf>
    <xf numFmtId="2" fontId="26" fillId="2" borderId="24" xfId="0" applyNumberFormat="1" applyFont="1" applyFill="1" applyBorder="1" applyAlignment="1">
      <alignment horizontal="center"/>
    </xf>
    <xf numFmtId="0" fontId="35" fillId="8" borderId="39" xfId="0" quotePrefix="1" applyFont="1" applyFill="1" applyBorder="1"/>
    <xf numFmtId="164" fontId="10" fillId="3" borderId="0" xfId="0" applyNumberFormat="1" applyFont="1" applyFill="1"/>
    <xf numFmtId="0" fontId="26" fillId="3" borderId="0" xfId="0" applyFont="1" applyFill="1" applyAlignment="1">
      <alignment horizontal="left"/>
    </xf>
    <xf numFmtId="0" fontId="46" fillId="3" borderId="0" xfId="0" applyFont="1" applyFill="1" applyAlignment="1">
      <alignment horizontal="center"/>
    </xf>
    <xf numFmtId="0" fontId="46" fillId="2" borderId="19" xfId="0" applyFont="1" applyFill="1" applyBorder="1"/>
    <xf numFmtId="164" fontId="35" fillId="2" borderId="12" xfId="0" applyNumberFormat="1" applyFont="1" applyFill="1" applyBorder="1" applyAlignment="1">
      <alignment horizontal="center"/>
    </xf>
    <xf numFmtId="164" fontId="29" fillId="2" borderId="24" xfId="0" applyNumberFormat="1" applyFont="1" applyFill="1" applyBorder="1" applyAlignment="1">
      <alignment horizontal="center"/>
    </xf>
    <xf numFmtId="164" fontId="29" fillId="2" borderId="25" xfId="0" applyNumberFormat="1" applyFont="1" applyFill="1" applyBorder="1" applyAlignment="1">
      <alignment horizontal="center"/>
    </xf>
    <xf numFmtId="0" fontId="46" fillId="2" borderId="12" xfId="0" applyFont="1" applyFill="1" applyBorder="1"/>
    <xf numFmtId="3" fontId="26" fillId="0" borderId="24" xfId="0" applyNumberFormat="1" applyFont="1" applyBorder="1" applyAlignment="1">
      <alignment horizontal="center" wrapText="1"/>
    </xf>
    <xf numFmtId="3" fontId="26" fillId="0" borderId="24" xfId="0" applyNumberFormat="1" applyFont="1" applyBorder="1" applyAlignment="1">
      <alignment horizontal="center" vertical="center" wrapText="1"/>
    </xf>
    <xf numFmtId="3" fontId="26" fillId="0" borderId="1" xfId="0" applyNumberFormat="1" applyFont="1" applyFill="1" applyBorder="1" applyAlignment="1">
      <alignment horizontal="center" wrapText="1"/>
    </xf>
    <xf numFmtId="3" fontId="26" fillId="0" borderId="1" xfId="0" applyNumberFormat="1" applyFont="1" applyFill="1" applyBorder="1" applyAlignment="1">
      <alignment horizontal="center" vertical="center" wrapText="1"/>
    </xf>
    <xf numFmtId="3" fontId="26" fillId="0" borderId="1" xfId="0" applyNumberFormat="1" applyFont="1" applyBorder="1" applyAlignment="1">
      <alignment horizontal="center" wrapText="1"/>
    </xf>
    <xf numFmtId="3" fontId="26" fillId="0" borderId="1" xfId="0" applyNumberFormat="1" applyFont="1" applyBorder="1" applyAlignment="1">
      <alignment horizontal="center" vertical="center" wrapText="1"/>
    </xf>
    <xf numFmtId="3" fontId="26" fillId="0" borderId="29" xfId="0" applyNumberFormat="1" applyFont="1" applyBorder="1" applyAlignment="1">
      <alignment horizontal="center" wrapText="1"/>
    </xf>
    <xf numFmtId="3" fontId="26" fillId="0" borderId="29" xfId="0" applyNumberFormat="1" applyFont="1" applyBorder="1" applyAlignment="1">
      <alignment horizontal="center" vertical="center" wrapText="1"/>
    </xf>
    <xf numFmtId="0" fontId="26" fillId="0" borderId="0" xfId="0" applyFont="1" applyAlignment="1">
      <alignment horizontal="left"/>
    </xf>
    <xf numFmtId="0" fontId="74" fillId="0" borderId="1" xfId="0" applyFont="1" applyBorder="1"/>
    <xf numFmtId="0" fontId="55" fillId="0" borderId="1" xfId="0" applyFont="1" applyBorder="1" applyAlignment="1">
      <alignment horizontal="center"/>
    </xf>
    <xf numFmtId="0" fontId="55" fillId="0" borderId="1" xfId="0" applyFont="1" applyBorder="1"/>
    <xf numFmtId="0" fontId="55" fillId="0" borderId="1" xfId="0" applyFont="1" applyBorder="1" applyAlignment="1">
      <alignment horizontal="left"/>
    </xf>
    <xf numFmtId="0" fontId="75" fillId="0" borderId="1" xfId="0" applyFont="1" applyBorder="1" applyAlignment="1">
      <alignment horizontal="center"/>
    </xf>
    <xf numFmtId="168" fontId="75" fillId="0" borderId="1" xfId="0" applyNumberFormat="1" applyFont="1" applyBorder="1" applyAlignment="1">
      <alignment horizontal="center"/>
    </xf>
    <xf numFmtId="0" fontId="10" fillId="3" borderId="0" xfId="0" applyFont="1" applyFill="1" applyBorder="1"/>
    <xf numFmtId="0" fontId="26" fillId="4" borderId="0" xfId="0" applyFont="1" applyFill="1"/>
    <xf numFmtId="3" fontId="76" fillId="0" borderId="1" xfId="0" applyNumberFormat="1" applyFont="1" applyBorder="1" applyAlignment="1">
      <alignment horizontal="center"/>
    </xf>
    <xf numFmtId="0" fontId="10" fillId="3" borderId="0" xfId="0" applyFont="1" applyFill="1" applyBorder="1"/>
    <xf numFmtId="0" fontId="26" fillId="8" borderId="41" xfId="0" applyFont="1" applyFill="1" applyBorder="1" applyAlignment="1">
      <alignment horizontal="left"/>
    </xf>
    <xf numFmtId="0" fontId="26" fillId="8" borderId="0" xfId="0" quotePrefix="1" applyFont="1" applyFill="1" applyBorder="1" applyAlignment="1">
      <alignment horizontal="left"/>
    </xf>
    <xf numFmtId="0" fontId="26" fillId="12" borderId="26" xfId="0" applyFont="1" applyFill="1" applyBorder="1"/>
    <xf numFmtId="0" fontId="26" fillId="12" borderId="1" xfId="0" applyFont="1" applyFill="1" applyBorder="1" applyAlignment="1">
      <alignment horizontal="center"/>
    </xf>
    <xf numFmtId="1" fontId="26" fillId="12" borderId="1" xfId="0" applyNumberFormat="1" applyFont="1" applyFill="1" applyBorder="1" applyAlignment="1">
      <alignment horizontal="center"/>
    </xf>
    <xf numFmtId="0" fontId="10" fillId="3" borderId="9" xfId="0" applyFont="1" applyFill="1" applyBorder="1"/>
    <xf numFmtId="0" fontId="10" fillId="8" borderId="41" xfId="0" applyFont="1" applyFill="1" applyBorder="1"/>
    <xf numFmtId="0" fontId="7" fillId="2" borderId="0" xfId="0" applyFont="1" applyFill="1" applyBorder="1" applyAlignment="1">
      <alignment vertical="center"/>
    </xf>
    <xf numFmtId="0" fontId="8" fillId="2" borderId="0" xfId="0" applyFont="1" applyFill="1" applyBorder="1" applyAlignment="1">
      <alignment vertical="center"/>
    </xf>
    <xf numFmtId="0" fontId="75" fillId="2" borderId="1" xfId="0" applyFont="1" applyFill="1" applyBorder="1" applyAlignment="1">
      <alignment horizontal="center"/>
    </xf>
    <xf numFmtId="165" fontId="29" fillId="2" borderId="23" xfId="0" applyNumberFormat="1" applyFont="1" applyFill="1" applyBorder="1" applyAlignment="1">
      <alignment horizontal="left"/>
    </xf>
    <xf numFmtId="0" fontId="26" fillId="2" borderId="24" xfId="0" applyFont="1" applyFill="1" applyBorder="1" applyAlignment="1">
      <alignment horizontal="center"/>
    </xf>
    <xf numFmtId="0" fontId="55" fillId="8" borderId="1" xfId="0" applyFont="1" applyFill="1" applyBorder="1" applyAlignment="1">
      <alignment horizontal="center" vertical="center"/>
    </xf>
    <xf numFmtId="0" fontId="75" fillId="8" borderId="1" xfId="0" applyFont="1" applyFill="1" applyBorder="1" applyAlignment="1">
      <alignment horizontal="center" vertical="center"/>
    </xf>
    <xf numFmtId="0" fontId="35" fillId="6" borderId="27" xfId="0" applyFont="1" applyFill="1" applyBorder="1"/>
    <xf numFmtId="0" fontId="77" fillId="3" borderId="0" xfId="0" applyFont="1" applyFill="1" applyAlignment="1">
      <alignment horizontal="center"/>
    </xf>
    <xf numFmtId="0" fontId="26" fillId="8" borderId="23" xfId="0" applyFont="1" applyFill="1" applyBorder="1" applyAlignment="1">
      <alignment horizontal="center"/>
    </xf>
    <xf numFmtId="0" fontId="26" fillId="8" borderId="26" xfId="0" applyFont="1" applyFill="1" applyBorder="1" applyAlignment="1">
      <alignment horizontal="center"/>
    </xf>
    <xf numFmtId="0" fontId="26" fillId="8" borderId="28" xfId="0" applyFont="1" applyFill="1" applyBorder="1" applyAlignment="1">
      <alignment horizontal="center"/>
    </xf>
    <xf numFmtId="0" fontId="35" fillId="6" borderId="30" xfId="0" applyFont="1" applyFill="1" applyBorder="1"/>
    <xf numFmtId="0" fontId="46" fillId="6" borderId="13" xfId="0" applyFont="1" applyFill="1" applyBorder="1" applyAlignment="1">
      <alignment horizontal="left" vertical="center"/>
    </xf>
    <xf numFmtId="0" fontId="46" fillId="6" borderId="15" xfId="0" applyFont="1" applyFill="1" applyBorder="1" applyAlignment="1">
      <alignment horizontal="left" vertical="center"/>
    </xf>
    <xf numFmtId="0" fontId="78" fillId="6" borderId="4" xfId="0" applyFont="1" applyFill="1" applyBorder="1"/>
    <xf numFmtId="0" fontId="46" fillId="6" borderId="7" xfId="0" applyFont="1" applyFill="1" applyBorder="1"/>
    <xf numFmtId="0" fontId="26" fillId="6" borderId="4" xfId="0" quotePrefix="1" applyFont="1" applyFill="1" applyBorder="1" applyAlignment="1"/>
    <xf numFmtId="0" fontId="26" fillId="6" borderId="16" xfId="0" quotePrefix="1" applyFont="1" applyFill="1" applyBorder="1" applyAlignment="1"/>
    <xf numFmtId="0" fontId="46" fillId="6" borderId="17" xfId="0" applyFont="1" applyFill="1" applyBorder="1"/>
    <xf numFmtId="0" fontId="26" fillId="2" borderId="54" xfId="0" applyFont="1" applyFill="1" applyBorder="1" applyAlignment="1">
      <alignment horizontal="center" wrapText="1"/>
    </xf>
    <xf numFmtId="0" fontId="46" fillId="2" borderId="26" xfId="0" applyFont="1" applyFill="1" applyBorder="1"/>
    <xf numFmtId="0" fontId="46" fillId="2" borderId="51" xfId="0" applyFont="1" applyFill="1" applyBorder="1"/>
    <xf numFmtId="0" fontId="46" fillId="2" borderId="55" xfId="0" applyFont="1" applyFill="1" applyBorder="1"/>
    <xf numFmtId="0" fontId="10" fillId="8" borderId="24" xfId="0" applyFont="1" applyFill="1" applyBorder="1"/>
    <xf numFmtId="0" fontId="26" fillId="0" borderId="29" xfId="0" applyFont="1" applyFill="1" applyBorder="1" applyAlignment="1">
      <alignment horizontal="center"/>
    </xf>
    <xf numFmtId="0" fontId="26" fillId="0" borderId="30" xfId="0" applyFont="1" applyFill="1" applyBorder="1" applyAlignment="1">
      <alignment horizontal="center"/>
    </xf>
    <xf numFmtId="0" fontId="26" fillId="2" borderId="24" xfId="0" applyFont="1" applyFill="1" applyBorder="1" applyAlignment="1">
      <alignment horizontal="center"/>
    </xf>
    <xf numFmtId="167" fontId="10" fillId="3" borderId="0" xfId="0" applyNumberFormat="1" applyFont="1" applyFill="1"/>
    <xf numFmtId="0" fontId="26" fillId="2" borderId="24" xfId="0" applyFont="1" applyFill="1" applyBorder="1" applyAlignment="1">
      <alignment horizontal="center"/>
    </xf>
    <xf numFmtId="0" fontId="46" fillId="3" borderId="0" xfId="0" applyFont="1" applyFill="1" applyBorder="1"/>
    <xf numFmtId="0" fontId="10" fillId="3" borderId="0" xfId="0" applyFont="1" applyFill="1" applyBorder="1"/>
    <xf numFmtId="0" fontId="81" fillId="3" borderId="0" xfId="0" applyFont="1" applyFill="1"/>
    <xf numFmtId="0" fontId="29" fillId="0" borderId="29" xfId="0" applyFont="1" applyFill="1" applyBorder="1" applyAlignment="1">
      <alignment horizontal="center"/>
    </xf>
    <xf numFmtId="2" fontId="29" fillId="0" borderId="29" xfId="0" applyNumberFormat="1" applyFont="1" applyFill="1" applyBorder="1" applyAlignment="1">
      <alignment horizontal="center"/>
    </xf>
    <xf numFmtId="0" fontId="29" fillId="0" borderId="30" xfId="0" applyFont="1" applyFill="1" applyBorder="1" applyAlignment="1">
      <alignment horizontal="center"/>
    </xf>
    <xf numFmtId="0" fontId="29" fillId="0" borderId="1" xfId="0" applyFont="1" applyFill="1" applyBorder="1" applyAlignment="1">
      <alignment horizontal="left"/>
    </xf>
    <xf numFmtId="0" fontId="26" fillId="0" borderId="0" xfId="0" applyFont="1" applyAlignment="1">
      <alignment horizontal="right"/>
    </xf>
    <xf numFmtId="0" fontId="26" fillId="6" borderId="29" xfId="0" applyFont="1" applyFill="1" applyBorder="1" applyAlignment="1">
      <alignment horizontal="left"/>
    </xf>
    <xf numFmtId="0" fontId="26" fillId="8" borderId="26" xfId="0" applyFont="1" applyFill="1" applyBorder="1"/>
    <xf numFmtId="0" fontId="26" fillId="8" borderId="29" xfId="0" applyFont="1" applyFill="1" applyBorder="1"/>
    <xf numFmtId="0" fontId="35" fillId="8" borderId="28" xfId="0" applyFont="1" applyFill="1" applyBorder="1"/>
    <xf numFmtId="0" fontId="26" fillId="8" borderId="40" xfId="0" applyFont="1" applyFill="1" applyBorder="1"/>
    <xf numFmtId="0" fontId="26" fillId="8" borderId="53" xfId="0" applyFont="1" applyFill="1" applyBorder="1"/>
    <xf numFmtId="0" fontId="10" fillId="8" borderId="11" xfId="0" applyFont="1" applyFill="1" applyBorder="1"/>
    <xf numFmtId="0" fontId="10" fillId="8" borderId="25" xfId="0" applyFont="1" applyFill="1" applyBorder="1"/>
    <xf numFmtId="0" fontId="10" fillId="8" borderId="68" xfId="0" applyFont="1" applyFill="1" applyBorder="1"/>
    <xf numFmtId="0" fontId="10" fillId="8" borderId="27" xfId="0" applyFont="1" applyFill="1" applyBorder="1"/>
    <xf numFmtId="0" fontId="10" fillId="8" borderId="30" xfId="0" applyFont="1" applyFill="1" applyBorder="1"/>
    <xf numFmtId="0" fontId="10" fillId="3" borderId="0" xfId="0" applyFont="1" applyFill="1" applyAlignment="1">
      <alignment horizontal="left"/>
    </xf>
    <xf numFmtId="0" fontId="10" fillId="3" borderId="0" xfId="0" applyFont="1" applyFill="1" applyBorder="1" applyAlignment="1">
      <alignment horizontal="left"/>
    </xf>
    <xf numFmtId="0" fontId="26" fillId="8" borderId="64" xfId="0" applyFont="1" applyFill="1" applyBorder="1"/>
    <xf numFmtId="0" fontId="26" fillId="8" borderId="35" xfId="0" applyFont="1" applyFill="1" applyBorder="1"/>
    <xf numFmtId="0" fontId="26" fillId="8" borderId="18" xfId="0" applyFont="1" applyFill="1" applyBorder="1"/>
    <xf numFmtId="0" fontId="26" fillId="8" borderId="11" xfId="0" applyFont="1" applyFill="1" applyBorder="1"/>
    <xf numFmtId="0" fontId="26" fillId="8" borderId="41" xfId="0" applyFont="1" applyFill="1" applyBorder="1"/>
    <xf numFmtId="0" fontId="35" fillId="8" borderId="43" xfId="0" applyFont="1" applyFill="1" applyBorder="1" applyAlignment="1">
      <alignment horizontal="left"/>
    </xf>
    <xf numFmtId="0" fontId="35" fillId="8" borderId="14" xfId="0" applyFont="1" applyFill="1" applyBorder="1" applyAlignment="1">
      <alignment horizontal="left"/>
    </xf>
    <xf numFmtId="0" fontId="10" fillId="8" borderId="14" xfId="0" applyFont="1" applyFill="1" applyBorder="1"/>
    <xf numFmtId="0" fontId="10" fillId="8" borderId="42" xfId="0" applyFont="1" applyFill="1" applyBorder="1"/>
    <xf numFmtId="0" fontId="10" fillId="8" borderId="10" xfId="0" applyFont="1" applyFill="1" applyBorder="1"/>
    <xf numFmtId="0" fontId="10" fillId="8" borderId="17" xfId="0" applyFont="1" applyFill="1" applyBorder="1"/>
    <xf numFmtId="0" fontId="10" fillId="8" borderId="13" xfId="0" applyFont="1" applyFill="1" applyBorder="1"/>
    <xf numFmtId="0" fontId="10" fillId="8" borderId="15" xfId="0" applyFont="1" applyFill="1" applyBorder="1"/>
    <xf numFmtId="0" fontId="10" fillId="8" borderId="4" xfId="0" applyFont="1" applyFill="1" applyBorder="1"/>
    <xf numFmtId="0" fontId="10" fillId="8" borderId="7" xfId="0" applyFont="1" applyFill="1" applyBorder="1"/>
    <xf numFmtId="0" fontId="10" fillId="8" borderId="0" xfId="0" quotePrefix="1" applyFont="1" applyFill="1" applyBorder="1"/>
    <xf numFmtId="0" fontId="10" fillId="8" borderId="16" xfId="0" applyFont="1" applyFill="1" applyBorder="1"/>
    <xf numFmtId="0" fontId="26" fillId="6" borderId="31" xfId="0" applyFont="1" applyFill="1" applyBorder="1" applyAlignment="1">
      <alignment horizontal="left"/>
    </xf>
    <xf numFmtId="165" fontId="26" fillId="2" borderId="27" xfId="0" applyNumberFormat="1" applyFont="1" applyFill="1" applyBorder="1" applyAlignment="1">
      <alignment horizontal="center"/>
    </xf>
    <xf numFmtId="0" fontId="10" fillId="3" borderId="0" xfId="0" applyFont="1" applyFill="1" applyBorder="1"/>
    <xf numFmtId="0" fontId="26" fillId="6" borderId="52" xfId="0" quotePrefix="1" applyFont="1" applyFill="1" applyBorder="1" applyAlignment="1">
      <alignment horizontal="left"/>
    </xf>
    <xf numFmtId="0" fontId="26" fillId="6" borderId="31" xfId="0" quotePrefix="1" applyFont="1" applyFill="1" applyBorder="1" applyAlignment="1">
      <alignment horizontal="left"/>
    </xf>
    <xf numFmtId="0" fontId="29" fillId="6" borderId="52" xfId="0" quotePrefix="1" applyFont="1" applyFill="1" applyBorder="1" applyAlignment="1">
      <alignment horizontal="left"/>
    </xf>
    <xf numFmtId="0" fontId="29" fillId="6" borderId="31" xfId="0" quotePrefix="1" applyFont="1" applyFill="1" applyBorder="1" applyAlignment="1">
      <alignment horizontal="left"/>
    </xf>
    <xf numFmtId="0" fontId="64" fillId="3" borderId="6" xfId="0" applyFont="1" applyFill="1" applyBorder="1" applyAlignment="1">
      <alignment horizontal="left" vertical="center"/>
    </xf>
    <xf numFmtId="0" fontId="26" fillId="2" borderId="24" xfId="0" applyFont="1" applyFill="1" applyBorder="1" applyAlignment="1">
      <alignment horizontal="center"/>
    </xf>
    <xf numFmtId="0" fontId="10" fillId="2" borderId="23" xfId="0" applyFont="1" applyFill="1" applyBorder="1" applyAlignment="1">
      <alignment horizontal="left"/>
    </xf>
    <xf numFmtId="0" fontId="10" fillId="2" borderId="28" xfId="0" applyFont="1" applyFill="1" applyBorder="1" applyAlignment="1">
      <alignment horizontal="left"/>
    </xf>
    <xf numFmtId="0" fontId="17" fillId="6" borderId="52" xfId="0" quotePrefix="1" applyFont="1" applyFill="1" applyBorder="1" applyAlignment="1">
      <alignment horizontal="left"/>
    </xf>
    <xf numFmtId="0" fontId="17" fillId="6" borderId="31" xfId="0" quotePrefix="1" applyFont="1" applyFill="1" applyBorder="1" applyAlignment="1">
      <alignment horizontal="left"/>
    </xf>
    <xf numFmtId="0" fontId="40" fillId="6" borderId="52" xfId="0" applyFont="1" applyFill="1" applyBorder="1" applyAlignment="1">
      <alignment horizontal="left"/>
    </xf>
    <xf numFmtId="0" fontId="40" fillId="6" borderId="31" xfId="0" applyFont="1" applyFill="1" applyBorder="1" applyAlignment="1">
      <alignment horizontal="left"/>
    </xf>
    <xf numFmtId="0" fontId="26" fillId="8" borderId="24" xfId="0" applyFont="1" applyFill="1" applyBorder="1" applyAlignment="1">
      <alignment horizontal="left"/>
    </xf>
    <xf numFmtId="0" fontId="26" fillId="2" borderId="53" xfId="0" applyFont="1" applyFill="1" applyBorder="1" applyAlignment="1">
      <alignment horizontal="left"/>
    </xf>
    <xf numFmtId="0" fontId="26" fillId="3" borderId="0" xfId="0" applyFont="1" applyFill="1" applyBorder="1" applyAlignment="1">
      <alignment horizontal="center"/>
    </xf>
    <xf numFmtId="0" fontId="29" fillId="8" borderId="52" xfId="0" quotePrefix="1" applyFont="1" applyFill="1" applyBorder="1" applyAlignment="1">
      <alignment horizontal="left"/>
    </xf>
    <xf numFmtId="0" fontId="29" fillId="8" borderId="31" xfId="0" quotePrefix="1" applyFont="1" applyFill="1" applyBorder="1" applyAlignment="1">
      <alignment horizontal="left"/>
    </xf>
    <xf numFmtId="0" fontId="40" fillId="6" borderId="24" xfId="0" applyFont="1" applyFill="1" applyBorder="1"/>
    <xf numFmtId="0" fontId="26" fillId="2" borderId="24" xfId="0" applyFont="1" applyFill="1" applyBorder="1" applyAlignment="1">
      <alignment horizontal="center"/>
    </xf>
    <xf numFmtId="0" fontId="24" fillId="2" borderId="0" xfId="0" applyFont="1" applyFill="1" applyBorder="1"/>
    <xf numFmtId="0" fontId="26" fillId="2" borderId="27" xfId="0" applyFont="1" applyFill="1" applyBorder="1"/>
    <xf numFmtId="164" fontId="83" fillId="2" borderId="29" xfId="0" applyNumberFormat="1" applyFont="1" applyFill="1" applyBorder="1" applyAlignment="1">
      <alignment horizontal="center"/>
    </xf>
    <xf numFmtId="164" fontId="83" fillId="2" borderId="30" xfId="0" applyNumberFormat="1" applyFont="1" applyFill="1" applyBorder="1" applyAlignment="1">
      <alignment horizontal="center"/>
    </xf>
    <xf numFmtId="0" fontId="38" fillId="8" borderId="26" xfId="0" applyFont="1" applyFill="1" applyBorder="1"/>
    <xf numFmtId="0" fontId="21" fillId="2" borderId="10" xfId="0" applyFont="1" applyFill="1" applyBorder="1"/>
    <xf numFmtId="0" fontId="40" fillId="3" borderId="0" xfId="0" applyFont="1" applyFill="1" applyBorder="1"/>
    <xf numFmtId="0" fontId="29" fillId="3" borderId="0" xfId="0" applyFont="1" applyFill="1" applyBorder="1"/>
    <xf numFmtId="3" fontId="65" fillId="3" borderId="0" xfId="0" applyNumberFormat="1" applyFont="1" applyFill="1" applyBorder="1" applyAlignment="1">
      <alignment horizontal="left" vertical="center"/>
    </xf>
    <xf numFmtId="0" fontId="11" fillId="2" borderId="14" xfId="0" applyFont="1" applyFill="1" applyBorder="1"/>
    <xf numFmtId="0" fontId="16" fillId="2" borderId="0" xfId="0" applyFont="1" applyFill="1" applyBorder="1" applyAlignment="1">
      <alignment horizontal="left"/>
    </xf>
    <xf numFmtId="0" fontId="9" fillId="2" borderId="2" xfId="0" applyFont="1" applyFill="1" applyBorder="1"/>
    <xf numFmtId="0" fontId="68" fillId="3" borderId="0" xfId="0" applyFont="1" applyFill="1" applyBorder="1"/>
    <xf numFmtId="0" fontId="29" fillId="3" borderId="2" xfId="0" applyFont="1" applyFill="1" applyBorder="1"/>
    <xf numFmtId="0" fontId="69" fillId="3" borderId="0" xfId="0" applyFont="1" applyFill="1" applyBorder="1"/>
    <xf numFmtId="0" fontId="46" fillId="3" borderId="14" xfId="0" quotePrefix="1" applyFont="1" applyFill="1" applyBorder="1"/>
    <xf numFmtId="0" fontId="70" fillId="3" borderId="0" xfId="0" applyFont="1" applyFill="1" applyBorder="1" applyAlignment="1">
      <alignment horizontal="left"/>
    </xf>
    <xf numFmtId="0" fontId="26" fillId="3" borderId="2" xfId="0" applyFont="1" applyFill="1" applyBorder="1" applyAlignment="1">
      <alignment horizontal="right"/>
    </xf>
    <xf numFmtId="0" fontId="71" fillId="3" borderId="0" xfId="0" applyFont="1" applyFill="1" applyBorder="1"/>
    <xf numFmtId="0" fontId="35" fillId="3" borderId="21" xfId="0" applyFont="1" applyFill="1" applyBorder="1"/>
    <xf numFmtId="0" fontId="26" fillId="6" borderId="24" xfId="0" applyFont="1" applyFill="1" applyBorder="1" applyAlignment="1">
      <alignment horizontal="left"/>
    </xf>
    <xf numFmtId="0" fontId="26" fillId="6" borderId="67" xfId="0" applyFont="1" applyFill="1" applyBorder="1" applyAlignment="1">
      <alignment horizontal="left"/>
    </xf>
    <xf numFmtId="164" fontId="26" fillId="2" borderId="19" xfId="0" applyNumberFormat="1" applyFont="1" applyFill="1" applyBorder="1" applyAlignment="1">
      <alignment horizontal="center"/>
    </xf>
    <xf numFmtId="0" fontId="10" fillId="3" borderId="5" xfId="0" applyFont="1" applyFill="1" applyBorder="1" applyAlignment="1">
      <alignment vertical="center"/>
    </xf>
    <xf numFmtId="0" fontId="10" fillId="3" borderId="3" xfId="0" applyFont="1" applyFill="1" applyBorder="1"/>
    <xf numFmtId="0" fontId="10" fillId="3" borderId="5" xfId="0" applyFont="1" applyFill="1" applyBorder="1"/>
    <xf numFmtId="0" fontId="10" fillId="2" borderId="3" xfId="0" applyFont="1" applyFill="1" applyBorder="1"/>
    <xf numFmtId="0" fontId="37" fillId="6" borderId="52" xfId="0" applyFont="1" applyFill="1" applyBorder="1" applyAlignment="1">
      <alignment horizontal="left"/>
    </xf>
    <xf numFmtId="0" fontId="37" fillId="6" borderId="31" xfId="0" applyFont="1" applyFill="1" applyBorder="1" applyAlignment="1">
      <alignment horizontal="left"/>
    </xf>
    <xf numFmtId="0" fontId="26" fillId="2" borderId="52" xfId="0" applyFont="1" applyFill="1" applyBorder="1" applyAlignment="1">
      <alignment horizontal="left"/>
    </xf>
    <xf numFmtId="0" fontId="26" fillId="2" borderId="35" xfId="0" applyFont="1" applyFill="1" applyBorder="1" applyAlignment="1">
      <alignment horizontal="left"/>
    </xf>
    <xf numFmtId="0" fontId="26" fillId="2" borderId="66" xfId="0" applyFont="1" applyFill="1" applyBorder="1" applyAlignment="1">
      <alignment horizontal="left"/>
    </xf>
    <xf numFmtId="165" fontId="29" fillId="2" borderId="23" xfId="0" applyNumberFormat="1" applyFont="1" applyFill="1" applyBorder="1" applyAlignment="1">
      <alignment horizontal="left"/>
    </xf>
    <xf numFmtId="165" fontId="29" fillId="2" borderId="24" xfId="0" applyNumberFormat="1" applyFont="1" applyFill="1" applyBorder="1" applyAlignment="1">
      <alignment horizontal="left"/>
    </xf>
    <xf numFmtId="0" fontId="26" fillId="2" borderId="24" xfId="0" applyFont="1" applyFill="1" applyBorder="1" applyAlignment="1">
      <alignment horizontal="center"/>
    </xf>
    <xf numFmtId="165" fontId="26" fillId="2" borderId="24" xfId="0" applyNumberFormat="1" applyFont="1" applyFill="1" applyBorder="1" applyAlignment="1">
      <alignment horizontal="center"/>
    </xf>
    <xf numFmtId="0" fontId="29" fillId="2" borderId="34" xfId="0" quotePrefix="1" applyFont="1" applyFill="1" applyBorder="1" applyAlignment="1">
      <alignment horizontal="left"/>
    </xf>
    <xf numFmtId="0" fontId="29" fillId="2" borderId="19" xfId="0" quotePrefix="1" applyFont="1" applyFill="1" applyBorder="1" applyAlignment="1">
      <alignment horizontal="left"/>
    </xf>
    <xf numFmtId="164" fontId="26" fillId="2" borderId="36" xfId="0" applyNumberFormat="1" applyFont="1" applyFill="1" applyBorder="1" applyAlignment="1">
      <alignment horizontal="center"/>
    </xf>
    <xf numFmtId="0" fontId="26" fillId="6" borderId="41" xfId="0" applyFont="1" applyFill="1" applyBorder="1"/>
    <xf numFmtId="164" fontId="29" fillId="2" borderId="11" xfId="0" applyNumberFormat="1" applyFont="1" applyFill="1" applyBorder="1" applyAlignment="1">
      <alignment horizontal="center"/>
    </xf>
    <xf numFmtId="0" fontId="29" fillId="6" borderId="4" xfId="0" applyFont="1" applyFill="1" applyBorder="1" applyAlignment="1">
      <alignment horizontal="center" wrapText="1"/>
    </xf>
    <xf numFmtId="0" fontId="29" fillId="6" borderId="0" xfId="0" applyFont="1" applyFill="1" applyBorder="1" applyAlignment="1">
      <alignment horizontal="center" wrapText="1"/>
    </xf>
    <xf numFmtId="0" fontId="29" fillId="6" borderId="9" xfId="0" applyFont="1" applyFill="1" applyBorder="1" applyAlignment="1">
      <alignment horizontal="center" wrapText="1"/>
    </xf>
    <xf numFmtId="164" fontId="29" fillId="0" borderId="29" xfId="0" applyNumberFormat="1" applyFont="1" applyFill="1" applyBorder="1" applyAlignment="1">
      <alignment horizontal="center"/>
    </xf>
    <xf numFmtId="0" fontId="26" fillId="6" borderId="0" xfId="0" applyFont="1" applyFill="1" applyBorder="1" applyAlignment="1">
      <alignment horizontal="center"/>
    </xf>
    <xf numFmtId="0" fontId="26" fillId="6" borderId="9" xfId="0" applyFont="1" applyFill="1" applyBorder="1" applyAlignment="1">
      <alignment horizontal="center" vertical="center"/>
    </xf>
    <xf numFmtId="0" fontId="26" fillId="6" borderId="0" xfId="0" applyFont="1" applyFill="1" applyBorder="1" applyAlignment="1">
      <alignment horizontal="center" vertical="center"/>
    </xf>
    <xf numFmtId="0" fontId="26" fillId="6" borderId="9" xfId="0" applyFont="1" applyFill="1" applyBorder="1" applyAlignment="1">
      <alignment horizontal="center"/>
    </xf>
    <xf numFmtId="0" fontId="29" fillId="6" borderId="1" xfId="0" applyFont="1" applyFill="1" applyBorder="1" applyAlignment="1">
      <alignment horizontal="center"/>
    </xf>
    <xf numFmtId="1" fontId="26" fillId="6" borderId="1" xfId="0" applyNumberFormat="1" applyFont="1" applyFill="1" applyBorder="1" applyAlignment="1">
      <alignment horizontal="center"/>
    </xf>
    <xf numFmtId="0" fontId="35" fillId="6" borderId="1" xfId="0" applyFont="1" applyFill="1" applyBorder="1"/>
    <xf numFmtId="0" fontId="35" fillId="6" borderId="29" xfId="0" applyFont="1" applyFill="1" applyBorder="1"/>
    <xf numFmtId="0" fontId="29" fillId="6" borderId="4" xfId="0" applyFont="1" applyFill="1" applyBorder="1" applyAlignment="1">
      <alignment horizontal="center" vertical="center" wrapText="1"/>
    </xf>
    <xf numFmtId="0" fontId="29" fillId="6" borderId="0" xfId="0" applyFont="1" applyFill="1" applyBorder="1" applyAlignment="1">
      <alignment horizontal="center" vertical="center" wrapText="1"/>
    </xf>
    <xf numFmtId="0" fontId="29" fillId="6" borderId="9" xfId="0" applyFont="1" applyFill="1" applyBorder="1" applyAlignment="1">
      <alignment horizontal="center" vertical="center" wrapText="1"/>
    </xf>
    <xf numFmtId="0" fontId="26" fillId="6" borderId="9" xfId="0" applyFont="1" applyFill="1" applyBorder="1" applyAlignment="1">
      <alignment wrapText="1"/>
    </xf>
    <xf numFmtId="0" fontId="26" fillId="6" borderId="0" xfId="0" applyFont="1" applyFill="1" applyAlignment="1">
      <alignment wrapText="1"/>
    </xf>
    <xf numFmtId="0" fontId="87" fillId="0" borderId="26" xfId="0" applyFont="1" applyBorder="1"/>
    <xf numFmtId="0" fontId="87" fillId="0" borderId="28" xfId="0" applyFont="1" applyBorder="1"/>
    <xf numFmtId="0" fontId="26" fillId="6" borderId="37" xfId="0" applyFont="1" applyFill="1" applyBorder="1"/>
    <xf numFmtId="1" fontId="26" fillId="6" borderId="29" xfId="0" applyNumberFormat="1" applyFont="1" applyFill="1" applyBorder="1" applyAlignment="1">
      <alignment horizontal="center"/>
    </xf>
    <xf numFmtId="164" fontId="29" fillId="2" borderId="68" xfId="0" applyNumberFormat="1" applyFont="1" applyFill="1" applyBorder="1" applyAlignment="1">
      <alignment horizontal="center"/>
    </xf>
    <xf numFmtId="164" fontId="0" fillId="3" borderId="0" xfId="0" applyNumberFormat="1" applyFill="1"/>
    <xf numFmtId="0" fontId="29" fillId="6" borderId="32" xfId="0" quotePrefix="1" applyFont="1" applyFill="1" applyBorder="1" applyAlignment="1">
      <alignment horizontal="left"/>
    </xf>
    <xf numFmtId="0" fontId="37" fillId="6" borderId="52" xfId="0" applyFont="1" applyFill="1" applyBorder="1" applyAlignment="1">
      <alignment horizontal="left"/>
    </xf>
    <xf numFmtId="0" fontId="37" fillId="6" borderId="31" xfId="0" applyFont="1" applyFill="1" applyBorder="1" applyAlignment="1">
      <alignment horizontal="left"/>
    </xf>
    <xf numFmtId="0" fontId="55" fillId="6" borderId="32" xfId="0" quotePrefix="1" applyFont="1" applyFill="1" applyBorder="1" applyAlignment="1">
      <alignment horizontal="left"/>
    </xf>
    <xf numFmtId="0" fontId="26" fillId="6" borderId="31" xfId="0" applyFont="1" applyFill="1" applyBorder="1" applyAlignment="1">
      <alignment horizontal="left"/>
    </xf>
    <xf numFmtId="0" fontId="9" fillId="2" borderId="31" xfId="0" applyFont="1" applyFill="1" applyBorder="1" applyAlignment="1">
      <alignment horizontal="left"/>
    </xf>
    <xf numFmtId="0" fontId="10" fillId="6" borderId="52" xfId="0" applyFont="1" applyFill="1" applyBorder="1" applyAlignment="1">
      <alignment horizontal="left"/>
    </xf>
    <xf numFmtId="0" fontId="10" fillId="6" borderId="31" xfId="0" applyFont="1" applyFill="1" applyBorder="1" applyAlignment="1">
      <alignment horizontal="left"/>
    </xf>
    <xf numFmtId="0" fontId="16" fillId="2" borderId="33" xfId="0" applyFont="1" applyFill="1" applyBorder="1" applyAlignment="1">
      <alignment horizontal="right" vertical="top"/>
    </xf>
    <xf numFmtId="3" fontId="75" fillId="0" borderId="1" xfId="0" applyNumberFormat="1" applyFont="1" applyBorder="1" applyAlignment="1">
      <alignment horizontal="center"/>
    </xf>
    <xf numFmtId="0" fontId="26" fillId="2" borderId="33" xfId="0" applyFont="1" applyFill="1" applyBorder="1" applyAlignment="1">
      <alignment horizontal="left"/>
    </xf>
    <xf numFmtId="0" fontId="9" fillId="6" borderId="19" xfId="0" quotePrefix="1" applyFont="1" applyFill="1" applyBorder="1"/>
    <xf numFmtId="0" fontId="9" fillId="2" borderId="19" xfId="0" quotePrefix="1" applyFont="1" applyFill="1" applyBorder="1"/>
    <xf numFmtId="165" fontId="26" fillId="2" borderId="36" xfId="0" applyNumberFormat="1" applyFont="1" applyFill="1" applyBorder="1" applyAlignment="1">
      <alignment horizontal="center"/>
    </xf>
    <xf numFmtId="0" fontId="26" fillId="2" borderId="33" xfId="0" applyFont="1" applyFill="1" applyBorder="1"/>
    <xf numFmtId="164" fontId="35" fillId="2" borderId="1" xfId="0" applyNumberFormat="1" applyFont="1" applyFill="1" applyBorder="1" applyAlignment="1">
      <alignment horizontal="center"/>
    </xf>
    <xf numFmtId="164" fontId="35" fillId="2" borderId="27" xfId="0" applyNumberFormat="1" applyFont="1" applyFill="1" applyBorder="1" applyAlignment="1">
      <alignment horizontal="center"/>
    </xf>
    <xf numFmtId="2" fontId="29" fillId="2" borderId="1" xfId="0" applyNumberFormat="1" applyFont="1" applyFill="1" applyBorder="1" applyAlignment="1">
      <alignment horizontal="center"/>
    </xf>
    <xf numFmtId="0" fontId="26" fillId="2" borderId="24" xfId="0" applyFont="1" applyFill="1" applyBorder="1" applyAlignment="1">
      <alignment horizontal="left"/>
    </xf>
    <xf numFmtId="0" fontId="26" fillId="2" borderId="25" xfId="0" applyFont="1" applyFill="1" applyBorder="1" applyAlignment="1">
      <alignment horizontal="left"/>
    </xf>
    <xf numFmtId="1" fontId="29" fillId="2" borderId="29" xfId="0" applyNumberFormat="1" applyFont="1" applyFill="1" applyBorder="1" applyAlignment="1">
      <alignment horizontal="center"/>
    </xf>
    <xf numFmtId="165" fontId="26" fillId="2" borderId="24" xfId="0" applyNumberFormat="1" applyFont="1" applyFill="1" applyBorder="1" applyAlignment="1">
      <alignment horizontal="center"/>
    </xf>
    <xf numFmtId="165" fontId="29" fillId="2" borderId="23" xfId="0" applyNumberFormat="1" applyFont="1" applyFill="1" applyBorder="1" applyAlignment="1">
      <alignment horizontal="left"/>
    </xf>
    <xf numFmtId="0" fontId="26" fillId="2" borderId="24" xfId="0" applyFont="1" applyFill="1" applyBorder="1" applyAlignment="1">
      <alignment horizontal="center"/>
    </xf>
    <xf numFmtId="0" fontId="26" fillId="6" borderId="40" xfId="0" applyFont="1" applyFill="1" applyBorder="1" applyAlignment="1">
      <alignment horizontal="left"/>
    </xf>
    <xf numFmtId="0" fontId="26" fillId="6" borderId="11" xfId="0" applyFont="1" applyFill="1" applyBorder="1" applyAlignment="1">
      <alignment horizontal="left"/>
    </xf>
    <xf numFmtId="0" fontId="9" fillId="2" borderId="31" xfId="0" applyFont="1" applyFill="1" applyBorder="1" applyAlignment="1">
      <alignment horizontal="left"/>
    </xf>
    <xf numFmtId="0" fontId="35" fillId="2" borderId="1" xfId="0" applyFont="1" applyFill="1" applyBorder="1" applyAlignment="1">
      <alignment horizontal="center"/>
    </xf>
    <xf numFmtId="164" fontId="29" fillId="2" borderId="19" xfId="0" applyNumberFormat="1" applyFont="1" applyFill="1" applyBorder="1" applyAlignment="1">
      <alignment horizontal="center"/>
    </xf>
    <xf numFmtId="164" fontId="29" fillId="2" borderId="36" xfId="0" applyNumberFormat="1" applyFont="1" applyFill="1" applyBorder="1" applyAlignment="1">
      <alignment horizontal="center"/>
    </xf>
    <xf numFmtId="164" fontId="35" fillId="2" borderId="29" xfId="0" applyNumberFormat="1" applyFont="1" applyFill="1" applyBorder="1" applyAlignment="1">
      <alignment horizontal="center"/>
    </xf>
    <xf numFmtId="164" fontId="35" fillId="2" borderId="30" xfId="0" applyNumberFormat="1" applyFont="1" applyFill="1" applyBorder="1" applyAlignment="1">
      <alignment horizontal="center"/>
    </xf>
    <xf numFmtId="164" fontId="29" fillId="0" borderId="27" xfId="0" applyNumberFormat="1" applyFont="1" applyFill="1" applyBorder="1" applyAlignment="1">
      <alignment horizontal="center"/>
    </xf>
    <xf numFmtId="164" fontId="29" fillId="0" borderId="30" xfId="0" applyNumberFormat="1" applyFont="1" applyFill="1" applyBorder="1" applyAlignment="1">
      <alignment horizontal="center"/>
    </xf>
    <xf numFmtId="0" fontId="35" fillId="2" borderId="23" xfId="0" applyFont="1" applyFill="1" applyBorder="1" applyAlignment="1">
      <alignment horizontal="left"/>
    </xf>
    <xf numFmtId="0" fontId="26" fillId="5" borderId="29" xfId="0" applyFont="1" applyFill="1" applyBorder="1"/>
    <xf numFmtId="164" fontId="26" fillId="5" borderId="29" xfId="0" applyNumberFormat="1" applyFont="1" applyFill="1" applyBorder="1" applyAlignment="1">
      <alignment horizontal="center"/>
    </xf>
    <xf numFmtId="164" fontId="26" fillId="5" borderId="30" xfId="0" applyNumberFormat="1" applyFont="1" applyFill="1" applyBorder="1" applyAlignment="1">
      <alignment horizontal="center"/>
    </xf>
    <xf numFmtId="0" fontId="26" fillId="2" borderId="24" xfId="0" applyFont="1" applyFill="1" applyBorder="1" applyAlignment="1">
      <alignment horizontal="center"/>
    </xf>
    <xf numFmtId="165" fontId="26" fillId="2" borderId="24" xfId="0" applyNumberFormat="1" applyFont="1" applyFill="1" applyBorder="1" applyAlignment="1">
      <alignment horizontal="center"/>
    </xf>
    <xf numFmtId="165" fontId="29" fillId="2" borderId="23" xfId="0" applyNumberFormat="1" applyFont="1" applyFill="1" applyBorder="1" applyAlignment="1">
      <alignment horizontal="left"/>
    </xf>
    <xf numFmtId="164" fontId="9" fillId="2" borderId="55" xfId="0" applyNumberFormat="1" applyFont="1" applyFill="1" applyBorder="1" applyAlignment="1">
      <alignment horizontal="center"/>
    </xf>
    <xf numFmtId="164" fontId="9" fillId="2" borderId="58" xfId="0" applyNumberFormat="1" applyFont="1" applyFill="1" applyBorder="1" applyAlignment="1">
      <alignment horizontal="center"/>
    </xf>
    <xf numFmtId="0" fontId="9" fillId="2" borderId="46" xfId="0" applyFont="1" applyFill="1" applyBorder="1"/>
    <xf numFmtId="0" fontId="9" fillId="6" borderId="63" xfId="0" applyFont="1" applyFill="1" applyBorder="1"/>
    <xf numFmtId="0" fontId="9" fillId="2" borderId="63" xfId="0" applyFont="1" applyFill="1" applyBorder="1"/>
    <xf numFmtId="0" fontId="10" fillId="2" borderId="63" xfId="0" applyFont="1" applyFill="1" applyBorder="1"/>
    <xf numFmtId="164" fontId="9" fillId="2" borderId="63" xfId="0" applyNumberFormat="1" applyFont="1" applyFill="1" applyBorder="1" applyAlignment="1">
      <alignment horizontal="center"/>
    </xf>
    <xf numFmtId="164" fontId="9" fillId="2" borderId="69" xfId="0" applyNumberFormat="1" applyFont="1" applyFill="1" applyBorder="1" applyAlignment="1">
      <alignment horizontal="center"/>
    </xf>
    <xf numFmtId="0" fontId="83" fillId="6" borderId="1" xfId="0" applyFont="1" applyFill="1" applyBorder="1"/>
    <xf numFmtId="0" fontId="83" fillId="2" borderId="1" xfId="0" applyFont="1" applyFill="1" applyBorder="1"/>
    <xf numFmtId="164" fontId="83" fillId="2" borderId="1" xfId="0" applyNumberFormat="1" applyFont="1" applyFill="1" applyBorder="1" applyAlignment="1">
      <alignment horizontal="center"/>
    </xf>
    <xf numFmtId="0" fontId="89" fillId="3" borderId="0" xfId="0" applyFont="1" applyFill="1" applyBorder="1"/>
    <xf numFmtId="0" fontId="35" fillId="2" borderId="50" xfId="0" applyFont="1" applyFill="1" applyBorder="1" applyAlignment="1">
      <alignment horizontal="left"/>
    </xf>
    <xf numFmtId="0" fontId="26" fillId="2" borderId="54" xfId="0" applyFont="1" applyFill="1" applyBorder="1" applyAlignment="1">
      <alignment horizontal="center"/>
    </xf>
    <xf numFmtId="0" fontId="26" fillId="5" borderId="29" xfId="0" applyFont="1" applyFill="1" applyBorder="1" applyAlignment="1">
      <alignment horizontal="left"/>
    </xf>
    <xf numFmtId="0" fontId="26" fillId="3" borderId="2" xfId="0" applyFont="1" applyFill="1" applyBorder="1" applyAlignment="1">
      <alignment horizontal="left"/>
    </xf>
    <xf numFmtId="165" fontId="29" fillId="2" borderId="23" xfId="0" applyNumberFormat="1" applyFont="1" applyFill="1" applyBorder="1" applyAlignment="1">
      <alignment horizontal="left"/>
    </xf>
    <xf numFmtId="165" fontId="29" fillId="2" borderId="24" xfId="0" applyNumberFormat="1" applyFont="1" applyFill="1" applyBorder="1" applyAlignment="1">
      <alignment horizontal="left"/>
    </xf>
    <xf numFmtId="165" fontId="26" fillId="2" borderId="24" xfId="0" applyNumberFormat="1" applyFont="1" applyFill="1" applyBorder="1" applyAlignment="1">
      <alignment horizontal="center"/>
    </xf>
    <xf numFmtId="0" fontId="11" fillId="3" borderId="6" xfId="0" applyFont="1" applyFill="1" applyBorder="1" applyAlignment="1">
      <alignment horizontal="left" vertical="center"/>
    </xf>
    <xf numFmtId="0" fontId="11" fillId="3" borderId="38" xfId="0" applyFont="1" applyFill="1" applyBorder="1" applyAlignment="1">
      <alignment horizontal="left" vertical="center"/>
    </xf>
    <xf numFmtId="0" fontId="26" fillId="2" borderId="52" xfId="0" applyFont="1" applyFill="1" applyBorder="1" applyAlignment="1">
      <alignment horizontal="left"/>
    </xf>
    <xf numFmtId="0" fontId="26" fillId="2" borderId="35" xfId="0" applyFont="1" applyFill="1" applyBorder="1" applyAlignment="1">
      <alignment horizontal="left"/>
    </xf>
    <xf numFmtId="0" fontId="26" fillId="2" borderId="66" xfId="0" applyFont="1" applyFill="1" applyBorder="1" applyAlignment="1">
      <alignment horizontal="left"/>
    </xf>
    <xf numFmtId="0" fontId="26" fillId="2" borderId="24" xfId="0" applyFont="1" applyFill="1" applyBorder="1" applyAlignment="1">
      <alignment horizontal="center"/>
    </xf>
    <xf numFmtId="0" fontId="26" fillId="2" borderId="0" xfId="0" applyFont="1" applyFill="1" applyBorder="1" applyAlignment="1">
      <alignment horizontal="center" wrapText="1"/>
    </xf>
    <xf numFmtId="0" fontId="26" fillId="3" borderId="0" xfId="0" applyFont="1" applyFill="1" applyBorder="1" applyAlignment="1">
      <alignment horizontal="center"/>
    </xf>
    <xf numFmtId="0" fontId="26" fillId="3" borderId="1" xfId="0" applyFont="1" applyFill="1" applyBorder="1"/>
    <xf numFmtId="165" fontId="26" fillId="2" borderId="24" xfId="0" applyNumberFormat="1" applyFont="1" applyFill="1" applyBorder="1" applyAlignment="1">
      <alignment horizontal="left"/>
    </xf>
    <xf numFmtId="0" fontId="35" fillId="2" borderId="26" xfId="0" applyFont="1" applyFill="1" applyBorder="1"/>
    <xf numFmtId="0" fontId="41" fillId="2" borderId="26" xfId="0" applyFont="1" applyFill="1" applyBorder="1"/>
    <xf numFmtId="0" fontId="29" fillId="3" borderId="26" xfId="0" applyFont="1" applyFill="1" applyBorder="1"/>
    <xf numFmtId="164" fontId="26" fillId="3" borderId="27" xfId="0" applyNumberFormat="1" applyFont="1" applyFill="1" applyBorder="1" applyAlignment="1">
      <alignment horizontal="center"/>
    </xf>
    <xf numFmtId="0" fontId="26" fillId="3" borderId="26" xfId="0" applyFont="1" applyFill="1" applyBorder="1"/>
    <xf numFmtId="0" fontId="35" fillId="3" borderId="26" xfId="0" applyFont="1" applyFill="1" applyBorder="1"/>
    <xf numFmtId="0" fontId="35" fillId="3" borderId="1" xfId="0" applyFont="1" applyFill="1" applyBorder="1"/>
    <xf numFmtId="164" fontId="35" fillId="3" borderId="1" xfId="0" applyNumberFormat="1" applyFont="1" applyFill="1" applyBorder="1" applyAlignment="1">
      <alignment horizontal="center"/>
    </xf>
    <xf numFmtId="164" fontId="35" fillId="3" borderId="27" xfId="0" applyNumberFormat="1" applyFont="1" applyFill="1" applyBorder="1" applyAlignment="1">
      <alignment horizontal="center"/>
    </xf>
    <xf numFmtId="0" fontId="41" fillId="3" borderId="26" xfId="0" applyFont="1" applyFill="1" applyBorder="1"/>
    <xf numFmtId="0" fontId="35" fillId="3" borderId="28" xfId="0" applyFont="1" applyFill="1" applyBorder="1"/>
    <xf numFmtId="0" fontId="26" fillId="3" borderId="29" xfId="0" applyFont="1" applyFill="1" applyBorder="1"/>
    <xf numFmtId="2" fontId="26" fillId="3" borderId="1" xfId="0" applyNumberFormat="1" applyFont="1" applyFill="1" applyBorder="1" applyAlignment="1">
      <alignment horizontal="center"/>
    </xf>
    <xf numFmtId="164" fontId="35" fillId="3" borderId="29" xfId="0" applyNumberFormat="1" applyFont="1" applyFill="1" applyBorder="1" applyAlignment="1">
      <alignment horizontal="center"/>
    </xf>
    <xf numFmtId="0" fontId="35" fillId="3" borderId="29" xfId="0" applyFont="1" applyFill="1" applyBorder="1"/>
    <xf numFmtId="164" fontId="35" fillId="3" borderId="30" xfId="0" applyNumberFormat="1" applyFont="1" applyFill="1" applyBorder="1" applyAlignment="1">
      <alignment horizontal="center"/>
    </xf>
    <xf numFmtId="0" fontId="29" fillId="3" borderId="1" xfId="0" applyFont="1" applyFill="1" applyBorder="1" applyAlignment="1">
      <alignment horizontal="center"/>
    </xf>
    <xf numFmtId="1" fontId="29" fillId="3" borderId="1" xfId="0" applyNumberFormat="1" applyFont="1" applyFill="1" applyBorder="1" applyAlignment="1">
      <alignment horizontal="center"/>
    </xf>
    <xf numFmtId="0" fontId="29" fillId="3" borderId="29" xfId="0" applyFont="1" applyFill="1" applyBorder="1" applyAlignment="1">
      <alignment horizontal="center"/>
    </xf>
    <xf numFmtId="0" fontId="35" fillId="3" borderId="12" xfId="0" applyFont="1" applyFill="1" applyBorder="1"/>
    <xf numFmtId="1" fontId="26" fillId="3" borderId="1" xfId="0" applyNumberFormat="1" applyFont="1" applyFill="1" applyBorder="1" applyAlignment="1">
      <alignment horizontal="center"/>
    </xf>
    <xf numFmtId="2" fontId="26" fillId="3" borderId="29" xfId="0" applyNumberFormat="1" applyFont="1" applyFill="1" applyBorder="1" applyAlignment="1">
      <alignment horizontal="center"/>
    </xf>
    <xf numFmtId="0" fontId="90" fillId="3" borderId="0" xfId="0" applyFont="1" applyFill="1" applyBorder="1"/>
    <xf numFmtId="0" fontId="91" fillId="3" borderId="0" xfId="0" applyFont="1" applyFill="1"/>
    <xf numFmtId="0" fontId="91" fillId="3" borderId="0" xfId="0" applyFont="1" applyFill="1" applyBorder="1"/>
    <xf numFmtId="0" fontId="40" fillId="6" borderId="31" xfId="0" applyFont="1" applyFill="1" applyBorder="1"/>
    <xf numFmtId="0" fontId="26" fillId="6" borderId="32" xfId="0" applyFont="1" applyFill="1" applyBorder="1"/>
    <xf numFmtId="164" fontId="10" fillId="3" borderId="0" xfId="0" applyNumberFormat="1" applyFont="1" applyFill="1" applyAlignment="1">
      <alignment horizontal="center"/>
    </xf>
    <xf numFmtId="0" fontId="26" fillId="6" borderId="24" xfId="0" applyFont="1" applyFill="1" applyBorder="1"/>
    <xf numFmtId="164" fontId="26" fillId="3" borderId="54" xfId="0" applyNumberFormat="1" applyFont="1" applyFill="1" applyBorder="1" applyAlignment="1">
      <alignment horizontal="center"/>
    </xf>
    <xf numFmtId="0" fontId="10" fillId="2" borderId="0" xfId="0" applyFont="1" applyFill="1"/>
    <xf numFmtId="0" fontId="7" fillId="2" borderId="0" xfId="0" applyFont="1" applyFill="1" applyAlignment="1">
      <alignment vertical="center"/>
    </xf>
    <xf numFmtId="165" fontId="9" fillId="2" borderId="2" xfId="0" applyNumberFormat="1" applyFont="1" applyFill="1" applyBorder="1" applyAlignment="1">
      <alignment horizontal="center"/>
    </xf>
    <xf numFmtId="0" fontId="57" fillId="2" borderId="0" xfId="0" applyFont="1" applyFill="1" applyBorder="1" applyAlignment="1">
      <alignment vertical="center"/>
    </xf>
    <xf numFmtId="0" fontId="58" fillId="3" borderId="0" xfId="0" applyFont="1" applyFill="1" applyBorder="1"/>
    <xf numFmtId="0" fontId="31" fillId="2" borderId="14" xfId="0" applyFont="1" applyFill="1" applyBorder="1"/>
    <xf numFmtId="0" fontId="26" fillId="2" borderId="0" xfId="0" applyFont="1" applyFill="1" applyBorder="1" applyAlignment="1">
      <alignment horizontal="left"/>
    </xf>
    <xf numFmtId="0" fontId="26" fillId="2" borderId="2" xfId="0" applyFont="1" applyFill="1" applyBorder="1"/>
    <xf numFmtId="0" fontId="26" fillId="2" borderId="0" xfId="0" applyFont="1" applyFill="1" applyBorder="1"/>
    <xf numFmtId="0" fontId="46" fillId="3" borderId="5" xfId="0" applyFont="1" applyFill="1" applyBorder="1"/>
    <xf numFmtId="0" fontId="26" fillId="3" borderId="14" xfId="0" applyFont="1" applyFill="1" applyBorder="1" applyAlignment="1">
      <alignment horizontal="left" vertical="center" wrapText="1"/>
    </xf>
    <xf numFmtId="0" fontId="26" fillId="3" borderId="0" xfId="0" applyFont="1" applyFill="1" applyBorder="1" applyAlignment="1">
      <alignment horizontal="left" vertical="center" wrapText="1"/>
    </xf>
    <xf numFmtId="0" fontId="26" fillId="3" borderId="10" xfId="0" applyFont="1" applyFill="1" applyBorder="1" applyAlignment="1">
      <alignment horizontal="left" vertical="center" wrapText="1"/>
    </xf>
    <xf numFmtId="0" fontId="26" fillId="3" borderId="14" xfId="0" applyFont="1" applyFill="1" applyBorder="1" applyAlignment="1">
      <alignment horizontal="left" vertical="center"/>
    </xf>
    <xf numFmtId="0" fontId="26" fillId="3" borderId="0" xfId="0" applyFont="1" applyFill="1" applyBorder="1" applyAlignment="1">
      <alignment horizontal="left" vertical="center"/>
    </xf>
    <xf numFmtId="0" fontId="26" fillId="3" borderId="10" xfId="0" applyFont="1" applyFill="1" applyBorder="1" applyAlignment="1">
      <alignment horizontal="left" vertical="center"/>
    </xf>
    <xf numFmtId="0" fontId="46" fillId="3" borderId="16" xfId="0" applyFont="1" applyFill="1" applyBorder="1"/>
    <xf numFmtId="0" fontId="60" fillId="3" borderId="10" xfId="0" applyFont="1" applyFill="1" applyBorder="1" applyAlignment="1">
      <alignment horizontal="left" vertical="center" wrapText="1"/>
    </xf>
    <xf numFmtId="0" fontId="60" fillId="3" borderId="10" xfId="0" applyFont="1" applyFill="1" applyBorder="1" applyAlignment="1">
      <alignment horizontal="center" vertical="center"/>
    </xf>
    <xf numFmtId="0" fontId="35" fillId="3" borderId="14" xfId="0" applyFont="1" applyFill="1" applyBorder="1"/>
    <xf numFmtId="3" fontId="26" fillId="3" borderId="14" xfId="0" applyNumberFormat="1" applyFont="1" applyFill="1" applyBorder="1" applyAlignment="1">
      <alignment horizontal="center" vertical="center"/>
    </xf>
    <xf numFmtId="3" fontId="26" fillId="3" borderId="14" xfId="0" applyNumberFormat="1" applyFont="1" applyFill="1" applyBorder="1" applyAlignment="1">
      <alignment horizontal="center" vertical="center" wrapText="1"/>
    </xf>
    <xf numFmtId="0" fontId="46" fillId="3" borderId="14" xfId="0" applyFont="1" applyFill="1" applyBorder="1" applyAlignment="1">
      <alignment horizontal="left"/>
    </xf>
    <xf numFmtId="0" fontId="46" fillId="3" borderId="15" xfId="0" applyFont="1" applyFill="1" applyBorder="1" applyAlignment="1">
      <alignment horizontal="left"/>
    </xf>
    <xf numFmtId="3" fontId="34" fillId="3" borderId="0" xfId="0" applyNumberFormat="1" applyFont="1" applyFill="1" applyBorder="1" applyAlignment="1">
      <alignment horizontal="center"/>
    </xf>
    <xf numFmtId="0" fontId="49" fillId="3" borderId="0" xfId="0" applyFont="1" applyFill="1" applyBorder="1"/>
    <xf numFmtId="0" fontId="29" fillId="6" borderId="1" xfId="0" applyFont="1" applyFill="1" applyBorder="1" applyAlignment="1">
      <alignment horizontal="left"/>
    </xf>
    <xf numFmtId="0" fontId="26" fillId="6" borderId="23" xfId="0" applyFont="1" applyFill="1" applyBorder="1"/>
    <xf numFmtId="0" fontId="35" fillId="3" borderId="24" xfId="0" applyFont="1" applyFill="1" applyBorder="1"/>
    <xf numFmtId="0" fontId="29" fillId="2" borderId="29" xfId="0" applyFont="1" applyFill="1" applyBorder="1" applyAlignment="1">
      <alignment horizontal="center"/>
    </xf>
    <xf numFmtId="0" fontId="9" fillId="6" borderId="55" xfId="0" applyFont="1" applyFill="1" applyBorder="1"/>
    <xf numFmtId="0" fontId="29" fillId="6" borderId="24" xfId="0" applyFont="1" applyFill="1" applyBorder="1" applyAlignment="1">
      <alignment horizontal="right"/>
    </xf>
    <xf numFmtId="0" fontId="29" fillId="2" borderId="24" xfId="0" applyFont="1" applyFill="1" applyBorder="1" applyAlignment="1">
      <alignment horizontal="right"/>
    </xf>
    <xf numFmtId="166" fontId="26" fillId="2" borderId="1" xfId="0" applyNumberFormat="1" applyFont="1" applyFill="1" applyBorder="1" applyAlignment="1">
      <alignment horizontal="center"/>
    </xf>
    <xf numFmtId="166" fontId="26" fillId="2" borderId="27" xfId="0" applyNumberFormat="1" applyFont="1" applyFill="1" applyBorder="1" applyAlignment="1">
      <alignment horizontal="center"/>
    </xf>
    <xf numFmtId="0" fontId="46" fillId="2" borderId="56" xfId="0" applyFont="1" applyFill="1" applyBorder="1"/>
    <xf numFmtId="164" fontId="26" fillId="2" borderId="56" xfId="0" applyNumberFormat="1" applyFont="1" applyFill="1" applyBorder="1" applyAlignment="1">
      <alignment horizontal="center"/>
    </xf>
    <xf numFmtId="164" fontId="26" fillId="2" borderId="59" xfId="0" applyNumberFormat="1" applyFont="1" applyFill="1" applyBorder="1" applyAlignment="1">
      <alignment horizontal="center"/>
    </xf>
    <xf numFmtId="0" fontId="9" fillId="3" borderId="0" xfId="0" applyFont="1" applyFill="1" applyBorder="1" applyAlignment="1">
      <alignment horizontal="right" vertical="center"/>
    </xf>
    <xf numFmtId="3" fontId="26" fillId="2" borderId="1" xfId="0" applyNumberFormat="1" applyFont="1" applyFill="1" applyBorder="1" applyAlignment="1">
      <alignment horizontal="center" vertical="center"/>
    </xf>
    <xf numFmtId="0" fontId="34" fillId="3" borderId="2" xfId="0" applyFont="1" applyFill="1" applyBorder="1" applyAlignment="1">
      <alignment horizontal="center"/>
    </xf>
    <xf numFmtId="0" fontId="26" fillId="2" borderId="56" xfId="0" applyFont="1" applyFill="1" applyBorder="1"/>
    <xf numFmtId="0" fontId="26" fillId="2" borderId="57" xfId="0" applyFont="1" applyFill="1" applyBorder="1"/>
    <xf numFmtId="0" fontId="26" fillId="2" borderId="24" xfId="0" applyFont="1" applyFill="1" applyBorder="1" applyAlignment="1">
      <alignment horizontal="center"/>
    </xf>
    <xf numFmtId="0" fontId="26" fillId="2" borderId="31" xfId="0" applyFont="1" applyFill="1" applyBorder="1" applyAlignment="1">
      <alignment horizontal="left"/>
    </xf>
    <xf numFmtId="0" fontId="26" fillId="2" borderId="24" xfId="0" applyFont="1" applyFill="1" applyBorder="1" applyAlignment="1">
      <alignment horizontal="center"/>
    </xf>
    <xf numFmtId="0" fontId="29" fillId="6" borderId="53" xfId="0" quotePrefix="1" applyFont="1" applyFill="1" applyBorder="1" applyAlignment="1">
      <alignment horizontal="left"/>
    </xf>
    <xf numFmtId="0" fontId="55" fillId="6" borderId="53" xfId="0" quotePrefix="1" applyFont="1" applyFill="1" applyBorder="1" applyAlignment="1">
      <alignment horizontal="left"/>
    </xf>
    <xf numFmtId="166" fontId="26" fillId="2" borderId="29" xfId="0" applyNumberFormat="1" applyFont="1" applyFill="1" applyBorder="1" applyAlignment="1">
      <alignment horizontal="center"/>
    </xf>
    <xf numFmtId="166" fontId="26" fillId="2" borderId="30" xfId="0" applyNumberFormat="1" applyFont="1" applyFill="1" applyBorder="1" applyAlignment="1">
      <alignment horizontal="center"/>
    </xf>
    <xf numFmtId="0" fontId="10" fillId="2" borderId="56" xfId="0" applyFont="1" applyFill="1" applyBorder="1"/>
    <xf numFmtId="0" fontId="26" fillId="6" borderId="47" xfId="0" applyFont="1" applyFill="1" applyBorder="1" applyAlignment="1">
      <alignment horizontal="left"/>
    </xf>
    <xf numFmtId="0" fontId="26" fillId="6" borderId="6" xfId="0" applyFont="1" applyFill="1" applyBorder="1" applyAlignment="1">
      <alignment horizontal="left"/>
    </xf>
    <xf numFmtId="0" fontId="26" fillId="6" borderId="65" xfId="0" applyFont="1" applyFill="1" applyBorder="1" applyAlignment="1">
      <alignment horizontal="left"/>
    </xf>
    <xf numFmtId="0" fontId="49" fillId="3" borderId="0" xfId="0" quotePrefix="1" applyFont="1" applyFill="1" applyBorder="1" applyAlignment="1">
      <alignment horizontal="left"/>
    </xf>
    <xf numFmtId="0" fontId="26" fillId="2" borderId="56" xfId="0" applyFont="1" applyFill="1" applyBorder="1" applyAlignment="1">
      <alignment horizontal="left"/>
    </xf>
    <xf numFmtId="0" fontId="26" fillId="2" borderId="64" xfId="0" applyFont="1" applyFill="1" applyBorder="1" applyAlignment="1">
      <alignment horizontal="left"/>
    </xf>
    <xf numFmtId="0" fontId="26" fillId="6" borderId="44" xfId="0" applyFont="1" applyFill="1" applyBorder="1"/>
    <xf numFmtId="1" fontId="26" fillId="6" borderId="55" xfId="0" applyNumberFormat="1" applyFont="1" applyFill="1" applyBorder="1" applyAlignment="1">
      <alignment horizontal="center"/>
    </xf>
    <xf numFmtId="0" fontId="26" fillId="6" borderId="55" xfId="0" applyFont="1" applyFill="1" applyBorder="1" applyAlignment="1">
      <alignment horizontal="center"/>
    </xf>
    <xf numFmtId="164" fontId="9" fillId="2" borderId="56" xfId="0" applyNumberFormat="1" applyFont="1" applyFill="1" applyBorder="1" applyAlignment="1">
      <alignment horizontal="center"/>
    </xf>
    <xf numFmtId="0" fontId="26" fillId="2" borderId="26" xfId="0" applyFont="1" applyFill="1" applyBorder="1" applyAlignment="1">
      <alignment horizontal="right"/>
    </xf>
    <xf numFmtId="0" fontId="26" fillId="2" borderId="28" xfId="0" applyFont="1" applyFill="1" applyBorder="1" applyAlignment="1">
      <alignment horizontal="right"/>
    </xf>
    <xf numFmtId="0" fontId="41" fillId="2" borderId="28" xfId="0" applyFont="1" applyFill="1" applyBorder="1"/>
    <xf numFmtId="0" fontId="26" fillId="2" borderId="24" xfId="0" applyFont="1" applyFill="1" applyBorder="1" applyAlignment="1">
      <alignment horizontal="center"/>
    </xf>
    <xf numFmtId="0" fontId="26" fillId="2" borderId="24" xfId="0" applyFont="1" applyFill="1" applyBorder="1" applyAlignment="1">
      <alignment horizontal="center"/>
    </xf>
    <xf numFmtId="0" fontId="26" fillId="6" borderId="1" xfId="0" quotePrefix="1" applyFont="1" applyFill="1" applyBorder="1" applyAlignment="1">
      <alignment horizontal="left"/>
    </xf>
    <xf numFmtId="0" fontId="26" fillId="2" borderId="1" xfId="0" quotePrefix="1" applyFont="1" applyFill="1" applyBorder="1" applyAlignment="1">
      <alignment horizontal="left"/>
    </xf>
    <xf numFmtId="0" fontId="26" fillId="6" borderId="1" xfId="0" applyFont="1" applyFill="1" applyBorder="1" applyAlignment="1">
      <alignment horizontal="left"/>
    </xf>
    <xf numFmtId="0" fontId="26" fillId="6" borderId="0" xfId="0" applyFont="1" applyFill="1" applyBorder="1"/>
    <xf numFmtId="0" fontId="9" fillId="2" borderId="50" xfId="0" applyFont="1" applyFill="1" applyBorder="1"/>
    <xf numFmtId="0" fontId="9" fillId="2" borderId="54" xfId="0" applyFont="1" applyFill="1" applyBorder="1" applyAlignment="1">
      <alignment horizontal="center"/>
    </xf>
    <xf numFmtId="1" fontId="9" fillId="2" borderId="29" xfId="0" applyNumberFormat="1" applyFont="1" applyFill="1" applyBorder="1" applyAlignment="1">
      <alignment horizontal="center"/>
    </xf>
    <xf numFmtId="0" fontId="35" fillId="6" borderId="24" xfId="0" applyFont="1" applyFill="1" applyBorder="1"/>
    <xf numFmtId="164" fontId="26" fillId="6" borderId="24" xfId="0" applyNumberFormat="1" applyFont="1" applyFill="1" applyBorder="1" applyAlignment="1">
      <alignment horizontal="center"/>
    </xf>
    <xf numFmtId="164" fontId="26" fillId="6" borderId="25" xfId="0" applyNumberFormat="1" applyFont="1" applyFill="1" applyBorder="1" applyAlignment="1">
      <alignment horizontal="center"/>
    </xf>
    <xf numFmtId="0" fontId="26" fillId="6" borderId="55" xfId="0" applyFont="1" applyFill="1" applyBorder="1" applyAlignment="1">
      <alignment horizontal="left"/>
    </xf>
    <xf numFmtId="0" fontId="26" fillId="2" borderId="48" xfId="0" applyFont="1" applyFill="1" applyBorder="1"/>
    <xf numFmtId="0" fontId="10" fillId="2" borderId="48" xfId="0" applyFont="1" applyFill="1" applyBorder="1"/>
    <xf numFmtId="165" fontId="26" fillId="2" borderId="25" xfId="0" applyNumberFormat="1" applyFont="1" applyFill="1" applyBorder="1" applyAlignment="1">
      <alignment horizontal="center"/>
    </xf>
    <xf numFmtId="165" fontId="26" fillId="5" borderId="1" xfId="0" applyNumberFormat="1" applyFont="1" applyFill="1" applyBorder="1" applyAlignment="1">
      <alignment horizontal="center"/>
    </xf>
    <xf numFmtId="165" fontId="26" fillId="2" borderId="24" xfId="0" applyNumberFormat="1" applyFont="1" applyFill="1" applyBorder="1" applyAlignment="1">
      <alignment horizontal="center"/>
    </xf>
    <xf numFmtId="1" fontId="29" fillId="6" borderId="1" xfId="0" applyNumberFormat="1" applyFont="1" applyFill="1" applyBorder="1" applyAlignment="1">
      <alignment horizontal="center"/>
    </xf>
    <xf numFmtId="0" fontId="29" fillId="6" borderId="29" xfId="0" applyFont="1" applyFill="1" applyBorder="1" applyAlignment="1">
      <alignment horizontal="center"/>
    </xf>
    <xf numFmtId="165" fontId="26" fillId="13" borderId="1" xfId="0" applyNumberFormat="1" applyFont="1" applyFill="1" applyBorder="1" applyAlignment="1">
      <alignment horizontal="center"/>
    </xf>
    <xf numFmtId="165" fontId="26" fillId="13" borderId="27" xfId="0" applyNumberFormat="1" applyFont="1" applyFill="1" applyBorder="1" applyAlignment="1">
      <alignment horizontal="center"/>
    </xf>
    <xf numFmtId="0" fontId="35" fillId="0" borderId="0" xfId="0" applyFont="1" applyFill="1" applyBorder="1"/>
    <xf numFmtId="2" fontId="26" fillId="0" borderId="0" xfId="0" applyNumberFormat="1" applyFont="1"/>
    <xf numFmtId="2" fontId="26" fillId="0" borderId="0" xfId="0" applyNumberFormat="1" applyFont="1" applyFill="1" applyBorder="1" applyAlignment="1">
      <alignment horizontal="center"/>
    </xf>
    <xf numFmtId="0" fontId="26" fillId="6" borderId="0" xfId="0" applyFont="1" applyFill="1" applyBorder="1" applyAlignment="1">
      <alignment wrapText="1"/>
    </xf>
    <xf numFmtId="0" fontId="26" fillId="6" borderId="0" xfId="0" applyFont="1" applyFill="1" applyBorder="1" applyAlignment="1">
      <alignment horizontal="center" vertical="center" wrapText="1"/>
    </xf>
    <xf numFmtId="0" fontId="26" fillId="6" borderId="9" xfId="0" applyFont="1" applyFill="1" applyBorder="1" applyAlignment="1">
      <alignment horizontal="center" vertical="center" wrapText="1"/>
    </xf>
    <xf numFmtId="0" fontId="29" fillId="6" borderId="13" xfId="0" applyFont="1" applyFill="1" applyBorder="1" applyAlignment="1">
      <alignment horizontal="center" vertical="center" wrapText="1"/>
    </xf>
    <xf numFmtId="0" fontId="29" fillId="6" borderId="15" xfId="0" applyFont="1" applyFill="1" applyBorder="1" applyAlignment="1">
      <alignment horizontal="center" vertical="center" wrapText="1"/>
    </xf>
    <xf numFmtId="165" fontId="26" fillId="10" borderId="1" xfId="0" applyNumberFormat="1" applyFont="1" applyFill="1" applyBorder="1"/>
    <xf numFmtId="0" fontId="29" fillId="0" borderId="1" xfId="0" applyFont="1" applyFill="1" applyBorder="1" applyAlignment="1">
      <alignment horizontal="center" vertical="center" wrapText="1"/>
    </xf>
    <xf numFmtId="0" fontId="29" fillId="0" borderId="1" xfId="0" applyFont="1" applyFill="1" applyBorder="1" applyAlignment="1">
      <alignment horizontal="center" vertical="center"/>
    </xf>
    <xf numFmtId="1" fontId="29" fillId="0" borderId="12" xfId="0" applyNumberFormat="1" applyFont="1" applyFill="1" applyBorder="1" applyAlignment="1">
      <alignment horizontal="center" vertical="center"/>
    </xf>
    <xf numFmtId="2" fontId="29" fillId="0" borderId="12" xfId="0" applyNumberFormat="1" applyFont="1" applyFill="1" applyBorder="1" applyAlignment="1">
      <alignment horizontal="center" vertical="center"/>
    </xf>
    <xf numFmtId="164" fontId="29" fillId="0" borderId="12" xfId="0" applyNumberFormat="1" applyFont="1" applyFill="1" applyBorder="1" applyAlignment="1">
      <alignment horizontal="center" vertical="center"/>
    </xf>
    <xf numFmtId="165" fontId="29" fillId="0" borderId="12" xfId="0" applyNumberFormat="1" applyFont="1" applyFill="1" applyBorder="1" applyAlignment="1">
      <alignment horizontal="center" vertical="center"/>
    </xf>
    <xf numFmtId="1" fontId="26" fillId="2" borderId="1" xfId="0" applyNumberFormat="1" applyFont="1" applyFill="1" applyBorder="1" applyAlignment="1">
      <alignment horizontal="center" vertical="center"/>
    </xf>
    <xf numFmtId="0" fontId="29" fillId="0" borderId="12" xfId="0" applyFont="1" applyFill="1" applyBorder="1" applyAlignment="1">
      <alignment horizontal="center" vertical="center"/>
    </xf>
    <xf numFmtId="1" fontId="26" fillId="0" borderId="12" xfId="0" applyNumberFormat="1" applyFont="1" applyFill="1" applyBorder="1" applyAlignment="1">
      <alignment horizontal="center" vertical="center"/>
    </xf>
    <xf numFmtId="164" fontId="26" fillId="0" borderId="12" xfId="0" applyNumberFormat="1" applyFont="1" applyBorder="1" applyAlignment="1">
      <alignment horizontal="center" vertical="center"/>
    </xf>
    <xf numFmtId="0" fontId="26" fillId="0" borderId="1" xfId="0" applyFont="1" applyBorder="1" applyAlignment="1">
      <alignment horizontal="center" vertical="center"/>
    </xf>
    <xf numFmtId="164" fontId="26" fillId="0" borderId="1" xfId="0" applyNumberFormat="1" applyFont="1" applyFill="1" applyBorder="1" applyAlignment="1">
      <alignment horizontal="center" vertical="center"/>
    </xf>
    <xf numFmtId="164" fontId="26" fillId="0" borderId="0" xfId="0" applyNumberFormat="1" applyFont="1" applyFill="1" applyBorder="1" applyAlignment="1">
      <alignment horizontal="center" vertical="center"/>
    </xf>
    <xf numFmtId="164" fontId="26" fillId="2" borderId="19" xfId="0" applyNumberFormat="1" applyFont="1" applyFill="1" applyBorder="1" applyAlignment="1">
      <alignment horizontal="center" vertical="center"/>
    </xf>
    <xf numFmtId="164" fontId="26" fillId="0" borderId="12" xfId="0" applyNumberFormat="1" applyFont="1" applyFill="1" applyBorder="1" applyAlignment="1">
      <alignment horizontal="center" vertical="center"/>
    </xf>
    <xf numFmtId="0" fontId="26" fillId="0" borderId="12" xfId="0" applyFont="1" applyFill="1" applyBorder="1" applyAlignment="1">
      <alignment horizontal="center" vertical="center"/>
    </xf>
    <xf numFmtId="164" fontId="26" fillId="2" borderId="63" xfId="0" applyNumberFormat="1" applyFont="1" applyFill="1" applyBorder="1" applyAlignment="1">
      <alignment horizontal="center" vertical="center"/>
    </xf>
    <xf numFmtId="166" fontId="26" fillId="0" borderId="12" xfId="0" applyNumberFormat="1" applyFont="1" applyFill="1" applyBorder="1" applyAlignment="1">
      <alignment horizontal="center" vertical="center"/>
    </xf>
    <xf numFmtId="0" fontId="26" fillId="0" borderId="12" xfId="0" applyFont="1" applyBorder="1" applyAlignment="1">
      <alignment horizontal="center" vertical="center"/>
    </xf>
    <xf numFmtId="1" fontId="26" fillId="2" borderId="34" xfId="0" applyNumberFormat="1" applyFont="1" applyFill="1" applyBorder="1" applyAlignment="1">
      <alignment horizontal="center" vertical="center"/>
    </xf>
    <xf numFmtId="1" fontId="26" fillId="2" borderId="48" xfId="0" applyNumberFormat="1" applyFont="1" applyFill="1" applyBorder="1" applyAlignment="1">
      <alignment horizontal="center" vertical="center"/>
    </xf>
    <xf numFmtId="3" fontId="26" fillId="0" borderId="12" xfId="0" applyNumberFormat="1" applyFont="1" applyFill="1" applyBorder="1" applyAlignment="1">
      <alignment horizontal="center" vertical="center"/>
    </xf>
    <xf numFmtId="2" fontId="26" fillId="0" borderId="12" xfId="0" applyNumberFormat="1" applyFont="1" applyBorder="1" applyAlignment="1">
      <alignment horizontal="center" vertical="center"/>
    </xf>
    <xf numFmtId="2" fontId="26" fillId="0" borderId="12" xfId="0" applyNumberFormat="1" applyFont="1" applyFill="1" applyBorder="1" applyAlignment="1">
      <alignment horizontal="center" vertical="center"/>
    </xf>
    <xf numFmtId="2" fontId="26" fillId="0" borderId="12" xfId="0" applyNumberFormat="1" applyFont="1" applyFill="1" applyBorder="1" applyAlignment="1">
      <alignment horizontal="center" vertical="center" wrapText="1"/>
    </xf>
    <xf numFmtId="1" fontId="26" fillId="0" borderId="39" xfId="0" applyNumberFormat="1" applyFont="1" applyFill="1" applyBorder="1" applyAlignment="1">
      <alignment horizontal="center" vertical="center"/>
    </xf>
    <xf numFmtId="1" fontId="26" fillId="0" borderId="1" xfId="0" applyNumberFormat="1" applyFont="1" applyBorder="1" applyAlignment="1">
      <alignment horizontal="center" vertical="center"/>
    </xf>
    <xf numFmtId="1" fontId="26" fillId="0" borderId="20" xfId="0" applyNumberFormat="1" applyFont="1" applyFill="1" applyBorder="1" applyAlignment="1">
      <alignment horizontal="center" vertical="center"/>
    </xf>
    <xf numFmtId="0" fontId="29" fillId="0" borderId="20" xfId="0" applyFont="1" applyFill="1" applyBorder="1" applyAlignment="1">
      <alignment horizontal="center" vertical="center"/>
    </xf>
    <xf numFmtId="2" fontId="26" fillId="0" borderId="1" xfId="0" applyNumberFormat="1" applyFont="1" applyBorder="1" applyAlignment="1">
      <alignment horizontal="center" vertical="center"/>
    </xf>
    <xf numFmtId="164" fontId="26" fillId="0" borderId="1" xfId="0" applyNumberFormat="1" applyFont="1" applyBorder="1" applyAlignment="1">
      <alignment horizontal="center" vertical="center"/>
    </xf>
    <xf numFmtId="1" fontId="26" fillId="0" borderId="12" xfId="0" applyNumberFormat="1" applyFont="1" applyBorder="1" applyAlignment="1">
      <alignment horizontal="center" vertical="center"/>
    </xf>
    <xf numFmtId="1" fontId="29" fillId="0" borderId="1" xfId="0" applyNumberFormat="1" applyFont="1" applyFill="1" applyBorder="1" applyAlignment="1">
      <alignment horizontal="center" vertical="center"/>
    </xf>
    <xf numFmtId="2" fontId="29" fillId="0" borderId="1" xfId="0" applyNumberFormat="1" applyFont="1" applyFill="1" applyBorder="1" applyAlignment="1">
      <alignment horizontal="center" vertical="center"/>
    </xf>
    <xf numFmtId="165" fontId="29" fillId="0" borderId="1" xfId="0" applyNumberFormat="1" applyFont="1" applyFill="1" applyBorder="1" applyAlignment="1">
      <alignment horizontal="center" vertical="center"/>
    </xf>
    <xf numFmtId="164" fontId="29" fillId="0" borderId="1" xfId="0" applyNumberFormat="1" applyFont="1" applyFill="1" applyBorder="1" applyAlignment="1">
      <alignment horizontal="center" vertical="center"/>
    </xf>
    <xf numFmtId="0" fontId="26" fillId="0" borderId="1" xfId="0" applyFont="1" applyFill="1" applyBorder="1" applyAlignment="1">
      <alignment horizontal="center" vertical="center"/>
    </xf>
    <xf numFmtId="166" fontId="26" fillId="0" borderId="1" xfId="0" applyNumberFormat="1" applyFont="1" applyFill="1" applyBorder="1" applyAlignment="1">
      <alignment horizontal="center" vertical="center"/>
    </xf>
    <xf numFmtId="2" fontId="26" fillId="0" borderId="1" xfId="0" applyNumberFormat="1" applyFont="1" applyFill="1" applyBorder="1" applyAlignment="1">
      <alignment horizontal="center" vertical="center"/>
    </xf>
    <xf numFmtId="2" fontId="26" fillId="0" borderId="1" xfId="0" applyNumberFormat="1" applyFont="1" applyFill="1" applyBorder="1" applyAlignment="1">
      <alignment horizontal="center" vertical="center" wrapText="1"/>
    </xf>
    <xf numFmtId="1" fontId="26" fillId="0" borderId="40" xfId="0" applyNumberFormat="1" applyFont="1" applyFill="1" applyBorder="1" applyAlignment="1">
      <alignment horizontal="center" vertical="center"/>
    </xf>
    <xf numFmtId="1" fontId="26" fillId="0" borderId="11" xfId="0" applyNumberFormat="1" applyFont="1" applyFill="1" applyBorder="1" applyAlignment="1">
      <alignment horizontal="center" vertical="center"/>
    </xf>
    <xf numFmtId="0" fontId="29" fillId="0" borderId="11" xfId="0" applyFont="1" applyFill="1" applyBorder="1" applyAlignment="1">
      <alignment horizontal="center" vertical="center"/>
    </xf>
    <xf numFmtId="1" fontId="26" fillId="0" borderId="1" xfId="0" applyNumberFormat="1" applyFont="1" applyFill="1" applyBorder="1" applyAlignment="1">
      <alignment horizontal="center" vertical="center"/>
    </xf>
    <xf numFmtId="2" fontId="29" fillId="0" borderId="1" xfId="0" applyNumberFormat="1" applyFont="1" applyFill="1" applyBorder="1" applyAlignment="1">
      <alignment horizontal="center" vertical="center" shrinkToFit="1"/>
    </xf>
    <xf numFmtId="0" fontId="37" fillId="0" borderId="1" xfId="0" applyFont="1" applyFill="1" applyBorder="1" applyAlignment="1">
      <alignment horizontal="center" vertical="center"/>
    </xf>
    <xf numFmtId="164" fontId="88" fillId="0" borderId="0" xfId="0" applyNumberFormat="1" applyFont="1" applyAlignment="1">
      <alignment horizontal="center" vertical="center"/>
    </xf>
    <xf numFmtId="0" fontId="82" fillId="0" borderId="1" xfId="0" applyFont="1" applyFill="1" applyBorder="1" applyAlignment="1">
      <alignment horizontal="center" vertical="center"/>
    </xf>
    <xf numFmtId="164" fontId="37" fillId="0" borderId="1" xfId="0" applyNumberFormat="1" applyFont="1" applyFill="1" applyBorder="1" applyAlignment="1">
      <alignment horizontal="center" vertical="center"/>
    </xf>
    <xf numFmtId="0" fontId="29" fillId="0" borderId="1" xfId="0" quotePrefix="1" applyFont="1" applyFill="1" applyBorder="1" applyAlignment="1">
      <alignment horizontal="center" vertical="center"/>
    </xf>
    <xf numFmtId="1" fontId="29" fillId="0" borderId="12" xfId="0" applyNumberFormat="1" applyFont="1" applyFill="1" applyBorder="1" applyAlignment="1">
      <alignment horizontal="center" vertical="center" shrinkToFit="1"/>
    </xf>
    <xf numFmtId="2" fontId="29" fillId="0" borderId="12" xfId="0" applyNumberFormat="1" applyFont="1" applyFill="1" applyBorder="1" applyAlignment="1">
      <alignment horizontal="center" vertical="center" shrinkToFit="1"/>
    </xf>
    <xf numFmtId="0" fontId="26" fillId="2" borderId="24" xfId="0" applyFont="1" applyFill="1" applyBorder="1" applyAlignment="1">
      <alignment horizontal="center"/>
    </xf>
    <xf numFmtId="0" fontId="92" fillId="4" borderId="0" xfId="0" applyFont="1" applyFill="1" applyBorder="1" applyAlignment="1">
      <alignment vertical="center"/>
    </xf>
    <xf numFmtId="0" fontId="29" fillId="3" borderId="0" xfId="0" applyFont="1" applyFill="1" applyBorder="1" applyAlignment="1">
      <alignment vertical="center"/>
    </xf>
    <xf numFmtId="0" fontId="29" fillId="3" borderId="0" xfId="0" applyFont="1" applyFill="1" applyBorder="1" applyAlignment="1">
      <alignment horizontal="left" wrapText="1"/>
    </xf>
    <xf numFmtId="0" fontId="70" fillId="3" borderId="0" xfId="0" applyFont="1" applyFill="1" applyBorder="1"/>
    <xf numFmtId="0" fontId="29" fillId="3" borderId="0" xfId="0" applyFont="1" applyFill="1" applyBorder="1" applyAlignment="1">
      <alignment horizontal="center"/>
    </xf>
    <xf numFmtId="0" fontId="0" fillId="0" borderId="0" xfId="0" applyAlignment="1">
      <alignment horizontal="left"/>
    </xf>
    <xf numFmtId="164" fontId="29" fillId="3" borderId="22" xfId="0" applyNumberFormat="1" applyFont="1" applyFill="1" applyBorder="1" applyAlignment="1">
      <alignment horizontal="center"/>
    </xf>
    <xf numFmtId="164" fontId="29" fillId="3" borderId="0" xfId="0" applyNumberFormat="1" applyFont="1" applyFill="1" applyBorder="1" applyAlignment="1">
      <alignment horizontal="center"/>
    </xf>
    <xf numFmtId="0" fontId="26" fillId="2" borderId="24" xfId="0" applyFont="1" applyFill="1" applyBorder="1" applyAlignment="1">
      <alignment horizontal="center" wrapText="1"/>
    </xf>
    <xf numFmtId="0" fontId="26" fillId="2" borderId="25" xfId="0" applyFont="1" applyFill="1" applyBorder="1" applyAlignment="1">
      <alignment horizontal="center" wrapText="1"/>
    </xf>
    <xf numFmtId="2" fontId="26" fillId="2" borderId="1" xfId="0" applyNumberFormat="1" applyFont="1" applyFill="1" applyBorder="1" applyAlignment="1">
      <alignment horizontal="center" wrapText="1"/>
    </xf>
    <xf numFmtId="2" fontId="26" fillId="2" borderId="27" xfId="0" applyNumberFormat="1" applyFont="1" applyFill="1" applyBorder="1" applyAlignment="1">
      <alignment horizontal="center" wrapText="1"/>
    </xf>
    <xf numFmtId="2" fontId="26" fillId="2" borderId="29" xfId="0" applyNumberFormat="1" applyFont="1" applyFill="1" applyBorder="1" applyAlignment="1">
      <alignment horizontal="center" wrapText="1"/>
    </xf>
    <xf numFmtId="2" fontId="26" fillId="2" borderId="30" xfId="0" applyNumberFormat="1" applyFont="1" applyFill="1" applyBorder="1" applyAlignment="1">
      <alignment horizontal="center" wrapText="1"/>
    </xf>
    <xf numFmtId="2" fontId="26" fillId="2" borderId="24" xfId="0" applyNumberFormat="1" applyFont="1" applyFill="1" applyBorder="1" applyAlignment="1">
      <alignment horizontal="center" wrapText="1"/>
    </xf>
    <xf numFmtId="2" fontId="26" fillId="2" borderId="25" xfId="0" applyNumberFormat="1" applyFont="1" applyFill="1" applyBorder="1" applyAlignment="1">
      <alignment horizontal="center" wrapText="1"/>
    </xf>
    <xf numFmtId="0" fontId="93" fillId="3" borderId="0" xfId="0" applyFont="1" applyFill="1" applyBorder="1" applyAlignment="1">
      <alignment vertical="center"/>
    </xf>
    <xf numFmtId="0" fontId="93" fillId="3" borderId="0" xfId="0" applyFont="1" applyFill="1" applyBorder="1"/>
    <xf numFmtId="3" fontId="26" fillId="3" borderId="0" xfId="0" applyNumberFormat="1" applyFont="1" applyFill="1" applyBorder="1" applyAlignment="1">
      <alignment horizontal="center"/>
    </xf>
    <xf numFmtId="165" fontId="26" fillId="3" borderId="0" xfId="0" applyNumberFormat="1" applyFont="1" applyFill="1" applyBorder="1"/>
    <xf numFmtId="1" fontId="26" fillId="3" borderId="0" xfId="0" applyNumberFormat="1" applyFont="1" applyFill="1" applyBorder="1"/>
    <xf numFmtId="0" fontId="29" fillId="3" borderId="0" xfId="0" applyFont="1" applyFill="1" applyBorder="1" applyAlignment="1">
      <alignment horizontal="right" vertical="center" wrapText="1"/>
    </xf>
    <xf numFmtId="0" fontId="29" fillId="3" borderId="0" xfId="0" applyFont="1" applyFill="1" applyBorder="1" applyAlignment="1">
      <alignment horizontal="right"/>
    </xf>
    <xf numFmtId="0" fontId="85" fillId="6" borderId="4" xfId="0" quotePrefix="1" applyFont="1" applyFill="1" applyBorder="1" applyAlignment="1">
      <alignment horizontal="center"/>
    </xf>
    <xf numFmtId="0" fontId="85" fillId="6" borderId="0" xfId="0" quotePrefix="1" applyFont="1" applyFill="1" applyBorder="1" applyAlignment="1">
      <alignment horizontal="center"/>
    </xf>
    <xf numFmtId="0" fontId="86" fillId="6" borderId="9" xfId="0" quotePrefix="1" applyFont="1" applyFill="1" applyBorder="1" applyAlignment="1">
      <alignment horizontal="center"/>
    </xf>
    <xf numFmtId="0" fontId="86" fillId="6" borderId="0" xfId="0" quotePrefix="1" applyFont="1" applyFill="1" applyBorder="1" applyAlignment="1">
      <alignment horizontal="center"/>
    </xf>
    <xf numFmtId="0" fontId="29" fillId="7" borderId="16" xfId="0" quotePrefix="1" applyFont="1" applyFill="1" applyBorder="1" applyAlignment="1">
      <alignment horizontal="center"/>
    </xf>
    <xf numFmtId="0" fontId="29" fillId="7" borderId="10" xfId="0" quotePrefix="1" applyFont="1" applyFill="1" applyBorder="1" applyAlignment="1">
      <alignment horizontal="center"/>
    </xf>
    <xf numFmtId="0" fontId="29" fillId="7" borderId="17" xfId="0" quotePrefix="1" applyFont="1" applyFill="1" applyBorder="1" applyAlignment="1">
      <alignment horizontal="center"/>
    </xf>
    <xf numFmtId="0" fontId="29" fillId="7" borderId="44" xfId="0" quotePrefix="1" applyFont="1" applyFill="1" applyBorder="1" applyAlignment="1">
      <alignment horizontal="center"/>
    </xf>
    <xf numFmtId="2" fontId="26" fillId="0" borderId="1" xfId="0" applyNumberFormat="1" applyFont="1" applyBorder="1" applyAlignment="1">
      <alignment horizontal="center"/>
    </xf>
    <xf numFmtId="0" fontId="29" fillId="6" borderId="24" xfId="0" quotePrefix="1" applyFont="1" applyFill="1" applyBorder="1" applyAlignment="1">
      <alignment horizontal="left"/>
    </xf>
    <xf numFmtId="0" fontId="26" fillId="6" borderId="52" xfId="0" applyFont="1" applyFill="1" applyBorder="1" applyAlignment="1">
      <alignment horizontal="left"/>
    </xf>
    <xf numFmtId="0" fontId="10" fillId="6" borderId="0" xfId="0" applyFont="1" applyFill="1"/>
    <xf numFmtId="0" fontId="41" fillId="6" borderId="1" xfId="0" applyFont="1" applyFill="1" applyBorder="1" applyAlignment="1">
      <alignment horizontal="left"/>
    </xf>
    <xf numFmtId="0" fontId="41" fillId="6" borderId="29" xfId="0" applyFont="1" applyFill="1" applyBorder="1" applyAlignment="1">
      <alignment horizontal="left"/>
    </xf>
    <xf numFmtId="0" fontId="29" fillId="2" borderId="1" xfId="0" applyFont="1" applyFill="1" applyBorder="1" applyAlignment="1">
      <alignment horizontal="left"/>
    </xf>
    <xf numFmtId="0" fontId="26" fillId="6" borderId="60" xfId="0" applyFont="1" applyFill="1" applyBorder="1"/>
    <xf numFmtId="0" fontId="26" fillId="6" borderId="22" xfId="0" applyFont="1" applyFill="1" applyBorder="1"/>
    <xf numFmtId="0" fontId="26" fillId="6" borderId="9" xfId="0" quotePrefix="1" applyFont="1" applyFill="1" applyBorder="1"/>
    <xf numFmtId="0" fontId="26" fillId="6" borderId="0" xfId="0" quotePrefix="1" applyFont="1" applyFill="1" applyBorder="1"/>
    <xf numFmtId="0" fontId="26" fillId="6" borderId="0" xfId="0" applyFont="1" applyFill="1" applyBorder="1" applyAlignment="1">
      <alignment horizontal="left"/>
    </xf>
    <xf numFmtId="0" fontId="26" fillId="6" borderId="9" xfId="0" applyFont="1" applyFill="1" applyBorder="1"/>
    <xf numFmtId="0" fontId="26" fillId="6" borderId="39" xfId="0" quotePrefix="1" applyFont="1" applyFill="1" applyBorder="1"/>
    <xf numFmtId="0" fontId="26" fillId="6" borderId="2" xfId="0" applyFont="1" applyFill="1" applyBorder="1"/>
    <xf numFmtId="0" fontId="26" fillId="6" borderId="0" xfId="0" applyFont="1" applyFill="1"/>
    <xf numFmtId="0" fontId="42" fillId="6" borderId="1" xfId="0" applyFont="1" applyFill="1" applyBorder="1" applyAlignment="1">
      <alignment horizontal="left"/>
    </xf>
    <xf numFmtId="0" fontId="94" fillId="3" borderId="1" xfId="0" applyFont="1" applyFill="1" applyBorder="1" applyAlignment="1">
      <alignment horizontal="left"/>
    </xf>
    <xf numFmtId="0" fontId="26" fillId="6" borderId="37" xfId="0" applyFont="1" applyFill="1" applyBorder="1" applyAlignment="1">
      <alignment horizontal="left"/>
    </xf>
    <xf numFmtId="0" fontId="26" fillId="6" borderId="40" xfId="0" applyFont="1" applyFill="1" applyBorder="1" applyAlignment="1">
      <alignment horizontal="left"/>
    </xf>
    <xf numFmtId="0" fontId="26" fillId="6" borderId="41" xfId="0" applyFont="1" applyFill="1" applyBorder="1" applyAlignment="1">
      <alignment horizontal="left"/>
    </xf>
    <xf numFmtId="0" fontId="26" fillId="6" borderId="11" xfId="0" applyFont="1" applyFill="1" applyBorder="1" applyAlignment="1">
      <alignment horizontal="left"/>
    </xf>
    <xf numFmtId="0" fontId="26" fillId="6" borderId="34" xfId="0" applyFont="1" applyFill="1" applyBorder="1" applyAlignment="1">
      <alignment horizontal="left"/>
    </xf>
    <xf numFmtId="0" fontId="26" fillId="6" borderId="35" xfId="0" applyFont="1" applyFill="1" applyBorder="1" applyAlignment="1">
      <alignment horizontal="left"/>
    </xf>
    <xf numFmtId="0" fontId="42" fillId="6" borderId="23" xfId="0" applyFont="1" applyFill="1" applyBorder="1" applyAlignment="1">
      <alignment horizontal="left"/>
    </xf>
    <xf numFmtId="0" fontId="42" fillId="6" borderId="24" xfId="0" applyFont="1" applyFill="1" applyBorder="1" applyAlignment="1">
      <alignment horizontal="left"/>
    </xf>
    <xf numFmtId="0" fontId="42" fillId="6" borderId="26" xfId="0" applyFont="1" applyFill="1" applyBorder="1" applyAlignment="1">
      <alignment horizontal="left"/>
    </xf>
    <xf numFmtId="0" fontId="42" fillId="6" borderId="28" xfId="0" applyFont="1" applyFill="1" applyBorder="1" applyAlignment="1">
      <alignment horizontal="left"/>
    </xf>
    <xf numFmtId="0" fontId="42" fillId="6" borderId="29" xfId="0" applyFont="1" applyFill="1" applyBorder="1" applyAlignment="1">
      <alignment horizontal="left"/>
    </xf>
    <xf numFmtId="0" fontId="94" fillId="3" borderId="29" xfId="0" applyFont="1" applyFill="1" applyBorder="1" applyAlignment="1">
      <alignment horizontal="left"/>
    </xf>
    <xf numFmtId="0" fontId="94" fillId="3" borderId="24" xfId="0" applyFont="1" applyFill="1" applyBorder="1" applyAlignment="1">
      <alignment horizontal="left"/>
    </xf>
    <xf numFmtId="0" fontId="46" fillId="6" borderId="0" xfId="0" applyFont="1" applyFill="1" applyBorder="1"/>
    <xf numFmtId="0" fontId="42" fillId="14" borderId="23" xfId="0" applyFont="1" applyFill="1" applyBorder="1" applyAlignment="1">
      <alignment horizontal="left"/>
    </xf>
    <xf numFmtId="0" fontId="42" fillId="14" borderId="24" xfId="0" applyFont="1" applyFill="1" applyBorder="1" applyAlignment="1">
      <alignment horizontal="left"/>
    </xf>
    <xf numFmtId="0" fontId="85" fillId="14" borderId="12" xfId="0" applyFont="1" applyFill="1" applyBorder="1" applyAlignment="1">
      <alignment horizontal="left"/>
    </xf>
    <xf numFmtId="0" fontId="42" fillId="14" borderId="25" xfId="0" applyFont="1" applyFill="1" applyBorder="1" applyAlignment="1">
      <alignment horizontal="left"/>
    </xf>
    <xf numFmtId="0" fontId="42" fillId="15" borderId="26" xfId="0" applyFont="1" applyFill="1" applyBorder="1" applyAlignment="1">
      <alignment horizontal="left"/>
    </xf>
    <xf numFmtId="0" fontId="42" fillId="15" borderId="1" xfId="0" applyFont="1" applyFill="1" applyBorder="1" applyAlignment="1">
      <alignment horizontal="left"/>
    </xf>
    <xf numFmtId="0" fontId="42" fillId="15" borderId="27" xfId="0" applyFont="1" applyFill="1" applyBorder="1" applyAlignment="1">
      <alignment horizontal="left"/>
    </xf>
    <xf numFmtId="0" fontId="42" fillId="16" borderId="24" xfId="0" applyFont="1" applyFill="1" applyBorder="1" applyAlignment="1">
      <alignment horizontal="left"/>
    </xf>
    <xf numFmtId="0" fontId="42" fillId="16" borderId="25" xfId="0" applyFont="1" applyFill="1" applyBorder="1" applyAlignment="1">
      <alignment horizontal="left"/>
    </xf>
    <xf numFmtId="0" fontId="85" fillId="16" borderId="1" xfId="0" applyFont="1" applyFill="1" applyBorder="1" applyAlignment="1">
      <alignment horizontal="left"/>
    </xf>
    <xf numFmtId="0" fontId="42" fillId="16" borderId="1" xfId="0" applyFont="1" applyFill="1" applyBorder="1" applyAlignment="1">
      <alignment horizontal="left"/>
    </xf>
    <xf numFmtId="0" fontId="42" fillId="16" borderId="27" xfId="0" applyFont="1" applyFill="1" applyBorder="1" applyAlignment="1">
      <alignment horizontal="left"/>
    </xf>
    <xf numFmtId="0" fontId="42" fillId="16" borderId="29" xfId="0" applyFont="1" applyFill="1" applyBorder="1" applyAlignment="1">
      <alignment horizontal="left"/>
    </xf>
    <xf numFmtId="0" fontId="42" fillId="16" borderId="30" xfId="0" applyFont="1" applyFill="1" applyBorder="1" applyAlignment="1">
      <alignment horizontal="left"/>
    </xf>
    <xf numFmtId="0" fontId="85" fillId="16" borderId="24" xfId="0" applyFont="1" applyFill="1" applyBorder="1" applyAlignment="1">
      <alignment horizontal="left"/>
    </xf>
    <xf numFmtId="0" fontId="85" fillId="16" borderId="29" xfId="0" applyFont="1" applyFill="1" applyBorder="1" applyAlignment="1">
      <alignment horizontal="left"/>
    </xf>
    <xf numFmtId="0" fontId="42" fillId="16" borderId="23" xfId="0" applyFont="1" applyFill="1" applyBorder="1" applyAlignment="1">
      <alignment horizontal="left"/>
    </xf>
    <xf numFmtId="0" fontId="85" fillId="16" borderId="12" xfId="0" applyFont="1" applyFill="1" applyBorder="1" applyAlignment="1">
      <alignment horizontal="left"/>
    </xf>
    <xf numFmtId="0" fontId="94" fillId="3" borderId="25" xfId="0" applyFont="1" applyFill="1" applyBorder="1" applyAlignment="1">
      <alignment horizontal="left"/>
    </xf>
    <xf numFmtId="0" fontId="94" fillId="3" borderId="27" xfId="0" applyFont="1" applyFill="1" applyBorder="1" applyAlignment="1">
      <alignment horizontal="left"/>
    </xf>
    <xf numFmtId="0" fontId="94" fillId="3" borderId="30" xfId="0" applyFont="1" applyFill="1" applyBorder="1" applyAlignment="1">
      <alignment horizontal="left"/>
    </xf>
    <xf numFmtId="0" fontId="26" fillId="6" borderId="70" xfId="0" applyFont="1" applyFill="1" applyBorder="1" applyAlignment="1">
      <alignment horizontal="left" wrapText="1"/>
    </xf>
    <xf numFmtId="0" fontId="26" fillId="6" borderId="71" xfId="0" applyFont="1" applyFill="1" applyBorder="1" applyAlignment="1">
      <alignment horizontal="left" wrapText="1"/>
    </xf>
    <xf numFmtId="0" fontId="46" fillId="6" borderId="72" xfId="0" applyFont="1" applyFill="1" applyBorder="1"/>
    <xf numFmtId="0" fontId="46" fillId="6" borderId="13" xfId="0" applyFont="1" applyFill="1" applyBorder="1" applyAlignment="1">
      <alignment horizontal="left"/>
    </xf>
    <xf numFmtId="0" fontId="46" fillId="6" borderId="15" xfId="0" applyFont="1" applyFill="1" applyBorder="1" applyAlignment="1">
      <alignment horizontal="left"/>
    </xf>
    <xf numFmtId="0" fontId="46" fillId="6" borderId="16" xfId="0" applyFont="1" applyFill="1" applyBorder="1" applyAlignment="1">
      <alignment horizontal="left"/>
    </xf>
    <xf numFmtId="0" fontId="46" fillId="6" borderId="17" xfId="0" applyFont="1" applyFill="1" applyBorder="1" applyAlignment="1">
      <alignment horizontal="left"/>
    </xf>
    <xf numFmtId="0" fontId="26" fillId="6" borderId="64" xfId="0" applyFont="1" applyFill="1" applyBorder="1" applyAlignment="1">
      <alignment horizontal="left"/>
    </xf>
    <xf numFmtId="0" fontId="26" fillId="6" borderId="66" xfId="0" applyFont="1" applyFill="1" applyBorder="1" applyAlignment="1">
      <alignment horizontal="left"/>
    </xf>
    <xf numFmtId="0" fontId="26" fillId="6" borderId="18" xfId="0" applyFont="1" applyFill="1" applyBorder="1" applyAlignment="1">
      <alignment horizontal="left"/>
    </xf>
    <xf numFmtId="0" fontId="26" fillId="6" borderId="68" xfId="0" applyFont="1" applyFill="1" applyBorder="1" applyAlignment="1">
      <alignment horizontal="left"/>
    </xf>
    <xf numFmtId="0" fontId="26" fillId="6" borderId="73" xfId="0" applyFont="1" applyFill="1" applyBorder="1" applyAlignment="1">
      <alignment horizontal="left"/>
    </xf>
    <xf numFmtId="0" fontId="26" fillId="6" borderId="74" xfId="0" applyFont="1" applyFill="1" applyBorder="1" applyAlignment="1">
      <alignment horizontal="left"/>
    </xf>
    <xf numFmtId="0" fontId="26" fillId="6" borderId="75" xfId="0" applyFont="1" applyFill="1" applyBorder="1" applyAlignment="1">
      <alignment horizontal="left"/>
    </xf>
    <xf numFmtId="0" fontId="26" fillId="3" borderId="0" xfId="0" applyFont="1" applyFill="1" applyBorder="1" applyAlignment="1">
      <alignment horizontal="center" vertical="center" wrapText="1"/>
    </xf>
    <xf numFmtId="0" fontId="29" fillId="3" borderId="0" xfId="0" applyFont="1" applyFill="1" applyBorder="1" applyAlignment="1">
      <alignment horizontal="center" wrapText="1"/>
    </xf>
    <xf numFmtId="0" fontId="26" fillId="3" borderId="0" xfId="0" applyFont="1" applyFill="1" applyBorder="1" applyAlignment="1">
      <alignment horizontal="center"/>
    </xf>
    <xf numFmtId="0" fontId="9" fillId="3" borderId="0" xfId="0" applyNumberFormat="1" applyFont="1" applyFill="1" applyBorder="1" applyAlignment="1">
      <alignment horizontal="left"/>
    </xf>
    <xf numFmtId="0" fontId="29" fillId="10" borderId="14" xfId="0" applyFont="1" applyFill="1" applyBorder="1" applyAlignment="1">
      <alignment horizontal="center"/>
    </xf>
    <xf numFmtId="0" fontId="29" fillId="10" borderId="0" xfId="0" applyFont="1" applyFill="1" applyBorder="1" applyAlignment="1">
      <alignment horizontal="center"/>
    </xf>
    <xf numFmtId="0" fontId="29" fillId="17" borderId="13" xfId="0" applyFont="1" applyFill="1" applyBorder="1" applyAlignment="1">
      <alignment horizontal="center" vertical="center" wrapText="1"/>
    </xf>
    <xf numFmtId="0" fontId="29" fillId="17" borderId="14" xfId="0" applyFont="1" applyFill="1" applyBorder="1" applyAlignment="1">
      <alignment horizontal="center" vertical="center" wrapText="1"/>
    </xf>
    <xf numFmtId="0" fontId="29" fillId="17" borderId="15" xfId="0" applyFont="1" applyFill="1" applyBorder="1" applyAlignment="1">
      <alignment horizontal="center" vertical="center" wrapText="1"/>
    </xf>
    <xf numFmtId="0" fontId="29" fillId="11" borderId="13" xfId="0" applyFont="1" applyFill="1" applyBorder="1" applyAlignment="1">
      <alignment horizontal="center" vertical="center" wrapText="1"/>
    </xf>
    <xf numFmtId="0" fontId="29" fillId="11" borderId="14" xfId="0" applyFont="1" applyFill="1" applyBorder="1" applyAlignment="1">
      <alignment horizontal="center" vertical="center" wrapText="1"/>
    </xf>
    <xf numFmtId="0" fontId="29" fillId="11" borderId="15" xfId="0" applyFont="1" applyFill="1" applyBorder="1" applyAlignment="1">
      <alignment horizontal="center" vertical="center" wrapText="1"/>
    </xf>
    <xf numFmtId="0" fontId="29" fillId="9" borderId="13" xfId="0" applyFont="1" applyFill="1" applyBorder="1" applyAlignment="1">
      <alignment horizontal="center" vertical="center" wrapText="1"/>
    </xf>
    <xf numFmtId="0" fontId="29" fillId="9" borderId="14" xfId="0" applyFont="1" applyFill="1" applyBorder="1" applyAlignment="1">
      <alignment horizontal="center" vertical="center" wrapText="1"/>
    </xf>
    <xf numFmtId="0" fontId="29" fillId="9" borderId="15" xfId="0" applyFont="1" applyFill="1" applyBorder="1" applyAlignment="1">
      <alignment horizontal="center" vertical="center" wrapText="1"/>
    </xf>
    <xf numFmtId="0" fontId="29" fillId="6" borderId="4" xfId="0" quotePrefix="1" applyFont="1" applyFill="1" applyBorder="1" applyAlignment="1">
      <alignment horizontal="center" vertical="center" wrapText="1"/>
    </xf>
    <xf numFmtId="0" fontId="29" fillId="6" borderId="8" xfId="0" applyFont="1" applyFill="1" applyBorder="1" applyAlignment="1">
      <alignment horizontal="center" vertical="center" wrapText="1"/>
    </xf>
    <xf numFmtId="0" fontId="29" fillId="6" borderId="43" xfId="0" applyFont="1" applyFill="1" applyBorder="1" applyAlignment="1">
      <alignment horizontal="center" vertical="center" wrapText="1"/>
    </xf>
    <xf numFmtId="0" fontId="29" fillId="6" borderId="13" xfId="0" quotePrefix="1" applyFont="1" applyFill="1" applyBorder="1" applyAlignment="1">
      <alignment horizontal="center" vertical="center" wrapText="1"/>
    </xf>
    <xf numFmtId="0" fontId="29" fillId="6" borderId="14" xfId="0" applyFont="1" applyFill="1" applyBorder="1" applyAlignment="1">
      <alignment horizontal="center" vertical="center" wrapText="1"/>
    </xf>
    <xf numFmtId="0" fontId="29" fillId="6" borderId="0" xfId="0" quotePrefix="1" applyFont="1" applyFill="1" applyBorder="1" applyAlignment="1">
      <alignment horizontal="center" vertical="center" wrapText="1"/>
    </xf>
    <xf numFmtId="0" fontId="29" fillId="6" borderId="42" xfId="0" applyFont="1" applyFill="1" applyBorder="1" applyAlignment="1">
      <alignment horizontal="center" vertical="center" wrapText="1"/>
    </xf>
    <xf numFmtId="0" fontId="29" fillId="6" borderId="49" xfId="0" applyFont="1" applyFill="1" applyBorder="1" applyAlignment="1">
      <alignment horizontal="center" vertical="center" wrapText="1"/>
    </xf>
    <xf numFmtId="0" fontId="29" fillId="7" borderId="13" xfId="0" applyFont="1" applyFill="1" applyBorder="1" applyAlignment="1">
      <alignment horizontal="center" vertical="center" wrapText="1"/>
    </xf>
    <xf numFmtId="0" fontId="29" fillId="7" borderId="14" xfId="0" applyFont="1" applyFill="1" applyBorder="1" applyAlignment="1">
      <alignment horizontal="center" vertical="center" wrapText="1"/>
    </xf>
    <xf numFmtId="0" fontId="29" fillId="7" borderId="15" xfId="0" applyFont="1" applyFill="1" applyBorder="1" applyAlignment="1">
      <alignment horizontal="center" vertical="center" wrapText="1"/>
    </xf>
    <xf numFmtId="0" fontId="29" fillId="7" borderId="0" xfId="0" applyFont="1" applyFill="1" applyBorder="1" applyAlignment="1">
      <alignment horizontal="center" vertical="center" wrapText="1"/>
    </xf>
    <xf numFmtId="0" fontId="26" fillId="7" borderId="13" xfId="0" applyFont="1" applyFill="1" applyBorder="1" applyAlignment="1">
      <alignment horizontal="center" vertical="center" wrapText="1"/>
    </xf>
    <xf numFmtId="0" fontId="26" fillId="7" borderId="14" xfId="0" applyFont="1" applyFill="1" applyBorder="1" applyAlignment="1">
      <alignment horizontal="center" vertical="center" wrapText="1"/>
    </xf>
    <xf numFmtId="0" fontId="26" fillId="7" borderId="42" xfId="0" applyFont="1" applyFill="1" applyBorder="1" applyAlignment="1">
      <alignment horizontal="center" vertical="center" wrapText="1"/>
    </xf>
    <xf numFmtId="0" fontId="26" fillId="7" borderId="15" xfId="0" applyFont="1" applyFill="1" applyBorder="1" applyAlignment="1">
      <alignment horizontal="center" vertical="center" wrapText="1"/>
    </xf>
    <xf numFmtId="0" fontId="26" fillId="7" borderId="43" xfId="0" applyFont="1" applyFill="1" applyBorder="1" applyAlignment="1">
      <alignment horizontal="center" vertical="center" wrapText="1"/>
    </xf>
    <xf numFmtId="0" fontId="29" fillId="10" borderId="5" xfId="0" applyFont="1" applyFill="1" applyBorder="1" applyAlignment="1">
      <alignment horizontal="center" vertical="center" wrapText="1"/>
    </xf>
    <xf numFmtId="0" fontId="29" fillId="10" borderId="6" xfId="0" applyFont="1" applyFill="1" applyBorder="1" applyAlignment="1">
      <alignment horizontal="center" vertical="center" wrapText="1"/>
    </xf>
    <xf numFmtId="0" fontId="29" fillId="10" borderId="38" xfId="0" applyFont="1" applyFill="1" applyBorder="1" applyAlignment="1">
      <alignment horizontal="center" vertical="center" wrapText="1"/>
    </xf>
    <xf numFmtId="0" fontId="29" fillId="0" borderId="0" xfId="0" applyFont="1" applyFill="1" applyAlignment="1">
      <alignment horizontal="center" vertical="center" wrapText="1"/>
    </xf>
    <xf numFmtId="0" fontId="29" fillId="17" borderId="4" xfId="0" applyFont="1" applyFill="1" applyBorder="1" applyAlignment="1">
      <alignment horizontal="center"/>
    </xf>
    <xf numFmtId="0" fontId="29" fillId="17" borderId="0" xfId="0" applyFont="1" applyFill="1" applyBorder="1" applyAlignment="1">
      <alignment horizontal="center"/>
    </xf>
    <xf numFmtId="0" fontId="29" fillId="17" borderId="7" xfId="0" applyFont="1" applyFill="1" applyBorder="1" applyAlignment="1">
      <alignment horizontal="center"/>
    </xf>
    <xf numFmtId="0" fontId="29" fillId="11" borderId="4" xfId="0" applyFont="1" applyFill="1" applyBorder="1" applyAlignment="1">
      <alignment horizontal="center" wrapText="1"/>
    </xf>
    <xf numFmtId="0" fontId="29" fillId="11" borderId="0" xfId="0" applyFont="1" applyFill="1" applyBorder="1" applyAlignment="1">
      <alignment horizontal="center" wrapText="1"/>
    </xf>
    <xf numFmtId="0" fontId="29" fillId="11" borderId="7" xfId="0" applyFont="1" applyFill="1" applyBorder="1" applyAlignment="1">
      <alignment horizontal="center" wrapText="1"/>
    </xf>
    <xf numFmtId="0" fontId="29" fillId="9" borderId="4" xfId="0" applyFont="1" applyFill="1" applyBorder="1" applyAlignment="1">
      <alignment horizontal="center"/>
    </xf>
    <xf numFmtId="0" fontId="29" fillId="9" borderId="0" xfId="0" applyFont="1" applyFill="1" applyBorder="1" applyAlignment="1">
      <alignment horizontal="center" wrapText="1"/>
    </xf>
    <xf numFmtId="0" fontId="29" fillId="9" borderId="7" xfId="0" applyFont="1" applyFill="1" applyBorder="1" applyAlignment="1">
      <alignment horizontal="center" wrapText="1"/>
    </xf>
    <xf numFmtId="0" fontId="29" fillId="6" borderId="4" xfId="0" quotePrefix="1" applyFont="1" applyFill="1" applyBorder="1" applyAlignment="1">
      <alignment horizontal="center" wrapText="1"/>
    </xf>
    <xf numFmtId="0" fontId="29" fillId="6" borderId="8" xfId="0" applyFont="1" applyFill="1" applyBorder="1" applyAlignment="1">
      <alignment horizontal="center" wrapText="1"/>
    </xf>
    <xf numFmtId="0" fontId="29" fillId="6" borderId="0" xfId="0" quotePrefix="1" applyFont="1" applyFill="1" applyBorder="1" applyAlignment="1">
      <alignment horizontal="center" wrapText="1"/>
    </xf>
    <xf numFmtId="0" fontId="29" fillId="6" borderId="8" xfId="0" quotePrefix="1" applyFont="1" applyFill="1" applyBorder="1" applyAlignment="1">
      <alignment horizontal="center" wrapText="1"/>
    </xf>
    <xf numFmtId="0" fontId="29" fillId="6" borderId="4" xfId="0" applyFont="1" applyFill="1" applyBorder="1" applyAlignment="1">
      <alignment horizontal="center"/>
    </xf>
    <xf numFmtId="0" fontId="29" fillId="6" borderId="9" xfId="0" quotePrefix="1" applyFont="1" applyFill="1" applyBorder="1" applyAlignment="1">
      <alignment horizontal="center" wrapText="1"/>
    </xf>
    <xf numFmtId="0" fontId="29" fillId="6" borderId="7" xfId="0" quotePrefix="1" applyFont="1" applyFill="1" applyBorder="1" applyAlignment="1">
      <alignment horizontal="center" wrapText="1"/>
    </xf>
    <xf numFmtId="0" fontId="29" fillId="6" borderId="0" xfId="0" applyFont="1" applyFill="1" applyBorder="1" applyAlignment="1">
      <alignment horizontal="center"/>
    </xf>
    <xf numFmtId="0" fontId="29" fillId="6" borderId="7" xfId="0" applyFont="1" applyFill="1" applyBorder="1" applyAlignment="1">
      <alignment horizontal="center" wrapText="1"/>
    </xf>
    <xf numFmtId="0" fontId="29" fillId="6" borderId="69" xfId="0" applyFont="1" applyFill="1" applyBorder="1" applyAlignment="1">
      <alignment horizontal="center" wrapText="1"/>
    </xf>
    <xf numFmtId="0" fontId="29" fillId="7" borderId="4" xfId="0" applyFont="1" applyFill="1" applyBorder="1" applyAlignment="1">
      <alignment horizontal="center" wrapText="1"/>
    </xf>
    <xf numFmtId="0" fontId="29" fillId="7" borderId="0" xfId="0" applyFont="1" applyFill="1" applyBorder="1" applyAlignment="1">
      <alignment horizontal="center" wrapText="1"/>
    </xf>
    <xf numFmtId="0" fontId="29" fillId="7" borderId="7" xfId="0" applyFont="1" applyFill="1" applyBorder="1" applyAlignment="1">
      <alignment horizontal="center" wrapText="1"/>
    </xf>
    <xf numFmtId="0" fontId="26" fillId="7" borderId="4" xfId="0" applyFont="1" applyFill="1" applyBorder="1" applyAlignment="1">
      <alignment horizontal="center" wrapText="1"/>
    </xf>
    <xf numFmtId="0" fontId="26" fillId="7" borderId="0" xfId="0" applyFont="1" applyFill="1" applyBorder="1" applyAlignment="1">
      <alignment horizontal="center" wrapText="1"/>
    </xf>
    <xf numFmtId="0" fontId="26" fillId="7" borderId="8" xfId="0" applyFont="1" applyFill="1" applyBorder="1" applyAlignment="1">
      <alignment horizontal="center" wrapText="1"/>
    </xf>
    <xf numFmtId="0" fontId="26" fillId="7" borderId="0" xfId="0" applyFont="1" applyFill="1" applyBorder="1" applyAlignment="1">
      <alignment horizontal="center" vertical="center" wrapText="1"/>
    </xf>
    <xf numFmtId="0" fontId="26" fillId="7" borderId="8" xfId="0" applyFont="1" applyFill="1" applyBorder="1" applyAlignment="1">
      <alignment horizontal="center" vertical="center" wrapText="1"/>
    </xf>
    <xf numFmtId="0" fontId="26" fillId="7" borderId="7" xfId="0" applyFont="1" applyFill="1" applyBorder="1" applyAlignment="1">
      <alignment horizontal="center" vertical="center" wrapText="1"/>
    </xf>
    <xf numFmtId="0" fontId="26" fillId="7" borderId="4" xfId="0" applyFont="1" applyFill="1" applyBorder="1" applyAlignment="1">
      <alignment horizontal="center" vertical="center" wrapText="1"/>
    </xf>
    <xf numFmtId="0" fontId="26" fillId="7" borderId="7" xfId="0" applyFont="1" applyFill="1" applyBorder="1" applyAlignment="1">
      <alignment horizontal="center" wrapText="1"/>
    </xf>
    <xf numFmtId="0" fontId="29" fillId="10" borderId="13" xfId="0" applyFont="1" applyFill="1" applyBorder="1" applyAlignment="1">
      <alignment horizontal="center"/>
    </xf>
    <xf numFmtId="0" fontId="29" fillId="10" borderId="15" xfId="0" applyFont="1" applyFill="1" applyBorder="1" applyAlignment="1">
      <alignment horizontal="center"/>
    </xf>
    <xf numFmtId="0" fontId="29" fillId="11" borderId="4" xfId="0" quotePrefix="1" applyFont="1" applyFill="1" applyBorder="1" applyAlignment="1">
      <alignment horizontal="center" wrapText="1"/>
    </xf>
    <xf numFmtId="0" fontId="29" fillId="11" borderId="0" xfId="0" quotePrefix="1" applyFont="1" applyFill="1" applyBorder="1" applyAlignment="1">
      <alignment horizontal="center" wrapText="1"/>
    </xf>
    <xf numFmtId="0" fontId="29" fillId="11" borderId="7" xfId="0" quotePrefix="1" applyFont="1" applyFill="1" applyBorder="1" applyAlignment="1">
      <alignment horizontal="center" wrapText="1"/>
    </xf>
    <xf numFmtId="0" fontId="29" fillId="9" borderId="4" xfId="0" applyFont="1" applyFill="1" applyBorder="1" applyAlignment="1">
      <alignment horizontal="center" wrapText="1"/>
    </xf>
    <xf numFmtId="0" fontId="29" fillId="6" borderId="0" xfId="0" applyFont="1" applyFill="1" applyBorder="1" applyAlignment="1">
      <alignment horizontal="center" vertical="center"/>
    </xf>
    <xf numFmtId="0" fontId="29" fillId="6" borderId="8" xfId="0" applyFont="1" applyFill="1" applyBorder="1" applyAlignment="1">
      <alignment horizontal="center" vertical="center"/>
    </xf>
    <xf numFmtId="0" fontId="29" fillId="6" borderId="9" xfId="0" applyFont="1" applyFill="1" applyBorder="1" applyAlignment="1">
      <alignment horizontal="center"/>
    </xf>
    <xf numFmtId="0" fontId="29" fillId="6" borderId="7" xfId="0" applyFont="1" applyFill="1" applyBorder="1" applyAlignment="1">
      <alignment horizontal="center"/>
    </xf>
    <xf numFmtId="0" fontId="29" fillId="6" borderId="9" xfId="0" applyFont="1" applyFill="1" applyBorder="1" applyAlignment="1">
      <alignment horizontal="center" vertical="center"/>
    </xf>
    <xf numFmtId="0" fontId="29" fillId="6" borderId="69" xfId="0" applyFont="1" applyFill="1" applyBorder="1" applyAlignment="1">
      <alignment horizontal="center" vertical="center"/>
    </xf>
    <xf numFmtId="0" fontId="29" fillId="6" borderId="4" xfId="0" applyFont="1" applyFill="1" applyBorder="1" applyAlignment="1">
      <alignment horizontal="center" vertical="center"/>
    </xf>
    <xf numFmtId="0" fontId="29" fillId="6" borderId="7" xfId="0" applyFont="1" applyFill="1" applyBorder="1" applyAlignment="1">
      <alignment horizontal="center" vertical="center"/>
    </xf>
    <xf numFmtId="0" fontId="29" fillId="6" borderId="7" xfId="0" applyFont="1" applyFill="1" applyBorder="1" applyAlignment="1">
      <alignment horizontal="center" vertical="center" wrapText="1"/>
    </xf>
    <xf numFmtId="0" fontId="29" fillId="7" borderId="4" xfId="0" applyFont="1" applyFill="1" applyBorder="1" applyAlignment="1">
      <alignment horizontal="center"/>
    </xf>
    <xf numFmtId="0" fontId="29" fillId="7" borderId="0" xfId="0" applyFont="1" applyFill="1" applyBorder="1" applyAlignment="1">
      <alignment horizontal="center"/>
    </xf>
    <xf numFmtId="0" fontId="29" fillId="7" borderId="8" xfId="0" applyFont="1" applyFill="1" applyBorder="1" applyAlignment="1">
      <alignment horizontal="center"/>
    </xf>
    <xf numFmtId="0" fontId="29" fillId="7" borderId="0" xfId="0" applyFont="1" applyFill="1" applyBorder="1" applyAlignment="1">
      <alignment horizontal="center" vertical="center"/>
    </xf>
    <xf numFmtId="0" fontId="29" fillId="7" borderId="8" xfId="0" applyFont="1" applyFill="1" applyBorder="1" applyAlignment="1">
      <alignment horizontal="center" vertical="center"/>
    </xf>
    <xf numFmtId="0" fontId="29" fillId="7" borderId="7" xfId="0" applyFont="1" applyFill="1" applyBorder="1" applyAlignment="1">
      <alignment horizontal="center"/>
    </xf>
    <xf numFmtId="0" fontId="29" fillId="7" borderId="9" xfId="0" applyFont="1" applyFill="1" applyBorder="1" applyAlignment="1">
      <alignment horizontal="center"/>
    </xf>
    <xf numFmtId="0" fontId="29" fillId="10" borderId="4" xfId="0" applyFont="1" applyFill="1" applyBorder="1" applyAlignment="1">
      <alignment horizontal="center" wrapText="1"/>
    </xf>
    <xf numFmtId="0" fontId="29" fillId="10" borderId="0" xfId="0" applyFont="1" applyFill="1" applyBorder="1" applyAlignment="1">
      <alignment horizontal="center" wrapText="1"/>
    </xf>
    <xf numFmtId="0" fontId="29" fillId="10" borderId="7" xfId="0" applyFont="1" applyFill="1" applyBorder="1" applyAlignment="1">
      <alignment horizontal="center" wrapText="1"/>
    </xf>
    <xf numFmtId="0" fontId="29" fillId="10" borderId="8" xfId="0" applyFont="1" applyFill="1" applyBorder="1" applyAlignment="1">
      <alignment horizontal="center"/>
    </xf>
    <xf numFmtId="0" fontId="29" fillId="10" borderId="9" xfId="0" applyFont="1" applyFill="1" applyBorder="1" applyAlignment="1">
      <alignment horizontal="center"/>
    </xf>
    <xf numFmtId="0" fontId="29" fillId="10" borderId="4" xfId="0" applyFont="1" applyFill="1" applyBorder="1" applyAlignment="1">
      <alignment horizontal="center"/>
    </xf>
    <xf numFmtId="0" fontId="29" fillId="10" borderId="7" xfId="0" applyFont="1" applyFill="1" applyBorder="1" applyAlignment="1">
      <alignment horizontal="center"/>
    </xf>
    <xf numFmtId="0" fontId="29" fillId="10" borderId="61" xfId="0" applyFont="1" applyFill="1" applyBorder="1" applyAlignment="1">
      <alignment horizontal="center"/>
    </xf>
    <xf numFmtId="0" fontId="29" fillId="7" borderId="8" xfId="0" applyFont="1" applyFill="1" applyBorder="1" applyAlignment="1">
      <alignment horizontal="center" wrapText="1"/>
    </xf>
    <xf numFmtId="0" fontId="29" fillId="10" borderId="8" xfId="0" applyFont="1" applyFill="1" applyBorder="1" applyAlignment="1">
      <alignment horizontal="center" wrapText="1"/>
    </xf>
    <xf numFmtId="0" fontId="29" fillId="10" borderId="9" xfId="0" applyFont="1" applyFill="1" applyBorder="1" applyAlignment="1">
      <alignment horizontal="center" wrapText="1"/>
    </xf>
    <xf numFmtId="0" fontId="29" fillId="3" borderId="0" xfId="0" applyFont="1" applyFill="1" applyBorder="1" applyAlignment="1">
      <alignment horizontal="left"/>
    </xf>
    <xf numFmtId="0" fontId="29" fillId="17" borderId="16" xfId="0" applyFont="1" applyFill="1" applyBorder="1" applyAlignment="1">
      <alignment horizontal="center"/>
    </xf>
    <xf numFmtId="0" fontId="29" fillId="17" borderId="10" xfId="0" applyFont="1" applyFill="1" applyBorder="1" applyAlignment="1">
      <alignment horizontal="center"/>
    </xf>
    <xf numFmtId="0" fontId="29" fillId="17" borderId="17" xfId="0" applyFont="1" applyFill="1" applyBorder="1" applyAlignment="1">
      <alignment horizontal="center"/>
    </xf>
    <xf numFmtId="0" fontId="29" fillId="11" borderId="16" xfId="0" applyFont="1" applyFill="1" applyBorder="1" applyAlignment="1">
      <alignment horizontal="center"/>
    </xf>
    <xf numFmtId="0" fontId="29" fillId="11" borderId="10" xfId="0" applyFont="1" applyFill="1" applyBorder="1" applyAlignment="1">
      <alignment horizontal="center"/>
    </xf>
    <xf numFmtId="0" fontId="29" fillId="11" borderId="17" xfId="0" applyFont="1" applyFill="1" applyBorder="1" applyAlignment="1">
      <alignment horizontal="center"/>
    </xf>
    <xf numFmtId="0" fontId="29" fillId="9" borderId="16" xfId="0" applyFont="1" applyFill="1" applyBorder="1" applyAlignment="1">
      <alignment horizontal="center"/>
    </xf>
    <xf numFmtId="0" fontId="29" fillId="9" borderId="10" xfId="0" applyFont="1" applyFill="1" applyBorder="1" applyAlignment="1">
      <alignment horizontal="center"/>
    </xf>
    <xf numFmtId="0" fontId="29" fillId="9" borderId="17" xfId="0" applyFont="1" applyFill="1" applyBorder="1" applyAlignment="1">
      <alignment horizontal="center"/>
    </xf>
    <xf numFmtId="0" fontId="29" fillId="6" borderId="16" xfId="0" quotePrefix="1" applyFont="1" applyFill="1" applyBorder="1" applyAlignment="1">
      <alignment horizontal="center"/>
    </xf>
    <xf numFmtId="0" fontId="29" fillId="6" borderId="44" xfId="0" quotePrefix="1" applyFont="1" applyFill="1" applyBorder="1" applyAlignment="1">
      <alignment horizontal="center"/>
    </xf>
    <xf numFmtId="0" fontId="29" fillId="6" borderId="10" xfId="0" quotePrefix="1" applyFont="1" applyFill="1" applyBorder="1" applyAlignment="1">
      <alignment horizontal="center"/>
    </xf>
    <xf numFmtId="0" fontId="29" fillId="6" borderId="67" xfId="0" quotePrefix="1" applyFont="1" applyFill="1" applyBorder="1" applyAlignment="1">
      <alignment horizontal="center"/>
    </xf>
    <xf numFmtId="0" fontId="29" fillId="6" borderId="17" xfId="0" quotePrefix="1" applyFont="1" applyFill="1" applyBorder="1" applyAlignment="1">
      <alignment horizontal="center"/>
    </xf>
    <xf numFmtId="0" fontId="29" fillId="6" borderId="58" xfId="0" quotePrefix="1" applyFont="1" applyFill="1" applyBorder="1" applyAlignment="1">
      <alignment horizontal="center"/>
    </xf>
    <xf numFmtId="0" fontId="29" fillId="10" borderId="16" xfId="0" applyFont="1" applyFill="1" applyBorder="1" applyAlignment="1">
      <alignment horizontal="center"/>
    </xf>
    <xf numFmtId="0" fontId="29" fillId="10" borderId="10" xfId="0" applyFont="1" applyFill="1" applyBorder="1" applyAlignment="1">
      <alignment horizontal="center"/>
    </xf>
    <xf numFmtId="0" fontId="29" fillId="10" borderId="17" xfId="0" applyFont="1" applyFill="1" applyBorder="1" applyAlignment="1">
      <alignment horizontal="center"/>
    </xf>
    <xf numFmtId="0" fontId="29" fillId="10" borderId="44" xfId="0" applyFont="1" applyFill="1" applyBorder="1" applyAlignment="1">
      <alignment horizontal="center"/>
    </xf>
    <xf numFmtId="0" fontId="29" fillId="10" borderId="62" xfId="0" applyFont="1" applyFill="1" applyBorder="1" applyAlignment="1">
      <alignment horizontal="center"/>
    </xf>
    <xf numFmtId="0" fontId="29" fillId="0" borderId="0" xfId="0" applyFont="1" applyFill="1" applyAlignment="1"/>
    <xf numFmtId="0" fontId="29" fillId="3" borderId="1" xfId="0" applyFont="1" applyFill="1" applyBorder="1" applyAlignment="1">
      <alignment horizontal="left"/>
    </xf>
    <xf numFmtId="0" fontId="29" fillId="0" borderId="20" xfId="0" applyFont="1" applyFill="1" applyBorder="1" applyAlignment="1">
      <alignment horizontal="center"/>
    </xf>
    <xf numFmtId="166" fontId="29" fillId="0" borderId="20" xfId="0" applyNumberFormat="1" applyFont="1" applyFill="1" applyBorder="1" applyAlignment="1">
      <alignment horizontal="center" shrinkToFit="1"/>
    </xf>
    <xf numFmtId="166" fontId="29" fillId="0" borderId="12" xfId="0" applyNumberFormat="1" applyFont="1" applyFill="1" applyBorder="1" applyAlignment="1">
      <alignment horizontal="center" shrinkToFit="1"/>
    </xf>
    <xf numFmtId="1" fontId="29" fillId="0" borderId="12" xfId="0" applyNumberFormat="1" applyFont="1" applyFill="1" applyBorder="1" applyAlignment="1">
      <alignment horizontal="center"/>
    </xf>
    <xf numFmtId="0" fontId="29" fillId="0" borderId="12" xfId="0" applyFont="1" applyFill="1" applyBorder="1" applyAlignment="1">
      <alignment horizontal="center"/>
    </xf>
    <xf numFmtId="3" fontId="29" fillId="0" borderId="12" xfId="0" applyNumberFormat="1" applyFont="1" applyFill="1" applyBorder="1" applyAlignment="1">
      <alignment horizontal="center" shrinkToFit="1"/>
    </xf>
    <xf numFmtId="164" fontId="29" fillId="0" borderId="12" xfId="0" applyNumberFormat="1" applyFont="1" applyFill="1" applyBorder="1" applyAlignment="1">
      <alignment horizontal="center"/>
    </xf>
    <xf numFmtId="166" fontId="29" fillId="0" borderId="12" xfId="0" applyNumberFormat="1" applyFont="1" applyFill="1" applyBorder="1" applyAlignment="1">
      <alignment horizontal="center"/>
    </xf>
    <xf numFmtId="1" fontId="26" fillId="0" borderId="12" xfId="0" applyNumberFormat="1" applyFont="1" applyFill="1" applyBorder="1" applyAlignment="1">
      <alignment horizontal="center"/>
    </xf>
    <xf numFmtId="0" fontId="29" fillId="0" borderId="11" xfId="0" applyFont="1" applyFill="1" applyBorder="1" applyAlignment="1">
      <alignment horizontal="left"/>
    </xf>
    <xf numFmtId="166" fontId="29" fillId="0" borderId="11" xfId="0" applyNumberFormat="1" applyFont="1" applyFill="1" applyBorder="1" applyAlignment="1">
      <alignment horizontal="center" shrinkToFit="1"/>
    </xf>
    <xf numFmtId="166" fontId="29" fillId="0" borderId="1" xfId="0" applyNumberFormat="1" applyFont="1" applyFill="1" applyBorder="1" applyAlignment="1">
      <alignment horizontal="center" shrinkToFit="1"/>
    </xf>
    <xf numFmtId="166" fontId="29" fillId="0" borderId="1" xfId="0" applyNumberFormat="1" applyFont="1" applyFill="1" applyBorder="1" applyAlignment="1">
      <alignment horizontal="center"/>
    </xf>
    <xf numFmtId="164" fontId="29" fillId="0" borderId="1" xfId="0" applyNumberFormat="1" applyFont="1" applyFill="1" applyBorder="1" applyAlignment="1">
      <alignment horizontal="center" shrinkToFit="1"/>
    </xf>
    <xf numFmtId="0" fontId="29" fillId="0" borderId="11" xfId="0" applyFont="1" applyFill="1" applyBorder="1" applyAlignment="1">
      <alignment horizontal="center"/>
    </xf>
    <xf numFmtId="164" fontId="82" fillId="0" borderId="1" xfId="0" applyNumberFormat="1" applyFont="1" applyFill="1" applyBorder="1" applyAlignment="1">
      <alignment horizontal="center"/>
    </xf>
    <xf numFmtId="1" fontId="29" fillId="0" borderId="1" xfId="0" applyNumberFormat="1" applyFont="1" applyFill="1" applyBorder="1" applyAlignment="1">
      <alignment horizontal="center" shrinkToFit="1"/>
    </xf>
    <xf numFmtId="0" fontId="29" fillId="3" borderId="29" xfId="0" applyFont="1" applyFill="1" applyBorder="1" applyAlignment="1"/>
    <xf numFmtId="0" fontId="29" fillId="0" borderId="32" xfId="0" applyFont="1" applyFill="1" applyBorder="1" applyAlignment="1">
      <alignment horizontal="center"/>
    </xf>
    <xf numFmtId="1" fontId="29" fillId="0" borderId="32" xfId="0" applyNumberFormat="1" applyFont="1" applyFill="1" applyBorder="1" applyAlignment="1">
      <alignment horizontal="center"/>
    </xf>
    <xf numFmtId="0" fontId="29" fillId="3" borderId="12" xfId="0" applyFont="1" applyFill="1" applyBorder="1" applyAlignment="1"/>
    <xf numFmtId="164" fontId="29" fillId="0" borderId="20" xfId="0" applyNumberFormat="1" applyFont="1" applyFill="1" applyBorder="1" applyAlignment="1">
      <alignment horizontal="center" shrinkToFit="1"/>
    </xf>
    <xf numFmtId="164" fontId="29" fillId="0" borderId="12" xfId="0" applyNumberFormat="1" applyFont="1" applyFill="1" applyBorder="1" applyAlignment="1">
      <alignment horizontal="center" shrinkToFit="1"/>
    </xf>
    <xf numFmtId="0" fontId="29" fillId="3" borderId="1" xfId="0" applyFont="1" applyFill="1" applyBorder="1" applyAlignment="1"/>
    <xf numFmtId="0" fontId="29" fillId="3" borderId="8" xfId="0" applyFont="1" applyFill="1" applyBorder="1" applyAlignment="1"/>
    <xf numFmtId="0" fontId="29" fillId="0" borderId="0" xfId="0" applyFont="1" applyFill="1" applyBorder="1" applyAlignment="1"/>
    <xf numFmtId="0" fontId="29" fillId="3" borderId="0" xfId="0" applyFont="1" applyFill="1" applyBorder="1" applyAlignment="1">
      <alignment horizontal="center" vertical="center"/>
    </xf>
    <xf numFmtId="0" fontId="29" fillId="10" borderId="5" xfId="0" applyFont="1" applyFill="1" applyBorder="1" applyAlignment="1">
      <alignment horizontal="center" vertical="center" wrapText="1"/>
    </xf>
    <xf numFmtId="0" fontId="29" fillId="10" borderId="6" xfId="0" applyFont="1" applyFill="1" applyBorder="1" applyAlignment="1">
      <alignment horizontal="center" vertical="center" wrapText="1"/>
    </xf>
    <xf numFmtId="0" fontId="29" fillId="10" borderId="38" xfId="0" applyFont="1" applyFill="1" applyBorder="1" applyAlignment="1">
      <alignment horizontal="center" vertical="center" wrapText="1"/>
    </xf>
    <xf numFmtId="0" fontId="29" fillId="0" borderId="0" xfId="0" applyFont="1" applyFill="1" applyAlignment="1">
      <alignment horizontal="center" vertical="center"/>
    </xf>
    <xf numFmtId="0" fontId="26" fillId="10" borderId="61" xfId="0" applyFont="1" applyFill="1" applyBorder="1" applyAlignment="1">
      <alignment horizontal="center" vertical="center" wrapText="1"/>
    </xf>
    <xf numFmtId="0" fontId="26" fillId="10" borderId="5" xfId="0" applyFont="1" applyFill="1" applyBorder="1" applyAlignment="1">
      <alignment horizontal="center" vertical="center" wrapText="1"/>
    </xf>
    <xf numFmtId="0" fontId="26" fillId="10" borderId="6" xfId="0" applyFont="1" applyFill="1" applyBorder="1" applyAlignment="1">
      <alignment horizontal="center" vertical="center" wrapText="1"/>
    </xf>
    <xf numFmtId="0" fontId="26" fillId="10" borderId="38" xfId="0" applyFont="1" applyFill="1" applyBorder="1" applyAlignment="1">
      <alignment horizontal="center" vertical="center" wrapText="1"/>
    </xf>
    <xf numFmtId="0" fontId="26" fillId="10" borderId="5" xfId="0" quotePrefix="1" applyFont="1" applyFill="1" applyBorder="1" applyAlignment="1">
      <alignment horizontal="center" vertical="center" wrapText="1"/>
    </xf>
    <xf numFmtId="0" fontId="26" fillId="10" borderId="6" xfId="0" quotePrefix="1" applyFont="1" applyFill="1" applyBorder="1" applyAlignment="1">
      <alignment horizontal="center" vertical="center" wrapText="1"/>
    </xf>
    <xf numFmtId="0" fontId="26" fillId="10" borderId="15" xfId="0" applyFont="1" applyFill="1" applyBorder="1" applyAlignment="1">
      <alignment horizontal="center" vertical="center" wrapText="1"/>
    </xf>
    <xf numFmtId="0" fontId="26" fillId="10" borderId="4" xfId="0" applyFont="1" applyFill="1" applyBorder="1" applyAlignment="1">
      <alignment horizontal="center" vertical="center" wrapText="1"/>
    </xf>
    <xf numFmtId="0" fontId="26" fillId="10" borderId="0" xfId="0" applyFont="1" applyFill="1" applyBorder="1" applyAlignment="1">
      <alignment horizontal="center" vertical="center" wrapText="1"/>
    </xf>
    <xf numFmtId="0" fontId="26" fillId="10" borderId="7" xfId="0" applyFont="1" applyFill="1" applyBorder="1" applyAlignment="1">
      <alignment horizontal="center" vertical="center" wrapText="1"/>
    </xf>
    <xf numFmtId="0" fontId="26" fillId="10" borderId="13" xfId="0" applyFont="1" applyFill="1" applyBorder="1" applyAlignment="1">
      <alignment horizontal="center" vertical="center" wrapText="1"/>
    </xf>
    <xf numFmtId="0" fontId="26" fillId="10" borderId="7" xfId="0" applyFont="1" applyFill="1" applyBorder="1" applyAlignment="1">
      <alignment horizontal="center" wrapText="1"/>
    </xf>
    <xf numFmtId="0" fontId="26" fillId="10" borderId="61" xfId="0" applyFont="1" applyFill="1" applyBorder="1" applyAlignment="1">
      <alignment horizontal="center" wrapText="1"/>
    </xf>
    <xf numFmtId="0" fontId="26" fillId="10" borderId="13" xfId="0" applyFont="1" applyFill="1" applyBorder="1" applyAlignment="1">
      <alignment horizontal="center" wrapText="1"/>
    </xf>
    <xf numFmtId="0" fontId="26" fillId="10" borderId="14" xfId="0" applyFont="1" applyFill="1" applyBorder="1" applyAlignment="1">
      <alignment horizontal="center" wrapText="1"/>
    </xf>
    <xf numFmtId="0" fontId="26" fillId="10" borderId="15" xfId="0" applyFont="1" applyFill="1" applyBorder="1" applyAlignment="1">
      <alignment horizontal="center" wrapText="1"/>
    </xf>
    <xf numFmtId="0" fontId="26" fillId="10" borderId="14" xfId="0" applyFont="1" applyFill="1" applyBorder="1" applyAlignment="1">
      <alignment horizontal="center"/>
    </xf>
    <xf numFmtId="0" fontId="26" fillId="10" borderId="15" xfId="0" applyFont="1" applyFill="1" applyBorder="1" applyAlignment="1">
      <alignment horizontal="center"/>
    </xf>
    <xf numFmtId="0" fontId="26" fillId="6" borderId="8" xfId="0" applyFont="1" applyFill="1" applyBorder="1" applyAlignment="1">
      <alignment horizontal="center"/>
    </xf>
    <xf numFmtId="0" fontId="26" fillId="6" borderId="4" xfId="0" applyFont="1" applyFill="1" applyBorder="1" applyAlignment="1">
      <alignment horizontal="center"/>
    </xf>
    <xf numFmtId="0" fontId="26" fillId="6" borderId="7" xfId="0" applyFont="1" applyFill="1" applyBorder="1" applyAlignment="1">
      <alignment horizontal="center"/>
    </xf>
    <xf numFmtId="0" fontId="26" fillId="7" borderId="4" xfId="0" applyFont="1" applyFill="1" applyBorder="1" applyAlignment="1">
      <alignment horizontal="center"/>
    </xf>
    <xf numFmtId="0" fontId="26" fillId="7" borderId="0" xfId="0" applyFont="1" applyFill="1" applyBorder="1" applyAlignment="1">
      <alignment horizontal="center"/>
    </xf>
    <xf numFmtId="0" fontId="26" fillId="7" borderId="7" xfId="0" applyFont="1" applyFill="1" applyBorder="1" applyAlignment="1">
      <alignment horizontal="center"/>
    </xf>
    <xf numFmtId="0" fontId="26" fillId="10" borderId="4" xfId="0" applyFont="1" applyFill="1" applyBorder="1" applyAlignment="1">
      <alignment horizontal="center" wrapText="1"/>
    </xf>
    <xf numFmtId="0" fontId="26" fillId="10" borderId="0" xfId="0" applyFont="1" applyFill="1" applyBorder="1" applyAlignment="1">
      <alignment horizontal="center" wrapText="1"/>
    </xf>
    <xf numFmtId="0" fontId="29" fillId="3" borderId="0" xfId="0" applyFont="1" applyFill="1" applyBorder="1" applyAlignment="1">
      <alignment horizontal="left" vertical="center" wrapText="1"/>
    </xf>
    <xf numFmtId="0" fontId="26" fillId="3" borderId="0" xfId="0" applyFont="1" applyFill="1" applyBorder="1" applyAlignment="1">
      <alignment horizontal="center"/>
    </xf>
    <xf numFmtId="0" fontId="95" fillId="3" borderId="0" xfId="0" applyFont="1" applyFill="1" applyBorder="1" applyAlignment="1">
      <alignment horizontal="left" vertical="center" wrapText="1"/>
    </xf>
    <xf numFmtId="0" fontId="95" fillId="3" borderId="0" xfId="0" applyFont="1" applyFill="1" applyBorder="1" applyAlignment="1">
      <alignment horizontal="left" vertical="center"/>
    </xf>
    <xf numFmtId="0" fontId="0" fillId="0" borderId="1" xfId="0" applyBorder="1"/>
    <xf numFmtId="0" fontId="0" fillId="0" borderId="1" xfId="0" applyBorder="1" applyAlignment="1">
      <alignment horizontal="left"/>
    </xf>
    <xf numFmtId="0" fontId="29" fillId="3" borderId="2" xfId="0" applyFont="1" applyFill="1" applyBorder="1" applyAlignment="1">
      <alignment horizontal="left"/>
    </xf>
    <xf numFmtId="3" fontId="26" fillId="3" borderId="0" xfId="0" applyNumberFormat="1" applyFont="1" applyFill="1" applyBorder="1" applyAlignment="1">
      <alignment horizontal="left"/>
    </xf>
    <xf numFmtId="0" fontId="29" fillId="2" borderId="5" xfId="0" applyFont="1" applyFill="1" applyBorder="1" applyAlignment="1">
      <alignment horizontal="center"/>
    </xf>
    <xf numFmtId="0" fontId="29" fillId="2" borderId="6" xfId="0" applyFont="1" applyFill="1" applyBorder="1" applyAlignment="1">
      <alignment horizontal="center"/>
    </xf>
    <xf numFmtId="0" fontId="29" fillId="6" borderId="10" xfId="0" quotePrefix="1" applyFont="1" applyFill="1" applyBorder="1" applyAlignment="1">
      <alignment horizontal="center" vertical="center"/>
    </xf>
    <xf numFmtId="0" fontId="29" fillId="6" borderId="10" xfId="0" applyFont="1" applyFill="1" applyBorder="1" applyAlignment="1">
      <alignment horizontal="center" vertical="center"/>
    </xf>
    <xf numFmtId="0" fontId="29" fillId="6" borderId="17" xfId="0" applyFont="1" applyFill="1" applyBorder="1" applyAlignment="1">
      <alignment horizontal="center" vertical="center"/>
    </xf>
    <xf numFmtId="0" fontId="29" fillId="10" borderId="61" xfId="0" applyFont="1" applyFill="1" applyBorder="1" applyAlignment="1">
      <alignment horizontal="center" vertical="center"/>
    </xf>
    <xf numFmtId="0" fontId="29" fillId="2" borderId="38" xfId="0" applyFont="1" applyFill="1" applyBorder="1" applyAlignment="1">
      <alignment horizontal="center"/>
    </xf>
    <xf numFmtId="0" fontId="26" fillId="18" borderId="4" xfId="0" applyFont="1" applyFill="1" applyBorder="1"/>
    <xf numFmtId="0" fontId="26" fillId="18" borderId="0" xfId="0" applyFont="1" applyFill="1" applyBorder="1"/>
    <xf numFmtId="0" fontId="26" fillId="18" borderId="7" xfId="0" applyFont="1" applyFill="1" applyBorder="1"/>
    <xf numFmtId="0" fontId="46" fillId="4" borderId="0" xfId="0" applyFont="1" applyFill="1" applyBorder="1"/>
    <xf numFmtId="0" fontId="96" fillId="3" borderId="0" xfId="0" applyFont="1" applyFill="1" applyBorder="1"/>
    <xf numFmtId="0" fontId="97" fillId="3" borderId="0" xfId="0" applyFont="1" applyFill="1" applyBorder="1"/>
    <xf numFmtId="0" fontId="26" fillId="3" borderId="0" xfId="0" applyFont="1" applyFill="1" applyBorder="1" applyAlignment="1">
      <alignment vertical="center"/>
    </xf>
    <xf numFmtId="0" fontId="26" fillId="3" borderId="0" xfId="0" applyFont="1" applyFill="1" applyBorder="1" applyAlignment="1">
      <alignment horizontal="center" vertical="center"/>
    </xf>
    <xf numFmtId="0" fontId="29" fillId="3" borderId="0" xfId="0" applyFont="1" applyFill="1" applyBorder="1" applyAlignment="1"/>
    <xf numFmtId="0" fontId="46" fillId="10" borderId="0" xfId="0" applyFont="1" applyFill="1" applyBorder="1" applyAlignment="1">
      <alignment horizontal="center"/>
    </xf>
    <xf numFmtId="0" fontId="46" fillId="10" borderId="7" xfId="0" applyFont="1" applyFill="1" applyBorder="1" applyAlignment="1">
      <alignment horizontal="center"/>
    </xf>
    <xf numFmtId="0" fontId="46" fillId="18" borderId="4" xfId="0" applyFont="1" applyFill="1" applyBorder="1" applyAlignment="1">
      <alignment horizontal="left" vertical="top" wrapText="1"/>
    </xf>
    <xf numFmtId="0" fontId="46" fillId="18" borderId="0" xfId="0" applyFont="1" applyFill="1" applyBorder="1" applyAlignment="1">
      <alignment horizontal="left" vertical="top" wrapText="1"/>
    </xf>
    <xf numFmtId="0" fontId="46" fillId="18" borderId="7" xfId="0" applyFont="1" applyFill="1" applyBorder="1" applyAlignment="1">
      <alignment horizontal="left" vertical="top" wrapText="1"/>
    </xf>
    <xf numFmtId="0" fontId="46" fillId="10" borderId="61" xfId="0" applyFont="1" applyFill="1" applyBorder="1" applyAlignment="1">
      <alignment horizontal="center" vertical="center" wrapText="1"/>
    </xf>
    <xf numFmtId="0" fontId="46" fillId="10" borderId="5" xfId="0" applyFont="1" applyFill="1" applyBorder="1" applyAlignment="1">
      <alignment horizontal="center" vertical="center" wrapText="1"/>
    </xf>
    <xf numFmtId="0" fontId="46" fillId="10" borderId="6" xfId="0" applyFont="1" applyFill="1" applyBorder="1" applyAlignment="1">
      <alignment horizontal="center" vertical="center" wrapText="1"/>
    </xf>
    <xf numFmtId="0" fontId="46" fillId="10" borderId="38" xfId="0" applyFont="1" applyFill="1" applyBorder="1" applyAlignment="1">
      <alignment horizontal="center" vertical="center" wrapText="1"/>
    </xf>
    <xf numFmtId="0" fontId="46" fillId="10" borderId="5" xfId="0" quotePrefix="1" applyFont="1" applyFill="1" applyBorder="1" applyAlignment="1">
      <alignment horizontal="center" vertical="center" wrapText="1"/>
    </xf>
    <xf numFmtId="0" fontId="46" fillId="10" borderId="6" xfId="0" quotePrefix="1" applyFont="1" applyFill="1" applyBorder="1" applyAlignment="1">
      <alignment horizontal="center" vertical="center" wrapText="1"/>
    </xf>
    <xf numFmtId="0" fontId="31" fillId="10" borderId="5" xfId="0" applyFont="1" applyFill="1" applyBorder="1" applyAlignment="1">
      <alignment horizontal="center" vertical="center" wrapText="1"/>
    </xf>
    <xf numFmtId="0" fontId="31" fillId="10" borderId="6" xfId="0" applyFont="1" applyFill="1" applyBorder="1" applyAlignment="1">
      <alignment horizontal="center" vertical="center" wrapText="1"/>
    </xf>
    <xf numFmtId="0" fontId="31" fillId="10" borderId="38" xfId="0" applyFont="1" applyFill="1" applyBorder="1" applyAlignment="1">
      <alignment horizontal="center" vertical="center" wrapText="1"/>
    </xf>
    <xf numFmtId="0" fontId="46" fillId="10" borderId="14" xfId="0" applyFont="1" applyFill="1" applyBorder="1" applyAlignment="1">
      <alignment horizontal="center" vertical="center" wrapText="1"/>
    </xf>
    <xf numFmtId="0" fontId="46" fillId="10" borderId="15" xfId="0" applyFont="1" applyFill="1" applyBorder="1" applyAlignment="1">
      <alignment horizontal="center" vertical="center" wrapText="1"/>
    </xf>
    <xf numFmtId="0" fontId="46" fillId="10" borderId="4" xfId="0" applyFont="1" applyFill="1" applyBorder="1" applyAlignment="1">
      <alignment horizontal="center" vertical="center" wrapText="1"/>
    </xf>
    <xf numFmtId="0" fontId="46" fillId="10" borderId="0" xfId="0" applyFont="1" applyFill="1" applyBorder="1" applyAlignment="1">
      <alignment horizontal="center" vertical="center" wrapText="1"/>
    </xf>
    <xf numFmtId="0" fontId="46" fillId="10" borderId="7" xfId="0" applyFont="1" applyFill="1" applyBorder="1" applyAlignment="1">
      <alignment horizontal="center" vertical="center" wrapText="1"/>
    </xf>
    <xf numFmtId="0" fontId="46" fillId="10" borderId="13" xfId="0" applyFont="1" applyFill="1" applyBorder="1" applyAlignment="1">
      <alignment horizontal="center" vertical="center" wrapText="1"/>
    </xf>
    <xf numFmtId="0" fontId="46" fillId="18" borderId="4" xfId="0" applyFont="1" applyFill="1" applyBorder="1"/>
    <xf numFmtId="0" fontId="46" fillId="18" borderId="0" xfId="0" applyFont="1" applyFill="1" applyBorder="1"/>
    <xf numFmtId="0" fontId="46" fillId="18" borderId="7" xfId="0" applyFont="1" applyFill="1" applyBorder="1"/>
    <xf numFmtId="0" fontId="46" fillId="10" borderId="4" xfId="0" applyFont="1" applyFill="1" applyBorder="1" applyAlignment="1">
      <alignment horizontal="center"/>
    </xf>
    <xf numFmtId="0" fontId="46" fillId="10" borderId="7" xfId="0" applyFont="1" applyFill="1" applyBorder="1" applyAlignment="1">
      <alignment horizontal="center" wrapText="1"/>
    </xf>
    <xf numFmtId="0" fontId="46" fillId="10" borderId="61" xfId="0" applyFont="1" applyFill="1" applyBorder="1" applyAlignment="1">
      <alignment horizontal="center" wrapText="1"/>
    </xf>
    <xf numFmtId="0" fontId="46" fillId="10" borderId="13" xfId="0" applyFont="1" applyFill="1" applyBorder="1" applyAlignment="1">
      <alignment horizontal="center" wrapText="1"/>
    </xf>
    <xf numFmtId="0" fontId="46" fillId="10" borderId="14" xfId="0" applyFont="1" applyFill="1" applyBorder="1" applyAlignment="1">
      <alignment horizontal="center" wrapText="1"/>
    </xf>
    <xf numFmtId="0" fontId="46" fillId="10" borderId="15" xfId="0" applyFont="1" applyFill="1" applyBorder="1" applyAlignment="1">
      <alignment horizontal="center" wrapText="1"/>
    </xf>
    <xf numFmtId="0" fontId="46" fillId="10" borderId="14" xfId="0" applyFont="1" applyFill="1" applyBorder="1" applyAlignment="1">
      <alignment horizontal="center"/>
    </xf>
    <xf numFmtId="0" fontId="46" fillId="10" borderId="15" xfId="0" applyFont="1" applyFill="1" applyBorder="1" applyAlignment="1">
      <alignment horizontal="center"/>
    </xf>
    <xf numFmtId="0" fontId="46" fillId="6" borderId="0" xfId="0" applyFont="1" applyFill="1" applyBorder="1" applyAlignment="1">
      <alignment horizontal="center"/>
    </xf>
    <xf numFmtId="0" fontId="46" fillId="6" borderId="8" xfId="0" applyFont="1" applyFill="1" applyBorder="1" applyAlignment="1">
      <alignment horizontal="center"/>
    </xf>
    <xf numFmtId="0" fontId="29" fillId="11" borderId="0" xfId="0" applyFont="1" applyFill="1" applyBorder="1" applyAlignment="1">
      <alignment horizontal="center"/>
    </xf>
    <xf numFmtId="0" fontId="29" fillId="11" borderId="7" xfId="0" applyFont="1" applyFill="1" applyBorder="1" applyAlignment="1">
      <alignment horizontal="center"/>
    </xf>
    <xf numFmtId="0" fontId="29" fillId="9" borderId="0" xfId="0" applyFont="1" applyFill="1" applyBorder="1" applyAlignment="1">
      <alignment horizontal="center"/>
    </xf>
    <xf numFmtId="0" fontId="29" fillId="9" borderId="7" xfId="0" applyFont="1" applyFill="1" applyBorder="1" applyAlignment="1">
      <alignment horizontal="center"/>
    </xf>
    <xf numFmtId="0" fontId="29" fillId="6" borderId="4" xfId="0" quotePrefix="1" applyFont="1" applyFill="1" applyBorder="1" applyAlignment="1">
      <alignment horizontal="center"/>
    </xf>
    <xf numFmtId="0" fontId="29" fillId="6" borderId="8" xfId="0" quotePrefix="1" applyFont="1" applyFill="1" applyBorder="1" applyAlignment="1">
      <alignment horizontal="center"/>
    </xf>
    <xf numFmtId="0" fontId="29" fillId="6" borderId="0" xfId="0" quotePrefix="1" applyFont="1" applyFill="1" applyBorder="1" applyAlignment="1">
      <alignment horizontal="center"/>
    </xf>
    <xf numFmtId="0" fontId="29" fillId="6" borderId="39" xfId="0" quotePrefix="1" applyFont="1" applyFill="1" applyBorder="1" applyAlignment="1">
      <alignment horizontal="center"/>
    </xf>
    <xf numFmtId="0" fontId="29" fillId="6" borderId="2" xfId="0" quotePrefix="1" applyFont="1" applyFill="1" applyBorder="1" applyAlignment="1">
      <alignment horizontal="center"/>
    </xf>
    <xf numFmtId="0" fontId="29" fillId="6" borderId="20" xfId="0" quotePrefix="1" applyFont="1" applyFill="1" applyBorder="1" applyAlignment="1">
      <alignment horizontal="center"/>
    </xf>
    <xf numFmtId="0" fontId="29" fillId="6" borderId="9" xfId="0" quotePrefix="1" applyFont="1" applyFill="1" applyBorder="1" applyAlignment="1">
      <alignment horizontal="center"/>
    </xf>
    <xf numFmtId="0" fontId="29" fillId="6" borderId="7" xfId="0" quotePrefix="1" applyFont="1" applyFill="1" applyBorder="1" applyAlignment="1">
      <alignment horizontal="center"/>
    </xf>
    <xf numFmtId="0" fontId="29" fillId="6" borderId="69" xfId="0" quotePrefix="1" applyFont="1" applyFill="1" applyBorder="1" applyAlignment="1">
      <alignment horizontal="center"/>
    </xf>
    <xf numFmtId="164" fontId="26" fillId="3" borderId="0" xfId="0" applyNumberFormat="1" applyFont="1" applyFill="1" applyBorder="1" applyAlignment="1">
      <alignment horizontal="center"/>
    </xf>
    <xf numFmtId="1" fontId="26" fillId="3" borderId="0" xfId="0" applyNumberFormat="1" applyFont="1" applyFill="1" applyBorder="1" applyAlignment="1">
      <alignment horizontal="center"/>
    </xf>
    <xf numFmtId="0" fontId="29" fillId="6" borderId="3" xfId="0" quotePrefix="1" applyFont="1" applyFill="1" applyBorder="1" applyAlignment="1">
      <alignment horizontal="center"/>
    </xf>
    <xf numFmtId="0" fontId="29" fillId="6" borderId="21" xfId="0" quotePrefix="1" applyFont="1" applyFill="1" applyBorder="1" applyAlignment="1">
      <alignment horizontal="center"/>
    </xf>
    <xf numFmtId="3" fontId="26" fillId="2" borderId="27" xfId="0" applyNumberFormat="1" applyFont="1" applyFill="1" applyBorder="1" applyAlignment="1">
      <alignment horizontal="center"/>
    </xf>
    <xf numFmtId="3" fontId="26" fillId="2" borderId="30" xfId="0" applyNumberFormat="1" applyFont="1" applyFill="1" applyBorder="1" applyAlignment="1">
      <alignment horizontal="center"/>
    </xf>
    <xf numFmtId="0" fontId="26" fillId="3" borderId="0" xfId="0" applyFont="1" applyFill="1" applyBorder="1" applyAlignment="1"/>
    <xf numFmtId="0" fontId="26" fillId="3" borderId="0" xfId="0" applyFont="1" applyFill="1" applyBorder="1" applyAlignment="1">
      <alignment horizontal="center"/>
    </xf>
    <xf numFmtId="0" fontId="26" fillId="3" borderId="13" xfId="0" applyFont="1" applyFill="1" applyBorder="1" applyAlignment="1">
      <alignment horizontal="left" vertical="center" wrapText="1"/>
    </xf>
    <xf numFmtId="0" fontId="26" fillId="3" borderId="4" xfId="0" applyFont="1" applyFill="1" applyBorder="1" applyAlignment="1">
      <alignment horizontal="left" vertical="center" wrapText="1"/>
    </xf>
    <xf numFmtId="0" fontId="26" fillId="3" borderId="16" xfId="0" applyFont="1" applyFill="1" applyBorder="1" applyAlignment="1">
      <alignment horizontal="left" vertical="center" wrapText="1"/>
    </xf>
    <xf numFmtId="0" fontId="26" fillId="3" borderId="13" xfId="0" applyFont="1" applyFill="1" applyBorder="1" applyAlignment="1">
      <alignment vertical="top" wrapText="1"/>
    </xf>
    <xf numFmtId="0" fontId="26" fillId="3" borderId="4" xfId="0" applyFont="1" applyFill="1" applyBorder="1" applyAlignment="1">
      <alignment vertical="top" wrapText="1"/>
    </xf>
    <xf numFmtId="0" fontId="26" fillId="3" borderId="16" xfId="0" applyFont="1" applyFill="1" applyBorder="1" applyAlignment="1">
      <alignment vertical="top" wrapText="1"/>
    </xf>
    <xf numFmtId="0" fontId="55" fillId="3" borderId="9" xfId="0" applyFont="1" applyFill="1" applyBorder="1" applyAlignment="1">
      <alignment horizontal="center" vertical="center" wrapText="1"/>
    </xf>
    <xf numFmtId="0" fontId="55" fillId="3" borderId="8" xfId="0" applyFont="1" applyFill="1" applyBorder="1" applyAlignment="1">
      <alignment horizontal="center" vertical="center" wrapText="1"/>
    </xf>
    <xf numFmtId="0" fontId="55" fillId="3" borderId="0" xfId="0" applyFont="1" applyFill="1" applyBorder="1" applyAlignment="1">
      <alignment vertical="center"/>
    </xf>
    <xf numFmtId="0" fontId="55" fillId="3" borderId="7" xfId="0" applyFont="1" applyFill="1" applyBorder="1" applyAlignment="1">
      <alignment vertical="center"/>
    </xf>
    <xf numFmtId="0" fontId="26" fillId="3" borderId="23" xfId="0" applyFont="1" applyFill="1" applyBorder="1"/>
    <xf numFmtId="0" fontId="26" fillId="3" borderId="28" xfId="0" applyFont="1" applyFill="1" applyBorder="1"/>
    <xf numFmtId="0" fontId="26" fillId="3" borderId="24" xfId="0" applyFont="1" applyFill="1" applyBorder="1" applyAlignment="1">
      <alignment horizontal="center"/>
    </xf>
    <xf numFmtId="0" fontId="26" fillId="3" borderId="25" xfId="0" applyFont="1" applyFill="1" applyBorder="1" applyAlignment="1">
      <alignment horizontal="center"/>
    </xf>
    <xf numFmtId="0" fontId="26" fillId="3" borderId="0" xfId="0" quotePrefix="1" applyFont="1" applyFill="1" applyBorder="1" applyAlignment="1">
      <alignment horizontal="center"/>
    </xf>
    <xf numFmtId="0" fontId="26" fillId="3" borderId="1" xfId="0" applyFont="1" applyFill="1" applyBorder="1" applyAlignment="1">
      <alignment horizontal="center"/>
    </xf>
    <xf numFmtId="0" fontId="40" fillId="3" borderId="0" xfId="0" applyFont="1" applyFill="1" applyBorder="1" applyAlignment="1">
      <alignment horizontal="left" vertical="center" wrapText="1"/>
    </xf>
    <xf numFmtId="2" fontId="26" fillId="3" borderId="24" xfId="0" applyNumberFormat="1" applyFont="1" applyFill="1" applyBorder="1" applyAlignment="1">
      <alignment horizontal="center"/>
    </xf>
    <xf numFmtId="2" fontId="26" fillId="3" borderId="25" xfId="0" applyNumberFormat="1" applyFont="1" applyFill="1" applyBorder="1" applyAlignment="1">
      <alignment horizontal="center"/>
    </xf>
    <xf numFmtId="2" fontId="26" fillId="3" borderId="27" xfId="0" applyNumberFormat="1" applyFont="1" applyFill="1" applyBorder="1" applyAlignment="1">
      <alignment horizontal="center"/>
    </xf>
    <xf numFmtId="2" fontId="26" fillId="3" borderId="30" xfId="0" applyNumberFormat="1" applyFont="1" applyFill="1" applyBorder="1" applyAlignment="1">
      <alignment horizontal="center"/>
    </xf>
    <xf numFmtId="0" fontId="46" fillId="3" borderId="0" xfId="0" quotePrefix="1" applyFont="1" applyFill="1" applyBorder="1" applyAlignment="1">
      <alignment horizontal="center"/>
    </xf>
    <xf numFmtId="0" fontId="26" fillId="2" borderId="10" xfId="0" applyFont="1" applyFill="1" applyBorder="1" applyAlignment="1">
      <alignment horizontal="center"/>
    </xf>
    <xf numFmtId="0" fontId="26" fillId="3" borderId="0" xfId="0" applyFont="1" applyFill="1" applyBorder="1" applyAlignment="1">
      <alignment horizontal="center"/>
    </xf>
    <xf numFmtId="0" fontId="26" fillId="3" borderId="1" xfId="0" applyFont="1" applyFill="1" applyBorder="1" applyAlignment="1">
      <alignment horizontal="center"/>
    </xf>
    <xf numFmtId="0" fontId="29" fillId="10" borderId="16" xfId="0" applyFont="1" applyFill="1" applyBorder="1" applyAlignment="1">
      <alignment horizontal="center" vertical="center"/>
    </xf>
    <xf numFmtId="0" fontId="29" fillId="10" borderId="10" xfId="0" applyFont="1" applyFill="1" applyBorder="1" applyAlignment="1">
      <alignment horizontal="center" vertical="center"/>
    </xf>
    <xf numFmtId="0" fontId="29" fillId="10" borderId="17" xfId="0" applyFont="1" applyFill="1" applyBorder="1" applyAlignment="1">
      <alignment horizontal="center" vertical="center"/>
    </xf>
    <xf numFmtId="0" fontId="29" fillId="7" borderId="16" xfId="0" applyFont="1" applyFill="1" applyBorder="1" applyAlignment="1">
      <alignment horizontal="center" vertical="center"/>
    </xf>
    <xf numFmtId="0" fontId="29" fillId="7" borderId="10" xfId="0" applyFont="1" applyFill="1" applyBorder="1" applyAlignment="1">
      <alignment horizontal="center" vertical="center"/>
    </xf>
    <xf numFmtId="0" fontId="29" fillId="7" borderId="17" xfId="0" applyFont="1" applyFill="1" applyBorder="1" applyAlignment="1">
      <alignment horizontal="center" vertical="center"/>
    </xf>
    <xf numFmtId="0" fontId="29" fillId="10" borderId="4" xfId="0" applyFont="1" applyFill="1" applyBorder="1" applyAlignment="1">
      <alignment horizontal="center" vertical="center"/>
    </xf>
    <xf numFmtId="0" fontId="29" fillId="10" borderId="0" xfId="0" applyFont="1" applyFill="1" applyBorder="1" applyAlignment="1">
      <alignment horizontal="center" vertical="center"/>
    </xf>
    <xf numFmtId="0" fontId="29" fillId="10" borderId="7" xfId="0" applyFont="1" applyFill="1" applyBorder="1" applyAlignment="1">
      <alignment horizontal="center" vertical="center"/>
    </xf>
    <xf numFmtId="0" fontId="26" fillId="10" borderId="0" xfId="0" applyFont="1" applyFill="1" applyBorder="1" applyAlignment="1">
      <alignment horizontal="center" vertical="center"/>
    </xf>
    <xf numFmtId="0" fontId="26" fillId="10" borderId="7" xfId="0" applyFont="1" applyFill="1" applyBorder="1" applyAlignment="1">
      <alignment horizontal="center" vertical="center"/>
    </xf>
    <xf numFmtId="0" fontId="26" fillId="10" borderId="10" xfId="0" applyFont="1" applyFill="1" applyBorder="1" applyAlignment="1">
      <alignment horizontal="center" vertical="center"/>
    </xf>
    <xf numFmtId="0" fontId="26" fillId="10" borderId="17" xfId="0" applyFont="1" applyFill="1" applyBorder="1" applyAlignment="1">
      <alignment horizontal="center" vertical="center"/>
    </xf>
    <xf numFmtId="0" fontId="29" fillId="10" borderId="16" xfId="0" applyFont="1" applyFill="1" applyBorder="1" applyAlignment="1">
      <alignment horizontal="center" vertical="center" wrapText="1"/>
    </xf>
    <xf numFmtId="0" fontId="29" fillId="10" borderId="10" xfId="0" applyFont="1" applyFill="1" applyBorder="1" applyAlignment="1">
      <alignment horizontal="center" vertical="center" wrapText="1"/>
    </xf>
    <xf numFmtId="0" fontId="29" fillId="10" borderId="17" xfId="0" applyFont="1" applyFill="1" applyBorder="1" applyAlignment="1">
      <alignment horizontal="center" vertical="center" wrapText="1"/>
    </xf>
    <xf numFmtId="0" fontId="26" fillId="3" borderId="0" xfId="0" applyFont="1" applyFill="1" applyBorder="1" applyAlignment="1">
      <alignment horizontal="center"/>
    </xf>
    <xf numFmtId="0" fontId="95" fillId="3" borderId="0" xfId="0" applyFont="1" applyFill="1" applyBorder="1" applyAlignment="1">
      <alignment horizontal="left" vertical="center" wrapText="1"/>
    </xf>
    <xf numFmtId="0" fontId="26" fillId="3" borderId="1" xfId="0" applyFont="1" applyFill="1" applyBorder="1" applyAlignment="1">
      <alignment horizontal="center"/>
    </xf>
    <xf numFmtId="0" fontId="26" fillId="2" borderId="16" xfId="0" applyFont="1" applyFill="1" applyBorder="1" applyAlignment="1">
      <alignment horizontal="center"/>
    </xf>
    <xf numFmtId="0" fontId="26" fillId="2" borderId="6" xfId="0" applyFont="1" applyFill="1" applyBorder="1" applyAlignment="1">
      <alignment horizontal="center"/>
    </xf>
    <xf numFmtId="0" fontId="26" fillId="2" borderId="38" xfId="0" applyFont="1" applyFill="1" applyBorder="1" applyAlignment="1">
      <alignment horizontal="center"/>
    </xf>
    <xf numFmtId="2" fontId="26" fillId="3" borderId="0" xfId="0" applyNumberFormat="1" applyFont="1" applyFill="1" applyBorder="1" applyAlignment="1">
      <alignment horizontal="center"/>
    </xf>
    <xf numFmtId="0" fontId="46" fillId="5" borderId="0" xfId="0" quotePrefix="1" applyFont="1" applyFill="1" applyBorder="1" applyAlignment="1">
      <alignment horizontal="center"/>
    </xf>
    <xf numFmtId="0" fontId="46" fillId="2" borderId="1" xfId="0" applyFont="1" applyFill="1" applyBorder="1" applyAlignment="1">
      <alignment horizontal="center"/>
    </xf>
    <xf numFmtId="0" fontId="46" fillId="5" borderId="0" xfId="0" applyFont="1" applyFill="1" applyBorder="1" applyAlignment="1">
      <alignment horizontal="center"/>
    </xf>
    <xf numFmtId="0" fontId="46" fillId="3" borderId="9" xfId="0" applyFont="1" applyFill="1" applyBorder="1" applyAlignment="1">
      <alignment horizontal="center"/>
    </xf>
    <xf numFmtId="0" fontId="46" fillId="3" borderId="9" xfId="0" applyFont="1" applyFill="1" applyBorder="1"/>
    <xf numFmtId="0" fontId="29" fillId="2" borderId="1" xfId="0" applyFont="1" applyFill="1" applyBorder="1"/>
    <xf numFmtId="164" fontId="29" fillId="5" borderId="1" xfId="0" applyNumberFormat="1" applyFont="1" applyFill="1" applyBorder="1" applyAlignment="1">
      <alignment horizontal="center"/>
    </xf>
    <xf numFmtId="0" fontId="46" fillId="5" borderId="0" xfId="0" applyFont="1" applyFill="1" applyBorder="1"/>
    <xf numFmtId="3" fontId="26" fillId="3" borderId="0" xfId="0" applyNumberFormat="1" applyFont="1" applyFill="1" applyBorder="1" applyAlignment="1">
      <alignment horizontal="center" wrapText="1"/>
    </xf>
    <xf numFmtId="3" fontId="26" fillId="0" borderId="12" xfId="0" applyNumberFormat="1" applyFont="1" applyBorder="1" applyAlignment="1">
      <alignment horizontal="center" wrapText="1"/>
    </xf>
    <xf numFmtId="3" fontId="26" fillId="0" borderId="12" xfId="0" applyNumberFormat="1" applyFont="1" applyBorder="1" applyAlignment="1">
      <alignment horizontal="center" vertical="center" wrapText="1"/>
    </xf>
    <xf numFmtId="0" fontId="9" fillId="6" borderId="1" xfId="0" applyFont="1" applyFill="1" applyBorder="1" applyAlignment="1">
      <alignment horizontal="left"/>
    </xf>
    <xf numFmtId="0" fontId="26" fillId="2" borderId="52" xfId="0" applyFont="1" applyFill="1" applyBorder="1" applyAlignment="1">
      <alignment horizontal="center"/>
    </xf>
    <xf numFmtId="0" fontId="26" fillId="2" borderId="31" xfId="0" applyFont="1" applyFill="1" applyBorder="1" applyAlignment="1">
      <alignment horizontal="center"/>
    </xf>
    <xf numFmtId="0" fontId="26" fillId="2" borderId="24" xfId="0" applyFont="1" applyFill="1" applyBorder="1" applyAlignment="1">
      <alignment horizontal="center"/>
    </xf>
    <xf numFmtId="0" fontId="9" fillId="6" borderId="47" xfId="0" applyFont="1" applyFill="1" applyBorder="1" applyAlignment="1">
      <alignment horizontal="center"/>
    </xf>
    <xf numFmtId="0" fontId="9" fillId="6" borderId="6" xfId="0" applyFont="1" applyFill="1" applyBorder="1" applyAlignment="1">
      <alignment horizontal="center"/>
    </xf>
    <xf numFmtId="0" fontId="9" fillId="6" borderId="65" xfId="0" applyFont="1" applyFill="1" applyBorder="1" applyAlignment="1">
      <alignment horizontal="center"/>
    </xf>
    <xf numFmtId="0" fontId="9" fillId="6" borderId="40" xfId="0" quotePrefix="1" applyFont="1" applyFill="1" applyBorder="1" applyAlignment="1">
      <alignment horizontal="left"/>
    </xf>
    <xf numFmtId="0" fontId="9" fillId="6" borderId="11" xfId="0" quotePrefix="1" applyFont="1" applyFill="1" applyBorder="1" applyAlignment="1">
      <alignment horizontal="left"/>
    </xf>
    <xf numFmtId="0" fontId="26" fillId="6" borderId="40" xfId="0" applyFont="1" applyFill="1" applyBorder="1" applyAlignment="1">
      <alignment horizontal="left"/>
    </xf>
    <xf numFmtId="0" fontId="26" fillId="6" borderId="41" xfId="0" applyFont="1" applyFill="1" applyBorder="1" applyAlignment="1">
      <alignment horizontal="left"/>
    </xf>
    <xf numFmtId="0" fontId="26" fillId="6" borderId="11" xfId="0" applyFont="1" applyFill="1" applyBorder="1" applyAlignment="1">
      <alignment horizontal="left"/>
    </xf>
    <xf numFmtId="0" fontId="26" fillId="6" borderId="53" xfId="0" applyFont="1" applyFill="1" applyBorder="1" applyAlignment="1">
      <alignment horizontal="left"/>
    </xf>
    <xf numFmtId="0" fontId="26" fillId="6" borderId="37" xfId="0" applyFont="1" applyFill="1" applyBorder="1" applyAlignment="1">
      <alignment horizontal="left"/>
    </xf>
    <xf numFmtId="0" fontId="26" fillId="6" borderId="32" xfId="0" applyFont="1" applyFill="1" applyBorder="1" applyAlignment="1">
      <alignment horizontal="left"/>
    </xf>
    <xf numFmtId="0" fontId="26" fillId="6" borderId="47" xfId="0" applyFont="1" applyFill="1" applyBorder="1" applyAlignment="1">
      <alignment horizontal="left"/>
    </xf>
    <xf numFmtId="0" fontId="26" fillId="6" borderId="6" xfId="0" applyFont="1" applyFill="1" applyBorder="1" applyAlignment="1">
      <alignment horizontal="left"/>
    </xf>
    <xf numFmtId="0" fontId="26" fillId="6" borderId="65" xfId="0" applyFont="1" applyFill="1" applyBorder="1" applyAlignment="1">
      <alignment horizontal="left"/>
    </xf>
    <xf numFmtId="0" fontId="26" fillId="3" borderId="0" xfId="0" applyFont="1" applyFill="1" applyBorder="1" applyAlignment="1">
      <alignment horizontal="center" wrapText="1"/>
    </xf>
    <xf numFmtId="0" fontId="42" fillId="3" borderId="14" xfId="0" applyFont="1" applyFill="1" applyBorder="1" applyAlignment="1">
      <alignment horizontal="center" wrapText="1"/>
    </xf>
    <xf numFmtId="0" fontId="42" fillId="3" borderId="2" xfId="0" applyFont="1" applyFill="1" applyBorder="1" applyAlignment="1">
      <alignment horizontal="center" wrapText="1"/>
    </xf>
    <xf numFmtId="0" fontId="26" fillId="3" borderId="0" xfId="0" applyFont="1" applyFill="1" applyBorder="1" applyAlignment="1">
      <alignment horizontal="center" vertical="center" wrapText="1"/>
    </xf>
    <xf numFmtId="0" fontId="26" fillId="3" borderId="2" xfId="0" applyFont="1" applyFill="1" applyBorder="1" applyAlignment="1">
      <alignment horizontal="center" vertical="center" wrapText="1"/>
    </xf>
    <xf numFmtId="0" fontId="26" fillId="3" borderId="2" xfId="0" applyFont="1" applyFill="1" applyBorder="1" applyAlignment="1">
      <alignment horizontal="center" wrapText="1"/>
    </xf>
    <xf numFmtId="0" fontId="29" fillId="3" borderId="0" xfId="0" applyFont="1" applyFill="1" applyBorder="1" applyAlignment="1">
      <alignment horizontal="center" wrapText="1"/>
    </xf>
    <xf numFmtId="0" fontId="29" fillId="3" borderId="2" xfId="0" applyFont="1" applyFill="1" applyBorder="1" applyAlignment="1">
      <alignment horizontal="center" wrapText="1"/>
    </xf>
    <xf numFmtId="0" fontId="26" fillId="3" borderId="40" xfId="0" applyFont="1" applyFill="1" applyBorder="1" applyAlignment="1">
      <alignment horizontal="left"/>
    </xf>
    <xf numFmtId="0" fontId="26" fillId="3" borderId="41" xfId="0" applyFont="1" applyFill="1" applyBorder="1" applyAlignment="1">
      <alignment horizontal="left"/>
    </xf>
    <xf numFmtId="0" fontId="26" fillId="3" borderId="11" xfId="0" applyFont="1" applyFill="1" applyBorder="1" applyAlignment="1">
      <alignment horizontal="left"/>
    </xf>
    <xf numFmtId="0" fontId="11" fillId="3" borderId="6" xfId="0" applyFont="1" applyFill="1" applyBorder="1" applyAlignment="1">
      <alignment horizontal="left" vertical="center"/>
    </xf>
    <xf numFmtId="0" fontId="11" fillId="3" borderId="38" xfId="0" applyFont="1" applyFill="1" applyBorder="1" applyAlignment="1">
      <alignment horizontal="left" vertical="center"/>
    </xf>
    <xf numFmtId="0" fontId="26" fillId="3" borderId="1" xfId="0" applyFont="1" applyFill="1" applyBorder="1" applyAlignment="1">
      <alignment horizontal="left"/>
    </xf>
    <xf numFmtId="0" fontId="26" fillId="2" borderId="52" xfId="0" applyFont="1" applyFill="1" applyBorder="1" applyAlignment="1">
      <alignment horizontal="left"/>
    </xf>
    <xf numFmtId="0" fontId="26" fillId="2" borderId="35" xfId="0" applyFont="1" applyFill="1" applyBorder="1" applyAlignment="1">
      <alignment horizontal="left"/>
    </xf>
    <xf numFmtId="0" fontId="26" fillId="2" borderId="66" xfId="0" applyFont="1" applyFill="1" applyBorder="1" applyAlignment="1">
      <alignment horizontal="left"/>
    </xf>
    <xf numFmtId="165" fontId="26" fillId="2" borderId="24" xfId="0" applyNumberFormat="1" applyFont="1" applyFill="1" applyBorder="1" applyAlignment="1">
      <alignment horizontal="center"/>
    </xf>
    <xf numFmtId="0" fontId="26" fillId="8" borderId="29" xfId="0" applyFont="1" applyFill="1" applyBorder="1" applyAlignment="1">
      <alignment horizontal="left"/>
    </xf>
    <xf numFmtId="0" fontId="26" fillId="8" borderId="30" xfId="0" applyFont="1" applyFill="1" applyBorder="1" applyAlignment="1">
      <alignment horizontal="left"/>
    </xf>
    <xf numFmtId="0" fontId="26" fillId="8" borderId="24" xfId="0" applyFont="1" applyFill="1" applyBorder="1" applyAlignment="1">
      <alignment horizontal="left"/>
    </xf>
    <xf numFmtId="0" fontId="26" fillId="8" borderId="25" xfId="0" applyFont="1" applyFill="1" applyBorder="1" applyAlignment="1">
      <alignment horizontal="left"/>
    </xf>
    <xf numFmtId="0" fontId="26" fillId="8" borderId="1" xfId="0" applyFont="1" applyFill="1" applyBorder="1" applyAlignment="1">
      <alignment horizontal="left"/>
    </xf>
    <xf numFmtId="0" fontId="26" fillId="8" borderId="27" xfId="0" applyFont="1" applyFill="1" applyBorder="1" applyAlignment="1">
      <alignment horizontal="left"/>
    </xf>
    <xf numFmtId="0" fontId="26" fillId="6" borderId="40" xfId="0" quotePrefix="1" applyFont="1" applyFill="1" applyBorder="1" applyAlignment="1">
      <alignment horizontal="left"/>
    </xf>
    <xf numFmtId="0" fontId="26" fillId="6" borderId="11" xfId="0" quotePrefix="1" applyFont="1" applyFill="1" applyBorder="1" applyAlignment="1">
      <alignment horizontal="left"/>
    </xf>
    <xf numFmtId="0" fontId="26" fillId="6" borderId="53" xfId="0" quotePrefix="1" applyFont="1" applyFill="1" applyBorder="1" applyAlignment="1">
      <alignment horizontal="left"/>
    </xf>
    <xf numFmtId="0" fontId="26" fillId="6" borderId="32" xfId="0" quotePrefix="1" applyFont="1" applyFill="1" applyBorder="1" applyAlignment="1">
      <alignment horizontal="left"/>
    </xf>
    <xf numFmtId="0" fontId="29" fillId="6" borderId="53" xfId="0" quotePrefix="1" applyFont="1" applyFill="1" applyBorder="1" applyAlignment="1">
      <alignment horizontal="left"/>
    </xf>
    <xf numFmtId="0" fontId="29" fillId="6" borderId="32" xfId="0" quotePrefix="1" applyFont="1" applyFill="1" applyBorder="1" applyAlignment="1">
      <alignment horizontal="left"/>
    </xf>
    <xf numFmtId="0" fontId="37" fillId="6" borderId="52" xfId="0" applyFont="1" applyFill="1" applyBorder="1" applyAlignment="1">
      <alignment horizontal="left"/>
    </xf>
    <xf numFmtId="0" fontId="37" fillId="6" borderId="31" xfId="0" applyFont="1" applyFill="1" applyBorder="1" applyAlignment="1">
      <alignment horizontal="left"/>
    </xf>
    <xf numFmtId="0" fontId="55" fillId="6" borderId="53" xfId="0" quotePrefix="1" applyFont="1" applyFill="1" applyBorder="1" applyAlignment="1">
      <alignment horizontal="left"/>
    </xf>
    <xf numFmtId="0" fontId="55" fillId="6" borderId="32" xfId="0" quotePrefix="1" applyFont="1" applyFill="1" applyBorder="1" applyAlignment="1">
      <alignment horizontal="left"/>
    </xf>
    <xf numFmtId="0" fontId="26" fillId="6" borderId="52" xfId="0" applyFont="1" applyFill="1" applyBorder="1" applyAlignment="1">
      <alignment horizontal="left"/>
    </xf>
    <xf numFmtId="0" fontId="26" fillId="6" borderId="31" xfId="0" applyFont="1" applyFill="1" applyBorder="1" applyAlignment="1">
      <alignment horizontal="left"/>
    </xf>
    <xf numFmtId="165" fontId="29" fillId="2" borderId="23" xfId="0" applyNumberFormat="1" applyFont="1" applyFill="1" applyBorder="1" applyAlignment="1">
      <alignment horizontal="left"/>
    </xf>
    <xf numFmtId="165" fontId="29" fillId="2" borderId="24" xfId="0" applyNumberFormat="1" applyFont="1" applyFill="1" applyBorder="1" applyAlignment="1">
      <alignment horizontal="left"/>
    </xf>
    <xf numFmtId="0" fontId="9" fillId="6" borderId="53" xfId="0" applyFont="1" applyFill="1" applyBorder="1" applyAlignment="1">
      <alignment horizontal="left"/>
    </xf>
    <xf numFmtId="0" fontId="9" fillId="6" borderId="37" xfId="0" applyFont="1" applyFill="1" applyBorder="1" applyAlignment="1">
      <alignment horizontal="left"/>
    </xf>
    <xf numFmtId="0" fontId="9" fillId="6" borderId="32" xfId="0" applyFont="1" applyFill="1" applyBorder="1" applyAlignment="1">
      <alignment horizontal="left"/>
    </xf>
    <xf numFmtId="0" fontId="26" fillId="2" borderId="43" xfId="0" applyFont="1" applyFill="1" applyBorder="1" applyAlignment="1">
      <alignment horizontal="left"/>
    </xf>
    <xf numFmtId="0" fontId="26" fillId="2" borderId="14" xfId="0" applyFont="1" applyFill="1" applyBorder="1" applyAlignment="1">
      <alignment horizontal="left"/>
    </xf>
    <xf numFmtId="0" fontId="26" fillId="2" borderId="15" xfId="0" applyFont="1" applyFill="1" applyBorder="1" applyAlignment="1">
      <alignment horizontal="left"/>
    </xf>
    <xf numFmtId="0" fontId="9" fillId="6" borderId="40" xfId="0" applyFont="1" applyFill="1" applyBorder="1" applyAlignment="1">
      <alignment horizontal="left"/>
    </xf>
    <xf numFmtId="0" fontId="9" fillId="6" borderId="41" xfId="0" applyFont="1" applyFill="1" applyBorder="1" applyAlignment="1">
      <alignment horizontal="left"/>
    </xf>
    <xf numFmtId="0" fontId="9" fillId="6" borderId="11" xfId="0" applyFont="1" applyFill="1" applyBorder="1" applyAlignment="1">
      <alignment horizontal="left"/>
    </xf>
    <xf numFmtId="0" fontId="60" fillId="3" borderId="0" xfId="0" applyFont="1" applyFill="1" applyBorder="1" applyAlignment="1">
      <alignment horizontal="center" wrapText="1"/>
    </xf>
    <xf numFmtId="0" fontId="26" fillId="2" borderId="23" xfId="0" applyFont="1" applyFill="1" applyBorder="1" applyAlignment="1">
      <alignment horizontal="center" wrapText="1"/>
    </xf>
    <xf numFmtId="0" fontId="26" fillId="2" borderId="28" xfId="0" applyFont="1" applyFill="1" applyBorder="1" applyAlignment="1">
      <alignment horizontal="center" wrapText="1"/>
    </xf>
    <xf numFmtId="0" fontId="26" fillId="2" borderId="48" xfId="0" applyFont="1" applyFill="1" applyBorder="1" applyAlignment="1">
      <alignment horizontal="center" wrapText="1"/>
    </xf>
    <xf numFmtId="0" fontId="26" fillId="2" borderId="55" xfId="0" applyFont="1" applyFill="1" applyBorder="1" applyAlignment="1">
      <alignment horizontal="center" wrapText="1"/>
    </xf>
    <xf numFmtId="0" fontId="26" fillId="2" borderId="48" xfId="0" applyFont="1" applyFill="1" applyBorder="1" applyAlignment="1">
      <alignment horizontal="left"/>
    </xf>
    <xf numFmtId="0" fontId="26" fillId="2" borderId="55" xfId="0" applyFont="1" applyFill="1" applyBorder="1" applyAlignment="1">
      <alignment horizontal="left"/>
    </xf>
    <xf numFmtId="0" fontId="46" fillId="6" borderId="40" xfId="0" applyFont="1" applyFill="1" applyBorder="1" applyAlignment="1">
      <alignment horizontal="left"/>
    </xf>
    <xf numFmtId="0" fontId="46" fillId="6" borderId="11" xfId="0" applyFont="1" applyFill="1" applyBorder="1" applyAlignment="1">
      <alignment horizontal="left"/>
    </xf>
    <xf numFmtId="0" fontId="26" fillId="2" borderId="0" xfId="0" applyFont="1" applyFill="1" applyBorder="1" applyAlignment="1">
      <alignment horizontal="center" wrapText="1"/>
    </xf>
    <xf numFmtId="0" fontId="26" fillId="2" borderId="2" xfId="0" applyFont="1" applyFill="1" applyBorder="1" applyAlignment="1">
      <alignment horizontal="center" wrapText="1"/>
    </xf>
    <xf numFmtId="0" fontId="46" fillId="3" borderId="0" xfId="0" applyFont="1" applyFill="1" applyBorder="1" applyAlignment="1">
      <alignment horizontal="left" vertical="center"/>
    </xf>
    <xf numFmtId="0" fontId="46" fillId="3" borderId="6" xfId="0" applyFont="1" applyFill="1" applyBorder="1" applyAlignment="1">
      <alignment horizontal="left"/>
    </xf>
    <xf numFmtId="0" fontId="46" fillId="3" borderId="38" xfId="0" applyFont="1" applyFill="1" applyBorder="1" applyAlignment="1">
      <alignment horizontal="left"/>
    </xf>
    <xf numFmtId="0" fontId="26" fillId="2" borderId="15" xfId="0" applyFont="1" applyFill="1" applyBorder="1" applyAlignment="1">
      <alignment horizontal="center"/>
    </xf>
    <xf numFmtId="0" fontId="26" fillId="2" borderId="10" xfId="0" applyFont="1" applyFill="1" applyBorder="1" applyAlignment="1">
      <alignment horizontal="center"/>
    </xf>
    <xf numFmtId="0" fontId="42" fillId="3" borderId="22" xfId="0" applyFont="1" applyFill="1" applyBorder="1" applyAlignment="1">
      <alignment horizontal="left"/>
    </xf>
    <xf numFmtId="0" fontId="26" fillId="8" borderId="40" xfId="0" applyFont="1" applyFill="1" applyBorder="1" applyAlignment="1">
      <alignment horizontal="left"/>
    </xf>
    <xf numFmtId="0" fontId="26" fillId="8" borderId="11" xfId="0" applyFont="1" applyFill="1" applyBorder="1" applyAlignment="1">
      <alignment horizontal="left"/>
    </xf>
    <xf numFmtId="0" fontId="26" fillId="8" borderId="60" xfId="0" applyFont="1" applyFill="1" applyBorder="1" applyAlignment="1">
      <alignment horizontal="left"/>
    </xf>
    <xf numFmtId="0" fontId="26" fillId="8" borderId="34" xfId="0" applyFont="1" applyFill="1" applyBorder="1" applyAlignment="1">
      <alignment horizontal="left"/>
    </xf>
    <xf numFmtId="0" fontId="42" fillId="8" borderId="40" xfId="0" applyFont="1" applyFill="1" applyBorder="1" applyAlignment="1">
      <alignment horizontal="left"/>
    </xf>
    <xf numFmtId="0" fontId="42" fillId="8" borderId="11" xfId="0" applyFont="1" applyFill="1" applyBorder="1" applyAlignment="1">
      <alignment horizontal="left"/>
    </xf>
    <xf numFmtId="0" fontId="26" fillId="2" borderId="53" xfId="0" applyFont="1" applyFill="1" applyBorder="1" applyAlignment="1">
      <alignment horizontal="left"/>
    </xf>
    <xf numFmtId="0" fontId="26" fillId="2" borderId="32" xfId="0" applyFont="1" applyFill="1" applyBorder="1" applyAlignment="1">
      <alignment horizontal="left"/>
    </xf>
    <xf numFmtId="0" fontId="26" fillId="8" borderId="41" xfId="0" applyFont="1" applyFill="1" applyBorder="1" applyAlignment="1">
      <alignment horizontal="left"/>
    </xf>
    <xf numFmtId="0" fontId="26" fillId="8" borderId="0" xfId="0" applyFont="1" applyFill="1" applyBorder="1" applyAlignment="1">
      <alignment horizontal="right"/>
    </xf>
    <xf numFmtId="0" fontId="26" fillId="8" borderId="0" xfId="0" quotePrefix="1" applyFont="1" applyFill="1" applyBorder="1" applyAlignment="1">
      <alignment horizontal="right"/>
    </xf>
    <xf numFmtId="0" fontId="9" fillId="2" borderId="52" xfId="0" applyFont="1" applyFill="1" applyBorder="1" applyAlignment="1">
      <alignment horizontal="left"/>
    </xf>
    <xf numFmtId="0" fontId="9" fillId="2" borderId="35" xfId="0" applyFont="1" applyFill="1" applyBorder="1" applyAlignment="1">
      <alignment horizontal="left"/>
    </xf>
    <xf numFmtId="0" fontId="9" fillId="2" borderId="31" xfId="0" applyFont="1" applyFill="1" applyBorder="1" applyAlignment="1">
      <alignment horizontal="left"/>
    </xf>
    <xf numFmtId="0" fontId="26" fillId="2" borderId="45" xfId="0" applyFont="1" applyFill="1" applyBorder="1" applyAlignment="1">
      <alignment horizontal="left" vertical="top"/>
    </xf>
    <xf numFmtId="0" fontId="26" fillId="2" borderId="46" xfId="0" applyFont="1" applyFill="1" applyBorder="1" applyAlignment="1">
      <alignment horizontal="left" vertical="top"/>
    </xf>
    <xf numFmtId="0" fontId="26" fillId="2" borderId="51" xfId="0" applyFont="1" applyFill="1" applyBorder="1" applyAlignment="1">
      <alignment horizontal="left" vertical="top"/>
    </xf>
    <xf numFmtId="0" fontId="26" fillId="6" borderId="52" xfId="0" quotePrefix="1" applyFont="1" applyFill="1" applyBorder="1" applyAlignment="1">
      <alignment horizontal="left"/>
    </xf>
    <xf numFmtId="0" fontId="26" fillId="6" borderId="35" xfId="0" applyFont="1" applyFill="1" applyBorder="1" applyAlignment="1">
      <alignment horizontal="left"/>
    </xf>
    <xf numFmtId="0" fontId="26" fillId="8" borderId="1" xfId="0" applyFont="1" applyFill="1" applyBorder="1" applyAlignment="1">
      <alignment horizontal="left" vertical="top"/>
    </xf>
    <xf numFmtId="0" fontId="26" fillId="2" borderId="19" xfId="0" applyFont="1" applyFill="1" applyBorder="1" applyAlignment="1">
      <alignment horizontal="left" vertical="top"/>
    </xf>
    <xf numFmtId="0" fontId="26" fillId="2" borderId="63" xfId="0" applyFont="1" applyFill="1" applyBorder="1" applyAlignment="1">
      <alignment horizontal="left" vertical="top"/>
    </xf>
    <xf numFmtId="0" fontId="26" fillId="2" borderId="55" xfId="0" applyFont="1" applyFill="1" applyBorder="1" applyAlignment="1">
      <alignment horizontal="left" vertical="top"/>
    </xf>
    <xf numFmtId="0" fontId="26" fillId="0" borderId="45" xfId="0" applyFont="1" applyFill="1" applyBorder="1" applyAlignment="1">
      <alignment horizontal="left" vertical="top"/>
    </xf>
    <xf numFmtId="0" fontId="26" fillId="0" borderId="46" xfId="0" applyFont="1" applyFill="1" applyBorder="1" applyAlignment="1">
      <alignment horizontal="left" vertical="top"/>
    </xf>
    <xf numFmtId="0" fontId="26" fillId="0" borderId="51" xfId="0" applyFont="1" applyFill="1" applyBorder="1" applyAlignment="1">
      <alignment horizontal="left" vertical="top"/>
    </xf>
    <xf numFmtId="0" fontId="26" fillId="3" borderId="22" xfId="0" applyFont="1" applyFill="1" applyBorder="1" applyAlignment="1">
      <alignment horizontal="center" wrapText="1"/>
    </xf>
    <xf numFmtId="0" fontId="42" fillId="3" borderId="22" xfId="0" applyFont="1" applyFill="1" applyBorder="1" applyAlignment="1">
      <alignment horizontal="center" wrapText="1"/>
    </xf>
    <xf numFmtId="0" fontId="42" fillId="3" borderId="0" xfId="0" applyFont="1" applyFill="1" applyBorder="1" applyAlignment="1">
      <alignment horizontal="center" wrapText="1"/>
    </xf>
    <xf numFmtId="0" fontId="26" fillId="3" borderId="0" xfId="0" applyFont="1" applyFill="1" applyBorder="1" applyAlignment="1">
      <alignment horizontal="center"/>
    </xf>
    <xf numFmtId="0" fontId="55" fillId="3" borderId="22" xfId="0" applyFont="1" applyFill="1" applyBorder="1" applyAlignment="1">
      <alignment horizontal="center" wrapText="1"/>
    </xf>
    <xf numFmtId="0" fontId="55" fillId="3" borderId="0" xfId="0" applyFont="1" applyFill="1" applyBorder="1" applyAlignment="1">
      <alignment horizontal="center" wrapText="1"/>
    </xf>
    <xf numFmtId="0" fontId="55" fillId="3" borderId="2" xfId="0" applyFont="1" applyFill="1" applyBorder="1" applyAlignment="1">
      <alignment horizontal="center" wrapText="1"/>
    </xf>
    <xf numFmtId="0" fontId="26" fillId="8" borderId="40" xfId="0" quotePrefix="1" applyFont="1" applyFill="1" applyBorder="1" applyAlignment="1">
      <alignment horizontal="left"/>
    </xf>
    <xf numFmtId="0" fontId="26" fillId="8" borderId="41" xfId="0" quotePrefix="1" applyFont="1" applyFill="1" applyBorder="1" applyAlignment="1">
      <alignment horizontal="left"/>
    </xf>
    <xf numFmtId="0" fontId="26" fillId="8" borderId="11" xfId="0" quotePrefix="1" applyFont="1" applyFill="1" applyBorder="1" applyAlignment="1">
      <alignment horizontal="left"/>
    </xf>
    <xf numFmtId="0" fontId="26" fillId="2" borderId="37" xfId="0" applyFont="1" applyFill="1" applyBorder="1" applyAlignment="1">
      <alignment horizontal="left"/>
    </xf>
    <xf numFmtId="0" fontId="42" fillId="0" borderId="1" xfId="0" quotePrefix="1" applyFont="1" applyFill="1" applyBorder="1" applyAlignment="1">
      <alignment horizontal="left"/>
    </xf>
    <xf numFmtId="0" fontId="31" fillId="3" borderId="5" xfId="0" applyFont="1" applyFill="1" applyBorder="1" applyAlignment="1">
      <alignment horizontal="left"/>
    </xf>
    <xf numFmtId="0" fontId="31" fillId="3" borderId="6" xfId="0" applyFont="1" applyFill="1" applyBorder="1" applyAlignment="1">
      <alignment horizontal="left"/>
    </xf>
    <xf numFmtId="0" fontId="31" fillId="3" borderId="38" xfId="0" applyFont="1" applyFill="1" applyBorder="1" applyAlignment="1">
      <alignment horizontal="left"/>
    </xf>
    <xf numFmtId="0" fontId="26" fillId="2" borderId="60" xfId="0" applyFont="1" applyFill="1" applyBorder="1" applyAlignment="1">
      <alignment horizontal="left"/>
    </xf>
    <xf numFmtId="0" fontId="26" fillId="2" borderId="22" xfId="0" applyFont="1" applyFill="1" applyBorder="1" applyAlignment="1">
      <alignment horizontal="left"/>
    </xf>
    <xf numFmtId="0" fontId="26" fillId="2" borderId="34" xfId="0" applyFont="1" applyFill="1" applyBorder="1" applyAlignment="1">
      <alignment horizontal="left"/>
    </xf>
    <xf numFmtId="0" fontId="26" fillId="2" borderId="31" xfId="0" applyFont="1" applyFill="1" applyBorder="1" applyAlignment="1">
      <alignment horizontal="left"/>
    </xf>
    <xf numFmtId="0" fontId="26" fillId="2" borderId="40" xfId="0" applyFont="1" applyFill="1" applyBorder="1" applyAlignment="1">
      <alignment horizontal="left"/>
    </xf>
    <xf numFmtId="0" fontId="26" fillId="2" borderId="41" xfId="0" applyFont="1" applyFill="1" applyBorder="1" applyAlignment="1">
      <alignment horizontal="left"/>
    </xf>
    <xf numFmtId="0" fontId="26" fillId="2" borderId="11" xfId="0" applyFont="1" applyFill="1" applyBorder="1" applyAlignment="1">
      <alignment horizontal="left"/>
    </xf>
    <xf numFmtId="0" fontId="26" fillId="8" borderId="19" xfId="0" applyFont="1" applyFill="1" applyBorder="1" applyAlignment="1">
      <alignment horizontal="left" vertical="top" wrapText="1"/>
    </xf>
    <xf numFmtId="0" fontId="26" fillId="8" borderId="63" xfId="0" applyFont="1" applyFill="1" applyBorder="1" applyAlignment="1">
      <alignment horizontal="left" vertical="top" wrapText="1"/>
    </xf>
    <xf numFmtId="0" fontId="26" fillId="8" borderId="12" xfId="0" applyFont="1" applyFill="1" applyBorder="1" applyAlignment="1">
      <alignment horizontal="left" vertical="top" wrapText="1"/>
    </xf>
    <xf numFmtId="0" fontId="26" fillId="2" borderId="33" xfId="0" applyFont="1" applyFill="1" applyBorder="1" applyAlignment="1">
      <alignment horizontal="left" vertical="top"/>
    </xf>
    <xf numFmtId="0" fontId="26" fillId="0" borderId="23" xfId="0" applyFont="1" applyFill="1" applyBorder="1" applyAlignment="1">
      <alignment horizontal="left" vertical="top"/>
    </xf>
    <xf numFmtId="0" fontId="26" fillId="0" borderId="26" xfId="0" applyFont="1" applyFill="1" applyBorder="1" applyAlignment="1">
      <alignment horizontal="left" vertical="top"/>
    </xf>
    <xf numFmtId="0" fontId="26" fillId="0" borderId="28" xfId="0" applyFont="1" applyFill="1" applyBorder="1" applyAlignment="1">
      <alignment horizontal="left" vertical="top"/>
    </xf>
    <xf numFmtId="0" fontId="55" fillId="3" borderId="40" xfId="0" applyFont="1" applyFill="1" applyBorder="1" applyAlignment="1">
      <alignment horizontal="center" wrapText="1"/>
    </xf>
    <xf numFmtId="0" fontId="55" fillId="3" borderId="41" xfId="0" applyFont="1" applyFill="1" applyBorder="1" applyAlignment="1">
      <alignment horizontal="center" wrapText="1"/>
    </xf>
    <xf numFmtId="0" fontId="55" fillId="3" borderId="11" xfId="0" applyFont="1" applyFill="1" applyBorder="1" applyAlignment="1">
      <alignment horizontal="center" wrapText="1"/>
    </xf>
    <xf numFmtId="0" fontId="26" fillId="8" borderId="1" xfId="0" quotePrefix="1" applyFont="1" applyFill="1" applyBorder="1" applyAlignment="1">
      <alignment horizontal="left"/>
    </xf>
    <xf numFmtId="0" fontId="35" fillId="8" borderId="40" xfId="0" applyFont="1" applyFill="1" applyBorder="1" applyAlignment="1">
      <alignment horizontal="left"/>
    </xf>
    <xf numFmtId="0" fontId="35" fillId="8" borderId="41" xfId="0" applyFont="1" applyFill="1" applyBorder="1" applyAlignment="1">
      <alignment horizontal="left"/>
    </xf>
    <xf numFmtId="0" fontId="35" fillId="8" borderId="11" xfId="0" applyFont="1" applyFill="1" applyBorder="1" applyAlignment="1">
      <alignment horizontal="left"/>
    </xf>
    <xf numFmtId="0" fontId="26" fillId="2" borderId="39" xfId="0" applyFont="1" applyFill="1" applyBorder="1" applyAlignment="1">
      <alignment horizontal="left"/>
    </xf>
    <xf numFmtId="0" fontId="26" fillId="2" borderId="2" xfId="0" applyFont="1" applyFill="1" applyBorder="1" applyAlignment="1">
      <alignment horizontal="left"/>
    </xf>
    <xf numFmtId="0" fontId="26" fillId="2" borderId="20" xfId="0" applyFont="1" applyFill="1" applyBorder="1" applyAlignment="1">
      <alignment horizontal="left"/>
    </xf>
    <xf numFmtId="0" fontId="26" fillId="8" borderId="60" xfId="0" quotePrefix="1" applyFont="1" applyFill="1" applyBorder="1" applyAlignment="1">
      <alignment horizontal="left"/>
    </xf>
    <xf numFmtId="0" fontId="26" fillId="8" borderId="22" xfId="0" quotePrefix="1" applyFont="1" applyFill="1" applyBorder="1" applyAlignment="1">
      <alignment horizontal="left"/>
    </xf>
    <xf numFmtId="0" fontId="26" fillId="8" borderId="34" xfId="0" quotePrefix="1" applyFont="1" applyFill="1" applyBorder="1" applyAlignment="1">
      <alignment horizontal="left"/>
    </xf>
    <xf numFmtId="0" fontId="26" fillId="8" borderId="9" xfId="0" quotePrefix="1" applyFont="1" applyFill="1" applyBorder="1" applyAlignment="1">
      <alignment horizontal="left"/>
    </xf>
    <xf numFmtId="0" fontId="26" fillId="8" borderId="0" xfId="0" quotePrefix="1" applyFont="1" applyFill="1" applyBorder="1" applyAlignment="1">
      <alignment horizontal="left"/>
    </xf>
    <xf numFmtId="0" fontId="26" fillId="8" borderId="8" xfId="0" quotePrefix="1" applyFont="1" applyFill="1" applyBorder="1" applyAlignment="1">
      <alignment horizontal="left"/>
    </xf>
    <xf numFmtId="0" fontId="26" fillId="8" borderId="39" xfId="0" quotePrefix="1" applyFont="1" applyFill="1" applyBorder="1" applyAlignment="1">
      <alignment horizontal="left"/>
    </xf>
    <xf numFmtId="0" fontId="26" fillId="8" borderId="2" xfId="0" quotePrefix="1" applyFont="1" applyFill="1" applyBorder="1" applyAlignment="1">
      <alignment horizontal="left"/>
    </xf>
    <xf numFmtId="0" fontId="26" fillId="8" borderId="20" xfId="0" quotePrefix="1" applyFont="1" applyFill="1" applyBorder="1" applyAlignment="1">
      <alignment horizontal="left"/>
    </xf>
    <xf numFmtId="0" fontId="23" fillId="3" borderId="0" xfId="0" applyFont="1" applyFill="1" applyAlignment="1">
      <alignment horizontal="left" wrapText="1"/>
    </xf>
    <xf numFmtId="0" fontId="26" fillId="3" borderId="1" xfId="0" applyFont="1" applyFill="1" applyBorder="1" applyAlignment="1">
      <alignment horizontal="center"/>
    </xf>
    <xf numFmtId="0" fontId="26" fillId="18" borderId="5" xfId="0" applyFont="1" applyFill="1" applyBorder="1" applyAlignment="1">
      <alignment horizontal="center" vertical="center"/>
    </xf>
    <xf numFmtId="0" fontId="26" fillId="18" borderId="10" xfId="0" applyFont="1" applyFill="1" applyBorder="1" applyAlignment="1">
      <alignment horizontal="center" vertical="center"/>
    </xf>
    <xf numFmtId="0" fontId="26" fillId="18" borderId="17" xfId="0" applyFont="1" applyFill="1" applyBorder="1" applyAlignment="1">
      <alignment horizontal="center" vertical="center"/>
    </xf>
    <xf numFmtId="0" fontId="29" fillId="9" borderId="5" xfId="0" applyFont="1" applyFill="1" applyBorder="1" applyAlignment="1">
      <alignment horizontal="center" vertical="center"/>
    </xf>
    <xf numFmtId="0" fontId="29" fillId="9" borderId="6" xfId="0" applyFont="1" applyFill="1" applyBorder="1" applyAlignment="1">
      <alignment horizontal="center" vertical="center"/>
    </xf>
    <xf numFmtId="0" fontId="29" fillId="9" borderId="38" xfId="0" applyFont="1" applyFill="1" applyBorder="1" applyAlignment="1">
      <alignment horizontal="center" vertical="center"/>
    </xf>
    <xf numFmtId="0" fontId="29" fillId="6" borderId="5" xfId="0" quotePrefix="1" applyFont="1" applyFill="1" applyBorder="1" applyAlignment="1">
      <alignment horizontal="center" vertical="center"/>
    </xf>
    <xf numFmtId="0" fontId="29" fillId="6" borderId="6" xfId="0" quotePrefix="1" applyFont="1" applyFill="1" applyBorder="1" applyAlignment="1">
      <alignment horizontal="center" vertical="center"/>
    </xf>
    <xf numFmtId="0" fontId="29" fillId="6" borderId="38" xfId="0" quotePrefix="1" applyFont="1" applyFill="1" applyBorder="1" applyAlignment="1">
      <alignment horizontal="center" vertical="center"/>
    </xf>
    <xf numFmtId="0" fontId="29" fillId="11" borderId="0" xfId="0" applyFont="1" applyFill="1" applyBorder="1" applyAlignment="1">
      <alignment horizontal="center" vertical="center"/>
    </xf>
    <xf numFmtId="0" fontId="29" fillId="11" borderId="7" xfId="0" applyFont="1" applyFill="1" applyBorder="1" applyAlignment="1">
      <alignment horizontal="center" vertical="center"/>
    </xf>
    <xf numFmtId="0" fontId="29" fillId="6" borderId="5" xfId="0" applyFont="1" applyFill="1" applyBorder="1" applyAlignment="1">
      <alignment horizontal="center" vertical="center"/>
    </xf>
    <xf numFmtId="0" fontId="29" fillId="6" borderId="6" xfId="0" applyFont="1" applyFill="1" applyBorder="1" applyAlignment="1">
      <alignment horizontal="center" vertical="center"/>
    </xf>
    <xf numFmtId="0" fontId="29" fillId="6" borderId="38" xfId="0" applyFont="1" applyFill="1" applyBorder="1" applyAlignment="1">
      <alignment horizontal="center" vertical="center"/>
    </xf>
    <xf numFmtId="0" fontId="29" fillId="7" borderId="5" xfId="0" applyFont="1" applyFill="1" applyBorder="1" applyAlignment="1">
      <alignment horizontal="center" vertical="center"/>
    </xf>
    <xf numFmtId="0" fontId="29" fillId="7" borderId="6" xfId="0" applyFont="1" applyFill="1" applyBorder="1" applyAlignment="1">
      <alignment horizontal="center" vertical="center"/>
    </xf>
    <xf numFmtId="0" fontId="29" fillId="7" borderId="38" xfId="0" applyFont="1" applyFill="1" applyBorder="1" applyAlignment="1">
      <alignment horizontal="center" vertical="center"/>
    </xf>
    <xf numFmtId="0" fontId="26" fillId="3" borderId="40" xfId="0" applyFont="1" applyFill="1" applyBorder="1" applyAlignment="1">
      <alignment horizontal="center"/>
    </xf>
    <xf numFmtId="0" fontId="26" fillId="3" borderId="41" xfId="0" applyFont="1" applyFill="1" applyBorder="1" applyAlignment="1">
      <alignment horizontal="center"/>
    </xf>
    <xf numFmtId="0" fontId="26" fillId="3" borderId="11" xfId="0" applyFont="1" applyFill="1" applyBorder="1" applyAlignment="1">
      <alignment horizontal="center"/>
    </xf>
    <xf numFmtId="0" fontId="40" fillId="3" borderId="0" xfId="0" applyFont="1" applyFill="1" applyAlignment="1">
      <alignment horizontal="left" vertical="center" wrapText="1"/>
    </xf>
    <xf numFmtId="0" fontId="26" fillId="0" borderId="1" xfId="0" applyFont="1" applyBorder="1" applyAlignment="1">
      <alignment horizontal="left" vertical="top" wrapText="1"/>
    </xf>
    <xf numFmtId="0" fontId="29" fillId="2" borderId="40" xfId="0" applyFont="1" applyFill="1" applyBorder="1" applyAlignment="1">
      <alignment horizontal="left"/>
    </xf>
    <xf numFmtId="0" fontId="29" fillId="2" borderId="41" xfId="0" applyFont="1" applyFill="1" applyBorder="1" applyAlignment="1">
      <alignment horizontal="left"/>
    </xf>
    <xf numFmtId="0" fontId="29" fillId="2" borderId="11" xfId="0" applyFont="1" applyFill="1" applyBorder="1" applyAlignment="1">
      <alignment horizontal="left"/>
    </xf>
    <xf numFmtId="0" fontId="35" fillId="3" borderId="45" xfId="0" applyFont="1" applyFill="1" applyBorder="1" applyAlignment="1">
      <alignment horizontal="center" vertical="center" wrapText="1"/>
    </xf>
    <xf numFmtId="0" fontId="35" fillId="3" borderId="46" xfId="0" applyFont="1" applyFill="1" applyBorder="1" applyAlignment="1">
      <alignment horizontal="center" vertical="center" wrapText="1"/>
    </xf>
    <xf numFmtId="0" fontId="35" fillId="3" borderId="43" xfId="0" applyFont="1" applyFill="1" applyBorder="1" applyAlignment="1">
      <alignment horizontal="center" wrapText="1"/>
    </xf>
    <xf numFmtId="0" fontId="35" fillId="3" borderId="42" xfId="0" applyFont="1" applyFill="1" applyBorder="1" applyAlignment="1">
      <alignment horizontal="center" wrapText="1"/>
    </xf>
    <xf numFmtId="0" fontId="35" fillId="3" borderId="43" xfId="0" applyFont="1" applyFill="1" applyBorder="1" applyAlignment="1">
      <alignment horizontal="center"/>
    </xf>
    <xf numFmtId="0" fontId="35" fillId="3" borderId="15" xfId="0" applyFont="1" applyFill="1" applyBorder="1" applyAlignment="1">
      <alignment horizontal="center"/>
    </xf>
    <xf numFmtId="0" fontId="26" fillId="2" borderId="40" xfId="0" applyFont="1" applyFill="1" applyBorder="1" applyAlignment="1">
      <alignment horizontal="left" vertical="center"/>
    </xf>
    <xf numFmtId="0" fontId="26" fillId="2" borderId="41" xfId="0" applyFont="1" applyFill="1" applyBorder="1" applyAlignment="1">
      <alignment horizontal="left" vertical="center"/>
    </xf>
    <xf numFmtId="0" fontId="26" fillId="2" borderId="11" xfId="0" applyFont="1" applyFill="1" applyBorder="1" applyAlignment="1">
      <alignment horizontal="left" vertical="center"/>
    </xf>
    <xf numFmtId="0" fontId="26" fillId="2" borderId="60" xfId="0" applyFont="1" applyFill="1" applyBorder="1" applyAlignment="1">
      <alignment horizontal="left" vertical="top" wrapText="1"/>
    </xf>
    <xf numFmtId="0" fontId="26" fillId="2" borderId="22" xfId="0" applyFont="1" applyFill="1" applyBorder="1" applyAlignment="1">
      <alignment horizontal="left" vertical="top" wrapText="1"/>
    </xf>
    <xf numFmtId="0" fontId="26" fillId="2" borderId="34" xfId="0" applyFont="1" applyFill="1" applyBorder="1" applyAlignment="1">
      <alignment horizontal="left" vertical="top" wrapText="1"/>
    </xf>
    <xf numFmtId="0" fontId="26" fillId="2" borderId="9" xfId="0" applyFont="1" applyFill="1" applyBorder="1" applyAlignment="1">
      <alignment horizontal="left" vertical="top" wrapText="1"/>
    </xf>
    <xf numFmtId="0" fontId="26" fillId="2" borderId="0" xfId="0" applyFont="1" applyFill="1" applyBorder="1" applyAlignment="1">
      <alignment horizontal="left" vertical="top" wrapText="1"/>
    </xf>
    <xf numFmtId="0" fontId="26" fillId="2" borderId="8" xfId="0" applyFont="1" applyFill="1" applyBorder="1" applyAlignment="1">
      <alignment horizontal="left" vertical="top" wrapText="1"/>
    </xf>
    <xf numFmtId="0" fontId="26" fillId="2" borderId="39" xfId="0" applyFont="1" applyFill="1" applyBorder="1" applyAlignment="1">
      <alignment horizontal="left" vertical="top" wrapText="1"/>
    </xf>
    <xf numFmtId="0" fontId="26" fillId="2" borderId="2" xfId="0" applyFont="1" applyFill="1" applyBorder="1" applyAlignment="1">
      <alignment horizontal="left" vertical="top" wrapText="1"/>
    </xf>
    <xf numFmtId="0" fontId="26" fillId="2" borderId="20" xfId="0" applyFont="1" applyFill="1" applyBorder="1" applyAlignment="1">
      <alignment horizontal="left" vertical="top" wrapText="1"/>
    </xf>
    <xf numFmtId="0" fontId="95" fillId="3" borderId="0" xfId="0" applyFont="1" applyFill="1" applyBorder="1" applyAlignment="1">
      <alignment horizontal="left" vertical="center" wrapText="1"/>
    </xf>
    <xf numFmtId="0" fontId="26" fillId="2" borderId="1" xfId="0" applyFont="1" applyFill="1" applyBorder="1" applyAlignment="1">
      <alignment horizontal="center" vertical="top" wrapText="1"/>
    </xf>
    <xf numFmtId="0" fontId="26" fillId="0" borderId="1" xfId="0" applyFont="1" applyBorder="1" applyAlignment="1">
      <alignment horizontal="center" vertical="top" wrapText="1"/>
    </xf>
    <xf numFmtId="0" fontId="40" fillId="3" borderId="0" xfId="0" applyFont="1" applyFill="1" applyBorder="1" applyAlignment="1">
      <alignment horizontal="left" vertical="center" wrapText="1"/>
    </xf>
    <xf numFmtId="0" fontId="99" fillId="3" borderId="0" xfId="3" applyFont="1" applyFill="1" applyAlignment="1">
      <alignment horizontal="left"/>
    </xf>
    <xf numFmtId="0" fontId="29" fillId="10" borderId="16" xfId="0" applyFont="1" applyFill="1" applyBorder="1" applyAlignment="1">
      <alignment horizontal="center" vertical="center"/>
    </xf>
    <xf numFmtId="0" fontId="29" fillId="10" borderId="10" xfId="0" applyFont="1" applyFill="1" applyBorder="1" applyAlignment="1">
      <alignment horizontal="center" vertical="center"/>
    </xf>
    <xf numFmtId="0" fontId="29" fillId="10" borderId="17" xfId="0" applyFont="1" applyFill="1" applyBorder="1" applyAlignment="1">
      <alignment horizontal="center" vertical="center"/>
    </xf>
    <xf numFmtId="0" fontId="29" fillId="10" borderId="16" xfId="0" applyFont="1" applyFill="1" applyBorder="1" applyAlignment="1">
      <alignment horizontal="center" vertical="center" wrapText="1"/>
    </xf>
    <xf numFmtId="0" fontId="29" fillId="10" borderId="10" xfId="0" applyFont="1" applyFill="1" applyBorder="1" applyAlignment="1">
      <alignment horizontal="center" vertical="center" wrapText="1"/>
    </xf>
    <xf numFmtId="0" fontId="29" fillId="10" borderId="17" xfId="0" applyFont="1" applyFill="1" applyBorder="1" applyAlignment="1">
      <alignment horizontal="center" vertical="center" wrapText="1"/>
    </xf>
    <xf numFmtId="0" fontId="29" fillId="10" borderId="0" xfId="0" applyFont="1" applyFill="1" applyBorder="1" applyAlignment="1">
      <alignment horizontal="center" vertical="center"/>
    </xf>
    <xf numFmtId="0" fontId="29" fillId="10" borderId="7" xfId="0" applyFont="1" applyFill="1" applyBorder="1" applyAlignment="1">
      <alignment horizontal="center" vertical="center"/>
    </xf>
    <xf numFmtId="0" fontId="26" fillId="10" borderId="10" xfId="0" applyFont="1" applyFill="1" applyBorder="1" applyAlignment="1">
      <alignment horizontal="center"/>
    </xf>
    <xf numFmtId="0" fontId="26" fillId="10" borderId="0" xfId="0" applyFont="1" applyFill="1" applyBorder="1" applyAlignment="1">
      <alignment horizontal="center"/>
    </xf>
    <xf numFmtId="0" fontId="26" fillId="10" borderId="7" xfId="0" applyFont="1" applyFill="1" applyBorder="1" applyAlignment="1">
      <alignment horizontal="center"/>
    </xf>
    <xf numFmtId="0" fontId="26" fillId="10" borderId="10" xfId="0" applyFont="1" applyFill="1" applyBorder="1" applyAlignment="1">
      <alignment horizontal="center" vertical="center"/>
    </xf>
    <xf numFmtId="0" fontId="26" fillId="10" borderId="0" xfId="0" applyFont="1" applyFill="1" applyBorder="1" applyAlignment="1">
      <alignment horizontal="center" vertical="center"/>
    </xf>
    <xf numFmtId="0" fontId="26" fillId="10" borderId="17" xfId="0" applyFont="1" applyFill="1" applyBorder="1" applyAlignment="1">
      <alignment horizontal="center" vertical="center"/>
    </xf>
    <xf numFmtId="0" fontId="26" fillId="10" borderId="17" xfId="0" applyFont="1" applyFill="1" applyBorder="1" applyAlignment="1">
      <alignment horizontal="center"/>
    </xf>
    <xf numFmtId="0" fontId="29" fillId="11" borderId="4" xfId="0" applyFont="1" applyFill="1" applyBorder="1" applyAlignment="1">
      <alignment horizontal="center" vertical="center"/>
    </xf>
    <xf numFmtId="0" fontId="29" fillId="9" borderId="16" xfId="0" applyFont="1" applyFill="1" applyBorder="1" applyAlignment="1">
      <alignment horizontal="center" vertical="center"/>
    </xf>
    <xf numFmtId="0" fontId="29" fillId="9" borderId="10" xfId="0" applyFont="1" applyFill="1" applyBorder="1" applyAlignment="1">
      <alignment horizontal="center" vertical="center"/>
    </xf>
    <xf numFmtId="0" fontId="29" fillId="9" borderId="17" xfId="0" applyFont="1" applyFill="1" applyBorder="1" applyAlignment="1">
      <alignment horizontal="center" vertical="center"/>
    </xf>
    <xf numFmtId="0" fontId="29" fillId="6" borderId="16" xfId="0" quotePrefix="1" applyFont="1" applyFill="1" applyBorder="1" applyAlignment="1">
      <alignment horizontal="center" vertical="center"/>
    </xf>
    <xf numFmtId="0" fontId="29" fillId="6" borderId="10" xfId="0" quotePrefix="1" applyFont="1" applyFill="1" applyBorder="1" applyAlignment="1">
      <alignment horizontal="center" vertical="center"/>
    </xf>
    <xf numFmtId="0" fontId="29" fillId="6" borderId="4" xfId="0" applyFont="1" applyFill="1" applyBorder="1" applyAlignment="1">
      <alignment horizontal="center" vertical="center"/>
    </xf>
    <xf numFmtId="0" fontId="29" fillId="6" borderId="0" xfId="0" applyFont="1" applyFill="1" applyBorder="1" applyAlignment="1">
      <alignment horizontal="center" vertical="center"/>
    </xf>
    <xf numFmtId="0" fontId="29" fillId="6" borderId="7" xfId="0" applyFont="1" applyFill="1" applyBorder="1" applyAlignment="1">
      <alignment horizontal="center" vertical="center"/>
    </xf>
    <xf numFmtId="0" fontId="29" fillId="6" borderId="16" xfId="0" applyFont="1" applyFill="1" applyBorder="1" applyAlignment="1">
      <alignment horizontal="center" vertical="center"/>
    </xf>
    <xf numFmtId="0" fontId="29" fillId="6" borderId="10" xfId="0" applyFont="1" applyFill="1" applyBorder="1" applyAlignment="1">
      <alignment horizontal="center" vertical="center"/>
    </xf>
    <xf numFmtId="0" fontId="29" fillId="6" borderId="17" xfId="0" applyFont="1" applyFill="1" applyBorder="1" applyAlignment="1">
      <alignment horizontal="center" vertical="center"/>
    </xf>
    <xf numFmtId="0" fontId="29" fillId="7" borderId="16" xfId="0" applyFont="1" applyFill="1" applyBorder="1" applyAlignment="1">
      <alignment horizontal="center" vertical="center"/>
    </xf>
    <xf numFmtId="0" fontId="29" fillId="7" borderId="10" xfId="0" applyFont="1" applyFill="1" applyBorder="1" applyAlignment="1">
      <alignment horizontal="center" vertical="center"/>
    </xf>
    <xf numFmtId="0" fontId="29" fillId="7" borderId="17" xfId="0" applyFont="1" applyFill="1" applyBorder="1" applyAlignment="1">
      <alignment horizontal="center" vertical="center"/>
    </xf>
    <xf numFmtId="0" fontId="29" fillId="10" borderId="4" xfId="0" applyFont="1" applyFill="1" applyBorder="1" applyAlignment="1">
      <alignment horizontal="center" vertical="center"/>
    </xf>
    <xf numFmtId="0" fontId="29" fillId="17" borderId="16" xfId="0" applyFont="1" applyFill="1" applyBorder="1" applyAlignment="1">
      <alignment horizontal="center" vertical="center"/>
    </xf>
    <xf numFmtId="0" fontId="29" fillId="17" borderId="10" xfId="0" applyFont="1" applyFill="1" applyBorder="1" applyAlignment="1">
      <alignment horizontal="center" vertical="center"/>
    </xf>
    <xf numFmtId="0" fontId="29" fillId="17" borderId="17" xfId="0" applyFont="1" applyFill="1" applyBorder="1" applyAlignment="1">
      <alignment horizontal="center" vertical="center"/>
    </xf>
    <xf numFmtId="0" fontId="26" fillId="10" borderId="7" xfId="0" applyFont="1" applyFill="1" applyBorder="1" applyAlignment="1">
      <alignment horizontal="center" vertical="center"/>
    </xf>
  </cellXfs>
  <cellStyles count="4">
    <cellStyle name="Hyperlink" xfId="3" builtinId="8"/>
    <cellStyle name="Normaali 2" xfId="2"/>
    <cellStyle name="Normal" xfId="0" builtinId="0"/>
    <cellStyle name="Normal 2 2" xfId="1"/>
  </cellStyles>
  <dxfs count="0"/>
  <tableStyles count="0" defaultTableStyle="TableStyleMedium2" defaultPivotStyle="PivotStyleLight16"/>
  <colors>
    <mruColors>
      <color rgb="FFFF7C80"/>
      <color rgb="FF66FF33"/>
      <color rgb="FFFFEAD5"/>
      <color rgb="FFFF3300"/>
      <color rgb="FFFF5050"/>
      <color rgb="FFFF9933"/>
      <color rgb="FFFFCC99"/>
      <color rgb="FFCCFF66"/>
      <color rgb="FFCCCC00"/>
      <color rgb="FF00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sz="1100"/>
              <a:t>WITH POLICY</a:t>
            </a:r>
            <a:endParaRPr lang="en-US" sz="1100"/>
          </a:p>
        </c:rich>
      </c:tx>
      <c:layout>
        <c:manualLayout>
          <c:xMode val="edge"/>
          <c:yMode val="edge"/>
          <c:x val="0.36812658915928287"/>
          <c:y val="4.498196638643572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3775273273242056"/>
          <c:y val="0.23360459773695399"/>
          <c:w val="0.49148863654083336"/>
          <c:h val="0.68727445468067372"/>
        </c:manualLayout>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val>
            <c:numRef>
              <c:f>TRANSPORT!$G$170:$G$174</c:f>
              <c:numCache>
                <c:formatCode>0.0</c:formatCode>
                <c:ptCount val="5"/>
                <c:pt idx="0">
                  <c:v>90</c:v>
                </c:pt>
                <c:pt idx="1">
                  <c:v>0</c:v>
                </c:pt>
                <c:pt idx="2">
                  <c:v>0</c:v>
                </c:pt>
                <c:pt idx="3">
                  <c:v>0</c:v>
                </c:pt>
                <c:pt idx="4">
                  <c:v>10</c:v>
                </c:pt>
              </c:numCache>
            </c:numRef>
          </c:val>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sz="1100"/>
              <a:t>WITHOUT</a:t>
            </a:r>
            <a:r>
              <a:rPr lang="et-EE" sz="1100" baseline="0"/>
              <a:t> POLICY</a:t>
            </a:r>
            <a:endParaRPr lang="en-US" sz="1100"/>
          </a:p>
        </c:rich>
      </c:tx>
      <c:layout>
        <c:manualLayout>
          <c:xMode val="edge"/>
          <c:yMode val="edge"/>
          <c:x val="0.70753109346512943"/>
          <c:y val="0.1201716069533949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59121087934516048"/>
          <c:y val="0.3210585828892607"/>
          <c:w val="0.37221988460496508"/>
          <c:h val="0.6789414171107393"/>
        </c:manualLayout>
      </c:layout>
      <c:pieChart>
        <c:varyColors val="1"/>
        <c:ser>
          <c:idx val="1"/>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f>TRANSPORT!$S$265:$S$269</c:f>
              <c:strCache>
                <c:ptCount val="5"/>
                <c:pt idx="0">
                  <c:v>BUS</c:v>
                </c:pt>
                <c:pt idx="1">
                  <c:v>METRO</c:v>
                </c:pt>
                <c:pt idx="2">
                  <c:v>TRAM</c:v>
                </c:pt>
                <c:pt idx="3">
                  <c:v>PASSENGER TRAIN</c:v>
                </c:pt>
                <c:pt idx="4">
                  <c:v>PASSENGER CAR</c:v>
                </c:pt>
              </c:strCache>
            </c:strRef>
          </c:cat>
          <c:val>
            <c:numRef>
              <c:f>TRANSPORT!$F$170:$F$174</c:f>
              <c:numCache>
                <c:formatCode>0.0</c:formatCode>
                <c:ptCount val="5"/>
                <c:pt idx="0">
                  <c:v>6.9569192263802773</c:v>
                </c:pt>
                <c:pt idx="1">
                  <c:v>48.35081814394826</c:v>
                </c:pt>
                <c:pt idx="2">
                  <c:v>10.276017790787815</c:v>
                </c:pt>
                <c:pt idx="3">
                  <c:v>3.5520346291154699</c:v>
                </c:pt>
                <c:pt idx="4">
                  <c:v>30.864210209768174</c:v>
                </c:pt>
              </c:numCache>
            </c:numRef>
          </c:val>
        </c:ser>
        <c:ser>
          <c:idx val="0"/>
          <c:order val="1"/>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f>TRANSPORT!$S$265:$S$269</c:f>
              <c:strCache>
                <c:ptCount val="5"/>
                <c:pt idx="0">
                  <c:v>BUS</c:v>
                </c:pt>
                <c:pt idx="1">
                  <c:v>METRO</c:v>
                </c:pt>
                <c:pt idx="2">
                  <c:v>TRAM</c:v>
                </c:pt>
                <c:pt idx="3">
                  <c:v>PASSENGER TRAIN</c:v>
                </c:pt>
                <c:pt idx="4">
                  <c:v>PASSENGER CAR</c:v>
                </c:pt>
              </c:strCache>
            </c:strRef>
          </c:cat>
          <c:val>
            <c:numRef>
              <c:f>TRANSPORT!$F$170:$F$174</c:f>
              <c:numCache>
                <c:formatCode>0.0</c:formatCode>
                <c:ptCount val="5"/>
                <c:pt idx="0">
                  <c:v>6.9569192263802773</c:v>
                </c:pt>
                <c:pt idx="1">
                  <c:v>48.35081814394826</c:v>
                </c:pt>
                <c:pt idx="2">
                  <c:v>10.276017790787815</c:v>
                </c:pt>
                <c:pt idx="3">
                  <c:v>3.5520346291154699</c:v>
                </c:pt>
                <c:pt idx="4">
                  <c:v>30.864210209768174</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l"/>
      <c:layout>
        <c:manualLayout>
          <c:xMode val="edge"/>
          <c:yMode val="edge"/>
          <c:x val="9.9222992727436662E-2"/>
          <c:y val="0.25147848454219829"/>
          <c:w val="0.17297502235507262"/>
          <c:h val="0.62104638153529501"/>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t-EE" sz="1100"/>
              <a:t>TRANSPORT</a:t>
            </a:r>
            <a:r>
              <a:rPr lang="et-EE" sz="1100" baseline="0"/>
              <a:t> </a:t>
            </a:r>
            <a:r>
              <a:rPr lang="en-US" sz="1100"/>
              <a:t>BA</a:t>
            </a:r>
            <a:r>
              <a:rPr lang="et-EE" sz="1100"/>
              <a:t>SELINE</a:t>
            </a:r>
            <a:endParaRPr lang="en-US" sz="1100"/>
          </a:p>
        </c:rich>
      </c:tx>
      <c:layout>
        <c:manualLayout>
          <c:xMode val="edge"/>
          <c:yMode val="edge"/>
          <c:x val="0.54073947922340992"/>
          <c:y val="0.18033696513176539"/>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44478566109579998"/>
          <c:y val="0.27751188793537829"/>
          <c:w val="0.41540518900904283"/>
          <c:h val="0.6757203142931677"/>
        </c:manualLayout>
      </c:layout>
      <c:pieChart>
        <c:varyColors val="1"/>
        <c:ser>
          <c:idx val="0"/>
          <c:order val="0"/>
          <c:spPr>
            <a:ln w="12700">
              <a:solidFill>
                <a:schemeClr val="bg1"/>
              </a:solidFill>
            </a:ln>
          </c:spPr>
          <c:dPt>
            <c:idx val="0"/>
            <c:bubble3D val="0"/>
            <c:spPr>
              <a:solidFill>
                <a:schemeClr val="accent6"/>
              </a:solidFill>
              <a:ln w="12700">
                <a:solidFill>
                  <a:schemeClr val="bg1"/>
                </a:solidFill>
              </a:ln>
              <a:effectLst/>
            </c:spPr>
          </c:dPt>
          <c:dPt>
            <c:idx val="1"/>
            <c:bubble3D val="0"/>
            <c:spPr>
              <a:solidFill>
                <a:schemeClr val="accent1"/>
              </a:solidFill>
              <a:ln w="12700">
                <a:solidFill>
                  <a:schemeClr val="bg1"/>
                </a:solidFill>
              </a:ln>
              <a:effectLst/>
            </c:spPr>
          </c:dPt>
          <c:dPt>
            <c:idx val="2"/>
            <c:bubble3D val="0"/>
            <c:spPr>
              <a:solidFill>
                <a:schemeClr val="accent3"/>
              </a:solidFill>
              <a:ln w="12700">
                <a:solidFill>
                  <a:schemeClr val="bg1"/>
                </a:solidFill>
              </a:ln>
              <a:effectLst/>
            </c:spPr>
          </c:dPt>
          <c:dPt>
            <c:idx val="3"/>
            <c:bubble3D val="0"/>
            <c:spPr>
              <a:solidFill>
                <a:srgbClr val="FF3300"/>
              </a:solidFill>
              <a:ln w="12700">
                <a:solidFill>
                  <a:schemeClr val="bg1"/>
                </a:solidFill>
              </a:ln>
              <a:effectLst/>
            </c:spPr>
          </c:dPt>
          <c:dPt>
            <c:idx val="4"/>
            <c:bubble3D val="0"/>
            <c:spPr>
              <a:solidFill>
                <a:srgbClr val="C00000"/>
              </a:solidFill>
              <a:ln w="12700">
                <a:solidFill>
                  <a:schemeClr val="bg1"/>
                </a:solidFill>
              </a:ln>
              <a:effectLst/>
            </c:spPr>
          </c:dPt>
          <c:dPt>
            <c:idx val="5"/>
            <c:bubble3D val="0"/>
            <c:spPr>
              <a:solidFill>
                <a:schemeClr val="accent2">
                  <a:lumMod val="75000"/>
                </a:schemeClr>
              </a:solidFill>
              <a:ln w="12700">
                <a:solidFill>
                  <a:schemeClr val="bg1"/>
                </a:solidFill>
              </a:ln>
              <a:effectLst/>
            </c:spPr>
          </c:dPt>
          <c:dPt>
            <c:idx val="6"/>
            <c:bubble3D val="0"/>
            <c:spPr>
              <a:solidFill>
                <a:schemeClr val="accent1">
                  <a:lumMod val="50000"/>
                </a:schemeClr>
              </a:solidFill>
              <a:ln w="12700">
                <a:solidFill>
                  <a:schemeClr val="bg1"/>
                </a:solidFill>
              </a:ln>
              <a:effectLst/>
            </c:spPr>
          </c:dPt>
          <c:dPt>
            <c:idx val="7"/>
            <c:bubble3D val="0"/>
            <c:spPr>
              <a:solidFill>
                <a:schemeClr val="accent2"/>
              </a:solidFill>
              <a:ln w="12700">
                <a:solidFill>
                  <a:schemeClr val="bg1"/>
                </a:solidFill>
              </a:ln>
              <a:effectLst/>
            </c:spPr>
          </c:dPt>
          <c:cat>
            <c:strRef>
              <c:f>TRANSPORT!$B$88:$B$95</c:f>
              <c:strCache>
                <c:ptCount val="8"/>
                <c:pt idx="0">
                  <c:v>BUS</c:v>
                </c:pt>
                <c:pt idx="1">
                  <c:v>PASSENGER CAR</c:v>
                </c:pt>
                <c:pt idx="2">
                  <c:v>METRO</c:v>
                </c:pt>
                <c:pt idx="3">
                  <c:v>TRAM</c:v>
                </c:pt>
                <c:pt idx="4">
                  <c:v>PASSENGER TRAIN</c:v>
                </c:pt>
                <c:pt idx="5">
                  <c:v>RAIL TRANSPORT</c:v>
                </c:pt>
                <c:pt idx="6">
                  <c:v>ROAD TRANSPORT</c:v>
                </c:pt>
                <c:pt idx="7">
                  <c:v>TRANSPORT ON INLAND WATERWAYS</c:v>
                </c:pt>
              </c:strCache>
            </c:strRef>
          </c:cat>
          <c:val>
            <c:numRef>
              <c:f>TRANSPORT!$F$88:$F$95</c:f>
              <c:numCache>
                <c:formatCode>0.000</c:formatCode>
                <c:ptCount val="8"/>
                <c:pt idx="0">
                  <c:v>22.834876055489818</c:v>
                </c:pt>
                <c:pt idx="1">
                  <c:v>314.55178059938839</c:v>
                </c:pt>
                <c:pt idx="2">
                  <c:v>5.0843462960302963</c:v>
                </c:pt>
                <c:pt idx="3">
                  <c:v>0.45024085594741248</c:v>
                </c:pt>
                <c:pt idx="4">
                  <c:v>6.2246745528425063</c:v>
                </c:pt>
                <c:pt idx="5">
                  <c:v>0</c:v>
                </c:pt>
                <c:pt idx="6">
                  <c:v>29.641957853139782</c:v>
                </c:pt>
                <c:pt idx="7">
                  <c:v>0</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l"/>
      <c:layout>
        <c:manualLayout>
          <c:xMode val="edge"/>
          <c:yMode val="edge"/>
          <c:x val="0"/>
          <c:y val="0.15364698158640719"/>
          <c:w val="0.44057474031175897"/>
          <c:h val="0.6383962137370369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2630252529113466"/>
          <c:y val="0.15454565809605553"/>
          <c:w val="0.36166653925540859"/>
          <c:h val="0.70619248423330971"/>
        </c:manualLayout>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f>TRANSPORT!$B$8:$F$12</c:f>
              <c:strCache>
                <c:ptCount val="5"/>
                <c:pt idx="0">
                  <c:v>METROPOLITAN CENTER</c:v>
                </c:pt>
                <c:pt idx="1">
                  <c:v>URBAN</c:v>
                </c:pt>
                <c:pt idx="2">
                  <c:v>SUBURBAN</c:v>
                </c:pt>
                <c:pt idx="3">
                  <c:v>TOWN</c:v>
                </c:pt>
                <c:pt idx="4">
                  <c:v>RURAL</c:v>
                </c:pt>
              </c:strCache>
            </c:strRef>
          </c:cat>
          <c:val>
            <c:numRef>
              <c:f>TRANSPORT!$G$8:$G$12</c:f>
              <c:numCache>
                <c:formatCode>#,##0</c:formatCode>
                <c:ptCount val="5"/>
                <c:pt idx="0">
                  <c:v>0</c:v>
                </c:pt>
                <c:pt idx="1">
                  <c:v>50</c:v>
                </c:pt>
                <c:pt idx="2">
                  <c:v>50</c:v>
                </c:pt>
                <c:pt idx="3">
                  <c:v>0</c:v>
                </c:pt>
                <c:pt idx="4">
                  <c:v>0</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l"/>
      <c:layout>
        <c:manualLayout>
          <c:xMode val="edge"/>
          <c:yMode val="edge"/>
          <c:x val="4.539706672321544E-3"/>
          <c:y val="0.15367989715571267"/>
          <c:w val="0.35027929642622496"/>
          <c:h val="0.59348882337575115"/>
        </c:manualLayout>
      </c:layout>
      <c:overlay val="0"/>
      <c:spPr>
        <a:noFill/>
        <a:ln>
          <a:noFill/>
        </a:ln>
        <a:effectLst/>
      </c:spPr>
      <c:txPr>
        <a:bodyPr rot="0" spcFirstLastPara="1" vertOverflow="ellipsis" vert="horz" wrap="square" anchor="ctr" anchorCtr="1"/>
        <a:lstStyle/>
        <a:p>
          <a:pPr rtl="0">
            <a:defRPr sz="900" b="0" i="0" u="none" strike="noStrike" kern="1200" baseline="0">
              <a:ln>
                <a:noFill/>
              </a:ln>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747010217856944"/>
          <c:y val="0.26823129251700678"/>
          <c:w val="0.33935492711616344"/>
          <c:h val="0.69775510204081637"/>
        </c:manualLayout>
      </c:layout>
      <c:pieChart>
        <c:varyColors val="1"/>
        <c:ser>
          <c:idx val="1"/>
          <c:order val="1"/>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f>TRANSPORT!$B$138:$B$142</c:f>
              <c:strCache>
                <c:ptCount val="5"/>
                <c:pt idx="0">
                  <c:v>METROPOLITAN CENTER</c:v>
                </c:pt>
                <c:pt idx="1">
                  <c:v>URBAN</c:v>
                </c:pt>
                <c:pt idx="2">
                  <c:v>SUBURBAN</c:v>
                </c:pt>
                <c:pt idx="3">
                  <c:v>TOWN</c:v>
                </c:pt>
                <c:pt idx="4">
                  <c:v>RURAL</c:v>
                </c:pt>
              </c:strCache>
            </c:strRef>
          </c:cat>
          <c:val>
            <c:numRef>
              <c:f>TRANSPORT!$G$138:$G$142</c:f>
              <c:numCache>
                <c:formatCode>#,##0</c:formatCode>
                <c:ptCount val="5"/>
                <c:pt idx="0">
                  <c:v>100</c:v>
                </c:pt>
                <c:pt idx="1">
                  <c:v>0</c:v>
                </c:pt>
                <c:pt idx="2">
                  <c:v>0</c:v>
                </c:pt>
                <c:pt idx="3">
                  <c:v>0</c:v>
                </c:pt>
              </c:numCache>
            </c:numRef>
          </c:val>
        </c:ser>
        <c:dLbls>
          <c:showLegendKey val="0"/>
          <c:showVal val="0"/>
          <c:showCatName val="0"/>
          <c:showSerName val="0"/>
          <c:showPercent val="0"/>
          <c:showBubbleSize val="0"/>
          <c:showLeaderLines val="1"/>
        </c:dLbls>
        <c:firstSliceAng val="0"/>
        <c:extLst>
          <c:ext xmlns:c15="http://schemas.microsoft.com/office/drawing/2012/chart" uri="{02D57815-91ED-43cb-92C2-25804820EDAC}">
            <c15:filteredPieSeries>
              <c15: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extLst>
                      <c:ext uri="{02D57815-91ED-43cb-92C2-25804820EDAC}">
                        <c15:formulaRef>
                          <c15:sqref>TRANSPORT!$B$138:$B$142</c15:sqref>
                        </c15:formulaRef>
                      </c:ext>
                    </c:extLst>
                    <c:strCache>
                      <c:ptCount val="5"/>
                      <c:pt idx="0">
                        <c:v>METROPOLITAN CENTER</c:v>
                      </c:pt>
                      <c:pt idx="1">
                        <c:v>URBAN</c:v>
                      </c:pt>
                      <c:pt idx="2">
                        <c:v>SUBURBAN</c:v>
                      </c:pt>
                      <c:pt idx="3">
                        <c:v>TOWN</c:v>
                      </c:pt>
                      <c:pt idx="4">
                        <c:v>RURAL</c:v>
                      </c:pt>
                    </c:strCache>
                  </c:strRef>
                </c:cat>
                <c:val>
                  <c:numRef>
                    <c:extLst>
                      <c:ext uri="{02D57815-91ED-43cb-92C2-25804820EDAC}">
                        <c15:formulaRef>
                          <c15:sqref>TRANSPORT!$F$138:$F$142</c15:sqref>
                        </c15:formulaRef>
                      </c:ext>
                    </c:extLst>
                    <c:numCache>
                      <c:formatCode>General</c:formatCode>
                      <c:ptCount val="5"/>
                    </c:numCache>
                  </c:numRef>
                </c:val>
              </c15:ser>
            </c15:filteredPieSeries>
          </c:ext>
        </c:extLst>
      </c:pieChart>
      <c:spPr>
        <a:noFill/>
        <a:ln>
          <a:noFill/>
        </a:ln>
        <a:effectLst/>
      </c:spPr>
    </c:plotArea>
    <c:legend>
      <c:legendPos val="l"/>
      <c:layout>
        <c:manualLayout>
          <c:xMode val="edge"/>
          <c:yMode val="edge"/>
          <c:x val="0"/>
          <c:y val="0.28570305431730536"/>
          <c:w val="0.35027929642622496"/>
          <c:h val="0.4807835744136208"/>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cked"/>
        <c:varyColors val="0"/>
        <c:ser>
          <c:idx val="3"/>
          <c:order val="3"/>
          <c:tx>
            <c:strRef>
              <c:f>TRANSPORT!$S$204</c:f>
              <c:strCache>
                <c:ptCount val="1"/>
                <c:pt idx="0">
                  <c:v>total population</c:v>
                </c:pt>
              </c:strCache>
            </c:strRef>
          </c:tx>
          <c:spPr>
            <a:solidFill>
              <a:schemeClr val="accent4"/>
            </a:solidFill>
            <a:ln w="19050">
              <a:noFill/>
              <a:prstDash val="sysDash"/>
            </a:ln>
            <a:effectLst/>
          </c:spPr>
          <c:cat>
            <c:numRef>
              <c:extLst>
                <c:ext xmlns:c15="http://schemas.microsoft.com/office/drawing/2012/chart" uri="{02D57815-91ED-43cb-92C2-25804820EDAC}">
                  <c15:fullRef>
                    <c15:sqref>TRANSPORT!$X$200:$BA$200</c15:sqref>
                  </c15:fullRef>
                </c:ext>
              </c:extLst>
              <c:f>TRANSPORT!$Y$200:$BA$200</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TRANSPORT!$X$204:$BA$204</c15:sqref>
                  </c15:fullRef>
                </c:ext>
              </c:extLst>
              <c:f>TRANSPORT!$Y$204:$BA$204</c:f>
              <c:numCache>
                <c:formatCode>General</c:formatCode>
                <c:ptCount val="29"/>
                <c:pt idx="0">
                  <c:v>194942</c:v>
                </c:pt>
                <c:pt idx="1">
                  <c:v>194163</c:v>
                </c:pt>
                <c:pt idx="2">
                  <c:v>193387</c:v>
                </c:pt>
                <c:pt idx="3">
                  <c:v>192614</c:v>
                </c:pt>
                <c:pt idx="4">
                  <c:v>191844</c:v>
                </c:pt>
                <c:pt idx="5">
                  <c:v>191077</c:v>
                </c:pt>
                <c:pt idx="6">
                  <c:v>190313</c:v>
                </c:pt>
                <c:pt idx="7">
                  <c:v>189552</c:v>
                </c:pt>
                <c:pt idx="8">
                  <c:v>188794</c:v>
                </c:pt>
                <c:pt idx="9">
                  <c:v>188228</c:v>
                </c:pt>
                <c:pt idx="10">
                  <c:v>187664</c:v>
                </c:pt>
                <c:pt idx="11">
                  <c:v>187102</c:v>
                </c:pt>
                <c:pt idx="12">
                  <c:v>186541</c:v>
                </c:pt>
                <c:pt idx="13">
                  <c:v>185982</c:v>
                </c:pt>
                <c:pt idx="14">
                  <c:v>185425</c:v>
                </c:pt>
                <c:pt idx="15">
                  <c:v>184869</c:v>
                </c:pt>
                <c:pt idx="16">
                  <c:v>184315</c:v>
                </c:pt>
                <c:pt idx="17">
                  <c:v>183763</c:v>
                </c:pt>
                <c:pt idx="18">
                  <c:v>183212</c:v>
                </c:pt>
                <c:pt idx="19">
                  <c:v>182663</c:v>
                </c:pt>
                <c:pt idx="20">
                  <c:v>182116</c:v>
                </c:pt>
                <c:pt idx="21">
                  <c:v>181570</c:v>
                </c:pt>
                <c:pt idx="22">
                  <c:v>181026</c:v>
                </c:pt>
                <c:pt idx="23">
                  <c:v>180483</c:v>
                </c:pt>
                <c:pt idx="24">
                  <c:v>179942</c:v>
                </c:pt>
                <c:pt idx="25">
                  <c:v>179403</c:v>
                </c:pt>
                <c:pt idx="26">
                  <c:v>178865</c:v>
                </c:pt>
                <c:pt idx="27">
                  <c:v>178329</c:v>
                </c:pt>
                <c:pt idx="28">
                  <c:v>177795</c:v>
                </c:pt>
              </c:numCache>
            </c:numRef>
          </c:val>
        </c:ser>
        <c:dLbls>
          <c:showLegendKey val="0"/>
          <c:showVal val="0"/>
          <c:showCatName val="0"/>
          <c:showSerName val="0"/>
          <c:showPercent val="0"/>
          <c:showBubbleSize val="0"/>
        </c:dLbls>
        <c:axId val="467221120"/>
        <c:axId val="467224256"/>
      </c:areaChart>
      <c:lineChart>
        <c:grouping val="standard"/>
        <c:varyColors val="0"/>
        <c:ser>
          <c:idx val="1"/>
          <c:order val="1"/>
          <c:tx>
            <c:strRef>
              <c:f>TRANSPORT!$S$202</c:f>
              <c:strCache>
                <c:ptCount val="1"/>
                <c:pt idx="0">
                  <c:v>baseline population</c:v>
                </c:pt>
              </c:strCache>
            </c:strRef>
          </c:tx>
          <c:spPr>
            <a:ln w="28575" cap="rnd">
              <a:solidFill>
                <a:sysClr val="windowText" lastClr="000000"/>
              </a:solidFill>
              <a:prstDash val="sysDash"/>
              <a:round/>
            </a:ln>
            <a:effectLst/>
          </c:spPr>
          <c:marker>
            <c:symbol val="none"/>
          </c:marker>
          <c:cat>
            <c:strLit>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TRANSPORT!$X$202:$BA$202</c15:sqref>
                  </c15:fullRef>
                </c:ext>
              </c:extLst>
              <c:f>TRANSPORT!$Y$202:$BA$202</c:f>
              <c:numCache>
                <c:formatCode>General</c:formatCode>
                <c:ptCount val="29"/>
                <c:pt idx="0">
                  <c:v>194942</c:v>
                </c:pt>
                <c:pt idx="1">
                  <c:v>194163</c:v>
                </c:pt>
                <c:pt idx="2">
                  <c:v>193387</c:v>
                </c:pt>
                <c:pt idx="3">
                  <c:v>192614</c:v>
                </c:pt>
                <c:pt idx="4">
                  <c:v>191844</c:v>
                </c:pt>
                <c:pt idx="5">
                  <c:v>191077</c:v>
                </c:pt>
                <c:pt idx="6">
                  <c:v>190313</c:v>
                </c:pt>
                <c:pt idx="7">
                  <c:v>189552</c:v>
                </c:pt>
                <c:pt idx="8">
                  <c:v>188794</c:v>
                </c:pt>
                <c:pt idx="9">
                  <c:v>188228</c:v>
                </c:pt>
                <c:pt idx="10">
                  <c:v>187664</c:v>
                </c:pt>
                <c:pt idx="11">
                  <c:v>187102</c:v>
                </c:pt>
                <c:pt idx="12">
                  <c:v>186541</c:v>
                </c:pt>
                <c:pt idx="13">
                  <c:v>185982</c:v>
                </c:pt>
                <c:pt idx="14">
                  <c:v>185425</c:v>
                </c:pt>
                <c:pt idx="15">
                  <c:v>184869</c:v>
                </c:pt>
                <c:pt idx="16">
                  <c:v>184315</c:v>
                </c:pt>
                <c:pt idx="17">
                  <c:v>183763</c:v>
                </c:pt>
                <c:pt idx="18">
                  <c:v>183212</c:v>
                </c:pt>
                <c:pt idx="19">
                  <c:v>182663</c:v>
                </c:pt>
                <c:pt idx="20">
                  <c:v>182116</c:v>
                </c:pt>
                <c:pt idx="21">
                  <c:v>181570</c:v>
                </c:pt>
                <c:pt idx="22">
                  <c:v>181026</c:v>
                </c:pt>
                <c:pt idx="23">
                  <c:v>180483</c:v>
                </c:pt>
                <c:pt idx="24">
                  <c:v>179942</c:v>
                </c:pt>
                <c:pt idx="25">
                  <c:v>179403</c:v>
                </c:pt>
                <c:pt idx="26">
                  <c:v>178865</c:v>
                </c:pt>
                <c:pt idx="27">
                  <c:v>178329</c:v>
                </c:pt>
                <c:pt idx="28">
                  <c:v>177795</c:v>
                </c:pt>
              </c:numCache>
            </c:numRef>
          </c:val>
          <c:smooth val="0"/>
        </c:ser>
        <c:dLbls>
          <c:showLegendKey val="0"/>
          <c:showVal val="0"/>
          <c:showCatName val="0"/>
          <c:showSerName val="0"/>
          <c:showPercent val="0"/>
          <c:showBubbleSize val="0"/>
        </c:dLbls>
        <c:marker val="1"/>
        <c:smooth val="0"/>
        <c:axId val="467221120"/>
        <c:axId val="467224256"/>
        <c:extLst>
          <c:ext xmlns:c15="http://schemas.microsoft.com/office/drawing/2012/chart" uri="{02D57815-91ED-43cb-92C2-25804820EDAC}">
            <c15:filteredLineSeries>
              <c15:ser>
                <c:idx val="0"/>
                <c:order val="0"/>
                <c:spPr>
                  <a:ln w="28575" cap="rnd">
                    <a:solidFill>
                      <a:schemeClr val="accent1"/>
                    </a:solidFill>
                    <a:round/>
                  </a:ln>
                  <a:effectLst/>
                </c:spPr>
                <c:marker>
                  <c:symbol val="none"/>
                </c:marker>
                <c:cat>
                  <c:numRef>
                    <c:extLst>
                      <c:ext uri="{02D57815-91ED-43cb-92C2-25804820EDAC}">
                        <c15:fullRef>
                          <c15:sqref>TRANSPORT!$X$200:$BA$200</c15:sqref>
                        </c15:fullRef>
                        <c15:formulaRef>
                          <c15:sqref>TRANSPORT!$Y$200:$BA$200</c15:sqref>
                        </c15:formulaRef>
                      </c:ext>
                    </c:extLst>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uri="{02D57815-91ED-43cb-92C2-25804820EDAC}">
                        <c15:fullRef>
                          <c15:sqref>TRANSPORT!$X$201:$BA$201</c15:sqref>
                        </c15:fullRef>
                        <c15:formulaRef>
                          <c15:sqref>TRANSPORT!$Y$201:$BA$201</c15:sqref>
                        </c15:formulaRef>
                      </c:ext>
                    </c:extLst>
                    <c:numCache>
                      <c:formatCode>General</c:formatCode>
                      <c:ptCount val="29"/>
                    </c:numCache>
                  </c:numRef>
                </c:val>
                <c:smooth val="0"/>
              </c15:ser>
            </c15:filteredLineSeries>
            <c15:filteredLineSeries>
              <c15:ser>
                <c:idx val="2"/>
                <c:order val="2"/>
                <c:spPr>
                  <a:ln w="28575" cap="rnd">
                    <a:solidFill>
                      <a:schemeClr val="accent3"/>
                    </a:solidFill>
                    <a:round/>
                  </a:ln>
                  <a:effectLst/>
                </c:spPr>
                <c:marker>
                  <c:symbol val="none"/>
                </c:marker>
                <c:cat>
                  <c:numRef>
                    <c:extLst>
                      <c:ext xmlns:c15="http://schemas.microsoft.com/office/drawing/2012/chart" uri="{02D57815-91ED-43cb-92C2-25804820EDAC}">
                        <c15:fullRef>
                          <c15:sqref>TRANSPORT!$X$200:$BA$200</c15:sqref>
                        </c15:fullRef>
                        <c15:formulaRef>
                          <c15:sqref>TRANSPORT!$Y$200:$BA$200</c15:sqref>
                        </c15:formulaRef>
                      </c:ext>
                    </c:extLst>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TRANSPORT!$X$203:$BA$203</c15:sqref>
                        </c15:fullRef>
                        <c15:formulaRef>
                          <c15:sqref>TRANSPORT!$Y$203:$BA$203</c15:sqref>
                        </c15:formulaRef>
                      </c:ext>
                    </c:extLst>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15:ser>
            </c15:filteredLineSeries>
          </c:ext>
        </c:extLst>
      </c:lineChart>
      <c:catAx>
        <c:axId val="4672211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24256"/>
        <c:crosses val="autoZero"/>
        <c:auto val="1"/>
        <c:lblAlgn val="ctr"/>
        <c:lblOffset val="100"/>
        <c:noMultiLvlLbl val="0"/>
      </c:catAx>
      <c:valAx>
        <c:axId val="467224256"/>
        <c:scaling>
          <c:orientation val="minMax"/>
        </c:scaling>
        <c:delete val="0"/>
        <c:axPos val="l"/>
        <c:majorGridlines>
          <c:spPr>
            <a:ln w="9525" cap="flat" cmpd="sng" algn="ctr">
              <a:solidFill>
                <a:schemeClr val="bg1">
                  <a:lumMod val="5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21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BASELINE</a:t>
            </a:r>
            <a:r>
              <a:rPr lang="et-EE" baseline="0"/>
              <a:t> SCENARIO - TRANSPORT(tCO2e)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TRANSPORT!$S$188</c:f>
              <c:strCache>
                <c:ptCount val="1"/>
                <c:pt idx="0">
                  <c:v>Bus</c:v>
                </c:pt>
              </c:strCache>
            </c:strRef>
          </c:tx>
          <c:spPr>
            <a:solidFill>
              <a:schemeClr val="accent6"/>
            </a:solidFill>
            <a:ln>
              <a:noFill/>
            </a:ln>
            <a:effectLst/>
          </c:spPr>
          <c:invertIfNegative val="0"/>
          <c:cat>
            <c:numRef>
              <c:f>TRANSPORT!$X$187:$BA$187</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TRANSPORT!$X$188:$BA$188</c:f>
              <c:numCache>
                <c:formatCode>0.000</c:formatCode>
                <c:ptCount val="30"/>
                <c:pt idx="0">
                  <c:v>0</c:v>
                </c:pt>
                <c:pt idx="1">
                  <c:v>4451.4764080092964</c:v>
                </c:pt>
                <c:pt idx="2">
                  <c:v>4468.7445765810571</c:v>
                </c:pt>
                <c:pt idx="3">
                  <c:v>4485.9965370917389</c:v>
                </c:pt>
                <c:pt idx="4">
                  <c:v>4503.2413112618124</c:v>
                </c:pt>
                <c:pt idx="5">
                  <c:v>4520.0420631375491</c:v>
                </c:pt>
                <c:pt idx="6">
                  <c:v>4536.7776732577568</c:v>
                </c:pt>
                <c:pt idx="7">
                  <c:v>4553.4620637860426</c:v>
                </c:pt>
                <c:pt idx="8">
                  <c:v>4570.107842920338</c:v>
                </c:pt>
                <c:pt idx="9">
                  <c:v>4586.7264256821563</c:v>
                </c:pt>
                <c:pt idx="10">
                  <c:v>4603.4474438644393</c:v>
                </c:pt>
                <c:pt idx="11">
                  <c:v>4620.1747753073414</c:v>
                </c:pt>
                <c:pt idx="12">
                  <c:v>4636.9149129818315</c:v>
                </c:pt>
                <c:pt idx="13">
                  <c:v>4653.6488923662064</c:v>
                </c:pt>
                <c:pt idx="14">
                  <c:v>4670.406843163456</c:v>
                </c:pt>
                <c:pt idx="15">
                  <c:v>4686.4857669463054</c:v>
                </c:pt>
                <c:pt idx="16">
                  <c:v>4702.5369758255592</c:v>
                </c:pt>
                <c:pt idx="17">
                  <c:v>4718.5924669195556</c:v>
                </c:pt>
                <c:pt idx="18">
                  <c:v>4734.6585750193599</c:v>
                </c:pt>
                <c:pt idx="19">
                  <c:v>4750.7151985736573</c:v>
                </c:pt>
                <c:pt idx="20">
                  <c:v>4766.7932989339843</c:v>
                </c:pt>
                <c:pt idx="21">
                  <c:v>4782.8978087785827</c:v>
                </c:pt>
                <c:pt idx="22">
                  <c:v>4799.0068370033587</c:v>
                </c:pt>
                <c:pt idx="23">
                  <c:v>4815.1506555346969</c:v>
                </c:pt>
                <c:pt idx="24">
                  <c:v>4831.3063400846395</c:v>
                </c:pt>
                <c:pt idx="25">
                  <c:v>4848.3591000812175</c:v>
                </c:pt>
                <c:pt idx="26">
                  <c:v>4865.4799010177321</c:v>
                </c:pt>
                <c:pt idx="27">
                  <c:v>4882.6431090184342</c:v>
                </c:pt>
                <c:pt idx="28">
                  <c:v>4899.8772096789971</c:v>
                </c:pt>
                <c:pt idx="29">
                  <c:v>4917.1836368063232</c:v>
                </c:pt>
              </c:numCache>
            </c:numRef>
          </c:val>
        </c:ser>
        <c:ser>
          <c:idx val="1"/>
          <c:order val="1"/>
          <c:tx>
            <c:strRef>
              <c:f>TRANSPORT!$S$189</c:f>
              <c:strCache>
                <c:ptCount val="1"/>
                <c:pt idx="0">
                  <c:v>Car</c:v>
                </c:pt>
              </c:strCache>
            </c:strRef>
          </c:tx>
          <c:spPr>
            <a:solidFill>
              <a:schemeClr val="accent1"/>
            </a:solidFill>
            <a:ln>
              <a:noFill/>
            </a:ln>
            <a:effectLst/>
          </c:spPr>
          <c:invertIfNegative val="0"/>
          <c:cat>
            <c:numRef>
              <c:f>TRANSPORT!$X$187:$BA$187</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TRANSPORT!$X$189:$BA$189</c:f>
              <c:numCache>
                <c:formatCode>0.000</c:formatCode>
                <c:ptCount val="30"/>
                <c:pt idx="0">
                  <c:v>0</c:v>
                </c:pt>
                <c:pt idx="1">
                  <c:v>61319.353213605973</c:v>
                </c:pt>
                <c:pt idx="2">
                  <c:v>62295.80372404943</c:v>
                </c:pt>
                <c:pt idx="3">
                  <c:v>63295.847906240626</c:v>
                </c:pt>
                <c:pt idx="4">
                  <c:v>64303.076770818763</c:v>
                </c:pt>
                <c:pt idx="5">
                  <c:v>65326.351290580227</c:v>
                </c:pt>
                <c:pt idx="6">
                  <c:v>66365.927557433286</c:v>
                </c:pt>
                <c:pt idx="7">
                  <c:v>67422.06609764669</c:v>
                </c:pt>
                <c:pt idx="8">
                  <c:v>68495.031942694215</c:v>
                </c:pt>
                <c:pt idx="9">
                  <c:v>69585.094702073009</c:v>
                </c:pt>
                <c:pt idx="10">
                  <c:v>70277.950022358258</c:v>
                </c:pt>
                <c:pt idx="11">
                  <c:v>70977.851299268936</c:v>
                </c:pt>
                <c:pt idx="12">
                  <c:v>71684.87211490082</c:v>
                </c:pt>
                <c:pt idx="13">
                  <c:v>72398.748873085075</c:v>
                </c:pt>
                <c:pt idx="14">
                  <c:v>73119.879159350588</c:v>
                </c:pt>
                <c:pt idx="15">
                  <c:v>73848.339960025391</c:v>
                </c:pt>
                <c:pt idx="16">
                  <c:v>74583.805794586631</c:v>
                </c:pt>
                <c:pt idx="17">
                  <c:v>75326.748563275658</c:v>
                </c:pt>
                <c:pt idx="18">
                  <c:v>76077.248002817389</c:v>
                </c:pt>
                <c:pt idx="19">
                  <c:v>76834.965475721314</c:v>
                </c:pt>
                <c:pt idx="20">
                  <c:v>77600.391212033224</c:v>
                </c:pt>
                <c:pt idx="21">
                  <c:v>78373.607779419777</c:v>
                </c:pt>
                <c:pt idx="22">
                  <c:v>79154.262836400623</c:v>
                </c:pt>
                <c:pt idx="23">
                  <c:v>79942.865642382894</c:v>
                </c:pt>
                <c:pt idx="24">
                  <c:v>80739.054333990338</c:v>
                </c:pt>
                <c:pt idx="25">
                  <c:v>81543.35118630332</c:v>
                </c:pt>
                <c:pt idx="26">
                  <c:v>82355.843608182942</c:v>
                </c:pt>
                <c:pt idx="27">
                  <c:v>83176.15507712106</c:v>
                </c:pt>
                <c:pt idx="28">
                  <c:v>84004.828129605579</c:v>
                </c:pt>
                <c:pt idx="29">
                  <c:v>84841.953251617553</c:v>
                </c:pt>
              </c:numCache>
            </c:numRef>
          </c:val>
        </c:ser>
        <c:ser>
          <c:idx val="2"/>
          <c:order val="2"/>
          <c:tx>
            <c:strRef>
              <c:f>TRANSPORT!$S$190</c:f>
              <c:strCache>
                <c:ptCount val="1"/>
                <c:pt idx="0">
                  <c:v>Metro</c:v>
                </c:pt>
              </c:strCache>
            </c:strRef>
          </c:tx>
          <c:spPr>
            <a:solidFill>
              <a:schemeClr val="accent3"/>
            </a:solidFill>
            <a:ln>
              <a:noFill/>
            </a:ln>
            <a:effectLst/>
          </c:spPr>
          <c:invertIfNegative val="0"/>
          <c:cat>
            <c:numRef>
              <c:f>TRANSPORT!$X$187:$BA$187</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TRANSPORT!$X$190:$BA$190</c:f>
              <c:numCache>
                <c:formatCode>0.000</c:formatCode>
                <c:ptCount val="30"/>
                <c:pt idx="0">
                  <c:v>0</c:v>
                </c:pt>
                <c:pt idx="1">
                  <c:v>991.15263564073814</c:v>
                </c:pt>
                <c:pt idx="2">
                  <c:v>929.56241086202272</c:v>
                </c:pt>
                <c:pt idx="3">
                  <c:v>871.79940265105665</c:v>
                </c:pt>
                <c:pt idx="4">
                  <c:v>817.62578777032002</c:v>
                </c:pt>
                <c:pt idx="5">
                  <c:v>766.81852131827213</c:v>
                </c:pt>
                <c:pt idx="6">
                  <c:v>719.16841840355482</c:v>
                </c:pt>
                <c:pt idx="7">
                  <c:v>674.47929288395801</c:v>
                </c:pt>
                <c:pt idx="8">
                  <c:v>632.5671496241489</c:v>
                </c:pt>
                <c:pt idx="9">
                  <c:v>593.25942694650428</c:v>
                </c:pt>
                <c:pt idx="10">
                  <c:v>563.01802765790637</c:v>
                </c:pt>
                <c:pt idx="11">
                  <c:v>534.31818369804466</c:v>
                </c:pt>
                <c:pt idx="12">
                  <c:v>507.08131428403681</c:v>
                </c:pt>
                <c:pt idx="13">
                  <c:v>481.2328442884081</c:v>
                </c:pt>
                <c:pt idx="14">
                  <c:v>456.70200005080653</c:v>
                </c:pt>
                <c:pt idx="15">
                  <c:v>433.4216155982167</c:v>
                </c:pt>
                <c:pt idx="16">
                  <c:v>411.32794874309758</c:v>
                </c:pt>
                <c:pt idx="17">
                  <c:v>390.36050655591833</c:v>
                </c:pt>
                <c:pt idx="18">
                  <c:v>370.46187973423042</c:v>
                </c:pt>
                <c:pt idx="19">
                  <c:v>351.57758541477801</c:v>
                </c:pt>
                <c:pt idx="20">
                  <c:v>333.65591799825978</c:v>
                </c:pt>
                <c:pt idx="21">
                  <c:v>316.64780757829851</c:v>
                </c:pt>
                <c:pt idx="22">
                  <c:v>300.50668558699476</c:v>
                </c:pt>
                <c:pt idx="23">
                  <c:v>285.18835728919771</c:v>
                </c:pt>
                <c:pt idx="24">
                  <c:v>270.65088077638097</c:v>
                </c:pt>
                <c:pt idx="25">
                  <c:v>256.85445212880489</c:v>
                </c:pt>
                <c:pt idx="26">
                  <c:v>243.76129643153908</c:v>
                </c:pt>
                <c:pt idx="27">
                  <c:v>231.33556434594138</c:v>
                </c:pt>
                <c:pt idx="28">
                  <c:v>219.54323395340703</c:v>
                </c:pt>
                <c:pt idx="29">
                  <c:v>208.35201760263209</c:v>
                </c:pt>
              </c:numCache>
            </c:numRef>
          </c:val>
        </c:ser>
        <c:ser>
          <c:idx val="3"/>
          <c:order val="3"/>
          <c:tx>
            <c:strRef>
              <c:f>TRANSPORT!$S$191</c:f>
              <c:strCache>
                <c:ptCount val="1"/>
                <c:pt idx="0">
                  <c:v>Tram</c:v>
                </c:pt>
              </c:strCache>
            </c:strRef>
          </c:tx>
          <c:spPr>
            <a:solidFill>
              <a:schemeClr val="accent4"/>
            </a:solidFill>
            <a:ln>
              <a:noFill/>
            </a:ln>
            <a:effectLst/>
          </c:spPr>
          <c:invertIfNegative val="0"/>
          <c:cat>
            <c:numRef>
              <c:f>TRANSPORT!$X$187:$BA$187</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TRANSPORT!$X$191:$BA$191</c:f>
              <c:numCache>
                <c:formatCode>0.000</c:formatCode>
                <c:ptCount val="30"/>
                <c:pt idx="0">
                  <c:v>0</c:v>
                </c:pt>
                <c:pt idx="1">
                  <c:v>87.770852940100482</c:v>
                </c:pt>
                <c:pt idx="2">
                  <c:v>82.316772138402655</c:v>
                </c:pt>
                <c:pt idx="3">
                  <c:v>77.201607917722313</c:v>
                </c:pt>
                <c:pt idx="4">
                  <c:v>72.404300001715029</c:v>
                </c:pt>
                <c:pt idx="5">
                  <c:v>67.905096799608486</c:v>
                </c:pt>
                <c:pt idx="6">
                  <c:v>63.685474084480809</c:v>
                </c:pt>
                <c:pt idx="7">
                  <c:v>59.728058724871168</c:v>
                </c:pt>
                <c:pt idx="8">
                  <c:v>56.016557155707673</c:v>
                </c:pt>
                <c:pt idx="9">
                  <c:v>52.535688294052001</c:v>
                </c:pt>
                <c:pt idx="10">
                  <c:v>49.808560714707767</c:v>
                </c:pt>
                <c:pt idx="11">
                  <c:v>47.222998328007293</c:v>
                </c:pt>
                <c:pt idx="12">
                  <c:v>44.771652484800441</c:v>
                </c:pt>
                <c:pt idx="13">
                  <c:v>42.44755600431445</c:v>
                </c:pt>
                <c:pt idx="14">
                  <c:v>40.244103372130489</c:v>
                </c:pt>
                <c:pt idx="15">
                  <c:v>38.155031966083193</c:v>
                </c:pt>
                <c:pt idx="16">
                  <c:v>36.174404256723825</c:v>
                </c:pt>
                <c:pt idx="17">
                  <c:v>34.296590931757301</c:v>
                </c:pt>
                <c:pt idx="18">
                  <c:v>32.516254896489784</c:v>
                </c:pt>
                <c:pt idx="19">
                  <c:v>30.828336104812998</c:v>
                </c:pt>
                <c:pt idx="20">
                  <c:v>29.228037177612158</c:v>
                </c:pt>
                <c:pt idx="21">
                  <c:v>27.710809767722314</c:v>
                </c:pt>
                <c:pt idx="22">
                  <c:v>26.272341632679858</c:v>
                </c:pt>
                <c:pt idx="23">
                  <c:v>24.908544378527456</c:v>
                </c:pt>
                <c:pt idx="24">
                  <c:v>23.615541839838095</c:v>
                </c:pt>
                <c:pt idx="25">
                  <c:v>22.389659062932104</c:v>
                </c:pt>
                <c:pt idx="26">
                  <c:v>21.227411860975302</c:v>
                </c:pt>
                <c:pt idx="27">
                  <c:v>20.125496911272077</c:v>
                </c:pt>
                <c:pt idx="28">
                  <c:v>19.080782366607941</c:v>
                </c:pt>
                <c:pt idx="29">
                  <c:v>18.09029895395733</c:v>
                </c:pt>
              </c:numCache>
            </c:numRef>
          </c:val>
        </c:ser>
        <c:ser>
          <c:idx val="4"/>
          <c:order val="4"/>
          <c:tx>
            <c:strRef>
              <c:f>TRANSPORT!$S$192</c:f>
              <c:strCache>
                <c:ptCount val="1"/>
                <c:pt idx="0">
                  <c:v>Passenger train</c:v>
                </c:pt>
              </c:strCache>
            </c:strRef>
          </c:tx>
          <c:spPr>
            <a:solidFill>
              <a:schemeClr val="accent5"/>
            </a:solidFill>
            <a:ln>
              <a:noFill/>
            </a:ln>
            <a:effectLst/>
          </c:spPr>
          <c:invertIfNegative val="0"/>
          <c:cat>
            <c:numRef>
              <c:f>TRANSPORT!$X$187:$BA$187</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TRANSPORT!$X$192:$BA$192</c:f>
              <c:numCache>
                <c:formatCode>0.000</c:formatCode>
                <c:ptCount val="30"/>
                <c:pt idx="0">
                  <c:v>0</c:v>
                </c:pt>
                <c:pt idx="1">
                  <c:v>1213.450506680224</c:v>
                </c:pt>
                <c:pt idx="2">
                  <c:v>1169.2610382374824</c:v>
                </c:pt>
                <c:pt idx="3">
                  <c:v>1128.3738351236686</c:v>
                </c:pt>
                <c:pt idx="4">
                  <c:v>1090.5756873498424</c:v>
                </c:pt>
                <c:pt idx="5">
                  <c:v>1055.6674708247795</c:v>
                </c:pt>
                <c:pt idx="6">
                  <c:v>1023.4632211662222</c:v>
                </c:pt>
                <c:pt idx="7">
                  <c:v>993.78926842767009</c:v>
                </c:pt>
                <c:pt idx="8">
                  <c:v>966.48342873792876</c:v>
                </c:pt>
                <c:pt idx="9">
                  <c:v>941.39424911348067</c:v>
                </c:pt>
                <c:pt idx="10">
                  <c:v>923.21946771282671</c:v>
                </c:pt>
                <c:pt idx="11">
                  <c:v>906.40698592764761</c:v>
                </c:pt>
                <c:pt idx="12">
                  <c:v>890.88626514050986</c:v>
                </c:pt>
                <c:pt idx="13">
                  <c:v>876.58598134286012</c:v>
                </c:pt>
                <c:pt idx="14">
                  <c:v>863.44802182491287</c:v>
                </c:pt>
                <c:pt idx="15">
                  <c:v>851.41294285465278</c:v>
                </c:pt>
                <c:pt idx="16">
                  <c:v>840.42006250124837</c:v>
                </c:pt>
                <c:pt idx="17">
                  <c:v>830.42099928350899</c:v>
                </c:pt>
                <c:pt idx="18">
                  <c:v>821.36568650017784</c:v>
                </c:pt>
                <c:pt idx="19">
                  <c:v>813.20241487770284</c:v>
                </c:pt>
                <c:pt idx="20">
                  <c:v>805.89104914942936</c:v>
                </c:pt>
                <c:pt idx="21">
                  <c:v>799.38944865190763</c:v>
                </c:pt>
                <c:pt idx="22">
                  <c:v>793.65346538111601</c:v>
                </c:pt>
                <c:pt idx="23">
                  <c:v>788.64995733567355</c:v>
                </c:pt>
                <c:pt idx="24">
                  <c:v>784.33913858415758</c:v>
                </c:pt>
                <c:pt idx="25">
                  <c:v>780.69192777048318</c:v>
                </c:pt>
                <c:pt idx="26">
                  <c:v>777.67676285536731</c:v>
                </c:pt>
                <c:pt idx="27">
                  <c:v>775.25953496639568</c:v>
                </c:pt>
                <c:pt idx="28">
                  <c:v>773.41648876333352</c:v>
                </c:pt>
                <c:pt idx="29">
                  <c:v>772.1211291887887</c:v>
                </c:pt>
              </c:numCache>
            </c:numRef>
          </c:val>
        </c:ser>
        <c:ser>
          <c:idx val="5"/>
          <c:order val="5"/>
          <c:tx>
            <c:strRef>
              <c:f>TRANSPORT!$S$193</c:f>
              <c:strCache>
                <c:ptCount val="1"/>
                <c:pt idx="0">
                  <c:v>Freight on rails</c:v>
                </c:pt>
              </c:strCache>
            </c:strRef>
          </c:tx>
          <c:spPr>
            <a:solidFill>
              <a:schemeClr val="accent6"/>
            </a:solidFill>
            <a:ln>
              <a:noFill/>
            </a:ln>
            <a:effectLst/>
          </c:spPr>
          <c:invertIfNegative val="0"/>
          <c:cat>
            <c:numRef>
              <c:f>TRANSPORT!$X$187:$BA$187</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TRANSPORT!$X$193:$BA$193</c:f>
              <c:numCache>
                <c:formatCode>0.000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er>
        <c:ser>
          <c:idx val="6"/>
          <c:order val="6"/>
          <c:tx>
            <c:strRef>
              <c:f>TRANSPORT!$S$194</c:f>
              <c:strCache>
                <c:ptCount val="1"/>
                <c:pt idx="0">
                  <c:v>Freight on road</c:v>
                </c:pt>
              </c:strCache>
            </c:strRef>
          </c:tx>
          <c:spPr>
            <a:solidFill>
              <a:schemeClr val="accent1">
                <a:lumMod val="60000"/>
              </a:schemeClr>
            </a:solidFill>
            <a:ln>
              <a:noFill/>
            </a:ln>
            <a:effectLst/>
          </c:spPr>
          <c:invertIfNegative val="0"/>
          <c:cat>
            <c:numRef>
              <c:f>TRANSPORT!$X$187:$BA$187</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TRANSPORT!$X$194:$BA$194</c:f>
              <c:numCache>
                <c:formatCode>0.000</c:formatCode>
                <c:ptCount val="30"/>
                <c:pt idx="0">
                  <c:v>0</c:v>
                </c:pt>
                <c:pt idx="1">
                  <c:v>5778.4625478067755</c:v>
                </c:pt>
                <c:pt idx="2">
                  <c:v>5899.2557492051583</c:v>
                </c:pt>
                <c:pt idx="3">
                  <c:v>6022.5704993269901</c:v>
                </c:pt>
                <c:pt idx="4">
                  <c:v>6148.4597155512165</c:v>
                </c:pt>
                <c:pt idx="5">
                  <c:v>6276.9774435501195</c:v>
                </c:pt>
                <c:pt idx="6">
                  <c:v>6408.1788820904303</c:v>
                </c:pt>
                <c:pt idx="7">
                  <c:v>6542.1204084058172</c:v>
                </c:pt>
                <c:pt idx="8">
                  <c:v>6678.8596041546962</c:v>
                </c:pt>
                <c:pt idx="9">
                  <c:v>6818.4552819777755</c:v>
                </c:pt>
                <c:pt idx="10">
                  <c:v>6886.387890646537</c:v>
                </c:pt>
                <c:pt idx="11">
                  <c:v>6955.00855012392</c:v>
                </c:pt>
                <c:pt idx="12">
                  <c:v>7024.3246327051256</c:v>
                </c:pt>
                <c:pt idx="13">
                  <c:v>7094.3055677997536</c:v>
                </c:pt>
                <c:pt idx="14">
                  <c:v>7164.9959467675772</c:v>
                </c:pt>
                <c:pt idx="15">
                  <c:v>7236.4033900267759</c:v>
                </c:pt>
                <c:pt idx="16">
                  <c:v>7308.4960758738107</c:v>
                </c:pt>
                <c:pt idx="17">
                  <c:v>7381.3203140039814</c:v>
                </c:pt>
                <c:pt idx="18">
                  <c:v>7454.8839823428571</c:v>
                </c:pt>
                <c:pt idx="19">
                  <c:v>7529.153958235599</c:v>
                </c:pt>
                <c:pt idx="20">
                  <c:v>7604.1783372068458</c:v>
                </c:pt>
                <c:pt idx="21">
                  <c:v>7679.9652644789903</c:v>
                </c:pt>
                <c:pt idx="22">
                  <c:v>7756.48026467405</c:v>
                </c:pt>
                <c:pt idx="23">
                  <c:v>7833.7732893429093</c:v>
                </c:pt>
                <c:pt idx="24">
                  <c:v>7911.8089243535314</c:v>
                </c:pt>
                <c:pt idx="25">
                  <c:v>7990.6383916772284</c:v>
                </c:pt>
                <c:pt idx="26">
                  <c:v>8070.2702975071788</c:v>
                </c:pt>
                <c:pt idx="27">
                  <c:v>8150.667783824957</c:v>
                </c:pt>
                <c:pt idx="28">
                  <c:v>8231.8840515450374</c:v>
                </c:pt>
                <c:pt idx="29">
                  <c:v>8313.9280020003898</c:v>
                </c:pt>
              </c:numCache>
            </c:numRef>
          </c:val>
        </c:ser>
        <c:ser>
          <c:idx val="7"/>
          <c:order val="7"/>
          <c:tx>
            <c:strRef>
              <c:f>TRANSPORT!$S$195</c:f>
              <c:strCache>
                <c:ptCount val="1"/>
                <c:pt idx="0">
                  <c:v>Freight on waterways</c:v>
                </c:pt>
              </c:strCache>
            </c:strRef>
          </c:tx>
          <c:spPr>
            <a:solidFill>
              <a:schemeClr val="accent2"/>
            </a:solidFill>
            <a:ln>
              <a:noFill/>
            </a:ln>
            <a:effectLst/>
          </c:spPr>
          <c:invertIfNegative val="0"/>
          <c:cat>
            <c:numRef>
              <c:f>TRANSPORT!$X$187:$BA$187</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TRANSPORT!$X$195:$BA$195</c:f>
              <c:numCache>
                <c:formatCode>0.000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er>
        <c:dLbls>
          <c:showLegendKey val="0"/>
          <c:showVal val="0"/>
          <c:showCatName val="0"/>
          <c:showSerName val="0"/>
          <c:showPercent val="0"/>
          <c:showBubbleSize val="0"/>
        </c:dLbls>
        <c:gapWidth val="10"/>
        <c:overlap val="100"/>
        <c:axId val="467217984"/>
        <c:axId val="467221512"/>
      </c:barChart>
      <c:catAx>
        <c:axId val="467217984"/>
        <c:scaling>
          <c:orientation val="minMax"/>
        </c:scaling>
        <c:delete val="0"/>
        <c:axPos val="b"/>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21512"/>
        <c:crosses val="autoZero"/>
        <c:auto val="1"/>
        <c:lblAlgn val="ctr"/>
        <c:lblOffset val="100"/>
        <c:noMultiLvlLbl val="0"/>
      </c:catAx>
      <c:valAx>
        <c:axId val="467221512"/>
        <c:scaling>
          <c:orientation val="minMax"/>
        </c:scaling>
        <c:delete val="0"/>
        <c:axPos val="l"/>
        <c:majorGridlines>
          <c:spPr>
            <a:ln w="9525" cap="flat" cmpd="sng" algn="ctr">
              <a:solidFill>
                <a:schemeClr val="bg1">
                  <a:lumMod val="5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17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POLICY IMPACT </a:t>
            </a:r>
            <a:r>
              <a:rPr lang="et-EE" baseline="0"/>
              <a:t>- TRANSPORT (tCO2e)</a:t>
            </a:r>
            <a:endParaRPr lang="en-US"/>
          </a:p>
        </c:rich>
      </c:tx>
      <c:layout>
        <c:manualLayout>
          <c:xMode val="edge"/>
          <c:yMode val="edge"/>
          <c:x val="0.31339285714285714"/>
          <c:y val="9.2592592592592587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TRANSPORT!$S$646</c:f>
              <c:strCache>
                <c:ptCount val="1"/>
                <c:pt idx="0">
                  <c:v>Bus</c:v>
                </c:pt>
              </c:strCache>
            </c:strRef>
          </c:tx>
          <c:spPr>
            <a:solidFill>
              <a:schemeClr val="accent1"/>
            </a:solidFill>
            <a:ln>
              <a:noFill/>
            </a:ln>
            <a:effectLst/>
          </c:spPr>
          <c:invertIfNegative val="0"/>
          <c:cat>
            <c:numRef>
              <c:f>TRANSPORT!$Y$645:$BA$645</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TRANSPORT!$Y$646:$BA$646</c:f>
              <c:numCache>
                <c:formatCode>0.000</c:formatCode>
                <c:ptCount val="29"/>
                <c:pt idx="0">
                  <c:v>4451.4764080092964</c:v>
                </c:pt>
                <c:pt idx="1">
                  <c:v>4468.7445765810571</c:v>
                </c:pt>
                <c:pt idx="2">
                  <c:v>4485.9965370917389</c:v>
                </c:pt>
                <c:pt idx="3">
                  <c:v>4503.2413112618124</c:v>
                </c:pt>
                <c:pt idx="4">
                  <c:v>4520.0420631375491</c:v>
                </c:pt>
                <c:pt idx="5">
                  <c:v>4536.7776732577568</c:v>
                </c:pt>
                <c:pt idx="6">
                  <c:v>4553.4620637860426</c:v>
                </c:pt>
                <c:pt idx="7">
                  <c:v>4570.107842920338</c:v>
                </c:pt>
                <c:pt idx="8">
                  <c:v>4586.7264256821563</c:v>
                </c:pt>
                <c:pt idx="9">
                  <c:v>4603.4474438644393</c:v>
                </c:pt>
                <c:pt idx="10">
                  <c:v>4620.1747753073414</c:v>
                </c:pt>
                <c:pt idx="11">
                  <c:v>4636.9149129818325</c:v>
                </c:pt>
                <c:pt idx="12">
                  <c:v>4653.6488923662064</c:v>
                </c:pt>
                <c:pt idx="13">
                  <c:v>4670.406843163456</c:v>
                </c:pt>
                <c:pt idx="14">
                  <c:v>4686.4857669463054</c:v>
                </c:pt>
                <c:pt idx="15">
                  <c:v>4702.5369758255601</c:v>
                </c:pt>
                <c:pt idx="16">
                  <c:v>4718.5924669195556</c:v>
                </c:pt>
                <c:pt idx="17">
                  <c:v>4734.6585750193599</c:v>
                </c:pt>
                <c:pt idx="18">
                  <c:v>4750.7151985736573</c:v>
                </c:pt>
                <c:pt idx="19">
                  <c:v>4766.7932989339843</c:v>
                </c:pt>
                <c:pt idx="20">
                  <c:v>4782.8978087785827</c:v>
                </c:pt>
                <c:pt idx="21">
                  <c:v>4799.0068370033587</c:v>
                </c:pt>
                <c:pt idx="22">
                  <c:v>4815.1506555346969</c:v>
                </c:pt>
                <c:pt idx="23">
                  <c:v>4831.3063400846395</c:v>
                </c:pt>
                <c:pt idx="24">
                  <c:v>4848.3591000812175</c:v>
                </c:pt>
                <c:pt idx="25">
                  <c:v>4865.4799010177321</c:v>
                </c:pt>
                <c:pt idx="26">
                  <c:v>4882.6431090184342</c:v>
                </c:pt>
                <c:pt idx="27">
                  <c:v>4899.8772096789971</c:v>
                </c:pt>
                <c:pt idx="28">
                  <c:v>4917.1836368063232</c:v>
                </c:pt>
              </c:numCache>
            </c:numRef>
          </c:val>
        </c:ser>
        <c:ser>
          <c:idx val="1"/>
          <c:order val="1"/>
          <c:tx>
            <c:strRef>
              <c:f>TRANSPORT!$S$647</c:f>
              <c:strCache>
                <c:ptCount val="1"/>
                <c:pt idx="0">
                  <c:v>Car</c:v>
                </c:pt>
              </c:strCache>
            </c:strRef>
          </c:tx>
          <c:spPr>
            <a:solidFill>
              <a:schemeClr val="accent2"/>
            </a:solidFill>
            <a:ln>
              <a:noFill/>
            </a:ln>
            <a:effectLst/>
          </c:spPr>
          <c:invertIfNegative val="0"/>
          <c:cat>
            <c:numRef>
              <c:f>TRANSPORT!$Y$645:$BA$645</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TRANSPORT!$Y$647:$BA$647</c:f>
              <c:numCache>
                <c:formatCode>0.000</c:formatCode>
                <c:ptCount val="29"/>
                <c:pt idx="0">
                  <c:v>61319.353213605973</c:v>
                </c:pt>
                <c:pt idx="1">
                  <c:v>62295.80372404943</c:v>
                </c:pt>
                <c:pt idx="2">
                  <c:v>63295.847906240626</c:v>
                </c:pt>
                <c:pt idx="3">
                  <c:v>64303.076770818763</c:v>
                </c:pt>
                <c:pt idx="4">
                  <c:v>65326.351290580227</c:v>
                </c:pt>
                <c:pt idx="5">
                  <c:v>66365.927557433286</c:v>
                </c:pt>
                <c:pt idx="6">
                  <c:v>67422.06609764669</c:v>
                </c:pt>
                <c:pt idx="7">
                  <c:v>68495.031942694215</c:v>
                </c:pt>
                <c:pt idx="8">
                  <c:v>69585.094702073009</c:v>
                </c:pt>
                <c:pt idx="9">
                  <c:v>70277.950022358258</c:v>
                </c:pt>
                <c:pt idx="10">
                  <c:v>70977.851299268936</c:v>
                </c:pt>
                <c:pt idx="11">
                  <c:v>71684.87211490082</c:v>
                </c:pt>
                <c:pt idx="12">
                  <c:v>72398.748873085075</c:v>
                </c:pt>
                <c:pt idx="13">
                  <c:v>73119.879159350588</c:v>
                </c:pt>
                <c:pt idx="14">
                  <c:v>73848.339960025391</c:v>
                </c:pt>
                <c:pt idx="15">
                  <c:v>74583.805794586631</c:v>
                </c:pt>
                <c:pt idx="16">
                  <c:v>75326.748563275658</c:v>
                </c:pt>
                <c:pt idx="17">
                  <c:v>76077.248002817389</c:v>
                </c:pt>
                <c:pt idx="18">
                  <c:v>76834.965475721314</c:v>
                </c:pt>
                <c:pt idx="19">
                  <c:v>77600.391212033224</c:v>
                </c:pt>
                <c:pt idx="20">
                  <c:v>78373.607779419777</c:v>
                </c:pt>
                <c:pt idx="21">
                  <c:v>79154.262836400623</c:v>
                </c:pt>
                <c:pt idx="22">
                  <c:v>79942.865642382894</c:v>
                </c:pt>
                <c:pt idx="23">
                  <c:v>80739.054333990338</c:v>
                </c:pt>
                <c:pt idx="24">
                  <c:v>81543.35118630332</c:v>
                </c:pt>
                <c:pt idx="25">
                  <c:v>82355.843608182942</c:v>
                </c:pt>
                <c:pt idx="26">
                  <c:v>83176.15507712106</c:v>
                </c:pt>
                <c:pt idx="27">
                  <c:v>84004.828129605579</c:v>
                </c:pt>
                <c:pt idx="28">
                  <c:v>84841.953251617553</c:v>
                </c:pt>
              </c:numCache>
            </c:numRef>
          </c:val>
        </c:ser>
        <c:ser>
          <c:idx val="2"/>
          <c:order val="2"/>
          <c:tx>
            <c:strRef>
              <c:f>TRANSPORT!$S$648</c:f>
              <c:strCache>
                <c:ptCount val="1"/>
                <c:pt idx="0">
                  <c:v>Metro</c:v>
                </c:pt>
              </c:strCache>
            </c:strRef>
          </c:tx>
          <c:spPr>
            <a:solidFill>
              <a:schemeClr val="accent3"/>
            </a:solidFill>
            <a:ln>
              <a:noFill/>
            </a:ln>
            <a:effectLst/>
          </c:spPr>
          <c:invertIfNegative val="0"/>
          <c:cat>
            <c:numRef>
              <c:f>TRANSPORT!$Y$645:$BA$645</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TRANSPORT!$Y$648:$BA$648</c:f>
              <c:numCache>
                <c:formatCode>0.000</c:formatCode>
                <c:ptCount val="29"/>
                <c:pt idx="0">
                  <c:v>5.0843462960302975E-6</c:v>
                </c:pt>
                <c:pt idx="1">
                  <c:v>4.7875363012624597E-6</c:v>
                </c:pt>
                <c:pt idx="2">
                  <c:v>4.5080558809591989E-6</c:v>
                </c:pt>
                <c:pt idx="3">
                  <c:v>4.2448928311042813E-6</c:v>
                </c:pt>
                <c:pt idx="4">
                  <c:v>3.9970941041589644E-6</c:v>
                </c:pt>
                <c:pt idx="5">
                  <c:v>3.7637623492286087E-6</c:v>
                </c:pt>
                <c:pt idx="6">
                  <c:v>3.5440526547527388E-6</c:v>
                </c:pt>
                <c:pt idx="7">
                  <c:v>3.3371694818527311E-6</c:v>
                </c:pt>
                <c:pt idx="8">
                  <c:v>3.1423637771672E-6</c:v>
                </c:pt>
                <c:pt idx="9">
                  <c:v>2.9911491789633119E-6</c:v>
                </c:pt>
                <c:pt idx="10">
                  <c:v>2.8472066229966572E-6</c:v>
                </c:pt>
                <c:pt idx="11">
                  <c:v>2.7101864987228188E-6</c:v>
                </c:pt>
                <c:pt idx="12">
                  <c:v>2.5797698323071503E-6</c:v>
                </c:pt>
                <c:pt idx="13">
                  <c:v>2.4556247381510387E-6</c:v>
                </c:pt>
                <c:pt idx="14">
                  <c:v>2.33744972683412E-6</c:v>
                </c:pt>
                <c:pt idx="15">
                  <c:v>2.2249698367119292E-6</c:v>
                </c:pt>
                <c:pt idx="16">
                  <c:v>2.1178987415886842E-6</c:v>
                </c:pt>
                <c:pt idx="17">
                  <c:v>2.0159764464785098E-6</c:v>
                </c:pt>
                <c:pt idx="18">
                  <c:v>1.9189659269850117E-6</c:v>
                </c:pt>
                <c:pt idx="19">
                  <c:v>1.8266201584243104E-6</c:v>
                </c:pt>
                <c:pt idx="20">
                  <c:v>1.7387149266308207E-6</c:v>
                </c:pt>
                <c:pt idx="21">
                  <c:v>1.6550459083934285E-6</c:v>
                </c:pt>
                <c:pt idx="22">
                  <c:v>1.5753999828157155E-6</c:v>
                </c:pt>
                <c:pt idx="23">
                  <c:v>1.4995920988479854E-6</c:v>
                </c:pt>
                <c:pt idx="24">
                  <c:v>1.4274291278790107E-6</c:v>
                </c:pt>
                <c:pt idx="25">
                  <c:v>1.3587358986836289E-6</c:v>
                </c:pt>
                <c:pt idx="26">
                  <c:v>1.2933528881890888E-6</c:v>
                </c:pt>
                <c:pt idx="27">
                  <c:v>1.2311134697856603E-6</c:v>
                </c:pt>
                <c:pt idx="28">
                  <c:v>1.1718665744404063E-6</c:v>
                </c:pt>
              </c:numCache>
            </c:numRef>
          </c:val>
        </c:ser>
        <c:ser>
          <c:idx val="3"/>
          <c:order val="3"/>
          <c:tx>
            <c:strRef>
              <c:f>TRANSPORT!$S$649</c:f>
              <c:strCache>
                <c:ptCount val="1"/>
                <c:pt idx="0">
                  <c:v>Tram</c:v>
                </c:pt>
              </c:strCache>
            </c:strRef>
          </c:tx>
          <c:spPr>
            <a:solidFill>
              <a:schemeClr val="accent4"/>
            </a:solidFill>
            <a:ln>
              <a:noFill/>
            </a:ln>
            <a:effectLst/>
          </c:spPr>
          <c:invertIfNegative val="0"/>
          <c:cat>
            <c:numRef>
              <c:f>TRANSPORT!$Y$645:$BA$645</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TRANSPORT!$Y$649:$BA$649</c:f>
              <c:numCache>
                <c:formatCode>0.000</c:formatCode>
                <c:ptCount val="29"/>
                <c:pt idx="0">
                  <c:v>17110.22561384907</c:v>
                </c:pt>
                <c:pt idx="1">
                  <c:v>15982.871428708679</c:v>
                </c:pt>
                <c:pt idx="2">
                  <c:v>14929.787350384566</c:v>
                </c:pt>
                <c:pt idx="3">
                  <c:v>13946.081840530342</c:v>
                </c:pt>
                <c:pt idx="4">
                  <c:v>13027.185390424091</c:v>
                </c:pt>
                <c:pt idx="5">
                  <c:v>12168.829331640338</c:v>
                </c:pt>
                <c:pt idx="6">
                  <c:v>11367.026040106406</c:v>
                </c:pt>
                <c:pt idx="7">
                  <c:v>10618.050441978699</c:v>
                </c:pt>
                <c:pt idx="8">
                  <c:v>9918.4227357872514</c:v>
                </c:pt>
                <c:pt idx="9">
                  <c:v>9375.3657662080132</c:v>
                </c:pt>
                <c:pt idx="10">
                  <c:v>8862.0567582271597</c:v>
                </c:pt>
                <c:pt idx="11">
                  <c:v>8376.8657232111309</c:v>
                </c:pt>
                <c:pt idx="12">
                  <c:v>7918.2095446008198</c:v>
                </c:pt>
                <c:pt idx="13">
                  <c:v>7484.6788333555742</c:v>
                </c:pt>
                <c:pt idx="14">
                  <c:v>7074.8968023109765</c:v>
                </c:pt>
                <c:pt idx="15">
                  <c:v>6687.5259405362758</c:v>
                </c:pt>
                <c:pt idx="16">
                  <c:v>6321.3761575868466</c:v>
                </c:pt>
                <c:pt idx="17">
                  <c:v>5975.2845485436528</c:v>
                </c:pt>
                <c:pt idx="18">
                  <c:v>5648.1211144349991</c:v>
                </c:pt>
                <c:pt idx="19">
                  <c:v>5338.8809549741709</c:v>
                </c:pt>
                <c:pt idx="20">
                  <c:v>5046.5818316585182</c:v>
                </c:pt>
                <c:pt idx="21">
                  <c:v>4770.2690702456812</c:v>
                </c:pt>
                <c:pt idx="22">
                  <c:v>4509.0941546673102</c:v>
                </c:pt>
                <c:pt idx="23">
                  <c:v>4262.2038378794987</c:v>
                </c:pt>
                <c:pt idx="24">
                  <c:v>4028.8400311021278</c:v>
                </c:pt>
                <c:pt idx="25">
                  <c:v>3808.2613700945521</c:v>
                </c:pt>
                <c:pt idx="26">
                  <c:v>3599.7470050346801</c:v>
                </c:pt>
                <c:pt idx="27">
                  <c:v>3402.6568386548283</c:v>
                </c:pt>
                <c:pt idx="28">
                  <c:v>3216.3647025188434</c:v>
                </c:pt>
              </c:numCache>
            </c:numRef>
          </c:val>
        </c:ser>
        <c:ser>
          <c:idx val="4"/>
          <c:order val="4"/>
          <c:tx>
            <c:strRef>
              <c:f>TRANSPORT!$S$650</c:f>
              <c:strCache>
                <c:ptCount val="1"/>
                <c:pt idx="0">
                  <c:v>Passenger train</c:v>
                </c:pt>
              </c:strCache>
            </c:strRef>
          </c:tx>
          <c:spPr>
            <a:solidFill>
              <a:schemeClr val="accent5"/>
            </a:solidFill>
            <a:ln>
              <a:noFill/>
            </a:ln>
            <a:effectLst/>
          </c:spPr>
          <c:invertIfNegative val="0"/>
          <c:cat>
            <c:numRef>
              <c:f>TRANSPORT!$Y$645:$BA$645</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TRANSPORT!$Y$650:$BA$650</c:f>
              <c:numCache>
                <c:formatCode>0.000</c:formatCode>
                <c:ptCount val="29"/>
                <c:pt idx="0">
                  <c:v>1213.450506680224</c:v>
                </c:pt>
                <c:pt idx="1">
                  <c:v>1169.2610382374824</c:v>
                </c:pt>
                <c:pt idx="2">
                  <c:v>1128.3738351236686</c:v>
                </c:pt>
                <c:pt idx="3">
                  <c:v>1090.5756873498426</c:v>
                </c:pt>
                <c:pt idx="4">
                  <c:v>1055.6674708247795</c:v>
                </c:pt>
                <c:pt idx="5">
                  <c:v>1023.4632211662222</c:v>
                </c:pt>
                <c:pt idx="6">
                  <c:v>993.78926842767009</c:v>
                </c:pt>
                <c:pt idx="7">
                  <c:v>966.48342873792876</c:v>
                </c:pt>
                <c:pt idx="8">
                  <c:v>941.39424911348067</c:v>
                </c:pt>
                <c:pt idx="9">
                  <c:v>923.21946771282671</c:v>
                </c:pt>
                <c:pt idx="10">
                  <c:v>906.40698592764761</c:v>
                </c:pt>
                <c:pt idx="11">
                  <c:v>890.88626514050986</c:v>
                </c:pt>
                <c:pt idx="12">
                  <c:v>876.58598134286012</c:v>
                </c:pt>
                <c:pt idx="13">
                  <c:v>863.44802182491287</c:v>
                </c:pt>
                <c:pt idx="14">
                  <c:v>851.41294285465278</c:v>
                </c:pt>
                <c:pt idx="15">
                  <c:v>840.42006250124837</c:v>
                </c:pt>
                <c:pt idx="16">
                  <c:v>830.42099928350899</c:v>
                </c:pt>
                <c:pt idx="17">
                  <c:v>821.36568650017784</c:v>
                </c:pt>
                <c:pt idx="18">
                  <c:v>813.20241487770284</c:v>
                </c:pt>
                <c:pt idx="19">
                  <c:v>805.89104914942936</c:v>
                </c:pt>
                <c:pt idx="20">
                  <c:v>799.38944865190763</c:v>
                </c:pt>
                <c:pt idx="21">
                  <c:v>793.65346538111601</c:v>
                </c:pt>
                <c:pt idx="22">
                  <c:v>788.64995733567355</c:v>
                </c:pt>
                <c:pt idx="23">
                  <c:v>784.33913858415758</c:v>
                </c:pt>
                <c:pt idx="24">
                  <c:v>780.69192777048318</c:v>
                </c:pt>
                <c:pt idx="25">
                  <c:v>777.67676285536731</c:v>
                </c:pt>
                <c:pt idx="26">
                  <c:v>775.25953496639568</c:v>
                </c:pt>
                <c:pt idx="27">
                  <c:v>773.41648876333352</c:v>
                </c:pt>
                <c:pt idx="28">
                  <c:v>772.1211291887887</c:v>
                </c:pt>
              </c:numCache>
            </c:numRef>
          </c:val>
        </c:ser>
        <c:ser>
          <c:idx val="5"/>
          <c:order val="5"/>
          <c:tx>
            <c:strRef>
              <c:f>TRANSPORT!$S$651</c:f>
              <c:strCache>
                <c:ptCount val="1"/>
                <c:pt idx="0">
                  <c:v>Freight on rails</c:v>
                </c:pt>
              </c:strCache>
            </c:strRef>
          </c:tx>
          <c:spPr>
            <a:solidFill>
              <a:schemeClr val="accent6"/>
            </a:solidFill>
            <a:ln>
              <a:noFill/>
            </a:ln>
            <a:effectLst/>
          </c:spPr>
          <c:invertIfNegative val="0"/>
          <c:cat>
            <c:numRef>
              <c:f>TRANSPORT!$Y$645:$BA$645</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TRANSPORT!$Y$651:$BA$651</c:f>
              <c:numCache>
                <c:formatCode>0.000</c:formatCode>
                <c:ptCount val="29"/>
                <c:pt idx="0">
                  <c:v>0</c:v>
                </c:pt>
                <c:pt idx="1">
                  <c:v>0</c:v>
                </c:pt>
                <c:pt idx="2">
                  <c:v>0</c:v>
                </c:pt>
                <c:pt idx="3">
                  <c:v>4929.7567775309317</c:v>
                </c:pt>
                <c:pt idx="4">
                  <c:v>9637.9493464913448</c:v>
                </c:pt>
                <c:pt idx="5">
                  <c:v>9435.9919945716847</c:v>
                </c:pt>
                <c:pt idx="6">
                  <c:v>9252.6780057333253</c:v>
                </c:pt>
                <c:pt idx="7">
                  <c:v>9087.1015515504296</c:v>
                </c:pt>
                <c:pt idx="8">
                  <c:v>8938.4112730667475</c:v>
                </c:pt>
                <c:pt idx="9">
                  <c:v>8757.1993611767393</c:v>
                </c:pt>
                <c:pt idx="10">
                  <c:v>8589.2455268791182</c:v>
                </c:pt>
                <c:pt idx="11">
                  <c:v>8433.8432901685501</c:v>
                </c:pt>
                <c:pt idx="12">
                  <c:v>8290.2814534536028</c:v>
                </c:pt>
                <c:pt idx="13">
                  <c:v>8157.9763742263603</c:v>
                </c:pt>
                <c:pt idx="14">
                  <c:v>8036.3340805299731</c:v>
                </c:pt>
                <c:pt idx="15">
                  <c:v>7924.7512027358234</c:v>
                </c:pt>
                <c:pt idx="16">
                  <c:v>7822.7425625027927</c:v>
                </c:pt>
                <c:pt idx="17">
                  <c:v>7729.8089776901161</c:v>
                </c:pt>
                <c:pt idx="18">
                  <c:v>7645.4377369915419</c:v>
                </c:pt>
                <c:pt idx="19">
                  <c:v>7569.2268064109712</c:v>
                </c:pt>
                <c:pt idx="20">
                  <c:v>7500.7568714160789</c:v>
                </c:pt>
                <c:pt idx="21">
                  <c:v>7439.5914077557763</c:v>
                </c:pt>
                <c:pt idx="22">
                  <c:v>7385.3986351944131</c:v>
                </c:pt>
                <c:pt idx="23">
                  <c:v>7337.7858834751733</c:v>
                </c:pt>
                <c:pt idx="24">
                  <c:v>7296.4620374168007</c:v>
                </c:pt>
                <c:pt idx="25">
                  <c:v>7261.1139300580671</c:v>
                </c:pt>
                <c:pt idx="26">
                  <c:v>7231.4058371345709</c:v>
                </c:pt>
                <c:pt idx="27">
                  <c:v>7207.0998036523479</c:v>
                </c:pt>
                <c:pt idx="28">
                  <c:v>7187.9332755711748</c:v>
                </c:pt>
              </c:numCache>
            </c:numRef>
          </c:val>
        </c:ser>
        <c:ser>
          <c:idx val="6"/>
          <c:order val="6"/>
          <c:tx>
            <c:strRef>
              <c:f>TRANSPORT!$S$652</c:f>
              <c:strCache>
                <c:ptCount val="1"/>
                <c:pt idx="0">
                  <c:v>Freight on road</c:v>
                </c:pt>
              </c:strCache>
            </c:strRef>
          </c:tx>
          <c:spPr>
            <a:solidFill>
              <a:schemeClr val="accent1">
                <a:lumMod val="60000"/>
              </a:schemeClr>
            </a:solidFill>
            <a:ln>
              <a:noFill/>
            </a:ln>
            <a:effectLst/>
          </c:spPr>
          <c:invertIfNegative val="0"/>
          <c:cat>
            <c:numRef>
              <c:f>TRANSPORT!$Y$645:$BA$645</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TRANSPORT!$Y$652:$BA$652</c:f>
              <c:numCache>
                <c:formatCode>0.000</c:formatCode>
                <c:ptCount val="29"/>
                <c:pt idx="0">
                  <c:v>5778.4625478067755</c:v>
                </c:pt>
                <c:pt idx="1">
                  <c:v>5899.2557492051583</c:v>
                </c:pt>
                <c:pt idx="2">
                  <c:v>6022.5704993269901</c:v>
                </c:pt>
                <c:pt idx="3">
                  <c:v>4346.9610188947108</c:v>
                </c:pt>
                <c:pt idx="4">
                  <c:v>2598.6686616297488</c:v>
                </c:pt>
                <c:pt idx="5">
                  <c:v>2652.9860571854383</c:v>
                </c:pt>
                <c:pt idx="6">
                  <c:v>2708.4378490800082</c:v>
                </c:pt>
                <c:pt idx="7">
                  <c:v>2765.0478761200443</c:v>
                </c:pt>
                <c:pt idx="8">
                  <c:v>2822.840486738799</c:v>
                </c:pt>
                <c:pt idx="9">
                  <c:v>2850.9645867276658</c:v>
                </c:pt>
                <c:pt idx="10">
                  <c:v>2879.3735397513024</c:v>
                </c:pt>
                <c:pt idx="11">
                  <c:v>2908.0703979399213</c:v>
                </c:pt>
                <c:pt idx="12">
                  <c:v>2937.0425050690974</c:v>
                </c:pt>
                <c:pt idx="13">
                  <c:v>2966.3083219617761</c:v>
                </c:pt>
                <c:pt idx="14">
                  <c:v>2995.8710034710862</c:v>
                </c:pt>
                <c:pt idx="15">
                  <c:v>3025.7173754117566</c:v>
                </c:pt>
                <c:pt idx="16">
                  <c:v>3055.8666099976481</c:v>
                </c:pt>
                <c:pt idx="17">
                  <c:v>3086.3219686899429</c:v>
                </c:pt>
                <c:pt idx="18">
                  <c:v>3117.0697387095379</c:v>
                </c:pt>
                <c:pt idx="19">
                  <c:v>3148.1298316036336</c:v>
                </c:pt>
                <c:pt idx="20">
                  <c:v>3179.5056194943018</c:v>
                </c:pt>
                <c:pt idx="21">
                  <c:v>3211.1828295750556</c:v>
                </c:pt>
                <c:pt idx="22">
                  <c:v>3243.1821417879637</c:v>
                </c:pt>
                <c:pt idx="23">
                  <c:v>3275.4888946823621</c:v>
                </c:pt>
                <c:pt idx="24">
                  <c:v>3308.1242941543728</c:v>
                </c:pt>
                <c:pt idx="25">
                  <c:v>3341.0919031679723</c:v>
                </c:pt>
                <c:pt idx="26">
                  <c:v>3374.3764625035315</c:v>
                </c:pt>
                <c:pt idx="27">
                  <c:v>3407.9999973396448</c:v>
                </c:pt>
                <c:pt idx="28">
                  <c:v>3441.9661928281607</c:v>
                </c:pt>
              </c:numCache>
            </c:numRef>
          </c:val>
        </c:ser>
        <c:ser>
          <c:idx val="7"/>
          <c:order val="7"/>
          <c:tx>
            <c:strRef>
              <c:f>TRANSPORT!$S$652</c:f>
              <c:strCache>
                <c:ptCount val="1"/>
                <c:pt idx="0">
                  <c:v>Freight on road</c:v>
                </c:pt>
              </c:strCache>
            </c:strRef>
          </c:tx>
          <c:spPr>
            <a:solidFill>
              <a:schemeClr val="accent2">
                <a:lumMod val="60000"/>
              </a:schemeClr>
            </a:solidFill>
            <a:ln>
              <a:noFill/>
            </a:ln>
            <a:effectLst/>
          </c:spPr>
          <c:invertIfNegative val="0"/>
          <c:cat>
            <c:numRef>
              <c:f>TRANSPORT!$Y$645:$BA$645</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TRANSPORT!$Y$653:$BA$653</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dLbls>
          <c:showLegendKey val="0"/>
          <c:showVal val="0"/>
          <c:showCatName val="0"/>
          <c:showSerName val="0"/>
          <c:showPercent val="0"/>
          <c:showBubbleSize val="0"/>
        </c:dLbls>
        <c:gapWidth val="10"/>
        <c:overlap val="100"/>
        <c:axId val="467218768"/>
        <c:axId val="467222296"/>
      </c:barChart>
      <c:lineChart>
        <c:grouping val="standard"/>
        <c:varyColors val="0"/>
        <c:ser>
          <c:idx val="8"/>
          <c:order val="8"/>
          <c:tx>
            <c:strRef>
              <c:f>TRANSPORT!$S$654</c:f>
              <c:strCache>
                <c:ptCount val="1"/>
                <c:pt idx="0">
                  <c:v>Baseline total, tCO2e/a</c:v>
                </c:pt>
              </c:strCache>
            </c:strRef>
          </c:tx>
          <c:spPr>
            <a:ln w="28575" cap="rnd">
              <a:solidFill>
                <a:sysClr val="windowText" lastClr="000000"/>
              </a:solidFill>
              <a:prstDash val="sysDash"/>
              <a:round/>
            </a:ln>
            <a:effectLst/>
          </c:spPr>
          <c:marker>
            <c:symbol val="none"/>
          </c:marker>
          <c:val>
            <c:numRef>
              <c:f>TRANSPORT!$Y$654:$BA$654</c:f>
              <c:numCache>
                <c:formatCode>0.000</c:formatCode>
                <c:ptCount val="29"/>
                <c:pt idx="0">
                  <c:v>73841.666164683105</c:v>
                </c:pt>
                <c:pt idx="1">
                  <c:v>74844.94427107356</c:v>
                </c:pt>
                <c:pt idx="2">
                  <c:v>75881.789788351802</c:v>
                </c:pt>
                <c:pt idx="3">
                  <c:v>76935.383572753664</c:v>
                </c:pt>
                <c:pt idx="4">
                  <c:v>78013.761886210559</c:v>
                </c:pt>
                <c:pt idx="5">
                  <c:v>79117.201226435747</c:v>
                </c:pt>
                <c:pt idx="6">
                  <c:v>80245.645189875053</c:v>
                </c:pt>
                <c:pt idx="7">
                  <c:v>81399.066525287039</c:v>
                </c:pt>
                <c:pt idx="8">
                  <c:v>82577.465774086973</c:v>
                </c:pt>
                <c:pt idx="9">
                  <c:v>83303.831412954678</c:v>
                </c:pt>
                <c:pt idx="10">
                  <c:v>84040.982792653915</c:v>
                </c:pt>
                <c:pt idx="11">
                  <c:v>84788.850892497125</c:v>
                </c:pt>
                <c:pt idx="12">
                  <c:v>85546.969714886611</c:v>
                </c:pt>
                <c:pt idx="13">
                  <c:v>86315.67607452946</c:v>
                </c:pt>
                <c:pt idx="14">
                  <c:v>87094.218707417444</c:v>
                </c:pt>
                <c:pt idx="15">
                  <c:v>87882.761261787076</c:v>
                </c:pt>
                <c:pt idx="16">
                  <c:v>88681.739440970385</c:v>
                </c:pt>
                <c:pt idx="17">
                  <c:v>89491.134381310505</c:v>
                </c:pt>
                <c:pt idx="18">
                  <c:v>90310.442968927862</c:v>
                </c:pt>
                <c:pt idx="19">
                  <c:v>91140.137852499363</c:v>
                </c:pt>
                <c:pt idx="20">
                  <c:v>91980.21891867528</c:v>
                </c:pt>
                <c:pt idx="21">
                  <c:v>92830.182430678804</c:v>
                </c:pt>
                <c:pt idx="22">
                  <c:v>93690.536446263897</c:v>
                </c:pt>
                <c:pt idx="23">
                  <c:v>94560.775159628887</c:v>
                </c:pt>
                <c:pt idx="24">
                  <c:v>95442.284717023984</c:v>
                </c:pt>
                <c:pt idx="25">
                  <c:v>96334.25927785573</c:v>
                </c:pt>
                <c:pt idx="26">
                  <c:v>97236.186566188058</c:v>
                </c:pt>
                <c:pt idx="27">
                  <c:v>98148.629895912964</c:v>
                </c:pt>
                <c:pt idx="28">
                  <c:v>99071.628336169655</c:v>
                </c:pt>
              </c:numCache>
            </c:numRef>
          </c:val>
          <c:smooth val="0"/>
        </c:ser>
        <c:dLbls>
          <c:showLegendKey val="0"/>
          <c:showVal val="0"/>
          <c:showCatName val="0"/>
          <c:showSerName val="0"/>
          <c:showPercent val="0"/>
          <c:showBubbleSize val="0"/>
        </c:dLbls>
        <c:marker val="1"/>
        <c:smooth val="0"/>
        <c:axId val="467218768"/>
        <c:axId val="467222296"/>
      </c:lineChart>
      <c:catAx>
        <c:axId val="467218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22296"/>
        <c:crosses val="autoZero"/>
        <c:auto val="1"/>
        <c:lblAlgn val="ctr"/>
        <c:lblOffset val="100"/>
        <c:noMultiLvlLbl val="0"/>
      </c:catAx>
      <c:valAx>
        <c:axId val="467222296"/>
        <c:scaling>
          <c:orientation val="minMax"/>
        </c:scaling>
        <c:delete val="0"/>
        <c:axPos val="l"/>
        <c:majorGridlines>
          <c:spPr>
            <a:ln w="9525" cap="flat" cmpd="sng" algn="ctr">
              <a:solidFill>
                <a:schemeClr val="bg1">
                  <a:lumMod val="5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18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sz="1100"/>
              <a:t>WITHOUT</a:t>
            </a:r>
            <a:r>
              <a:rPr lang="et-EE" sz="1100" baseline="0"/>
              <a:t> POLICY</a:t>
            </a:r>
            <a:endParaRPr lang="en-US" sz="1100"/>
          </a:p>
        </c:rich>
      </c:tx>
      <c:layout>
        <c:manualLayout>
          <c:xMode val="edge"/>
          <c:yMode val="edge"/>
          <c:x val="0.7204470345164562"/>
          <c:y val="0.10709385237904245"/>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70605017985787444"/>
          <c:y val="0.25132271761907526"/>
          <c:w val="0.14856677565815118"/>
          <c:h val="0.62347998948714933"/>
        </c:manualLayout>
      </c:layout>
      <c:pieChart>
        <c:varyColors val="1"/>
        <c:ser>
          <c:idx val="3"/>
          <c:order val="3"/>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f>TRANSPORT!$B$191:$B$195</c:f>
              <c:strCache>
                <c:ptCount val="5"/>
                <c:pt idx="0">
                  <c:v>Petroleum products</c:v>
                </c:pt>
                <c:pt idx="1">
                  <c:v>LPG</c:v>
                </c:pt>
                <c:pt idx="2">
                  <c:v>Natural gas (CNG)</c:v>
                </c:pt>
                <c:pt idx="3">
                  <c:v>Electricity</c:v>
                </c:pt>
                <c:pt idx="4">
                  <c:v>Diesel</c:v>
                </c:pt>
              </c:strCache>
            </c:strRef>
          </c:cat>
          <c:val>
            <c:numRef>
              <c:f>TRANSPORT!$F$191:$F$195</c:f>
              <c:numCache>
                <c:formatCode>0.0</c:formatCode>
                <c:ptCount val="5"/>
                <c:pt idx="0">
                  <c:v>0.2</c:v>
                </c:pt>
                <c:pt idx="1">
                  <c:v>0.1</c:v>
                </c:pt>
                <c:pt idx="2">
                  <c:v>0.1</c:v>
                </c:pt>
                <c:pt idx="3">
                  <c:v>0.41999999999999987</c:v>
                </c:pt>
                <c:pt idx="4">
                  <c:v>99.18</c:v>
                </c:pt>
              </c:numCache>
            </c:numRef>
          </c:val>
        </c:ser>
        <c:dLbls>
          <c:showLegendKey val="0"/>
          <c:showVal val="0"/>
          <c:showCatName val="0"/>
          <c:showSerName val="0"/>
          <c:showPercent val="0"/>
          <c:showBubbleSize val="0"/>
          <c:showLeaderLines val="1"/>
        </c:dLbls>
        <c:firstSliceAng val="0"/>
        <c:extLst>
          <c:ext xmlns:c15="http://schemas.microsoft.com/office/drawing/2012/chart" uri="{02D57815-91ED-43cb-92C2-25804820EDAC}">
            <c15:filteredPieSeries>
              <c15: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extLst>
                      <c:ext uri="{02D57815-91ED-43cb-92C2-25804820EDAC}">
                        <c15:formulaRef>
                          <c15:sqref>TRANSPORT!$B$191:$B$195</c15:sqref>
                        </c15:formulaRef>
                      </c:ext>
                    </c:extLst>
                    <c:strCache>
                      <c:ptCount val="5"/>
                      <c:pt idx="0">
                        <c:v>Petroleum products</c:v>
                      </c:pt>
                      <c:pt idx="1">
                        <c:v>LPG</c:v>
                      </c:pt>
                      <c:pt idx="2">
                        <c:v>Natural gas (CNG)</c:v>
                      </c:pt>
                      <c:pt idx="3">
                        <c:v>Electricity</c:v>
                      </c:pt>
                      <c:pt idx="4">
                        <c:v>Diesel</c:v>
                      </c:pt>
                    </c:strCache>
                  </c:strRef>
                </c:cat>
                <c:val>
                  <c:numRef>
                    <c:extLst>
                      <c:ext uri="{02D57815-91ED-43cb-92C2-25804820EDAC}">
                        <c15:formulaRef>
                          <c15:sqref>TRANSPORT!$C$191:$C$195</c15:sqref>
                        </c15:formulaRef>
                      </c:ext>
                    </c:extLst>
                    <c:numCache>
                      <c:formatCode>General</c:formatCode>
                      <c:ptCount val="5"/>
                    </c:numCache>
                  </c:numRef>
                </c:val>
              </c15:ser>
            </c15:filteredPieSeries>
            <c15:filteredPieSeries>
              <c15:ser>
                <c:idx val="1"/>
                <c:order val="1"/>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extLst xmlns:c15="http://schemas.microsoft.com/office/drawing/2012/chart">
                      <c:ext xmlns:c15="http://schemas.microsoft.com/office/drawing/2012/chart" uri="{02D57815-91ED-43cb-92C2-25804820EDAC}">
                        <c15:formulaRef>
                          <c15:sqref>TRANSPORT!$B$191:$B$195</c15:sqref>
                        </c15:formulaRef>
                      </c:ext>
                    </c:extLst>
                    <c:strCache>
                      <c:ptCount val="5"/>
                      <c:pt idx="0">
                        <c:v>Petroleum products</c:v>
                      </c:pt>
                      <c:pt idx="1">
                        <c:v>LPG</c:v>
                      </c:pt>
                      <c:pt idx="2">
                        <c:v>Natural gas (CNG)</c:v>
                      </c:pt>
                      <c:pt idx="3">
                        <c:v>Electricity</c:v>
                      </c:pt>
                      <c:pt idx="4">
                        <c:v>Diesel</c:v>
                      </c:pt>
                    </c:strCache>
                  </c:strRef>
                </c:cat>
                <c:val>
                  <c:numRef>
                    <c:extLst xmlns:c15="http://schemas.microsoft.com/office/drawing/2012/chart">
                      <c:ext xmlns:c15="http://schemas.microsoft.com/office/drawing/2012/chart" uri="{02D57815-91ED-43cb-92C2-25804820EDAC}">
                        <c15:formulaRef>
                          <c15:sqref>TRANSPORT!$D$191:$D$195</c15:sqref>
                        </c15:formulaRef>
                      </c:ext>
                    </c:extLst>
                    <c:numCache>
                      <c:formatCode>General</c:formatCode>
                      <c:ptCount val="5"/>
                    </c:numCache>
                  </c:numRef>
                </c:val>
              </c15:ser>
            </c15:filteredPieSeries>
            <c15:filteredPieSeries>
              <c15:ser>
                <c:idx val="2"/>
                <c:order val="2"/>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extLst xmlns:c15="http://schemas.microsoft.com/office/drawing/2012/chart">
                      <c:ext xmlns:c15="http://schemas.microsoft.com/office/drawing/2012/chart" uri="{02D57815-91ED-43cb-92C2-25804820EDAC}">
                        <c15:formulaRef>
                          <c15:sqref>TRANSPORT!$B$191:$B$195</c15:sqref>
                        </c15:formulaRef>
                      </c:ext>
                    </c:extLst>
                    <c:strCache>
                      <c:ptCount val="5"/>
                      <c:pt idx="0">
                        <c:v>Petroleum products</c:v>
                      </c:pt>
                      <c:pt idx="1">
                        <c:v>LPG</c:v>
                      </c:pt>
                      <c:pt idx="2">
                        <c:v>Natural gas (CNG)</c:v>
                      </c:pt>
                      <c:pt idx="3">
                        <c:v>Electricity</c:v>
                      </c:pt>
                      <c:pt idx="4">
                        <c:v>Diesel</c:v>
                      </c:pt>
                    </c:strCache>
                  </c:strRef>
                </c:cat>
                <c:val>
                  <c:numRef>
                    <c:extLst xmlns:c15="http://schemas.microsoft.com/office/drawing/2012/chart">
                      <c:ext xmlns:c15="http://schemas.microsoft.com/office/drawing/2012/chart" uri="{02D57815-91ED-43cb-92C2-25804820EDAC}">
                        <c15:formulaRef>
                          <c15:sqref>TRANSPORT!$E$191:$E$195</c15:sqref>
                        </c15:formulaRef>
                      </c:ext>
                    </c:extLst>
                    <c:numCache>
                      <c:formatCode>General</c:formatCode>
                      <c:ptCount val="5"/>
                    </c:numCache>
                  </c:numRef>
                </c:val>
              </c15:ser>
            </c15:filteredPieSeries>
          </c:ext>
        </c:extLst>
      </c:pieChart>
      <c:spPr>
        <a:noFill/>
        <a:ln>
          <a:noFill/>
        </a:ln>
        <a:effectLst/>
      </c:spPr>
    </c:plotArea>
    <c:legend>
      <c:legendPos val="l"/>
      <c:layout>
        <c:manualLayout>
          <c:xMode val="edge"/>
          <c:yMode val="edge"/>
          <c:x val="8.9227450472887965E-2"/>
          <c:y val="0.21220528747314574"/>
          <c:w val="0.20927455656176822"/>
          <c:h val="0.5827667576868143"/>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sz="1100"/>
              <a:t>WITHOUT</a:t>
            </a:r>
            <a:r>
              <a:rPr lang="et-EE" sz="1100" baseline="0"/>
              <a:t> POLICY</a:t>
            </a:r>
            <a:endParaRPr lang="en-US" sz="1100"/>
          </a:p>
        </c:rich>
      </c:tx>
      <c:layout>
        <c:manualLayout>
          <c:xMode val="edge"/>
          <c:yMode val="edge"/>
          <c:x val="0.70753109346512943"/>
          <c:y val="0.1201716069533949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59121087934516048"/>
          <c:y val="0.3210585828892607"/>
          <c:w val="0.37221988460496508"/>
          <c:h val="0.6789414171107393"/>
        </c:manualLayout>
      </c:layout>
      <c:pieChart>
        <c:varyColors val="1"/>
        <c:ser>
          <c:idx val="3"/>
          <c:order val="3"/>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cat>
            <c:strRef>
              <c:f>TRANSPORT!$B$182:$B$184</c:f>
              <c:strCache>
                <c:ptCount val="3"/>
                <c:pt idx="0">
                  <c:v>RAIL</c:v>
                </c:pt>
                <c:pt idx="1">
                  <c:v>WATERWAYS</c:v>
                </c:pt>
                <c:pt idx="2">
                  <c:v>ROAD</c:v>
                </c:pt>
              </c:strCache>
            </c:strRef>
          </c:cat>
          <c:val>
            <c:numRef>
              <c:f>TRANSPORT!$F$182:$F$184</c:f>
              <c:numCache>
                <c:formatCode>0.0</c:formatCode>
                <c:ptCount val="3"/>
                <c:pt idx="0">
                  <c:v>0</c:v>
                </c:pt>
                <c:pt idx="1">
                  <c:v>0</c:v>
                </c:pt>
                <c:pt idx="2">
                  <c:v>100</c:v>
                </c:pt>
              </c:numCache>
            </c:numRef>
          </c:val>
        </c:ser>
        <c:dLbls>
          <c:showLegendKey val="0"/>
          <c:showVal val="0"/>
          <c:showCatName val="0"/>
          <c:showSerName val="0"/>
          <c:showPercent val="0"/>
          <c:showBubbleSize val="0"/>
          <c:showLeaderLines val="1"/>
        </c:dLbls>
        <c:firstSliceAng val="0"/>
        <c:extLst>
          <c:ext xmlns:c15="http://schemas.microsoft.com/office/drawing/2012/chart" uri="{02D57815-91ED-43cb-92C2-25804820EDAC}">
            <c15:filteredPieSeries>
              <c15: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cat>
                  <c:strRef>
                    <c:extLst>
                      <c:ext uri="{02D57815-91ED-43cb-92C2-25804820EDAC}">
                        <c15:formulaRef>
                          <c15:sqref>TRANSPORT!$B$182:$B$184</c15:sqref>
                        </c15:formulaRef>
                      </c:ext>
                    </c:extLst>
                    <c:strCache>
                      <c:ptCount val="3"/>
                      <c:pt idx="0">
                        <c:v>RAIL</c:v>
                      </c:pt>
                      <c:pt idx="1">
                        <c:v>WATERWAYS</c:v>
                      </c:pt>
                      <c:pt idx="2">
                        <c:v>ROAD</c:v>
                      </c:pt>
                    </c:strCache>
                  </c:strRef>
                </c:cat>
                <c:val>
                  <c:numRef>
                    <c:extLst>
                      <c:ext uri="{02D57815-91ED-43cb-92C2-25804820EDAC}">
                        <c15:formulaRef>
                          <c15:sqref>TRANSPORT!$C$182:$C$184</c15:sqref>
                        </c15:formulaRef>
                      </c:ext>
                    </c:extLst>
                    <c:numCache>
                      <c:formatCode>General</c:formatCode>
                      <c:ptCount val="3"/>
                    </c:numCache>
                  </c:numRef>
                </c:val>
              </c15:ser>
            </c15:filteredPieSeries>
            <c15:filteredPieSeries>
              <c15:ser>
                <c:idx val="1"/>
                <c:order val="1"/>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cat>
                  <c:strRef>
                    <c:extLst xmlns:c15="http://schemas.microsoft.com/office/drawing/2012/chart">
                      <c:ext xmlns:c15="http://schemas.microsoft.com/office/drawing/2012/chart" uri="{02D57815-91ED-43cb-92C2-25804820EDAC}">
                        <c15:formulaRef>
                          <c15:sqref>TRANSPORT!$B$182:$B$184</c15:sqref>
                        </c15:formulaRef>
                      </c:ext>
                    </c:extLst>
                    <c:strCache>
                      <c:ptCount val="3"/>
                      <c:pt idx="0">
                        <c:v>RAIL</c:v>
                      </c:pt>
                      <c:pt idx="1">
                        <c:v>WATERWAYS</c:v>
                      </c:pt>
                      <c:pt idx="2">
                        <c:v>ROAD</c:v>
                      </c:pt>
                    </c:strCache>
                  </c:strRef>
                </c:cat>
                <c:val>
                  <c:numRef>
                    <c:extLst xmlns:c15="http://schemas.microsoft.com/office/drawing/2012/chart">
                      <c:ext xmlns:c15="http://schemas.microsoft.com/office/drawing/2012/chart" uri="{02D57815-91ED-43cb-92C2-25804820EDAC}">
                        <c15:formulaRef>
                          <c15:sqref>TRANSPORT!$D$182:$D$184</c15:sqref>
                        </c15:formulaRef>
                      </c:ext>
                    </c:extLst>
                    <c:numCache>
                      <c:formatCode>General</c:formatCode>
                      <c:ptCount val="3"/>
                    </c:numCache>
                  </c:numRef>
                </c:val>
              </c15:ser>
            </c15:filteredPieSeries>
            <c15:filteredPieSeries>
              <c15:ser>
                <c:idx val="2"/>
                <c:order val="2"/>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cat>
                  <c:strRef>
                    <c:extLst xmlns:c15="http://schemas.microsoft.com/office/drawing/2012/chart">
                      <c:ext xmlns:c15="http://schemas.microsoft.com/office/drawing/2012/chart" uri="{02D57815-91ED-43cb-92C2-25804820EDAC}">
                        <c15:formulaRef>
                          <c15:sqref>TRANSPORT!$B$182:$B$184</c15:sqref>
                        </c15:formulaRef>
                      </c:ext>
                    </c:extLst>
                    <c:strCache>
                      <c:ptCount val="3"/>
                      <c:pt idx="0">
                        <c:v>RAIL</c:v>
                      </c:pt>
                      <c:pt idx="1">
                        <c:v>WATERWAYS</c:v>
                      </c:pt>
                      <c:pt idx="2">
                        <c:v>ROAD</c:v>
                      </c:pt>
                    </c:strCache>
                  </c:strRef>
                </c:cat>
                <c:val>
                  <c:numRef>
                    <c:extLst xmlns:c15="http://schemas.microsoft.com/office/drawing/2012/chart">
                      <c:ext xmlns:c15="http://schemas.microsoft.com/office/drawing/2012/chart" uri="{02D57815-91ED-43cb-92C2-25804820EDAC}">
                        <c15:formulaRef>
                          <c15:sqref>TRANSPORT!$E$182:$E$184</c15:sqref>
                        </c15:formulaRef>
                      </c:ext>
                    </c:extLst>
                    <c:numCache>
                      <c:formatCode>General</c:formatCode>
                      <c:ptCount val="3"/>
                    </c:numCache>
                  </c:numRef>
                </c:val>
              </c15:ser>
            </c15:filteredPieSeries>
          </c:ext>
        </c:extLst>
      </c:pieChart>
      <c:spPr>
        <a:noFill/>
        <a:ln>
          <a:noFill/>
        </a:ln>
        <a:effectLst/>
      </c:spPr>
    </c:plotArea>
    <c:legend>
      <c:legendPos val="l"/>
      <c:layout>
        <c:manualLayout>
          <c:xMode val="edge"/>
          <c:yMode val="edge"/>
          <c:x val="6.1671471164426284E-2"/>
          <c:y val="0.23171623252365653"/>
          <c:w val="0.12017133859275464"/>
          <c:h val="0.3976998993428652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TERRITORIAL APPROACH</a:t>
            </a:r>
            <a:r>
              <a:rPr lang="et-EE" baseline="0"/>
              <a:t> / ABSOLUTE CO</a:t>
            </a:r>
            <a:r>
              <a:rPr lang="et-EE" baseline="-25000"/>
              <a:t>2</a:t>
            </a:r>
            <a:r>
              <a:rPr lang="et-EE" baseline="0"/>
              <a:t>e EMISSIONS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0"/>
          <c:tx>
            <c:strRef>
              <c:f>RESULTS!$B$9</c:f>
              <c:strCache>
                <c:ptCount val="1"/>
                <c:pt idx="0">
                  <c:v>transport</c:v>
                </c:pt>
              </c:strCache>
            </c:strRef>
          </c:tx>
          <c:spPr>
            <a:solidFill>
              <a:schemeClr val="accent2"/>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RESULTS!$C$9:$AE$9</c:f>
              <c:numCache>
                <c:formatCode>#,##0</c:formatCode>
                <c:ptCount val="29"/>
                <c:pt idx="0">
                  <c:v>89872.96829503568</c:v>
                </c:pt>
                <c:pt idx="1">
                  <c:v>89815.93652156934</c:v>
                </c:pt>
                <c:pt idx="2">
                  <c:v>89862.576132675633</c:v>
                </c:pt>
                <c:pt idx="3">
                  <c:v>93119.693410631298</c:v>
                </c:pt>
                <c:pt idx="4">
                  <c:v>96165.864227084821</c:v>
                </c:pt>
                <c:pt idx="5">
                  <c:v>96183.975839018502</c:v>
                </c:pt>
                <c:pt idx="6">
                  <c:v>96297.459328324185</c:v>
                </c:pt>
                <c:pt idx="7">
                  <c:v>96501.823087338838</c:v>
                </c:pt>
                <c:pt idx="8">
                  <c:v>96792.889875603811</c:v>
                </c:pt>
                <c:pt idx="9">
                  <c:v>96788.146651039089</c:v>
                </c:pt>
                <c:pt idx="10">
                  <c:v>96835.108888208735</c:v>
                </c:pt>
                <c:pt idx="11">
                  <c:v>96931.452707052944</c:v>
                </c:pt>
                <c:pt idx="12">
                  <c:v>97074.517252497419</c:v>
                </c:pt>
                <c:pt idx="13">
                  <c:v>97262.697556338273</c:v>
                </c:pt>
                <c:pt idx="14">
                  <c:v>97493.340558475829</c:v>
                </c:pt>
                <c:pt idx="15">
                  <c:v>97764.75735382225</c:v>
                </c:pt>
                <c:pt idx="16">
                  <c:v>98075.747361683912</c:v>
                </c:pt>
                <c:pt idx="17">
                  <c:v>98424.687761276626</c:v>
                </c:pt>
                <c:pt idx="18">
                  <c:v>98809.511681227712</c:v>
                </c:pt>
                <c:pt idx="19">
                  <c:v>99229.313154932024</c:v>
                </c:pt>
                <c:pt idx="20">
                  <c:v>99682.739361157888</c:v>
                </c:pt>
                <c:pt idx="21">
                  <c:v>100167.96644801665</c:v>
                </c:pt>
                <c:pt idx="22">
                  <c:v>100684.34118847837</c:v>
                </c:pt>
                <c:pt idx="23">
                  <c:v>101230.17843019575</c:v>
                </c:pt>
                <c:pt idx="24">
                  <c:v>101805.82857825575</c:v>
                </c:pt>
                <c:pt idx="25">
                  <c:v>102409.46747673537</c:v>
                </c:pt>
                <c:pt idx="26">
                  <c:v>103039.58702707202</c:v>
                </c:pt>
                <c:pt idx="27">
                  <c:v>103695.87846892585</c:v>
                </c:pt>
                <c:pt idx="28">
                  <c:v>104377.52218970271</c:v>
                </c:pt>
              </c:numCache>
            </c:numRef>
          </c:val>
        </c:ser>
        <c:ser>
          <c:idx val="2"/>
          <c:order val="1"/>
          <c:tx>
            <c:strRef>
              <c:f>RESULTS!$B$10</c:f>
              <c:strCache>
                <c:ptCount val="1"/>
                <c:pt idx="0">
                  <c:v>LUC emissions</c:v>
                </c:pt>
              </c:strCache>
            </c:strRef>
          </c:tx>
          <c:spPr>
            <a:solidFill>
              <a:schemeClr val="accent3"/>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RESULTS!$C$10:$AE$10</c:f>
              <c:numCache>
                <c:formatCode>#,##0</c:formatCode>
                <c:ptCount val="29"/>
                <c:pt idx="0">
                  <c:v>0</c:v>
                </c:pt>
                <c:pt idx="1">
                  <c:v>0</c:v>
                </c:pt>
                <c:pt idx="2">
                  <c:v>0</c:v>
                </c:pt>
                <c:pt idx="3">
                  <c:v>0</c:v>
                </c:pt>
                <c:pt idx="4">
                  <c:v>0</c:v>
                </c:pt>
                <c:pt idx="5">
                  <c:v>0</c:v>
                </c:pt>
                <c:pt idx="6">
                  <c:v>0</c:v>
                </c:pt>
                <c:pt idx="7">
                  <c:v>0</c:v>
                </c:pt>
                <c:pt idx="8">
                  <c:v>43895.255555555552</c:v>
                </c:pt>
                <c:pt idx="9">
                  <c:v>806.66666666666686</c:v>
                </c:pt>
                <c:pt idx="10">
                  <c:v>806.66666666666686</c:v>
                </c:pt>
                <c:pt idx="11">
                  <c:v>806.66666666666686</c:v>
                </c:pt>
                <c:pt idx="12">
                  <c:v>806.66666666666686</c:v>
                </c:pt>
                <c:pt idx="13">
                  <c:v>806.66666666666686</c:v>
                </c:pt>
                <c:pt idx="14">
                  <c:v>806.66666666666686</c:v>
                </c:pt>
                <c:pt idx="15">
                  <c:v>806.66666666666686</c:v>
                </c:pt>
                <c:pt idx="16">
                  <c:v>44862.798692686622</c:v>
                </c:pt>
                <c:pt idx="17">
                  <c:v>1774.666666666667</c:v>
                </c:pt>
                <c:pt idx="18">
                  <c:v>1774.666666666667</c:v>
                </c:pt>
                <c:pt idx="19">
                  <c:v>1774.666666666667</c:v>
                </c:pt>
                <c:pt idx="20">
                  <c:v>1774.666666666667</c:v>
                </c:pt>
                <c:pt idx="21">
                  <c:v>1774.666666666667</c:v>
                </c:pt>
                <c:pt idx="22">
                  <c:v>1774.666666666667</c:v>
                </c:pt>
                <c:pt idx="23">
                  <c:v>1774.666666666667</c:v>
                </c:pt>
                <c:pt idx="24">
                  <c:v>1774.666666666667</c:v>
                </c:pt>
                <c:pt idx="25">
                  <c:v>1774.666666666667</c:v>
                </c:pt>
                <c:pt idx="26">
                  <c:v>1774.666666666667</c:v>
                </c:pt>
                <c:pt idx="27">
                  <c:v>1774.666666666667</c:v>
                </c:pt>
                <c:pt idx="28">
                  <c:v>968</c:v>
                </c:pt>
              </c:numCache>
            </c:numRef>
          </c:val>
        </c:ser>
        <c:ser>
          <c:idx val="3"/>
          <c:order val="2"/>
          <c:tx>
            <c:strRef>
              <c:f>RESULTS!$B$11</c:f>
              <c:strCache>
                <c:ptCount val="1"/>
                <c:pt idx="0">
                  <c:v>buildings</c:v>
                </c:pt>
              </c:strCache>
            </c:strRef>
          </c:tx>
          <c:spPr>
            <a:solidFill>
              <a:schemeClr val="accent4"/>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RESULTS!$C$11:$AE$11</c:f>
              <c:numCache>
                <c:formatCode>#,##0</c:formatCode>
                <c:ptCount val="29"/>
                <c:pt idx="0">
                  <c:v>354150.46344018861</c:v>
                </c:pt>
                <c:pt idx="1">
                  <c:v>340882.70237839571</c:v>
                </c:pt>
                <c:pt idx="2">
                  <c:v>328623.29115729901</c:v>
                </c:pt>
                <c:pt idx="3">
                  <c:v>317295.59518900566</c:v>
                </c:pt>
                <c:pt idx="4">
                  <c:v>306828.80411430268</c:v>
                </c:pt>
                <c:pt idx="5">
                  <c:v>297157.48916127707</c:v>
                </c:pt>
                <c:pt idx="6">
                  <c:v>288221.19414468145</c:v>
                </c:pt>
                <c:pt idx="7">
                  <c:v>279964.05754934705</c:v>
                </c:pt>
                <c:pt idx="8">
                  <c:v>274443.02145487233</c:v>
                </c:pt>
                <c:pt idx="9">
                  <c:v>270465.0396561792</c:v>
                </c:pt>
                <c:pt idx="10">
                  <c:v>266825.53025094996</c:v>
                </c:pt>
                <c:pt idx="11">
                  <c:v>263502.4925336095</c:v>
                </c:pt>
                <c:pt idx="12">
                  <c:v>260475.35584444503</c:v>
                </c:pt>
                <c:pt idx="13">
                  <c:v>257724.88661662518</c:v>
                </c:pt>
                <c:pt idx="14">
                  <c:v>255233.1014651625</c:v>
                </c:pt>
                <c:pt idx="15">
                  <c:v>252983.18592509368</c:v>
                </c:pt>
                <c:pt idx="16">
                  <c:v>250959.41847167825</c:v>
                </c:pt>
                <c:pt idx="17">
                  <c:v>249147.0994792837</c:v>
                </c:pt>
                <c:pt idx="18">
                  <c:v>247532.4847979437</c:v>
                </c:pt>
                <c:pt idx="19">
                  <c:v>244453.62945420563</c:v>
                </c:pt>
                <c:pt idx="20">
                  <c:v>241574.89970781055</c:v>
                </c:pt>
                <c:pt idx="21">
                  <c:v>238883.28739493113</c:v>
                </c:pt>
                <c:pt idx="22">
                  <c:v>236366.62988238889</c:v>
                </c:pt>
                <c:pt idx="23">
                  <c:v>234013.55510816193</c:v>
                </c:pt>
                <c:pt idx="24">
                  <c:v>231813.43019425971</c:v>
                </c:pt>
                <c:pt idx="25">
                  <c:v>229756.31339976107</c:v>
                </c:pt>
                <c:pt idx="26">
                  <c:v>227832.90919690489</c:v>
                </c:pt>
                <c:pt idx="27">
                  <c:v>226034.52626723435</c:v>
                </c:pt>
                <c:pt idx="28">
                  <c:v>224353.03822799239</c:v>
                </c:pt>
              </c:numCache>
            </c:numRef>
          </c:val>
        </c:ser>
        <c:ser>
          <c:idx val="5"/>
          <c:order val="3"/>
          <c:tx>
            <c:strRef>
              <c:f>RESULTS!$B$12</c:f>
              <c:strCache>
                <c:ptCount val="1"/>
                <c:pt idx="0">
                  <c:v>LUC CO2 removal</c:v>
                </c:pt>
              </c:strCache>
            </c:strRef>
          </c:tx>
          <c:spPr>
            <a:solidFill>
              <a:schemeClr val="accent6"/>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RESULTS!$C$12:$AE$12</c:f>
              <c:numCache>
                <c:formatCode>#,##0</c:formatCode>
                <c:ptCount val="29"/>
                <c:pt idx="0">
                  <c:v>0</c:v>
                </c:pt>
                <c:pt idx="1">
                  <c:v>0</c:v>
                </c:pt>
                <c:pt idx="2">
                  <c:v>0</c:v>
                </c:pt>
                <c:pt idx="3">
                  <c:v>0</c:v>
                </c:pt>
                <c:pt idx="4">
                  <c:v>0</c:v>
                </c:pt>
                <c:pt idx="5">
                  <c:v>0</c:v>
                </c:pt>
                <c:pt idx="6">
                  <c:v>0</c:v>
                </c:pt>
                <c:pt idx="7">
                  <c:v>0</c:v>
                </c:pt>
                <c:pt idx="8">
                  <c:v>-87182.9756962846</c:v>
                </c:pt>
                <c:pt idx="9">
                  <c:v>-87182.9756962846</c:v>
                </c:pt>
                <c:pt idx="10">
                  <c:v>-87182.9756962846</c:v>
                </c:pt>
                <c:pt idx="11">
                  <c:v>-87182.9756962846</c:v>
                </c:pt>
                <c:pt idx="12">
                  <c:v>-87182.9756962846</c:v>
                </c:pt>
                <c:pt idx="13">
                  <c:v>-87182.9756962846</c:v>
                </c:pt>
                <c:pt idx="14">
                  <c:v>-87182.9756962846</c:v>
                </c:pt>
                <c:pt idx="15">
                  <c:v>-87182.9756962846</c:v>
                </c:pt>
                <c:pt idx="16">
                  <c:v>-87182.9756962846</c:v>
                </c:pt>
                <c:pt idx="17">
                  <c:v>-87182.9756962846</c:v>
                </c:pt>
                <c:pt idx="18">
                  <c:v>-87182.9756962846</c:v>
                </c:pt>
                <c:pt idx="19">
                  <c:v>-87182.9756962846</c:v>
                </c:pt>
                <c:pt idx="20">
                  <c:v>-87182.9756962846</c:v>
                </c:pt>
                <c:pt idx="21">
                  <c:v>-87182.9756962846</c:v>
                </c:pt>
                <c:pt idx="22">
                  <c:v>-87182.9756962846</c:v>
                </c:pt>
                <c:pt idx="23">
                  <c:v>-87182.9756962846</c:v>
                </c:pt>
                <c:pt idx="24">
                  <c:v>-87182.9756962846</c:v>
                </c:pt>
                <c:pt idx="25">
                  <c:v>-87182.9756962846</c:v>
                </c:pt>
                <c:pt idx="26">
                  <c:v>-87182.9756962846</c:v>
                </c:pt>
                <c:pt idx="27">
                  <c:v>-87182.9756962846</c:v>
                </c:pt>
                <c:pt idx="28">
                  <c:v>-35307.884185622774</c:v>
                </c:pt>
              </c:numCache>
            </c:numRef>
          </c:val>
        </c:ser>
        <c:dLbls>
          <c:showLegendKey val="0"/>
          <c:showVal val="0"/>
          <c:showCatName val="0"/>
          <c:showSerName val="0"/>
          <c:showPercent val="0"/>
          <c:showBubbleSize val="0"/>
        </c:dLbls>
        <c:gapWidth val="0"/>
        <c:overlap val="100"/>
        <c:axId val="467225040"/>
        <c:axId val="467218376"/>
      </c:barChart>
      <c:lineChart>
        <c:grouping val="standard"/>
        <c:varyColors val="0"/>
        <c:ser>
          <c:idx val="6"/>
          <c:order val="4"/>
          <c:tx>
            <c:strRef>
              <c:f>RESULTS!$B$13</c:f>
              <c:strCache>
                <c:ptCount val="1"/>
                <c:pt idx="0">
                  <c:v>net balance</c:v>
                </c:pt>
              </c:strCache>
            </c:strRef>
          </c:tx>
          <c:spPr>
            <a:ln w="28575" cap="rnd">
              <a:solidFill>
                <a:srgbClr val="FF3300"/>
              </a:solidFill>
              <a:prstDash val="sysDot"/>
              <a:round/>
            </a:ln>
            <a:effectLst/>
          </c:spPr>
          <c:marker>
            <c:symbol val="none"/>
          </c:marker>
          <c:val>
            <c:numRef>
              <c:f>RESULTS!$C$13:$AE$13</c:f>
              <c:numCache>
                <c:formatCode>#,##0</c:formatCode>
                <c:ptCount val="29"/>
                <c:pt idx="0">
                  <c:v>444023.43173522432</c:v>
                </c:pt>
                <c:pt idx="1">
                  <c:v>430698.63889996504</c:v>
                </c:pt>
                <c:pt idx="2">
                  <c:v>418485.86728997465</c:v>
                </c:pt>
                <c:pt idx="3">
                  <c:v>410415.28859963699</c:v>
                </c:pt>
                <c:pt idx="4">
                  <c:v>402994.66834138753</c:v>
                </c:pt>
                <c:pt idx="5">
                  <c:v>393341.46500029555</c:v>
                </c:pt>
                <c:pt idx="6">
                  <c:v>384518.65347300563</c:v>
                </c:pt>
                <c:pt idx="7">
                  <c:v>376465.88063668588</c:v>
                </c:pt>
                <c:pt idx="8">
                  <c:v>327948.19118974707</c:v>
                </c:pt>
                <c:pt idx="9">
                  <c:v>280876.87727760035</c:v>
                </c:pt>
                <c:pt idx="10">
                  <c:v>277284.33010954078</c:v>
                </c:pt>
                <c:pt idx="11">
                  <c:v>274057.6362110445</c:v>
                </c:pt>
                <c:pt idx="12">
                  <c:v>271173.56406732451</c:v>
                </c:pt>
                <c:pt idx="13">
                  <c:v>268611.27514334553</c:v>
                </c:pt>
                <c:pt idx="14">
                  <c:v>266350.13299402042</c:v>
                </c:pt>
                <c:pt idx="15">
                  <c:v>264371.63424929796</c:v>
                </c:pt>
                <c:pt idx="16">
                  <c:v>306714.98882976413</c:v>
                </c:pt>
                <c:pt idx="17">
                  <c:v>262163.47821094241</c:v>
                </c:pt>
                <c:pt idx="18">
                  <c:v>260933.68744955346</c:v>
                </c:pt>
                <c:pt idx="19">
                  <c:v>258274.63357951969</c:v>
                </c:pt>
                <c:pt idx="20">
                  <c:v>255849.33003935049</c:v>
                </c:pt>
                <c:pt idx="21">
                  <c:v>253642.94481332984</c:v>
                </c:pt>
                <c:pt idx="22">
                  <c:v>251642.66204124934</c:v>
                </c:pt>
                <c:pt idx="23">
                  <c:v>249835.42450873973</c:v>
                </c:pt>
                <c:pt idx="24">
                  <c:v>248210.94974289753</c:v>
                </c:pt>
                <c:pt idx="25">
                  <c:v>246757.47184687847</c:v>
                </c:pt>
                <c:pt idx="26">
                  <c:v>245464.18719435896</c:v>
                </c:pt>
                <c:pt idx="27">
                  <c:v>244322.09570654226</c:v>
                </c:pt>
                <c:pt idx="28">
                  <c:v>294390.67623207229</c:v>
                </c:pt>
              </c:numCache>
            </c:numRef>
          </c:val>
          <c:smooth val="0"/>
        </c:ser>
        <c:dLbls>
          <c:showLegendKey val="0"/>
          <c:showVal val="0"/>
          <c:showCatName val="0"/>
          <c:showSerName val="0"/>
          <c:showPercent val="0"/>
          <c:showBubbleSize val="0"/>
        </c:dLbls>
        <c:marker val="1"/>
        <c:smooth val="0"/>
        <c:axId val="467225040"/>
        <c:axId val="467218376"/>
      </c:lineChart>
      <c:catAx>
        <c:axId val="467225040"/>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67218376"/>
        <c:crosses val="autoZero"/>
        <c:auto val="1"/>
        <c:lblAlgn val="ctr"/>
        <c:lblOffset val="100"/>
        <c:noMultiLvlLbl val="0"/>
      </c:catAx>
      <c:valAx>
        <c:axId val="467218376"/>
        <c:scaling>
          <c:orientation val="minMax"/>
        </c:scaling>
        <c:delete val="0"/>
        <c:axPos val="l"/>
        <c:majorGridlines>
          <c:spPr>
            <a:ln w="9525" cap="flat" cmpd="sng" algn="ctr">
              <a:solidFill>
                <a:schemeClr val="bg1">
                  <a:lumMod val="5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25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TERRITORIAL APPROACH</a:t>
            </a:r>
            <a:r>
              <a:rPr lang="et-EE" baseline="0"/>
              <a:t> / CO</a:t>
            </a:r>
            <a:r>
              <a:rPr lang="et-EE" baseline="-25000"/>
              <a:t>2</a:t>
            </a:r>
            <a:r>
              <a:rPr lang="et-EE" baseline="0"/>
              <a:t>e EMISSIONS PER CAPITA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0"/>
          <c:tx>
            <c:strRef>
              <c:f>RESULTS!$B$20</c:f>
              <c:strCache>
                <c:ptCount val="1"/>
                <c:pt idx="0">
                  <c:v>transport</c:v>
                </c:pt>
              </c:strCache>
            </c:strRef>
          </c:tx>
          <c:spPr>
            <a:solidFill>
              <a:schemeClr val="accent2"/>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RESULTS!$C$20:$AE$20</c:f>
              <c:numCache>
                <c:formatCode>#,##0.000</c:formatCode>
                <c:ptCount val="29"/>
                <c:pt idx="0">
                  <c:v>0.46102414202704228</c:v>
                </c:pt>
                <c:pt idx="1">
                  <c:v>0.46258008231006598</c:v>
                </c:pt>
                <c:pt idx="2">
                  <c:v>0.46467744022439789</c:v>
                </c:pt>
                <c:pt idx="3">
                  <c:v>0.4834523628117961</c:v>
                </c:pt>
                <c:pt idx="4">
                  <c:v>0.50127115899942043</c:v>
                </c:pt>
                <c:pt idx="5">
                  <c:v>0.50337809280561507</c:v>
                </c:pt>
                <c:pt idx="6">
                  <c:v>0.50599517283803097</c:v>
                </c:pt>
                <c:pt idx="7">
                  <c:v>0.50910474744312295</c:v>
                </c:pt>
                <c:pt idx="8">
                  <c:v>0.51269049797982891</c:v>
                </c:pt>
                <c:pt idx="9">
                  <c:v>0.51420695460313603</c:v>
                </c:pt>
                <c:pt idx="10">
                  <c:v>0.5160025838104737</c:v>
                </c:pt>
                <c:pt idx="11">
                  <c:v>0.51806743224045149</c:v>
                </c:pt>
                <c:pt idx="12">
                  <c:v>0.52039239230248269</c:v>
                </c:pt>
                <c:pt idx="13">
                  <c:v>0.52296833863674053</c:v>
                </c:pt>
                <c:pt idx="14">
                  <c:v>0.52578314983673091</c:v>
                </c:pt>
                <c:pt idx="15">
                  <c:v>0.52883261852350716</c:v>
                </c:pt>
                <c:pt idx="16">
                  <c:v>0.53210941790784205</c:v>
                </c:pt>
                <c:pt idx="17">
                  <c:v>0.53560666598432016</c:v>
                </c:pt>
                <c:pt idx="18">
                  <c:v>0.53931790320081496</c:v>
                </c:pt>
                <c:pt idx="19">
                  <c:v>0.54323707130032917</c:v>
                </c:pt>
                <c:pt idx="20">
                  <c:v>0.54735849327438491</c:v>
                </c:pt>
                <c:pt idx="21">
                  <c:v>0.55167685437030711</c:v>
                </c:pt>
                <c:pt idx="22">
                  <c:v>0.55618718409774492</c:v>
                </c:pt>
                <c:pt idx="23">
                  <c:v>0.56088483918261411</c:v>
                </c:pt>
                <c:pt idx="24">
                  <c:v>0.5657702402899587</c:v>
                </c:pt>
                <c:pt idx="25">
                  <c:v>0.57083475458456867</c:v>
                </c:pt>
                <c:pt idx="26">
                  <c:v>0.5760746206752132</c:v>
                </c:pt>
                <c:pt idx="27">
                  <c:v>0.58148634528834819</c:v>
                </c:pt>
                <c:pt idx="28">
                  <c:v>0.58706669023146152</c:v>
                </c:pt>
              </c:numCache>
            </c:numRef>
          </c:val>
        </c:ser>
        <c:ser>
          <c:idx val="2"/>
          <c:order val="1"/>
          <c:tx>
            <c:strRef>
              <c:f>RESULTS!$B$21</c:f>
              <c:strCache>
                <c:ptCount val="1"/>
                <c:pt idx="0">
                  <c:v>LUC emissions</c:v>
                </c:pt>
              </c:strCache>
            </c:strRef>
          </c:tx>
          <c:spPr>
            <a:solidFill>
              <a:schemeClr val="accent3"/>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RESULTS!$C$21:$AE$21</c:f>
              <c:numCache>
                <c:formatCode>#,##0.000</c:formatCode>
                <c:ptCount val="29"/>
                <c:pt idx="0">
                  <c:v>0</c:v>
                </c:pt>
                <c:pt idx="1">
                  <c:v>0</c:v>
                </c:pt>
                <c:pt idx="2">
                  <c:v>0</c:v>
                </c:pt>
                <c:pt idx="3">
                  <c:v>0</c:v>
                </c:pt>
                <c:pt idx="4">
                  <c:v>0</c:v>
                </c:pt>
                <c:pt idx="5">
                  <c:v>0</c:v>
                </c:pt>
                <c:pt idx="6">
                  <c:v>0</c:v>
                </c:pt>
                <c:pt idx="7">
                  <c:v>0</c:v>
                </c:pt>
                <c:pt idx="8">
                  <c:v>0.23250344584867927</c:v>
                </c:pt>
                <c:pt idx="9">
                  <c:v>4.2855827329975711E-3</c:v>
                </c:pt>
                <c:pt idx="10">
                  <c:v>4.2984625003552462E-3</c:v>
                </c:pt>
                <c:pt idx="11">
                  <c:v>4.3113738317424018E-3</c:v>
                </c:pt>
                <c:pt idx="12">
                  <c:v>4.3243397787439053E-3</c:v>
                </c:pt>
                <c:pt idx="13">
                  <c:v>4.3373373050438584E-3</c:v>
                </c:pt>
                <c:pt idx="14">
                  <c:v>4.3503662756730049E-3</c:v>
                </c:pt>
                <c:pt idx="15">
                  <c:v>4.3634501547942968E-3</c:v>
                </c:pt>
                <c:pt idx="16">
                  <c:v>0.24340286299371522</c:v>
                </c:pt>
                <c:pt idx="17">
                  <c:v>9.6573666443553214E-3</c:v>
                </c:pt>
                <c:pt idx="18">
                  <c:v>9.6864106426798845E-3</c:v>
                </c:pt>
                <c:pt idx="19">
                  <c:v>9.7155234867853206E-3</c:v>
                </c:pt>
                <c:pt idx="20">
                  <c:v>9.7447048401385211E-3</c:v>
                </c:pt>
                <c:pt idx="21">
                  <c:v>9.7740081878430734E-3</c:v>
                </c:pt>
                <c:pt idx="22">
                  <c:v>9.8033799932974661E-3</c:v>
                </c:pt>
                <c:pt idx="23">
                  <c:v>9.8328743796738029E-3</c:v>
                </c:pt>
                <c:pt idx="24">
                  <c:v>9.86243715567609E-3</c:v>
                </c:pt>
                <c:pt idx="25">
                  <c:v>9.8920679512977325E-3</c:v>
                </c:pt>
                <c:pt idx="26">
                  <c:v>9.9218218581984575E-3</c:v>
                </c:pt>
                <c:pt idx="27">
                  <c:v>9.9516436847998189E-3</c:v>
                </c:pt>
                <c:pt idx="28">
                  <c:v>5.4444725667200993E-3</c:v>
                </c:pt>
              </c:numCache>
            </c:numRef>
          </c:val>
        </c:ser>
        <c:ser>
          <c:idx val="3"/>
          <c:order val="2"/>
          <c:tx>
            <c:strRef>
              <c:f>RESULTS!$B$22</c:f>
              <c:strCache>
                <c:ptCount val="1"/>
                <c:pt idx="0">
                  <c:v>buildings</c:v>
                </c:pt>
              </c:strCache>
            </c:strRef>
          </c:tx>
          <c:spPr>
            <a:solidFill>
              <a:schemeClr val="accent4"/>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RESULTS!$C$22:$AE$22</c:f>
              <c:numCache>
                <c:formatCode>#,##0.000</c:formatCode>
                <c:ptCount val="29"/>
                <c:pt idx="0">
                  <c:v>1.8166965735459193</c:v>
                </c:pt>
                <c:pt idx="1">
                  <c:v>1.7556522219907795</c:v>
                </c:pt>
                <c:pt idx="2">
                  <c:v>1.6993039405818333</c:v>
                </c:pt>
                <c:pt idx="3">
                  <c:v>1.6473132544311715</c:v>
                </c:pt>
                <c:pt idx="4">
                  <c:v>1.5993661731109792</c:v>
                </c:pt>
                <c:pt idx="5">
                  <c:v>1.5551714186494296</c:v>
                </c:pt>
                <c:pt idx="6">
                  <c:v>1.5144587818209025</c:v>
                </c:pt>
                <c:pt idx="7">
                  <c:v>1.4769775974368355</c:v>
                </c:pt>
                <c:pt idx="8">
                  <c:v>1.4536638953296839</c:v>
                </c:pt>
                <c:pt idx="9">
                  <c:v>1.4369012030950719</c:v>
                </c:pt>
                <c:pt idx="10">
                  <c:v>1.4218258709765856</c:v>
                </c:pt>
                <c:pt idx="11">
                  <c:v>1.4083360548450017</c:v>
                </c:pt>
                <c:pt idx="12">
                  <c:v>1.3963437305710007</c:v>
                </c:pt>
                <c:pt idx="13">
                  <c:v>1.3857517749923389</c:v>
                </c:pt>
                <c:pt idx="14">
                  <c:v>1.3764762112183497</c:v>
                </c:pt>
                <c:pt idx="15">
                  <c:v>1.3684456881634761</c:v>
                </c:pt>
                <c:pt idx="16">
                  <c:v>1.3615789190878564</c:v>
                </c:pt>
                <c:pt idx="17">
                  <c:v>1.3558066611846982</c:v>
                </c:pt>
                <c:pt idx="18">
                  <c:v>1.3510713533935752</c:v>
                </c:pt>
                <c:pt idx="19">
                  <c:v>1.3382766594997653</c:v>
                </c:pt>
                <c:pt idx="20">
                  <c:v>1.3264891591502699</c:v>
                </c:pt>
                <c:pt idx="21">
                  <c:v>1.3156539483115666</c:v>
                </c:pt>
                <c:pt idx="22">
                  <c:v>1.3057054228806297</c:v>
                </c:pt>
                <c:pt idx="23">
                  <c:v>1.2965961066037353</c:v>
                </c:pt>
                <c:pt idx="24">
                  <c:v>1.2882674983842555</c:v>
                </c:pt>
                <c:pt idx="25">
                  <c:v>1.2806715238862285</c:v>
                </c:pt>
                <c:pt idx="26">
                  <c:v>1.2737702132720481</c:v>
                </c:pt>
                <c:pt idx="27">
                  <c:v>1.2675141242716235</c:v>
                </c:pt>
                <c:pt idx="28">
                  <c:v>1.2618635969964982</c:v>
                </c:pt>
              </c:numCache>
            </c:numRef>
          </c:val>
        </c:ser>
        <c:ser>
          <c:idx val="5"/>
          <c:order val="3"/>
          <c:tx>
            <c:strRef>
              <c:f>RESULTS!$B$23</c:f>
              <c:strCache>
                <c:ptCount val="1"/>
                <c:pt idx="0">
                  <c:v>LUC CO2 removal</c:v>
                </c:pt>
              </c:strCache>
            </c:strRef>
          </c:tx>
          <c:spPr>
            <a:solidFill>
              <a:schemeClr val="accent6"/>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RESULTS!$C$23:$AE$23</c:f>
              <c:numCache>
                <c:formatCode>#,##0.000</c:formatCode>
                <c:ptCount val="29"/>
                <c:pt idx="0">
                  <c:v>0</c:v>
                </c:pt>
                <c:pt idx="1">
                  <c:v>0</c:v>
                </c:pt>
                <c:pt idx="2">
                  <c:v>0</c:v>
                </c:pt>
                <c:pt idx="3">
                  <c:v>0</c:v>
                </c:pt>
                <c:pt idx="4">
                  <c:v>0</c:v>
                </c:pt>
                <c:pt idx="5">
                  <c:v>0</c:v>
                </c:pt>
                <c:pt idx="6">
                  <c:v>0</c:v>
                </c:pt>
                <c:pt idx="7">
                  <c:v>0</c:v>
                </c:pt>
                <c:pt idx="8">
                  <c:v>-0.46178891117453202</c:v>
                </c:pt>
                <c:pt idx="9">
                  <c:v>-0.46317750651488937</c:v>
                </c:pt>
                <c:pt idx="10">
                  <c:v>-0.46456952690065545</c:v>
                </c:pt>
                <c:pt idx="11">
                  <c:v>-0.46596495866577908</c:v>
                </c:pt>
                <c:pt idx="12">
                  <c:v>-0.46736629318104117</c:v>
                </c:pt>
                <c:pt idx="13">
                  <c:v>-0.46877104072590142</c:v>
                </c:pt>
                <c:pt idx="14">
                  <c:v>-0.47017918671314335</c:v>
                </c:pt>
                <c:pt idx="15">
                  <c:v>-0.47159326710419053</c:v>
                </c:pt>
                <c:pt idx="16">
                  <c:v>-0.47301074625659661</c:v>
                </c:pt>
                <c:pt idx="17">
                  <c:v>-0.4744316086278772</c:v>
                </c:pt>
                <c:pt idx="18">
                  <c:v>-0.47585843556254287</c:v>
                </c:pt>
                <c:pt idx="19">
                  <c:v>-0.47728864464223514</c:v>
                </c:pt>
                <c:pt idx="20">
                  <c:v>-0.47872221933429571</c:v>
                </c:pt>
                <c:pt idx="21">
                  <c:v>-0.48016178716905106</c:v>
                </c:pt>
                <c:pt idx="22">
                  <c:v>-0.48160471808626715</c:v>
                </c:pt>
                <c:pt idx="23">
                  <c:v>-0.4830536709622768</c:v>
                </c:pt>
                <c:pt idx="24">
                  <c:v>-0.4845059835740661</c:v>
                </c:pt>
                <c:pt idx="25">
                  <c:v>-0.48596163774454498</c:v>
                </c:pt>
                <c:pt idx="26">
                  <c:v>-0.48742333992835157</c:v>
                </c:pt>
                <c:pt idx="27">
                  <c:v>-0.48888837876220131</c:v>
                </c:pt>
                <c:pt idx="28">
                  <c:v>-0.19858761036937356</c:v>
                </c:pt>
              </c:numCache>
            </c:numRef>
          </c:val>
        </c:ser>
        <c:dLbls>
          <c:showLegendKey val="0"/>
          <c:showVal val="0"/>
          <c:showCatName val="0"/>
          <c:showSerName val="0"/>
          <c:showPercent val="0"/>
          <c:showBubbleSize val="0"/>
        </c:dLbls>
        <c:gapWidth val="0"/>
        <c:overlap val="100"/>
        <c:axId val="467219552"/>
        <c:axId val="467219944"/>
      </c:barChart>
      <c:lineChart>
        <c:grouping val="stacked"/>
        <c:varyColors val="0"/>
        <c:ser>
          <c:idx val="6"/>
          <c:order val="4"/>
          <c:tx>
            <c:strRef>
              <c:f>RESULTS!$B$24</c:f>
              <c:strCache>
                <c:ptCount val="1"/>
                <c:pt idx="0">
                  <c:v>net balance</c:v>
                </c:pt>
              </c:strCache>
            </c:strRef>
          </c:tx>
          <c:spPr>
            <a:ln w="28575" cap="rnd">
              <a:solidFill>
                <a:srgbClr val="FF3300"/>
              </a:solidFill>
              <a:prstDash val="sysDot"/>
              <a:round/>
            </a:ln>
            <a:effectLst/>
          </c:spPr>
          <c:marker>
            <c:symbol val="none"/>
          </c:marker>
          <c:val>
            <c:numRef>
              <c:f>RESULTS!$C$24:$AE$24</c:f>
              <c:numCache>
                <c:formatCode>#,##0.000</c:formatCode>
                <c:ptCount val="29"/>
                <c:pt idx="0">
                  <c:v>2.2777207155729617</c:v>
                </c:pt>
                <c:pt idx="1">
                  <c:v>2.2182323043008454</c:v>
                </c:pt>
                <c:pt idx="2">
                  <c:v>2.1639813808062311</c:v>
                </c:pt>
                <c:pt idx="3">
                  <c:v>2.1307656172429676</c:v>
                </c:pt>
                <c:pt idx="4">
                  <c:v>2.1006373321103995</c:v>
                </c:pt>
                <c:pt idx="5">
                  <c:v>2.0585495114550447</c:v>
                </c:pt>
                <c:pt idx="6">
                  <c:v>2.0204539546589335</c:v>
                </c:pt>
                <c:pt idx="7">
                  <c:v>1.9860823448799585</c:v>
                </c:pt>
                <c:pt idx="8">
                  <c:v>1.73706892798366</c:v>
                </c:pt>
                <c:pt idx="9">
                  <c:v>1.4922162339163163</c:v>
                </c:pt>
                <c:pt idx="10">
                  <c:v>1.4775573903867589</c:v>
                </c:pt>
                <c:pt idx="11">
                  <c:v>1.4647499022514165</c:v>
                </c:pt>
                <c:pt idx="12">
                  <c:v>1.4536941694711862</c:v>
                </c:pt>
                <c:pt idx="13">
                  <c:v>1.4442864102082218</c:v>
                </c:pt>
                <c:pt idx="14">
                  <c:v>1.4364305406176103</c:v>
                </c:pt>
                <c:pt idx="15">
                  <c:v>1.4300484897375871</c:v>
                </c:pt>
                <c:pt idx="16">
                  <c:v>1.6640804537328171</c:v>
                </c:pt>
                <c:pt idx="17">
                  <c:v>1.4266390851854964</c:v>
                </c:pt>
                <c:pt idx="18">
                  <c:v>1.4242172316745272</c:v>
                </c:pt>
                <c:pt idx="19">
                  <c:v>1.4139406096446445</c:v>
                </c:pt>
                <c:pt idx="20">
                  <c:v>1.4048701379304978</c:v>
                </c:pt>
                <c:pt idx="21">
                  <c:v>1.3969430237006657</c:v>
                </c:pt>
                <c:pt idx="22">
                  <c:v>1.390091268885405</c:v>
                </c:pt>
                <c:pt idx="23">
                  <c:v>1.3842601492037465</c:v>
                </c:pt>
                <c:pt idx="24">
                  <c:v>1.3793941922558242</c:v>
                </c:pt>
                <c:pt idx="25">
                  <c:v>1.3754367086775499</c:v>
                </c:pt>
                <c:pt idx="26">
                  <c:v>1.3723433158771081</c:v>
                </c:pt>
                <c:pt idx="27">
                  <c:v>1.3700637344825701</c:v>
                </c:pt>
                <c:pt idx="28">
                  <c:v>1.6557871494253062</c:v>
                </c:pt>
              </c:numCache>
            </c:numRef>
          </c:val>
          <c:smooth val="0"/>
        </c:ser>
        <c:dLbls>
          <c:showLegendKey val="0"/>
          <c:showVal val="0"/>
          <c:showCatName val="0"/>
          <c:showSerName val="0"/>
          <c:showPercent val="0"/>
          <c:showBubbleSize val="0"/>
        </c:dLbls>
        <c:marker val="1"/>
        <c:smooth val="0"/>
        <c:axId val="467219552"/>
        <c:axId val="467219944"/>
      </c:lineChart>
      <c:catAx>
        <c:axId val="467219552"/>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467219944"/>
        <c:crosses val="autoZero"/>
        <c:auto val="1"/>
        <c:lblAlgn val="ctr"/>
        <c:lblOffset val="100"/>
        <c:noMultiLvlLbl val="0"/>
      </c:catAx>
      <c:valAx>
        <c:axId val="467219944"/>
        <c:scaling>
          <c:orientation val="minMax"/>
        </c:scaling>
        <c:delete val="0"/>
        <c:axPos val="l"/>
        <c:majorGridlines>
          <c:spPr>
            <a:ln w="9525" cap="flat" cmpd="sng" algn="ctr">
              <a:solidFill>
                <a:schemeClr val="bg1">
                  <a:lumMod val="50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19552"/>
        <c:crosses val="autoZero"/>
        <c:crossBetween val="between"/>
      </c:valAx>
      <c:spPr>
        <a:noFill/>
        <a:ln>
          <a:noFill/>
        </a:ln>
        <a:effectLst/>
      </c:spPr>
    </c:plotArea>
    <c:legend>
      <c:legendPos val="b"/>
      <c:layout>
        <c:manualLayout>
          <c:xMode val="edge"/>
          <c:yMode val="edge"/>
          <c:x val="3.1457173036297303E-2"/>
          <c:y val="0.84185946275357992"/>
          <c:w val="0.94521557518724797"/>
          <c:h val="0.1333343316583176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sz="1100"/>
              <a:t>WITH POLICY</a:t>
            </a:r>
            <a:endParaRPr lang="en-US" sz="1100"/>
          </a:p>
        </c:rich>
      </c:tx>
      <c:layout>
        <c:manualLayout>
          <c:xMode val="edge"/>
          <c:yMode val="edge"/>
          <c:x val="0.36812647260288406"/>
          <c:y val="5.139916083002726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3775273273242056"/>
          <c:y val="0.23360459773695399"/>
          <c:w val="0.49148863654083336"/>
          <c:h val="0.68727445468067372"/>
        </c:manualLayout>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val>
            <c:numRef>
              <c:f>TRANSPORT!$G$182:$G$184</c:f>
              <c:numCache>
                <c:formatCode>0.0</c:formatCode>
                <c:ptCount val="3"/>
                <c:pt idx="0">
                  <c:v>58.6</c:v>
                </c:pt>
                <c:pt idx="1">
                  <c:v>0</c:v>
                </c:pt>
                <c:pt idx="2">
                  <c:v>41.4</c:v>
                </c:pt>
              </c:numCache>
            </c:numRef>
          </c:val>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sz="1100"/>
              <a:t>WITH POLICY</a:t>
            </a:r>
            <a:endParaRPr lang="en-US" sz="1100"/>
          </a:p>
        </c:rich>
      </c:tx>
      <c:layout>
        <c:manualLayout>
          <c:xMode val="edge"/>
          <c:yMode val="edge"/>
          <c:x val="0.414098898987312"/>
          <c:y val="3.856484976367831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026359569223771"/>
          <c:y val="0.19510207257708373"/>
          <c:w val="0.49148863654083336"/>
          <c:h val="0.68727445468067372"/>
        </c:manualLayout>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val>
            <c:numRef>
              <c:f>TRANSPORT!$G$191:$G$195</c:f>
              <c:numCache>
                <c:formatCode>0.0</c:formatCode>
                <c:ptCount val="5"/>
                <c:pt idx="0">
                  <c:v>0</c:v>
                </c:pt>
                <c:pt idx="1">
                  <c:v>0</c:v>
                </c:pt>
                <c:pt idx="2">
                  <c:v>0</c:v>
                </c:pt>
                <c:pt idx="3">
                  <c:v>100</c:v>
                </c:pt>
                <c:pt idx="4">
                  <c:v>0</c:v>
                </c:pt>
              </c:numCache>
            </c:numRef>
          </c:val>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t-EE" sz="1100"/>
              <a:t>LAND</a:t>
            </a:r>
            <a:r>
              <a:rPr lang="et-EE" sz="1100" baseline="0"/>
              <a:t> USE </a:t>
            </a:r>
            <a:r>
              <a:rPr lang="en-US" sz="1100"/>
              <a:t>BA</a:t>
            </a:r>
            <a:r>
              <a:rPr lang="et-EE" sz="1100"/>
              <a:t>SELINE</a:t>
            </a:r>
            <a:endParaRPr lang="en-US" sz="1100"/>
          </a:p>
        </c:rich>
      </c:tx>
      <c:layout>
        <c:manualLayout>
          <c:xMode val="edge"/>
          <c:yMode val="edge"/>
          <c:x val="0.50946964933500705"/>
          <c:y val="4.8435918178470469E-2"/>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45156804152943486"/>
          <c:y val="0.15975606244340707"/>
          <c:w val="0.5376008644163256"/>
          <c:h val="0.66217968907732683"/>
        </c:manualLayout>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cat>
            <c:strRef>
              <c:f>'LAND USE CHANGE'!$B$17:$B$22</c:f>
              <c:strCache>
                <c:ptCount val="6"/>
                <c:pt idx="0">
                  <c:v>Forestland</c:v>
                </c:pt>
                <c:pt idx="1">
                  <c:v>Cropland</c:v>
                </c:pt>
                <c:pt idx="2">
                  <c:v>Grassland</c:v>
                </c:pt>
                <c:pt idx="3">
                  <c:v>Wetland</c:v>
                </c:pt>
                <c:pt idx="4">
                  <c:v>Settlements</c:v>
                </c:pt>
                <c:pt idx="5">
                  <c:v>Other land</c:v>
                </c:pt>
              </c:strCache>
            </c:strRef>
          </c:cat>
          <c:val>
            <c:numRef>
              <c:f>'LAND USE CHANGE'!$C$17:$C$22</c:f>
              <c:numCache>
                <c:formatCode>0.000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l"/>
      <c:layout>
        <c:manualLayout>
          <c:xMode val="edge"/>
          <c:yMode val="edge"/>
          <c:x val="3.068400980264206E-4"/>
          <c:y val="0.25440065079878038"/>
          <c:w val="0.32451734391926773"/>
          <c:h val="0.6075061832283331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LAND USE BASELINE (tCO2/capita,a)</a:t>
            </a:r>
            <a:endParaRPr lang="en-US"/>
          </a:p>
        </c:rich>
      </c:tx>
      <c:layout>
        <c:manualLayout>
          <c:xMode val="edge"/>
          <c:yMode val="edge"/>
          <c:x val="0.30103388508176959"/>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'LAND USE CHANGE'!$O$10</c:f>
              <c:strCache>
                <c:ptCount val="1"/>
                <c:pt idx="0">
                  <c:v>Forestland</c:v>
                </c:pt>
              </c:strCache>
            </c:strRef>
          </c:tx>
          <c:spPr>
            <a:solidFill>
              <a:schemeClr val="accent1"/>
            </a:solidFill>
            <a:ln>
              <a:noFill/>
            </a:ln>
            <a:effectLst/>
          </c:spPr>
          <c:invertIfNegative val="0"/>
          <c:cat>
            <c:numRef>
              <c:f>'LAND USE CHANGE'!$P$9:$AS$9</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'LAND USE CHANGE'!$P$10:$AS$10</c:f>
              <c:numCache>
                <c:formatCode>General</c:formatCode>
                <c:ptCount val="30"/>
                <c:pt idx="0" formatCode="0">
                  <c:v>0</c:v>
                </c:pt>
                <c:pt idx="1">
                  <c:v>0</c:v>
                </c:pt>
                <c:pt idx="2" formatCode="0">
                  <c:v>0</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numCache>
            </c:numRef>
          </c:val>
        </c:ser>
        <c:ser>
          <c:idx val="1"/>
          <c:order val="1"/>
          <c:tx>
            <c:strRef>
              <c:f>'LAND USE CHANGE'!$O$11</c:f>
              <c:strCache>
                <c:ptCount val="1"/>
                <c:pt idx="0">
                  <c:v>Cropland</c:v>
                </c:pt>
              </c:strCache>
            </c:strRef>
          </c:tx>
          <c:spPr>
            <a:solidFill>
              <a:schemeClr val="accent2"/>
            </a:solidFill>
            <a:ln>
              <a:noFill/>
            </a:ln>
            <a:effectLst/>
          </c:spPr>
          <c:invertIfNegative val="0"/>
          <c:cat>
            <c:numRef>
              <c:f>'LAND USE CHANGE'!$P$9:$AS$9</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'LAND USE CHANGE'!$P$11:$AS$11</c:f>
              <c:numCache>
                <c:formatCode>General</c:formatCode>
                <c:ptCount val="30"/>
                <c:pt idx="0" formatCode="0">
                  <c:v>0</c:v>
                </c:pt>
                <c:pt idx="1">
                  <c:v>0</c:v>
                </c:pt>
                <c:pt idx="2" formatCode="0">
                  <c:v>0</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numCache>
            </c:numRef>
          </c:val>
        </c:ser>
        <c:ser>
          <c:idx val="2"/>
          <c:order val="2"/>
          <c:tx>
            <c:strRef>
              <c:f>'LAND USE CHANGE'!$O$12</c:f>
              <c:strCache>
                <c:ptCount val="1"/>
                <c:pt idx="0">
                  <c:v>Grassland</c:v>
                </c:pt>
              </c:strCache>
            </c:strRef>
          </c:tx>
          <c:spPr>
            <a:solidFill>
              <a:schemeClr val="accent3"/>
            </a:solidFill>
            <a:ln>
              <a:noFill/>
            </a:ln>
            <a:effectLst/>
          </c:spPr>
          <c:invertIfNegative val="0"/>
          <c:cat>
            <c:numRef>
              <c:f>'LAND USE CHANGE'!$P$9:$AS$9</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'LAND USE CHANGE'!$P$12:$AS$12</c:f>
              <c:numCache>
                <c:formatCode>General</c:formatCode>
                <c:ptCount val="30"/>
                <c:pt idx="0" formatCode="0">
                  <c:v>0</c:v>
                </c:pt>
                <c:pt idx="1">
                  <c:v>0</c:v>
                </c:pt>
                <c:pt idx="2" formatCode="0">
                  <c:v>0</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numCache>
            </c:numRef>
          </c:val>
        </c:ser>
        <c:ser>
          <c:idx val="3"/>
          <c:order val="3"/>
          <c:tx>
            <c:strRef>
              <c:f>'LAND USE CHANGE'!$O$13</c:f>
              <c:strCache>
                <c:ptCount val="1"/>
                <c:pt idx="0">
                  <c:v>Wetland</c:v>
                </c:pt>
              </c:strCache>
            </c:strRef>
          </c:tx>
          <c:spPr>
            <a:solidFill>
              <a:schemeClr val="accent4"/>
            </a:solidFill>
            <a:ln>
              <a:noFill/>
            </a:ln>
            <a:effectLst/>
          </c:spPr>
          <c:invertIfNegative val="0"/>
          <c:cat>
            <c:numRef>
              <c:f>'LAND USE CHANGE'!$P$9:$AS$9</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'LAND USE CHANGE'!$P$13:$AS$13</c:f>
              <c:numCache>
                <c:formatCode>General</c:formatCode>
                <c:ptCount val="30"/>
                <c:pt idx="0" formatCode="0">
                  <c:v>0</c:v>
                </c:pt>
                <c:pt idx="1">
                  <c:v>0</c:v>
                </c:pt>
                <c:pt idx="2" formatCode="0">
                  <c:v>0</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numCache>
            </c:numRef>
          </c:val>
        </c:ser>
        <c:ser>
          <c:idx val="4"/>
          <c:order val="4"/>
          <c:tx>
            <c:strRef>
              <c:f>'LAND USE CHANGE'!$O$14</c:f>
              <c:strCache>
                <c:ptCount val="1"/>
                <c:pt idx="0">
                  <c:v>Settlements</c:v>
                </c:pt>
              </c:strCache>
            </c:strRef>
          </c:tx>
          <c:spPr>
            <a:solidFill>
              <a:schemeClr val="accent5"/>
            </a:solidFill>
            <a:ln>
              <a:noFill/>
            </a:ln>
            <a:effectLst/>
          </c:spPr>
          <c:invertIfNegative val="0"/>
          <c:cat>
            <c:numRef>
              <c:f>'LAND USE CHANGE'!$P$9:$AS$9</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'LAND USE CHANGE'!$P$14:$AS$14</c:f>
              <c:numCache>
                <c:formatCode>General</c:formatCode>
                <c:ptCount val="30"/>
                <c:pt idx="0" formatCode="0">
                  <c:v>0</c:v>
                </c:pt>
                <c:pt idx="1">
                  <c:v>0</c:v>
                </c:pt>
                <c:pt idx="2" formatCode="0">
                  <c:v>0</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numCache>
            </c:numRef>
          </c:val>
        </c:ser>
        <c:ser>
          <c:idx val="5"/>
          <c:order val="5"/>
          <c:tx>
            <c:strRef>
              <c:f>'LAND USE CHANGE'!$O$15</c:f>
              <c:strCache>
                <c:ptCount val="1"/>
                <c:pt idx="0">
                  <c:v>Other land</c:v>
                </c:pt>
              </c:strCache>
            </c:strRef>
          </c:tx>
          <c:spPr>
            <a:solidFill>
              <a:schemeClr val="accent6"/>
            </a:solidFill>
            <a:ln>
              <a:noFill/>
            </a:ln>
            <a:effectLst/>
          </c:spPr>
          <c:invertIfNegative val="0"/>
          <c:cat>
            <c:numRef>
              <c:f>'LAND USE CHANGE'!$P$9:$AS$9</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'LAND USE CHANGE'!$P$15:$AS$15</c:f>
              <c:numCache>
                <c:formatCode>General</c:formatCode>
                <c:ptCount val="30"/>
                <c:pt idx="0" formatCode="0">
                  <c:v>0</c:v>
                </c:pt>
                <c:pt idx="1">
                  <c:v>0</c:v>
                </c:pt>
                <c:pt idx="2" formatCode="0">
                  <c:v>0</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numCache>
            </c:numRef>
          </c:val>
        </c:ser>
        <c:ser>
          <c:idx val="6"/>
          <c:order val="6"/>
          <c:tx>
            <c:strRef>
              <c:f>'LAND USE CHANGE'!$O$16</c:f>
              <c:strCache>
                <c:ptCount val="1"/>
                <c:pt idx="0">
                  <c:v>Total</c:v>
                </c:pt>
              </c:strCache>
            </c:strRef>
          </c:tx>
          <c:spPr>
            <a:solidFill>
              <a:schemeClr val="accent1">
                <a:lumMod val="60000"/>
              </a:schemeClr>
            </a:solidFill>
            <a:ln>
              <a:noFill/>
            </a:ln>
            <a:effectLst/>
          </c:spPr>
          <c:invertIfNegative val="0"/>
          <c:cat>
            <c:numRef>
              <c:f>'LAND USE CHANGE'!$P$9:$AS$9</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'LAND USE CHANGE'!$P$16:$AS$16</c:f>
              <c:numCache>
                <c:formatCode>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er>
        <c:dLbls>
          <c:showLegendKey val="0"/>
          <c:showVal val="0"/>
          <c:showCatName val="0"/>
          <c:showSerName val="0"/>
          <c:showPercent val="0"/>
          <c:showBubbleSize val="0"/>
        </c:dLbls>
        <c:gapWidth val="14"/>
        <c:overlap val="100"/>
        <c:axId val="466851928"/>
        <c:axId val="466860944"/>
      </c:barChart>
      <c:catAx>
        <c:axId val="466851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860944"/>
        <c:crosses val="autoZero"/>
        <c:auto val="1"/>
        <c:lblAlgn val="ctr"/>
        <c:lblOffset val="100"/>
        <c:noMultiLvlLbl val="0"/>
      </c:catAx>
      <c:valAx>
        <c:axId val="4668609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85192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baseline="0"/>
              <a:t>LAND USE CHANGE (tCO2/a)</a:t>
            </a:r>
            <a:endParaRPr lang="en-US"/>
          </a:p>
        </c:rich>
      </c:tx>
      <c:layout>
        <c:manualLayout>
          <c:xMode val="edge"/>
          <c:yMode val="edge"/>
          <c:x val="0.32913879576934069"/>
          <c:y val="3.303905193668973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30"/>
          <c:order val="0"/>
          <c:spPr>
            <a:solidFill>
              <a:schemeClr val="accent1">
                <a:lumMod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CHANGE'!$Q$69:$AS$69</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31"/>
          <c:order val="1"/>
          <c:spPr>
            <a:solidFill>
              <a:schemeClr val="accent2">
                <a:lumMod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CHANGE'!$Q$70:$AS$70</c:f>
              <c:numCache>
                <c:formatCode>0.0</c:formatCode>
                <c:ptCount val="29"/>
                <c:pt idx="0">
                  <c:v>0</c:v>
                </c:pt>
                <c:pt idx="1">
                  <c:v>0</c:v>
                </c:pt>
                <c:pt idx="2">
                  <c:v>0</c:v>
                </c:pt>
                <c:pt idx="3">
                  <c:v>0</c:v>
                </c:pt>
                <c:pt idx="4">
                  <c:v>0</c:v>
                </c:pt>
                <c:pt idx="5">
                  <c:v>0</c:v>
                </c:pt>
                <c:pt idx="6">
                  <c:v>0</c:v>
                </c:pt>
                <c:pt idx="7">
                  <c:v>0</c:v>
                </c:pt>
                <c:pt idx="8">
                  <c:v>-87182.9756962846</c:v>
                </c:pt>
                <c:pt idx="9">
                  <c:v>-87182.9756962846</c:v>
                </c:pt>
                <c:pt idx="10">
                  <c:v>-87182.9756962846</c:v>
                </c:pt>
                <c:pt idx="11">
                  <c:v>-87182.9756962846</c:v>
                </c:pt>
                <c:pt idx="12">
                  <c:v>-87182.9756962846</c:v>
                </c:pt>
                <c:pt idx="13">
                  <c:v>-87182.9756962846</c:v>
                </c:pt>
                <c:pt idx="14">
                  <c:v>-87182.9756962846</c:v>
                </c:pt>
                <c:pt idx="15">
                  <c:v>-87182.9756962846</c:v>
                </c:pt>
                <c:pt idx="16">
                  <c:v>-87182.9756962846</c:v>
                </c:pt>
                <c:pt idx="17">
                  <c:v>-87182.9756962846</c:v>
                </c:pt>
                <c:pt idx="18">
                  <c:v>-87182.9756962846</c:v>
                </c:pt>
                <c:pt idx="19">
                  <c:v>-87182.9756962846</c:v>
                </c:pt>
                <c:pt idx="20">
                  <c:v>-87182.9756962846</c:v>
                </c:pt>
                <c:pt idx="21">
                  <c:v>-87182.9756962846</c:v>
                </c:pt>
                <c:pt idx="22">
                  <c:v>-87182.9756962846</c:v>
                </c:pt>
                <c:pt idx="23">
                  <c:v>-87182.9756962846</c:v>
                </c:pt>
                <c:pt idx="24">
                  <c:v>-87182.9756962846</c:v>
                </c:pt>
                <c:pt idx="25">
                  <c:v>-87182.9756962846</c:v>
                </c:pt>
                <c:pt idx="26">
                  <c:v>-87182.9756962846</c:v>
                </c:pt>
                <c:pt idx="27">
                  <c:v>-87182.9756962846</c:v>
                </c:pt>
                <c:pt idx="28">
                  <c:v>-35307.884185622774</c:v>
                </c:pt>
              </c:numCache>
            </c:numRef>
          </c:val>
        </c:ser>
        <c:ser>
          <c:idx val="32"/>
          <c:order val="2"/>
          <c:spPr>
            <a:solidFill>
              <a:schemeClr val="accent3">
                <a:lumMod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CHANGE'!$Q$71:$AS$71</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33"/>
          <c:order val="3"/>
          <c:spPr>
            <a:solidFill>
              <a:schemeClr val="accent4">
                <a:lumMod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CHANGE'!$Q$72:$AS$72</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34"/>
          <c:order val="4"/>
          <c:spPr>
            <a:solidFill>
              <a:schemeClr val="accent5">
                <a:lumMod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CHANGE'!$Q$73:$AS$73</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35"/>
          <c:order val="5"/>
          <c:spPr>
            <a:solidFill>
              <a:schemeClr val="accent6">
                <a:lumMod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CHANGE'!$Q$74:$AS$74</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36"/>
          <c:order val="6"/>
          <c:spPr>
            <a:solidFill>
              <a:schemeClr val="accent1">
                <a:lumMod val="70000"/>
                <a:lumOff val="3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CHANGE'!$Q$75:$AS$75</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37"/>
          <c:order val="7"/>
          <c:spPr>
            <a:solidFill>
              <a:schemeClr val="accent2">
                <a:lumMod val="70000"/>
                <a:lumOff val="3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CHANGE'!$Q$76:$AS$76</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38"/>
          <c:order val="8"/>
          <c:spPr>
            <a:solidFill>
              <a:schemeClr val="accent3">
                <a:lumMod val="70000"/>
                <a:lumOff val="3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CHANGE'!$Q$77:$AS$77</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39"/>
          <c:order val="9"/>
          <c:spPr>
            <a:solidFill>
              <a:schemeClr val="accent4">
                <a:lumMod val="70000"/>
                <a:lumOff val="3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CHANGE'!$Q$78:$AS$78</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40"/>
          <c:order val="10"/>
          <c:spPr>
            <a:solidFill>
              <a:schemeClr val="accent5">
                <a:lumMod val="70000"/>
                <a:lumOff val="3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CHANGE'!$Q$79:$AS$79</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41"/>
          <c:order val="11"/>
          <c:spPr>
            <a:solidFill>
              <a:schemeClr val="accent6">
                <a:lumMod val="70000"/>
                <a:lumOff val="3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CHANGE'!$Q$80:$AS$80</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42"/>
          <c:order val="12"/>
          <c:spPr>
            <a:solidFill>
              <a:schemeClr val="accent1">
                <a:lumMod val="7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CHANGE'!$Q$81:$AS$81</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43"/>
          <c:order val="13"/>
          <c:spPr>
            <a:solidFill>
              <a:schemeClr val="accent2">
                <a:lumMod val="7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CHANGE'!$Q$82:$AS$82</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44"/>
          <c:order val="14"/>
          <c:spPr>
            <a:solidFill>
              <a:schemeClr val="accent3">
                <a:lumMod val="7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CHANGE'!$Q$83:$AS$83</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45"/>
          <c:order val="15"/>
          <c:spPr>
            <a:solidFill>
              <a:schemeClr val="accent4">
                <a:lumMod val="7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CHANGE'!$Q$84:$AS$84</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46"/>
          <c:order val="16"/>
          <c:spPr>
            <a:solidFill>
              <a:schemeClr val="accent5">
                <a:lumMod val="7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CHANGE'!$Q$85:$AS$85</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47"/>
          <c:order val="17"/>
          <c:spPr>
            <a:solidFill>
              <a:schemeClr val="accent6">
                <a:lumMod val="7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CHANGE'!$Q$86:$AS$86</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48"/>
          <c:order val="18"/>
          <c:spPr>
            <a:solidFill>
              <a:schemeClr val="accent1">
                <a:lumMod val="50000"/>
                <a:lumOff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CHANGE'!$Q$87:$AS$87</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49"/>
          <c:order val="19"/>
          <c:spPr>
            <a:solidFill>
              <a:schemeClr val="accent2">
                <a:lumMod val="50000"/>
                <a:lumOff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CHANGE'!$Q$88:$AS$88</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50"/>
          <c:order val="20"/>
          <c:spPr>
            <a:solidFill>
              <a:schemeClr val="accent3">
                <a:lumMod val="50000"/>
                <a:lumOff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CHANGE'!$Q$89:$AS$89</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44056.132026019957</c:v>
                </c:pt>
                <c:pt idx="17">
                  <c:v>968</c:v>
                </c:pt>
                <c:pt idx="18">
                  <c:v>968</c:v>
                </c:pt>
                <c:pt idx="19">
                  <c:v>968</c:v>
                </c:pt>
                <c:pt idx="20">
                  <c:v>968</c:v>
                </c:pt>
                <c:pt idx="21">
                  <c:v>968</c:v>
                </c:pt>
                <c:pt idx="22">
                  <c:v>968</c:v>
                </c:pt>
                <c:pt idx="23">
                  <c:v>968</c:v>
                </c:pt>
                <c:pt idx="24">
                  <c:v>968</c:v>
                </c:pt>
                <c:pt idx="25">
                  <c:v>968</c:v>
                </c:pt>
                <c:pt idx="26">
                  <c:v>968</c:v>
                </c:pt>
                <c:pt idx="27">
                  <c:v>968</c:v>
                </c:pt>
                <c:pt idx="28">
                  <c:v>968</c:v>
                </c:pt>
              </c:numCache>
            </c:numRef>
          </c:val>
        </c:ser>
        <c:ser>
          <c:idx val="51"/>
          <c:order val="21"/>
          <c:spPr>
            <a:solidFill>
              <a:schemeClr val="accent4">
                <a:lumMod val="50000"/>
                <a:lumOff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CHANGE'!$Q$90:$AS$90</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52"/>
          <c:order val="22"/>
          <c:spPr>
            <a:solidFill>
              <a:schemeClr val="accent5">
                <a:lumMod val="50000"/>
                <a:lumOff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CHANGE'!$Q$91:$AS$91</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53"/>
          <c:order val="23"/>
          <c:spPr>
            <a:solidFill>
              <a:schemeClr val="accent6">
                <a:lumMod val="50000"/>
                <a:lumOff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CHANGE'!$Q$92:$AS$92</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54"/>
          <c:order val="24"/>
          <c:spPr>
            <a:solidFill>
              <a:schemeClr val="accent1"/>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CHANGE'!$Q$93:$AS$93</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55"/>
          <c:order val="25"/>
          <c:spPr>
            <a:solidFill>
              <a:schemeClr val="accent2"/>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CHANGE'!$Q$94:$AS$94</c:f>
              <c:numCache>
                <c:formatCode>0.0</c:formatCode>
                <c:ptCount val="29"/>
                <c:pt idx="0">
                  <c:v>0</c:v>
                </c:pt>
                <c:pt idx="1">
                  <c:v>0</c:v>
                </c:pt>
                <c:pt idx="2">
                  <c:v>0</c:v>
                </c:pt>
                <c:pt idx="3">
                  <c:v>0</c:v>
                </c:pt>
                <c:pt idx="4">
                  <c:v>0</c:v>
                </c:pt>
                <c:pt idx="5">
                  <c:v>0</c:v>
                </c:pt>
                <c:pt idx="6">
                  <c:v>0</c:v>
                </c:pt>
                <c:pt idx="7">
                  <c:v>0</c:v>
                </c:pt>
                <c:pt idx="8">
                  <c:v>43895.255555555552</c:v>
                </c:pt>
                <c:pt idx="9">
                  <c:v>806.66666666666686</c:v>
                </c:pt>
                <c:pt idx="10">
                  <c:v>806.66666666666686</c:v>
                </c:pt>
                <c:pt idx="11">
                  <c:v>806.66666666666686</c:v>
                </c:pt>
                <c:pt idx="12">
                  <c:v>806.66666666666686</c:v>
                </c:pt>
                <c:pt idx="13">
                  <c:v>806.66666666666686</c:v>
                </c:pt>
                <c:pt idx="14">
                  <c:v>806.66666666666686</c:v>
                </c:pt>
                <c:pt idx="15">
                  <c:v>806.66666666666686</c:v>
                </c:pt>
                <c:pt idx="16">
                  <c:v>806.66666666666686</c:v>
                </c:pt>
                <c:pt idx="17">
                  <c:v>806.66666666666686</c:v>
                </c:pt>
                <c:pt idx="18">
                  <c:v>806.66666666666686</c:v>
                </c:pt>
                <c:pt idx="19">
                  <c:v>806.66666666666686</c:v>
                </c:pt>
                <c:pt idx="20">
                  <c:v>806.66666666666686</c:v>
                </c:pt>
                <c:pt idx="21">
                  <c:v>806.66666666666686</c:v>
                </c:pt>
                <c:pt idx="22">
                  <c:v>806.66666666666686</c:v>
                </c:pt>
                <c:pt idx="23">
                  <c:v>806.66666666666686</c:v>
                </c:pt>
                <c:pt idx="24">
                  <c:v>806.66666666666686</c:v>
                </c:pt>
                <c:pt idx="25">
                  <c:v>806.66666666666686</c:v>
                </c:pt>
                <c:pt idx="26">
                  <c:v>806.66666666666686</c:v>
                </c:pt>
                <c:pt idx="27">
                  <c:v>806.66666666666686</c:v>
                </c:pt>
                <c:pt idx="28">
                  <c:v>0</c:v>
                </c:pt>
              </c:numCache>
            </c:numRef>
          </c:val>
        </c:ser>
        <c:ser>
          <c:idx val="56"/>
          <c:order val="26"/>
          <c:spPr>
            <a:solidFill>
              <a:schemeClr val="accent3"/>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CHANGE'!$Q$95:$AS$95</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57"/>
          <c:order val="27"/>
          <c:spPr>
            <a:solidFill>
              <a:schemeClr val="accent4"/>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CHANGE'!$Q$96:$AS$96</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58"/>
          <c:order val="28"/>
          <c:spPr>
            <a:solidFill>
              <a:schemeClr val="accent5"/>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CHANGE'!$Q$97:$AS$97</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59"/>
          <c:order val="29"/>
          <c:spPr>
            <a:solidFill>
              <a:schemeClr val="accent6"/>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CHANGE'!$Q$98:$AS$98</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dLbls>
          <c:showLegendKey val="0"/>
          <c:showVal val="0"/>
          <c:showCatName val="0"/>
          <c:showSerName val="0"/>
          <c:showPercent val="0"/>
          <c:showBubbleSize val="0"/>
        </c:dLbls>
        <c:gapWidth val="14"/>
        <c:overlap val="100"/>
        <c:axId val="466861336"/>
        <c:axId val="466851144"/>
      </c:barChart>
      <c:catAx>
        <c:axId val="466861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851144"/>
        <c:crosses val="autoZero"/>
        <c:auto val="1"/>
        <c:lblAlgn val="ctr"/>
        <c:lblOffset val="100"/>
        <c:noMultiLvlLbl val="0"/>
      </c:catAx>
      <c:valAx>
        <c:axId val="46685114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861336"/>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TERRITORIAL APPROACH</a:t>
            </a:r>
            <a:r>
              <a:rPr lang="et-EE" baseline="0"/>
              <a:t> / ABSOLUTE CO</a:t>
            </a:r>
            <a:r>
              <a:rPr lang="et-EE" baseline="-25000"/>
              <a:t>2</a:t>
            </a:r>
            <a:r>
              <a:rPr lang="et-EE" baseline="0"/>
              <a:t>e EMISSIONS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0"/>
          <c:tx>
            <c:strRef>
              <c:f>RESULTS!$B$9</c:f>
              <c:strCache>
                <c:ptCount val="1"/>
                <c:pt idx="0">
                  <c:v>transport</c:v>
                </c:pt>
              </c:strCache>
            </c:strRef>
          </c:tx>
          <c:spPr>
            <a:solidFill>
              <a:schemeClr val="accent2"/>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RESULTS!$C$9:$AE$9</c:f>
              <c:numCache>
                <c:formatCode>#,##0</c:formatCode>
                <c:ptCount val="29"/>
                <c:pt idx="0">
                  <c:v>89872.96829503568</c:v>
                </c:pt>
                <c:pt idx="1">
                  <c:v>89815.93652156934</c:v>
                </c:pt>
                <c:pt idx="2">
                  <c:v>89862.576132675633</c:v>
                </c:pt>
                <c:pt idx="3">
                  <c:v>93119.693410631298</c:v>
                </c:pt>
                <c:pt idx="4">
                  <c:v>96165.864227084821</c:v>
                </c:pt>
                <c:pt idx="5">
                  <c:v>96183.975839018502</c:v>
                </c:pt>
                <c:pt idx="6">
                  <c:v>96297.459328324185</c:v>
                </c:pt>
                <c:pt idx="7">
                  <c:v>96501.823087338838</c:v>
                </c:pt>
                <c:pt idx="8">
                  <c:v>96792.889875603811</c:v>
                </c:pt>
                <c:pt idx="9">
                  <c:v>96788.146651039089</c:v>
                </c:pt>
                <c:pt idx="10">
                  <c:v>96835.108888208735</c:v>
                </c:pt>
                <c:pt idx="11">
                  <c:v>96931.452707052944</c:v>
                </c:pt>
                <c:pt idx="12">
                  <c:v>97074.517252497419</c:v>
                </c:pt>
                <c:pt idx="13">
                  <c:v>97262.697556338273</c:v>
                </c:pt>
                <c:pt idx="14">
                  <c:v>97493.340558475829</c:v>
                </c:pt>
                <c:pt idx="15">
                  <c:v>97764.75735382225</c:v>
                </c:pt>
                <c:pt idx="16">
                  <c:v>98075.747361683912</c:v>
                </c:pt>
                <c:pt idx="17">
                  <c:v>98424.687761276626</c:v>
                </c:pt>
                <c:pt idx="18">
                  <c:v>98809.511681227712</c:v>
                </c:pt>
                <c:pt idx="19">
                  <c:v>99229.313154932024</c:v>
                </c:pt>
                <c:pt idx="20">
                  <c:v>99682.739361157888</c:v>
                </c:pt>
                <c:pt idx="21">
                  <c:v>100167.96644801665</c:v>
                </c:pt>
                <c:pt idx="22">
                  <c:v>100684.34118847837</c:v>
                </c:pt>
                <c:pt idx="23">
                  <c:v>101230.17843019575</c:v>
                </c:pt>
                <c:pt idx="24">
                  <c:v>101805.82857825575</c:v>
                </c:pt>
                <c:pt idx="25">
                  <c:v>102409.46747673537</c:v>
                </c:pt>
                <c:pt idx="26">
                  <c:v>103039.58702707202</c:v>
                </c:pt>
                <c:pt idx="27">
                  <c:v>103695.87846892585</c:v>
                </c:pt>
                <c:pt idx="28">
                  <c:v>104377.52218970271</c:v>
                </c:pt>
              </c:numCache>
            </c:numRef>
          </c:val>
        </c:ser>
        <c:ser>
          <c:idx val="2"/>
          <c:order val="1"/>
          <c:tx>
            <c:strRef>
              <c:f>RESULTS!$B$10</c:f>
              <c:strCache>
                <c:ptCount val="1"/>
                <c:pt idx="0">
                  <c:v>LUC emissions</c:v>
                </c:pt>
              </c:strCache>
            </c:strRef>
          </c:tx>
          <c:spPr>
            <a:solidFill>
              <a:schemeClr val="accent3"/>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RESULTS!$C$10:$AE$10</c:f>
              <c:numCache>
                <c:formatCode>#,##0</c:formatCode>
                <c:ptCount val="29"/>
                <c:pt idx="0">
                  <c:v>0</c:v>
                </c:pt>
                <c:pt idx="1">
                  <c:v>0</c:v>
                </c:pt>
                <c:pt idx="2">
                  <c:v>0</c:v>
                </c:pt>
                <c:pt idx="3">
                  <c:v>0</c:v>
                </c:pt>
                <c:pt idx="4">
                  <c:v>0</c:v>
                </c:pt>
                <c:pt idx="5">
                  <c:v>0</c:v>
                </c:pt>
                <c:pt idx="6">
                  <c:v>0</c:v>
                </c:pt>
                <c:pt idx="7">
                  <c:v>0</c:v>
                </c:pt>
                <c:pt idx="8">
                  <c:v>43895.255555555552</c:v>
                </c:pt>
                <c:pt idx="9">
                  <c:v>806.66666666666686</c:v>
                </c:pt>
                <c:pt idx="10">
                  <c:v>806.66666666666686</c:v>
                </c:pt>
                <c:pt idx="11">
                  <c:v>806.66666666666686</c:v>
                </c:pt>
                <c:pt idx="12">
                  <c:v>806.66666666666686</c:v>
                </c:pt>
                <c:pt idx="13">
                  <c:v>806.66666666666686</c:v>
                </c:pt>
                <c:pt idx="14">
                  <c:v>806.66666666666686</c:v>
                </c:pt>
                <c:pt idx="15">
                  <c:v>806.66666666666686</c:v>
                </c:pt>
                <c:pt idx="16">
                  <c:v>44862.798692686622</c:v>
                </c:pt>
                <c:pt idx="17">
                  <c:v>1774.666666666667</c:v>
                </c:pt>
                <c:pt idx="18">
                  <c:v>1774.666666666667</c:v>
                </c:pt>
                <c:pt idx="19">
                  <c:v>1774.666666666667</c:v>
                </c:pt>
                <c:pt idx="20">
                  <c:v>1774.666666666667</c:v>
                </c:pt>
                <c:pt idx="21">
                  <c:v>1774.666666666667</c:v>
                </c:pt>
                <c:pt idx="22">
                  <c:v>1774.666666666667</c:v>
                </c:pt>
                <c:pt idx="23">
                  <c:v>1774.666666666667</c:v>
                </c:pt>
                <c:pt idx="24">
                  <c:v>1774.666666666667</c:v>
                </c:pt>
                <c:pt idx="25">
                  <c:v>1774.666666666667</c:v>
                </c:pt>
                <c:pt idx="26">
                  <c:v>1774.666666666667</c:v>
                </c:pt>
                <c:pt idx="27">
                  <c:v>1774.666666666667</c:v>
                </c:pt>
                <c:pt idx="28">
                  <c:v>968</c:v>
                </c:pt>
              </c:numCache>
            </c:numRef>
          </c:val>
        </c:ser>
        <c:ser>
          <c:idx val="3"/>
          <c:order val="2"/>
          <c:tx>
            <c:strRef>
              <c:f>RESULTS!$B$11</c:f>
              <c:strCache>
                <c:ptCount val="1"/>
                <c:pt idx="0">
                  <c:v>buildings</c:v>
                </c:pt>
              </c:strCache>
            </c:strRef>
          </c:tx>
          <c:spPr>
            <a:solidFill>
              <a:schemeClr val="accent4"/>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RESULTS!$C$11:$AE$11</c:f>
              <c:numCache>
                <c:formatCode>#,##0</c:formatCode>
                <c:ptCount val="29"/>
                <c:pt idx="0">
                  <c:v>354150.46344018861</c:v>
                </c:pt>
                <c:pt idx="1">
                  <c:v>340882.70237839571</c:v>
                </c:pt>
                <c:pt idx="2">
                  <c:v>328623.29115729901</c:v>
                </c:pt>
                <c:pt idx="3">
                  <c:v>317295.59518900566</c:v>
                </c:pt>
                <c:pt idx="4">
                  <c:v>306828.80411430268</c:v>
                </c:pt>
                <c:pt idx="5">
                  <c:v>297157.48916127707</c:v>
                </c:pt>
                <c:pt idx="6">
                  <c:v>288221.19414468145</c:v>
                </c:pt>
                <c:pt idx="7">
                  <c:v>279964.05754934705</c:v>
                </c:pt>
                <c:pt idx="8">
                  <c:v>274443.02145487233</c:v>
                </c:pt>
                <c:pt idx="9">
                  <c:v>270465.0396561792</c:v>
                </c:pt>
                <c:pt idx="10">
                  <c:v>266825.53025094996</c:v>
                </c:pt>
                <c:pt idx="11">
                  <c:v>263502.4925336095</c:v>
                </c:pt>
                <c:pt idx="12">
                  <c:v>260475.35584444503</c:v>
                </c:pt>
                <c:pt idx="13">
                  <c:v>257724.88661662518</c:v>
                </c:pt>
                <c:pt idx="14">
                  <c:v>255233.1014651625</c:v>
                </c:pt>
                <c:pt idx="15">
                  <c:v>252983.18592509368</c:v>
                </c:pt>
                <c:pt idx="16">
                  <c:v>250959.41847167825</c:v>
                </c:pt>
                <c:pt idx="17">
                  <c:v>249147.0994792837</c:v>
                </c:pt>
                <c:pt idx="18">
                  <c:v>247532.4847979437</c:v>
                </c:pt>
                <c:pt idx="19">
                  <c:v>244453.62945420563</c:v>
                </c:pt>
                <c:pt idx="20">
                  <c:v>241574.89970781055</c:v>
                </c:pt>
                <c:pt idx="21">
                  <c:v>238883.28739493113</c:v>
                </c:pt>
                <c:pt idx="22">
                  <c:v>236366.62988238889</c:v>
                </c:pt>
                <c:pt idx="23">
                  <c:v>234013.55510816193</c:v>
                </c:pt>
                <c:pt idx="24">
                  <c:v>231813.43019425971</c:v>
                </c:pt>
                <c:pt idx="25">
                  <c:v>229756.31339976107</c:v>
                </c:pt>
                <c:pt idx="26">
                  <c:v>227832.90919690489</c:v>
                </c:pt>
                <c:pt idx="27">
                  <c:v>226034.52626723435</c:v>
                </c:pt>
                <c:pt idx="28">
                  <c:v>224353.03822799239</c:v>
                </c:pt>
              </c:numCache>
            </c:numRef>
          </c:val>
        </c:ser>
        <c:ser>
          <c:idx val="5"/>
          <c:order val="3"/>
          <c:tx>
            <c:strRef>
              <c:f>RESULTS!$B$12</c:f>
              <c:strCache>
                <c:ptCount val="1"/>
                <c:pt idx="0">
                  <c:v>LUC CO2 removal</c:v>
                </c:pt>
              </c:strCache>
            </c:strRef>
          </c:tx>
          <c:spPr>
            <a:solidFill>
              <a:schemeClr val="accent6"/>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RESULTS!$C$12:$AE$12</c:f>
              <c:numCache>
                <c:formatCode>#,##0</c:formatCode>
                <c:ptCount val="29"/>
                <c:pt idx="0">
                  <c:v>0</c:v>
                </c:pt>
                <c:pt idx="1">
                  <c:v>0</c:v>
                </c:pt>
                <c:pt idx="2">
                  <c:v>0</c:v>
                </c:pt>
                <c:pt idx="3">
                  <c:v>0</c:v>
                </c:pt>
                <c:pt idx="4">
                  <c:v>0</c:v>
                </c:pt>
                <c:pt idx="5">
                  <c:v>0</c:v>
                </c:pt>
                <c:pt idx="6">
                  <c:v>0</c:v>
                </c:pt>
                <c:pt idx="7">
                  <c:v>0</c:v>
                </c:pt>
                <c:pt idx="8">
                  <c:v>-87182.9756962846</c:v>
                </c:pt>
                <c:pt idx="9">
                  <c:v>-87182.9756962846</c:v>
                </c:pt>
                <c:pt idx="10">
                  <c:v>-87182.9756962846</c:v>
                </c:pt>
                <c:pt idx="11">
                  <c:v>-87182.9756962846</c:v>
                </c:pt>
                <c:pt idx="12">
                  <c:v>-87182.9756962846</c:v>
                </c:pt>
                <c:pt idx="13">
                  <c:v>-87182.9756962846</c:v>
                </c:pt>
                <c:pt idx="14">
                  <c:v>-87182.9756962846</c:v>
                </c:pt>
                <c:pt idx="15">
                  <c:v>-87182.9756962846</c:v>
                </c:pt>
                <c:pt idx="16">
                  <c:v>-87182.9756962846</c:v>
                </c:pt>
                <c:pt idx="17">
                  <c:v>-87182.9756962846</c:v>
                </c:pt>
                <c:pt idx="18">
                  <c:v>-87182.9756962846</c:v>
                </c:pt>
                <c:pt idx="19">
                  <c:v>-87182.9756962846</c:v>
                </c:pt>
                <c:pt idx="20">
                  <c:v>-87182.9756962846</c:v>
                </c:pt>
                <c:pt idx="21">
                  <c:v>-87182.9756962846</c:v>
                </c:pt>
                <c:pt idx="22">
                  <c:v>-87182.9756962846</c:v>
                </c:pt>
                <c:pt idx="23">
                  <c:v>-87182.9756962846</c:v>
                </c:pt>
                <c:pt idx="24">
                  <c:v>-87182.9756962846</c:v>
                </c:pt>
                <c:pt idx="25">
                  <c:v>-87182.9756962846</c:v>
                </c:pt>
                <c:pt idx="26">
                  <c:v>-87182.9756962846</c:v>
                </c:pt>
                <c:pt idx="27">
                  <c:v>-87182.9756962846</c:v>
                </c:pt>
                <c:pt idx="28">
                  <c:v>-35307.884185622774</c:v>
                </c:pt>
              </c:numCache>
            </c:numRef>
          </c:val>
        </c:ser>
        <c:dLbls>
          <c:showLegendKey val="0"/>
          <c:showVal val="0"/>
          <c:showCatName val="0"/>
          <c:showSerName val="0"/>
          <c:showPercent val="0"/>
          <c:showBubbleSize val="0"/>
        </c:dLbls>
        <c:gapWidth val="0"/>
        <c:overlap val="100"/>
        <c:axId val="466849184"/>
        <c:axId val="466857024"/>
      </c:barChart>
      <c:lineChart>
        <c:grouping val="standard"/>
        <c:varyColors val="0"/>
        <c:ser>
          <c:idx val="6"/>
          <c:order val="4"/>
          <c:tx>
            <c:strRef>
              <c:f>RESULTS!$B$13</c:f>
              <c:strCache>
                <c:ptCount val="1"/>
                <c:pt idx="0">
                  <c:v>net balance</c:v>
                </c:pt>
              </c:strCache>
            </c:strRef>
          </c:tx>
          <c:spPr>
            <a:ln w="28575" cap="rnd">
              <a:solidFill>
                <a:srgbClr val="FF3300"/>
              </a:solidFill>
              <a:prstDash val="sysDot"/>
              <a:round/>
            </a:ln>
            <a:effectLst/>
          </c:spPr>
          <c:marker>
            <c:symbol val="none"/>
          </c:marker>
          <c:val>
            <c:numRef>
              <c:f>RESULTS!$C$13:$AE$13</c:f>
              <c:numCache>
                <c:formatCode>#,##0</c:formatCode>
                <c:ptCount val="29"/>
                <c:pt idx="0">
                  <c:v>444023.43173522432</c:v>
                </c:pt>
                <c:pt idx="1">
                  <c:v>430698.63889996504</c:v>
                </c:pt>
                <c:pt idx="2">
                  <c:v>418485.86728997465</c:v>
                </c:pt>
                <c:pt idx="3">
                  <c:v>410415.28859963699</c:v>
                </c:pt>
                <c:pt idx="4">
                  <c:v>402994.66834138753</c:v>
                </c:pt>
                <c:pt idx="5">
                  <c:v>393341.46500029555</c:v>
                </c:pt>
                <c:pt idx="6">
                  <c:v>384518.65347300563</c:v>
                </c:pt>
                <c:pt idx="7">
                  <c:v>376465.88063668588</c:v>
                </c:pt>
                <c:pt idx="8">
                  <c:v>327948.19118974707</c:v>
                </c:pt>
                <c:pt idx="9">
                  <c:v>280876.87727760035</c:v>
                </c:pt>
                <c:pt idx="10">
                  <c:v>277284.33010954078</c:v>
                </c:pt>
                <c:pt idx="11">
                  <c:v>274057.6362110445</c:v>
                </c:pt>
                <c:pt idx="12">
                  <c:v>271173.56406732451</c:v>
                </c:pt>
                <c:pt idx="13">
                  <c:v>268611.27514334553</c:v>
                </c:pt>
                <c:pt idx="14">
                  <c:v>266350.13299402042</c:v>
                </c:pt>
                <c:pt idx="15">
                  <c:v>264371.63424929796</c:v>
                </c:pt>
                <c:pt idx="16">
                  <c:v>306714.98882976413</c:v>
                </c:pt>
                <c:pt idx="17">
                  <c:v>262163.47821094241</c:v>
                </c:pt>
                <c:pt idx="18">
                  <c:v>260933.68744955346</c:v>
                </c:pt>
                <c:pt idx="19">
                  <c:v>258274.63357951969</c:v>
                </c:pt>
                <c:pt idx="20">
                  <c:v>255849.33003935049</c:v>
                </c:pt>
                <c:pt idx="21">
                  <c:v>253642.94481332984</c:v>
                </c:pt>
                <c:pt idx="22">
                  <c:v>251642.66204124934</c:v>
                </c:pt>
                <c:pt idx="23">
                  <c:v>249835.42450873973</c:v>
                </c:pt>
                <c:pt idx="24">
                  <c:v>248210.94974289753</c:v>
                </c:pt>
                <c:pt idx="25">
                  <c:v>246757.47184687847</c:v>
                </c:pt>
                <c:pt idx="26">
                  <c:v>245464.18719435896</c:v>
                </c:pt>
                <c:pt idx="27">
                  <c:v>244322.09570654226</c:v>
                </c:pt>
                <c:pt idx="28">
                  <c:v>294390.67623207229</c:v>
                </c:pt>
              </c:numCache>
            </c:numRef>
          </c:val>
          <c:smooth val="0"/>
        </c:ser>
        <c:dLbls>
          <c:showLegendKey val="0"/>
          <c:showVal val="0"/>
          <c:showCatName val="0"/>
          <c:showSerName val="0"/>
          <c:showPercent val="0"/>
          <c:showBubbleSize val="0"/>
        </c:dLbls>
        <c:marker val="1"/>
        <c:smooth val="0"/>
        <c:axId val="466849184"/>
        <c:axId val="466857024"/>
      </c:lineChart>
      <c:catAx>
        <c:axId val="466849184"/>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66857024"/>
        <c:crosses val="autoZero"/>
        <c:auto val="1"/>
        <c:lblAlgn val="ctr"/>
        <c:lblOffset val="100"/>
        <c:noMultiLvlLbl val="0"/>
      </c:catAx>
      <c:valAx>
        <c:axId val="466857024"/>
        <c:scaling>
          <c:orientation val="minMax"/>
        </c:scaling>
        <c:delete val="0"/>
        <c:axPos val="l"/>
        <c:majorGridlines>
          <c:spPr>
            <a:ln w="9525" cap="flat" cmpd="sng" algn="ctr">
              <a:solidFill>
                <a:schemeClr val="bg1">
                  <a:lumMod val="5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849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TERRITORIAL APPROACH</a:t>
            </a:r>
            <a:r>
              <a:rPr lang="et-EE" baseline="0"/>
              <a:t> / CO</a:t>
            </a:r>
            <a:r>
              <a:rPr lang="et-EE" baseline="-25000"/>
              <a:t>2</a:t>
            </a:r>
            <a:r>
              <a:rPr lang="et-EE" baseline="0"/>
              <a:t>e EMISSIONS PER CAPITA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0"/>
          <c:tx>
            <c:strRef>
              <c:f>RESULTS!$B$20</c:f>
              <c:strCache>
                <c:ptCount val="1"/>
                <c:pt idx="0">
                  <c:v>transport</c:v>
                </c:pt>
              </c:strCache>
            </c:strRef>
          </c:tx>
          <c:spPr>
            <a:solidFill>
              <a:schemeClr val="accent2"/>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RESULTS!$C$20:$AE$20</c:f>
              <c:numCache>
                <c:formatCode>#,##0.000</c:formatCode>
                <c:ptCount val="29"/>
                <c:pt idx="0">
                  <c:v>0.46102414202704228</c:v>
                </c:pt>
                <c:pt idx="1">
                  <c:v>0.46258008231006598</c:v>
                </c:pt>
                <c:pt idx="2">
                  <c:v>0.46467744022439789</c:v>
                </c:pt>
                <c:pt idx="3">
                  <c:v>0.4834523628117961</c:v>
                </c:pt>
                <c:pt idx="4">
                  <c:v>0.50127115899942043</c:v>
                </c:pt>
                <c:pt idx="5">
                  <c:v>0.50337809280561507</c:v>
                </c:pt>
                <c:pt idx="6">
                  <c:v>0.50599517283803097</c:v>
                </c:pt>
                <c:pt idx="7">
                  <c:v>0.50910474744312295</c:v>
                </c:pt>
                <c:pt idx="8">
                  <c:v>0.51269049797982891</c:v>
                </c:pt>
                <c:pt idx="9">
                  <c:v>0.51420695460313603</c:v>
                </c:pt>
                <c:pt idx="10">
                  <c:v>0.5160025838104737</c:v>
                </c:pt>
                <c:pt idx="11">
                  <c:v>0.51806743224045149</c:v>
                </c:pt>
                <c:pt idx="12">
                  <c:v>0.52039239230248269</c:v>
                </c:pt>
                <c:pt idx="13">
                  <c:v>0.52296833863674053</c:v>
                </c:pt>
                <c:pt idx="14">
                  <c:v>0.52578314983673091</c:v>
                </c:pt>
                <c:pt idx="15">
                  <c:v>0.52883261852350716</c:v>
                </c:pt>
                <c:pt idx="16">
                  <c:v>0.53210941790784205</c:v>
                </c:pt>
                <c:pt idx="17">
                  <c:v>0.53560666598432016</c:v>
                </c:pt>
                <c:pt idx="18">
                  <c:v>0.53931790320081496</c:v>
                </c:pt>
                <c:pt idx="19">
                  <c:v>0.54323707130032917</c:v>
                </c:pt>
                <c:pt idx="20">
                  <c:v>0.54735849327438491</c:v>
                </c:pt>
                <c:pt idx="21">
                  <c:v>0.55167685437030711</c:v>
                </c:pt>
                <c:pt idx="22">
                  <c:v>0.55618718409774492</c:v>
                </c:pt>
                <c:pt idx="23">
                  <c:v>0.56088483918261411</c:v>
                </c:pt>
                <c:pt idx="24">
                  <c:v>0.5657702402899587</c:v>
                </c:pt>
                <c:pt idx="25">
                  <c:v>0.57083475458456867</c:v>
                </c:pt>
                <c:pt idx="26">
                  <c:v>0.5760746206752132</c:v>
                </c:pt>
                <c:pt idx="27">
                  <c:v>0.58148634528834819</c:v>
                </c:pt>
                <c:pt idx="28">
                  <c:v>0.58706669023146152</c:v>
                </c:pt>
              </c:numCache>
            </c:numRef>
          </c:val>
        </c:ser>
        <c:ser>
          <c:idx val="2"/>
          <c:order val="1"/>
          <c:tx>
            <c:strRef>
              <c:f>RESULTS!$B$21</c:f>
              <c:strCache>
                <c:ptCount val="1"/>
                <c:pt idx="0">
                  <c:v>LUC emissions</c:v>
                </c:pt>
              </c:strCache>
            </c:strRef>
          </c:tx>
          <c:spPr>
            <a:solidFill>
              <a:schemeClr val="accent3"/>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RESULTS!$C$21:$AE$21</c:f>
              <c:numCache>
                <c:formatCode>#,##0.000</c:formatCode>
                <c:ptCount val="29"/>
                <c:pt idx="0">
                  <c:v>0</c:v>
                </c:pt>
                <c:pt idx="1">
                  <c:v>0</c:v>
                </c:pt>
                <c:pt idx="2">
                  <c:v>0</c:v>
                </c:pt>
                <c:pt idx="3">
                  <c:v>0</c:v>
                </c:pt>
                <c:pt idx="4">
                  <c:v>0</c:v>
                </c:pt>
                <c:pt idx="5">
                  <c:v>0</c:v>
                </c:pt>
                <c:pt idx="6">
                  <c:v>0</c:v>
                </c:pt>
                <c:pt idx="7">
                  <c:v>0</c:v>
                </c:pt>
                <c:pt idx="8">
                  <c:v>0.23250344584867927</c:v>
                </c:pt>
                <c:pt idx="9">
                  <c:v>4.2855827329975711E-3</c:v>
                </c:pt>
                <c:pt idx="10">
                  <c:v>4.2984625003552462E-3</c:v>
                </c:pt>
                <c:pt idx="11">
                  <c:v>4.3113738317424018E-3</c:v>
                </c:pt>
                <c:pt idx="12">
                  <c:v>4.3243397787439053E-3</c:v>
                </c:pt>
                <c:pt idx="13">
                  <c:v>4.3373373050438584E-3</c:v>
                </c:pt>
                <c:pt idx="14">
                  <c:v>4.3503662756730049E-3</c:v>
                </c:pt>
                <c:pt idx="15">
                  <c:v>4.3634501547942968E-3</c:v>
                </c:pt>
                <c:pt idx="16">
                  <c:v>0.24340286299371522</c:v>
                </c:pt>
                <c:pt idx="17">
                  <c:v>9.6573666443553214E-3</c:v>
                </c:pt>
                <c:pt idx="18">
                  <c:v>9.6864106426798845E-3</c:v>
                </c:pt>
                <c:pt idx="19">
                  <c:v>9.7155234867853206E-3</c:v>
                </c:pt>
                <c:pt idx="20">
                  <c:v>9.7447048401385211E-3</c:v>
                </c:pt>
                <c:pt idx="21">
                  <c:v>9.7740081878430734E-3</c:v>
                </c:pt>
                <c:pt idx="22">
                  <c:v>9.8033799932974661E-3</c:v>
                </c:pt>
                <c:pt idx="23">
                  <c:v>9.8328743796738029E-3</c:v>
                </c:pt>
                <c:pt idx="24">
                  <c:v>9.86243715567609E-3</c:v>
                </c:pt>
                <c:pt idx="25">
                  <c:v>9.8920679512977325E-3</c:v>
                </c:pt>
                <c:pt idx="26">
                  <c:v>9.9218218581984575E-3</c:v>
                </c:pt>
                <c:pt idx="27">
                  <c:v>9.9516436847998189E-3</c:v>
                </c:pt>
                <c:pt idx="28">
                  <c:v>5.4444725667200993E-3</c:v>
                </c:pt>
              </c:numCache>
            </c:numRef>
          </c:val>
        </c:ser>
        <c:ser>
          <c:idx val="3"/>
          <c:order val="2"/>
          <c:tx>
            <c:strRef>
              <c:f>RESULTS!$B$22</c:f>
              <c:strCache>
                <c:ptCount val="1"/>
                <c:pt idx="0">
                  <c:v>buildings</c:v>
                </c:pt>
              </c:strCache>
            </c:strRef>
          </c:tx>
          <c:spPr>
            <a:solidFill>
              <a:schemeClr val="accent4"/>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RESULTS!$C$22:$AE$22</c:f>
              <c:numCache>
                <c:formatCode>#,##0.000</c:formatCode>
                <c:ptCount val="29"/>
                <c:pt idx="0">
                  <c:v>1.8166965735459193</c:v>
                </c:pt>
                <c:pt idx="1">
                  <c:v>1.7556522219907795</c:v>
                </c:pt>
                <c:pt idx="2">
                  <c:v>1.6993039405818333</c:v>
                </c:pt>
                <c:pt idx="3">
                  <c:v>1.6473132544311715</c:v>
                </c:pt>
                <c:pt idx="4">
                  <c:v>1.5993661731109792</c:v>
                </c:pt>
                <c:pt idx="5">
                  <c:v>1.5551714186494296</c:v>
                </c:pt>
                <c:pt idx="6">
                  <c:v>1.5144587818209025</c:v>
                </c:pt>
                <c:pt idx="7">
                  <c:v>1.4769775974368355</c:v>
                </c:pt>
                <c:pt idx="8">
                  <c:v>1.4536638953296839</c:v>
                </c:pt>
                <c:pt idx="9">
                  <c:v>1.4369012030950719</c:v>
                </c:pt>
                <c:pt idx="10">
                  <c:v>1.4218258709765856</c:v>
                </c:pt>
                <c:pt idx="11">
                  <c:v>1.4083360548450017</c:v>
                </c:pt>
                <c:pt idx="12">
                  <c:v>1.3963437305710007</c:v>
                </c:pt>
                <c:pt idx="13">
                  <c:v>1.3857517749923389</c:v>
                </c:pt>
                <c:pt idx="14">
                  <c:v>1.3764762112183497</c:v>
                </c:pt>
                <c:pt idx="15">
                  <c:v>1.3684456881634761</c:v>
                </c:pt>
                <c:pt idx="16">
                  <c:v>1.3615789190878564</c:v>
                </c:pt>
                <c:pt idx="17">
                  <c:v>1.3558066611846982</c:v>
                </c:pt>
                <c:pt idx="18">
                  <c:v>1.3510713533935752</c:v>
                </c:pt>
                <c:pt idx="19">
                  <c:v>1.3382766594997653</c:v>
                </c:pt>
                <c:pt idx="20">
                  <c:v>1.3264891591502699</c:v>
                </c:pt>
                <c:pt idx="21">
                  <c:v>1.3156539483115666</c:v>
                </c:pt>
                <c:pt idx="22">
                  <c:v>1.3057054228806297</c:v>
                </c:pt>
                <c:pt idx="23">
                  <c:v>1.2965961066037353</c:v>
                </c:pt>
                <c:pt idx="24">
                  <c:v>1.2882674983842555</c:v>
                </c:pt>
                <c:pt idx="25">
                  <c:v>1.2806715238862285</c:v>
                </c:pt>
                <c:pt idx="26">
                  <c:v>1.2737702132720481</c:v>
                </c:pt>
                <c:pt idx="27">
                  <c:v>1.2675141242716235</c:v>
                </c:pt>
                <c:pt idx="28">
                  <c:v>1.2618635969964982</c:v>
                </c:pt>
              </c:numCache>
            </c:numRef>
          </c:val>
        </c:ser>
        <c:ser>
          <c:idx val="5"/>
          <c:order val="3"/>
          <c:tx>
            <c:strRef>
              <c:f>RESULTS!$B$23</c:f>
              <c:strCache>
                <c:ptCount val="1"/>
                <c:pt idx="0">
                  <c:v>LUC CO2 removal</c:v>
                </c:pt>
              </c:strCache>
            </c:strRef>
          </c:tx>
          <c:spPr>
            <a:solidFill>
              <a:schemeClr val="accent6"/>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RESULTS!$C$23:$AE$23</c:f>
              <c:numCache>
                <c:formatCode>#,##0.000</c:formatCode>
                <c:ptCount val="29"/>
                <c:pt idx="0">
                  <c:v>0</c:v>
                </c:pt>
                <c:pt idx="1">
                  <c:v>0</c:v>
                </c:pt>
                <c:pt idx="2">
                  <c:v>0</c:v>
                </c:pt>
                <c:pt idx="3">
                  <c:v>0</c:v>
                </c:pt>
                <c:pt idx="4">
                  <c:v>0</c:v>
                </c:pt>
                <c:pt idx="5">
                  <c:v>0</c:v>
                </c:pt>
                <c:pt idx="6">
                  <c:v>0</c:v>
                </c:pt>
                <c:pt idx="7">
                  <c:v>0</c:v>
                </c:pt>
                <c:pt idx="8">
                  <c:v>-0.46178891117453202</c:v>
                </c:pt>
                <c:pt idx="9">
                  <c:v>-0.46317750651488937</c:v>
                </c:pt>
                <c:pt idx="10">
                  <c:v>-0.46456952690065545</c:v>
                </c:pt>
                <c:pt idx="11">
                  <c:v>-0.46596495866577908</c:v>
                </c:pt>
                <c:pt idx="12">
                  <c:v>-0.46736629318104117</c:v>
                </c:pt>
                <c:pt idx="13">
                  <c:v>-0.46877104072590142</c:v>
                </c:pt>
                <c:pt idx="14">
                  <c:v>-0.47017918671314335</c:v>
                </c:pt>
                <c:pt idx="15">
                  <c:v>-0.47159326710419053</c:v>
                </c:pt>
                <c:pt idx="16">
                  <c:v>-0.47301074625659661</c:v>
                </c:pt>
                <c:pt idx="17">
                  <c:v>-0.4744316086278772</c:v>
                </c:pt>
                <c:pt idx="18">
                  <c:v>-0.47585843556254287</c:v>
                </c:pt>
                <c:pt idx="19">
                  <c:v>-0.47728864464223514</c:v>
                </c:pt>
                <c:pt idx="20">
                  <c:v>-0.47872221933429571</c:v>
                </c:pt>
                <c:pt idx="21">
                  <c:v>-0.48016178716905106</c:v>
                </c:pt>
                <c:pt idx="22">
                  <c:v>-0.48160471808626715</c:v>
                </c:pt>
                <c:pt idx="23">
                  <c:v>-0.4830536709622768</c:v>
                </c:pt>
                <c:pt idx="24">
                  <c:v>-0.4845059835740661</c:v>
                </c:pt>
                <c:pt idx="25">
                  <c:v>-0.48596163774454498</c:v>
                </c:pt>
                <c:pt idx="26">
                  <c:v>-0.48742333992835157</c:v>
                </c:pt>
                <c:pt idx="27">
                  <c:v>-0.48888837876220131</c:v>
                </c:pt>
                <c:pt idx="28">
                  <c:v>-0.19858761036937356</c:v>
                </c:pt>
              </c:numCache>
            </c:numRef>
          </c:val>
        </c:ser>
        <c:dLbls>
          <c:showLegendKey val="0"/>
          <c:showVal val="0"/>
          <c:showCatName val="0"/>
          <c:showSerName val="0"/>
          <c:showPercent val="0"/>
          <c:showBubbleSize val="0"/>
        </c:dLbls>
        <c:gapWidth val="0"/>
        <c:overlap val="100"/>
        <c:axId val="466851536"/>
        <c:axId val="466849968"/>
      </c:barChart>
      <c:lineChart>
        <c:grouping val="stacked"/>
        <c:varyColors val="0"/>
        <c:ser>
          <c:idx val="6"/>
          <c:order val="4"/>
          <c:tx>
            <c:strRef>
              <c:f>RESULTS!$B$24</c:f>
              <c:strCache>
                <c:ptCount val="1"/>
                <c:pt idx="0">
                  <c:v>net balance</c:v>
                </c:pt>
              </c:strCache>
            </c:strRef>
          </c:tx>
          <c:spPr>
            <a:ln w="28575" cap="rnd">
              <a:solidFill>
                <a:srgbClr val="FF3300"/>
              </a:solidFill>
              <a:prstDash val="sysDot"/>
              <a:round/>
            </a:ln>
            <a:effectLst/>
          </c:spPr>
          <c:marker>
            <c:symbol val="none"/>
          </c:marker>
          <c:val>
            <c:numRef>
              <c:f>RESULTS!$C$24:$AE$24</c:f>
              <c:numCache>
                <c:formatCode>#,##0.000</c:formatCode>
                <c:ptCount val="29"/>
                <c:pt idx="0">
                  <c:v>2.2777207155729617</c:v>
                </c:pt>
                <c:pt idx="1">
                  <c:v>2.2182323043008454</c:v>
                </c:pt>
                <c:pt idx="2">
                  <c:v>2.1639813808062311</c:v>
                </c:pt>
                <c:pt idx="3">
                  <c:v>2.1307656172429676</c:v>
                </c:pt>
                <c:pt idx="4">
                  <c:v>2.1006373321103995</c:v>
                </c:pt>
                <c:pt idx="5">
                  <c:v>2.0585495114550447</c:v>
                </c:pt>
                <c:pt idx="6">
                  <c:v>2.0204539546589335</c:v>
                </c:pt>
                <c:pt idx="7">
                  <c:v>1.9860823448799585</c:v>
                </c:pt>
                <c:pt idx="8">
                  <c:v>1.73706892798366</c:v>
                </c:pt>
                <c:pt idx="9">
                  <c:v>1.4922162339163163</c:v>
                </c:pt>
                <c:pt idx="10">
                  <c:v>1.4775573903867589</c:v>
                </c:pt>
                <c:pt idx="11">
                  <c:v>1.4647499022514165</c:v>
                </c:pt>
                <c:pt idx="12">
                  <c:v>1.4536941694711862</c:v>
                </c:pt>
                <c:pt idx="13">
                  <c:v>1.4442864102082218</c:v>
                </c:pt>
                <c:pt idx="14">
                  <c:v>1.4364305406176103</c:v>
                </c:pt>
                <c:pt idx="15">
                  <c:v>1.4300484897375871</c:v>
                </c:pt>
                <c:pt idx="16">
                  <c:v>1.6640804537328171</c:v>
                </c:pt>
                <c:pt idx="17">
                  <c:v>1.4266390851854964</c:v>
                </c:pt>
                <c:pt idx="18">
                  <c:v>1.4242172316745272</c:v>
                </c:pt>
                <c:pt idx="19">
                  <c:v>1.4139406096446445</c:v>
                </c:pt>
                <c:pt idx="20">
                  <c:v>1.4048701379304978</c:v>
                </c:pt>
                <c:pt idx="21">
                  <c:v>1.3969430237006657</c:v>
                </c:pt>
                <c:pt idx="22">
                  <c:v>1.390091268885405</c:v>
                </c:pt>
                <c:pt idx="23">
                  <c:v>1.3842601492037465</c:v>
                </c:pt>
                <c:pt idx="24">
                  <c:v>1.3793941922558242</c:v>
                </c:pt>
                <c:pt idx="25">
                  <c:v>1.3754367086775499</c:v>
                </c:pt>
                <c:pt idx="26">
                  <c:v>1.3723433158771081</c:v>
                </c:pt>
                <c:pt idx="27">
                  <c:v>1.3700637344825701</c:v>
                </c:pt>
                <c:pt idx="28">
                  <c:v>1.6557871494253062</c:v>
                </c:pt>
              </c:numCache>
            </c:numRef>
          </c:val>
          <c:smooth val="0"/>
        </c:ser>
        <c:dLbls>
          <c:showLegendKey val="0"/>
          <c:showVal val="0"/>
          <c:showCatName val="0"/>
          <c:showSerName val="0"/>
          <c:showPercent val="0"/>
          <c:showBubbleSize val="0"/>
        </c:dLbls>
        <c:marker val="1"/>
        <c:smooth val="0"/>
        <c:axId val="466851536"/>
        <c:axId val="466849968"/>
      </c:lineChart>
      <c:catAx>
        <c:axId val="466851536"/>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466849968"/>
        <c:crosses val="autoZero"/>
        <c:auto val="1"/>
        <c:lblAlgn val="ctr"/>
        <c:lblOffset val="100"/>
        <c:noMultiLvlLbl val="0"/>
      </c:catAx>
      <c:valAx>
        <c:axId val="466849968"/>
        <c:scaling>
          <c:orientation val="minMax"/>
        </c:scaling>
        <c:delete val="0"/>
        <c:axPos val="l"/>
        <c:majorGridlines>
          <c:spPr>
            <a:ln w="9525" cap="flat" cmpd="sng" algn="ctr">
              <a:solidFill>
                <a:schemeClr val="bg1">
                  <a:lumMod val="50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851536"/>
        <c:crosses val="autoZero"/>
        <c:crossBetween val="between"/>
      </c:valAx>
      <c:spPr>
        <a:noFill/>
        <a:ln>
          <a:noFill/>
        </a:ln>
        <a:effectLst/>
      </c:spPr>
    </c:plotArea>
    <c:legend>
      <c:legendPos val="b"/>
      <c:layout>
        <c:manualLayout>
          <c:xMode val="edge"/>
          <c:yMode val="edge"/>
          <c:x val="3.1457173036297303E-2"/>
          <c:y val="0.84185946275357992"/>
          <c:w val="0.94521557518724797"/>
          <c:h val="0.1333343316583176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747010217856944"/>
          <c:y val="0.26823129251700678"/>
          <c:w val="0.33935492711616344"/>
          <c:h val="0.69775510204081637"/>
        </c:manualLayout>
      </c:layout>
      <c:pieChart>
        <c:varyColors val="1"/>
        <c:ser>
          <c:idx val="2"/>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cat>
            <c:strRef>
              <c:f>BUILDINGS!$A$7:$A$10</c:f>
              <c:strCache>
                <c:ptCount val="4"/>
                <c:pt idx="0">
                  <c:v>Apartment</c:v>
                </c:pt>
                <c:pt idx="1">
                  <c:v>Terraced</c:v>
                </c:pt>
                <c:pt idx="2">
                  <c:v>Semi-detached</c:v>
                </c:pt>
                <c:pt idx="3">
                  <c:v>Detached</c:v>
                </c:pt>
              </c:strCache>
            </c:strRef>
          </c:cat>
          <c:val>
            <c:numRef>
              <c:f>BUILDINGS!$B$7:$B$10</c:f>
              <c:numCache>
                <c:formatCode>#,##0</c:formatCode>
                <c:ptCount val="4"/>
                <c:pt idx="0">
                  <c:v>4442</c:v>
                </c:pt>
                <c:pt idx="1">
                  <c:v>6222</c:v>
                </c:pt>
                <c:pt idx="2">
                  <c:v>25000</c:v>
                </c:pt>
                <c:pt idx="3">
                  <c:v>34566</c:v>
                </c:pt>
              </c:numCache>
            </c:numRef>
          </c:val>
        </c:ser>
        <c:ser>
          <c:idx val="3"/>
          <c:order val="1"/>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cat>
            <c:strRef>
              <c:f>BUILDINGS!$A$7:$A$10</c:f>
              <c:strCache>
                <c:ptCount val="4"/>
                <c:pt idx="0">
                  <c:v>Apartment</c:v>
                </c:pt>
                <c:pt idx="1">
                  <c:v>Terraced</c:v>
                </c:pt>
                <c:pt idx="2">
                  <c:v>Semi-detached</c:v>
                </c:pt>
                <c:pt idx="3">
                  <c:v>Detached</c:v>
                </c:pt>
              </c:strCache>
            </c:strRef>
          </c:cat>
          <c:val>
            <c:numRef>
              <c:f>BUILDINGS!$B$7:$B$10</c:f>
              <c:numCache>
                <c:formatCode>#,##0</c:formatCode>
                <c:ptCount val="4"/>
                <c:pt idx="0">
                  <c:v>4442</c:v>
                </c:pt>
                <c:pt idx="1">
                  <c:v>6222</c:v>
                </c:pt>
                <c:pt idx="2">
                  <c:v>25000</c:v>
                </c:pt>
                <c:pt idx="3">
                  <c:v>34566</c:v>
                </c:pt>
              </c:numCache>
            </c:numRef>
          </c:val>
        </c:ser>
        <c:ser>
          <c:idx val="1"/>
          <c:order val="2"/>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cat>
            <c:strRef>
              <c:f>BUILDINGS!$A$7:$A$10</c:f>
              <c:strCache>
                <c:ptCount val="4"/>
                <c:pt idx="0">
                  <c:v>Apartment</c:v>
                </c:pt>
                <c:pt idx="1">
                  <c:v>Terraced</c:v>
                </c:pt>
                <c:pt idx="2">
                  <c:v>Semi-detached</c:v>
                </c:pt>
                <c:pt idx="3">
                  <c:v>Detached</c:v>
                </c:pt>
              </c:strCache>
            </c:strRef>
          </c:cat>
          <c:val>
            <c:numRef>
              <c:f>BUILDINGS!$B$7:$B$10</c:f>
              <c:numCache>
                <c:formatCode>#,##0</c:formatCode>
                <c:ptCount val="4"/>
                <c:pt idx="0">
                  <c:v>4442</c:v>
                </c:pt>
                <c:pt idx="1">
                  <c:v>6222</c:v>
                </c:pt>
                <c:pt idx="2">
                  <c:v>25000</c:v>
                </c:pt>
                <c:pt idx="3">
                  <c:v>34566</c:v>
                </c:pt>
              </c:numCache>
            </c:numRef>
          </c:val>
        </c:ser>
        <c:ser>
          <c:idx val="0"/>
          <c:order val="3"/>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cat>
            <c:strRef>
              <c:f>BUILDINGS!$A$7:$A$10</c:f>
              <c:strCache>
                <c:ptCount val="4"/>
                <c:pt idx="0">
                  <c:v>Apartment</c:v>
                </c:pt>
                <c:pt idx="1">
                  <c:v>Terraced</c:v>
                </c:pt>
                <c:pt idx="2">
                  <c:v>Semi-detached</c:v>
                </c:pt>
                <c:pt idx="3">
                  <c:v>Detached</c:v>
                </c:pt>
              </c:strCache>
            </c:strRef>
          </c:cat>
          <c:val>
            <c:numRef>
              <c:f>BUILDINGS!$B$7:$B$10</c:f>
              <c:numCache>
                <c:formatCode>#,##0</c:formatCode>
                <c:ptCount val="4"/>
                <c:pt idx="0">
                  <c:v>4442</c:v>
                </c:pt>
                <c:pt idx="1">
                  <c:v>6222</c:v>
                </c:pt>
                <c:pt idx="2">
                  <c:v>25000</c:v>
                </c:pt>
                <c:pt idx="3">
                  <c:v>34566</c:v>
                </c:pt>
              </c:numCache>
            </c:numRef>
          </c:val>
        </c:ser>
        <c:dLbls>
          <c:showLegendKey val="0"/>
          <c:showVal val="0"/>
          <c:showCatName val="0"/>
          <c:showSerName val="0"/>
          <c:showPercent val="0"/>
          <c:showBubbleSize val="0"/>
          <c:showLeaderLines val="1"/>
        </c:dLbls>
        <c:firstSliceAng val="0"/>
        <c:extLst/>
      </c:pieChart>
      <c:spPr>
        <a:noFill/>
        <a:ln>
          <a:noFill/>
        </a:ln>
        <a:effectLst/>
      </c:spPr>
    </c:plotArea>
    <c:legend>
      <c:legendPos val="l"/>
      <c:layout>
        <c:manualLayout>
          <c:xMode val="edge"/>
          <c:yMode val="edge"/>
          <c:x val="0"/>
          <c:y val="0.26870754792014634"/>
          <c:w val="0.35027929642622496"/>
          <c:h val="0.47236095488063984"/>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747010217856944"/>
          <c:y val="0.26823129251700678"/>
          <c:w val="0.33935492711616344"/>
          <c:h val="0.69775510204081637"/>
        </c:manualLayout>
      </c:layout>
      <c:pieChart>
        <c:varyColors val="1"/>
        <c:ser>
          <c:idx val="1"/>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cat>
            <c:strRef>
              <c:f>BUILDINGS!$A$15:$A$20</c:f>
              <c:strCache>
                <c:ptCount val="6"/>
                <c:pt idx="0">
                  <c:v>Retail</c:v>
                </c:pt>
                <c:pt idx="1">
                  <c:v>Health</c:v>
                </c:pt>
                <c:pt idx="2">
                  <c:v>Hospitality</c:v>
                </c:pt>
                <c:pt idx="3">
                  <c:v>Offices</c:v>
                </c:pt>
                <c:pt idx="4">
                  <c:v>Industrial</c:v>
                </c:pt>
                <c:pt idx="5">
                  <c:v>Warehouses</c:v>
                </c:pt>
              </c:strCache>
            </c:strRef>
          </c:cat>
          <c:val>
            <c:numRef>
              <c:f>BUILDINGS!$B$15:$B$20</c:f>
              <c:numCache>
                <c:formatCode>#,##0</c:formatCode>
                <c:ptCount val="6"/>
                <c:pt idx="0">
                  <c:v>262714</c:v>
                </c:pt>
                <c:pt idx="1">
                  <c:v>31619</c:v>
                </c:pt>
                <c:pt idx="2">
                  <c:v>317908</c:v>
                </c:pt>
                <c:pt idx="3">
                  <c:v>136770</c:v>
                </c:pt>
                <c:pt idx="4">
                  <c:v>1508421</c:v>
                </c:pt>
                <c:pt idx="5">
                  <c:v>61143</c:v>
                </c:pt>
              </c:numCache>
            </c:numRef>
          </c:val>
        </c:ser>
        <c:dLbls>
          <c:showLegendKey val="0"/>
          <c:showVal val="0"/>
          <c:showCatName val="0"/>
          <c:showSerName val="0"/>
          <c:showPercent val="0"/>
          <c:showBubbleSize val="0"/>
          <c:showLeaderLines val="1"/>
        </c:dLbls>
        <c:firstSliceAng val="0"/>
        <c:extLst/>
      </c:pieChart>
      <c:spPr>
        <a:noFill/>
        <a:ln>
          <a:noFill/>
        </a:ln>
        <a:effectLst/>
      </c:spPr>
    </c:plotArea>
    <c:legend>
      <c:legendPos val="l"/>
      <c:layout>
        <c:manualLayout>
          <c:xMode val="edge"/>
          <c:yMode val="edge"/>
          <c:x val="0"/>
          <c:y val="0.24581753461074876"/>
          <c:w val="0.35027929642622496"/>
          <c:h val="0.66120194203192417"/>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BASELINE</a:t>
            </a:r>
            <a:r>
              <a:rPr lang="et-EE" baseline="0"/>
              <a:t> SCENARIO- </a:t>
            </a:r>
            <a:r>
              <a:rPr lang="et-EE"/>
              <a:t>ENERGY</a:t>
            </a:r>
            <a:r>
              <a:rPr lang="et-EE" baseline="0"/>
              <a:t> USE IN BUILDINGS (tCO2e)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BUILDINGS!$AF$220</c:f>
              <c:strCache>
                <c:ptCount val="1"/>
                <c:pt idx="0">
                  <c:v>Apartment</c:v>
                </c:pt>
              </c:strCache>
            </c:strRef>
          </c:tx>
          <c:spPr>
            <a:solidFill>
              <a:schemeClr val="accent1"/>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BUILDINGS!$AG$220:$BN$220</c15:sqref>
                  </c15:fullRef>
                </c:ext>
              </c:extLst>
              <c:f>BUILDINGS!$AL$220:$BN$220</c:f>
              <c:numCache>
                <c:formatCode>General</c:formatCode>
                <c:ptCount val="29"/>
                <c:pt idx="0" formatCode="0.0">
                  <c:v>6340.23698561947</c:v>
                </c:pt>
                <c:pt idx="1" formatCode="0.0">
                  <c:v>6196.0322481723015</c:v>
                </c:pt>
                <c:pt idx="2" formatCode="0.0">
                  <c:v>6062.7870707711172</c:v>
                </c:pt>
                <c:pt idx="3" formatCode="0.0">
                  <c:v>5939.6685268524234</c:v>
                </c:pt>
                <c:pt idx="4" formatCode="0.0">
                  <c:v>5825.9069922715498</c:v>
                </c:pt>
                <c:pt idx="5" formatCode="0.0">
                  <c:v>5720.7913343188229</c:v>
                </c:pt>
                <c:pt idx="6" formatCode="0.0">
                  <c:v>5623.6644663705029</c:v>
                </c:pt>
                <c:pt idx="7" formatCode="0.0">
                  <c:v>5533.9192403862553</c:v>
                </c:pt>
                <c:pt idx="8" formatCode="0.0">
                  <c:v>5450.9946515768106</c:v>
                </c:pt>
                <c:pt idx="9" formatCode="0.0">
                  <c:v>5385.4624041571369</c:v>
                </c:pt>
                <c:pt idx="10" formatCode="0.0">
                  <c:v>5324.1897528197414</c:v>
                </c:pt>
                <c:pt idx="11" formatCode="0.0">
                  <c:v>5266.8998238192762</c:v>
                </c:pt>
                <c:pt idx="12" formatCode="0.0">
                  <c:v>5213.3337402038414</c:v>
                </c:pt>
                <c:pt idx="13" formatCode="0.0">
                  <c:v>5163.2494520234104</c:v>
                </c:pt>
                <c:pt idx="14" formatCode="0.0">
                  <c:v>5116.420642574707</c:v>
                </c:pt>
                <c:pt idx="15" formatCode="0.0">
                  <c:v>5072.6357057401701</c:v>
                </c:pt>
                <c:pt idx="16" formatCode="0.0">
                  <c:v>5031.6967897998775</c:v>
                </c:pt>
                <c:pt idx="17" formatCode="0.0">
                  <c:v>4993.4189033957036</c:v>
                </c:pt>
                <c:pt idx="18" formatCode="0.0">
                  <c:v>4957.629079607801</c:v>
                </c:pt>
                <c:pt idx="19" formatCode="0.0">
                  <c:v>4924.1655943661126</c:v>
                </c:pt>
                <c:pt idx="20" formatCode="0.0">
                  <c:v>4892.8772356651334</c:v>
                </c:pt>
                <c:pt idx="21" formatCode="0.0">
                  <c:v>4863.6226202797188</c:v>
                </c:pt>
                <c:pt idx="22" formatCode="0.0">
                  <c:v>4836.2695548943548</c:v>
                </c:pt>
                <c:pt idx="23" formatCode="0.0">
                  <c:v>4810.6944387590402</c:v>
                </c:pt>
                <c:pt idx="24" formatCode="0.0">
                  <c:v>4786.7817051725215</c:v>
                </c:pt>
                <c:pt idx="25" formatCode="0.0">
                  <c:v>4764.4232992691259</c:v>
                </c:pt>
                <c:pt idx="26" formatCode="0.0">
                  <c:v>4743.5181897494513</c:v>
                </c:pt>
                <c:pt idx="27" formatCode="0.0">
                  <c:v>4723.9719123485547</c:v>
                </c:pt>
                <c:pt idx="28" formatCode="0.0">
                  <c:v>4705.696142978717</c:v>
                </c:pt>
              </c:numCache>
            </c:numRef>
          </c:val>
        </c:ser>
        <c:ser>
          <c:idx val="1"/>
          <c:order val="1"/>
          <c:tx>
            <c:strRef>
              <c:f>BUILDINGS!$AF$221</c:f>
              <c:strCache>
                <c:ptCount val="1"/>
                <c:pt idx="0">
                  <c:v>Terraced</c:v>
                </c:pt>
              </c:strCache>
            </c:strRef>
          </c:tx>
          <c:spPr>
            <a:solidFill>
              <a:schemeClr val="accent2"/>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BUILDINGS!$AG$221:$BN$221</c15:sqref>
                  </c15:fullRef>
                </c:ext>
              </c:extLst>
              <c:f>BUILDINGS!$AL$221:$BN$221</c:f>
              <c:numCache>
                <c:formatCode>General</c:formatCode>
                <c:ptCount val="29"/>
                <c:pt idx="0" formatCode="0.0">
                  <c:v>9815.7307639400351</c:v>
                </c:pt>
                <c:pt idx="1" formatCode="0.0">
                  <c:v>9592.4780872851134</c:v>
                </c:pt>
                <c:pt idx="2" formatCode="0.0">
                  <c:v>9386.1926140559663</c:v>
                </c:pt>
                <c:pt idx="3" formatCode="0.0">
                  <c:v>9195.5848367922354</c:v>
                </c:pt>
                <c:pt idx="4" formatCode="0.0">
                  <c:v>9019.4632506005473</c:v>
                </c:pt>
                <c:pt idx="5" formatCode="0.0">
                  <c:v>8856.7269049594288</c:v>
                </c:pt>
                <c:pt idx="6" formatCode="0.0">
                  <c:v>8706.3585215870335</c:v>
                </c:pt>
                <c:pt idx="7" formatCode="0.0">
                  <c:v>8567.4181353509412</c:v>
                </c:pt>
                <c:pt idx="8" formatCode="0.0">
                  <c:v>8439.0372184687913</c:v>
                </c:pt>
                <c:pt idx="9" formatCode="0.0">
                  <c:v>8337.5825096800836</c:v>
                </c:pt>
                <c:pt idx="10" formatCode="0.0">
                  <c:v>8242.7223569626403</c:v>
                </c:pt>
                <c:pt idx="11" formatCode="0.0">
                  <c:v>8154.0281141718306</c:v>
                </c:pt>
                <c:pt idx="12" formatCode="0.0">
                  <c:v>8071.0989971624231</c:v>
                </c:pt>
                <c:pt idx="13" formatCode="0.0">
                  <c:v>7993.5602727586283</c:v>
                </c:pt>
                <c:pt idx="14" formatCode="0.0">
                  <c:v>7921.0615654410794</c:v>
                </c:pt>
                <c:pt idx="15" formatCode="0.0">
                  <c:v>7853.2752740991718</c:v>
                </c:pt>
                <c:pt idx="16" formatCode="0.0">
                  <c:v>7789.8950916944877</c:v>
                </c:pt>
                <c:pt idx="17" formatCode="0.0">
                  <c:v>7730.6346211461087</c:v>
                </c:pt>
                <c:pt idx="18" formatCode="0.0">
                  <c:v>7675.2260811833739</c:v>
                </c:pt>
                <c:pt idx="19" formatCode="0.0">
                  <c:v>7623.4190963182164</c:v>
                </c:pt>
                <c:pt idx="20" formatCode="0.0">
                  <c:v>7574.9795654692953</c:v>
                </c:pt>
                <c:pt idx="21" formatCode="0.0">
                  <c:v>7529.688604125553</c:v>
                </c:pt>
                <c:pt idx="22" formatCode="0.0">
                  <c:v>7487.341555269154</c:v>
                </c:pt>
                <c:pt idx="23" formatCode="0.0">
                  <c:v>7447.7470645884214</c:v>
                </c:pt>
                <c:pt idx="24" formatCode="0.0">
                  <c:v>7410.7262158019366</c:v>
                </c:pt>
                <c:pt idx="25" formatCode="0.0">
                  <c:v>7376.1117221865725</c:v>
                </c:pt>
                <c:pt idx="26" formatCode="0.0">
                  <c:v>7343.7471706562083</c:v>
                </c:pt>
                <c:pt idx="27" formatCode="0.0">
                  <c:v>7313.4863149753164</c:v>
                </c:pt>
                <c:pt idx="28" formatCode="0.0">
                  <c:v>7285.192414913683</c:v>
                </c:pt>
              </c:numCache>
            </c:numRef>
          </c:val>
        </c:ser>
        <c:ser>
          <c:idx val="2"/>
          <c:order val="2"/>
          <c:tx>
            <c:strRef>
              <c:f>BUILDINGS!$AF$222</c:f>
              <c:strCache>
                <c:ptCount val="1"/>
                <c:pt idx="0">
                  <c:v>Semi-detached</c:v>
                </c:pt>
              </c:strCache>
            </c:strRef>
          </c:tx>
          <c:spPr>
            <a:solidFill>
              <a:schemeClr val="accent3"/>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BUILDINGS!$AG$222:$BN$222</c15:sqref>
                  </c15:fullRef>
                </c:ext>
              </c:extLst>
              <c:f>BUILDINGS!$AL$222:$BN$222</c:f>
              <c:numCache>
                <c:formatCode>General</c:formatCode>
                <c:ptCount val="29"/>
                <c:pt idx="0" formatCode="0.0">
                  <c:v>41317.689306508546</c:v>
                </c:pt>
                <c:pt idx="1" formatCode="0.0">
                  <c:v>40377.944222549886</c:v>
                </c:pt>
                <c:pt idx="2" formatCode="0.0">
                  <c:v>39509.619764972085</c:v>
                </c:pt>
                <c:pt idx="3" formatCode="0.0">
                  <c:v>38707.287966170195</c:v>
                </c:pt>
                <c:pt idx="4" formatCode="0.0">
                  <c:v>37965.933384077252</c:v>
                </c:pt>
                <c:pt idx="5" formatCode="0.0">
                  <c:v>37280.921750223373</c:v>
                </c:pt>
                <c:pt idx="6" formatCode="0.0">
                  <c:v>36647.971000542384</c:v>
                </c:pt>
                <c:pt idx="7" formatCode="0.0">
                  <c:v>36063.124507837158</c:v>
                </c:pt>
                <c:pt idx="8" formatCode="0.0">
                  <c:v>35522.726348577518</c:v>
                </c:pt>
                <c:pt idx="9" formatCode="0.0">
                  <c:v>35095.6695927205</c:v>
                </c:pt>
                <c:pt idx="10" formatCode="0.0">
                  <c:v>34696.371525994189</c:v>
                </c:pt>
                <c:pt idx="11" formatCode="0.0">
                  <c:v>34323.027833605083</c:v>
                </c:pt>
                <c:pt idx="12" formatCode="0.0">
                  <c:v>33973.951481221273</c:v>
                </c:pt>
                <c:pt idx="13" formatCode="0.0">
                  <c:v>33647.565091742406</c:v>
                </c:pt>
                <c:pt idx="14" formatCode="0.0">
                  <c:v>33342.393817579665</c:v>
                </c:pt>
                <c:pt idx="15" formatCode="0.0">
                  <c:v>33057.05867623751</c:v>
                </c:pt>
                <c:pt idx="16" formatCode="0.0">
                  <c:v>32790.270319082585</c:v>
                </c:pt>
                <c:pt idx="17" formatCode="0.0">
                  <c:v>32540.82320514274</c:v>
                </c:pt>
                <c:pt idx="18" formatCode="0.0">
                  <c:v>32307.59015360898</c:v>
                </c:pt>
                <c:pt idx="19" formatCode="0.0">
                  <c:v>32089.517250424913</c:v>
                </c:pt>
                <c:pt idx="20" formatCode="0.0">
                  <c:v>31885.619085947808</c:v>
                </c:pt>
                <c:pt idx="21" formatCode="0.0">
                  <c:v>31694.974302161718</c:v>
                </c:pt>
                <c:pt idx="22" formatCode="0.0">
                  <c:v>31516.721429321726</c:v>
                </c:pt>
                <c:pt idx="23" formatCode="0.0">
                  <c:v>31350.054993216334</c:v>
                </c:pt>
                <c:pt idx="24" formatCode="0.0">
                  <c:v>31194.221875457792</c:v>
                </c:pt>
                <c:pt idx="25" formatCode="0.0">
                  <c:v>31048.517910353548</c:v>
                </c:pt>
                <c:pt idx="26" formatCode="0.0">
                  <c:v>30912.284702981087</c:v>
                </c:pt>
                <c:pt idx="27" formatCode="0.0">
                  <c:v>30784.906654087834</c:v>
                </c:pt>
                <c:pt idx="28" formatCode="0.0">
                  <c:v>30665.808178372645</c:v>
                </c:pt>
              </c:numCache>
            </c:numRef>
          </c:val>
        </c:ser>
        <c:ser>
          <c:idx val="3"/>
          <c:order val="3"/>
          <c:tx>
            <c:strRef>
              <c:f>BUILDINGS!$AF$223</c:f>
              <c:strCache>
                <c:ptCount val="1"/>
                <c:pt idx="0">
                  <c:v>Detached</c:v>
                </c:pt>
              </c:strCache>
            </c:strRef>
          </c:tx>
          <c:spPr>
            <a:solidFill>
              <a:schemeClr val="accent4"/>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BUILDINGS!$AG$223:$BN$223</c15:sqref>
                  </c15:fullRef>
                </c:ext>
              </c:extLst>
              <c:f>BUILDINGS!$AL$223:$BN$223</c:f>
              <c:numCache>
                <c:formatCode>General</c:formatCode>
                <c:ptCount val="29"/>
                <c:pt idx="0" formatCode="0.0">
                  <c:v>79224.822270316072</c:v>
                </c:pt>
                <c:pt idx="1" formatCode="0.0">
                  <c:v>77228.58022352065</c:v>
                </c:pt>
                <c:pt idx="2" formatCode="0.0">
                  <c:v>75384.052572281667</c:v>
                </c:pt>
                <c:pt idx="3" formatCode="0.0">
                  <c:v>73679.709022536845</c:v>
                </c:pt>
                <c:pt idx="4" formatCode="0.0">
                  <c:v>72104.895582572644</c:v>
                </c:pt>
                <c:pt idx="5" formatCode="0.0">
                  <c:v>70649.767964045706</c:v>
                </c:pt>
                <c:pt idx="6" formatCode="0.0">
                  <c:v>69305.230044526834</c:v>
                </c:pt>
                <c:pt idx="7" formatCode="0.0">
                  <c:v>68062.877006891373</c:v>
                </c:pt>
                <c:pt idx="8" formatCode="0.0">
                  <c:v>66914.942800116216</c:v>
                </c:pt>
                <c:pt idx="9" formatCode="0.0">
                  <c:v>66007.772688814701</c:v>
                </c:pt>
                <c:pt idx="10" formatCode="0.0">
                  <c:v>65159.568634747775</c:v>
                </c:pt>
                <c:pt idx="11" formatCode="0.0">
                  <c:v>64366.497844195197</c:v>
                </c:pt>
                <c:pt idx="12" formatCode="0.0">
                  <c:v>63624.976655028542</c:v>
                </c:pt>
                <c:pt idx="13" formatCode="0.0">
                  <c:v>62931.654343157716</c:v>
                </c:pt>
                <c:pt idx="14" formatCode="0.0">
                  <c:v>62283.397981558504</c:v>
                </c:pt>
                <c:pt idx="15" formatCode="0.0">
                  <c:v>61677.278283463223</c:v>
                </c:pt>
                <c:pt idx="16" formatCode="0.0">
                  <c:v>61110.556365744153</c:v>
                </c:pt>
                <c:pt idx="17" formatCode="0.0">
                  <c:v>60580.671372676807</c:v>
                </c:pt>
                <c:pt idx="18" formatCode="0.0">
                  <c:v>60085.228904158852</c:v>
                </c:pt>
                <c:pt idx="19" formatCode="0.0">
                  <c:v>59621.990196094557</c:v>
                </c:pt>
                <c:pt idx="20" formatCode="0.0">
                  <c:v>59188.862004054434</c:v>
                </c:pt>
                <c:pt idx="21" formatCode="0.0">
                  <c:v>58783.887144496926</c:v>
                </c:pt>
                <c:pt idx="22" formatCode="0.0">
                  <c:v>58405.23565081066</c:v>
                </c:pt>
                <c:pt idx="23" formatCode="0.0">
                  <c:v>58051.196504214007</c:v>
                </c:pt>
                <c:pt idx="24" formatCode="0.0">
                  <c:v>57720.169902146125</c:v>
                </c:pt>
                <c:pt idx="25" formatCode="0.0">
                  <c:v>57410.660029212653</c:v>
                </c:pt>
                <c:pt idx="26" formatCode="0.0">
                  <c:v>57121.268298019859</c:v>
                </c:pt>
                <c:pt idx="27" formatCode="0.0">
                  <c:v>56850.687029354609</c:v>
                </c:pt>
                <c:pt idx="28" formatCode="0.0">
                  <c:v>56597.693543152578</c:v>
                </c:pt>
              </c:numCache>
            </c:numRef>
          </c:val>
        </c:ser>
        <c:ser>
          <c:idx val="4"/>
          <c:order val="4"/>
          <c:tx>
            <c:strRef>
              <c:f>BUILDINGS!$AF$224</c:f>
              <c:strCache>
                <c:ptCount val="1"/>
                <c:pt idx="0">
                  <c:v>Retail</c:v>
                </c:pt>
              </c:strCache>
            </c:strRef>
          </c:tx>
          <c:spPr>
            <a:solidFill>
              <a:schemeClr val="accent5"/>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BUILDINGS!$AG$224:$BN$224</c15:sqref>
                  </c15:fullRef>
                </c:ext>
              </c:extLst>
              <c:f>BUILDINGS!$AL$224:$BN$224</c:f>
              <c:numCache>
                <c:formatCode>General</c:formatCode>
                <c:ptCount val="29"/>
                <c:pt idx="0" formatCode="0.0">
                  <c:v>14588.207846393425</c:v>
                </c:pt>
                <c:pt idx="1" formatCode="0.0">
                  <c:v>13479.504050067526</c:v>
                </c:pt>
                <c:pt idx="2" formatCode="0.0">
                  <c:v>12455.061742262396</c:v>
                </c:pt>
                <c:pt idx="3" formatCode="0.0">
                  <c:v>11508.477049850453</c:v>
                </c:pt>
                <c:pt idx="4" formatCode="0.0">
                  <c:v>10633.832794061818</c:v>
                </c:pt>
                <c:pt idx="5" formatCode="0.0">
                  <c:v>9825.6615017131207</c:v>
                </c:pt>
                <c:pt idx="6" formatCode="0.0">
                  <c:v>9078.9112275829248</c:v>
                </c:pt>
                <c:pt idx="7" formatCode="0.0">
                  <c:v>8388.9139742866228</c:v>
                </c:pt>
                <c:pt idx="8" formatCode="0.0">
                  <c:v>7751.3565122408399</c:v>
                </c:pt>
                <c:pt idx="9" formatCode="0.0">
                  <c:v>7247.5183389451859</c:v>
                </c:pt>
                <c:pt idx="10" formatCode="0.0">
                  <c:v>6776.4296469137489</c:v>
                </c:pt>
                <c:pt idx="11" formatCode="0.0">
                  <c:v>6335.9617198643555</c:v>
                </c:pt>
                <c:pt idx="12" formatCode="0.0">
                  <c:v>5924.1242080731727</c:v>
                </c:pt>
                <c:pt idx="13" formatCode="0.0">
                  <c:v>5539.0561345484175</c:v>
                </c:pt>
                <c:pt idx="14" formatCode="0.0">
                  <c:v>5179.0174858027694</c:v>
                </c:pt>
                <c:pt idx="15" formatCode="0.0">
                  <c:v>4842.3813492255904</c:v>
                </c:pt>
                <c:pt idx="16" formatCode="0.0">
                  <c:v>4527.6265615259272</c:v>
                </c:pt>
                <c:pt idx="17" formatCode="0.0">
                  <c:v>4233.3308350267425</c:v>
                </c:pt>
                <c:pt idx="18" formatCode="0.0">
                  <c:v>3958.1643307500049</c:v>
                </c:pt>
                <c:pt idx="19" formatCode="0.0">
                  <c:v>3700.8836492512546</c:v>
                </c:pt>
                <c:pt idx="20" formatCode="0.0">
                  <c:v>3460.3262120499235</c:v>
                </c:pt>
                <c:pt idx="21" formatCode="0.0">
                  <c:v>3235.4050082666781</c:v>
                </c:pt>
                <c:pt idx="22" formatCode="0.0">
                  <c:v>3025.1036827293447</c:v>
                </c:pt>
                <c:pt idx="23" formatCode="0.0">
                  <c:v>2828.4719433519376</c:v>
                </c:pt>
                <c:pt idx="24" formatCode="0.0">
                  <c:v>2644.6212670340619</c:v>
                </c:pt>
                <c:pt idx="25" formatCode="0.0">
                  <c:v>2472.7208846768481</c:v>
                </c:pt>
                <c:pt idx="26" formatCode="0.0">
                  <c:v>2311.9940271728528</c:v>
                </c:pt>
                <c:pt idx="27" formatCode="0.0">
                  <c:v>2161.7144154066177</c:v>
                </c:pt>
                <c:pt idx="28" formatCode="0.0">
                  <c:v>2021.2029784051874</c:v>
                </c:pt>
              </c:numCache>
            </c:numRef>
          </c:val>
        </c:ser>
        <c:ser>
          <c:idx val="5"/>
          <c:order val="5"/>
          <c:tx>
            <c:strRef>
              <c:f>BUILDINGS!$AF$225</c:f>
              <c:strCache>
                <c:ptCount val="1"/>
                <c:pt idx="0">
                  <c:v>Health</c:v>
                </c:pt>
              </c:strCache>
            </c:strRef>
          </c:tx>
          <c:spPr>
            <a:solidFill>
              <a:schemeClr val="accent6"/>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BUILDINGS!$AG$225:$BN$225</c15:sqref>
                  </c15:fullRef>
                </c:ext>
              </c:extLst>
              <c:f>BUILDINGS!$AL$225:$BN$225</c:f>
              <c:numCache>
                <c:formatCode>General</c:formatCode>
                <c:ptCount val="29"/>
                <c:pt idx="0" formatCode="0.0">
                  <c:v>4974.1817648662272</c:v>
                </c:pt>
                <c:pt idx="1" formatCode="0.0">
                  <c:v>4634.5206783861495</c:v>
                </c:pt>
                <c:pt idx="2" formatCode="0.0">
                  <c:v>4320.6738344785563</c:v>
                </c:pt>
                <c:pt idx="3" formatCode="0.0">
                  <c:v>4030.6793507079401</c:v>
                </c:pt>
                <c:pt idx="4" formatCode="0.0">
                  <c:v>3762.7244477038912</c:v>
                </c:pt>
                <c:pt idx="5" formatCode="0.0">
                  <c:v>3515.1341173281498</c:v>
                </c:pt>
                <c:pt idx="6" formatCode="0.0">
                  <c:v>3286.3606520609646</c:v>
                </c:pt>
                <c:pt idx="7" formatCode="0.0">
                  <c:v>3074.9739701540857</c:v>
                </c:pt>
                <c:pt idx="8" formatCode="0.0">
                  <c:v>2879.6526760721299</c:v>
                </c:pt>
                <c:pt idx="9" formatCode="0.0">
                  <c:v>2725.2974534068371</c:v>
                </c:pt>
                <c:pt idx="10" formatCode="0.0">
                  <c:v>2580.9753202147876</c:v>
                </c:pt>
                <c:pt idx="11" formatCode="0.0">
                  <c:v>2446.0341256802221</c:v>
                </c:pt>
                <c:pt idx="12" formatCode="0.0">
                  <c:v>2319.8641087904025</c:v>
                </c:pt>
                <c:pt idx="13" formatCode="0.0">
                  <c:v>2201.8951429984218</c:v>
                </c:pt>
                <c:pt idx="14" formatCode="0.0">
                  <c:v>2091.5941599829198</c:v>
                </c:pt>
                <c:pt idx="15" formatCode="0.0">
                  <c:v>1988.4627408634258</c:v>
                </c:pt>
                <c:pt idx="16" formatCode="0.0">
                  <c:v>1892.0348639866984</c:v>
                </c:pt>
                <c:pt idx="17" formatCode="0.0">
                  <c:v>1801.8747991069583</c:v>
                </c:pt>
                <c:pt idx="18" formatCode="0.0">
                  <c:v>1717.5751384444015</c:v>
                </c:pt>
                <c:pt idx="19" formatCode="0.0">
                  <c:v>1638.7549557249106</c:v>
                </c:pt>
                <c:pt idx="20" formatCode="0.0">
                  <c:v>1565.0580848821867</c:v>
                </c:pt>
                <c:pt idx="21" formatCode="0.0">
                  <c:v>1496.1515106442398</c:v>
                </c:pt>
                <c:pt idx="22" formatCode="0.0">
                  <c:v>1431.7238637317596</c:v>
                </c:pt>
                <c:pt idx="23" formatCode="0.0">
                  <c:v>1371.4840138685904</c:v>
                </c:pt>
                <c:pt idx="24" formatCode="0.0">
                  <c:v>1315.1597542465272</c:v>
                </c:pt>
                <c:pt idx="25" formatCode="0.0">
                  <c:v>1262.4965714998982</c:v>
                </c:pt>
                <c:pt idx="26" formatCode="0.0">
                  <c:v>1213.2564956318001</c:v>
                </c:pt>
                <c:pt idx="27" formatCode="0.0">
                  <c:v>1167.2170246951284</c:v>
                </c:pt>
                <c:pt idx="28" formatCode="0.0">
                  <c:v>1124.1701193693402</c:v>
                </c:pt>
              </c:numCache>
            </c:numRef>
          </c:val>
        </c:ser>
        <c:ser>
          <c:idx val="6"/>
          <c:order val="6"/>
          <c:tx>
            <c:strRef>
              <c:f>BUILDINGS!$AF$226</c:f>
              <c:strCache>
                <c:ptCount val="1"/>
                <c:pt idx="0">
                  <c:v>Hospitality</c:v>
                </c:pt>
              </c:strCache>
            </c:strRef>
          </c:tx>
          <c:spPr>
            <a:solidFill>
              <a:schemeClr val="accent1">
                <a:lumMod val="60000"/>
              </a:schemeClr>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BUILDINGS!$AG$226:$BN$226</c15:sqref>
                  </c15:fullRef>
                </c:ext>
              </c:extLst>
              <c:f>BUILDINGS!$AL$226:$BN$226</c:f>
              <c:numCache>
                <c:formatCode>General</c:formatCode>
                <c:ptCount val="29"/>
                <c:pt idx="0" formatCode="0.0">
                  <c:v>47592.940608383826</c:v>
                </c:pt>
                <c:pt idx="1" formatCode="0.0">
                  <c:v>44747.052147840353</c:v>
                </c:pt>
                <c:pt idx="2" formatCode="0.0">
                  <c:v>42117.451210298183</c:v>
                </c:pt>
                <c:pt idx="3" formatCode="0.0">
                  <c:v>39687.699944009219</c:v>
                </c:pt>
                <c:pt idx="4" formatCode="0.0">
                  <c:v>37442.609773958218</c:v>
                </c:pt>
                <c:pt idx="5" formatCode="0.0">
                  <c:v>35368.146456831091</c:v>
                </c:pt>
                <c:pt idx="6" formatCode="0.0">
                  <c:v>33451.342351805622</c:v>
                </c:pt>
                <c:pt idx="7" formatCode="0.0">
                  <c:v>31680.215358762096</c:v>
                </c:pt>
                <c:pt idx="8" formatCode="0.0">
                  <c:v>30043.694017189871</c:v>
                </c:pt>
                <c:pt idx="9" formatCode="0.0">
                  <c:v>28750.411493836877</c:v>
                </c:pt>
                <c:pt idx="10" formatCode="0.0">
                  <c:v>27541.192334501829</c:v>
                </c:pt>
                <c:pt idx="11" formatCode="0.0">
                  <c:v>26410.572420523557</c:v>
                </c:pt>
                <c:pt idx="12" formatCode="0.0">
                  <c:v>25353.442800953868</c:v>
                </c:pt>
                <c:pt idx="13" formatCode="0.0">
                  <c:v>24365.026606656218</c:v>
                </c:pt>
                <c:pt idx="14" formatCode="0.0">
                  <c:v>23440.857464987908</c:v>
                </c:pt>
                <c:pt idx="15" formatCode="0.0">
                  <c:v>22576.759317528042</c:v>
                </c:pt>
                <c:pt idx="16" formatCode="0.0">
                  <c:v>21768.827549653062</c:v>
                </c:pt>
                <c:pt idx="17" formatCode="0.0">
                  <c:v>21013.411346689962</c:v>
                </c:pt>
                <c:pt idx="18" formatCode="0.0">
                  <c:v>20307.097196919462</c:v>
                </c:pt>
                <c:pt idx="19" formatCode="0.0">
                  <c:v>19646.69346688404</c:v>
                </c:pt>
                <c:pt idx="20" formatCode="0.0">
                  <c:v>19029.215979300927</c:v>
                </c:pt>
                <c:pt idx="21" formatCode="0.0">
                  <c:v>18451.874528410714</c:v>
                </c:pt>
                <c:pt idx="22" formatCode="0.0">
                  <c:v>17912.060271828363</c:v>
                </c:pt>
                <c:pt idx="23" formatCode="0.0">
                  <c:v>17407.333941923865</c:v>
                </c:pt>
                <c:pt idx="24" formatCode="0.0">
                  <c:v>16935.414823463161</c:v>
                </c:pt>
                <c:pt idx="25" formatCode="0.0">
                  <c:v>16494.1704477024</c:v>
                </c:pt>
                <c:pt idx="26" formatCode="0.0">
                  <c:v>16081.606956366089</c:v>
                </c:pt>
                <c:pt idx="27" formatCode="0.0">
                  <c:v>15695.860091966639</c:v>
                </c:pt>
                <c:pt idx="28" formatCode="0.0">
                  <c:v>15335.186773753154</c:v>
                </c:pt>
              </c:numCache>
            </c:numRef>
          </c:val>
        </c:ser>
        <c:ser>
          <c:idx val="7"/>
          <c:order val="7"/>
          <c:tx>
            <c:strRef>
              <c:f>BUILDINGS!$AF$227</c:f>
              <c:strCache>
                <c:ptCount val="1"/>
                <c:pt idx="0">
                  <c:v>Offices</c:v>
                </c:pt>
              </c:strCache>
            </c:strRef>
          </c:tx>
          <c:spPr>
            <a:solidFill>
              <a:schemeClr val="accent2">
                <a:lumMod val="60000"/>
              </a:schemeClr>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BUILDINGS!$AG$227:$BN$227</c15:sqref>
                  </c15:fullRef>
                </c:ext>
              </c:extLst>
              <c:f>BUILDINGS!$AL$227:$BN$227</c:f>
              <c:numCache>
                <c:formatCode>General</c:formatCode>
                <c:ptCount val="29"/>
                <c:pt idx="0" formatCode="0.0">
                  <c:v>8712.666485741096</c:v>
                </c:pt>
                <c:pt idx="1" formatCode="0.0">
                  <c:v>8292.8877198283735</c:v>
                </c:pt>
                <c:pt idx="2" formatCode="0.0">
                  <c:v>7905.012140125018</c:v>
                </c:pt>
                <c:pt idx="3" formatCode="0.0">
                  <c:v>7546.6151044791159</c:v>
                </c:pt>
                <c:pt idx="4" formatCode="0.0">
                  <c:v>7215.4562435423031</c:v>
                </c:pt>
                <c:pt idx="5" formatCode="0.0">
                  <c:v>6909.4654560366889</c:v>
                </c:pt>
                <c:pt idx="6" formatCode="0.0">
                  <c:v>6626.7299683814999</c:v>
                </c:pt>
                <c:pt idx="7" formatCode="0.0">
                  <c:v>6365.4823777881065</c:v>
                </c:pt>
                <c:pt idx="8" formatCode="0.0">
                  <c:v>6124.0896040798107</c:v>
                </c:pt>
                <c:pt idx="9" formatCode="0.0">
                  <c:v>5933.3257884361228</c:v>
                </c:pt>
                <c:pt idx="10" formatCode="0.0">
                  <c:v>5754.9616208092757</c:v>
                </c:pt>
                <c:pt idx="11" formatCode="0.0">
                  <c:v>5588.1911240781728</c:v>
                </c:pt>
                <c:pt idx="12" formatCode="0.0">
                  <c:v>5432.2607096345919</c:v>
                </c:pt>
                <c:pt idx="13" formatCode="0.0">
                  <c:v>5286.4657721298436</c:v>
                </c:pt>
                <c:pt idx="14" formatCode="0.0">
                  <c:v>5150.1475055629035</c:v>
                </c:pt>
                <c:pt idx="15" formatCode="0.0">
                  <c:v>5022.6899263228152</c:v>
                </c:pt>
                <c:pt idx="16" formatCode="0.0">
                  <c:v>4903.5170897333319</c:v>
                </c:pt>
                <c:pt idx="17" formatCode="0.0">
                  <c:v>4792.0904875221659</c:v>
                </c:pt>
                <c:pt idx="18" formatCode="0.0">
                  <c:v>4687.9066144547251</c:v>
                </c:pt>
                <c:pt idx="19" formatCode="0.0">
                  <c:v>4590.4946931366676</c:v>
                </c:pt>
                <c:pt idx="20" formatCode="0.0">
                  <c:v>4499.4145467042845</c:v>
                </c:pt>
                <c:pt idx="21" formatCode="0.0">
                  <c:v>4414.2546097900067</c:v>
                </c:pt>
                <c:pt idx="22" formatCode="0.0">
                  <c:v>4334.6300687751564</c:v>
                </c:pt>
                <c:pt idx="23" formatCode="0.0">
                  <c:v>4260.1811229262712</c:v>
                </c:pt>
                <c:pt idx="24" formatCode="0.0">
                  <c:v>4190.5713585575631</c:v>
                </c:pt>
                <c:pt idx="25" formatCode="0.0">
                  <c:v>4125.4862288728218</c:v>
                </c:pt>
                <c:pt idx="26" formatCode="0.0">
                  <c:v>4064.6316326175879</c:v>
                </c:pt>
                <c:pt idx="27" formatCode="0.0">
                  <c:v>4007.7325851189448</c:v>
                </c:pt>
                <c:pt idx="28" formatCode="0.0">
                  <c:v>3954.5319757077136</c:v>
                </c:pt>
              </c:numCache>
            </c:numRef>
          </c:val>
        </c:ser>
        <c:ser>
          <c:idx val="8"/>
          <c:order val="8"/>
          <c:tx>
            <c:strRef>
              <c:f>BUILDINGS!$AF$228</c:f>
              <c:strCache>
                <c:ptCount val="1"/>
                <c:pt idx="0">
                  <c:v>Industrial</c:v>
                </c:pt>
              </c:strCache>
            </c:strRef>
          </c:tx>
          <c:spPr>
            <a:solidFill>
              <a:schemeClr val="accent3">
                <a:lumMod val="60000"/>
              </a:schemeClr>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BUILDINGS!$AG$228:$BN$228</c15:sqref>
                  </c15:fullRef>
                </c:ext>
              </c:extLst>
              <c:f>BUILDINGS!$AL$228:$BN$228</c:f>
              <c:numCache>
                <c:formatCode>General</c:formatCode>
                <c:ptCount val="29"/>
                <c:pt idx="0" formatCode="0.0">
                  <c:v>137765.96378561738</c:v>
                </c:pt>
                <c:pt idx="1" formatCode="0.0">
                  <c:v>132765.89539104709</c:v>
                </c:pt>
                <c:pt idx="2" formatCode="0.0">
                  <c:v>128145.83219446409</c:v>
                </c:pt>
                <c:pt idx="3" formatCode="0.0">
                  <c:v>123876.89380082142</c:v>
                </c:pt>
                <c:pt idx="4" formatCode="0.0">
                  <c:v>119932.3947250956</c:v>
                </c:pt>
                <c:pt idx="5" formatCode="0.0">
                  <c:v>116287.67757912494</c:v>
                </c:pt>
                <c:pt idx="6" formatCode="0.0">
                  <c:v>112919.95893624803</c:v>
                </c:pt>
                <c:pt idx="7" formatCode="0.0">
                  <c:v>109808.18691022978</c:v>
                </c:pt>
                <c:pt idx="8" formatCode="0.0">
                  <c:v>106932.90955818893</c:v>
                </c:pt>
                <c:pt idx="9" formatCode="0.0">
                  <c:v>104660.68379814189</c:v>
                </c:pt>
                <c:pt idx="10" formatCode="0.0">
                  <c:v>102536.15271249792</c:v>
                </c:pt>
                <c:pt idx="11" formatCode="0.0">
                  <c:v>100549.71614742081</c:v>
                </c:pt>
                <c:pt idx="12" formatCode="0.0">
                  <c:v>98692.3979590737</c:v>
                </c:pt>
                <c:pt idx="13" formatCode="0.0">
                  <c:v>96955.805452969158</c:v>
                </c:pt>
                <c:pt idx="14" formatCode="0.0">
                  <c:v>95332.091459761417</c:v>
                </c:pt>
                <c:pt idx="15" formatCode="0.0">
                  <c:v>93813.918876112177</c:v>
                </c:pt>
                <c:pt idx="16" formatCode="0.0">
                  <c:v>92394.427510400143</c:v>
                </c:pt>
                <c:pt idx="17" formatCode="0.0">
                  <c:v>91067.203083459375</c:v>
                </c:pt>
                <c:pt idx="18" formatCode="0.0">
                  <c:v>89826.248244269766</c:v>
                </c:pt>
                <c:pt idx="19" formatCode="0.0">
                  <c:v>88665.955469627486</c:v>
                </c:pt>
                <c:pt idx="20" formatCode="0.0">
                  <c:v>87581.081725336946</c:v>
                </c:pt>
                <c:pt idx="21" formatCode="0.0">
                  <c:v>86566.724774425296</c:v>
                </c:pt>
                <c:pt idx="22" formatCode="0.0">
                  <c:v>85618.3010253229</c:v>
                </c:pt>
                <c:pt idx="23" formatCode="0.0">
                  <c:v>84731.524819912171</c:v>
                </c:pt>
                <c:pt idx="24" formatCode="0.0">
                  <c:v>83902.389067853132</c:v>
                </c:pt>
                <c:pt idx="25" formatCode="0.0">
                  <c:v>83127.147139677923</c:v>
                </c:pt>
                <c:pt idx="26" formatCode="0.0">
                  <c:v>82402.295936834111</c:v>
                </c:pt>
                <c:pt idx="27" formatCode="0.0">
                  <c:v>81724.560062175136</c:v>
                </c:pt>
                <c:pt idx="28" formatCode="0.0">
                  <c:v>81090.877019369</c:v>
                </c:pt>
              </c:numCache>
            </c:numRef>
          </c:val>
        </c:ser>
        <c:ser>
          <c:idx val="9"/>
          <c:order val="9"/>
          <c:tx>
            <c:strRef>
              <c:f>BUILDINGS!$AF$229</c:f>
              <c:strCache>
                <c:ptCount val="1"/>
                <c:pt idx="0">
                  <c:v>Warehouses</c:v>
                </c:pt>
              </c:strCache>
            </c:strRef>
          </c:tx>
          <c:spPr>
            <a:solidFill>
              <a:schemeClr val="accent4">
                <a:lumMod val="60000"/>
              </a:schemeClr>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BUILDINGS!$AG$229:$BN$229</c15:sqref>
                  </c15:fullRef>
                </c:ext>
              </c:extLst>
              <c:f>BUILDINGS!$AL$229:$BN$229</c:f>
              <c:numCache>
                <c:formatCode>General</c:formatCode>
                <c:ptCount val="29"/>
                <c:pt idx="0" formatCode="0.0">
                  <c:v>3818.0236228025269</c:v>
                </c:pt>
                <c:pt idx="1" formatCode="0.0">
                  <c:v>3567.8076096982732</c:v>
                </c:pt>
                <c:pt idx="2" formatCode="0.0">
                  <c:v>3336.6080135899424</c:v>
                </c:pt>
                <c:pt idx="3" formatCode="0.0">
                  <c:v>3122.9795867858443</c:v>
                </c:pt>
                <c:pt idx="4" formatCode="0.0">
                  <c:v>2925.5869204188584</c:v>
                </c:pt>
                <c:pt idx="5" formatCode="0.0">
                  <c:v>2743.1960966957631</c:v>
                </c:pt>
                <c:pt idx="6" formatCode="0.0">
                  <c:v>2574.6669755756229</c:v>
                </c:pt>
                <c:pt idx="7" formatCode="0.0">
                  <c:v>2418.9460676606132</c:v>
                </c:pt>
                <c:pt idx="8" formatCode="0.0">
                  <c:v>2275.0599487471441</c:v>
                </c:pt>
                <c:pt idx="9" formatCode="0.0">
                  <c:v>2161.3520500373688</c:v>
                </c:pt>
                <c:pt idx="10" formatCode="0.0">
                  <c:v>2055.0351647437292</c:v>
                </c:pt>
                <c:pt idx="11" formatCode="0.0">
                  <c:v>1955.6288769941757</c:v>
                </c:pt>
                <c:pt idx="12" formatCode="0.0">
                  <c:v>1862.6839979483434</c:v>
                </c:pt>
                <c:pt idx="13" formatCode="0.0">
                  <c:v>1775.78053604049</c:v>
                </c:pt>
                <c:pt idx="14" formatCode="0.0">
                  <c:v>1694.5257991566473</c:v>
                </c:pt>
                <c:pt idx="15" formatCode="0.0">
                  <c:v>1618.5526201702542</c:v>
                </c:pt>
                <c:pt idx="16" formatCode="0.0">
                  <c:v>1547.517697817977</c:v>
                </c:pt>
                <c:pt idx="17" formatCode="0.0">
                  <c:v>1481.1000454185973</c:v>
                </c:pt>
                <c:pt idx="18" formatCode="0.0">
                  <c:v>1418.9995404251777</c:v>
                </c:pt>
                <c:pt idx="19" formatCode="0.0">
                  <c:v>1360.93556825633</c:v>
                </c:pt>
                <c:pt idx="20" formatCode="0.0">
                  <c:v>1306.6457542784574</c:v>
                </c:pt>
                <c:pt idx="21" formatCode="0.0">
                  <c:v>1255.8847782091468</c:v>
                </c:pt>
                <c:pt idx="22" formatCode="0.0">
                  <c:v>1208.4232655843412</c:v>
                </c:pt>
                <c:pt idx="23" formatCode="0.0">
                  <c:v>1164.0467512801479</c:v>
                </c:pt>
                <c:pt idx="24" formatCode="0.0">
                  <c:v>1122.5547104057273</c:v>
                </c:pt>
                <c:pt idx="25" formatCode="0.0">
                  <c:v>1083.7596521881439</c:v>
                </c:pt>
                <c:pt idx="26" formatCode="0.0">
                  <c:v>1047.4862727547036</c:v>
                </c:pt>
                <c:pt idx="27" formatCode="0.0">
                  <c:v>1013.5706629844368</c:v>
                </c:pt>
                <c:pt idx="28" formatCode="0.0">
                  <c:v>981.85956784923735</c:v>
                </c:pt>
              </c:numCache>
            </c:numRef>
          </c:val>
        </c:ser>
        <c:dLbls>
          <c:showLegendKey val="0"/>
          <c:showVal val="0"/>
          <c:showCatName val="0"/>
          <c:showSerName val="0"/>
          <c:showPercent val="0"/>
          <c:showBubbleSize val="0"/>
        </c:dLbls>
        <c:gapWidth val="10"/>
        <c:overlap val="100"/>
        <c:axId val="466843304"/>
        <c:axId val="466842128"/>
      </c:barChart>
      <c:catAx>
        <c:axId val="466843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842128"/>
        <c:crosses val="autoZero"/>
        <c:auto val="1"/>
        <c:lblAlgn val="ctr"/>
        <c:lblOffset val="100"/>
        <c:noMultiLvlLbl val="0"/>
      </c:catAx>
      <c:valAx>
        <c:axId val="466842128"/>
        <c:scaling>
          <c:orientation val="minMax"/>
        </c:scaling>
        <c:delete val="0"/>
        <c:axPos val="l"/>
        <c:majorGridlines>
          <c:spPr>
            <a:ln w="9525" cap="flat" cmpd="sng" algn="ctr">
              <a:solidFill>
                <a:schemeClr val="bg1">
                  <a:lumMod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843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baseline="0"/>
              <a:t>POLICY QUANTIFICATION - </a:t>
            </a:r>
            <a:r>
              <a:rPr lang="et-EE"/>
              <a:t>ENERGY</a:t>
            </a:r>
            <a:r>
              <a:rPr lang="et-EE" baseline="0"/>
              <a:t> USE IN BUILDINGS (tCO2e)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BUILDINGS!$AF$980</c:f>
              <c:strCache>
                <c:ptCount val="1"/>
                <c:pt idx="0">
                  <c:v>Apartment</c:v>
                </c:pt>
              </c:strCache>
            </c:strRef>
          </c:tx>
          <c:spPr>
            <a:solidFill>
              <a:schemeClr val="accent1"/>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BUILDINGS!$AL$980:$BN$980</c:f>
              <c:numCache>
                <c:formatCode>0.0</c:formatCode>
                <c:ptCount val="29"/>
                <c:pt idx="0">
                  <c:v>6340.23698561947</c:v>
                </c:pt>
                <c:pt idx="1">
                  <c:v>6196.0322481723015</c:v>
                </c:pt>
                <c:pt idx="2">
                  <c:v>6062.7870707711172</c:v>
                </c:pt>
                <c:pt idx="3">
                  <c:v>5939.6685268524234</c:v>
                </c:pt>
                <c:pt idx="4">
                  <c:v>5825.9069922715498</c:v>
                </c:pt>
                <c:pt idx="5">
                  <c:v>5720.7913343188229</c:v>
                </c:pt>
                <c:pt idx="6">
                  <c:v>5623.6644663705029</c:v>
                </c:pt>
                <c:pt idx="7">
                  <c:v>5533.9192403862553</c:v>
                </c:pt>
                <c:pt idx="8">
                  <c:v>7559.5527711910781</c:v>
                </c:pt>
                <c:pt idx="9">
                  <c:v>9545.425942159618</c:v>
                </c:pt>
                <c:pt idx="10">
                  <c:v>11482.120933564074</c:v>
                </c:pt>
                <c:pt idx="11">
                  <c:v>13372.834327076114</c:v>
                </c:pt>
                <c:pt idx="12">
                  <c:v>15220.554926558743</c:v>
                </c:pt>
                <c:pt idx="13">
                  <c:v>17028.077263623876</c:v>
                </c:pt>
                <c:pt idx="14">
                  <c:v>18798.014225328647</c:v>
                </c:pt>
                <c:pt idx="15">
                  <c:v>20532.808861071484</c:v>
                </c:pt>
                <c:pt idx="16">
                  <c:v>22234.745422039905</c:v>
                </c:pt>
                <c:pt idx="17">
                  <c:v>23905.959683094257</c:v>
                </c:pt>
                <c:pt idx="18">
                  <c:v>25548.448593728943</c:v>
                </c:pt>
                <c:pt idx="19">
                  <c:v>25514.985108487257</c:v>
                </c:pt>
                <c:pt idx="20">
                  <c:v>25483.696749786279</c:v>
                </c:pt>
                <c:pt idx="21">
                  <c:v>25454.442134400862</c:v>
                </c:pt>
                <c:pt idx="22">
                  <c:v>25427.089069015499</c:v>
                </c:pt>
                <c:pt idx="23">
                  <c:v>25401.513952880185</c:v>
                </c:pt>
                <c:pt idx="24">
                  <c:v>25377.601219293665</c:v>
                </c:pt>
                <c:pt idx="25">
                  <c:v>25355.242813390269</c:v>
                </c:pt>
                <c:pt idx="26">
                  <c:v>25334.337703870595</c:v>
                </c:pt>
                <c:pt idx="27">
                  <c:v>25314.791426469699</c:v>
                </c:pt>
                <c:pt idx="28">
                  <c:v>25296.515657099859</c:v>
                </c:pt>
              </c:numCache>
            </c:numRef>
          </c:val>
        </c:ser>
        <c:ser>
          <c:idx val="1"/>
          <c:order val="1"/>
          <c:tx>
            <c:strRef>
              <c:f>BUILDINGS!$AF$981</c:f>
              <c:strCache>
                <c:ptCount val="1"/>
                <c:pt idx="0">
                  <c:v>Terraced</c:v>
                </c:pt>
              </c:strCache>
            </c:strRef>
          </c:tx>
          <c:spPr>
            <a:solidFill>
              <a:schemeClr val="accent2"/>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BUILDINGS!$AL$981:$BN$981</c:f>
              <c:numCache>
                <c:formatCode>0.0</c:formatCode>
                <c:ptCount val="29"/>
                <c:pt idx="0">
                  <c:v>9815.7307639400351</c:v>
                </c:pt>
                <c:pt idx="1">
                  <c:v>9592.4780872851134</c:v>
                </c:pt>
                <c:pt idx="2">
                  <c:v>9386.1926140559663</c:v>
                </c:pt>
                <c:pt idx="3">
                  <c:v>9195.5848367922354</c:v>
                </c:pt>
                <c:pt idx="4">
                  <c:v>9019.4632506005473</c:v>
                </c:pt>
                <c:pt idx="5">
                  <c:v>8856.7269049594288</c:v>
                </c:pt>
                <c:pt idx="6">
                  <c:v>8706.3585215870335</c:v>
                </c:pt>
                <c:pt idx="7">
                  <c:v>8567.4181353509412</c:v>
                </c:pt>
                <c:pt idx="8">
                  <c:v>8439.0372184687913</c:v>
                </c:pt>
                <c:pt idx="9">
                  <c:v>8337.5825096800836</c:v>
                </c:pt>
                <c:pt idx="10">
                  <c:v>8242.7223569626403</c:v>
                </c:pt>
                <c:pt idx="11">
                  <c:v>8154.0281141718306</c:v>
                </c:pt>
                <c:pt idx="12">
                  <c:v>8071.0989971624231</c:v>
                </c:pt>
                <c:pt idx="13">
                  <c:v>7993.5602727586283</c:v>
                </c:pt>
                <c:pt idx="14">
                  <c:v>7921.0615654410794</c:v>
                </c:pt>
                <c:pt idx="15">
                  <c:v>7853.2752740991718</c:v>
                </c:pt>
                <c:pt idx="16">
                  <c:v>7789.8950916944877</c:v>
                </c:pt>
                <c:pt idx="17">
                  <c:v>7730.6346211461087</c:v>
                </c:pt>
                <c:pt idx="18">
                  <c:v>7675.2260811833739</c:v>
                </c:pt>
                <c:pt idx="19">
                  <c:v>7623.4190963182164</c:v>
                </c:pt>
                <c:pt idx="20">
                  <c:v>7574.9795654692953</c:v>
                </c:pt>
                <c:pt idx="21">
                  <c:v>7529.688604125553</c:v>
                </c:pt>
                <c:pt idx="22">
                  <c:v>7487.341555269154</c:v>
                </c:pt>
                <c:pt idx="23">
                  <c:v>7447.7470645884214</c:v>
                </c:pt>
                <c:pt idx="24">
                  <c:v>7410.7262158019366</c:v>
                </c:pt>
                <c:pt idx="25">
                  <c:v>7376.1117221865725</c:v>
                </c:pt>
                <c:pt idx="26">
                  <c:v>7343.7471706562083</c:v>
                </c:pt>
                <c:pt idx="27">
                  <c:v>7313.4863149753164</c:v>
                </c:pt>
                <c:pt idx="28">
                  <c:v>7285.192414913683</c:v>
                </c:pt>
              </c:numCache>
            </c:numRef>
          </c:val>
        </c:ser>
        <c:ser>
          <c:idx val="2"/>
          <c:order val="2"/>
          <c:tx>
            <c:strRef>
              <c:f>BUILDINGS!$AF$982</c:f>
              <c:strCache>
                <c:ptCount val="1"/>
                <c:pt idx="0">
                  <c:v>Semi-detached</c:v>
                </c:pt>
              </c:strCache>
            </c:strRef>
          </c:tx>
          <c:spPr>
            <a:solidFill>
              <a:schemeClr val="accent3"/>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BUILDINGS!$AL$982:$BN$982</c:f>
              <c:numCache>
                <c:formatCode>0.0</c:formatCode>
                <c:ptCount val="29"/>
                <c:pt idx="0">
                  <c:v>41317.689306508546</c:v>
                </c:pt>
                <c:pt idx="1">
                  <c:v>40377.944222549886</c:v>
                </c:pt>
                <c:pt idx="2">
                  <c:v>39509.619764972085</c:v>
                </c:pt>
                <c:pt idx="3">
                  <c:v>38707.287966170195</c:v>
                </c:pt>
                <c:pt idx="4">
                  <c:v>37965.933384077252</c:v>
                </c:pt>
                <c:pt idx="5">
                  <c:v>37280.921750223373</c:v>
                </c:pt>
                <c:pt idx="6">
                  <c:v>36647.971000542384</c:v>
                </c:pt>
                <c:pt idx="7">
                  <c:v>36063.124507837158</c:v>
                </c:pt>
                <c:pt idx="8">
                  <c:v>35522.726348577518</c:v>
                </c:pt>
                <c:pt idx="9">
                  <c:v>35095.6695927205</c:v>
                </c:pt>
                <c:pt idx="10">
                  <c:v>34696.371525994189</c:v>
                </c:pt>
                <c:pt idx="11">
                  <c:v>34323.027833605083</c:v>
                </c:pt>
                <c:pt idx="12">
                  <c:v>33973.951481221273</c:v>
                </c:pt>
                <c:pt idx="13">
                  <c:v>33647.565091742406</c:v>
                </c:pt>
                <c:pt idx="14">
                  <c:v>33342.393817579665</c:v>
                </c:pt>
                <c:pt idx="15">
                  <c:v>33057.05867623751</c:v>
                </c:pt>
                <c:pt idx="16">
                  <c:v>32790.270319082585</c:v>
                </c:pt>
                <c:pt idx="17">
                  <c:v>32540.82320514274</c:v>
                </c:pt>
                <c:pt idx="18">
                  <c:v>32307.59015360898</c:v>
                </c:pt>
                <c:pt idx="19">
                  <c:v>32089.517250424913</c:v>
                </c:pt>
                <c:pt idx="20">
                  <c:v>31885.619085947808</c:v>
                </c:pt>
                <c:pt idx="21">
                  <c:v>31694.974302161718</c:v>
                </c:pt>
                <c:pt idx="22">
                  <c:v>31516.721429321726</c:v>
                </c:pt>
                <c:pt idx="23">
                  <c:v>31350.054993216334</c:v>
                </c:pt>
                <c:pt idx="24">
                  <c:v>31194.221875457792</c:v>
                </c:pt>
                <c:pt idx="25">
                  <c:v>31048.517910353548</c:v>
                </c:pt>
                <c:pt idx="26">
                  <c:v>30912.284702981087</c:v>
                </c:pt>
                <c:pt idx="27">
                  <c:v>30784.906654087834</c:v>
                </c:pt>
                <c:pt idx="28">
                  <c:v>30665.808178372645</c:v>
                </c:pt>
              </c:numCache>
            </c:numRef>
          </c:val>
        </c:ser>
        <c:ser>
          <c:idx val="3"/>
          <c:order val="3"/>
          <c:tx>
            <c:strRef>
              <c:f>BUILDINGS!$AF$983</c:f>
              <c:strCache>
                <c:ptCount val="1"/>
                <c:pt idx="0">
                  <c:v>Detached</c:v>
                </c:pt>
              </c:strCache>
            </c:strRef>
          </c:tx>
          <c:spPr>
            <a:solidFill>
              <a:schemeClr val="accent4"/>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BUILDINGS!$AL$983:$BN$983</c:f>
              <c:numCache>
                <c:formatCode>0.0</c:formatCode>
                <c:ptCount val="29"/>
                <c:pt idx="0">
                  <c:v>79224.822270316072</c:v>
                </c:pt>
                <c:pt idx="1">
                  <c:v>77228.58022352065</c:v>
                </c:pt>
                <c:pt idx="2">
                  <c:v>75384.052572281667</c:v>
                </c:pt>
                <c:pt idx="3">
                  <c:v>73679.709022536845</c:v>
                </c:pt>
                <c:pt idx="4">
                  <c:v>72104.895582572644</c:v>
                </c:pt>
                <c:pt idx="5">
                  <c:v>70649.767964045706</c:v>
                </c:pt>
                <c:pt idx="6">
                  <c:v>69305.230044526834</c:v>
                </c:pt>
                <c:pt idx="7">
                  <c:v>68062.877006891373</c:v>
                </c:pt>
                <c:pt idx="8">
                  <c:v>66914.942800116216</c:v>
                </c:pt>
                <c:pt idx="9">
                  <c:v>66007.772688814701</c:v>
                </c:pt>
                <c:pt idx="10">
                  <c:v>65159.568634747775</c:v>
                </c:pt>
                <c:pt idx="11">
                  <c:v>64366.497844195197</c:v>
                </c:pt>
                <c:pt idx="12">
                  <c:v>63624.976655028542</c:v>
                </c:pt>
                <c:pt idx="13">
                  <c:v>62931.654343157716</c:v>
                </c:pt>
                <c:pt idx="14">
                  <c:v>62283.397981558504</c:v>
                </c:pt>
                <c:pt idx="15">
                  <c:v>61677.278283463223</c:v>
                </c:pt>
                <c:pt idx="16">
                  <c:v>61110.556365744153</c:v>
                </c:pt>
                <c:pt idx="17">
                  <c:v>60580.671372676807</c:v>
                </c:pt>
                <c:pt idx="18">
                  <c:v>60085.228904158852</c:v>
                </c:pt>
                <c:pt idx="19">
                  <c:v>59621.990196094557</c:v>
                </c:pt>
                <c:pt idx="20">
                  <c:v>59188.862004054434</c:v>
                </c:pt>
                <c:pt idx="21">
                  <c:v>58783.887144496926</c:v>
                </c:pt>
                <c:pt idx="22">
                  <c:v>58405.23565081066</c:v>
                </c:pt>
                <c:pt idx="23">
                  <c:v>58051.196504214007</c:v>
                </c:pt>
                <c:pt idx="24">
                  <c:v>57720.169902146125</c:v>
                </c:pt>
                <c:pt idx="25">
                  <c:v>57410.660029212653</c:v>
                </c:pt>
                <c:pt idx="26">
                  <c:v>57121.268298019859</c:v>
                </c:pt>
                <c:pt idx="27">
                  <c:v>56850.687029354609</c:v>
                </c:pt>
                <c:pt idx="28">
                  <c:v>56597.693543152578</c:v>
                </c:pt>
              </c:numCache>
            </c:numRef>
          </c:val>
        </c:ser>
        <c:ser>
          <c:idx val="4"/>
          <c:order val="4"/>
          <c:tx>
            <c:strRef>
              <c:f>BUILDINGS!$AF$984</c:f>
              <c:strCache>
                <c:ptCount val="1"/>
                <c:pt idx="0">
                  <c:v>Retail</c:v>
                </c:pt>
              </c:strCache>
            </c:strRef>
          </c:tx>
          <c:spPr>
            <a:solidFill>
              <a:schemeClr val="accent5"/>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BUILDINGS!$AL$984:$BN$984</c:f>
              <c:numCache>
                <c:formatCode>0.0</c:formatCode>
                <c:ptCount val="29"/>
                <c:pt idx="0">
                  <c:v>14588.207846393425</c:v>
                </c:pt>
                <c:pt idx="1">
                  <c:v>13479.504050067526</c:v>
                </c:pt>
                <c:pt idx="2">
                  <c:v>12455.061742262396</c:v>
                </c:pt>
                <c:pt idx="3">
                  <c:v>11508.477049850453</c:v>
                </c:pt>
                <c:pt idx="4">
                  <c:v>10633.832794061818</c:v>
                </c:pt>
                <c:pt idx="5">
                  <c:v>9825.6615017131207</c:v>
                </c:pt>
                <c:pt idx="6">
                  <c:v>9078.9112275829248</c:v>
                </c:pt>
                <c:pt idx="7">
                  <c:v>8388.9139742866228</c:v>
                </c:pt>
                <c:pt idx="8">
                  <c:v>7751.3565122408399</c:v>
                </c:pt>
                <c:pt idx="9">
                  <c:v>7247.5183389451859</c:v>
                </c:pt>
                <c:pt idx="10">
                  <c:v>6776.4296469137489</c:v>
                </c:pt>
                <c:pt idx="11">
                  <c:v>6335.9617198643555</c:v>
                </c:pt>
                <c:pt idx="12">
                  <c:v>5924.1242080731727</c:v>
                </c:pt>
                <c:pt idx="13">
                  <c:v>5539.0561345484175</c:v>
                </c:pt>
                <c:pt idx="14">
                  <c:v>5179.0174858027694</c:v>
                </c:pt>
                <c:pt idx="15">
                  <c:v>4842.3813492255904</c:v>
                </c:pt>
                <c:pt idx="16">
                  <c:v>4527.6265615259272</c:v>
                </c:pt>
                <c:pt idx="17">
                  <c:v>4233.3308350267425</c:v>
                </c:pt>
                <c:pt idx="18">
                  <c:v>3958.1643307500049</c:v>
                </c:pt>
                <c:pt idx="19">
                  <c:v>3700.8836492512546</c:v>
                </c:pt>
                <c:pt idx="20">
                  <c:v>3460.3262120499235</c:v>
                </c:pt>
                <c:pt idx="21">
                  <c:v>3235.4050082666781</c:v>
                </c:pt>
                <c:pt idx="22">
                  <c:v>3025.1036827293447</c:v>
                </c:pt>
                <c:pt idx="23">
                  <c:v>2828.4719433519376</c:v>
                </c:pt>
                <c:pt idx="24">
                  <c:v>2644.6212670340619</c:v>
                </c:pt>
                <c:pt idx="25">
                  <c:v>2472.7208846768481</c:v>
                </c:pt>
                <c:pt idx="26">
                  <c:v>2311.9940271728528</c:v>
                </c:pt>
                <c:pt idx="27">
                  <c:v>2161.7144154066177</c:v>
                </c:pt>
                <c:pt idx="28">
                  <c:v>2021.2029784051874</c:v>
                </c:pt>
              </c:numCache>
            </c:numRef>
          </c:val>
        </c:ser>
        <c:ser>
          <c:idx val="5"/>
          <c:order val="5"/>
          <c:tx>
            <c:strRef>
              <c:f>BUILDINGS!$AF$985</c:f>
              <c:strCache>
                <c:ptCount val="1"/>
                <c:pt idx="0">
                  <c:v>Health</c:v>
                </c:pt>
              </c:strCache>
            </c:strRef>
          </c:tx>
          <c:spPr>
            <a:solidFill>
              <a:schemeClr val="accent6"/>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BUILDINGS!$AL$985:$BN$985</c:f>
              <c:numCache>
                <c:formatCode>0.0</c:formatCode>
                <c:ptCount val="29"/>
                <c:pt idx="0">
                  <c:v>4974.1817648662272</c:v>
                </c:pt>
                <c:pt idx="1">
                  <c:v>4634.5206783861495</c:v>
                </c:pt>
                <c:pt idx="2">
                  <c:v>4320.6738344785563</c:v>
                </c:pt>
                <c:pt idx="3">
                  <c:v>4030.6793507079401</c:v>
                </c:pt>
                <c:pt idx="4">
                  <c:v>3762.7244477038912</c:v>
                </c:pt>
                <c:pt idx="5">
                  <c:v>3515.1341173281498</c:v>
                </c:pt>
                <c:pt idx="6">
                  <c:v>3286.3606520609646</c:v>
                </c:pt>
                <c:pt idx="7">
                  <c:v>3074.9739701540857</c:v>
                </c:pt>
                <c:pt idx="8">
                  <c:v>2879.6526760721299</c:v>
                </c:pt>
                <c:pt idx="9">
                  <c:v>2725.2974534068371</c:v>
                </c:pt>
                <c:pt idx="10">
                  <c:v>2580.9753202147876</c:v>
                </c:pt>
                <c:pt idx="11">
                  <c:v>2446.0341256802221</c:v>
                </c:pt>
                <c:pt idx="12">
                  <c:v>2319.8641087904025</c:v>
                </c:pt>
                <c:pt idx="13">
                  <c:v>2201.8951429984218</c:v>
                </c:pt>
                <c:pt idx="14">
                  <c:v>2091.5941599829198</c:v>
                </c:pt>
                <c:pt idx="15">
                  <c:v>1988.4627408634258</c:v>
                </c:pt>
                <c:pt idx="16">
                  <c:v>1892.0348639866984</c:v>
                </c:pt>
                <c:pt idx="17">
                  <c:v>1801.8747991069583</c:v>
                </c:pt>
                <c:pt idx="18">
                  <c:v>1717.5751384444015</c:v>
                </c:pt>
                <c:pt idx="19">
                  <c:v>1638.7549557249106</c:v>
                </c:pt>
                <c:pt idx="20">
                  <c:v>1565.0580848821867</c:v>
                </c:pt>
                <c:pt idx="21">
                  <c:v>1496.1515106442398</c:v>
                </c:pt>
                <c:pt idx="22">
                  <c:v>1431.7238637317596</c:v>
                </c:pt>
                <c:pt idx="23">
                  <c:v>1371.4840138685904</c:v>
                </c:pt>
                <c:pt idx="24">
                  <c:v>1315.1597542465272</c:v>
                </c:pt>
                <c:pt idx="25">
                  <c:v>1262.4965714998982</c:v>
                </c:pt>
                <c:pt idx="26">
                  <c:v>1213.2564956318001</c:v>
                </c:pt>
                <c:pt idx="27">
                  <c:v>1167.2170246951284</c:v>
                </c:pt>
                <c:pt idx="28">
                  <c:v>1124.1701193693402</c:v>
                </c:pt>
              </c:numCache>
            </c:numRef>
          </c:val>
        </c:ser>
        <c:ser>
          <c:idx val="6"/>
          <c:order val="6"/>
          <c:tx>
            <c:strRef>
              <c:f>BUILDINGS!$AF$986</c:f>
              <c:strCache>
                <c:ptCount val="1"/>
                <c:pt idx="0">
                  <c:v>Hospitality</c:v>
                </c:pt>
              </c:strCache>
            </c:strRef>
          </c:tx>
          <c:spPr>
            <a:solidFill>
              <a:schemeClr val="accent1">
                <a:lumMod val="60000"/>
              </a:schemeClr>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BUILDINGS!$AL$986:$BN$986</c:f>
              <c:numCache>
                <c:formatCode>0.0</c:formatCode>
                <c:ptCount val="29"/>
                <c:pt idx="0">
                  <c:v>47592.940608383826</c:v>
                </c:pt>
                <c:pt idx="1">
                  <c:v>44747.052147840353</c:v>
                </c:pt>
                <c:pt idx="2">
                  <c:v>42117.451210298183</c:v>
                </c:pt>
                <c:pt idx="3">
                  <c:v>39687.699944009219</c:v>
                </c:pt>
                <c:pt idx="4">
                  <c:v>37442.609773958218</c:v>
                </c:pt>
                <c:pt idx="5">
                  <c:v>35368.146456831091</c:v>
                </c:pt>
                <c:pt idx="6">
                  <c:v>33451.342351805622</c:v>
                </c:pt>
                <c:pt idx="7">
                  <c:v>31680.215358762096</c:v>
                </c:pt>
                <c:pt idx="8">
                  <c:v>30043.694017189871</c:v>
                </c:pt>
                <c:pt idx="9">
                  <c:v>28750.411493836877</c:v>
                </c:pt>
                <c:pt idx="10">
                  <c:v>27541.192334501829</c:v>
                </c:pt>
                <c:pt idx="11">
                  <c:v>26410.572420523557</c:v>
                </c:pt>
                <c:pt idx="12">
                  <c:v>25353.442800953868</c:v>
                </c:pt>
                <c:pt idx="13">
                  <c:v>24365.026606656218</c:v>
                </c:pt>
                <c:pt idx="14">
                  <c:v>23440.857464987908</c:v>
                </c:pt>
                <c:pt idx="15">
                  <c:v>22576.759317528042</c:v>
                </c:pt>
                <c:pt idx="16">
                  <c:v>21768.827549653062</c:v>
                </c:pt>
                <c:pt idx="17">
                  <c:v>21013.411346689962</c:v>
                </c:pt>
                <c:pt idx="18">
                  <c:v>20307.097196919462</c:v>
                </c:pt>
                <c:pt idx="19">
                  <c:v>19646.69346688404</c:v>
                </c:pt>
                <c:pt idx="20">
                  <c:v>19029.215979300927</c:v>
                </c:pt>
                <c:pt idx="21">
                  <c:v>18451.874528410714</c:v>
                </c:pt>
                <c:pt idx="22">
                  <c:v>17912.060271828363</c:v>
                </c:pt>
                <c:pt idx="23">
                  <c:v>17407.333941923865</c:v>
                </c:pt>
                <c:pt idx="24">
                  <c:v>16935.414823463161</c:v>
                </c:pt>
                <c:pt idx="25">
                  <c:v>16494.1704477024</c:v>
                </c:pt>
                <c:pt idx="26">
                  <c:v>16081.606956366089</c:v>
                </c:pt>
                <c:pt idx="27">
                  <c:v>15695.860091966639</c:v>
                </c:pt>
                <c:pt idx="28">
                  <c:v>15335.186773753154</c:v>
                </c:pt>
              </c:numCache>
            </c:numRef>
          </c:val>
        </c:ser>
        <c:ser>
          <c:idx val="7"/>
          <c:order val="7"/>
          <c:tx>
            <c:strRef>
              <c:f>BUILDINGS!$AF$987</c:f>
              <c:strCache>
                <c:ptCount val="1"/>
                <c:pt idx="0">
                  <c:v>Offices</c:v>
                </c:pt>
              </c:strCache>
            </c:strRef>
          </c:tx>
          <c:spPr>
            <a:solidFill>
              <a:schemeClr val="accent2">
                <a:lumMod val="60000"/>
              </a:schemeClr>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BUILDINGS!$AL$987:$BN$987</c:f>
              <c:numCache>
                <c:formatCode>0.0</c:formatCode>
                <c:ptCount val="29"/>
                <c:pt idx="0">
                  <c:v>8712.666485741096</c:v>
                </c:pt>
                <c:pt idx="1">
                  <c:v>8292.8877198283735</c:v>
                </c:pt>
                <c:pt idx="2">
                  <c:v>7905.012140125018</c:v>
                </c:pt>
                <c:pt idx="3">
                  <c:v>7546.6151044791159</c:v>
                </c:pt>
                <c:pt idx="4">
                  <c:v>7215.4562435423031</c:v>
                </c:pt>
                <c:pt idx="5">
                  <c:v>6909.4654560366889</c:v>
                </c:pt>
                <c:pt idx="6">
                  <c:v>6626.7299683814999</c:v>
                </c:pt>
                <c:pt idx="7">
                  <c:v>6365.4823777881065</c:v>
                </c:pt>
                <c:pt idx="8">
                  <c:v>6124.0896040798107</c:v>
                </c:pt>
                <c:pt idx="9">
                  <c:v>5933.3257884361228</c:v>
                </c:pt>
                <c:pt idx="10">
                  <c:v>5754.9616208092757</c:v>
                </c:pt>
                <c:pt idx="11">
                  <c:v>5588.1911240781728</c:v>
                </c:pt>
                <c:pt idx="12">
                  <c:v>5432.2607096345919</c:v>
                </c:pt>
                <c:pt idx="13">
                  <c:v>5286.4657721298436</c:v>
                </c:pt>
                <c:pt idx="14">
                  <c:v>5150.1475055629035</c:v>
                </c:pt>
                <c:pt idx="15">
                  <c:v>5022.6899263228152</c:v>
                </c:pt>
                <c:pt idx="16">
                  <c:v>4903.5170897333319</c:v>
                </c:pt>
                <c:pt idx="17">
                  <c:v>4792.0904875221659</c:v>
                </c:pt>
                <c:pt idx="18">
                  <c:v>4687.9066144547251</c:v>
                </c:pt>
                <c:pt idx="19">
                  <c:v>4590.4946931366676</c:v>
                </c:pt>
                <c:pt idx="20">
                  <c:v>4499.4145467042845</c:v>
                </c:pt>
                <c:pt idx="21">
                  <c:v>4414.2546097900067</c:v>
                </c:pt>
                <c:pt idx="22">
                  <c:v>4334.6300687751564</c:v>
                </c:pt>
                <c:pt idx="23">
                  <c:v>4260.1811229262712</c:v>
                </c:pt>
                <c:pt idx="24">
                  <c:v>4190.5713585575631</c:v>
                </c:pt>
                <c:pt idx="25">
                  <c:v>4125.4862288728218</c:v>
                </c:pt>
                <c:pt idx="26">
                  <c:v>4064.6316326175879</c:v>
                </c:pt>
                <c:pt idx="27">
                  <c:v>4007.7325851189448</c:v>
                </c:pt>
                <c:pt idx="28">
                  <c:v>3954.5319757077136</c:v>
                </c:pt>
              </c:numCache>
            </c:numRef>
          </c:val>
        </c:ser>
        <c:ser>
          <c:idx val="8"/>
          <c:order val="8"/>
          <c:tx>
            <c:strRef>
              <c:f>BUILDINGS!$AF$988</c:f>
              <c:strCache>
                <c:ptCount val="1"/>
                <c:pt idx="0">
                  <c:v>Industrial</c:v>
                </c:pt>
              </c:strCache>
            </c:strRef>
          </c:tx>
          <c:spPr>
            <a:solidFill>
              <a:schemeClr val="accent3">
                <a:lumMod val="60000"/>
              </a:schemeClr>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BUILDINGS!$AL$988:$BN$988</c:f>
              <c:numCache>
                <c:formatCode>0.0</c:formatCode>
                <c:ptCount val="29"/>
                <c:pt idx="0">
                  <c:v>137765.96378561738</c:v>
                </c:pt>
                <c:pt idx="1">
                  <c:v>132765.89539104709</c:v>
                </c:pt>
                <c:pt idx="2">
                  <c:v>128145.83219446409</c:v>
                </c:pt>
                <c:pt idx="3">
                  <c:v>123876.89380082142</c:v>
                </c:pt>
                <c:pt idx="4">
                  <c:v>119932.3947250956</c:v>
                </c:pt>
                <c:pt idx="5">
                  <c:v>116287.67757912494</c:v>
                </c:pt>
                <c:pt idx="6">
                  <c:v>112919.95893624803</c:v>
                </c:pt>
                <c:pt idx="7">
                  <c:v>109808.18691022978</c:v>
                </c:pt>
                <c:pt idx="8">
                  <c:v>106932.90955818893</c:v>
                </c:pt>
                <c:pt idx="9">
                  <c:v>104660.68379814189</c:v>
                </c:pt>
                <c:pt idx="10">
                  <c:v>102536.15271249792</c:v>
                </c:pt>
                <c:pt idx="11">
                  <c:v>100549.71614742081</c:v>
                </c:pt>
                <c:pt idx="12">
                  <c:v>98692.3979590737</c:v>
                </c:pt>
                <c:pt idx="13">
                  <c:v>96955.805452969158</c:v>
                </c:pt>
                <c:pt idx="14">
                  <c:v>95332.091459761417</c:v>
                </c:pt>
                <c:pt idx="15">
                  <c:v>93813.918876112177</c:v>
                </c:pt>
                <c:pt idx="16">
                  <c:v>92394.427510400143</c:v>
                </c:pt>
                <c:pt idx="17">
                  <c:v>91067.203083459375</c:v>
                </c:pt>
                <c:pt idx="18">
                  <c:v>89826.248244269766</c:v>
                </c:pt>
                <c:pt idx="19">
                  <c:v>88665.955469627486</c:v>
                </c:pt>
                <c:pt idx="20">
                  <c:v>87581.081725336946</c:v>
                </c:pt>
                <c:pt idx="21">
                  <c:v>86566.724774425296</c:v>
                </c:pt>
                <c:pt idx="22">
                  <c:v>85618.3010253229</c:v>
                </c:pt>
                <c:pt idx="23">
                  <c:v>84731.524819912171</c:v>
                </c:pt>
                <c:pt idx="24">
                  <c:v>83902.389067853132</c:v>
                </c:pt>
                <c:pt idx="25">
                  <c:v>83127.147139677923</c:v>
                </c:pt>
                <c:pt idx="26">
                  <c:v>82402.295936834111</c:v>
                </c:pt>
                <c:pt idx="27">
                  <c:v>81724.560062175136</c:v>
                </c:pt>
                <c:pt idx="28">
                  <c:v>81090.877019369</c:v>
                </c:pt>
              </c:numCache>
            </c:numRef>
          </c:val>
        </c:ser>
        <c:ser>
          <c:idx val="9"/>
          <c:order val="9"/>
          <c:tx>
            <c:strRef>
              <c:f>BUILDINGS!$AF$989</c:f>
              <c:strCache>
                <c:ptCount val="1"/>
                <c:pt idx="0">
                  <c:v>Warehouses</c:v>
                </c:pt>
              </c:strCache>
            </c:strRef>
          </c:tx>
          <c:spPr>
            <a:solidFill>
              <a:schemeClr val="accent4">
                <a:lumMod val="60000"/>
              </a:schemeClr>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BUILDINGS!$AL$989:$BN$989</c:f>
              <c:numCache>
                <c:formatCode>0.0</c:formatCode>
                <c:ptCount val="29"/>
                <c:pt idx="0">
                  <c:v>3818.0236228025269</c:v>
                </c:pt>
                <c:pt idx="1">
                  <c:v>3567.8076096982732</c:v>
                </c:pt>
                <c:pt idx="2">
                  <c:v>3336.6080135899424</c:v>
                </c:pt>
                <c:pt idx="3">
                  <c:v>3122.9795867858443</c:v>
                </c:pt>
                <c:pt idx="4">
                  <c:v>2925.5869204188584</c:v>
                </c:pt>
                <c:pt idx="5">
                  <c:v>2743.1960966957631</c:v>
                </c:pt>
                <c:pt idx="6">
                  <c:v>2574.6669755756229</c:v>
                </c:pt>
                <c:pt idx="7">
                  <c:v>2418.9460676606132</c:v>
                </c:pt>
                <c:pt idx="8">
                  <c:v>2275.0599487471441</c:v>
                </c:pt>
                <c:pt idx="9">
                  <c:v>2161.3520500373688</c:v>
                </c:pt>
                <c:pt idx="10">
                  <c:v>2055.0351647437292</c:v>
                </c:pt>
                <c:pt idx="11">
                  <c:v>1955.6288769941757</c:v>
                </c:pt>
                <c:pt idx="12">
                  <c:v>1862.6839979483434</c:v>
                </c:pt>
                <c:pt idx="13">
                  <c:v>1775.78053604049</c:v>
                </c:pt>
                <c:pt idx="14">
                  <c:v>1694.5257991566473</c:v>
                </c:pt>
                <c:pt idx="15">
                  <c:v>1618.5526201702542</c:v>
                </c:pt>
                <c:pt idx="16">
                  <c:v>1547.517697817977</c:v>
                </c:pt>
                <c:pt idx="17">
                  <c:v>1481.1000454185973</c:v>
                </c:pt>
                <c:pt idx="18">
                  <c:v>1418.9995404251777</c:v>
                </c:pt>
                <c:pt idx="19">
                  <c:v>1360.93556825633</c:v>
                </c:pt>
                <c:pt idx="20">
                  <c:v>1306.6457542784574</c:v>
                </c:pt>
                <c:pt idx="21">
                  <c:v>1255.8847782091468</c:v>
                </c:pt>
                <c:pt idx="22">
                  <c:v>1208.4232655843412</c:v>
                </c:pt>
                <c:pt idx="23">
                  <c:v>1164.0467512801479</c:v>
                </c:pt>
                <c:pt idx="24">
                  <c:v>1122.5547104057273</c:v>
                </c:pt>
                <c:pt idx="25">
                  <c:v>1083.7596521881439</c:v>
                </c:pt>
                <c:pt idx="26">
                  <c:v>1047.4862727547036</c:v>
                </c:pt>
                <c:pt idx="27">
                  <c:v>1013.5706629844368</c:v>
                </c:pt>
                <c:pt idx="28">
                  <c:v>981.85956784923735</c:v>
                </c:pt>
              </c:numCache>
            </c:numRef>
          </c:val>
        </c:ser>
        <c:dLbls>
          <c:showLegendKey val="0"/>
          <c:showVal val="0"/>
          <c:showCatName val="0"/>
          <c:showSerName val="0"/>
          <c:showPercent val="0"/>
          <c:showBubbleSize val="0"/>
        </c:dLbls>
        <c:gapWidth val="10"/>
        <c:overlap val="100"/>
        <c:axId val="466842520"/>
        <c:axId val="466838208"/>
      </c:barChart>
      <c:lineChart>
        <c:grouping val="stacked"/>
        <c:varyColors val="0"/>
        <c:ser>
          <c:idx val="10"/>
          <c:order val="10"/>
          <c:tx>
            <c:strRef>
              <c:f>BUILDINGS!$AF$990</c:f>
              <c:strCache>
                <c:ptCount val="1"/>
                <c:pt idx="0">
                  <c:v>Baseline total</c:v>
                </c:pt>
              </c:strCache>
            </c:strRef>
          </c:tx>
          <c:spPr>
            <a:ln w="25400" cap="rnd">
              <a:solidFill>
                <a:sysClr val="windowText" lastClr="000000"/>
              </a:solidFill>
              <a:prstDash val="dash"/>
              <a:round/>
            </a:ln>
            <a:effectLst/>
          </c:spPr>
          <c:marker>
            <c:symbol val="none"/>
          </c:marker>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BUILDINGS!$AL$990:$BN$990</c:f>
              <c:numCache>
                <c:formatCode>0.0</c:formatCode>
                <c:ptCount val="29"/>
                <c:pt idx="0">
                  <c:v>354150.46344018861</c:v>
                </c:pt>
                <c:pt idx="1">
                  <c:v>340882.70237839571</c:v>
                </c:pt>
                <c:pt idx="2">
                  <c:v>328623.29115729901</c:v>
                </c:pt>
                <c:pt idx="3">
                  <c:v>317295.59518900566</c:v>
                </c:pt>
                <c:pt idx="4">
                  <c:v>306828.80411430268</c:v>
                </c:pt>
                <c:pt idx="5">
                  <c:v>297157.48916127707</c:v>
                </c:pt>
                <c:pt idx="6">
                  <c:v>288221.19414468145</c:v>
                </c:pt>
                <c:pt idx="7">
                  <c:v>279964.05754934705</c:v>
                </c:pt>
                <c:pt idx="8">
                  <c:v>272334.46333525807</c:v>
                </c:pt>
                <c:pt idx="9">
                  <c:v>266305.07611817669</c:v>
                </c:pt>
                <c:pt idx="10">
                  <c:v>260667.59907020562</c:v>
                </c:pt>
                <c:pt idx="11">
                  <c:v>255396.55803035269</c:v>
                </c:pt>
                <c:pt idx="12">
                  <c:v>250468.13465809016</c:v>
                </c:pt>
                <c:pt idx="13">
                  <c:v>245860.05880502472</c:v>
                </c:pt>
                <c:pt idx="14">
                  <c:v>241551.50788240854</c:v>
                </c:pt>
                <c:pt idx="15">
                  <c:v>237523.01276976237</c:v>
                </c:pt>
                <c:pt idx="16">
                  <c:v>233756.36983943827</c:v>
                </c:pt>
                <c:pt idx="17">
                  <c:v>230234.55869958515</c:v>
                </c:pt>
                <c:pt idx="18">
                  <c:v>226941.66528382254</c:v>
                </c:pt>
                <c:pt idx="19">
                  <c:v>223862.80994008449</c:v>
                </c:pt>
                <c:pt idx="20">
                  <c:v>220984.08019368944</c:v>
                </c:pt>
                <c:pt idx="21">
                  <c:v>218292.46788081</c:v>
                </c:pt>
                <c:pt idx="22">
                  <c:v>215775.81036826776</c:v>
                </c:pt>
                <c:pt idx="23">
                  <c:v>213422.73559404077</c:v>
                </c:pt>
                <c:pt idx="24">
                  <c:v>211222.61068013855</c:v>
                </c:pt>
                <c:pt idx="25">
                  <c:v>209165.49388563991</c:v>
                </c:pt>
                <c:pt idx="26">
                  <c:v>207242.08968278373</c:v>
                </c:pt>
                <c:pt idx="27">
                  <c:v>205443.70675311322</c:v>
                </c:pt>
                <c:pt idx="28">
                  <c:v>203762.21871387123</c:v>
                </c:pt>
              </c:numCache>
            </c:numRef>
          </c:val>
          <c:smooth val="0"/>
        </c:ser>
        <c:dLbls>
          <c:showLegendKey val="0"/>
          <c:showVal val="0"/>
          <c:showCatName val="0"/>
          <c:showSerName val="0"/>
          <c:showPercent val="0"/>
          <c:showBubbleSize val="0"/>
        </c:dLbls>
        <c:marker val="1"/>
        <c:smooth val="0"/>
        <c:axId val="466842520"/>
        <c:axId val="466838208"/>
      </c:lineChart>
      <c:catAx>
        <c:axId val="466842520"/>
        <c:scaling>
          <c:orientation val="minMax"/>
        </c:scaling>
        <c:delete val="0"/>
        <c:axPos val="b"/>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838208"/>
        <c:crosses val="autoZero"/>
        <c:auto val="1"/>
        <c:lblAlgn val="ctr"/>
        <c:lblOffset val="100"/>
        <c:noMultiLvlLbl val="0"/>
      </c:catAx>
      <c:valAx>
        <c:axId val="466838208"/>
        <c:scaling>
          <c:orientation val="minMax"/>
        </c:scaling>
        <c:delete val="0"/>
        <c:axPos val="l"/>
        <c:majorGridlines>
          <c:spPr>
            <a:ln w="6350" cap="flat" cmpd="sng" algn="ctr">
              <a:solidFill>
                <a:schemeClr val="bg1">
                  <a:lumMod val="5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842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TERRITORIAL APPROACH</a:t>
            </a:r>
            <a:r>
              <a:rPr lang="et-EE" baseline="0"/>
              <a:t> / ABSOLUTE CO</a:t>
            </a:r>
            <a:r>
              <a:rPr lang="et-EE" baseline="-25000"/>
              <a:t>2</a:t>
            </a:r>
            <a:r>
              <a:rPr lang="et-EE" baseline="0"/>
              <a:t>e EMISSIONS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0"/>
          <c:tx>
            <c:strRef>
              <c:f>RESULTS!$B$9</c:f>
              <c:strCache>
                <c:ptCount val="1"/>
                <c:pt idx="0">
                  <c:v>transport</c:v>
                </c:pt>
              </c:strCache>
            </c:strRef>
          </c:tx>
          <c:spPr>
            <a:solidFill>
              <a:schemeClr val="accent2"/>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RESULTS!$C$9:$AE$9</c:f>
              <c:numCache>
                <c:formatCode>#,##0</c:formatCode>
                <c:ptCount val="29"/>
                <c:pt idx="0">
                  <c:v>89872.96829503568</c:v>
                </c:pt>
                <c:pt idx="1">
                  <c:v>89815.93652156934</c:v>
                </c:pt>
                <c:pt idx="2">
                  <c:v>89862.576132675633</c:v>
                </c:pt>
                <c:pt idx="3">
                  <c:v>93119.693410631298</c:v>
                </c:pt>
                <c:pt idx="4">
                  <c:v>96165.864227084821</c:v>
                </c:pt>
                <c:pt idx="5">
                  <c:v>96183.975839018502</c:v>
                </c:pt>
                <c:pt idx="6">
                  <c:v>96297.459328324185</c:v>
                </c:pt>
                <c:pt idx="7">
                  <c:v>96501.823087338838</c:v>
                </c:pt>
                <c:pt idx="8">
                  <c:v>96792.889875603811</c:v>
                </c:pt>
                <c:pt idx="9">
                  <c:v>96788.146651039089</c:v>
                </c:pt>
                <c:pt idx="10">
                  <c:v>96835.108888208735</c:v>
                </c:pt>
                <c:pt idx="11">
                  <c:v>96931.452707052944</c:v>
                </c:pt>
                <c:pt idx="12">
                  <c:v>97074.517252497419</c:v>
                </c:pt>
                <c:pt idx="13">
                  <c:v>97262.697556338273</c:v>
                </c:pt>
                <c:pt idx="14">
                  <c:v>97493.340558475829</c:v>
                </c:pt>
                <c:pt idx="15">
                  <c:v>97764.75735382225</c:v>
                </c:pt>
                <c:pt idx="16">
                  <c:v>98075.747361683912</c:v>
                </c:pt>
                <c:pt idx="17">
                  <c:v>98424.687761276626</c:v>
                </c:pt>
                <c:pt idx="18">
                  <c:v>98809.511681227712</c:v>
                </c:pt>
                <c:pt idx="19">
                  <c:v>99229.313154932024</c:v>
                </c:pt>
                <c:pt idx="20">
                  <c:v>99682.739361157888</c:v>
                </c:pt>
                <c:pt idx="21">
                  <c:v>100167.96644801665</c:v>
                </c:pt>
                <c:pt idx="22">
                  <c:v>100684.34118847837</c:v>
                </c:pt>
                <c:pt idx="23">
                  <c:v>101230.17843019575</c:v>
                </c:pt>
                <c:pt idx="24">
                  <c:v>101805.82857825575</c:v>
                </c:pt>
                <c:pt idx="25">
                  <c:v>102409.46747673537</c:v>
                </c:pt>
                <c:pt idx="26">
                  <c:v>103039.58702707202</c:v>
                </c:pt>
                <c:pt idx="27">
                  <c:v>103695.87846892585</c:v>
                </c:pt>
                <c:pt idx="28">
                  <c:v>104377.52218970271</c:v>
                </c:pt>
              </c:numCache>
            </c:numRef>
          </c:val>
        </c:ser>
        <c:ser>
          <c:idx val="2"/>
          <c:order val="1"/>
          <c:tx>
            <c:strRef>
              <c:f>RESULTS!$B$10</c:f>
              <c:strCache>
                <c:ptCount val="1"/>
                <c:pt idx="0">
                  <c:v>LUC emissions</c:v>
                </c:pt>
              </c:strCache>
            </c:strRef>
          </c:tx>
          <c:spPr>
            <a:solidFill>
              <a:schemeClr val="accent3"/>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RESULTS!$C$10:$AE$10</c:f>
              <c:numCache>
                <c:formatCode>#,##0</c:formatCode>
                <c:ptCount val="29"/>
                <c:pt idx="0">
                  <c:v>0</c:v>
                </c:pt>
                <c:pt idx="1">
                  <c:v>0</c:v>
                </c:pt>
                <c:pt idx="2">
                  <c:v>0</c:v>
                </c:pt>
                <c:pt idx="3">
                  <c:v>0</c:v>
                </c:pt>
                <c:pt idx="4">
                  <c:v>0</c:v>
                </c:pt>
                <c:pt idx="5">
                  <c:v>0</c:v>
                </c:pt>
                <c:pt idx="6">
                  <c:v>0</c:v>
                </c:pt>
                <c:pt idx="7">
                  <c:v>0</c:v>
                </c:pt>
                <c:pt idx="8">
                  <c:v>43895.255555555552</c:v>
                </c:pt>
                <c:pt idx="9">
                  <c:v>806.66666666666686</c:v>
                </c:pt>
                <c:pt idx="10">
                  <c:v>806.66666666666686</c:v>
                </c:pt>
                <c:pt idx="11">
                  <c:v>806.66666666666686</c:v>
                </c:pt>
                <c:pt idx="12">
                  <c:v>806.66666666666686</c:v>
                </c:pt>
                <c:pt idx="13">
                  <c:v>806.66666666666686</c:v>
                </c:pt>
                <c:pt idx="14">
                  <c:v>806.66666666666686</c:v>
                </c:pt>
                <c:pt idx="15">
                  <c:v>806.66666666666686</c:v>
                </c:pt>
                <c:pt idx="16">
                  <c:v>44862.798692686622</c:v>
                </c:pt>
                <c:pt idx="17">
                  <c:v>1774.666666666667</c:v>
                </c:pt>
                <c:pt idx="18">
                  <c:v>1774.666666666667</c:v>
                </c:pt>
                <c:pt idx="19">
                  <c:v>1774.666666666667</c:v>
                </c:pt>
                <c:pt idx="20">
                  <c:v>1774.666666666667</c:v>
                </c:pt>
                <c:pt idx="21">
                  <c:v>1774.666666666667</c:v>
                </c:pt>
                <c:pt idx="22">
                  <c:v>1774.666666666667</c:v>
                </c:pt>
                <c:pt idx="23">
                  <c:v>1774.666666666667</c:v>
                </c:pt>
                <c:pt idx="24">
                  <c:v>1774.666666666667</c:v>
                </c:pt>
                <c:pt idx="25">
                  <c:v>1774.666666666667</c:v>
                </c:pt>
                <c:pt idx="26">
                  <c:v>1774.666666666667</c:v>
                </c:pt>
                <c:pt idx="27">
                  <c:v>1774.666666666667</c:v>
                </c:pt>
                <c:pt idx="28">
                  <c:v>968</c:v>
                </c:pt>
              </c:numCache>
            </c:numRef>
          </c:val>
        </c:ser>
        <c:ser>
          <c:idx val="3"/>
          <c:order val="2"/>
          <c:tx>
            <c:strRef>
              <c:f>RESULTS!$B$11</c:f>
              <c:strCache>
                <c:ptCount val="1"/>
                <c:pt idx="0">
                  <c:v>buildings</c:v>
                </c:pt>
              </c:strCache>
            </c:strRef>
          </c:tx>
          <c:spPr>
            <a:solidFill>
              <a:schemeClr val="accent4"/>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RESULTS!$C$11:$AE$11</c:f>
              <c:numCache>
                <c:formatCode>#,##0</c:formatCode>
                <c:ptCount val="29"/>
                <c:pt idx="0">
                  <c:v>354150.46344018861</c:v>
                </c:pt>
                <c:pt idx="1">
                  <c:v>340882.70237839571</c:v>
                </c:pt>
                <c:pt idx="2">
                  <c:v>328623.29115729901</c:v>
                </c:pt>
                <c:pt idx="3">
                  <c:v>317295.59518900566</c:v>
                </c:pt>
                <c:pt idx="4">
                  <c:v>306828.80411430268</c:v>
                </c:pt>
                <c:pt idx="5">
                  <c:v>297157.48916127707</c:v>
                </c:pt>
                <c:pt idx="6">
                  <c:v>288221.19414468145</c:v>
                </c:pt>
                <c:pt idx="7">
                  <c:v>279964.05754934705</c:v>
                </c:pt>
                <c:pt idx="8">
                  <c:v>274443.02145487233</c:v>
                </c:pt>
                <c:pt idx="9">
                  <c:v>270465.0396561792</c:v>
                </c:pt>
                <c:pt idx="10">
                  <c:v>266825.53025094996</c:v>
                </c:pt>
                <c:pt idx="11">
                  <c:v>263502.4925336095</c:v>
                </c:pt>
                <c:pt idx="12">
                  <c:v>260475.35584444503</c:v>
                </c:pt>
                <c:pt idx="13">
                  <c:v>257724.88661662518</c:v>
                </c:pt>
                <c:pt idx="14">
                  <c:v>255233.1014651625</c:v>
                </c:pt>
                <c:pt idx="15">
                  <c:v>252983.18592509368</c:v>
                </c:pt>
                <c:pt idx="16">
                  <c:v>250959.41847167825</c:v>
                </c:pt>
                <c:pt idx="17">
                  <c:v>249147.0994792837</c:v>
                </c:pt>
                <c:pt idx="18">
                  <c:v>247532.4847979437</c:v>
                </c:pt>
                <c:pt idx="19">
                  <c:v>244453.62945420563</c:v>
                </c:pt>
                <c:pt idx="20">
                  <c:v>241574.89970781055</c:v>
                </c:pt>
                <c:pt idx="21">
                  <c:v>238883.28739493113</c:v>
                </c:pt>
                <c:pt idx="22">
                  <c:v>236366.62988238889</c:v>
                </c:pt>
                <c:pt idx="23">
                  <c:v>234013.55510816193</c:v>
                </c:pt>
                <c:pt idx="24">
                  <c:v>231813.43019425971</c:v>
                </c:pt>
                <c:pt idx="25">
                  <c:v>229756.31339976107</c:v>
                </c:pt>
                <c:pt idx="26">
                  <c:v>227832.90919690489</c:v>
                </c:pt>
                <c:pt idx="27">
                  <c:v>226034.52626723435</c:v>
                </c:pt>
                <c:pt idx="28">
                  <c:v>224353.03822799239</c:v>
                </c:pt>
              </c:numCache>
            </c:numRef>
          </c:val>
        </c:ser>
        <c:ser>
          <c:idx val="5"/>
          <c:order val="3"/>
          <c:tx>
            <c:strRef>
              <c:f>RESULTS!$B$12</c:f>
              <c:strCache>
                <c:ptCount val="1"/>
                <c:pt idx="0">
                  <c:v>LUC CO2 removal</c:v>
                </c:pt>
              </c:strCache>
            </c:strRef>
          </c:tx>
          <c:spPr>
            <a:solidFill>
              <a:schemeClr val="accent6"/>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RESULTS!$C$12:$AE$12</c:f>
              <c:numCache>
                <c:formatCode>#,##0</c:formatCode>
                <c:ptCount val="29"/>
                <c:pt idx="0">
                  <c:v>0</c:v>
                </c:pt>
                <c:pt idx="1">
                  <c:v>0</c:v>
                </c:pt>
                <c:pt idx="2">
                  <c:v>0</c:v>
                </c:pt>
                <c:pt idx="3">
                  <c:v>0</c:v>
                </c:pt>
                <c:pt idx="4">
                  <c:v>0</c:v>
                </c:pt>
                <c:pt idx="5">
                  <c:v>0</c:v>
                </c:pt>
                <c:pt idx="6">
                  <c:v>0</c:v>
                </c:pt>
                <c:pt idx="7">
                  <c:v>0</c:v>
                </c:pt>
                <c:pt idx="8">
                  <c:v>-87182.9756962846</c:v>
                </c:pt>
                <c:pt idx="9">
                  <c:v>-87182.9756962846</c:v>
                </c:pt>
                <c:pt idx="10">
                  <c:v>-87182.9756962846</c:v>
                </c:pt>
                <c:pt idx="11">
                  <c:v>-87182.9756962846</c:v>
                </c:pt>
                <c:pt idx="12">
                  <c:v>-87182.9756962846</c:v>
                </c:pt>
                <c:pt idx="13">
                  <c:v>-87182.9756962846</c:v>
                </c:pt>
                <c:pt idx="14">
                  <c:v>-87182.9756962846</c:v>
                </c:pt>
                <c:pt idx="15">
                  <c:v>-87182.9756962846</c:v>
                </c:pt>
                <c:pt idx="16">
                  <c:v>-87182.9756962846</c:v>
                </c:pt>
                <c:pt idx="17">
                  <c:v>-87182.9756962846</c:v>
                </c:pt>
                <c:pt idx="18">
                  <c:v>-87182.9756962846</c:v>
                </c:pt>
                <c:pt idx="19">
                  <c:v>-87182.9756962846</c:v>
                </c:pt>
                <c:pt idx="20">
                  <c:v>-87182.9756962846</c:v>
                </c:pt>
                <c:pt idx="21">
                  <c:v>-87182.9756962846</c:v>
                </c:pt>
                <c:pt idx="22">
                  <c:v>-87182.9756962846</c:v>
                </c:pt>
                <c:pt idx="23">
                  <c:v>-87182.9756962846</c:v>
                </c:pt>
                <c:pt idx="24">
                  <c:v>-87182.9756962846</c:v>
                </c:pt>
                <c:pt idx="25">
                  <c:v>-87182.9756962846</c:v>
                </c:pt>
                <c:pt idx="26">
                  <c:v>-87182.9756962846</c:v>
                </c:pt>
                <c:pt idx="27">
                  <c:v>-87182.9756962846</c:v>
                </c:pt>
                <c:pt idx="28">
                  <c:v>-35307.884185622774</c:v>
                </c:pt>
              </c:numCache>
            </c:numRef>
          </c:val>
        </c:ser>
        <c:dLbls>
          <c:showLegendKey val="0"/>
          <c:showVal val="0"/>
          <c:showCatName val="0"/>
          <c:showSerName val="0"/>
          <c:showPercent val="0"/>
          <c:showBubbleSize val="0"/>
        </c:dLbls>
        <c:gapWidth val="0"/>
        <c:overlap val="100"/>
        <c:axId val="466844872"/>
        <c:axId val="466842912"/>
      </c:barChart>
      <c:lineChart>
        <c:grouping val="standard"/>
        <c:varyColors val="0"/>
        <c:ser>
          <c:idx val="6"/>
          <c:order val="4"/>
          <c:tx>
            <c:strRef>
              <c:f>RESULTS!$B$13</c:f>
              <c:strCache>
                <c:ptCount val="1"/>
                <c:pt idx="0">
                  <c:v>net balance</c:v>
                </c:pt>
              </c:strCache>
            </c:strRef>
          </c:tx>
          <c:spPr>
            <a:ln w="28575" cap="rnd">
              <a:solidFill>
                <a:srgbClr val="FF3300"/>
              </a:solidFill>
              <a:prstDash val="sysDot"/>
              <a:round/>
            </a:ln>
            <a:effectLst/>
          </c:spPr>
          <c:marker>
            <c:symbol val="none"/>
          </c:marker>
          <c:val>
            <c:numRef>
              <c:f>RESULTS!$C$13:$AE$13</c:f>
              <c:numCache>
                <c:formatCode>#,##0</c:formatCode>
                <c:ptCount val="29"/>
                <c:pt idx="0">
                  <c:v>444023.43173522432</c:v>
                </c:pt>
                <c:pt idx="1">
                  <c:v>430698.63889996504</c:v>
                </c:pt>
                <c:pt idx="2">
                  <c:v>418485.86728997465</c:v>
                </c:pt>
                <c:pt idx="3">
                  <c:v>410415.28859963699</c:v>
                </c:pt>
                <c:pt idx="4">
                  <c:v>402994.66834138753</c:v>
                </c:pt>
                <c:pt idx="5">
                  <c:v>393341.46500029555</c:v>
                </c:pt>
                <c:pt idx="6">
                  <c:v>384518.65347300563</c:v>
                </c:pt>
                <c:pt idx="7">
                  <c:v>376465.88063668588</c:v>
                </c:pt>
                <c:pt idx="8">
                  <c:v>327948.19118974707</c:v>
                </c:pt>
                <c:pt idx="9">
                  <c:v>280876.87727760035</c:v>
                </c:pt>
                <c:pt idx="10">
                  <c:v>277284.33010954078</c:v>
                </c:pt>
                <c:pt idx="11">
                  <c:v>274057.6362110445</c:v>
                </c:pt>
                <c:pt idx="12">
                  <c:v>271173.56406732451</c:v>
                </c:pt>
                <c:pt idx="13">
                  <c:v>268611.27514334553</c:v>
                </c:pt>
                <c:pt idx="14">
                  <c:v>266350.13299402042</c:v>
                </c:pt>
                <c:pt idx="15">
                  <c:v>264371.63424929796</c:v>
                </c:pt>
                <c:pt idx="16">
                  <c:v>306714.98882976413</c:v>
                </c:pt>
                <c:pt idx="17">
                  <c:v>262163.47821094241</c:v>
                </c:pt>
                <c:pt idx="18">
                  <c:v>260933.68744955346</c:v>
                </c:pt>
                <c:pt idx="19">
                  <c:v>258274.63357951969</c:v>
                </c:pt>
                <c:pt idx="20">
                  <c:v>255849.33003935049</c:v>
                </c:pt>
                <c:pt idx="21">
                  <c:v>253642.94481332984</c:v>
                </c:pt>
                <c:pt idx="22">
                  <c:v>251642.66204124934</c:v>
                </c:pt>
                <c:pt idx="23">
                  <c:v>249835.42450873973</c:v>
                </c:pt>
                <c:pt idx="24">
                  <c:v>248210.94974289753</c:v>
                </c:pt>
                <c:pt idx="25">
                  <c:v>246757.47184687847</c:v>
                </c:pt>
                <c:pt idx="26">
                  <c:v>245464.18719435896</c:v>
                </c:pt>
                <c:pt idx="27">
                  <c:v>244322.09570654226</c:v>
                </c:pt>
                <c:pt idx="28">
                  <c:v>294390.67623207229</c:v>
                </c:pt>
              </c:numCache>
            </c:numRef>
          </c:val>
          <c:smooth val="0"/>
        </c:ser>
        <c:dLbls>
          <c:showLegendKey val="0"/>
          <c:showVal val="0"/>
          <c:showCatName val="0"/>
          <c:showSerName val="0"/>
          <c:showPercent val="0"/>
          <c:showBubbleSize val="0"/>
        </c:dLbls>
        <c:marker val="1"/>
        <c:smooth val="0"/>
        <c:axId val="466844872"/>
        <c:axId val="466842912"/>
      </c:lineChart>
      <c:catAx>
        <c:axId val="466844872"/>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66842912"/>
        <c:crosses val="autoZero"/>
        <c:auto val="1"/>
        <c:lblAlgn val="ctr"/>
        <c:lblOffset val="100"/>
        <c:noMultiLvlLbl val="0"/>
      </c:catAx>
      <c:valAx>
        <c:axId val="466842912"/>
        <c:scaling>
          <c:orientation val="minMax"/>
        </c:scaling>
        <c:delete val="0"/>
        <c:axPos val="l"/>
        <c:majorGridlines>
          <c:spPr>
            <a:ln w="9525" cap="flat" cmpd="sng" algn="ctr">
              <a:solidFill>
                <a:schemeClr val="bg1">
                  <a:lumMod val="5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844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TERRITORIAL APPROACH</a:t>
            </a:r>
            <a:r>
              <a:rPr lang="et-EE" baseline="0"/>
              <a:t> / CO</a:t>
            </a:r>
            <a:r>
              <a:rPr lang="et-EE" baseline="-25000"/>
              <a:t>2</a:t>
            </a:r>
            <a:r>
              <a:rPr lang="et-EE" baseline="0"/>
              <a:t>e EMISSIONS PER CAPITA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0"/>
          <c:tx>
            <c:strRef>
              <c:f>RESULTS!$B$20</c:f>
              <c:strCache>
                <c:ptCount val="1"/>
                <c:pt idx="0">
                  <c:v>transport</c:v>
                </c:pt>
              </c:strCache>
            </c:strRef>
          </c:tx>
          <c:spPr>
            <a:solidFill>
              <a:schemeClr val="accent2"/>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RESULTS!$C$20:$AE$20</c:f>
              <c:numCache>
                <c:formatCode>#,##0.000</c:formatCode>
                <c:ptCount val="29"/>
                <c:pt idx="0">
                  <c:v>0.46102414202704228</c:v>
                </c:pt>
                <c:pt idx="1">
                  <c:v>0.46258008231006598</c:v>
                </c:pt>
                <c:pt idx="2">
                  <c:v>0.46467744022439789</c:v>
                </c:pt>
                <c:pt idx="3">
                  <c:v>0.4834523628117961</c:v>
                </c:pt>
                <c:pt idx="4">
                  <c:v>0.50127115899942043</c:v>
                </c:pt>
                <c:pt idx="5">
                  <c:v>0.50337809280561507</c:v>
                </c:pt>
                <c:pt idx="6">
                  <c:v>0.50599517283803097</c:v>
                </c:pt>
                <c:pt idx="7">
                  <c:v>0.50910474744312295</c:v>
                </c:pt>
                <c:pt idx="8">
                  <c:v>0.51269049797982891</c:v>
                </c:pt>
                <c:pt idx="9">
                  <c:v>0.51420695460313603</c:v>
                </c:pt>
                <c:pt idx="10">
                  <c:v>0.5160025838104737</c:v>
                </c:pt>
                <c:pt idx="11">
                  <c:v>0.51806743224045149</c:v>
                </c:pt>
                <c:pt idx="12">
                  <c:v>0.52039239230248269</c:v>
                </c:pt>
                <c:pt idx="13">
                  <c:v>0.52296833863674053</c:v>
                </c:pt>
                <c:pt idx="14">
                  <c:v>0.52578314983673091</c:v>
                </c:pt>
                <c:pt idx="15">
                  <c:v>0.52883261852350716</c:v>
                </c:pt>
                <c:pt idx="16">
                  <c:v>0.53210941790784205</c:v>
                </c:pt>
                <c:pt idx="17">
                  <c:v>0.53560666598432016</c:v>
                </c:pt>
                <c:pt idx="18">
                  <c:v>0.53931790320081496</c:v>
                </c:pt>
                <c:pt idx="19">
                  <c:v>0.54323707130032917</c:v>
                </c:pt>
                <c:pt idx="20">
                  <c:v>0.54735849327438491</c:v>
                </c:pt>
                <c:pt idx="21">
                  <c:v>0.55167685437030711</c:v>
                </c:pt>
                <c:pt idx="22">
                  <c:v>0.55618718409774492</c:v>
                </c:pt>
                <c:pt idx="23">
                  <c:v>0.56088483918261411</c:v>
                </c:pt>
                <c:pt idx="24">
                  <c:v>0.5657702402899587</c:v>
                </c:pt>
                <c:pt idx="25">
                  <c:v>0.57083475458456867</c:v>
                </c:pt>
                <c:pt idx="26">
                  <c:v>0.5760746206752132</c:v>
                </c:pt>
                <c:pt idx="27">
                  <c:v>0.58148634528834819</c:v>
                </c:pt>
                <c:pt idx="28">
                  <c:v>0.58706669023146152</c:v>
                </c:pt>
              </c:numCache>
            </c:numRef>
          </c:val>
        </c:ser>
        <c:ser>
          <c:idx val="2"/>
          <c:order val="1"/>
          <c:tx>
            <c:strRef>
              <c:f>RESULTS!$B$21</c:f>
              <c:strCache>
                <c:ptCount val="1"/>
                <c:pt idx="0">
                  <c:v>LUC emissions</c:v>
                </c:pt>
              </c:strCache>
            </c:strRef>
          </c:tx>
          <c:spPr>
            <a:solidFill>
              <a:schemeClr val="accent3"/>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RESULTS!$C$21:$AE$21</c:f>
              <c:numCache>
                <c:formatCode>#,##0.000</c:formatCode>
                <c:ptCount val="29"/>
                <c:pt idx="0">
                  <c:v>0</c:v>
                </c:pt>
                <c:pt idx="1">
                  <c:v>0</c:v>
                </c:pt>
                <c:pt idx="2">
                  <c:v>0</c:v>
                </c:pt>
                <c:pt idx="3">
                  <c:v>0</c:v>
                </c:pt>
                <c:pt idx="4">
                  <c:v>0</c:v>
                </c:pt>
                <c:pt idx="5">
                  <c:v>0</c:v>
                </c:pt>
                <c:pt idx="6">
                  <c:v>0</c:v>
                </c:pt>
                <c:pt idx="7">
                  <c:v>0</c:v>
                </c:pt>
                <c:pt idx="8">
                  <c:v>0.23250344584867927</c:v>
                </c:pt>
                <c:pt idx="9">
                  <c:v>4.2855827329975711E-3</c:v>
                </c:pt>
                <c:pt idx="10">
                  <c:v>4.2984625003552462E-3</c:v>
                </c:pt>
                <c:pt idx="11">
                  <c:v>4.3113738317424018E-3</c:v>
                </c:pt>
                <c:pt idx="12">
                  <c:v>4.3243397787439053E-3</c:v>
                </c:pt>
                <c:pt idx="13">
                  <c:v>4.3373373050438584E-3</c:v>
                </c:pt>
                <c:pt idx="14">
                  <c:v>4.3503662756730049E-3</c:v>
                </c:pt>
                <c:pt idx="15">
                  <c:v>4.3634501547942968E-3</c:v>
                </c:pt>
                <c:pt idx="16">
                  <c:v>0.24340286299371522</c:v>
                </c:pt>
                <c:pt idx="17">
                  <c:v>9.6573666443553214E-3</c:v>
                </c:pt>
                <c:pt idx="18">
                  <c:v>9.6864106426798845E-3</c:v>
                </c:pt>
                <c:pt idx="19">
                  <c:v>9.7155234867853206E-3</c:v>
                </c:pt>
                <c:pt idx="20">
                  <c:v>9.7447048401385211E-3</c:v>
                </c:pt>
                <c:pt idx="21">
                  <c:v>9.7740081878430734E-3</c:v>
                </c:pt>
                <c:pt idx="22">
                  <c:v>9.8033799932974661E-3</c:v>
                </c:pt>
                <c:pt idx="23">
                  <c:v>9.8328743796738029E-3</c:v>
                </c:pt>
                <c:pt idx="24">
                  <c:v>9.86243715567609E-3</c:v>
                </c:pt>
                <c:pt idx="25">
                  <c:v>9.8920679512977325E-3</c:v>
                </c:pt>
                <c:pt idx="26">
                  <c:v>9.9218218581984575E-3</c:v>
                </c:pt>
                <c:pt idx="27">
                  <c:v>9.9516436847998189E-3</c:v>
                </c:pt>
                <c:pt idx="28">
                  <c:v>5.4444725667200993E-3</c:v>
                </c:pt>
              </c:numCache>
            </c:numRef>
          </c:val>
        </c:ser>
        <c:ser>
          <c:idx val="3"/>
          <c:order val="2"/>
          <c:tx>
            <c:strRef>
              <c:f>RESULTS!$B$22</c:f>
              <c:strCache>
                <c:ptCount val="1"/>
                <c:pt idx="0">
                  <c:v>buildings</c:v>
                </c:pt>
              </c:strCache>
            </c:strRef>
          </c:tx>
          <c:spPr>
            <a:solidFill>
              <a:schemeClr val="accent4"/>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RESULTS!$C$22:$AE$22</c:f>
              <c:numCache>
                <c:formatCode>#,##0.000</c:formatCode>
                <c:ptCount val="29"/>
                <c:pt idx="0">
                  <c:v>1.8166965735459193</c:v>
                </c:pt>
                <c:pt idx="1">
                  <c:v>1.7556522219907795</c:v>
                </c:pt>
                <c:pt idx="2">
                  <c:v>1.6993039405818333</c:v>
                </c:pt>
                <c:pt idx="3">
                  <c:v>1.6473132544311715</c:v>
                </c:pt>
                <c:pt idx="4">
                  <c:v>1.5993661731109792</c:v>
                </c:pt>
                <c:pt idx="5">
                  <c:v>1.5551714186494296</c:v>
                </c:pt>
                <c:pt idx="6">
                  <c:v>1.5144587818209025</c:v>
                </c:pt>
                <c:pt idx="7">
                  <c:v>1.4769775974368355</c:v>
                </c:pt>
                <c:pt idx="8">
                  <c:v>1.4536638953296839</c:v>
                </c:pt>
                <c:pt idx="9">
                  <c:v>1.4369012030950719</c:v>
                </c:pt>
                <c:pt idx="10">
                  <c:v>1.4218258709765856</c:v>
                </c:pt>
                <c:pt idx="11">
                  <c:v>1.4083360548450017</c:v>
                </c:pt>
                <c:pt idx="12">
                  <c:v>1.3963437305710007</c:v>
                </c:pt>
                <c:pt idx="13">
                  <c:v>1.3857517749923389</c:v>
                </c:pt>
                <c:pt idx="14">
                  <c:v>1.3764762112183497</c:v>
                </c:pt>
                <c:pt idx="15">
                  <c:v>1.3684456881634761</c:v>
                </c:pt>
                <c:pt idx="16">
                  <c:v>1.3615789190878564</c:v>
                </c:pt>
                <c:pt idx="17">
                  <c:v>1.3558066611846982</c:v>
                </c:pt>
                <c:pt idx="18">
                  <c:v>1.3510713533935752</c:v>
                </c:pt>
                <c:pt idx="19">
                  <c:v>1.3382766594997653</c:v>
                </c:pt>
                <c:pt idx="20">
                  <c:v>1.3264891591502699</c:v>
                </c:pt>
                <c:pt idx="21">
                  <c:v>1.3156539483115666</c:v>
                </c:pt>
                <c:pt idx="22">
                  <c:v>1.3057054228806297</c:v>
                </c:pt>
                <c:pt idx="23">
                  <c:v>1.2965961066037353</c:v>
                </c:pt>
                <c:pt idx="24">
                  <c:v>1.2882674983842555</c:v>
                </c:pt>
                <c:pt idx="25">
                  <c:v>1.2806715238862285</c:v>
                </c:pt>
                <c:pt idx="26">
                  <c:v>1.2737702132720481</c:v>
                </c:pt>
                <c:pt idx="27">
                  <c:v>1.2675141242716235</c:v>
                </c:pt>
                <c:pt idx="28">
                  <c:v>1.2618635969964982</c:v>
                </c:pt>
              </c:numCache>
            </c:numRef>
          </c:val>
        </c:ser>
        <c:ser>
          <c:idx val="5"/>
          <c:order val="3"/>
          <c:tx>
            <c:strRef>
              <c:f>RESULTS!$B$23</c:f>
              <c:strCache>
                <c:ptCount val="1"/>
                <c:pt idx="0">
                  <c:v>LUC CO2 removal</c:v>
                </c:pt>
              </c:strCache>
            </c:strRef>
          </c:tx>
          <c:spPr>
            <a:solidFill>
              <a:schemeClr val="accent6"/>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RESULTS!$C$23:$AE$23</c:f>
              <c:numCache>
                <c:formatCode>#,##0.000</c:formatCode>
                <c:ptCount val="29"/>
                <c:pt idx="0">
                  <c:v>0</c:v>
                </c:pt>
                <c:pt idx="1">
                  <c:v>0</c:v>
                </c:pt>
                <c:pt idx="2">
                  <c:v>0</c:v>
                </c:pt>
                <c:pt idx="3">
                  <c:v>0</c:v>
                </c:pt>
                <c:pt idx="4">
                  <c:v>0</c:v>
                </c:pt>
                <c:pt idx="5">
                  <c:v>0</c:v>
                </c:pt>
                <c:pt idx="6">
                  <c:v>0</c:v>
                </c:pt>
                <c:pt idx="7">
                  <c:v>0</c:v>
                </c:pt>
                <c:pt idx="8">
                  <c:v>-0.46178891117453202</c:v>
                </c:pt>
                <c:pt idx="9">
                  <c:v>-0.46317750651488937</c:v>
                </c:pt>
                <c:pt idx="10">
                  <c:v>-0.46456952690065545</c:v>
                </c:pt>
                <c:pt idx="11">
                  <c:v>-0.46596495866577908</c:v>
                </c:pt>
                <c:pt idx="12">
                  <c:v>-0.46736629318104117</c:v>
                </c:pt>
                <c:pt idx="13">
                  <c:v>-0.46877104072590142</c:v>
                </c:pt>
                <c:pt idx="14">
                  <c:v>-0.47017918671314335</c:v>
                </c:pt>
                <c:pt idx="15">
                  <c:v>-0.47159326710419053</c:v>
                </c:pt>
                <c:pt idx="16">
                  <c:v>-0.47301074625659661</c:v>
                </c:pt>
                <c:pt idx="17">
                  <c:v>-0.4744316086278772</c:v>
                </c:pt>
                <c:pt idx="18">
                  <c:v>-0.47585843556254287</c:v>
                </c:pt>
                <c:pt idx="19">
                  <c:v>-0.47728864464223514</c:v>
                </c:pt>
                <c:pt idx="20">
                  <c:v>-0.47872221933429571</c:v>
                </c:pt>
                <c:pt idx="21">
                  <c:v>-0.48016178716905106</c:v>
                </c:pt>
                <c:pt idx="22">
                  <c:v>-0.48160471808626715</c:v>
                </c:pt>
                <c:pt idx="23">
                  <c:v>-0.4830536709622768</c:v>
                </c:pt>
                <c:pt idx="24">
                  <c:v>-0.4845059835740661</c:v>
                </c:pt>
                <c:pt idx="25">
                  <c:v>-0.48596163774454498</c:v>
                </c:pt>
                <c:pt idx="26">
                  <c:v>-0.48742333992835157</c:v>
                </c:pt>
                <c:pt idx="27">
                  <c:v>-0.48888837876220131</c:v>
                </c:pt>
                <c:pt idx="28">
                  <c:v>-0.19858761036937356</c:v>
                </c:pt>
              </c:numCache>
            </c:numRef>
          </c:val>
        </c:ser>
        <c:dLbls>
          <c:showLegendKey val="0"/>
          <c:showVal val="0"/>
          <c:showCatName val="0"/>
          <c:showSerName val="0"/>
          <c:showPercent val="0"/>
          <c:showBubbleSize val="0"/>
        </c:dLbls>
        <c:gapWidth val="0"/>
        <c:overlap val="100"/>
        <c:axId val="466844088"/>
        <c:axId val="466845656"/>
      </c:barChart>
      <c:lineChart>
        <c:grouping val="stacked"/>
        <c:varyColors val="0"/>
        <c:ser>
          <c:idx val="6"/>
          <c:order val="4"/>
          <c:tx>
            <c:strRef>
              <c:f>RESULTS!$B$24</c:f>
              <c:strCache>
                <c:ptCount val="1"/>
                <c:pt idx="0">
                  <c:v>net balance</c:v>
                </c:pt>
              </c:strCache>
            </c:strRef>
          </c:tx>
          <c:spPr>
            <a:ln w="28575" cap="rnd">
              <a:solidFill>
                <a:srgbClr val="FF3300"/>
              </a:solidFill>
              <a:prstDash val="sysDot"/>
              <a:round/>
            </a:ln>
            <a:effectLst/>
          </c:spPr>
          <c:marker>
            <c:symbol val="none"/>
          </c:marker>
          <c:val>
            <c:numRef>
              <c:f>RESULTS!$C$24:$AE$24</c:f>
              <c:numCache>
                <c:formatCode>#,##0.000</c:formatCode>
                <c:ptCount val="29"/>
                <c:pt idx="0">
                  <c:v>2.2777207155729617</c:v>
                </c:pt>
                <c:pt idx="1">
                  <c:v>2.2182323043008454</c:v>
                </c:pt>
                <c:pt idx="2">
                  <c:v>2.1639813808062311</c:v>
                </c:pt>
                <c:pt idx="3">
                  <c:v>2.1307656172429676</c:v>
                </c:pt>
                <c:pt idx="4">
                  <c:v>2.1006373321103995</c:v>
                </c:pt>
                <c:pt idx="5">
                  <c:v>2.0585495114550447</c:v>
                </c:pt>
                <c:pt idx="6">
                  <c:v>2.0204539546589335</c:v>
                </c:pt>
                <c:pt idx="7">
                  <c:v>1.9860823448799585</c:v>
                </c:pt>
                <c:pt idx="8">
                  <c:v>1.73706892798366</c:v>
                </c:pt>
                <c:pt idx="9">
                  <c:v>1.4922162339163163</c:v>
                </c:pt>
                <c:pt idx="10">
                  <c:v>1.4775573903867589</c:v>
                </c:pt>
                <c:pt idx="11">
                  <c:v>1.4647499022514165</c:v>
                </c:pt>
                <c:pt idx="12">
                  <c:v>1.4536941694711862</c:v>
                </c:pt>
                <c:pt idx="13">
                  <c:v>1.4442864102082218</c:v>
                </c:pt>
                <c:pt idx="14">
                  <c:v>1.4364305406176103</c:v>
                </c:pt>
                <c:pt idx="15">
                  <c:v>1.4300484897375871</c:v>
                </c:pt>
                <c:pt idx="16">
                  <c:v>1.6640804537328171</c:v>
                </c:pt>
                <c:pt idx="17">
                  <c:v>1.4266390851854964</c:v>
                </c:pt>
                <c:pt idx="18">
                  <c:v>1.4242172316745272</c:v>
                </c:pt>
                <c:pt idx="19">
                  <c:v>1.4139406096446445</c:v>
                </c:pt>
                <c:pt idx="20">
                  <c:v>1.4048701379304978</c:v>
                </c:pt>
                <c:pt idx="21">
                  <c:v>1.3969430237006657</c:v>
                </c:pt>
                <c:pt idx="22">
                  <c:v>1.390091268885405</c:v>
                </c:pt>
                <c:pt idx="23">
                  <c:v>1.3842601492037465</c:v>
                </c:pt>
                <c:pt idx="24">
                  <c:v>1.3793941922558242</c:v>
                </c:pt>
                <c:pt idx="25">
                  <c:v>1.3754367086775499</c:v>
                </c:pt>
                <c:pt idx="26">
                  <c:v>1.3723433158771081</c:v>
                </c:pt>
                <c:pt idx="27">
                  <c:v>1.3700637344825701</c:v>
                </c:pt>
                <c:pt idx="28">
                  <c:v>1.6557871494253062</c:v>
                </c:pt>
              </c:numCache>
            </c:numRef>
          </c:val>
          <c:smooth val="0"/>
        </c:ser>
        <c:dLbls>
          <c:showLegendKey val="0"/>
          <c:showVal val="0"/>
          <c:showCatName val="0"/>
          <c:showSerName val="0"/>
          <c:showPercent val="0"/>
          <c:showBubbleSize val="0"/>
        </c:dLbls>
        <c:marker val="1"/>
        <c:smooth val="0"/>
        <c:axId val="466844088"/>
        <c:axId val="466845656"/>
      </c:lineChart>
      <c:catAx>
        <c:axId val="466844088"/>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466845656"/>
        <c:crosses val="autoZero"/>
        <c:auto val="1"/>
        <c:lblAlgn val="ctr"/>
        <c:lblOffset val="100"/>
        <c:noMultiLvlLbl val="0"/>
      </c:catAx>
      <c:valAx>
        <c:axId val="466845656"/>
        <c:scaling>
          <c:orientation val="minMax"/>
        </c:scaling>
        <c:delete val="0"/>
        <c:axPos val="l"/>
        <c:majorGridlines>
          <c:spPr>
            <a:ln w="9525" cap="flat" cmpd="sng" algn="ctr">
              <a:solidFill>
                <a:schemeClr val="bg1">
                  <a:lumMod val="50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844088"/>
        <c:crosses val="autoZero"/>
        <c:crossBetween val="between"/>
      </c:valAx>
      <c:spPr>
        <a:noFill/>
        <a:ln>
          <a:noFill/>
        </a:ln>
        <a:effectLst/>
      </c:spPr>
    </c:plotArea>
    <c:legend>
      <c:legendPos val="b"/>
      <c:layout>
        <c:manualLayout>
          <c:xMode val="edge"/>
          <c:yMode val="edge"/>
          <c:x val="7.182762805326133E-2"/>
          <c:y val="0.84185933559775616"/>
          <c:w val="0.87159894315039166"/>
          <c:h val="0.1333343316583176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TERRITORIAL APPROACH</a:t>
            </a:r>
            <a:r>
              <a:rPr lang="et-EE" baseline="0"/>
              <a:t> / ABSOLUTE CO</a:t>
            </a:r>
            <a:r>
              <a:rPr lang="et-EE" baseline="-25000"/>
              <a:t>2</a:t>
            </a:r>
            <a:r>
              <a:rPr lang="et-EE" baseline="0"/>
              <a:t>e EMISSIONS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0"/>
          <c:tx>
            <c:strRef>
              <c:f>RESULTS!$B$9</c:f>
              <c:strCache>
                <c:ptCount val="1"/>
                <c:pt idx="0">
                  <c:v>transport</c:v>
                </c:pt>
              </c:strCache>
            </c:strRef>
          </c:tx>
          <c:spPr>
            <a:solidFill>
              <a:schemeClr val="accent2"/>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RESULTS!$C$9:$AE$9</c:f>
              <c:numCache>
                <c:formatCode>#,##0</c:formatCode>
                <c:ptCount val="29"/>
                <c:pt idx="0">
                  <c:v>89872.96829503568</c:v>
                </c:pt>
                <c:pt idx="1">
                  <c:v>89815.93652156934</c:v>
                </c:pt>
                <c:pt idx="2">
                  <c:v>89862.576132675633</c:v>
                </c:pt>
                <c:pt idx="3">
                  <c:v>93119.693410631298</c:v>
                </c:pt>
                <c:pt idx="4">
                  <c:v>96165.864227084821</c:v>
                </c:pt>
                <c:pt idx="5">
                  <c:v>96183.975839018502</c:v>
                </c:pt>
                <c:pt idx="6">
                  <c:v>96297.459328324185</c:v>
                </c:pt>
                <c:pt idx="7">
                  <c:v>96501.823087338838</c:v>
                </c:pt>
                <c:pt idx="8">
                  <c:v>96792.889875603811</c:v>
                </c:pt>
                <c:pt idx="9">
                  <c:v>96788.146651039089</c:v>
                </c:pt>
                <c:pt idx="10">
                  <c:v>96835.108888208735</c:v>
                </c:pt>
                <c:pt idx="11">
                  <c:v>96931.452707052944</c:v>
                </c:pt>
                <c:pt idx="12">
                  <c:v>97074.517252497419</c:v>
                </c:pt>
                <c:pt idx="13">
                  <c:v>97262.697556338273</c:v>
                </c:pt>
                <c:pt idx="14">
                  <c:v>97493.340558475829</c:v>
                </c:pt>
                <c:pt idx="15">
                  <c:v>97764.75735382225</c:v>
                </c:pt>
                <c:pt idx="16">
                  <c:v>98075.747361683912</c:v>
                </c:pt>
                <c:pt idx="17">
                  <c:v>98424.687761276626</c:v>
                </c:pt>
                <c:pt idx="18">
                  <c:v>98809.511681227712</c:v>
                </c:pt>
                <c:pt idx="19">
                  <c:v>99229.313154932024</c:v>
                </c:pt>
                <c:pt idx="20">
                  <c:v>99682.739361157888</c:v>
                </c:pt>
                <c:pt idx="21">
                  <c:v>100167.96644801665</c:v>
                </c:pt>
                <c:pt idx="22">
                  <c:v>100684.34118847837</c:v>
                </c:pt>
                <c:pt idx="23">
                  <c:v>101230.17843019575</c:v>
                </c:pt>
                <c:pt idx="24">
                  <c:v>101805.82857825575</c:v>
                </c:pt>
                <c:pt idx="25">
                  <c:v>102409.46747673537</c:v>
                </c:pt>
                <c:pt idx="26">
                  <c:v>103039.58702707202</c:v>
                </c:pt>
                <c:pt idx="27">
                  <c:v>103695.87846892585</c:v>
                </c:pt>
                <c:pt idx="28">
                  <c:v>104377.52218970271</c:v>
                </c:pt>
              </c:numCache>
            </c:numRef>
          </c:val>
        </c:ser>
        <c:ser>
          <c:idx val="2"/>
          <c:order val="1"/>
          <c:tx>
            <c:strRef>
              <c:f>RESULTS!$B$10</c:f>
              <c:strCache>
                <c:ptCount val="1"/>
                <c:pt idx="0">
                  <c:v>LUC emissions</c:v>
                </c:pt>
              </c:strCache>
            </c:strRef>
          </c:tx>
          <c:spPr>
            <a:solidFill>
              <a:schemeClr val="accent3"/>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RESULTS!$C$10:$AE$10</c:f>
              <c:numCache>
                <c:formatCode>#,##0</c:formatCode>
                <c:ptCount val="29"/>
                <c:pt idx="0">
                  <c:v>0</c:v>
                </c:pt>
                <c:pt idx="1">
                  <c:v>0</c:v>
                </c:pt>
                <c:pt idx="2">
                  <c:v>0</c:v>
                </c:pt>
                <c:pt idx="3">
                  <c:v>0</c:v>
                </c:pt>
                <c:pt idx="4">
                  <c:v>0</c:v>
                </c:pt>
                <c:pt idx="5">
                  <c:v>0</c:v>
                </c:pt>
                <c:pt idx="6">
                  <c:v>0</c:v>
                </c:pt>
                <c:pt idx="7">
                  <c:v>0</c:v>
                </c:pt>
                <c:pt idx="8">
                  <c:v>43895.255555555552</c:v>
                </c:pt>
                <c:pt idx="9">
                  <c:v>806.66666666666686</c:v>
                </c:pt>
                <c:pt idx="10">
                  <c:v>806.66666666666686</c:v>
                </c:pt>
                <c:pt idx="11">
                  <c:v>806.66666666666686</c:v>
                </c:pt>
                <c:pt idx="12">
                  <c:v>806.66666666666686</c:v>
                </c:pt>
                <c:pt idx="13">
                  <c:v>806.66666666666686</c:v>
                </c:pt>
                <c:pt idx="14">
                  <c:v>806.66666666666686</c:v>
                </c:pt>
                <c:pt idx="15">
                  <c:v>806.66666666666686</c:v>
                </c:pt>
                <c:pt idx="16">
                  <c:v>44862.798692686622</c:v>
                </c:pt>
                <c:pt idx="17">
                  <c:v>1774.666666666667</c:v>
                </c:pt>
                <c:pt idx="18">
                  <c:v>1774.666666666667</c:v>
                </c:pt>
                <c:pt idx="19">
                  <c:v>1774.666666666667</c:v>
                </c:pt>
                <c:pt idx="20">
                  <c:v>1774.666666666667</c:v>
                </c:pt>
                <c:pt idx="21">
                  <c:v>1774.666666666667</c:v>
                </c:pt>
                <c:pt idx="22">
                  <c:v>1774.666666666667</c:v>
                </c:pt>
                <c:pt idx="23">
                  <c:v>1774.666666666667</c:v>
                </c:pt>
                <c:pt idx="24">
                  <c:v>1774.666666666667</c:v>
                </c:pt>
                <c:pt idx="25">
                  <c:v>1774.666666666667</c:v>
                </c:pt>
                <c:pt idx="26">
                  <c:v>1774.666666666667</c:v>
                </c:pt>
                <c:pt idx="27">
                  <c:v>1774.666666666667</c:v>
                </c:pt>
                <c:pt idx="28">
                  <c:v>968</c:v>
                </c:pt>
              </c:numCache>
            </c:numRef>
          </c:val>
        </c:ser>
        <c:ser>
          <c:idx val="3"/>
          <c:order val="2"/>
          <c:tx>
            <c:strRef>
              <c:f>RESULTS!$B$11</c:f>
              <c:strCache>
                <c:ptCount val="1"/>
                <c:pt idx="0">
                  <c:v>buildings</c:v>
                </c:pt>
              </c:strCache>
            </c:strRef>
          </c:tx>
          <c:spPr>
            <a:solidFill>
              <a:schemeClr val="accent4"/>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RESULTS!$C$11:$AE$11</c:f>
              <c:numCache>
                <c:formatCode>#,##0</c:formatCode>
                <c:ptCount val="29"/>
                <c:pt idx="0">
                  <c:v>354150.46344018861</c:v>
                </c:pt>
                <c:pt idx="1">
                  <c:v>340882.70237839571</c:v>
                </c:pt>
                <c:pt idx="2">
                  <c:v>328623.29115729901</c:v>
                </c:pt>
                <c:pt idx="3">
                  <c:v>317295.59518900566</c:v>
                </c:pt>
                <c:pt idx="4">
                  <c:v>306828.80411430268</c:v>
                </c:pt>
                <c:pt idx="5">
                  <c:v>297157.48916127707</c:v>
                </c:pt>
                <c:pt idx="6">
                  <c:v>288221.19414468145</c:v>
                </c:pt>
                <c:pt idx="7">
                  <c:v>279964.05754934705</c:v>
                </c:pt>
                <c:pt idx="8">
                  <c:v>274443.02145487233</c:v>
                </c:pt>
                <c:pt idx="9">
                  <c:v>270465.0396561792</c:v>
                </c:pt>
                <c:pt idx="10">
                  <c:v>266825.53025094996</c:v>
                </c:pt>
                <c:pt idx="11">
                  <c:v>263502.4925336095</c:v>
                </c:pt>
                <c:pt idx="12">
                  <c:v>260475.35584444503</c:v>
                </c:pt>
                <c:pt idx="13">
                  <c:v>257724.88661662518</c:v>
                </c:pt>
                <c:pt idx="14">
                  <c:v>255233.1014651625</c:v>
                </c:pt>
                <c:pt idx="15">
                  <c:v>252983.18592509368</c:v>
                </c:pt>
                <c:pt idx="16">
                  <c:v>250959.41847167825</c:v>
                </c:pt>
                <c:pt idx="17">
                  <c:v>249147.0994792837</c:v>
                </c:pt>
                <c:pt idx="18">
                  <c:v>247532.4847979437</c:v>
                </c:pt>
                <c:pt idx="19">
                  <c:v>244453.62945420563</c:v>
                </c:pt>
                <c:pt idx="20">
                  <c:v>241574.89970781055</c:v>
                </c:pt>
                <c:pt idx="21">
                  <c:v>238883.28739493113</c:v>
                </c:pt>
                <c:pt idx="22">
                  <c:v>236366.62988238889</c:v>
                </c:pt>
                <c:pt idx="23">
                  <c:v>234013.55510816193</c:v>
                </c:pt>
                <c:pt idx="24">
                  <c:v>231813.43019425971</c:v>
                </c:pt>
                <c:pt idx="25">
                  <c:v>229756.31339976107</c:v>
                </c:pt>
                <c:pt idx="26">
                  <c:v>227832.90919690489</c:v>
                </c:pt>
                <c:pt idx="27">
                  <c:v>226034.52626723435</c:v>
                </c:pt>
                <c:pt idx="28">
                  <c:v>224353.03822799239</c:v>
                </c:pt>
              </c:numCache>
            </c:numRef>
          </c:val>
        </c:ser>
        <c:ser>
          <c:idx val="5"/>
          <c:order val="3"/>
          <c:tx>
            <c:strRef>
              <c:f>RESULTS!$B$12</c:f>
              <c:strCache>
                <c:ptCount val="1"/>
                <c:pt idx="0">
                  <c:v>LUC CO2 removal</c:v>
                </c:pt>
              </c:strCache>
            </c:strRef>
          </c:tx>
          <c:spPr>
            <a:solidFill>
              <a:schemeClr val="accent6"/>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RESULTS!$C$12:$AE$12</c:f>
              <c:numCache>
                <c:formatCode>#,##0</c:formatCode>
                <c:ptCount val="29"/>
                <c:pt idx="0">
                  <c:v>0</c:v>
                </c:pt>
                <c:pt idx="1">
                  <c:v>0</c:v>
                </c:pt>
                <c:pt idx="2">
                  <c:v>0</c:v>
                </c:pt>
                <c:pt idx="3">
                  <c:v>0</c:v>
                </c:pt>
                <c:pt idx="4">
                  <c:v>0</c:v>
                </c:pt>
                <c:pt idx="5">
                  <c:v>0</c:v>
                </c:pt>
                <c:pt idx="6">
                  <c:v>0</c:v>
                </c:pt>
                <c:pt idx="7">
                  <c:v>0</c:v>
                </c:pt>
                <c:pt idx="8">
                  <c:v>-87182.9756962846</c:v>
                </c:pt>
                <c:pt idx="9">
                  <c:v>-87182.9756962846</c:v>
                </c:pt>
                <c:pt idx="10">
                  <c:v>-87182.9756962846</c:v>
                </c:pt>
                <c:pt idx="11">
                  <c:v>-87182.9756962846</c:v>
                </c:pt>
                <c:pt idx="12">
                  <c:v>-87182.9756962846</c:v>
                </c:pt>
                <c:pt idx="13">
                  <c:v>-87182.9756962846</c:v>
                </c:pt>
                <c:pt idx="14">
                  <c:v>-87182.9756962846</c:v>
                </c:pt>
                <c:pt idx="15">
                  <c:v>-87182.9756962846</c:v>
                </c:pt>
                <c:pt idx="16">
                  <c:v>-87182.9756962846</c:v>
                </c:pt>
                <c:pt idx="17">
                  <c:v>-87182.9756962846</c:v>
                </c:pt>
                <c:pt idx="18">
                  <c:v>-87182.9756962846</c:v>
                </c:pt>
                <c:pt idx="19">
                  <c:v>-87182.9756962846</c:v>
                </c:pt>
                <c:pt idx="20">
                  <c:v>-87182.9756962846</c:v>
                </c:pt>
                <c:pt idx="21">
                  <c:v>-87182.9756962846</c:v>
                </c:pt>
                <c:pt idx="22">
                  <c:v>-87182.9756962846</c:v>
                </c:pt>
                <c:pt idx="23">
                  <c:v>-87182.9756962846</c:v>
                </c:pt>
                <c:pt idx="24">
                  <c:v>-87182.9756962846</c:v>
                </c:pt>
                <c:pt idx="25">
                  <c:v>-87182.9756962846</c:v>
                </c:pt>
                <c:pt idx="26">
                  <c:v>-87182.9756962846</c:v>
                </c:pt>
                <c:pt idx="27">
                  <c:v>-87182.9756962846</c:v>
                </c:pt>
                <c:pt idx="28">
                  <c:v>-35307.884185622774</c:v>
                </c:pt>
              </c:numCache>
            </c:numRef>
          </c:val>
        </c:ser>
        <c:dLbls>
          <c:showLegendKey val="0"/>
          <c:showVal val="0"/>
          <c:showCatName val="0"/>
          <c:showSerName val="0"/>
          <c:showPercent val="0"/>
          <c:showBubbleSize val="0"/>
        </c:dLbls>
        <c:gapWidth val="10"/>
        <c:overlap val="100"/>
        <c:axId val="466845264"/>
        <c:axId val="466839384"/>
      </c:barChart>
      <c:lineChart>
        <c:grouping val="standard"/>
        <c:varyColors val="0"/>
        <c:ser>
          <c:idx val="6"/>
          <c:order val="4"/>
          <c:tx>
            <c:strRef>
              <c:f>RESULTS!$B$13</c:f>
              <c:strCache>
                <c:ptCount val="1"/>
                <c:pt idx="0">
                  <c:v>net balance</c:v>
                </c:pt>
              </c:strCache>
            </c:strRef>
          </c:tx>
          <c:spPr>
            <a:ln w="38100" cap="rnd">
              <a:solidFill>
                <a:srgbClr val="FF0000"/>
              </a:solidFill>
              <a:prstDash val="sysDot"/>
              <a:round/>
            </a:ln>
            <a:effectLst/>
          </c:spPr>
          <c:marker>
            <c:symbol val="none"/>
          </c:marker>
          <c:val>
            <c:numRef>
              <c:f>RESULTS!$C$13:$AE$13</c:f>
              <c:numCache>
                <c:formatCode>#,##0</c:formatCode>
                <c:ptCount val="29"/>
                <c:pt idx="0">
                  <c:v>444023.43173522432</c:v>
                </c:pt>
                <c:pt idx="1">
                  <c:v>430698.63889996504</c:v>
                </c:pt>
                <c:pt idx="2">
                  <c:v>418485.86728997465</c:v>
                </c:pt>
                <c:pt idx="3">
                  <c:v>410415.28859963699</c:v>
                </c:pt>
                <c:pt idx="4">
                  <c:v>402994.66834138753</c:v>
                </c:pt>
                <c:pt idx="5">
                  <c:v>393341.46500029555</c:v>
                </c:pt>
                <c:pt idx="6">
                  <c:v>384518.65347300563</c:v>
                </c:pt>
                <c:pt idx="7">
                  <c:v>376465.88063668588</c:v>
                </c:pt>
                <c:pt idx="8">
                  <c:v>327948.19118974707</c:v>
                </c:pt>
                <c:pt idx="9">
                  <c:v>280876.87727760035</c:v>
                </c:pt>
                <c:pt idx="10">
                  <c:v>277284.33010954078</c:v>
                </c:pt>
                <c:pt idx="11">
                  <c:v>274057.6362110445</c:v>
                </c:pt>
                <c:pt idx="12">
                  <c:v>271173.56406732451</c:v>
                </c:pt>
                <c:pt idx="13">
                  <c:v>268611.27514334553</c:v>
                </c:pt>
                <c:pt idx="14">
                  <c:v>266350.13299402042</c:v>
                </c:pt>
                <c:pt idx="15">
                  <c:v>264371.63424929796</c:v>
                </c:pt>
                <c:pt idx="16">
                  <c:v>306714.98882976413</c:v>
                </c:pt>
                <c:pt idx="17">
                  <c:v>262163.47821094241</c:v>
                </c:pt>
                <c:pt idx="18">
                  <c:v>260933.68744955346</c:v>
                </c:pt>
                <c:pt idx="19">
                  <c:v>258274.63357951969</c:v>
                </c:pt>
                <c:pt idx="20">
                  <c:v>255849.33003935049</c:v>
                </c:pt>
                <c:pt idx="21">
                  <c:v>253642.94481332984</c:v>
                </c:pt>
                <c:pt idx="22">
                  <c:v>251642.66204124934</c:v>
                </c:pt>
                <c:pt idx="23">
                  <c:v>249835.42450873973</c:v>
                </c:pt>
                <c:pt idx="24">
                  <c:v>248210.94974289753</c:v>
                </c:pt>
                <c:pt idx="25">
                  <c:v>246757.47184687847</c:v>
                </c:pt>
                <c:pt idx="26">
                  <c:v>245464.18719435896</c:v>
                </c:pt>
                <c:pt idx="27">
                  <c:v>244322.09570654226</c:v>
                </c:pt>
                <c:pt idx="28">
                  <c:v>294390.67623207229</c:v>
                </c:pt>
              </c:numCache>
            </c:numRef>
          </c:val>
          <c:smooth val="0"/>
        </c:ser>
        <c:ser>
          <c:idx val="0"/>
          <c:order val="5"/>
          <c:tx>
            <c:strRef>
              <c:f>RESULTS!$B$14</c:f>
              <c:strCache>
                <c:ptCount val="1"/>
                <c:pt idx="0">
                  <c:v>baseline scenario</c:v>
                </c:pt>
              </c:strCache>
            </c:strRef>
          </c:tx>
          <c:spPr>
            <a:ln w="19050" cap="rnd">
              <a:solidFill>
                <a:sysClr val="windowText" lastClr="000000"/>
              </a:solidFill>
              <a:prstDash val="sysDash"/>
              <a:round/>
            </a:ln>
            <a:effectLst/>
          </c:spPr>
          <c:marker>
            <c:symbol val="none"/>
          </c:marker>
          <c:val>
            <c:numRef>
              <c:f>RESULTS!$C$14:$AE$14</c:f>
              <c:numCache>
                <c:formatCode>#,##0</c:formatCode>
                <c:ptCount val="29"/>
                <c:pt idx="0">
                  <c:v>427992.12960487173</c:v>
                </c:pt>
                <c:pt idx="1">
                  <c:v>415727.64664946927</c:v>
                </c:pt>
                <c:pt idx="2">
                  <c:v>404505.08094565081</c:v>
                </c:pt>
                <c:pt idx="3">
                  <c:v>394230.97876175935</c:v>
                </c:pt>
                <c:pt idx="4">
                  <c:v>384842.56600051327</c:v>
                </c:pt>
                <c:pt idx="5">
                  <c:v>376274.69038771279</c:v>
                </c:pt>
                <c:pt idx="6">
                  <c:v>368466.83933455648</c:v>
                </c:pt>
                <c:pt idx="7">
                  <c:v>361363.12407463411</c:v>
                </c:pt>
                <c:pt idx="8">
                  <c:v>354911.92910934507</c:v>
                </c:pt>
                <c:pt idx="9">
                  <c:v>349608.90753113135</c:v>
                </c:pt>
                <c:pt idx="10">
                  <c:v>344708.58186285954</c:v>
                </c:pt>
                <c:pt idx="11">
                  <c:v>340185.40892284981</c:v>
                </c:pt>
                <c:pt idx="12">
                  <c:v>336015.10437297676</c:v>
                </c:pt>
                <c:pt idx="13">
                  <c:v>332175.73487955419</c:v>
                </c:pt>
                <c:pt idx="14">
                  <c:v>328645.72658982599</c:v>
                </c:pt>
                <c:pt idx="15">
                  <c:v>325405.77403154946</c:v>
                </c:pt>
                <c:pt idx="16">
                  <c:v>322438.10928040865</c:v>
                </c:pt>
                <c:pt idx="17">
                  <c:v>319725.69308089564</c:v>
                </c:pt>
                <c:pt idx="18">
                  <c:v>317252.10825275042</c:v>
                </c:pt>
                <c:pt idx="19">
                  <c:v>315002.94779258384</c:v>
                </c:pt>
                <c:pt idx="20">
                  <c:v>312964.29911236471</c:v>
                </c:pt>
                <c:pt idx="21">
                  <c:v>311122.65031148877</c:v>
                </c:pt>
                <c:pt idx="22">
                  <c:v>309466.34681453166</c:v>
                </c:pt>
                <c:pt idx="23">
                  <c:v>307983.51075366966</c:v>
                </c:pt>
                <c:pt idx="24">
                  <c:v>306664.89539716253</c:v>
                </c:pt>
                <c:pt idx="25">
                  <c:v>305499.75316349562</c:v>
                </c:pt>
                <c:pt idx="26">
                  <c:v>304478.27624897182</c:v>
                </c:pt>
                <c:pt idx="27">
                  <c:v>303592.3366490262</c:v>
                </c:pt>
                <c:pt idx="28">
                  <c:v>302833.8470500409</c:v>
                </c:pt>
              </c:numCache>
            </c:numRef>
          </c:val>
          <c:smooth val="0"/>
        </c:ser>
        <c:dLbls>
          <c:showLegendKey val="0"/>
          <c:showVal val="0"/>
          <c:showCatName val="0"/>
          <c:showSerName val="0"/>
          <c:showPercent val="0"/>
          <c:showBubbleSize val="0"/>
        </c:dLbls>
        <c:marker val="1"/>
        <c:smooth val="0"/>
        <c:axId val="466845264"/>
        <c:axId val="466839384"/>
      </c:lineChart>
      <c:catAx>
        <c:axId val="466845264"/>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66839384"/>
        <c:crosses val="autoZero"/>
        <c:auto val="1"/>
        <c:lblAlgn val="ctr"/>
        <c:lblOffset val="100"/>
        <c:noMultiLvlLbl val="0"/>
      </c:catAx>
      <c:valAx>
        <c:axId val="466839384"/>
        <c:scaling>
          <c:orientation val="minMax"/>
        </c:scaling>
        <c:delete val="0"/>
        <c:axPos val="l"/>
        <c:majorGridlines>
          <c:spPr>
            <a:ln w="9525" cap="flat" cmpd="sng" algn="ctr">
              <a:solidFill>
                <a:schemeClr val="bg1">
                  <a:lumMod val="5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845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TERRITORIAL APPROACH</a:t>
            </a:r>
            <a:r>
              <a:rPr lang="et-EE" baseline="0"/>
              <a:t> / CO</a:t>
            </a:r>
            <a:r>
              <a:rPr lang="et-EE" baseline="-25000"/>
              <a:t>2</a:t>
            </a:r>
            <a:r>
              <a:rPr lang="et-EE" baseline="0"/>
              <a:t>e EMISSIONS PER CAPITA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0"/>
          <c:tx>
            <c:strRef>
              <c:f>RESULTS!$B$20</c:f>
              <c:strCache>
                <c:ptCount val="1"/>
                <c:pt idx="0">
                  <c:v>transport</c:v>
                </c:pt>
              </c:strCache>
            </c:strRef>
          </c:tx>
          <c:spPr>
            <a:solidFill>
              <a:schemeClr val="accent2"/>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RESULTS!$C$20:$AE$20</c:f>
              <c:numCache>
                <c:formatCode>#,##0.000</c:formatCode>
                <c:ptCount val="29"/>
                <c:pt idx="0">
                  <c:v>0.46102414202704228</c:v>
                </c:pt>
                <c:pt idx="1">
                  <c:v>0.46258008231006598</c:v>
                </c:pt>
                <c:pt idx="2">
                  <c:v>0.46467744022439789</c:v>
                </c:pt>
                <c:pt idx="3">
                  <c:v>0.4834523628117961</c:v>
                </c:pt>
                <c:pt idx="4">
                  <c:v>0.50127115899942043</c:v>
                </c:pt>
                <c:pt idx="5">
                  <c:v>0.50337809280561507</c:v>
                </c:pt>
                <c:pt idx="6">
                  <c:v>0.50599517283803097</c:v>
                </c:pt>
                <c:pt idx="7">
                  <c:v>0.50910474744312295</c:v>
                </c:pt>
                <c:pt idx="8">
                  <c:v>0.51269049797982891</c:v>
                </c:pt>
                <c:pt idx="9">
                  <c:v>0.51420695460313603</c:v>
                </c:pt>
                <c:pt idx="10">
                  <c:v>0.5160025838104737</c:v>
                </c:pt>
                <c:pt idx="11">
                  <c:v>0.51806743224045149</c:v>
                </c:pt>
                <c:pt idx="12">
                  <c:v>0.52039239230248269</c:v>
                </c:pt>
                <c:pt idx="13">
                  <c:v>0.52296833863674053</c:v>
                </c:pt>
                <c:pt idx="14">
                  <c:v>0.52578314983673091</c:v>
                </c:pt>
                <c:pt idx="15">
                  <c:v>0.52883261852350716</c:v>
                </c:pt>
                <c:pt idx="16">
                  <c:v>0.53210941790784205</c:v>
                </c:pt>
                <c:pt idx="17">
                  <c:v>0.53560666598432016</c:v>
                </c:pt>
                <c:pt idx="18">
                  <c:v>0.53931790320081496</c:v>
                </c:pt>
                <c:pt idx="19">
                  <c:v>0.54323707130032917</c:v>
                </c:pt>
                <c:pt idx="20">
                  <c:v>0.54735849327438491</c:v>
                </c:pt>
                <c:pt idx="21">
                  <c:v>0.55167685437030711</c:v>
                </c:pt>
                <c:pt idx="22">
                  <c:v>0.55618718409774492</c:v>
                </c:pt>
                <c:pt idx="23">
                  <c:v>0.56088483918261411</c:v>
                </c:pt>
                <c:pt idx="24">
                  <c:v>0.5657702402899587</c:v>
                </c:pt>
                <c:pt idx="25">
                  <c:v>0.57083475458456867</c:v>
                </c:pt>
                <c:pt idx="26">
                  <c:v>0.5760746206752132</c:v>
                </c:pt>
                <c:pt idx="27">
                  <c:v>0.58148634528834819</c:v>
                </c:pt>
                <c:pt idx="28">
                  <c:v>0.58706669023146152</c:v>
                </c:pt>
              </c:numCache>
            </c:numRef>
          </c:val>
        </c:ser>
        <c:ser>
          <c:idx val="2"/>
          <c:order val="1"/>
          <c:tx>
            <c:strRef>
              <c:f>RESULTS!$B$21</c:f>
              <c:strCache>
                <c:ptCount val="1"/>
                <c:pt idx="0">
                  <c:v>LUC emissions</c:v>
                </c:pt>
              </c:strCache>
            </c:strRef>
          </c:tx>
          <c:spPr>
            <a:solidFill>
              <a:schemeClr val="accent3"/>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RESULTS!$C$21:$AE$21</c:f>
              <c:numCache>
                <c:formatCode>#,##0.000</c:formatCode>
                <c:ptCount val="29"/>
                <c:pt idx="0">
                  <c:v>0</c:v>
                </c:pt>
                <c:pt idx="1">
                  <c:v>0</c:v>
                </c:pt>
                <c:pt idx="2">
                  <c:v>0</c:v>
                </c:pt>
                <c:pt idx="3">
                  <c:v>0</c:v>
                </c:pt>
                <c:pt idx="4">
                  <c:v>0</c:v>
                </c:pt>
                <c:pt idx="5">
                  <c:v>0</c:v>
                </c:pt>
                <c:pt idx="6">
                  <c:v>0</c:v>
                </c:pt>
                <c:pt idx="7">
                  <c:v>0</c:v>
                </c:pt>
                <c:pt idx="8">
                  <c:v>0.23250344584867927</c:v>
                </c:pt>
                <c:pt idx="9">
                  <c:v>4.2855827329975711E-3</c:v>
                </c:pt>
                <c:pt idx="10">
                  <c:v>4.2984625003552462E-3</c:v>
                </c:pt>
                <c:pt idx="11">
                  <c:v>4.3113738317424018E-3</c:v>
                </c:pt>
                <c:pt idx="12">
                  <c:v>4.3243397787439053E-3</c:v>
                </c:pt>
                <c:pt idx="13">
                  <c:v>4.3373373050438584E-3</c:v>
                </c:pt>
                <c:pt idx="14">
                  <c:v>4.3503662756730049E-3</c:v>
                </c:pt>
                <c:pt idx="15">
                  <c:v>4.3634501547942968E-3</c:v>
                </c:pt>
                <c:pt idx="16">
                  <c:v>0.24340286299371522</c:v>
                </c:pt>
                <c:pt idx="17">
                  <c:v>9.6573666443553214E-3</c:v>
                </c:pt>
                <c:pt idx="18">
                  <c:v>9.6864106426798845E-3</c:v>
                </c:pt>
                <c:pt idx="19">
                  <c:v>9.7155234867853206E-3</c:v>
                </c:pt>
                <c:pt idx="20">
                  <c:v>9.7447048401385211E-3</c:v>
                </c:pt>
                <c:pt idx="21">
                  <c:v>9.7740081878430734E-3</c:v>
                </c:pt>
                <c:pt idx="22">
                  <c:v>9.8033799932974661E-3</c:v>
                </c:pt>
                <c:pt idx="23">
                  <c:v>9.8328743796738029E-3</c:v>
                </c:pt>
                <c:pt idx="24">
                  <c:v>9.86243715567609E-3</c:v>
                </c:pt>
                <c:pt idx="25">
                  <c:v>9.8920679512977325E-3</c:v>
                </c:pt>
                <c:pt idx="26">
                  <c:v>9.9218218581984575E-3</c:v>
                </c:pt>
                <c:pt idx="27">
                  <c:v>9.9516436847998189E-3</c:v>
                </c:pt>
                <c:pt idx="28">
                  <c:v>5.4444725667200993E-3</c:v>
                </c:pt>
              </c:numCache>
            </c:numRef>
          </c:val>
        </c:ser>
        <c:ser>
          <c:idx val="3"/>
          <c:order val="2"/>
          <c:tx>
            <c:strRef>
              <c:f>RESULTS!$B$22</c:f>
              <c:strCache>
                <c:ptCount val="1"/>
                <c:pt idx="0">
                  <c:v>buildings</c:v>
                </c:pt>
              </c:strCache>
            </c:strRef>
          </c:tx>
          <c:spPr>
            <a:solidFill>
              <a:schemeClr val="accent4"/>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RESULTS!$C$22:$AE$22</c:f>
              <c:numCache>
                <c:formatCode>#,##0.000</c:formatCode>
                <c:ptCount val="29"/>
                <c:pt idx="0">
                  <c:v>1.8166965735459193</c:v>
                </c:pt>
                <c:pt idx="1">
                  <c:v>1.7556522219907795</c:v>
                </c:pt>
                <c:pt idx="2">
                  <c:v>1.6993039405818333</c:v>
                </c:pt>
                <c:pt idx="3">
                  <c:v>1.6473132544311715</c:v>
                </c:pt>
                <c:pt idx="4">
                  <c:v>1.5993661731109792</c:v>
                </c:pt>
                <c:pt idx="5">
                  <c:v>1.5551714186494296</c:v>
                </c:pt>
                <c:pt idx="6">
                  <c:v>1.5144587818209025</c:v>
                </c:pt>
                <c:pt idx="7">
                  <c:v>1.4769775974368355</c:v>
                </c:pt>
                <c:pt idx="8">
                  <c:v>1.4536638953296839</c:v>
                </c:pt>
                <c:pt idx="9">
                  <c:v>1.4369012030950719</c:v>
                </c:pt>
                <c:pt idx="10">
                  <c:v>1.4218258709765856</c:v>
                </c:pt>
                <c:pt idx="11">
                  <c:v>1.4083360548450017</c:v>
                </c:pt>
                <c:pt idx="12">
                  <c:v>1.3963437305710007</c:v>
                </c:pt>
                <c:pt idx="13">
                  <c:v>1.3857517749923389</c:v>
                </c:pt>
                <c:pt idx="14">
                  <c:v>1.3764762112183497</c:v>
                </c:pt>
                <c:pt idx="15">
                  <c:v>1.3684456881634761</c:v>
                </c:pt>
                <c:pt idx="16">
                  <c:v>1.3615789190878564</c:v>
                </c:pt>
                <c:pt idx="17">
                  <c:v>1.3558066611846982</c:v>
                </c:pt>
                <c:pt idx="18">
                  <c:v>1.3510713533935752</c:v>
                </c:pt>
                <c:pt idx="19">
                  <c:v>1.3382766594997653</c:v>
                </c:pt>
                <c:pt idx="20">
                  <c:v>1.3264891591502699</c:v>
                </c:pt>
                <c:pt idx="21">
                  <c:v>1.3156539483115666</c:v>
                </c:pt>
                <c:pt idx="22">
                  <c:v>1.3057054228806297</c:v>
                </c:pt>
                <c:pt idx="23">
                  <c:v>1.2965961066037353</c:v>
                </c:pt>
                <c:pt idx="24">
                  <c:v>1.2882674983842555</c:v>
                </c:pt>
                <c:pt idx="25">
                  <c:v>1.2806715238862285</c:v>
                </c:pt>
                <c:pt idx="26">
                  <c:v>1.2737702132720481</c:v>
                </c:pt>
                <c:pt idx="27">
                  <c:v>1.2675141242716235</c:v>
                </c:pt>
                <c:pt idx="28">
                  <c:v>1.2618635969964982</c:v>
                </c:pt>
              </c:numCache>
            </c:numRef>
          </c:val>
        </c:ser>
        <c:ser>
          <c:idx val="5"/>
          <c:order val="3"/>
          <c:tx>
            <c:strRef>
              <c:f>RESULTS!$B$23</c:f>
              <c:strCache>
                <c:ptCount val="1"/>
                <c:pt idx="0">
                  <c:v>LUC CO2 removal</c:v>
                </c:pt>
              </c:strCache>
            </c:strRef>
          </c:tx>
          <c:spPr>
            <a:solidFill>
              <a:schemeClr val="accent6"/>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RESULTS!$C$23:$AE$23</c:f>
              <c:numCache>
                <c:formatCode>#,##0.000</c:formatCode>
                <c:ptCount val="29"/>
                <c:pt idx="0">
                  <c:v>0</c:v>
                </c:pt>
                <c:pt idx="1">
                  <c:v>0</c:v>
                </c:pt>
                <c:pt idx="2">
                  <c:v>0</c:v>
                </c:pt>
                <c:pt idx="3">
                  <c:v>0</c:v>
                </c:pt>
                <c:pt idx="4">
                  <c:v>0</c:v>
                </c:pt>
                <c:pt idx="5">
                  <c:v>0</c:v>
                </c:pt>
                <c:pt idx="6">
                  <c:v>0</c:v>
                </c:pt>
                <c:pt idx="7">
                  <c:v>0</c:v>
                </c:pt>
                <c:pt idx="8">
                  <c:v>-0.46178891117453202</c:v>
                </c:pt>
                <c:pt idx="9">
                  <c:v>-0.46317750651488937</c:v>
                </c:pt>
                <c:pt idx="10">
                  <c:v>-0.46456952690065545</c:v>
                </c:pt>
                <c:pt idx="11">
                  <c:v>-0.46596495866577908</c:v>
                </c:pt>
                <c:pt idx="12">
                  <c:v>-0.46736629318104117</c:v>
                </c:pt>
                <c:pt idx="13">
                  <c:v>-0.46877104072590142</c:v>
                </c:pt>
                <c:pt idx="14">
                  <c:v>-0.47017918671314335</c:v>
                </c:pt>
                <c:pt idx="15">
                  <c:v>-0.47159326710419053</c:v>
                </c:pt>
                <c:pt idx="16">
                  <c:v>-0.47301074625659661</c:v>
                </c:pt>
                <c:pt idx="17">
                  <c:v>-0.4744316086278772</c:v>
                </c:pt>
                <c:pt idx="18">
                  <c:v>-0.47585843556254287</c:v>
                </c:pt>
                <c:pt idx="19">
                  <c:v>-0.47728864464223514</c:v>
                </c:pt>
                <c:pt idx="20">
                  <c:v>-0.47872221933429571</c:v>
                </c:pt>
                <c:pt idx="21">
                  <c:v>-0.48016178716905106</c:v>
                </c:pt>
                <c:pt idx="22">
                  <c:v>-0.48160471808626715</c:v>
                </c:pt>
                <c:pt idx="23">
                  <c:v>-0.4830536709622768</c:v>
                </c:pt>
                <c:pt idx="24">
                  <c:v>-0.4845059835740661</c:v>
                </c:pt>
                <c:pt idx="25">
                  <c:v>-0.48596163774454498</c:v>
                </c:pt>
                <c:pt idx="26">
                  <c:v>-0.48742333992835157</c:v>
                </c:pt>
                <c:pt idx="27">
                  <c:v>-0.48888837876220131</c:v>
                </c:pt>
                <c:pt idx="28">
                  <c:v>-0.19858761036937356</c:v>
                </c:pt>
              </c:numCache>
            </c:numRef>
          </c:val>
        </c:ser>
        <c:dLbls>
          <c:showLegendKey val="0"/>
          <c:showVal val="0"/>
          <c:showCatName val="0"/>
          <c:showSerName val="0"/>
          <c:showPercent val="0"/>
          <c:showBubbleSize val="0"/>
        </c:dLbls>
        <c:gapWidth val="10"/>
        <c:overlap val="100"/>
        <c:axId val="466846440"/>
        <c:axId val="466840560"/>
      </c:barChart>
      <c:lineChart>
        <c:grouping val="standard"/>
        <c:varyColors val="0"/>
        <c:ser>
          <c:idx val="6"/>
          <c:order val="4"/>
          <c:tx>
            <c:strRef>
              <c:f>RESULTS!$B$24</c:f>
              <c:strCache>
                <c:ptCount val="1"/>
                <c:pt idx="0">
                  <c:v>net balance</c:v>
                </c:pt>
              </c:strCache>
            </c:strRef>
          </c:tx>
          <c:spPr>
            <a:ln w="38100" cap="rnd">
              <a:solidFill>
                <a:srgbClr val="FF0000"/>
              </a:solidFill>
              <a:prstDash val="sysDot"/>
              <a:round/>
            </a:ln>
            <a:effectLst/>
          </c:spPr>
          <c:marker>
            <c:symbol val="none"/>
          </c:marker>
          <c:val>
            <c:numRef>
              <c:f>RESULTS!$C$24:$AE$24</c:f>
              <c:numCache>
                <c:formatCode>#,##0.000</c:formatCode>
                <c:ptCount val="29"/>
                <c:pt idx="0">
                  <c:v>2.2777207155729617</c:v>
                </c:pt>
                <c:pt idx="1">
                  <c:v>2.2182323043008454</c:v>
                </c:pt>
                <c:pt idx="2">
                  <c:v>2.1639813808062311</c:v>
                </c:pt>
                <c:pt idx="3">
                  <c:v>2.1307656172429676</c:v>
                </c:pt>
                <c:pt idx="4">
                  <c:v>2.1006373321103995</c:v>
                </c:pt>
                <c:pt idx="5">
                  <c:v>2.0585495114550447</c:v>
                </c:pt>
                <c:pt idx="6">
                  <c:v>2.0204539546589335</c:v>
                </c:pt>
                <c:pt idx="7">
                  <c:v>1.9860823448799585</c:v>
                </c:pt>
                <c:pt idx="8">
                  <c:v>1.73706892798366</c:v>
                </c:pt>
                <c:pt idx="9">
                  <c:v>1.4922162339163163</c:v>
                </c:pt>
                <c:pt idx="10">
                  <c:v>1.4775573903867589</c:v>
                </c:pt>
                <c:pt idx="11">
                  <c:v>1.4647499022514165</c:v>
                </c:pt>
                <c:pt idx="12">
                  <c:v>1.4536941694711862</c:v>
                </c:pt>
                <c:pt idx="13">
                  <c:v>1.4442864102082218</c:v>
                </c:pt>
                <c:pt idx="14">
                  <c:v>1.4364305406176103</c:v>
                </c:pt>
                <c:pt idx="15">
                  <c:v>1.4300484897375871</c:v>
                </c:pt>
                <c:pt idx="16">
                  <c:v>1.6640804537328171</c:v>
                </c:pt>
                <c:pt idx="17">
                  <c:v>1.4266390851854964</c:v>
                </c:pt>
                <c:pt idx="18">
                  <c:v>1.4242172316745272</c:v>
                </c:pt>
                <c:pt idx="19">
                  <c:v>1.4139406096446445</c:v>
                </c:pt>
                <c:pt idx="20">
                  <c:v>1.4048701379304978</c:v>
                </c:pt>
                <c:pt idx="21">
                  <c:v>1.3969430237006657</c:v>
                </c:pt>
                <c:pt idx="22">
                  <c:v>1.390091268885405</c:v>
                </c:pt>
                <c:pt idx="23">
                  <c:v>1.3842601492037465</c:v>
                </c:pt>
                <c:pt idx="24">
                  <c:v>1.3793941922558242</c:v>
                </c:pt>
                <c:pt idx="25">
                  <c:v>1.3754367086775499</c:v>
                </c:pt>
                <c:pt idx="26">
                  <c:v>1.3723433158771081</c:v>
                </c:pt>
                <c:pt idx="27">
                  <c:v>1.3700637344825701</c:v>
                </c:pt>
                <c:pt idx="28">
                  <c:v>1.6557871494253062</c:v>
                </c:pt>
              </c:numCache>
            </c:numRef>
          </c:val>
          <c:smooth val="0"/>
        </c:ser>
        <c:ser>
          <c:idx val="0"/>
          <c:order val="5"/>
          <c:tx>
            <c:strRef>
              <c:f>RESULTS!$B$25</c:f>
              <c:strCache>
                <c:ptCount val="1"/>
                <c:pt idx="0">
                  <c:v>baseline scenario</c:v>
                </c:pt>
              </c:strCache>
            </c:strRef>
          </c:tx>
          <c:spPr>
            <a:ln w="19050" cap="rnd">
              <a:solidFill>
                <a:sysClr val="windowText" lastClr="000000"/>
              </a:solidFill>
              <a:prstDash val="sysDash"/>
              <a:round/>
            </a:ln>
            <a:effectLst/>
          </c:spPr>
          <c:marker>
            <c:symbol val="none"/>
          </c:marker>
          <c:val>
            <c:numRef>
              <c:f>RESULTS!$C$25:$AE$25</c:f>
              <c:numCache>
                <c:formatCode>#,##0.000</c:formatCode>
                <c:ptCount val="29"/>
                <c:pt idx="0">
                  <c:v>2.1954844497587578</c:v>
                </c:pt>
                <c:pt idx="1">
                  <c:v>2.1411270254861599</c:v>
                </c:pt>
                <c:pt idx="2">
                  <c:v>2.0916870365932083</c:v>
                </c:pt>
                <c:pt idx="3">
                  <c:v>2.0467410404319488</c:v>
                </c:pt>
                <c:pt idx="4">
                  <c:v>2.0060182544177212</c:v>
                </c:pt>
                <c:pt idx="5">
                  <c:v>1.9692306786673057</c:v>
                </c:pt>
                <c:pt idx="6">
                  <c:v>1.9361096684648789</c:v>
                </c:pt>
                <c:pt idx="7">
                  <c:v>1.9064062846851213</c:v>
                </c:pt>
                <c:pt idx="8">
                  <c:v>1.8798898752573974</c:v>
                </c:pt>
                <c:pt idx="9">
                  <c:v>1.8573692943192901</c:v>
                </c:pt>
                <c:pt idx="10">
                  <c:v>1.8368391479605015</c:v>
                </c:pt>
                <c:pt idx="11">
                  <c:v>1.8181815743436724</c:v>
                </c:pt>
                <c:pt idx="12">
                  <c:v>1.8012935728498118</c:v>
                </c:pt>
                <c:pt idx="13">
                  <c:v>1.786063892632374</c:v>
                </c:pt>
                <c:pt idx="14">
                  <c:v>1.7723916763641687</c:v>
                </c:pt>
                <c:pt idx="15">
                  <c:v>1.760196539341639</c:v>
                </c:pt>
                <c:pt idx="16">
                  <c:v>1.7493861556596515</c:v>
                </c:pt>
                <c:pt idx="17">
                  <c:v>1.7398806782698129</c:v>
                </c:pt>
                <c:pt idx="18">
                  <c:v>1.7316120573584177</c:v>
                </c:pt>
                <c:pt idx="19">
                  <c:v>1.7245033082374857</c:v>
                </c:pt>
                <c:pt idx="20">
                  <c:v>1.7184887605282606</c:v>
                </c:pt>
                <c:pt idx="21">
                  <c:v>1.7135135226716351</c:v>
                </c:pt>
                <c:pt idx="22">
                  <c:v>1.7095132567395384</c:v>
                </c:pt>
                <c:pt idx="23">
                  <c:v>1.7064405553634949</c:v>
                </c:pt>
                <c:pt idx="24">
                  <c:v>1.7042430082869064</c:v>
                </c:pt>
                <c:pt idx="25">
                  <c:v>1.7028686987591937</c:v>
                </c:pt>
                <c:pt idx="26">
                  <c:v>1.7022797990046785</c:v>
                </c:pt>
                <c:pt idx="27">
                  <c:v>1.7024283018972024</c:v>
                </c:pt>
                <c:pt idx="28">
                  <c:v>1.7032753848535724</c:v>
                </c:pt>
              </c:numCache>
            </c:numRef>
          </c:val>
          <c:smooth val="0"/>
        </c:ser>
        <c:dLbls>
          <c:showLegendKey val="0"/>
          <c:showVal val="0"/>
          <c:showCatName val="0"/>
          <c:showSerName val="0"/>
          <c:showPercent val="0"/>
          <c:showBubbleSize val="0"/>
        </c:dLbls>
        <c:marker val="1"/>
        <c:smooth val="0"/>
        <c:axId val="466846440"/>
        <c:axId val="466840560"/>
      </c:lineChart>
      <c:catAx>
        <c:axId val="466846440"/>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466840560"/>
        <c:crosses val="autoZero"/>
        <c:auto val="1"/>
        <c:lblAlgn val="ctr"/>
        <c:lblOffset val="100"/>
        <c:noMultiLvlLbl val="0"/>
      </c:catAx>
      <c:valAx>
        <c:axId val="466840560"/>
        <c:scaling>
          <c:orientation val="minMax"/>
        </c:scaling>
        <c:delete val="0"/>
        <c:axPos val="l"/>
        <c:majorGridlines>
          <c:spPr>
            <a:ln w="9525" cap="flat" cmpd="sng" algn="ctr">
              <a:solidFill>
                <a:schemeClr val="bg1">
                  <a:lumMod val="50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846440"/>
        <c:crosses val="autoZero"/>
        <c:crossBetween val="between"/>
      </c:valAx>
      <c:spPr>
        <a:noFill/>
        <a:ln>
          <a:noFill/>
        </a:ln>
        <a:effectLst/>
      </c:spPr>
    </c:plotArea>
    <c:legend>
      <c:legendPos val="b"/>
      <c:layout>
        <c:manualLayout>
          <c:xMode val="edge"/>
          <c:yMode val="edge"/>
          <c:x val="3.1457173036297303E-2"/>
          <c:y val="0.84185946275357992"/>
          <c:w val="0.58076387555214126"/>
          <c:h val="0.1333343316583176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5" fmlaLink="C3" fmlaRange="'DEFAULT DATA'!$A$9:$A$41" sel="26" val="25"/>
</file>

<file path=xl/ctrlProps/ctrlProp2.xml><?xml version="1.0" encoding="utf-8"?>
<formControlPr xmlns="http://schemas.microsoft.com/office/spreadsheetml/2009/9/main" objectType="Drop" dropLines="5" dropStyle="combo" dx="25" fmlaLink="C2" fmlaRange="'MENU OPTIONS'!$A$1:$A$29" sel="1" val="0"/>
</file>

<file path=xl/ctrlProps/ctrlProp3.xml><?xml version="1.0" encoding="utf-8"?>
<formControlPr xmlns="http://schemas.microsoft.com/office/spreadsheetml/2009/9/main" objectType="Drop" dropLines="5" dropStyle="combo" dx="25" fmlaLink="E3" fmlaRange="'DEFAULT DATA'!$A$42:$A$100" sel="4" val="2"/>
</file>

<file path=xl/ctrlProps/ctrlProp4.xml><?xml version="1.0" encoding="utf-8"?>
<formControlPr xmlns="http://schemas.microsoft.com/office/spreadsheetml/2009/9/main" objectType="Drop" dropLines="4" dropStyle="combo" dx="25" fmlaLink="G19" fmlaRange="'MENU OPTIONS'!$B$3:$B$6" sel="1" val="0"/>
</file>

<file path=xl/ctrlProps/ctrlProp5.xml><?xml version="1.0" encoding="utf-8"?>
<formControlPr xmlns="http://schemas.microsoft.com/office/spreadsheetml/2009/9/main" objectType="Drop" dropLines="4" dropStyle="combo" dx="25" fmlaLink="G20" fmlaRange="'MENU OPTIONS'!$B$9:$B$12" sel="1" val="0"/>
</file>

<file path=xl/ctrlProps/ctrlProp6.xml><?xml version="1.0" encoding="utf-8"?>
<formControlPr xmlns="http://schemas.microsoft.com/office/spreadsheetml/2009/9/main" objectType="Drop" dropLines="4" dropStyle="combo" dx="25" fmlaLink="G21" fmlaRange="'MENU OPTIONS'!$B$14:$B$17" sel="1" val="0"/>
</file>

<file path=xl/ctrlProps/ctrlProp7.xml><?xml version="1.0" encoding="utf-8"?>
<formControlPr xmlns="http://schemas.microsoft.com/office/spreadsheetml/2009/9/main" objectType="Drop" dropLines="4" dropStyle="combo" dx="25" fmlaLink="G22" fmlaRange="'MENU OPTIONS'!$B$19:$B$22" sel="1" val="0"/>
</file>

<file path=xl/ctrlProps/ctrlProp8.xml><?xml version="1.0" encoding="utf-8"?>
<formControlPr xmlns="http://schemas.microsoft.com/office/spreadsheetml/2009/9/main" objectType="Drop" dropLines="5" dropStyle="combo" dx="25" fmlaLink="$F$129" fmlaRange="'MENU OPTIONS'!$A$1:$A$29" sel="1" val="0"/>
</file>

<file path=xl/ctrlProps/ctrlProp9.xml><?xml version="1.0" encoding="utf-8"?>
<formControlPr xmlns="http://schemas.microsoft.com/office/spreadsheetml/2009/9/main" objectType="Drop" dropLines="5" dropStyle="combo" dx="25" fmlaLink="$G$129" fmlaRange="'MENU OPTIONS'!$A$1:$A$29" sel="1" val="0"/>
</file>

<file path=xl/ctrlProps/ctrlProp10.xml><?xml version="1.0" encoding="utf-8"?>
<formControlPr xmlns="http://schemas.microsoft.com/office/spreadsheetml/2009/9/main" objectType="Drop" dropLines="5" dropStyle="combo" dx="25" fmlaLink="$F$151" fmlaRange="'MENU OPTIONS'!$A$1:$A$29" sel="14" val="10"/>
</file>

<file path=xl/ctrlProps/ctrlProp11.xml><?xml version="1.0" encoding="utf-8"?>
<formControlPr xmlns="http://schemas.microsoft.com/office/spreadsheetml/2009/9/main" objectType="Drop" dropLines="5" dropStyle="combo" dx="25" fmlaLink="$G$151" fmlaRange="'MENU OPTIONS'!$A$1:$A$29" sel="19" val="15"/>
</file>

<file path=xl/ctrlProps/ctrlProp12.xml><?xml version="1.0" encoding="utf-8"?>
<formControlPr xmlns="http://schemas.microsoft.com/office/spreadsheetml/2009/9/main" objectType="Drop" dropLines="5" dropStyle="combo" dx="25" fmlaLink="$G$177" fmlaRange="'MENU OPTIONS'!$A$1:$A$29" sel="9" val="4"/>
</file>

<file path=xl/ctrlProps/ctrlProp13.xml><?xml version="1.0" encoding="utf-8"?>
<formControlPr xmlns="http://schemas.microsoft.com/office/spreadsheetml/2009/9/main" objectType="Drop" dropLines="5" dropStyle="combo" dx="25" fmlaLink="$F$177" fmlaRange="'MENU OPTIONS'!$A$1:$A$29" sel="4" val="0"/>
</file>

<file path=xl/ctrlProps/ctrlProp14.xml><?xml version="1.0" encoding="utf-8"?>
<formControlPr xmlns="http://schemas.microsoft.com/office/spreadsheetml/2009/9/main" objectType="Drop" dropLines="5" dropStyle="combo" dx="25" fmlaLink="$F$160" fmlaRange="'MENU OPTIONS'!$A$1:$A$29" sel="4" val="2"/>
</file>

<file path=xl/ctrlProps/ctrlProp15.xml><?xml version="1.0" encoding="utf-8"?>
<formControlPr xmlns="http://schemas.microsoft.com/office/spreadsheetml/2009/9/main" objectType="Drop" dropLines="5" dropStyle="combo" dx="25" fmlaLink="$G$160" fmlaRange="'MENU OPTIONS'!$A$1:$A$29" sel="9" val="6"/>
</file>

<file path=xl/ctrlProps/ctrlProp16.xml><?xml version="1.0" encoding="utf-8"?>
<formControlPr xmlns="http://schemas.microsoft.com/office/spreadsheetml/2009/9/main" objectType="Drop" dropLines="5" dropStyle="combo" dx="25" fmlaLink="$G$187" fmlaRange="'MENU OPTIONS'!$A$1:$A$29" sel="5" val="3"/>
</file>

<file path=xl/ctrlProps/ctrlProp17.xml><?xml version="1.0" encoding="utf-8"?>
<formControlPr xmlns="http://schemas.microsoft.com/office/spreadsheetml/2009/9/main" objectType="Drop" dropLines="5" dropStyle="combo" dx="25" fmlaLink="$F$187" fmlaRange="'MENU OPTIONS'!$A$1:$A$29" sel="4" val="2"/>
</file>

<file path=xl/ctrlProps/ctrlProp18.xml><?xml version="1.0" encoding="utf-8"?>
<formControlPr xmlns="http://schemas.microsoft.com/office/spreadsheetml/2009/9/main" objectType="Drop" dropLines="5" dropStyle="combo" dx="25" fmlaLink="$G$198" fmlaRange="'MENU OPTIONS'!$A$1:$A$29" sel="13" val="12"/>
</file>

<file path=xl/ctrlProps/ctrlProp19.xml><?xml version="1.0" encoding="utf-8"?>
<formControlPr xmlns="http://schemas.microsoft.com/office/spreadsheetml/2009/9/main" objectType="Drop" dropLines="5" dropStyle="combo" dx="25" fmlaLink="$F$198" fmlaRange="'MENU OPTIONS'!$A$1:$A$29" sel="4" val="0"/>
</file>

<file path=xl/ctrlProps/ctrlProp20.xml><?xml version="1.0" encoding="utf-8"?>
<formControlPr xmlns="http://schemas.microsoft.com/office/spreadsheetml/2009/9/main" objectType="Drop" dropLines="5" dropStyle="combo" dx="25" fmlaLink="$G$220" fmlaRange="'MENU OPTIONS'!$A$1:$A$29" sel="4" val="0"/>
</file>

<file path=xl/ctrlProps/ctrlProp21.xml><?xml version="1.0" encoding="utf-8"?>
<formControlPr xmlns="http://schemas.microsoft.com/office/spreadsheetml/2009/9/main" objectType="Drop" dropLines="5" dropStyle="combo" dx="25" fmlaLink="$F$220" fmlaRange="'MENU OPTIONS'!$A$1:$A$29" sel="1" val="0"/>
</file>

<file path=xl/ctrlProps/ctrlProp22.xml><?xml version="1.0" encoding="utf-8"?>
<formControlPr xmlns="http://schemas.microsoft.com/office/spreadsheetml/2009/9/main" objectType="Drop" dropLines="5" dropStyle="combo" dx="25" fmlaLink="$G$230" fmlaRange="'MENU OPTIONS'!$A$1:$A$29" sel="1" val="0"/>
</file>

<file path=xl/ctrlProps/ctrlProp23.xml><?xml version="1.0" encoding="utf-8"?>
<formControlPr xmlns="http://schemas.microsoft.com/office/spreadsheetml/2009/9/main" objectType="Drop" dropLines="5" dropStyle="combo" dx="25" fmlaLink="$F$230" fmlaRange="'MENU OPTIONS'!$A$1:$A$29" sel="1" val="0"/>
</file>

<file path=xl/ctrlProps/ctrlProp24.xml><?xml version="1.0" encoding="utf-8"?>
<formControlPr xmlns="http://schemas.microsoft.com/office/spreadsheetml/2009/9/main" objectType="Drop" dropLines="5" dropStyle="combo" dx="25" fmlaLink="H47" fmlaRange="'MENU OPTIONS'!$A$1:$A$29" sel="7" val="6"/>
</file>

<file path=xl/ctrlProps/ctrlProp25.xml><?xml version="1.0" encoding="utf-8"?>
<formControlPr xmlns="http://schemas.microsoft.com/office/spreadsheetml/2009/9/main" objectType="Drop" dropLines="5" dropStyle="combo" dx="25" fmlaLink="H48" fmlaRange="'MENU OPTIONS'!$A$1:$A$29" sel="9" val="5"/>
</file>

<file path=xl/ctrlProps/ctrlProp26.xml><?xml version="1.0" encoding="utf-8"?>
<formControlPr xmlns="http://schemas.microsoft.com/office/spreadsheetml/2009/9/main" objectType="Drop" dropLines="5" dropStyle="combo" dx="25" fmlaLink="H49" fmlaRange="'MENU OPTIONS'!$A$1:$A$29" sel="4" val="0"/>
</file>

<file path=xl/ctrlProps/ctrlProp27.xml><?xml version="1.0" encoding="utf-8"?>
<formControlPr xmlns="http://schemas.microsoft.com/office/spreadsheetml/2009/9/main" objectType="Drop" dropLines="5" dropStyle="combo" dx="25" fmlaLink="H50" fmlaRange="'MENU OPTIONS'!$A$1:$A$29" sel="4" val="0"/>
</file>

<file path=xl/ctrlProps/ctrlProp28.xml><?xml version="1.0" encoding="utf-8"?>
<formControlPr xmlns="http://schemas.microsoft.com/office/spreadsheetml/2009/9/main" objectType="Drop" dropLines="5" dropStyle="combo" dx="25" fmlaLink="H51" fmlaRange="'MENU OPTIONS'!$A$1:$A$29" sel="4" val="0"/>
</file>

<file path=xl/ctrlProps/ctrlProp29.xml><?xml version="1.0" encoding="utf-8"?>
<formControlPr xmlns="http://schemas.microsoft.com/office/spreadsheetml/2009/9/main" objectType="Drop" dropLines="5" dropStyle="combo" dx="25" fmlaLink="H52" fmlaRange="'MENU OPTIONS'!$A$1:$A$29" sel="1" val="6"/>
</file>

<file path=xl/ctrlProps/ctrlProp30.xml><?xml version="1.0" encoding="utf-8"?>
<formControlPr xmlns="http://schemas.microsoft.com/office/spreadsheetml/2009/9/main" objectType="Drop" dropLines="5" dropStyle="combo" dx="25" fmlaLink="H53" fmlaRange="'MENU OPTIONS'!$A$1:$A$29" sel="1" val="0"/>
</file>

<file path=xl/ctrlProps/ctrlProp31.xml><?xml version="1.0" encoding="utf-8"?>
<formControlPr xmlns="http://schemas.microsoft.com/office/spreadsheetml/2009/9/main" objectType="Drop" dropLines="5" dropStyle="combo" dx="25" fmlaLink="H54" fmlaRange="'MENU OPTIONS'!$A$1:$A$29" sel="1" val="0"/>
</file>

<file path=xl/ctrlProps/ctrlProp32.xml><?xml version="1.0" encoding="utf-8"?>
<formControlPr xmlns="http://schemas.microsoft.com/office/spreadsheetml/2009/9/main" objectType="Drop" dropLines="5" dropStyle="combo" dx="25" fmlaLink="H55" fmlaRange="'MENU OPTIONS'!$A$1:$A$29" sel="1" val="0"/>
</file>

<file path=xl/ctrlProps/ctrlProp33.xml><?xml version="1.0" encoding="utf-8"?>
<formControlPr xmlns="http://schemas.microsoft.com/office/spreadsheetml/2009/9/main" objectType="Drop" dropLines="5" dropStyle="combo" dx="25" fmlaLink="H56" fmlaRange="'MENU OPTIONS'!$A$1:$A$29" sel="1" val="0"/>
</file>

<file path=xl/ctrlProps/ctrlProp34.xml><?xml version="1.0" encoding="utf-8"?>
<formControlPr xmlns="http://schemas.microsoft.com/office/spreadsheetml/2009/9/main" objectType="Drop" dropLines="5" dropStyle="combo" dx="25" fmlaLink="H57" fmlaRange="'MENU OPTIONS'!$A$1:$A$29" sel="1" val="0"/>
</file>

<file path=xl/ctrlProps/ctrlProp35.xml><?xml version="1.0" encoding="utf-8"?>
<formControlPr xmlns="http://schemas.microsoft.com/office/spreadsheetml/2009/9/main" objectType="Drop" dropLines="5" dropStyle="combo" dx="25" fmlaLink="H58" fmlaRange="'MENU OPTIONS'!$A$1:$A$29" sel="1" val="0"/>
</file>

<file path=xl/ctrlProps/ctrlProp36.xml><?xml version="1.0" encoding="utf-8"?>
<formControlPr xmlns="http://schemas.microsoft.com/office/spreadsheetml/2009/9/main" objectType="Drop" dropLines="5" dropStyle="combo" dx="25" fmlaLink="H59" fmlaRange="'MENU OPTIONS'!$A$1:$A$29" sel="1" val="0"/>
</file>

<file path=xl/ctrlProps/ctrlProp37.xml><?xml version="1.0" encoding="utf-8"?>
<formControlPr xmlns="http://schemas.microsoft.com/office/spreadsheetml/2009/9/main" objectType="Drop" dropLines="5" dropStyle="combo" dx="25" fmlaLink="H60" fmlaRange="'MENU OPTIONS'!$A$1:$A$29" sel="1" val="0"/>
</file>

<file path=xl/ctrlProps/ctrlProp38.xml><?xml version="1.0" encoding="utf-8"?>
<formControlPr xmlns="http://schemas.microsoft.com/office/spreadsheetml/2009/9/main" objectType="Drop" dropLines="5" dropStyle="combo" dx="25" fmlaLink="H61" fmlaRange="'MENU OPTIONS'!$A$1:$A$29" sel="1" val="0"/>
</file>

<file path=xl/ctrlProps/ctrlProp39.xml><?xml version="1.0" encoding="utf-8"?>
<formControlPr xmlns="http://schemas.microsoft.com/office/spreadsheetml/2009/9/main" objectType="Drop" dropLines="5" dropStyle="combo" dx="25" fmlaLink="H62" fmlaRange="'MENU OPTIONS'!$A$1:$A$29" sel="1" val="6"/>
</file>

<file path=xl/ctrlProps/ctrlProp40.xml><?xml version="1.0" encoding="utf-8"?>
<formControlPr xmlns="http://schemas.microsoft.com/office/spreadsheetml/2009/9/main" objectType="Drop" dropLines="5" dropStyle="combo" dx="25" fmlaLink="H63" fmlaRange="'MENU OPTIONS'!$A$1:$A$29" sel="1" val="0"/>
</file>

<file path=xl/ctrlProps/ctrlProp41.xml><?xml version="1.0" encoding="utf-8"?>
<formControlPr xmlns="http://schemas.microsoft.com/office/spreadsheetml/2009/9/main" objectType="Drop" dropLines="5" dropStyle="combo" dx="25" fmlaLink="H64" fmlaRange="'MENU OPTIONS'!$A$1:$A$29" sel="1" val="0"/>
</file>

<file path=xl/ctrlProps/ctrlProp42.xml><?xml version="1.0" encoding="utf-8"?>
<formControlPr xmlns="http://schemas.microsoft.com/office/spreadsheetml/2009/9/main" objectType="Drop" dropLines="5" dropStyle="combo" dx="25" fmlaLink="H65" fmlaRange="'MENU OPTIONS'!$A$1:$A$29" sel="1" val="0"/>
</file>

<file path=xl/ctrlProps/ctrlProp43.xml><?xml version="1.0" encoding="utf-8"?>
<formControlPr xmlns="http://schemas.microsoft.com/office/spreadsheetml/2009/9/main" objectType="Drop" dropLines="5" dropStyle="combo" dx="25" fmlaLink="H66" fmlaRange="'MENU OPTIONS'!$A$1:$A$29" sel="1" val="0"/>
</file>

<file path=xl/ctrlProps/ctrlProp44.xml><?xml version="1.0" encoding="utf-8"?>
<formControlPr xmlns="http://schemas.microsoft.com/office/spreadsheetml/2009/9/main" objectType="Drop" dropLines="5" dropStyle="combo" dx="25" fmlaLink="H67" fmlaRange="'MENU OPTIONS'!$A$1:$A$29" sel="17" val="12"/>
</file>

<file path=xl/ctrlProps/ctrlProp45.xml><?xml version="1.0" encoding="utf-8"?>
<formControlPr xmlns="http://schemas.microsoft.com/office/spreadsheetml/2009/9/main" objectType="Drop" dropLines="5" dropStyle="combo" dx="25" fmlaLink="H68" fmlaRange="'MENU OPTIONS'!$A$1:$A$29" sel="1" val="0"/>
</file>

<file path=xl/ctrlProps/ctrlProp46.xml><?xml version="1.0" encoding="utf-8"?>
<formControlPr xmlns="http://schemas.microsoft.com/office/spreadsheetml/2009/9/main" objectType="Drop" dropLines="5" dropStyle="combo" dx="25" fmlaLink="H69" fmlaRange="'MENU OPTIONS'!$A$1:$A$29" sel="4" val="0"/>
</file>

<file path=xl/ctrlProps/ctrlProp47.xml><?xml version="1.0" encoding="utf-8"?>
<formControlPr xmlns="http://schemas.microsoft.com/office/spreadsheetml/2009/9/main" objectType="Drop" dropLines="5" dropStyle="combo" dx="25" fmlaLink="H70" fmlaRange="'MENU OPTIONS'!$A$1:$A$29" sel="4" val="0"/>
</file>

<file path=xl/ctrlProps/ctrlProp48.xml><?xml version="1.0" encoding="utf-8"?>
<formControlPr xmlns="http://schemas.microsoft.com/office/spreadsheetml/2009/9/main" objectType="Drop" dropLines="5" dropStyle="combo" dx="25" fmlaLink="H71" fmlaRange="'MENU OPTIONS'!$A$1:$A$29" sel="1" val="0"/>
</file>

<file path=xl/ctrlProps/ctrlProp49.xml><?xml version="1.0" encoding="utf-8"?>
<formControlPr xmlns="http://schemas.microsoft.com/office/spreadsheetml/2009/9/main" objectType="Drop" dropLines="5" dropStyle="combo" dx="25" fmlaLink="H72" fmlaRange="'MENU OPTIONS'!$A$1:$A$29" sel="9" val="4"/>
</file>

<file path=xl/ctrlProps/ctrlProp50.xml><?xml version="1.0" encoding="utf-8"?>
<formControlPr xmlns="http://schemas.microsoft.com/office/spreadsheetml/2009/9/main" objectType="Drop" dropLines="5" dropStyle="combo" dx="25" fmlaLink="H73" fmlaRange="'MENU OPTIONS'!$A$1:$A$29" sel="1" val="0"/>
</file>

<file path=xl/ctrlProps/ctrlProp51.xml><?xml version="1.0" encoding="utf-8"?>
<formControlPr xmlns="http://schemas.microsoft.com/office/spreadsheetml/2009/9/main" objectType="Drop" dropLines="5" dropStyle="combo" dx="25" fmlaLink="H74" fmlaRange="'MENU OPTIONS'!$A$1:$A$29" sel="1" val="0"/>
</file>

<file path=xl/ctrlProps/ctrlProp52.xml><?xml version="1.0" encoding="utf-8"?>
<formControlPr xmlns="http://schemas.microsoft.com/office/spreadsheetml/2009/9/main" objectType="Drop" dropLines="5" dropStyle="combo" dx="25" fmlaLink="H75" fmlaRange="'MENU OPTIONS'!$A$1:$A$29" sel="1" val="0"/>
</file>

<file path=xl/ctrlProps/ctrlProp53.xml><?xml version="1.0" encoding="utf-8"?>
<formControlPr xmlns="http://schemas.microsoft.com/office/spreadsheetml/2009/9/main" objectType="Drop" dropLines="5" dropStyle="combo" dx="25" fmlaLink="H76" fmlaRange="'MENU OPTIONS'!$A$1:$A$29" sel="1" val="0"/>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Drop" dropLines="5" dropStyle="combo" dx="25" fmlaLink="E75" fmlaRange="'MENU OPTIONS'!$A$1:$A$29" sel="19" val="14"/>
</file>

<file path=xl/ctrlProps/ctrlProp56.xml><?xml version="1.0" encoding="utf-8"?>
<formControlPr xmlns="http://schemas.microsoft.com/office/spreadsheetml/2009/9/main" objectType="Drop" dropLines="5" dropStyle="combo" dx="25" fmlaLink="D75" fmlaRange="'MENU OPTIONS'!$A$1:$A$29" sel="9" val="4"/>
</file>

<file path=xl/ctrlProps/ctrlProp57.xml><?xml version="1.0" encoding="utf-8"?>
<formControlPr xmlns="http://schemas.microsoft.com/office/spreadsheetml/2009/9/main" objectType="Drop" dropLines="5" dropStyle="combo" dx="25" fmlaLink="E76" fmlaRange="'MENU OPTIONS'!$A$1:$A$29" sel="9" val="4"/>
</file>

<file path=xl/ctrlProps/ctrlProp58.xml><?xml version="1.0" encoding="utf-8"?>
<formControlPr xmlns="http://schemas.microsoft.com/office/spreadsheetml/2009/9/main" objectType="Drop" dropLines="5" dropStyle="combo" dx="25" fmlaLink="D76" fmlaRange="'MENU OPTIONS'!$A$1:$A$29" sel="9" val="4"/>
</file>

<file path=xl/ctrlProps/ctrlProp59.xml><?xml version="1.0" encoding="utf-8"?>
<formControlPr xmlns="http://schemas.microsoft.com/office/spreadsheetml/2009/9/main" objectType="Drop" dropLines="5" dropStyle="combo" dx="25" fmlaLink="E77" fmlaRange="'MENU OPTIONS'!$A$1:$A$29" sel="14" val="9"/>
</file>

<file path=xl/ctrlProps/ctrlProp60.xml><?xml version="1.0" encoding="utf-8"?>
<formControlPr xmlns="http://schemas.microsoft.com/office/spreadsheetml/2009/9/main" objectType="Drop" dropLines="5" dropStyle="combo" dx="25" fmlaLink="D77" fmlaRange="'MENU OPTIONS'!$A$1:$A$29" sel="9" val="5"/>
</file>

<file path=xl/ctrlProps/ctrlProp61.xml><?xml version="1.0" encoding="utf-8"?>
<formControlPr xmlns="http://schemas.microsoft.com/office/spreadsheetml/2009/9/main" objectType="Drop" dropLines="5" dropStyle="combo" dx="25" fmlaLink="E78" fmlaRange="'MENU OPTIONS'!$A$1:$A$29" sel="19" val="15"/>
</file>

<file path=xl/ctrlProps/ctrlProp62.xml><?xml version="1.0" encoding="utf-8"?>
<formControlPr xmlns="http://schemas.microsoft.com/office/spreadsheetml/2009/9/main" objectType="Drop" dropLines="5" dropStyle="combo" dx="25" fmlaLink="D78" fmlaRange="'MENU OPTIONS'!$A$1:$A$29" sel="14" val="10"/>
</file>

<file path=xl/ctrlProps/ctrlProp63.xml><?xml version="1.0" encoding="utf-8"?>
<formControlPr xmlns="http://schemas.microsoft.com/office/spreadsheetml/2009/9/main" objectType="Drop" dropLines="5" dropStyle="combo" dx="25" fmlaLink="E83" fmlaRange="'MENU OPTIONS'!$A$1:$A$29" sel="9" val="6"/>
</file>

<file path=xl/ctrlProps/ctrlProp64.xml><?xml version="1.0" encoding="utf-8"?>
<formControlPr xmlns="http://schemas.microsoft.com/office/spreadsheetml/2009/9/main" objectType="Drop" dropLines="5" dropStyle="combo" dx="25" fmlaLink="D83" fmlaRange="'MENU OPTIONS'!$A$1:$A$29" sel="9" val="4"/>
</file>

<file path=xl/ctrlProps/ctrlProp65.xml><?xml version="1.0" encoding="utf-8"?>
<formControlPr xmlns="http://schemas.microsoft.com/office/spreadsheetml/2009/9/main" objectType="Drop" dropLines="5" dropStyle="combo" dx="25" fmlaLink="E84" fmlaRange="'MENU OPTIONS'!$A$1:$A$29" sel="9" val="8"/>
</file>

<file path=xl/ctrlProps/ctrlProp66.xml><?xml version="1.0" encoding="utf-8"?>
<formControlPr xmlns="http://schemas.microsoft.com/office/spreadsheetml/2009/9/main" objectType="Drop" dropLines="5" dropStyle="combo" dx="25" fmlaLink="D84" fmlaRange="'MENU OPTIONS'!$A$1:$A$29" sel="9" val="5"/>
</file>

<file path=xl/ctrlProps/ctrlProp67.xml><?xml version="1.0" encoding="utf-8"?>
<formControlPr xmlns="http://schemas.microsoft.com/office/spreadsheetml/2009/9/main" objectType="Drop" dropLines="5" dropStyle="combo" dx="25" fmlaLink="E85" fmlaRange="'MENU OPTIONS'!$A$1:$A$29" sel="9" val="8"/>
</file>

<file path=xl/ctrlProps/ctrlProp68.xml><?xml version="1.0" encoding="utf-8"?>
<formControlPr xmlns="http://schemas.microsoft.com/office/spreadsheetml/2009/9/main" objectType="Drop" dropLines="5" dropStyle="combo" dx="25" fmlaLink="D85" fmlaRange="'MENU OPTIONS'!$A$1:$A$29" sel="9" val="8"/>
</file>

<file path=xl/ctrlProps/ctrlProp69.xml><?xml version="1.0" encoding="utf-8"?>
<formControlPr xmlns="http://schemas.microsoft.com/office/spreadsheetml/2009/9/main" objectType="Drop" dropLines="5" dropStyle="combo" dx="25" fmlaLink="E86" fmlaRange="'MENU OPTIONS'!$A$1:$A$29" sel="9" val="8"/>
</file>

<file path=xl/ctrlProps/ctrlProp70.xml><?xml version="1.0" encoding="utf-8"?>
<formControlPr xmlns="http://schemas.microsoft.com/office/spreadsheetml/2009/9/main" objectType="Drop" dropLines="5" dropStyle="combo" dx="25" fmlaLink="D86" fmlaRange="'MENU OPTIONS'!$A$1:$A$29" sel="9" val="8"/>
</file>

<file path=xl/ctrlProps/ctrlProp71.xml><?xml version="1.0" encoding="utf-8"?>
<formControlPr xmlns="http://schemas.microsoft.com/office/spreadsheetml/2009/9/main" objectType="Drop" dropLines="5" dropStyle="combo" dx="25" fmlaLink="E87" fmlaRange="'MENU OPTIONS'!$A$1:$A$29" sel="9" val="4"/>
</file>

<file path=xl/ctrlProps/ctrlProp72.xml><?xml version="1.0" encoding="utf-8"?>
<formControlPr xmlns="http://schemas.microsoft.com/office/spreadsheetml/2009/9/main" objectType="Drop" dropLines="5" dropStyle="combo" dx="25" fmlaLink="D87" fmlaRange="'MENU OPTIONS'!$A$1:$A$29" sel="9" val="4"/>
</file>

<file path=xl/ctrlProps/ctrlProp73.xml><?xml version="1.0" encoding="utf-8"?>
<formControlPr xmlns="http://schemas.microsoft.com/office/spreadsheetml/2009/9/main" objectType="Drop" dropLines="5" dropStyle="combo" dx="25" fmlaLink="E88" fmlaRange="'MENU OPTIONS'!$A$1:$A$29" sel="9" val="4"/>
</file>

<file path=xl/ctrlProps/ctrlProp74.xml><?xml version="1.0" encoding="utf-8"?>
<formControlPr xmlns="http://schemas.microsoft.com/office/spreadsheetml/2009/9/main" objectType="Drop" dropLines="5" dropStyle="combo" dx="25" fmlaLink="D88" fmlaRange="'MENU OPTIONS'!$A$1:$A$29" sel="9" val="4"/>
</file>

<file path=xl/ctrlProps/ctrlProp75.xml><?xml version="1.0" encoding="utf-8"?>
<formControlPr xmlns="http://schemas.microsoft.com/office/spreadsheetml/2009/9/main" objectType="Drop" dropLines="5" dropStyle="combo" dx="25" fmlaLink="E114" fmlaRange="'MENU OPTIONS'!$D$2:$D$8" sel="1" val="0"/>
</file>

<file path=xl/ctrlProps/ctrlProp76.xml><?xml version="1.0" encoding="utf-8"?>
<formControlPr xmlns="http://schemas.microsoft.com/office/spreadsheetml/2009/9/main" objectType="Drop" dropLines="5" dropStyle="combo" dx="25" fmlaLink="D114" fmlaRange="'MENU OPTIONS'!$D$2:$D$8" sel="4" val="2"/>
</file>

<file path=xl/ctrlProps/ctrlProp77.xml><?xml version="1.0" encoding="utf-8"?>
<formControlPr xmlns="http://schemas.microsoft.com/office/spreadsheetml/2009/9/main" objectType="Drop" dropLines="5" dropStyle="combo" dx="25" fmlaLink="E115" fmlaRange="'MENU OPTIONS'!$D$2:$D$8" sel="1" val="0"/>
</file>

<file path=xl/ctrlProps/ctrlProp78.xml><?xml version="1.0" encoding="utf-8"?>
<formControlPr xmlns="http://schemas.microsoft.com/office/spreadsheetml/2009/9/main" objectType="Drop" dropLines="5" dropStyle="combo" dx="25" fmlaLink="D115" fmlaRange="'MENU OPTIONS'!$D$2:$D$8" sel="5" val="0"/>
</file>

<file path=xl/ctrlProps/ctrlProp79.xml><?xml version="1.0" encoding="utf-8"?>
<formControlPr xmlns="http://schemas.microsoft.com/office/spreadsheetml/2009/9/main" objectType="Drop" dropLines="5" dropStyle="combo" dx="25" fmlaLink="E116" fmlaRange="'MENU OPTIONS'!$D$2:$D$8" sel="1" val="0"/>
</file>

<file path=xl/ctrlProps/ctrlProp80.xml><?xml version="1.0" encoding="utf-8"?>
<formControlPr xmlns="http://schemas.microsoft.com/office/spreadsheetml/2009/9/main" objectType="Drop" dropLines="5" dropStyle="combo" dx="25" fmlaLink="D116" fmlaRange="'MENU OPTIONS'!$D$2:$D$8" sel="5" val="0"/>
</file>

<file path=xl/ctrlProps/ctrlProp81.xml><?xml version="1.0" encoding="utf-8"?>
<formControlPr xmlns="http://schemas.microsoft.com/office/spreadsheetml/2009/9/main" objectType="Drop" dropLines="5" dropStyle="combo" dx="25" fmlaLink="E117" fmlaRange="'MENU OPTIONS'!$D$2:$D$8" sel="1" val="0"/>
</file>

<file path=xl/ctrlProps/ctrlProp82.xml><?xml version="1.0" encoding="utf-8"?>
<formControlPr xmlns="http://schemas.microsoft.com/office/spreadsheetml/2009/9/main" objectType="Drop" dropLines="5" dropStyle="combo" dx="25" fmlaLink="D117" fmlaRange="'MENU OPTIONS'!$D$2:$D$8" sel="5" val="0"/>
</file>

<file path=xl/ctrlProps/ctrlProp83.xml><?xml version="1.0" encoding="utf-8"?>
<formControlPr xmlns="http://schemas.microsoft.com/office/spreadsheetml/2009/9/main" objectType="Drop" dropLines="5" dropStyle="combo" dx="25" fmlaLink="E118" fmlaRange="'MENU OPTIONS'!$D$2:$D$8" sel="1" val="0"/>
</file>

<file path=xl/ctrlProps/ctrlProp84.xml><?xml version="1.0" encoding="utf-8"?>
<formControlPr xmlns="http://schemas.microsoft.com/office/spreadsheetml/2009/9/main" objectType="Drop" dropLines="5" dropStyle="combo" dx="25" fmlaLink="D118" fmlaRange="'MENU OPTIONS'!$D$2:$D$8" sel="5" val="0"/>
</file>

<file path=xl/ctrlProps/ctrlProp85.xml><?xml version="1.0" encoding="utf-8"?>
<formControlPr xmlns="http://schemas.microsoft.com/office/spreadsheetml/2009/9/main" objectType="Drop" dropLines="5" dropStyle="combo" dx="25" fmlaLink="E119" fmlaRange="'MENU OPTIONS'!$D$2:$D$8" sel="1" val="0"/>
</file>

<file path=xl/ctrlProps/ctrlProp86.xml><?xml version="1.0" encoding="utf-8"?>
<formControlPr xmlns="http://schemas.microsoft.com/office/spreadsheetml/2009/9/main" objectType="Drop" dropLines="5" dropStyle="combo" dx="25" fmlaLink="D119" fmlaRange="'MENU OPTIONS'!$D$2:$D$8" sel="5" val="0"/>
</file>

<file path=xl/ctrlProps/ctrlProp87.xml><?xml version="1.0" encoding="utf-8"?>
<formControlPr xmlns="http://schemas.microsoft.com/office/spreadsheetml/2009/9/main" objectType="Drop" dropLines="4" dropStyle="combo" dx="25" fmlaLink="A114" fmlaRange="'MENU OPTIONS'!$B$27:$B$30" sel="1" val="0"/>
</file>

<file path=xl/ctrlProps/ctrlProp88.xml><?xml version="1.0" encoding="utf-8"?>
<formControlPr xmlns="http://schemas.microsoft.com/office/spreadsheetml/2009/9/main" objectType="Drop" dropLines="4" dropStyle="combo" dx="25" fmlaLink="A115" fmlaRange="'MENU OPTIONS'!$B$27:$B$30" sel="4" val="0"/>
</file>

<file path=xl/ctrlProps/ctrlProp89.xml><?xml version="1.0" encoding="utf-8"?>
<formControlPr xmlns="http://schemas.microsoft.com/office/spreadsheetml/2009/9/main" objectType="Drop" dropLines="4" dropStyle="combo" dx="25" fmlaLink="A116" fmlaRange="'MENU OPTIONS'!$B$27:$B$30" sel="2" val="0"/>
</file>

<file path=xl/ctrlProps/ctrlProp90.xml><?xml version="1.0" encoding="utf-8"?>
<formControlPr xmlns="http://schemas.microsoft.com/office/spreadsheetml/2009/9/main" objectType="Drop" dropLines="4" dropStyle="combo" dx="25" fmlaLink="A117" fmlaRange="'MENU OPTIONS'!$B$27:$B$30" sel="2" val="0"/>
</file>

<file path=xl/ctrlProps/ctrlProp91.xml><?xml version="1.0" encoding="utf-8"?>
<formControlPr xmlns="http://schemas.microsoft.com/office/spreadsheetml/2009/9/main" objectType="Drop" dropLines="4" dropStyle="combo" dx="25" fmlaLink="A118" fmlaRange="'MENU OPTIONS'!$B$27:$B$30" sel="2" val="0"/>
</file>

<file path=xl/ctrlProps/ctrlProp92.xml><?xml version="1.0" encoding="utf-8"?>
<formControlPr xmlns="http://schemas.microsoft.com/office/spreadsheetml/2009/9/main" objectType="Drop" dropLines="4" dropStyle="combo" dx="25" fmlaLink="A119" fmlaRange="'MENU OPTIONS'!$B$27:$B$30" sel="2" val="0"/>
</file>

<file path=xl/ctrlProps/ctrlProp93.xml><?xml version="1.0" encoding="utf-8"?>
<formControlPr xmlns="http://schemas.microsoft.com/office/spreadsheetml/2009/9/main" objectType="Drop" dropLines="6" dropStyle="combo" dx="25" fmlaLink="A124" fmlaRange="'MENU OPTIONS'!$B$31:$B$36" sel="2" val="0"/>
</file>

<file path=xl/ctrlProps/ctrlProp94.xml><?xml version="1.0" encoding="utf-8"?>
<formControlPr xmlns="http://schemas.microsoft.com/office/spreadsheetml/2009/9/main" objectType="Drop" dropLines="6" dropStyle="combo" dx="25" fmlaLink="A125" fmlaRange="'MENU OPTIONS'!$B$31:$B$36" sel="2" val="0"/>
</file>

<file path=xl/ctrlProps/ctrlProp95.xml><?xml version="1.0" encoding="utf-8"?>
<formControlPr xmlns="http://schemas.microsoft.com/office/spreadsheetml/2009/9/main" objectType="Drop" dropLines="6" dropStyle="combo" dx="25" fmlaLink="A126" fmlaRange="'MENU OPTIONS'!$B$31:$B$36" sel="2" val="0"/>
</file>

<file path=xl/ctrlProps/ctrlProp96.xml><?xml version="1.0" encoding="utf-8"?>
<formControlPr xmlns="http://schemas.microsoft.com/office/spreadsheetml/2009/9/main" objectType="Drop" dropLines="6" dropStyle="combo" dx="25" fmlaLink="A127" fmlaRange="'MENU OPTIONS'!$B$31:$B$36" sel="2" val="0"/>
</file>

<file path=xl/ctrlProps/ctrlProp97.xml><?xml version="1.0" encoding="utf-8"?>
<formControlPr xmlns="http://schemas.microsoft.com/office/spreadsheetml/2009/9/main" objectType="Drop" dropLines="6" dropStyle="combo" dx="25" fmlaLink="A128" fmlaRange="'MENU OPTIONS'!$B$31:$B$37" sel="2" val="0"/>
</file>

<file path=xl/ctrlProps/ctrlProp98.xml><?xml version="1.0" encoding="utf-8"?>
<formControlPr xmlns="http://schemas.microsoft.com/office/spreadsheetml/2009/9/main" objectType="Drop" dropLines="6" dropStyle="combo" dx="25" fmlaLink="A129" fmlaRange="'MENU OPTIONS'!$B$31:$B$36" sel="2" val="0"/>
</file>

<file path=xl/ctrlProps/ctrlProp99.xml><?xml version="1.0" encoding="utf-8"?>
<formControlPr xmlns="http://schemas.microsoft.com/office/spreadsheetml/2009/9/main" objectType="Drop" dropLines="5" dropStyle="combo" dx="25" fmlaLink="J114" fmlaRange="'MENU OPTIONS'!$A$1:$A$29" sel="9" val="4"/>
</file>

<file path=xl/ctrlProps/ctrlProp100.xml><?xml version="1.0" encoding="utf-8"?>
<formControlPr xmlns="http://schemas.microsoft.com/office/spreadsheetml/2009/9/main" objectType="Drop" dropLines="5" dropStyle="combo" dx="25" fmlaLink="I114" fmlaRange="'MENU OPTIONS'!$A$1:$A$29" sel="9" val="4"/>
</file>

<file path=xl/ctrlProps/ctrlProp101.xml><?xml version="1.0" encoding="utf-8"?>
<formControlPr xmlns="http://schemas.microsoft.com/office/spreadsheetml/2009/9/main" objectType="Drop" dropLines="5" dropStyle="combo" dx="25" fmlaLink="J115" fmlaRange="'MENU OPTIONS'!$A$1:$A$29" sel="14" val="9"/>
</file>

<file path=xl/ctrlProps/ctrlProp102.xml><?xml version="1.0" encoding="utf-8"?>
<formControlPr xmlns="http://schemas.microsoft.com/office/spreadsheetml/2009/9/main" objectType="Drop" dropLines="5" dropStyle="combo" dx="25" fmlaLink="I115" fmlaRange="'MENU OPTIONS'!$A$1:$A$29" sel="9" val="7"/>
</file>

<file path=xl/ctrlProps/ctrlProp103.xml><?xml version="1.0" encoding="utf-8"?>
<formControlPr xmlns="http://schemas.microsoft.com/office/spreadsheetml/2009/9/main" objectType="Drop" dropLines="5" dropStyle="combo" dx="25" fmlaLink="J116" fmlaRange="'MENU OPTIONS'!$A$1:$A$29" sel="4" val="3"/>
</file>

<file path=xl/ctrlProps/ctrlProp104.xml><?xml version="1.0" encoding="utf-8"?>
<formControlPr xmlns="http://schemas.microsoft.com/office/spreadsheetml/2009/9/main" objectType="Drop" dropLines="5" dropStyle="combo" dx="25" fmlaLink="I116" fmlaRange="'MENU OPTIONS'!$A$1:$A$29" sel="4" val="2"/>
</file>

<file path=xl/ctrlProps/ctrlProp105.xml><?xml version="1.0" encoding="utf-8"?>
<formControlPr xmlns="http://schemas.microsoft.com/office/spreadsheetml/2009/9/main" objectType="Drop" dropLines="5" dropStyle="combo" dx="25" fmlaLink="J117" fmlaRange="'MENU OPTIONS'!$A$1:$A$29" sel="4" val="3"/>
</file>

<file path=xl/ctrlProps/ctrlProp106.xml><?xml version="1.0" encoding="utf-8"?>
<formControlPr xmlns="http://schemas.microsoft.com/office/spreadsheetml/2009/9/main" objectType="Drop" dropLines="5" dropStyle="combo" dx="25" fmlaLink="I117" fmlaRange="'MENU OPTIONS'!$A$1:$A$29" sel="4" val="0"/>
</file>

<file path=xl/ctrlProps/ctrlProp107.xml><?xml version="1.0" encoding="utf-8"?>
<formControlPr xmlns="http://schemas.microsoft.com/office/spreadsheetml/2009/9/main" objectType="Drop" dropLines="5" dropStyle="combo" dx="25" fmlaLink="J118" fmlaRange="'MENU OPTIONS'!$A$1:$A$29" sel="4" val="3"/>
</file>

<file path=xl/ctrlProps/ctrlProp108.xml><?xml version="1.0" encoding="utf-8"?>
<formControlPr xmlns="http://schemas.microsoft.com/office/spreadsheetml/2009/9/main" objectType="Drop" dropLines="5" dropStyle="combo" dx="25" fmlaLink="I118" fmlaRange="'MENU OPTIONS'!$A$1:$A$29" sel="4" val="3"/>
</file>

<file path=xl/ctrlProps/ctrlProp109.xml><?xml version="1.0" encoding="utf-8"?>
<formControlPr xmlns="http://schemas.microsoft.com/office/spreadsheetml/2009/9/main" objectType="Drop" dropLines="5" dropStyle="combo" dx="25" fmlaLink="J119" fmlaRange="'MENU OPTIONS'!$A$1:$A$29" sel="4" val="2"/>
</file>

<file path=xl/ctrlProps/ctrlProp110.xml><?xml version="1.0" encoding="utf-8"?>
<formControlPr xmlns="http://schemas.microsoft.com/office/spreadsheetml/2009/9/main" objectType="Drop" dropLines="5" dropStyle="combo" dx="25" fmlaLink="I119" fmlaRange="'MENU OPTIONS'!$A$1:$A$29" sel="4" val="2"/>
</file>

<file path=xl/ctrlProps/ctrlProp111.xml><?xml version="1.0" encoding="utf-8"?>
<formControlPr xmlns="http://schemas.microsoft.com/office/spreadsheetml/2009/9/main" objectType="Drop" dropLines="5" dropStyle="combo" dx="25" fmlaLink="E94" fmlaRange="'MENU OPTIONS'!$A$1:$A$29" sel="9" val="4"/>
</file>

<file path=xl/ctrlProps/ctrlProp112.xml><?xml version="1.0" encoding="utf-8"?>
<formControlPr xmlns="http://schemas.microsoft.com/office/spreadsheetml/2009/9/main" objectType="Drop" dropLines="5" dropStyle="combo" dx="25" fmlaLink="D94" fmlaRange="'MENU OPTIONS'!$A$1:$A$29" sel="9" val="4"/>
</file>

<file path=xl/ctrlProps/ctrlProp113.xml><?xml version="1.0" encoding="utf-8"?>
<formControlPr xmlns="http://schemas.microsoft.com/office/spreadsheetml/2009/9/main" objectType="Drop" dropLines="5" dropStyle="combo" dx="25" fmlaLink="E95" fmlaRange="'MENU OPTIONS'!$A$1:$A$29" sel="9" val="4"/>
</file>

<file path=xl/ctrlProps/ctrlProp114.xml><?xml version="1.0" encoding="utf-8"?>
<formControlPr xmlns="http://schemas.microsoft.com/office/spreadsheetml/2009/9/main" objectType="Drop" dropLines="5" dropStyle="combo" dx="25" fmlaLink="D95" fmlaRange="'MENU OPTIONS'!$A$1:$A$29" sel="9" val="4"/>
</file>

<file path=xl/ctrlProps/ctrlProp115.xml><?xml version="1.0" encoding="utf-8"?>
<formControlPr xmlns="http://schemas.microsoft.com/office/spreadsheetml/2009/9/main" objectType="Drop" dropLines="5" dropStyle="combo" dx="25" fmlaLink="E96" fmlaRange="'MENU OPTIONS'!$A$1:$A$29" sel="9" val="7"/>
</file>

<file path=xl/ctrlProps/ctrlProp116.xml><?xml version="1.0" encoding="utf-8"?>
<formControlPr xmlns="http://schemas.microsoft.com/office/spreadsheetml/2009/9/main" objectType="Drop" dropLines="5" dropStyle="combo" dx="25" fmlaLink="D96" fmlaRange="'MENU OPTIONS'!$A$1:$A$29" sel="9" val="6"/>
</file>

<file path=xl/ctrlProps/ctrlProp117.xml><?xml version="1.0" encoding="utf-8"?>
<formControlPr xmlns="http://schemas.microsoft.com/office/spreadsheetml/2009/9/main" objectType="Drop" dropLines="5" dropStyle="combo" dx="25" fmlaLink="E97" fmlaRange="'MENU OPTIONS'!$A$1:$A$29" sel="14" val="10"/>
</file>

<file path=xl/ctrlProps/ctrlProp118.xml><?xml version="1.0" encoding="utf-8"?>
<formControlPr xmlns="http://schemas.microsoft.com/office/spreadsheetml/2009/9/main" objectType="Drop" dropLines="5" dropStyle="combo" dx="25" fmlaLink="D97" fmlaRange="'MENU OPTIONS'!$A$1:$A$29" sel="9" val="4"/>
</file>

<file path=xl/ctrlProps/ctrlProp119.xml><?xml version="1.0" encoding="utf-8"?>
<formControlPr xmlns="http://schemas.microsoft.com/office/spreadsheetml/2009/9/main" objectType="Drop" dropLines="5" dropStyle="combo" dx="25" fmlaLink="E101" fmlaRange="'MENU OPTIONS'!$A$1:$A$29" sel="9" val="5"/>
</file>

<file path=xl/ctrlProps/ctrlProp120.xml><?xml version="1.0" encoding="utf-8"?>
<formControlPr xmlns="http://schemas.microsoft.com/office/spreadsheetml/2009/9/main" objectType="Drop" dropLines="5" dropStyle="combo" dx="25" fmlaLink="D101" fmlaRange="'MENU OPTIONS'!$A$1:$A$29" sel="9" val="5"/>
</file>

<file path=xl/ctrlProps/ctrlProp121.xml><?xml version="1.0" encoding="utf-8"?>
<formControlPr xmlns="http://schemas.microsoft.com/office/spreadsheetml/2009/9/main" objectType="Drop" dropLines="5" dropStyle="combo" dx="25" fmlaLink="E102" fmlaRange="'MENU OPTIONS'!$A$1:$A$29" sel="9" val="5"/>
</file>

<file path=xl/ctrlProps/ctrlProp122.xml><?xml version="1.0" encoding="utf-8"?>
<formControlPr xmlns="http://schemas.microsoft.com/office/spreadsheetml/2009/9/main" objectType="Drop" dropLines="5" dropStyle="combo" dx="25" fmlaLink="D102" fmlaRange="'MENU OPTIONS'!$A$1:$A$29" sel="9" val="4"/>
</file>

<file path=xl/ctrlProps/ctrlProp123.xml><?xml version="1.0" encoding="utf-8"?>
<formControlPr xmlns="http://schemas.microsoft.com/office/spreadsheetml/2009/9/main" objectType="Drop" dropLines="5" dropStyle="combo" dx="25" fmlaLink="E103" fmlaRange="'MENU OPTIONS'!$A$1:$A$29" sel="9" val="5"/>
</file>

<file path=xl/ctrlProps/ctrlProp124.xml><?xml version="1.0" encoding="utf-8"?>
<formControlPr xmlns="http://schemas.microsoft.com/office/spreadsheetml/2009/9/main" objectType="Drop" dropLines="5" dropStyle="combo" dx="25" fmlaLink="D103" fmlaRange="'MENU OPTIONS'!$A$1:$A$29" sel="9" val="4"/>
</file>

<file path=xl/ctrlProps/ctrlProp125.xml><?xml version="1.0" encoding="utf-8"?>
<formControlPr xmlns="http://schemas.microsoft.com/office/spreadsheetml/2009/9/main" objectType="Drop" dropLines="5" dropStyle="combo" dx="25" fmlaLink="E104" fmlaRange="'MENU OPTIONS'!$A$1:$A$29" sel="9" val="5"/>
</file>

<file path=xl/ctrlProps/ctrlProp126.xml><?xml version="1.0" encoding="utf-8"?>
<formControlPr xmlns="http://schemas.microsoft.com/office/spreadsheetml/2009/9/main" objectType="Drop" dropLines="5" dropStyle="combo" dx="25" fmlaLink="D104" fmlaRange="'MENU OPTIONS'!$A$1:$A$29" sel="9" val="4"/>
</file>

<file path=xl/ctrlProps/ctrlProp127.xml><?xml version="1.0" encoding="utf-8"?>
<formControlPr xmlns="http://schemas.microsoft.com/office/spreadsheetml/2009/9/main" objectType="Drop" dropLines="5" dropStyle="combo" dx="25" fmlaLink="E105" fmlaRange="'MENU OPTIONS'!$A$1:$A$29" sel="9" val="5"/>
</file>

<file path=xl/ctrlProps/ctrlProp128.xml><?xml version="1.0" encoding="utf-8"?>
<formControlPr xmlns="http://schemas.microsoft.com/office/spreadsheetml/2009/9/main" objectType="Drop" dropLines="5" dropStyle="combo" dx="25" fmlaLink="D105" fmlaRange="'MENU OPTIONS'!$A$1:$A$29" sel="9" val="4"/>
</file>

<file path=xl/ctrlProps/ctrlProp129.xml><?xml version="1.0" encoding="utf-8"?>
<formControlPr xmlns="http://schemas.microsoft.com/office/spreadsheetml/2009/9/main" objectType="Drop" dropLines="5" dropStyle="combo" dx="25" fmlaLink="E106" fmlaRange="'MENU OPTIONS'!$A$1:$A$29" sel="9" val="5"/>
</file>

<file path=xl/ctrlProps/ctrlProp130.xml><?xml version="1.0" encoding="utf-8"?>
<formControlPr xmlns="http://schemas.microsoft.com/office/spreadsheetml/2009/9/main" objectType="Drop" dropLines="5" dropStyle="combo" dx="25" fmlaLink="D106" fmlaRange="'MENU OPTIONS'!$A$1:$A$29" sel="9" val="4"/>
</file>

<file path=xl/ctrlProps/ctrlProp131.xml><?xml version="1.0" encoding="utf-8"?>
<formControlPr xmlns="http://schemas.microsoft.com/office/spreadsheetml/2009/9/main" objectType="Drop" dropLines="5" dropStyle="combo" dx="25" fmlaLink="J124" fmlaRange="'MENU OPTIONS'!$A$1:$A$29" sel="3" val="0"/>
</file>

<file path=xl/ctrlProps/ctrlProp132.xml><?xml version="1.0" encoding="utf-8"?>
<formControlPr xmlns="http://schemas.microsoft.com/office/spreadsheetml/2009/9/main" objectType="Drop" dropLines="5" dropStyle="combo" dx="25" fmlaLink="I124" fmlaRange="'MENU OPTIONS'!$A$1:$A$29" sel="2" val="0"/>
</file>

<file path=xl/ctrlProps/ctrlProp133.xml><?xml version="1.0" encoding="utf-8"?>
<formControlPr xmlns="http://schemas.microsoft.com/office/spreadsheetml/2009/9/main" objectType="Drop" dropLines="5" dropStyle="combo" dx="25" fmlaLink="J125" fmlaRange="'MENU OPTIONS'!$A$1:$A$29" sel="3" val="0"/>
</file>

<file path=xl/ctrlProps/ctrlProp134.xml><?xml version="1.0" encoding="utf-8"?>
<formControlPr xmlns="http://schemas.microsoft.com/office/spreadsheetml/2009/9/main" objectType="Drop" dropLines="5" dropStyle="combo" dx="25" fmlaLink="I125" fmlaRange="'MENU OPTIONS'!$A$1:$A$29" sel="2" val="0"/>
</file>

<file path=xl/ctrlProps/ctrlProp135.xml><?xml version="1.0" encoding="utf-8"?>
<formControlPr xmlns="http://schemas.microsoft.com/office/spreadsheetml/2009/9/main" objectType="Drop" dropLines="5" dropStyle="combo" dx="25" fmlaLink="J126" fmlaRange="'MENU OPTIONS'!$A$1:$A$29" sel="3" val="0"/>
</file>

<file path=xl/ctrlProps/ctrlProp136.xml><?xml version="1.0" encoding="utf-8"?>
<formControlPr xmlns="http://schemas.microsoft.com/office/spreadsheetml/2009/9/main" objectType="Drop" dropLines="5" dropStyle="combo" dx="25" fmlaLink="I126" fmlaRange="'MENU OPTIONS'!$A$1:$A$29" sel="2" val="0"/>
</file>

<file path=xl/ctrlProps/ctrlProp137.xml><?xml version="1.0" encoding="utf-8"?>
<formControlPr xmlns="http://schemas.microsoft.com/office/spreadsheetml/2009/9/main" objectType="Drop" dropLines="5" dropStyle="combo" dx="25" fmlaLink="J127" fmlaRange="'MENU OPTIONS'!$A$1:$A$29" sel="3" val="0"/>
</file>

<file path=xl/ctrlProps/ctrlProp138.xml><?xml version="1.0" encoding="utf-8"?>
<formControlPr xmlns="http://schemas.microsoft.com/office/spreadsheetml/2009/9/main" objectType="Drop" dropLines="5" dropStyle="combo" dx="25" fmlaLink="I127" fmlaRange="'MENU OPTIONS'!$A$1:$A$29" sel="2" val="0"/>
</file>

<file path=xl/ctrlProps/ctrlProp139.xml><?xml version="1.0" encoding="utf-8"?>
<formControlPr xmlns="http://schemas.microsoft.com/office/spreadsheetml/2009/9/main" objectType="Drop" dropLines="5" dropStyle="combo" dx="25" fmlaLink="J128" fmlaRange="'MENU OPTIONS'!$A$1:$A$29" sel="3" val="0"/>
</file>

<file path=xl/ctrlProps/ctrlProp140.xml><?xml version="1.0" encoding="utf-8"?>
<formControlPr xmlns="http://schemas.microsoft.com/office/spreadsheetml/2009/9/main" objectType="Drop" dropLines="5" dropStyle="combo" dx="25" fmlaLink="I128" fmlaRange="'MENU OPTIONS'!$A$1:$A$29" sel="2" val="0"/>
</file>

<file path=xl/ctrlProps/ctrlProp141.xml><?xml version="1.0" encoding="utf-8"?>
<formControlPr xmlns="http://schemas.microsoft.com/office/spreadsheetml/2009/9/main" objectType="Drop" dropLines="5" dropStyle="combo" dx="25" fmlaLink="J129" fmlaRange="'MENU OPTIONS'!$A$1:$A$29" sel="3" val="0"/>
</file>

<file path=xl/ctrlProps/ctrlProp142.xml><?xml version="1.0" encoding="utf-8"?>
<formControlPr xmlns="http://schemas.microsoft.com/office/spreadsheetml/2009/9/main" objectType="Drop" dropLines="5" dropStyle="combo" dx="25" fmlaLink="I129" fmlaRange="'MENU OPTIONS'!$A$1:$A$29" sel="2" val="0"/>
</file>

<file path=xl/ctrlProps/ctrlProp143.xml><?xml version="1.0" encoding="utf-8"?>
<formControlPr xmlns="http://schemas.microsoft.com/office/spreadsheetml/2009/9/main" objectType="Drop" dropLines="5" dropStyle="combo" dx="25" fmlaLink="J135" fmlaRange="'MENU OPTIONS'!$A$1:$A$29" sel="14" val="9"/>
</file>

<file path=xl/ctrlProps/ctrlProp144.xml><?xml version="1.0" encoding="utf-8"?>
<formControlPr xmlns="http://schemas.microsoft.com/office/spreadsheetml/2009/9/main" objectType="Drop" dropLines="5" dropStyle="combo" dx="25" fmlaLink="I135" fmlaRange="'MENU OPTIONS'!$A$1:$A$29" sel="14" val="9"/>
</file>

<file path=xl/ctrlProps/ctrlProp145.xml><?xml version="1.0" encoding="utf-8"?>
<formControlPr xmlns="http://schemas.microsoft.com/office/spreadsheetml/2009/9/main" objectType="Drop" dropLines="5" dropStyle="combo" dx="25" fmlaLink="J136" fmlaRange="'MENU OPTIONS'!$A$1:$A$29" sel="3" val="0"/>
</file>

<file path=xl/ctrlProps/ctrlProp146.xml><?xml version="1.0" encoding="utf-8"?>
<formControlPr xmlns="http://schemas.microsoft.com/office/spreadsheetml/2009/9/main" objectType="Drop" dropLines="5" dropStyle="combo" dx="25" fmlaLink="I136" fmlaRange="'MENU OPTIONS'!$A$1:$A$29" sel="3" val="0"/>
</file>

<file path=xl/ctrlProps/ctrlProp147.xml><?xml version="1.0" encoding="utf-8"?>
<formControlPr xmlns="http://schemas.microsoft.com/office/spreadsheetml/2009/9/main" objectType="Drop" dropLines="5" dropStyle="combo" dx="25" fmlaLink="J137" fmlaRange="'MENU OPTIONS'!$A$1:$A$29" sel="3" val="0"/>
</file>

<file path=xl/ctrlProps/ctrlProp148.xml><?xml version="1.0" encoding="utf-8"?>
<formControlPr xmlns="http://schemas.microsoft.com/office/spreadsheetml/2009/9/main" objectType="Drop" dropLines="5" dropStyle="combo" dx="25" fmlaLink="I137" fmlaRange="'MENU OPTIONS'!$A$1:$A$29" sel="2" val="0"/>
</file>

<file path=xl/ctrlProps/ctrlProp149.xml><?xml version="1.0" encoding="utf-8"?>
<formControlPr xmlns="http://schemas.microsoft.com/office/spreadsheetml/2009/9/main" objectType="Drop" dropLines="5" dropStyle="combo" dx="25" fmlaLink="J138" fmlaRange="'MENU OPTIONS'!$A$1:$A$29" sel="3" val="0"/>
</file>

<file path=xl/ctrlProps/ctrlProp150.xml><?xml version="1.0" encoding="utf-8"?>
<formControlPr xmlns="http://schemas.microsoft.com/office/spreadsheetml/2009/9/main" objectType="Drop" dropLines="5" dropStyle="combo" dx="25" fmlaLink="I138" fmlaRange="'MENU OPTIONS'!$A$1:$A$29" sel="2" val="0"/>
</file>

<file path=xl/ctrlProps/ctrlProp151.xml><?xml version="1.0" encoding="utf-8"?>
<formControlPr xmlns="http://schemas.microsoft.com/office/spreadsheetml/2009/9/main" objectType="Drop" dropLines="5" dropStyle="combo" dx="25" fmlaLink="J139" fmlaRange="'MENU OPTIONS'!$A$1:$A$29" sel="3" val="0"/>
</file>

<file path=xl/ctrlProps/ctrlProp152.xml><?xml version="1.0" encoding="utf-8"?>
<formControlPr xmlns="http://schemas.microsoft.com/office/spreadsheetml/2009/9/main" objectType="Drop" dropLines="5" dropStyle="combo" dx="25" fmlaLink="I139" fmlaRange="'MENU OPTIONS'!$A$1:$A$29" sel="2" val="0"/>
</file>

<file path=xl/ctrlProps/ctrlProp153.xml><?xml version="1.0" encoding="utf-8"?>
<formControlPr xmlns="http://schemas.microsoft.com/office/spreadsheetml/2009/9/main" objectType="Drop" dropLines="5" dropStyle="combo" dx="25" fmlaLink="J140" fmlaRange="'MENU OPTIONS'!$A$1:$A$29" sel="3" val="0"/>
</file>

<file path=xl/ctrlProps/ctrlProp154.xml><?xml version="1.0" encoding="utf-8"?>
<formControlPr xmlns="http://schemas.microsoft.com/office/spreadsheetml/2009/9/main" objectType="Drop" dropLines="5" dropStyle="combo" dx="25" fmlaLink="I140" fmlaRange="'MENU OPTIONS'!$A$1:$A$29" sel="2" val="0"/>
</file>

<file path=xl/ctrlProps/ctrlProp155.xml><?xml version="1.0" encoding="utf-8"?>
<formControlPr xmlns="http://schemas.microsoft.com/office/spreadsheetml/2009/9/main" objectType="Drop" dropLines="6" dropStyle="combo" dx="25" fmlaLink="A135" fmlaRange="'MENU OPTIONS'!$B$27:$B$36" sel="9" val="4"/>
</file>

<file path=xl/ctrlProps/ctrlProp156.xml><?xml version="1.0" encoding="utf-8"?>
<formControlPr xmlns="http://schemas.microsoft.com/office/spreadsheetml/2009/9/main" objectType="Drop" dropLines="6" dropStyle="combo" dx="25" fmlaLink="A136" fmlaRange="'MENU OPTIONS'!$B$27:$B$36" sel="1" val="0"/>
</file>

<file path=xl/ctrlProps/ctrlProp157.xml><?xml version="1.0" encoding="utf-8"?>
<formControlPr xmlns="http://schemas.microsoft.com/office/spreadsheetml/2009/9/main" objectType="Drop" dropLines="6" dropStyle="combo" dx="25" fmlaLink="A137" fmlaRange="'MENU OPTIONS'!$B$27:$B$36" sel="1" val="0"/>
</file>

<file path=xl/ctrlProps/ctrlProp158.xml><?xml version="1.0" encoding="utf-8"?>
<formControlPr xmlns="http://schemas.microsoft.com/office/spreadsheetml/2009/9/main" objectType="Drop" dropLines="6" dropStyle="combo" dx="25" fmlaLink="A138" fmlaRange="'MENU OPTIONS'!$B$27:$B$36" sel="1" val="0"/>
</file>

<file path=xl/ctrlProps/ctrlProp159.xml><?xml version="1.0" encoding="utf-8"?>
<formControlPr xmlns="http://schemas.microsoft.com/office/spreadsheetml/2009/9/main" objectType="Drop" dropLines="6" dropStyle="combo" dx="25" fmlaLink="A139" fmlaRange="'MENU OPTIONS'!$B$27:$B$36" sel="1" val="0"/>
</file>

<file path=xl/ctrlProps/ctrlProp160.xml><?xml version="1.0" encoding="utf-8"?>
<formControlPr xmlns="http://schemas.microsoft.com/office/spreadsheetml/2009/9/main" objectType="Drop" dropLines="6" dropStyle="combo" dx="25" fmlaLink="A140" fmlaRange="'MENU OPTIONS'!$B$27:$B$36" sel="1" val="0"/>
</file>

<file path=xl/ctrlProps/ctrlProp161.xml><?xml version="1.0" encoding="utf-8"?>
<formControlPr xmlns="http://schemas.microsoft.com/office/spreadsheetml/2009/9/main" objectType="Drop" dropLines="6" dropStyle="combo" dx="25" fmlaLink="C135" fmlaRange="'MENU OPTIONS'!$B$27:$B$36" sel="1" val="0"/>
</file>

<file path=xl/ctrlProps/ctrlProp162.xml><?xml version="1.0" encoding="utf-8"?>
<formControlPr xmlns="http://schemas.microsoft.com/office/spreadsheetml/2009/9/main" objectType="Drop" dropLines="6" dropStyle="combo" dx="25" fmlaLink="C136" fmlaRange="'MENU OPTIONS'!$B$27:$B$36" sel="2" val="0"/>
</file>

<file path=xl/ctrlProps/ctrlProp163.xml><?xml version="1.0" encoding="utf-8"?>
<formControlPr xmlns="http://schemas.microsoft.com/office/spreadsheetml/2009/9/main" objectType="Drop" dropLines="6" dropStyle="combo" dx="25" fmlaLink="C137" fmlaRange="'MENU OPTIONS'!$B$27:$B$36" sel="3" val="0"/>
</file>

<file path=xl/ctrlProps/ctrlProp164.xml><?xml version="1.0" encoding="utf-8"?>
<formControlPr xmlns="http://schemas.microsoft.com/office/spreadsheetml/2009/9/main" objectType="Drop" dropLines="6" dropStyle="combo" dx="25" fmlaLink="C138" fmlaRange="'MENU OPTIONS'!$B$27:$B$35" sel="4" val="0"/>
</file>

<file path=xl/ctrlProps/ctrlProp165.xml><?xml version="1.0" encoding="utf-8"?>
<formControlPr xmlns="http://schemas.microsoft.com/office/spreadsheetml/2009/9/main" objectType="Drop" dropLines="6" dropStyle="combo" dx="25" fmlaLink="C139" fmlaRange="'MENU OPTIONS'!$B$27:$B$36" sel="5" val="0"/>
</file>

<file path=xl/ctrlProps/ctrlProp166.xml><?xml version="1.0" encoding="utf-8"?>
<formControlPr xmlns="http://schemas.microsoft.com/office/spreadsheetml/2009/9/main" objectType="Drop" dropLines="6" dropStyle="combo" dx="25" fmlaLink="C140" fmlaRange="'MENU OPTIONS'!$B$27:$B$36" sel="6" val="0"/>
</file>

<file path=xl/ctrlProps/ctrlProp167.xml><?xml version="1.0" encoding="utf-8"?>
<formControlPr xmlns="http://schemas.microsoft.com/office/spreadsheetml/2009/9/main" objectType="Drop" dropStyle="combo" dx="25" fmlaLink="'LOCAL DATASET'!C10" fmlaRange="'DEFAULT DATA'!$A$9:$A$41" sel="27" val="25"/>
</file>

<file path=xl/drawings/_rels/drawing1.xml.rels><?xml version="1.0" encoding="UTF-8" standalone="yes"?>
<Relationships xmlns="http://schemas.openxmlformats.org/package/2006/relationships"><Relationship Id="rId3" Type="http://schemas.openxmlformats.org/officeDocument/2006/relationships/hyperlink" Target="#BUILDINGS!A1"/><Relationship Id="rId2" Type="http://schemas.openxmlformats.org/officeDocument/2006/relationships/hyperlink" Target="#'LAND USE CHANGE'!A1"/><Relationship Id="rId1" Type="http://schemas.openxmlformats.org/officeDocument/2006/relationships/hyperlink" Target="#TRANSPORT!A1"/><Relationship Id="rId5" Type="http://schemas.openxmlformats.org/officeDocument/2006/relationships/hyperlink" Target="#'LOCAL DATASET'!A1"/><Relationship Id="rId4" Type="http://schemas.openxmlformats.org/officeDocument/2006/relationships/hyperlink" Target="#RESULTS!A1"/></Relationships>
</file>

<file path=xl/drawings/_rels/drawing2.xml.rels><?xml version="1.0" encoding="UTF-8" standalone="yes"?>
<Relationships xmlns="http://schemas.openxmlformats.org/package/2006/relationships"><Relationship Id="rId8" Type="http://schemas.openxmlformats.org/officeDocument/2006/relationships/hyperlink" Target="#'LAND USE CHANGE'!A1"/><Relationship Id="rId13" Type="http://schemas.openxmlformats.org/officeDocument/2006/relationships/chart" Target="../charts/chart9.xml"/><Relationship Id="rId18" Type="http://schemas.openxmlformats.org/officeDocument/2006/relationships/chart" Target="../charts/chart14.xml"/><Relationship Id="rId3" Type="http://schemas.openxmlformats.org/officeDocument/2006/relationships/chart" Target="../charts/chart3.xml"/><Relationship Id="rId7" Type="http://schemas.openxmlformats.org/officeDocument/2006/relationships/hyperlink" Target="#START!A1"/><Relationship Id="rId12" Type="http://schemas.openxmlformats.org/officeDocument/2006/relationships/chart" Target="../charts/chart8.xml"/><Relationship Id="rId17" Type="http://schemas.openxmlformats.org/officeDocument/2006/relationships/chart" Target="../charts/chart13.xml"/><Relationship Id="rId2" Type="http://schemas.openxmlformats.org/officeDocument/2006/relationships/chart" Target="../charts/chart2.xml"/><Relationship Id="rId16" Type="http://schemas.openxmlformats.org/officeDocument/2006/relationships/chart" Target="../charts/chart1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7.xml"/><Relationship Id="rId5" Type="http://schemas.openxmlformats.org/officeDocument/2006/relationships/chart" Target="../charts/chart5.xml"/><Relationship Id="rId15" Type="http://schemas.openxmlformats.org/officeDocument/2006/relationships/chart" Target="../charts/chart11.xml"/><Relationship Id="rId10" Type="http://schemas.openxmlformats.org/officeDocument/2006/relationships/hyperlink" Target="#RESULTS!A1"/><Relationship Id="rId4" Type="http://schemas.openxmlformats.org/officeDocument/2006/relationships/chart" Target="../charts/chart4.xml"/><Relationship Id="rId9" Type="http://schemas.openxmlformats.org/officeDocument/2006/relationships/hyperlink" Target="#BUILDINGS!A1"/><Relationship Id="rId14" Type="http://schemas.openxmlformats.org/officeDocument/2006/relationships/chart" Target="../charts/chart10.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hyperlink" Target="#BUILDINGS!A1"/><Relationship Id="rId7" Type="http://schemas.openxmlformats.org/officeDocument/2006/relationships/chart" Target="../charts/chart17.xml"/><Relationship Id="rId2" Type="http://schemas.openxmlformats.org/officeDocument/2006/relationships/hyperlink" Target="#TRANSPORT!A1"/><Relationship Id="rId1" Type="http://schemas.openxmlformats.org/officeDocument/2006/relationships/hyperlink" Target="#START!A1"/><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hyperlink" Target="#RESULTS!A1"/><Relationship Id="rId9" Type="http://schemas.openxmlformats.org/officeDocument/2006/relationships/chart" Target="../charts/chart19.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3.xml"/><Relationship Id="rId3" Type="http://schemas.openxmlformats.org/officeDocument/2006/relationships/hyperlink" Target="#'LAND USE CHANGE'!A1"/><Relationship Id="rId7" Type="http://schemas.openxmlformats.org/officeDocument/2006/relationships/chart" Target="../charts/chart22.xml"/><Relationship Id="rId2" Type="http://schemas.openxmlformats.org/officeDocument/2006/relationships/hyperlink" Target="#TRANSPORT!A1"/><Relationship Id="rId1" Type="http://schemas.openxmlformats.org/officeDocument/2006/relationships/hyperlink" Target="#START!A1"/><Relationship Id="rId6" Type="http://schemas.openxmlformats.org/officeDocument/2006/relationships/hyperlink" Target="#RESULTS!A1"/><Relationship Id="rId5" Type="http://schemas.openxmlformats.org/officeDocument/2006/relationships/chart" Target="../charts/chart21.xml"/><Relationship Id="rId10" Type="http://schemas.openxmlformats.org/officeDocument/2006/relationships/chart" Target="../charts/chart25.xml"/><Relationship Id="rId4" Type="http://schemas.openxmlformats.org/officeDocument/2006/relationships/chart" Target="../charts/chart20.xml"/><Relationship Id="rId9" Type="http://schemas.openxmlformats.org/officeDocument/2006/relationships/chart" Target="../charts/chart24.xml"/></Relationships>
</file>

<file path=xl/drawings/_rels/drawing5.xml.rels><?xml version="1.0" encoding="UTF-8" standalone="yes"?>
<Relationships xmlns="http://schemas.openxmlformats.org/package/2006/relationships"><Relationship Id="rId3" Type="http://schemas.openxmlformats.org/officeDocument/2006/relationships/hyperlink" Target="#START!A1"/><Relationship Id="rId2" Type="http://schemas.openxmlformats.org/officeDocument/2006/relationships/chart" Target="../charts/chart27.xml"/><Relationship Id="rId1" Type="http://schemas.openxmlformats.org/officeDocument/2006/relationships/chart" Target="../charts/chart26.xml"/><Relationship Id="rId6" Type="http://schemas.openxmlformats.org/officeDocument/2006/relationships/hyperlink" Target="#BUILDINGS!A1"/><Relationship Id="rId5" Type="http://schemas.openxmlformats.org/officeDocument/2006/relationships/hyperlink" Target="#'LAND USE CHANGE'!A1"/><Relationship Id="rId4" Type="http://schemas.openxmlformats.org/officeDocument/2006/relationships/hyperlink" Target="#TRANSPORT!A1"/></Relationships>
</file>

<file path=xl/drawings/_rels/drawing6.xml.rels><?xml version="1.0" encoding="UTF-8" standalone="yes"?>
<Relationships xmlns="http://schemas.openxmlformats.org/package/2006/relationships"><Relationship Id="rId3" Type="http://schemas.openxmlformats.org/officeDocument/2006/relationships/hyperlink" Target="#BUILDINGS!A1"/><Relationship Id="rId2" Type="http://schemas.openxmlformats.org/officeDocument/2006/relationships/hyperlink" Target="#'LAND USE CHANGE'!A1"/><Relationship Id="rId1" Type="http://schemas.openxmlformats.org/officeDocument/2006/relationships/hyperlink" Target="#TRANSPORT!A1"/><Relationship Id="rId5" Type="http://schemas.openxmlformats.org/officeDocument/2006/relationships/hyperlink" Target="#START!A1"/><Relationship Id="rId4" Type="http://schemas.openxmlformats.org/officeDocument/2006/relationships/hyperlink" Target="#RESULTS!A1"/></Relationships>
</file>

<file path=xl/drawings/_rels/vmlDrawing5.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2</xdr:row>
          <xdr:rowOff>9525</xdr:rowOff>
        </xdr:from>
        <xdr:to>
          <xdr:col>3</xdr:col>
          <xdr:colOff>0</xdr:colOff>
          <xdr:row>2</xdr:row>
          <xdr:rowOff>238125</xdr:rowOff>
        </xdr:to>
        <xdr:sp macro="" textlink="">
          <xdr:nvSpPr>
            <xdr:cNvPr id="8194" name="Drop Down 2" hidden="1">
              <a:extLst>
                <a:ext uri="{63B3BB69-23CF-44E3-9099-C40C66FF867C}">
                  <a14:compatExt spid="_x0000_s8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xdr:row>
          <xdr:rowOff>9525</xdr:rowOff>
        </xdr:from>
        <xdr:to>
          <xdr:col>3</xdr:col>
          <xdr:colOff>0</xdr:colOff>
          <xdr:row>1</xdr:row>
          <xdr:rowOff>238125</xdr:rowOff>
        </xdr:to>
        <xdr:sp macro="" textlink="">
          <xdr:nvSpPr>
            <xdr:cNvPr id="8195" name="Drop Down 3" hidden="1">
              <a:extLst>
                <a:ext uri="{63B3BB69-23CF-44E3-9099-C40C66FF867C}">
                  <a14:compatExt spid="_x0000_s8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819150</xdr:colOff>
      <xdr:row>0</xdr:row>
      <xdr:rowOff>85726</xdr:rowOff>
    </xdr:from>
    <xdr:to>
      <xdr:col>6</xdr:col>
      <xdr:colOff>200025</xdr:colOff>
      <xdr:row>0</xdr:row>
      <xdr:rowOff>314326</xdr:rowOff>
    </xdr:to>
    <xdr:sp macro="" textlink="">
      <xdr:nvSpPr>
        <xdr:cNvPr id="2" name="Rectangle 1">
          <a:hlinkClick xmlns:r="http://schemas.openxmlformats.org/officeDocument/2006/relationships" r:id="rId1"/>
        </xdr:cNvPr>
        <xdr:cNvSpPr/>
      </xdr:nvSpPr>
      <xdr:spPr>
        <a:xfrm>
          <a:off x="5943600" y="85726"/>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TRANSPORT</a:t>
          </a:r>
        </a:p>
      </xdr:txBody>
    </xdr:sp>
    <xdr:clientData/>
  </xdr:twoCellAnchor>
  <xdr:twoCellAnchor>
    <xdr:from>
      <xdr:col>6</xdr:col>
      <xdr:colOff>247650</xdr:colOff>
      <xdr:row>0</xdr:row>
      <xdr:rowOff>85726</xdr:rowOff>
    </xdr:from>
    <xdr:to>
      <xdr:col>8</xdr:col>
      <xdr:colOff>400050</xdr:colOff>
      <xdr:row>0</xdr:row>
      <xdr:rowOff>314326</xdr:rowOff>
    </xdr:to>
    <xdr:sp macro="" textlink="">
      <xdr:nvSpPr>
        <xdr:cNvPr id="7" name="Rectangle 6">
          <a:hlinkClick xmlns:r="http://schemas.openxmlformats.org/officeDocument/2006/relationships" r:id="rId2"/>
        </xdr:cNvPr>
        <xdr:cNvSpPr/>
      </xdr:nvSpPr>
      <xdr:spPr>
        <a:xfrm>
          <a:off x="7362825" y="85726"/>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LAND</a:t>
          </a:r>
          <a:r>
            <a:rPr lang="en-US" sz="1100" baseline="0">
              <a:solidFill>
                <a:schemeClr val="bg1"/>
              </a:solidFill>
            </a:rPr>
            <a:t> USE CHANGE</a:t>
          </a:r>
          <a:endParaRPr lang="en-US" sz="1100">
            <a:solidFill>
              <a:schemeClr val="bg1"/>
            </a:solidFill>
          </a:endParaRPr>
        </a:p>
      </xdr:txBody>
    </xdr:sp>
    <xdr:clientData/>
  </xdr:twoCellAnchor>
  <xdr:twoCellAnchor>
    <xdr:from>
      <xdr:col>8</xdr:col>
      <xdr:colOff>447675</xdr:colOff>
      <xdr:row>0</xdr:row>
      <xdr:rowOff>85725</xdr:rowOff>
    </xdr:from>
    <xdr:to>
      <xdr:col>10</xdr:col>
      <xdr:colOff>600075</xdr:colOff>
      <xdr:row>0</xdr:row>
      <xdr:rowOff>314325</xdr:rowOff>
    </xdr:to>
    <xdr:sp macro="" textlink="">
      <xdr:nvSpPr>
        <xdr:cNvPr id="8" name="Rectangle 7">
          <a:hlinkClick xmlns:r="http://schemas.openxmlformats.org/officeDocument/2006/relationships" r:id="rId3"/>
        </xdr:cNvPr>
        <xdr:cNvSpPr/>
      </xdr:nvSpPr>
      <xdr:spPr>
        <a:xfrm>
          <a:off x="8782050" y="85725"/>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BUILDINGS</a:t>
          </a:r>
        </a:p>
      </xdr:txBody>
    </xdr:sp>
    <xdr:clientData/>
  </xdr:twoCellAnchor>
  <mc:AlternateContent xmlns:mc="http://schemas.openxmlformats.org/markup-compatibility/2006">
    <mc:Choice xmlns:a14="http://schemas.microsoft.com/office/drawing/2010/main" Requires="a14">
      <xdr:twoCellAnchor editAs="oneCell">
        <xdr:from>
          <xdr:col>4</xdr:col>
          <xdr:colOff>9525</xdr:colOff>
          <xdr:row>2</xdr:row>
          <xdr:rowOff>9525</xdr:rowOff>
        </xdr:from>
        <xdr:to>
          <xdr:col>5</xdr:col>
          <xdr:colOff>0</xdr:colOff>
          <xdr:row>2</xdr:row>
          <xdr:rowOff>238125</xdr:rowOff>
        </xdr:to>
        <xdr:sp macro="" textlink="">
          <xdr:nvSpPr>
            <xdr:cNvPr id="8198" name="Drop Down 6" hidden="1">
              <a:extLst>
                <a:ext uri="{63B3BB69-23CF-44E3-9099-C40C66FF867C}">
                  <a14:compatExt spid="_x0000_s8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11</xdr:col>
      <xdr:colOff>38100</xdr:colOff>
      <xdr:row>0</xdr:row>
      <xdr:rowOff>85725</xdr:rowOff>
    </xdr:from>
    <xdr:to>
      <xdr:col>13</xdr:col>
      <xdr:colOff>190500</xdr:colOff>
      <xdr:row>0</xdr:row>
      <xdr:rowOff>314325</xdr:rowOff>
    </xdr:to>
    <xdr:sp macro="" textlink="">
      <xdr:nvSpPr>
        <xdr:cNvPr id="9" name="Rectangle 8">
          <a:hlinkClick xmlns:r="http://schemas.openxmlformats.org/officeDocument/2006/relationships" r:id="rId4"/>
        </xdr:cNvPr>
        <xdr:cNvSpPr/>
      </xdr:nvSpPr>
      <xdr:spPr>
        <a:xfrm>
          <a:off x="10201275" y="85725"/>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RESULTS</a:t>
          </a:r>
          <a:endParaRPr lang="en-US" sz="1100">
            <a:solidFill>
              <a:schemeClr val="bg1"/>
            </a:solidFill>
          </a:endParaRPr>
        </a:p>
      </xdr:txBody>
    </xdr:sp>
    <xdr:clientData/>
  </xdr:twoCellAnchor>
  <xdr:twoCellAnchor>
    <xdr:from>
      <xdr:col>3</xdr:col>
      <xdr:colOff>781050</xdr:colOff>
      <xdr:row>0</xdr:row>
      <xdr:rowOff>85725</xdr:rowOff>
    </xdr:from>
    <xdr:to>
      <xdr:col>4</xdr:col>
      <xdr:colOff>771525</xdr:colOff>
      <xdr:row>0</xdr:row>
      <xdr:rowOff>314325</xdr:rowOff>
    </xdr:to>
    <xdr:sp macro="" textlink="">
      <xdr:nvSpPr>
        <xdr:cNvPr id="11" name="Rectangle 10"/>
        <xdr:cNvSpPr/>
      </xdr:nvSpPr>
      <xdr:spPr>
        <a:xfrm>
          <a:off x="4524375" y="85725"/>
          <a:ext cx="1371600" cy="228600"/>
        </a:xfrm>
        <a:prstGeom prst="rect">
          <a:avLst/>
        </a:prstGeom>
        <a:solidFill>
          <a:schemeClr val="accent5">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b="0"/>
            <a:t>START</a:t>
          </a:r>
          <a:endParaRPr lang="en-US" sz="1100" b="0"/>
        </a:p>
      </xdr:txBody>
    </xdr:sp>
    <xdr:clientData/>
  </xdr:twoCellAnchor>
  <xdr:twoCellAnchor>
    <xdr:from>
      <xdr:col>13</xdr:col>
      <xdr:colOff>238124</xdr:colOff>
      <xdr:row>0</xdr:row>
      <xdr:rowOff>88899</xdr:rowOff>
    </xdr:from>
    <xdr:to>
      <xdr:col>17</xdr:col>
      <xdr:colOff>542924</xdr:colOff>
      <xdr:row>0</xdr:row>
      <xdr:rowOff>317499</xdr:rowOff>
    </xdr:to>
    <xdr:sp macro="" textlink="">
      <xdr:nvSpPr>
        <xdr:cNvPr id="13" name="Rectangle 12">
          <a:hlinkClick xmlns:r="http://schemas.openxmlformats.org/officeDocument/2006/relationships" r:id="rId5"/>
        </xdr:cNvPr>
        <xdr:cNvSpPr/>
      </xdr:nvSpPr>
      <xdr:spPr>
        <a:xfrm>
          <a:off x="11636374" y="88899"/>
          <a:ext cx="27432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CREATE A NEW</a:t>
          </a:r>
          <a:r>
            <a:rPr lang="et-EE" sz="1100" baseline="0">
              <a:solidFill>
                <a:schemeClr val="bg1"/>
              </a:solidFill>
            </a:rPr>
            <a:t> LOCAL DATASET</a:t>
          </a:r>
          <a:endParaRPr lang="en-US" sz="1100">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292554</xdr:colOff>
      <xdr:row>167</xdr:row>
      <xdr:rowOff>206943</xdr:rowOff>
    </xdr:from>
    <xdr:to>
      <xdr:col>13</xdr:col>
      <xdr:colOff>488156</xdr:colOff>
      <xdr:row>175</xdr:row>
      <xdr:rowOff>185775</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304799</xdr:colOff>
      <xdr:row>167</xdr:row>
      <xdr:rowOff>53975</xdr:rowOff>
    </xdr:from>
    <xdr:to>
      <xdr:col>11</xdr:col>
      <xdr:colOff>383380</xdr:colOff>
      <xdr:row>174</xdr:row>
      <xdr:rowOff>245988</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527</xdr:colOff>
      <xdr:row>85</xdr:row>
      <xdr:rowOff>57150</xdr:rowOff>
    </xdr:from>
    <xdr:to>
      <xdr:col>12</xdr:col>
      <xdr:colOff>76199</xdr:colOff>
      <xdr:row>97</xdr:row>
      <xdr:rowOff>107156</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66675</xdr:colOff>
      <xdr:row>5</xdr:row>
      <xdr:rowOff>228599</xdr:rowOff>
    </xdr:from>
    <xdr:to>
      <xdr:col>11</xdr:col>
      <xdr:colOff>600075</xdr:colOff>
      <xdr:row>14</xdr:row>
      <xdr:rowOff>9524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314325</xdr:colOff>
          <xdr:row>17</xdr:row>
          <xdr:rowOff>228600</xdr:rowOff>
        </xdr:from>
        <xdr:to>
          <xdr:col>6</xdr:col>
          <xdr:colOff>838200</xdr:colOff>
          <xdr:row>18</xdr:row>
          <xdr:rowOff>219075</xdr:rowOff>
        </xdr:to>
        <xdr:sp macro="" textlink="">
          <xdr:nvSpPr>
            <xdr:cNvPr id="7452" name="Drop Down 284" hidden="1">
              <a:extLst>
                <a:ext uri="{63B3BB69-23CF-44E3-9099-C40C66FF867C}">
                  <a14:compatExt spid="_x0000_s74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314325</xdr:colOff>
          <xdr:row>18</xdr:row>
          <xdr:rowOff>238125</xdr:rowOff>
        </xdr:from>
        <xdr:to>
          <xdr:col>6</xdr:col>
          <xdr:colOff>838200</xdr:colOff>
          <xdr:row>19</xdr:row>
          <xdr:rowOff>219075</xdr:rowOff>
        </xdr:to>
        <xdr:sp macro="" textlink="">
          <xdr:nvSpPr>
            <xdr:cNvPr id="7453" name="Drop Down 285" hidden="1">
              <a:extLst>
                <a:ext uri="{63B3BB69-23CF-44E3-9099-C40C66FF867C}">
                  <a14:compatExt spid="_x0000_s74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314325</xdr:colOff>
          <xdr:row>19</xdr:row>
          <xdr:rowOff>238125</xdr:rowOff>
        </xdr:from>
        <xdr:to>
          <xdr:col>6</xdr:col>
          <xdr:colOff>838200</xdr:colOff>
          <xdr:row>20</xdr:row>
          <xdr:rowOff>219075</xdr:rowOff>
        </xdr:to>
        <xdr:sp macro="" textlink="">
          <xdr:nvSpPr>
            <xdr:cNvPr id="7454" name="Drop Down 286" hidden="1">
              <a:extLst>
                <a:ext uri="{63B3BB69-23CF-44E3-9099-C40C66FF867C}">
                  <a14:compatExt spid="_x0000_s74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314325</xdr:colOff>
          <xdr:row>20</xdr:row>
          <xdr:rowOff>238125</xdr:rowOff>
        </xdr:from>
        <xdr:to>
          <xdr:col>6</xdr:col>
          <xdr:colOff>838200</xdr:colOff>
          <xdr:row>21</xdr:row>
          <xdr:rowOff>219075</xdr:rowOff>
        </xdr:to>
        <xdr:sp macro="" textlink="">
          <xdr:nvSpPr>
            <xdr:cNvPr id="7455" name="Drop Down 287" hidden="1">
              <a:extLst>
                <a:ext uri="{63B3BB69-23CF-44E3-9099-C40C66FF867C}">
                  <a14:compatExt spid="_x0000_s74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128</xdr:row>
          <xdr:rowOff>9525</xdr:rowOff>
        </xdr:from>
        <xdr:to>
          <xdr:col>5</xdr:col>
          <xdr:colOff>685800</xdr:colOff>
          <xdr:row>129</xdr:row>
          <xdr:rowOff>0</xdr:rowOff>
        </xdr:to>
        <xdr:sp macro="" textlink="">
          <xdr:nvSpPr>
            <xdr:cNvPr id="7458" name="Drop Down 290" hidden="1">
              <a:extLst>
                <a:ext uri="{63B3BB69-23CF-44E3-9099-C40C66FF867C}">
                  <a14:compatExt spid="_x0000_s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752475</xdr:colOff>
          <xdr:row>128</xdr:row>
          <xdr:rowOff>9525</xdr:rowOff>
        </xdr:from>
        <xdr:to>
          <xdr:col>6</xdr:col>
          <xdr:colOff>828675</xdr:colOff>
          <xdr:row>129</xdr:row>
          <xdr:rowOff>0</xdr:rowOff>
        </xdr:to>
        <xdr:sp macro="" textlink="">
          <xdr:nvSpPr>
            <xdr:cNvPr id="7459" name="Drop Down 291" hidden="1">
              <a:extLst>
                <a:ext uri="{63B3BB69-23CF-44E3-9099-C40C66FF867C}">
                  <a14:compatExt spid="_x0000_s74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47626</xdr:colOff>
      <xdr:row>134</xdr:row>
      <xdr:rowOff>76075</xdr:rowOff>
    </xdr:from>
    <xdr:to>
      <xdr:col>12</xdr:col>
      <xdr:colOff>108858</xdr:colOff>
      <xdr:row>144</xdr:row>
      <xdr:rowOff>81643</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777875</xdr:colOff>
      <xdr:row>127</xdr:row>
      <xdr:rowOff>152400</xdr:rowOff>
    </xdr:from>
    <xdr:to>
      <xdr:col>14</xdr:col>
      <xdr:colOff>476249</xdr:colOff>
      <xdr:row>137</xdr:row>
      <xdr:rowOff>3174</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809625</xdr:colOff>
          <xdr:row>150</xdr:row>
          <xdr:rowOff>9525</xdr:rowOff>
        </xdr:from>
        <xdr:to>
          <xdr:col>6</xdr:col>
          <xdr:colOff>9525</xdr:colOff>
          <xdr:row>151</xdr:row>
          <xdr:rowOff>0</xdr:rowOff>
        </xdr:to>
        <xdr:sp macro="" textlink="">
          <xdr:nvSpPr>
            <xdr:cNvPr id="7462" name="Drop Down 294" hidden="1">
              <a:extLst>
                <a:ext uri="{63B3BB69-23CF-44E3-9099-C40C66FF867C}">
                  <a14:compatExt spid="_x0000_s74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150</xdr:row>
          <xdr:rowOff>9525</xdr:rowOff>
        </xdr:from>
        <xdr:to>
          <xdr:col>7</xdr:col>
          <xdr:colOff>57150</xdr:colOff>
          <xdr:row>151</xdr:row>
          <xdr:rowOff>0</xdr:rowOff>
        </xdr:to>
        <xdr:sp macro="" textlink="">
          <xdr:nvSpPr>
            <xdr:cNvPr id="7463" name="Drop Down 295" hidden="1">
              <a:extLst>
                <a:ext uri="{63B3BB69-23CF-44E3-9099-C40C66FF867C}">
                  <a14:compatExt spid="_x0000_s74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176</xdr:row>
          <xdr:rowOff>9525</xdr:rowOff>
        </xdr:from>
        <xdr:to>
          <xdr:col>7</xdr:col>
          <xdr:colOff>57150</xdr:colOff>
          <xdr:row>177</xdr:row>
          <xdr:rowOff>0</xdr:rowOff>
        </xdr:to>
        <xdr:sp macro="" textlink="">
          <xdr:nvSpPr>
            <xdr:cNvPr id="7475" name="Drop Down 307" hidden="1">
              <a:extLst>
                <a:ext uri="{63B3BB69-23CF-44E3-9099-C40C66FF867C}">
                  <a14:compatExt spid="_x0000_s74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800100</xdr:colOff>
          <xdr:row>176</xdr:row>
          <xdr:rowOff>9525</xdr:rowOff>
        </xdr:from>
        <xdr:to>
          <xdr:col>6</xdr:col>
          <xdr:colOff>0</xdr:colOff>
          <xdr:row>177</xdr:row>
          <xdr:rowOff>0</xdr:rowOff>
        </xdr:to>
        <xdr:sp macro="" textlink="">
          <xdr:nvSpPr>
            <xdr:cNvPr id="7476" name="Drop Down 308" hidden="1">
              <a:extLst>
                <a:ext uri="{63B3BB69-23CF-44E3-9099-C40C66FF867C}">
                  <a14:compatExt spid="_x0000_s74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809625</xdr:colOff>
          <xdr:row>159</xdr:row>
          <xdr:rowOff>9525</xdr:rowOff>
        </xdr:from>
        <xdr:to>
          <xdr:col>6</xdr:col>
          <xdr:colOff>9525</xdr:colOff>
          <xdr:row>160</xdr:row>
          <xdr:rowOff>0</xdr:rowOff>
        </xdr:to>
        <xdr:sp macro="" textlink="">
          <xdr:nvSpPr>
            <xdr:cNvPr id="7486" name="Drop Down 318" hidden="1">
              <a:extLst>
                <a:ext uri="{63B3BB69-23CF-44E3-9099-C40C66FF867C}">
                  <a14:compatExt spid="_x0000_s74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159</xdr:row>
          <xdr:rowOff>9525</xdr:rowOff>
        </xdr:from>
        <xdr:to>
          <xdr:col>7</xdr:col>
          <xdr:colOff>57150</xdr:colOff>
          <xdr:row>160</xdr:row>
          <xdr:rowOff>0</xdr:rowOff>
        </xdr:to>
        <xdr:sp macro="" textlink="">
          <xdr:nvSpPr>
            <xdr:cNvPr id="7487" name="Drop Down 319" hidden="1">
              <a:extLst>
                <a:ext uri="{63B3BB69-23CF-44E3-9099-C40C66FF867C}">
                  <a14:compatExt spid="_x0000_s74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390524</xdr:colOff>
      <xdr:row>0</xdr:row>
      <xdr:rowOff>85726</xdr:rowOff>
    </xdr:from>
    <xdr:to>
      <xdr:col>7</xdr:col>
      <xdr:colOff>71437</xdr:colOff>
      <xdr:row>0</xdr:row>
      <xdr:rowOff>314326</xdr:rowOff>
    </xdr:to>
    <xdr:sp macro="" textlink="">
      <xdr:nvSpPr>
        <xdr:cNvPr id="31" name="Rectangle 30">
          <a:hlinkClick xmlns:r="http://schemas.openxmlformats.org/officeDocument/2006/relationships" r:id="rId7"/>
        </xdr:cNvPr>
        <xdr:cNvSpPr/>
      </xdr:nvSpPr>
      <xdr:spPr>
        <a:xfrm>
          <a:off x="4095749" y="85726"/>
          <a:ext cx="1376363"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STAR</a:t>
          </a:r>
          <a:r>
            <a:rPr lang="en-US" sz="1100">
              <a:solidFill>
                <a:schemeClr val="bg1"/>
              </a:solidFill>
            </a:rPr>
            <a:t>T</a:t>
          </a:r>
        </a:p>
      </xdr:txBody>
    </xdr:sp>
    <xdr:clientData/>
  </xdr:twoCellAnchor>
  <xdr:twoCellAnchor>
    <xdr:from>
      <xdr:col>8</xdr:col>
      <xdr:colOff>692943</xdr:colOff>
      <xdr:row>0</xdr:row>
      <xdr:rowOff>85726</xdr:rowOff>
    </xdr:from>
    <xdr:to>
      <xdr:col>10</xdr:col>
      <xdr:colOff>371474</xdr:colOff>
      <xdr:row>0</xdr:row>
      <xdr:rowOff>314326</xdr:rowOff>
    </xdr:to>
    <xdr:sp macro="" textlink="">
      <xdr:nvSpPr>
        <xdr:cNvPr id="32" name="Rectangle 31">
          <a:hlinkClick xmlns:r="http://schemas.openxmlformats.org/officeDocument/2006/relationships" r:id="rId8"/>
        </xdr:cNvPr>
        <xdr:cNvSpPr/>
      </xdr:nvSpPr>
      <xdr:spPr>
        <a:xfrm>
          <a:off x="6941343" y="85726"/>
          <a:ext cx="1373981"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LAND</a:t>
          </a:r>
          <a:r>
            <a:rPr lang="en-US" sz="1100" baseline="0">
              <a:solidFill>
                <a:schemeClr val="bg1"/>
              </a:solidFill>
            </a:rPr>
            <a:t> USE CHANGE</a:t>
          </a:r>
          <a:endParaRPr lang="en-US" sz="1100">
            <a:solidFill>
              <a:schemeClr val="bg1"/>
            </a:solidFill>
          </a:endParaRPr>
        </a:p>
      </xdr:txBody>
    </xdr:sp>
    <xdr:clientData/>
  </xdr:twoCellAnchor>
  <xdr:twoCellAnchor>
    <xdr:from>
      <xdr:col>10</xdr:col>
      <xdr:colOff>416719</xdr:colOff>
      <xdr:row>0</xdr:row>
      <xdr:rowOff>85725</xdr:rowOff>
    </xdr:from>
    <xdr:to>
      <xdr:col>12</xdr:col>
      <xdr:colOff>226219</xdr:colOff>
      <xdr:row>0</xdr:row>
      <xdr:rowOff>314325</xdr:rowOff>
    </xdr:to>
    <xdr:sp macro="" textlink="">
      <xdr:nvSpPr>
        <xdr:cNvPr id="33" name="Rectangle 32">
          <a:hlinkClick xmlns:r="http://schemas.openxmlformats.org/officeDocument/2006/relationships" r:id="rId9"/>
        </xdr:cNvPr>
        <xdr:cNvSpPr/>
      </xdr:nvSpPr>
      <xdr:spPr>
        <a:xfrm>
          <a:off x="8360569" y="85725"/>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BUILDINGS</a:t>
          </a:r>
        </a:p>
      </xdr:txBody>
    </xdr:sp>
    <xdr:clientData/>
  </xdr:twoCellAnchor>
  <xdr:twoCellAnchor>
    <xdr:from>
      <xdr:col>12</xdr:col>
      <xdr:colOff>273324</xdr:colOff>
      <xdr:row>0</xdr:row>
      <xdr:rowOff>85725</xdr:rowOff>
    </xdr:from>
    <xdr:to>
      <xdr:col>14</xdr:col>
      <xdr:colOff>216174</xdr:colOff>
      <xdr:row>0</xdr:row>
      <xdr:rowOff>314325</xdr:rowOff>
    </xdr:to>
    <xdr:sp macro="" textlink="">
      <xdr:nvSpPr>
        <xdr:cNvPr id="34" name="Rectangle 33">
          <a:hlinkClick xmlns:r="http://schemas.openxmlformats.org/officeDocument/2006/relationships" r:id="rId10"/>
        </xdr:cNvPr>
        <xdr:cNvSpPr/>
      </xdr:nvSpPr>
      <xdr:spPr>
        <a:xfrm>
          <a:off x="9779274" y="85725"/>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RESULTS</a:t>
          </a:r>
          <a:endParaRPr lang="en-US" sz="1100">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0</xdr:colOff>
          <xdr:row>186</xdr:row>
          <xdr:rowOff>9525</xdr:rowOff>
        </xdr:from>
        <xdr:to>
          <xdr:col>7</xdr:col>
          <xdr:colOff>57150</xdr:colOff>
          <xdr:row>187</xdr:row>
          <xdr:rowOff>0</xdr:rowOff>
        </xdr:to>
        <xdr:sp macro="" textlink="">
          <xdr:nvSpPr>
            <xdr:cNvPr id="7522" name="Drop Down 354" hidden="1">
              <a:extLst>
                <a:ext uri="{63B3BB69-23CF-44E3-9099-C40C66FF867C}">
                  <a14:compatExt spid="_x0000_s75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800100</xdr:colOff>
          <xdr:row>186</xdr:row>
          <xdr:rowOff>9525</xdr:rowOff>
        </xdr:from>
        <xdr:to>
          <xdr:col>6</xdr:col>
          <xdr:colOff>0</xdr:colOff>
          <xdr:row>187</xdr:row>
          <xdr:rowOff>0</xdr:rowOff>
        </xdr:to>
        <xdr:sp macro="" textlink="">
          <xdr:nvSpPr>
            <xdr:cNvPr id="7523" name="Drop Down 355" hidden="1">
              <a:extLst>
                <a:ext uri="{63B3BB69-23CF-44E3-9099-C40C66FF867C}">
                  <a14:compatExt spid="_x0000_s75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197</xdr:row>
          <xdr:rowOff>19050</xdr:rowOff>
        </xdr:from>
        <xdr:to>
          <xdr:col>7</xdr:col>
          <xdr:colOff>57150</xdr:colOff>
          <xdr:row>198</xdr:row>
          <xdr:rowOff>9525</xdr:rowOff>
        </xdr:to>
        <xdr:sp macro="" textlink="">
          <xdr:nvSpPr>
            <xdr:cNvPr id="7526" name="Drop Down 358" hidden="1">
              <a:extLst>
                <a:ext uri="{63B3BB69-23CF-44E3-9099-C40C66FF867C}">
                  <a14:compatExt spid="_x0000_s75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819150</xdr:colOff>
          <xdr:row>197</xdr:row>
          <xdr:rowOff>28575</xdr:rowOff>
        </xdr:from>
        <xdr:to>
          <xdr:col>6</xdr:col>
          <xdr:colOff>19050</xdr:colOff>
          <xdr:row>198</xdr:row>
          <xdr:rowOff>19050</xdr:rowOff>
        </xdr:to>
        <xdr:sp macro="" textlink="">
          <xdr:nvSpPr>
            <xdr:cNvPr id="7527" name="Drop Down 359" hidden="1">
              <a:extLst>
                <a:ext uri="{63B3BB69-23CF-44E3-9099-C40C66FF867C}">
                  <a14:compatExt spid="_x0000_s75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219</xdr:row>
          <xdr:rowOff>19050</xdr:rowOff>
        </xdr:from>
        <xdr:to>
          <xdr:col>7</xdr:col>
          <xdr:colOff>57150</xdr:colOff>
          <xdr:row>220</xdr:row>
          <xdr:rowOff>9525</xdr:rowOff>
        </xdr:to>
        <xdr:sp macro="" textlink="">
          <xdr:nvSpPr>
            <xdr:cNvPr id="7530" name="Drop Down 362" hidden="1">
              <a:extLst>
                <a:ext uri="{63B3BB69-23CF-44E3-9099-C40C66FF867C}">
                  <a14:compatExt spid="_x0000_s7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809625</xdr:colOff>
          <xdr:row>219</xdr:row>
          <xdr:rowOff>19050</xdr:rowOff>
        </xdr:from>
        <xdr:to>
          <xdr:col>6</xdr:col>
          <xdr:colOff>9525</xdr:colOff>
          <xdr:row>220</xdr:row>
          <xdr:rowOff>9525</xdr:rowOff>
        </xdr:to>
        <xdr:sp macro="" textlink="">
          <xdr:nvSpPr>
            <xdr:cNvPr id="7531" name="Drop Down 363" hidden="1">
              <a:extLst>
                <a:ext uri="{63B3BB69-23CF-44E3-9099-C40C66FF867C}">
                  <a14:compatExt spid="_x0000_s75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229</xdr:row>
          <xdr:rowOff>19050</xdr:rowOff>
        </xdr:from>
        <xdr:to>
          <xdr:col>7</xdr:col>
          <xdr:colOff>85725</xdr:colOff>
          <xdr:row>230</xdr:row>
          <xdr:rowOff>9525</xdr:rowOff>
        </xdr:to>
        <xdr:sp macro="" textlink="">
          <xdr:nvSpPr>
            <xdr:cNvPr id="7534" name="Drop Down 366" hidden="1">
              <a:extLst>
                <a:ext uri="{63B3BB69-23CF-44E3-9099-C40C66FF867C}">
                  <a14:compatExt spid="_x0000_s75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809625</xdr:colOff>
          <xdr:row>229</xdr:row>
          <xdr:rowOff>19050</xdr:rowOff>
        </xdr:from>
        <xdr:to>
          <xdr:col>6</xdr:col>
          <xdr:colOff>19050</xdr:colOff>
          <xdr:row>230</xdr:row>
          <xdr:rowOff>9525</xdr:rowOff>
        </xdr:to>
        <xdr:sp macro="" textlink="">
          <xdr:nvSpPr>
            <xdr:cNvPr id="7535" name="Drop Down 367" hidden="1">
              <a:extLst>
                <a:ext uri="{63B3BB69-23CF-44E3-9099-C40C66FF867C}">
                  <a14:compatExt spid="_x0000_s75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8</xdr:col>
      <xdr:colOff>1257300</xdr:colOff>
      <xdr:row>0</xdr:row>
      <xdr:rowOff>85725</xdr:rowOff>
    </xdr:from>
    <xdr:to>
      <xdr:col>8</xdr:col>
      <xdr:colOff>2628900</xdr:colOff>
      <xdr:row>0</xdr:row>
      <xdr:rowOff>314325</xdr:rowOff>
    </xdr:to>
    <xdr:sp macro="" textlink="">
      <xdr:nvSpPr>
        <xdr:cNvPr id="37" name="Rectangle 36"/>
        <xdr:cNvSpPr/>
      </xdr:nvSpPr>
      <xdr:spPr>
        <a:xfrm>
          <a:off x="5448300" y="85725"/>
          <a:ext cx="1371600" cy="228600"/>
        </a:xfrm>
        <a:prstGeom prst="rect">
          <a:avLst/>
        </a:prstGeom>
        <a:solidFill>
          <a:schemeClr val="accent5">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b="0"/>
            <a:t>TRANSPORT</a:t>
          </a:r>
          <a:endParaRPr lang="en-US" sz="1100" b="0"/>
        </a:p>
      </xdr:txBody>
    </xdr:sp>
    <xdr:clientData/>
  </xdr:twoCellAnchor>
  <xdr:twoCellAnchor>
    <xdr:from>
      <xdr:col>1</xdr:col>
      <xdr:colOff>0</xdr:colOff>
      <xdr:row>100</xdr:row>
      <xdr:rowOff>31748</xdr:rowOff>
    </xdr:from>
    <xdr:to>
      <xdr:col>11</xdr:col>
      <xdr:colOff>97971</xdr:colOff>
      <xdr:row>116</xdr:row>
      <xdr:rowOff>227691</xdr:rowOff>
    </xdr:to>
    <xdr:graphicFrame macro="">
      <xdr:nvGraphicFramePr>
        <xdr:cNvPr id="36" name="Chart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121443</xdr:colOff>
      <xdr:row>0</xdr:row>
      <xdr:rowOff>85726</xdr:rowOff>
    </xdr:from>
    <xdr:to>
      <xdr:col>8</xdr:col>
      <xdr:colOff>647699</xdr:colOff>
      <xdr:row>0</xdr:row>
      <xdr:rowOff>314326</xdr:rowOff>
    </xdr:to>
    <xdr:sp macro="" textlink="">
      <xdr:nvSpPr>
        <xdr:cNvPr id="38" name="Rectangle 37"/>
        <xdr:cNvSpPr/>
      </xdr:nvSpPr>
      <xdr:spPr>
        <a:xfrm>
          <a:off x="5522118" y="85726"/>
          <a:ext cx="1373981" cy="228600"/>
        </a:xfrm>
        <a:prstGeom prst="rect">
          <a:avLst/>
        </a:prstGeom>
        <a:solidFill>
          <a:schemeClr val="accent5">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TRANSPORT</a:t>
          </a:r>
          <a:endParaRPr lang="en-US" sz="1100">
            <a:solidFill>
              <a:schemeClr val="bg1"/>
            </a:solidFill>
          </a:endParaRPr>
        </a:p>
      </xdr:txBody>
    </xdr:sp>
    <xdr:clientData/>
  </xdr:twoCellAnchor>
  <xdr:twoCellAnchor>
    <xdr:from>
      <xdr:col>1</xdr:col>
      <xdr:colOff>0</xdr:colOff>
      <xdr:row>234</xdr:row>
      <xdr:rowOff>0</xdr:rowOff>
    </xdr:from>
    <xdr:to>
      <xdr:col>11</xdr:col>
      <xdr:colOff>97971</xdr:colOff>
      <xdr:row>250</xdr:row>
      <xdr:rowOff>195943</xdr:rowOff>
    </xdr:to>
    <xdr:graphicFrame macro="">
      <xdr:nvGraphicFramePr>
        <xdr:cNvPr id="39" name="Chart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250032</xdr:colOff>
      <xdr:row>188</xdr:row>
      <xdr:rowOff>71438</xdr:rowOff>
    </xdr:from>
    <xdr:to>
      <xdr:col>11</xdr:col>
      <xdr:colOff>380999</xdr:colOff>
      <xdr:row>196</xdr:row>
      <xdr:rowOff>190499</xdr:rowOff>
    </xdr:to>
    <xdr:graphicFrame macro="">
      <xdr:nvGraphicFramePr>
        <xdr:cNvPr id="40" name="Chart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xdr:col>
      <xdr:colOff>285750</xdr:colOff>
      <xdr:row>179</xdr:row>
      <xdr:rowOff>63500</xdr:rowOff>
    </xdr:from>
    <xdr:to>
      <xdr:col>11</xdr:col>
      <xdr:colOff>333375</xdr:colOff>
      <xdr:row>187</xdr:row>
      <xdr:rowOff>1513</xdr:rowOff>
    </xdr:to>
    <xdr:graphicFrame macro="">
      <xdr:nvGraphicFramePr>
        <xdr:cNvPr id="41" name="Chart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17</xdr:col>
      <xdr:colOff>4876800</xdr:colOff>
      <xdr:row>339</xdr:row>
      <xdr:rowOff>114300</xdr:rowOff>
    </xdr:from>
    <xdr:to>
      <xdr:col>17</xdr:col>
      <xdr:colOff>6616700</xdr:colOff>
      <xdr:row>342</xdr:row>
      <xdr:rowOff>100806</xdr:rowOff>
    </xdr:to>
    <xdr:sp macro="" textlink="">
      <xdr:nvSpPr>
        <xdr:cNvPr id="42" name="TextBox 41"/>
        <xdr:cNvSpPr txBox="1"/>
      </xdr:nvSpPr>
      <xdr:spPr>
        <a:xfrm>
          <a:off x="18116550" y="76314300"/>
          <a:ext cx="1739900" cy="729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U3.1</a:t>
          </a:r>
          <a:endParaRPr lang="en-US" sz="4800">
            <a:solidFill>
              <a:schemeClr val="bg1">
                <a:lumMod val="65000"/>
              </a:schemeClr>
            </a:solidFill>
            <a:latin typeface="Arial Black" panose="020B0A04020102020204" pitchFamily="34" charset="0"/>
          </a:endParaRPr>
        </a:p>
      </xdr:txBody>
    </xdr:sp>
    <xdr:clientData/>
  </xdr:twoCellAnchor>
  <xdr:twoCellAnchor>
    <xdr:from>
      <xdr:col>17</xdr:col>
      <xdr:colOff>5257800</xdr:colOff>
      <xdr:row>199</xdr:row>
      <xdr:rowOff>209550</xdr:rowOff>
    </xdr:from>
    <xdr:to>
      <xdr:col>18</xdr:col>
      <xdr:colOff>273050</xdr:colOff>
      <xdr:row>202</xdr:row>
      <xdr:rowOff>196056</xdr:rowOff>
    </xdr:to>
    <xdr:sp macro="" textlink="">
      <xdr:nvSpPr>
        <xdr:cNvPr id="43" name="TextBox 42"/>
        <xdr:cNvSpPr txBox="1"/>
      </xdr:nvSpPr>
      <xdr:spPr>
        <a:xfrm>
          <a:off x="18497550" y="49911000"/>
          <a:ext cx="1739900" cy="729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U2</a:t>
          </a:r>
          <a:endParaRPr lang="en-US" sz="4800">
            <a:solidFill>
              <a:schemeClr val="bg1">
                <a:lumMod val="65000"/>
              </a:schemeClr>
            </a:solidFill>
            <a:latin typeface="Arial Black" panose="020B0A04020102020204" pitchFamily="34" charset="0"/>
          </a:endParaRPr>
        </a:p>
      </xdr:txBody>
    </xdr:sp>
    <xdr:clientData/>
  </xdr:twoCellAnchor>
  <xdr:twoCellAnchor>
    <xdr:from>
      <xdr:col>17</xdr:col>
      <xdr:colOff>4876800</xdr:colOff>
      <xdr:row>361</xdr:row>
      <xdr:rowOff>76200</xdr:rowOff>
    </xdr:from>
    <xdr:to>
      <xdr:col>17</xdr:col>
      <xdr:colOff>6616700</xdr:colOff>
      <xdr:row>364</xdr:row>
      <xdr:rowOff>62706</xdr:rowOff>
    </xdr:to>
    <xdr:sp macro="" textlink="">
      <xdr:nvSpPr>
        <xdr:cNvPr id="44" name="TextBox 43"/>
        <xdr:cNvSpPr txBox="1"/>
      </xdr:nvSpPr>
      <xdr:spPr>
        <a:xfrm>
          <a:off x="18116550" y="81724500"/>
          <a:ext cx="1739900" cy="729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U3.3</a:t>
          </a:r>
          <a:endParaRPr lang="en-US" sz="4800">
            <a:solidFill>
              <a:schemeClr val="bg1">
                <a:lumMod val="65000"/>
              </a:schemeClr>
            </a:solidFill>
            <a:latin typeface="Arial Black" panose="020B0A04020102020204" pitchFamily="34" charset="0"/>
          </a:endParaRPr>
        </a:p>
      </xdr:txBody>
    </xdr:sp>
    <xdr:clientData/>
  </xdr:twoCellAnchor>
  <xdr:twoCellAnchor>
    <xdr:from>
      <xdr:col>17</xdr:col>
      <xdr:colOff>4857750</xdr:colOff>
      <xdr:row>394</xdr:row>
      <xdr:rowOff>133350</xdr:rowOff>
    </xdr:from>
    <xdr:to>
      <xdr:col>17</xdr:col>
      <xdr:colOff>6597650</xdr:colOff>
      <xdr:row>397</xdr:row>
      <xdr:rowOff>119856</xdr:rowOff>
    </xdr:to>
    <xdr:sp macro="" textlink="">
      <xdr:nvSpPr>
        <xdr:cNvPr id="45" name="TextBox 44"/>
        <xdr:cNvSpPr txBox="1"/>
      </xdr:nvSpPr>
      <xdr:spPr>
        <a:xfrm>
          <a:off x="18097500" y="89954100"/>
          <a:ext cx="1739900" cy="729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U3.2</a:t>
          </a:r>
          <a:endParaRPr lang="en-US" sz="4800">
            <a:solidFill>
              <a:schemeClr val="bg1">
                <a:lumMod val="65000"/>
              </a:schemeClr>
            </a:solidFill>
            <a:latin typeface="Arial Black" panose="020B0A04020102020204" pitchFamily="34" charset="0"/>
          </a:endParaRPr>
        </a:p>
      </xdr:txBody>
    </xdr:sp>
    <xdr:clientData/>
  </xdr:twoCellAnchor>
  <xdr:twoCellAnchor>
    <xdr:from>
      <xdr:col>17</xdr:col>
      <xdr:colOff>4876800</xdr:colOff>
      <xdr:row>409</xdr:row>
      <xdr:rowOff>0</xdr:rowOff>
    </xdr:from>
    <xdr:to>
      <xdr:col>17</xdr:col>
      <xdr:colOff>6616700</xdr:colOff>
      <xdr:row>411</xdr:row>
      <xdr:rowOff>234156</xdr:rowOff>
    </xdr:to>
    <xdr:sp macro="" textlink="">
      <xdr:nvSpPr>
        <xdr:cNvPr id="46" name="TextBox 45"/>
        <xdr:cNvSpPr txBox="1"/>
      </xdr:nvSpPr>
      <xdr:spPr>
        <a:xfrm>
          <a:off x="18116550" y="93535500"/>
          <a:ext cx="1739900" cy="729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U3.4</a:t>
          </a:r>
          <a:endParaRPr lang="en-US" sz="4800">
            <a:solidFill>
              <a:schemeClr val="bg1">
                <a:lumMod val="65000"/>
              </a:schemeClr>
            </a:solidFill>
            <a:latin typeface="Arial Black" panose="020B0A04020102020204" pitchFamily="34" charset="0"/>
          </a:endParaRPr>
        </a:p>
      </xdr:txBody>
    </xdr:sp>
    <xdr:clientData/>
  </xdr:twoCellAnchor>
  <xdr:twoCellAnchor>
    <xdr:from>
      <xdr:col>17</xdr:col>
      <xdr:colOff>4863193</xdr:colOff>
      <xdr:row>431</xdr:row>
      <xdr:rowOff>115661</xdr:rowOff>
    </xdr:from>
    <xdr:to>
      <xdr:col>17</xdr:col>
      <xdr:colOff>6603093</xdr:colOff>
      <xdr:row>434</xdr:row>
      <xdr:rowOff>95817</xdr:rowOff>
    </xdr:to>
    <xdr:sp macro="" textlink="">
      <xdr:nvSpPr>
        <xdr:cNvPr id="47" name="TextBox 46"/>
        <xdr:cNvSpPr txBox="1"/>
      </xdr:nvSpPr>
      <xdr:spPr>
        <a:xfrm>
          <a:off x="17939657" y="98032661"/>
          <a:ext cx="1739900" cy="7149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U3.5</a:t>
          </a:r>
          <a:endParaRPr lang="en-US" sz="4800">
            <a:solidFill>
              <a:schemeClr val="bg1">
                <a:lumMod val="65000"/>
              </a:schemeClr>
            </a:solidFill>
            <a:latin typeface="Arial Black" panose="020B0A04020102020204" pitchFamily="34" charset="0"/>
          </a:endParaRPr>
        </a:p>
      </xdr:txBody>
    </xdr:sp>
    <xdr:clientData/>
  </xdr:twoCellAnchor>
  <xdr:twoCellAnchor>
    <xdr:from>
      <xdr:col>17</xdr:col>
      <xdr:colOff>4838700</xdr:colOff>
      <xdr:row>492</xdr:row>
      <xdr:rowOff>91169</xdr:rowOff>
    </xdr:from>
    <xdr:to>
      <xdr:col>17</xdr:col>
      <xdr:colOff>6578600</xdr:colOff>
      <xdr:row>495</xdr:row>
      <xdr:rowOff>0</xdr:rowOff>
    </xdr:to>
    <xdr:sp macro="" textlink="">
      <xdr:nvSpPr>
        <xdr:cNvPr id="48" name="TextBox 47"/>
        <xdr:cNvSpPr txBox="1"/>
      </xdr:nvSpPr>
      <xdr:spPr>
        <a:xfrm>
          <a:off x="17915164" y="107560383"/>
          <a:ext cx="1739900" cy="7149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U3.6</a:t>
          </a:r>
          <a:endParaRPr lang="en-US" sz="4800">
            <a:solidFill>
              <a:schemeClr val="bg1">
                <a:lumMod val="65000"/>
              </a:schemeClr>
            </a:solidFill>
            <a:latin typeface="Arial Black" panose="020B0A04020102020204" pitchFamily="34" charset="0"/>
          </a:endParaRPr>
        </a:p>
      </xdr:txBody>
    </xdr:sp>
    <xdr:clientData/>
  </xdr:twoCellAnchor>
  <xdr:twoCellAnchor>
    <xdr:from>
      <xdr:col>17</xdr:col>
      <xdr:colOff>4762500</xdr:colOff>
      <xdr:row>590</xdr:row>
      <xdr:rowOff>171450</xdr:rowOff>
    </xdr:from>
    <xdr:to>
      <xdr:col>17</xdr:col>
      <xdr:colOff>6502400</xdr:colOff>
      <xdr:row>593</xdr:row>
      <xdr:rowOff>80281</xdr:rowOff>
    </xdr:to>
    <xdr:sp macro="" textlink="">
      <xdr:nvSpPr>
        <xdr:cNvPr id="49" name="TextBox 48"/>
        <xdr:cNvSpPr txBox="1"/>
      </xdr:nvSpPr>
      <xdr:spPr>
        <a:xfrm>
          <a:off x="18002250" y="130606800"/>
          <a:ext cx="1739900" cy="6517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U3.7</a:t>
          </a:r>
        </a:p>
      </xdr:txBody>
    </xdr:sp>
    <xdr:clientData/>
  </xdr:twoCellAnchor>
  <xdr:twoCellAnchor>
    <xdr:from>
      <xdr:col>17</xdr:col>
      <xdr:colOff>1347108</xdr:colOff>
      <xdr:row>636</xdr:row>
      <xdr:rowOff>100693</xdr:rowOff>
    </xdr:from>
    <xdr:to>
      <xdr:col>17</xdr:col>
      <xdr:colOff>6624865</xdr:colOff>
      <xdr:row>639</xdr:row>
      <xdr:rowOff>9523</xdr:rowOff>
    </xdr:to>
    <xdr:sp macro="" textlink="">
      <xdr:nvSpPr>
        <xdr:cNvPr id="50" name="TextBox 49"/>
        <xdr:cNvSpPr txBox="1"/>
      </xdr:nvSpPr>
      <xdr:spPr>
        <a:xfrm>
          <a:off x="14423572" y="132307693"/>
          <a:ext cx="5277757" cy="6436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FINAL RESULT</a:t>
          </a:r>
        </a:p>
      </xdr:txBody>
    </xdr:sp>
    <xdr:clientData/>
  </xdr:twoCellAnchor>
  <xdr:twoCellAnchor>
    <xdr:from>
      <xdr:col>1</xdr:col>
      <xdr:colOff>85725</xdr:colOff>
      <xdr:row>1</xdr:row>
      <xdr:rowOff>38100</xdr:rowOff>
    </xdr:from>
    <xdr:to>
      <xdr:col>7</xdr:col>
      <xdr:colOff>321945</xdr:colOff>
      <xdr:row>1</xdr:row>
      <xdr:rowOff>3147060</xdr:rowOff>
    </xdr:to>
    <xdr:graphicFrame macro="">
      <xdr:nvGraphicFramePr>
        <xdr:cNvPr id="51" name="Chart 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8</xdr:col>
      <xdr:colOff>142875</xdr:colOff>
      <xdr:row>1</xdr:row>
      <xdr:rowOff>9525</xdr:rowOff>
    </xdr:from>
    <xdr:to>
      <xdr:col>15</xdr:col>
      <xdr:colOff>90170</xdr:colOff>
      <xdr:row>1</xdr:row>
      <xdr:rowOff>3118485</xdr:rowOff>
    </xdr:to>
    <xdr:graphicFrame macro="">
      <xdr:nvGraphicFramePr>
        <xdr:cNvPr id="52" name="Chart 5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309562</xdr:colOff>
      <xdr:row>179</xdr:row>
      <xdr:rowOff>202406</xdr:rowOff>
    </xdr:from>
    <xdr:to>
      <xdr:col>13</xdr:col>
      <xdr:colOff>505164</xdr:colOff>
      <xdr:row>187</xdr:row>
      <xdr:rowOff>181238</xdr:rowOff>
    </xdr:to>
    <xdr:graphicFrame macro="">
      <xdr:nvGraphicFramePr>
        <xdr:cNvPr id="60" name="Chart 5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9</xdr:col>
      <xdr:colOff>107156</xdr:colOff>
      <xdr:row>188</xdr:row>
      <xdr:rowOff>226218</xdr:rowOff>
    </xdr:from>
    <xdr:to>
      <xdr:col>13</xdr:col>
      <xdr:colOff>302758</xdr:colOff>
      <xdr:row>196</xdr:row>
      <xdr:rowOff>205050</xdr:rowOff>
    </xdr:to>
    <xdr:graphicFrame macro="">
      <xdr:nvGraphicFramePr>
        <xdr:cNvPr id="61" name="Chart 6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38100</xdr:colOff>
      <xdr:row>0</xdr:row>
      <xdr:rowOff>85726</xdr:rowOff>
    </xdr:from>
    <xdr:to>
      <xdr:col>5</xdr:col>
      <xdr:colOff>561975</xdr:colOff>
      <xdr:row>0</xdr:row>
      <xdr:rowOff>314326</xdr:rowOff>
    </xdr:to>
    <xdr:sp macro="" textlink="">
      <xdr:nvSpPr>
        <xdr:cNvPr id="4" name="Rectangle 3">
          <a:hlinkClick xmlns:r="http://schemas.openxmlformats.org/officeDocument/2006/relationships" r:id="rId1"/>
        </xdr:cNvPr>
        <xdr:cNvSpPr/>
      </xdr:nvSpPr>
      <xdr:spPr>
        <a:xfrm>
          <a:off x="4095750" y="85726"/>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S</a:t>
          </a:r>
          <a:r>
            <a:rPr lang="et-EE" sz="1100">
              <a:solidFill>
                <a:schemeClr val="bg1"/>
              </a:solidFill>
            </a:rPr>
            <a:t>TA</a:t>
          </a:r>
          <a:r>
            <a:rPr lang="en-US" sz="1100">
              <a:solidFill>
                <a:schemeClr val="bg1"/>
              </a:solidFill>
            </a:rPr>
            <a:t>RT</a:t>
          </a:r>
        </a:p>
      </xdr:txBody>
    </xdr:sp>
    <xdr:clientData/>
  </xdr:twoCellAnchor>
  <xdr:twoCellAnchor>
    <xdr:from>
      <xdr:col>5</xdr:col>
      <xdr:colOff>609600</xdr:colOff>
      <xdr:row>0</xdr:row>
      <xdr:rowOff>85726</xdr:rowOff>
    </xdr:from>
    <xdr:to>
      <xdr:col>7</xdr:col>
      <xdr:colOff>285750</xdr:colOff>
      <xdr:row>0</xdr:row>
      <xdr:rowOff>314326</xdr:rowOff>
    </xdr:to>
    <xdr:sp macro="" textlink="">
      <xdr:nvSpPr>
        <xdr:cNvPr id="5" name="Rectangle 4">
          <a:hlinkClick xmlns:r="http://schemas.openxmlformats.org/officeDocument/2006/relationships" r:id="rId2"/>
        </xdr:cNvPr>
        <xdr:cNvSpPr/>
      </xdr:nvSpPr>
      <xdr:spPr>
        <a:xfrm>
          <a:off x="5514975" y="85726"/>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TRANSPORT</a:t>
          </a:r>
          <a:endParaRPr lang="en-US" sz="1100">
            <a:solidFill>
              <a:schemeClr val="bg1"/>
            </a:solidFill>
          </a:endParaRPr>
        </a:p>
      </xdr:txBody>
    </xdr:sp>
    <xdr:clientData/>
  </xdr:twoCellAnchor>
  <xdr:twoCellAnchor>
    <xdr:from>
      <xdr:col>9</xdr:col>
      <xdr:colOff>304800</xdr:colOff>
      <xdr:row>0</xdr:row>
      <xdr:rowOff>87923</xdr:rowOff>
    </xdr:from>
    <xdr:to>
      <xdr:col>9</xdr:col>
      <xdr:colOff>1676400</xdr:colOff>
      <xdr:row>0</xdr:row>
      <xdr:rowOff>316523</xdr:rowOff>
    </xdr:to>
    <xdr:sp macro="" textlink="">
      <xdr:nvSpPr>
        <xdr:cNvPr id="6" name="Rectangle 5">
          <a:hlinkClick xmlns:r="http://schemas.openxmlformats.org/officeDocument/2006/relationships" r:id="rId3"/>
        </xdr:cNvPr>
        <xdr:cNvSpPr/>
      </xdr:nvSpPr>
      <xdr:spPr>
        <a:xfrm>
          <a:off x="8362950" y="87923"/>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BUILDINGS</a:t>
          </a:r>
        </a:p>
      </xdr:txBody>
    </xdr:sp>
    <xdr:clientData/>
  </xdr:twoCellAnchor>
  <xdr:twoCellAnchor>
    <xdr:from>
      <xdr:col>9</xdr:col>
      <xdr:colOff>1724193</xdr:colOff>
      <xdr:row>0</xdr:row>
      <xdr:rowOff>85725</xdr:rowOff>
    </xdr:from>
    <xdr:to>
      <xdr:col>9</xdr:col>
      <xdr:colOff>3083093</xdr:colOff>
      <xdr:row>0</xdr:row>
      <xdr:rowOff>314325</xdr:rowOff>
    </xdr:to>
    <xdr:sp macro="" textlink="">
      <xdr:nvSpPr>
        <xdr:cNvPr id="8" name="Rectangle 7">
          <a:hlinkClick xmlns:r="http://schemas.openxmlformats.org/officeDocument/2006/relationships" r:id="rId4"/>
        </xdr:cNvPr>
        <xdr:cNvSpPr/>
      </xdr:nvSpPr>
      <xdr:spPr>
        <a:xfrm>
          <a:off x="9782343" y="85725"/>
          <a:ext cx="13589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RESULTS</a:t>
          </a:r>
          <a:endParaRPr lang="en-US" sz="1100">
            <a:solidFill>
              <a:schemeClr val="bg1"/>
            </a:solidFill>
          </a:endParaRPr>
        </a:p>
      </xdr:txBody>
    </xdr:sp>
    <xdr:clientData/>
  </xdr:twoCellAnchor>
  <xdr:twoCellAnchor>
    <xdr:from>
      <xdr:col>3</xdr:col>
      <xdr:colOff>126207</xdr:colOff>
      <xdr:row>13</xdr:row>
      <xdr:rowOff>111919</xdr:rowOff>
    </xdr:from>
    <xdr:to>
      <xdr:col>7</xdr:col>
      <xdr:colOff>183357</xdr:colOff>
      <xdr:row>23</xdr:row>
      <xdr:rowOff>111919</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74083</xdr:colOff>
      <xdr:row>24</xdr:row>
      <xdr:rowOff>0</xdr:rowOff>
    </xdr:from>
    <xdr:to>
      <xdr:col>8</xdr:col>
      <xdr:colOff>404812</xdr:colOff>
      <xdr:row>39</xdr:row>
      <xdr:rowOff>57150</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79</xdr:row>
      <xdr:rowOff>200025</xdr:rowOff>
    </xdr:from>
    <xdr:to>
      <xdr:col>8</xdr:col>
      <xdr:colOff>561975</xdr:colOff>
      <xdr:row>95</xdr:row>
      <xdr:rowOff>9525</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7</xdr:col>
      <xdr:colOff>9525</xdr:colOff>
      <xdr:row>46</xdr:row>
      <xdr:rowOff>0</xdr:rowOff>
    </xdr:from>
    <xdr:to>
      <xdr:col>7</xdr:col>
      <xdr:colOff>828675</xdr:colOff>
      <xdr:row>46</xdr:row>
      <xdr:rowOff>238125</xdr:rowOff>
    </xdr:to>
    <xdr:sp macro="" textlink="">
      <xdr:nvSpPr>
        <xdr:cNvPr id="10270" name="Drop Down 30" hidden="1">
          <a:extLst>
            <a:ext uri="{63B3BB69-23CF-44E3-9099-C40C66FF867C}">
              <a14:compatExt xmlns:a14="http://schemas.microsoft.com/office/drawing/2010/main" spid="_x0000_s1027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47</xdr:row>
      <xdr:rowOff>0</xdr:rowOff>
    </xdr:from>
    <xdr:to>
      <xdr:col>7</xdr:col>
      <xdr:colOff>828675</xdr:colOff>
      <xdr:row>47</xdr:row>
      <xdr:rowOff>238125</xdr:rowOff>
    </xdr:to>
    <xdr:sp macro="" textlink="">
      <xdr:nvSpPr>
        <xdr:cNvPr id="10271" name="Drop Down 31" hidden="1">
          <a:extLst>
            <a:ext uri="{63B3BB69-23CF-44E3-9099-C40C66FF867C}">
              <a14:compatExt xmlns:a14="http://schemas.microsoft.com/office/drawing/2010/main" spid="_x0000_s10271"/>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48</xdr:row>
      <xdr:rowOff>0</xdr:rowOff>
    </xdr:from>
    <xdr:to>
      <xdr:col>7</xdr:col>
      <xdr:colOff>828675</xdr:colOff>
      <xdr:row>48</xdr:row>
      <xdr:rowOff>238125</xdr:rowOff>
    </xdr:to>
    <xdr:sp macro="" textlink="">
      <xdr:nvSpPr>
        <xdr:cNvPr id="10272" name="Drop Down 32" hidden="1">
          <a:extLst>
            <a:ext uri="{63B3BB69-23CF-44E3-9099-C40C66FF867C}">
              <a14:compatExt xmlns:a14="http://schemas.microsoft.com/office/drawing/2010/main" spid="_x0000_s10272"/>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49</xdr:row>
      <xdr:rowOff>0</xdr:rowOff>
    </xdr:from>
    <xdr:to>
      <xdr:col>7</xdr:col>
      <xdr:colOff>828675</xdr:colOff>
      <xdr:row>49</xdr:row>
      <xdr:rowOff>238125</xdr:rowOff>
    </xdr:to>
    <xdr:sp macro="" textlink="">
      <xdr:nvSpPr>
        <xdr:cNvPr id="10273" name="Drop Down 33" hidden="1">
          <a:extLst>
            <a:ext uri="{63B3BB69-23CF-44E3-9099-C40C66FF867C}">
              <a14:compatExt xmlns:a14="http://schemas.microsoft.com/office/drawing/2010/main" spid="_x0000_s10273"/>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50</xdr:row>
      <xdr:rowOff>0</xdr:rowOff>
    </xdr:from>
    <xdr:to>
      <xdr:col>7</xdr:col>
      <xdr:colOff>828675</xdr:colOff>
      <xdr:row>50</xdr:row>
      <xdr:rowOff>238125</xdr:rowOff>
    </xdr:to>
    <xdr:sp macro="" textlink="">
      <xdr:nvSpPr>
        <xdr:cNvPr id="10274" name="Drop Down 34" hidden="1">
          <a:extLst>
            <a:ext uri="{63B3BB69-23CF-44E3-9099-C40C66FF867C}">
              <a14:compatExt xmlns:a14="http://schemas.microsoft.com/office/drawing/2010/main" spid="_x0000_s10274"/>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51</xdr:row>
      <xdr:rowOff>0</xdr:rowOff>
    </xdr:from>
    <xdr:to>
      <xdr:col>7</xdr:col>
      <xdr:colOff>828675</xdr:colOff>
      <xdr:row>51</xdr:row>
      <xdr:rowOff>238125</xdr:rowOff>
    </xdr:to>
    <xdr:sp macro="" textlink="">
      <xdr:nvSpPr>
        <xdr:cNvPr id="10275" name="Drop Down 35" hidden="1">
          <a:extLst>
            <a:ext uri="{63B3BB69-23CF-44E3-9099-C40C66FF867C}">
              <a14:compatExt xmlns:a14="http://schemas.microsoft.com/office/drawing/2010/main" spid="_x0000_s10275"/>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52</xdr:row>
      <xdr:rowOff>0</xdr:rowOff>
    </xdr:from>
    <xdr:to>
      <xdr:col>7</xdr:col>
      <xdr:colOff>828675</xdr:colOff>
      <xdr:row>52</xdr:row>
      <xdr:rowOff>238125</xdr:rowOff>
    </xdr:to>
    <xdr:sp macro="" textlink="">
      <xdr:nvSpPr>
        <xdr:cNvPr id="10276" name="Drop Down 36" hidden="1">
          <a:extLst>
            <a:ext uri="{63B3BB69-23CF-44E3-9099-C40C66FF867C}">
              <a14:compatExt xmlns:a14="http://schemas.microsoft.com/office/drawing/2010/main" spid="_x0000_s10276"/>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53</xdr:row>
      <xdr:rowOff>0</xdr:rowOff>
    </xdr:from>
    <xdr:to>
      <xdr:col>7</xdr:col>
      <xdr:colOff>828675</xdr:colOff>
      <xdr:row>53</xdr:row>
      <xdr:rowOff>238125</xdr:rowOff>
    </xdr:to>
    <xdr:sp macro="" textlink="">
      <xdr:nvSpPr>
        <xdr:cNvPr id="10277" name="Drop Down 37" hidden="1">
          <a:extLst>
            <a:ext uri="{63B3BB69-23CF-44E3-9099-C40C66FF867C}">
              <a14:compatExt xmlns:a14="http://schemas.microsoft.com/office/drawing/2010/main" spid="_x0000_s1027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54</xdr:row>
      <xdr:rowOff>0</xdr:rowOff>
    </xdr:from>
    <xdr:to>
      <xdr:col>7</xdr:col>
      <xdr:colOff>828675</xdr:colOff>
      <xdr:row>54</xdr:row>
      <xdr:rowOff>238125</xdr:rowOff>
    </xdr:to>
    <xdr:sp macro="" textlink="">
      <xdr:nvSpPr>
        <xdr:cNvPr id="10278" name="Drop Down 38" hidden="1">
          <a:extLst>
            <a:ext uri="{63B3BB69-23CF-44E3-9099-C40C66FF867C}">
              <a14:compatExt xmlns:a14="http://schemas.microsoft.com/office/drawing/2010/main" spid="_x0000_s10278"/>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55</xdr:row>
      <xdr:rowOff>0</xdr:rowOff>
    </xdr:from>
    <xdr:to>
      <xdr:col>7</xdr:col>
      <xdr:colOff>828675</xdr:colOff>
      <xdr:row>55</xdr:row>
      <xdr:rowOff>238125</xdr:rowOff>
    </xdr:to>
    <xdr:sp macro="" textlink="">
      <xdr:nvSpPr>
        <xdr:cNvPr id="10279" name="Drop Down 39" hidden="1">
          <a:extLst>
            <a:ext uri="{63B3BB69-23CF-44E3-9099-C40C66FF867C}">
              <a14:compatExt xmlns:a14="http://schemas.microsoft.com/office/drawing/2010/main" spid="_x0000_s1027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56</xdr:row>
      <xdr:rowOff>0</xdr:rowOff>
    </xdr:from>
    <xdr:to>
      <xdr:col>7</xdr:col>
      <xdr:colOff>828675</xdr:colOff>
      <xdr:row>56</xdr:row>
      <xdr:rowOff>238125</xdr:rowOff>
    </xdr:to>
    <xdr:sp macro="" textlink="">
      <xdr:nvSpPr>
        <xdr:cNvPr id="10280" name="Drop Down 40" hidden="1">
          <a:extLst>
            <a:ext uri="{63B3BB69-23CF-44E3-9099-C40C66FF867C}">
              <a14:compatExt xmlns:a14="http://schemas.microsoft.com/office/drawing/2010/main" spid="_x0000_s1028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57</xdr:row>
      <xdr:rowOff>0</xdr:rowOff>
    </xdr:from>
    <xdr:to>
      <xdr:col>7</xdr:col>
      <xdr:colOff>828675</xdr:colOff>
      <xdr:row>57</xdr:row>
      <xdr:rowOff>238125</xdr:rowOff>
    </xdr:to>
    <xdr:sp macro="" textlink="">
      <xdr:nvSpPr>
        <xdr:cNvPr id="10281" name="Drop Down 41" hidden="1">
          <a:extLst>
            <a:ext uri="{63B3BB69-23CF-44E3-9099-C40C66FF867C}">
              <a14:compatExt xmlns:a14="http://schemas.microsoft.com/office/drawing/2010/main" spid="_x0000_s10281"/>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58</xdr:row>
      <xdr:rowOff>0</xdr:rowOff>
    </xdr:from>
    <xdr:to>
      <xdr:col>7</xdr:col>
      <xdr:colOff>828675</xdr:colOff>
      <xdr:row>58</xdr:row>
      <xdr:rowOff>238125</xdr:rowOff>
    </xdr:to>
    <xdr:sp macro="" textlink="">
      <xdr:nvSpPr>
        <xdr:cNvPr id="10282" name="Drop Down 42" hidden="1">
          <a:extLst>
            <a:ext uri="{63B3BB69-23CF-44E3-9099-C40C66FF867C}">
              <a14:compatExt xmlns:a14="http://schemas.microsoft.com/office/drawing/2010/main" spid="_x0000_s10282"/>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59</xdr:row>
      <xdr:rowOff>0</xdr:rowOff>
    </xdr:from>
    <xdr:to>
      <xdr:col>7</xdr:col>
      <xdr:colOff>828675</xdr:colOff>
      <xdr:row>59</xdr:row>
      <xdr:rowOff>238125</xdr:rowOff>
    </xdr:to>
    <xdr:sp macro="" textlink="">
      <xdr:nvSpPr>
        <xdr:cNvPr id="10283" name="Drop Down 43" hidden="1">
          <a:extLst>
            <a:ext uri="{63B3BB69-23CF-44E3-9099-C40C66FF867C}">
              <a14:compatExt xmlns:a14="http://schemas.microsoft.com/office/drawing/2010/main" spid="_x0000_s10283"/>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60</xdr:row>
      <xdr:rowOff>0</xdr:rowOff>
    </xdr:from>
    <xdr:to>
      <xdr:col>7</xdr:col>
      <xdr:colOff>828675</xdr:colOff>
      <xdr:row>60</xdr:row>
      <xdr:rowOff>238125</xdr:rowOff>
    </xdr:to>
    <xdr:sp macro="" textlink="">
      <xdr:nvSpPr>
        <xdr:cNvPr id="10284" name="Drop Down 44" hidden="1">
          <a:extLst>
            <a:ext uri="{63B3BB69-23CF-44E3-9099-C40C66FF867C}">
              <a14:compatExt xmlns:a14="http://schemas.microsoft.com/office/drawing/2010/main" spid="_x0000_s10284"/>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61</xdr:row>
      <xdr:rowOff>0</xdr:rowOff>
    </xdr:from>
    <xdr:to>
      <xdr:col>7</xdr:col>
      <xdr:colOff>828675</xdr:colOff>
      <xdr:row>61</xdr:row>
      <xdr:rowOff>238125</xdr:rowOff>
    </xdr:to>
    <xdr:sp macro="" textlink="">
      <xdr:nvSpPr>
        <xdr:cNvPr id="10285" name="Drop Down 45" hidden="1">
          <a:extLst>
            <a:ext uri="{63B3BB69-23CF-44E3-9099-C40C66FF867C}">
              <a14:compatExt xmlns:a14="http://schemas.microsoft.com/office/drawing/2010/main" spid="_x0000_s10285"/>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62</xdr:row>
      <xdr:rowOff>0</xdr:rowOff>
    </xdr:from>
    <xdr:to>
      <xdr:col>7</xdr:col>
      <xdr:colOff>828675</xdr:colOff>
      <xdr:row>62</xdr:row>
      <xdr:rowOff>238125</xdr:rowOff>
    </xdr:to>
    <xdr:sp macro="" textlink="">
      <xdr:nvSpPr>
        <xdr:cNvPr id="10286" name="Drop Down 46" hidden="1">
          <a:extLst>
            <a:ext uri="{63B3BB69-23CF-44E3-9099-C40C66FF867C}">
              <a14:compatExt xmlns:a14="http://schemas.microsoft.com/office/drawing/2010/main" spid="_x0000_s10286"/>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63</xdr:row>
      <xdr:rowOff>0</xdr:rowOff>
    </xdr:from>
    <xdr:to>
      <xdr:col>7</xdr:col>
      <xdr:colOff>828675</xdr:colOff>
      <xdr:row>63</xdr:row>
      <xdr:rowOff>238125</xdr:rowOff>
    </xdr:to>
    <xdr:sp macro="" textlink="">
      <xdr:nvSpPr>
        <xdr:cNvPr id="10287" name="Drop Down 47" hidden="1">
          <a:extLst>
            <a:ext uri="{63B3BB69-23CF-44E3-9099-C40C66FF867C}">
              <a14:compatExt xmlns:a14="http://schemas.microsoft.com/office/drawing/2010/main" spid="_x0000_s1028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64</xdr:row>
      <xdr:rowOff>0</xdr:rowOff>
    </xdr:from>
    <xdr:to>
      <xdr:col>7</xdr:col>
      <xdr:colOff>828675</xdr:colOff>
      <xdr:row>64</xdr:row>
      <xdr:rowOff>238125</xdr:rowOff>
    </xdr:to>
    <xdr:sp macro="" textlink="">
      <xdr:nvSpPr>
        <xdr:cNvPr id="10288" name="Drop Down 48" hidden="1">
          <a:extLst>
            <a:ext uri="{63B3BB69-23CF-44E3-9099-C40C66FF867C}">
              <a14:compatExt xmlns:a14="http://schemas.microsoft.com/office/drawing/2010/main" spid="_x0000_s10288"/>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65</xdr:row>
      <xdr:rowOff>0</xdr:rowOff>
    </xdr:from>
    <xdr:to>
      <xdr:col>7</xdr:col>
      <xdr:colOff>828675</xdr:colOff>
      <xdr:row>65</xdr:row>
      <xdr:rowOff>238125</xdr:rowOff>
    </xdr:to>
    <xdr:sp macro="" textlink="">
      <xdr:nvSpPr>
        <xdr:cNvPr id="10289" name="Drop Down 49" hidden="1">
          <a:extLst>
            <a:ext uri="{63B3BB69-23CF-44E3-9099-C40C66FF867C}">
              <a14:compatExt xmlns:a14="http://schemas.microsoft.com/office/drawing/2010/main" spid="_x0000_s1028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66</xdr:row>
      <xdr:rowOff>0</xdr:rowOff>
    </xdr:from>
    <xdr:to>
      <xdr:col>7</xdr:col>
      <xdr:colOff>828675</xdr:colOff>
      <xdr:row>66</xdr:row>
      <xdr:rowOff>238125</xdr:rowOff>
    </xdr:to>
    <xdr:sp macro="" textlink="">
      <xdr:nvSpPr>
        <xdr:cNvPr id="10290" name="Drop Down 50" hidden="1">
          <a:extLst>
            <a:ext uri="{63B3BB69-23CF-44E3-9099-C40C66FF867C}">
              <a14:compatExt xmlns:a14="http://schemas.microsoft.com/office/drawing/2010/main" spid="_x0000_s1029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67</xdr:row>
      <xdr:rowOff>0</xdr:rowOff>
    </xdr:from>
    <xdr:to>
      <xdr:col>7</xdr:col>
      <xdr:colOff>828675</xdr:colOff>
      <xdr:row>67</xdr:row>
      <xdr:rowOff>238125</xdr:rowOff>
    </xdr:to>
    <xdr:sp macro="" textlink="">
      <xdr:nvSpPr>
        <xdr:cNvPr id="10291" name="Drop Down 51" hidden="1">
          <a:extLst>
            <a:ext uri="{63B3BB69-23CF-44E3-9099-C40C66FF867C}">
              <a14:compatExt xmlns:a14="http://schemas.microsoft.com/office/drawing/2010/main" spid="_x0000_s10291"/>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68</xdr:row>
      <xdr:rowOff>0</xdr:rowOff>
    </xdr:from>
    <xdr:to>
      <xdr:col>7</xdr:col>
      <xdr:colOff>828675</xdr:colOff>
      <xdr:row>68</xdr:row>
      <xdr:rowOff>238125</xdr:rowOff>
    </xdr:to>
    <xdr:sp macro="" textlink="">
      <xdr:nvSpPr>
        <xdr:cNvPr id="10292" name="Drop Down 52" hidden="1">
          <a:extLst>
            <a:ext uri="{63B3BB69-23CF-44E3-9099-C40C66FF867C}">
              <a14:compatExt xmlns:a14="http://schemas.microsoft.com/office/drawing/2010/main" spid="_x0000_s10292"/>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69</xdr:row>
      <xdr:rowOff>0</xdr:rowOff>
    </xdr:from>
    <xdr:to>
      <xdr:col>7</xdr:col>
      <xdr:colOff>828675</xdr:colOff>
      <xdr:row>69</xdr:row>
      <xdr:rowOff>238125</xdr:rowOff>
    </xdr:to>
    <xdr:sp macro="" textlink="">
      <xdr:nvSpPr>
        <xdr:cNvPr id="10293" name="Drop Down 53" hidden="1">
          <a:extLst>
            <a:ext uri="{63B3BB69-23CF-44E3-9099-C40C66FF867C}">
              <a14:compatExt xmlns:a14="http://schemas.microsoft.com/office/drawing/2010/main" spid="_x0000_s10293"/>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70</xdr:row>
      <xdr:rowOff>0</xdr:rowOff>
    </xdr:from>
    <xdr:to>
      <xdr:col>7</xdr:col>
      <xdr:colOff>828675</xdr:colOff>
      <xdr:row>70</xdr:row>
      <xdr:rowOff>238125</xdr:rowOff>
    </xdr:to>
    <xdr:sp macro="" textlink="">
      <xdr:nvSpPr>
        <xdr:cNvPr id="10294" name="Drop Down 54" hidden="1">
          <a:extLst>
            <a:ext uri="{63B3BB69-23CF-44E3-9099-C40C66FF867C}">
              <a14:compatExt xmlns:a14="http://schemas.microsoft.com/office/drawing/2010/main" spid="_x0000_s10294"/>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71</xdr:row>
      <xdr:rowOff>0</xdr:rowOff>
    </xdr:from>
    <xdr:to>
      <xdr:col>7</xdr:col>
      <xdr:colOff>828675</xdr:colOff>
      <xdr:row>71</xdr:row>
      <xdr:rowOff>238125</xdr:rowOff>
    </xdr:to>
    <xdr:sp macro="" textlink="">
      <xdr:nvSpPr>
        <xdr:cNvPr id="10295" name="Drop Down 55" hidden="1">
          <a:extLst>
            <a:ext uri="{63B3BB69-23CF-44E3-9099-C40C66FF867C}">
              <a14:compatExt xmlns:a14="http://schemas.microsoft.com/office/drawing/2010/main" spid="_x0000_s10295"/>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72</xdr:row>
      <xdr:rowOff>0</xdr:rowOff>
    </xdr:from>
    <xdr:to>
      <xdr:col>7</xdr:col>
      <xdr:colOff>828675</xdr:colOff>
      <xdr:row>72</xdr:row>
      <xdr:rowOff>238125</xdr:rowOff>
    </xdr:to>
    <xdr:sp macro="" textlink="">
      <xdr:nvSpPr>
        <xdr:cNvPr id="10296" name="Drop Down 56" hidden="1">
          <a:extLst>
            <a:ext uri="{63B3BB69-23CF-44E3-9099-C40C66FF867C}">
              <a14:compatExt xmlns:a14="http://schemas.microsoft.com/office/drawing/2010/main" spid="_x0000_s10296"/>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73</xdr:row>
      <xdr:rowOff>0</xdr:rowOff>
    </xdr:from>
    <xdr:to>
      <xdr:col>7</xdr:col>
      <xdr:colOff>828675</xdr:colOff>
      <xdr:row>73</xdr:row>
      <xdr:rowOff>238125</xdr:rowOff>
    </xdr:to>
    <xdr:sp macro="" textlink="">
      <xdr:nvSpPr>
        <xdr:cNvPr id="10297" name="Drop Down 57" hidden="1">
          <a:extLst>
            <a:ext uri="{63B3BB69-23CF-44E3-9099-C40C66FF867C}">
              <a14:compatExt xmlns:a14="http://schemas.microsoft.com/office/drawing/2010/main" spid="_x0000_s1029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74</xdr:row>
      <xdr:rowOff>0</xdr:rowOff>
    </xdr:from>
    <xdr:to>
      <xdr:col>7</xdr:col>
      <xdr:colOff>828675</xdr:colOff>
      <xdr:row>74</xdr:row>
      <xdr:rowOff>238125</xdr:rowOff>
    </xdr:to>
    <xdr:sp macro="" textlink="">
      <xdr:nvSpPr>
        <xdr:cNvPr id="10298" name="Drop Down 58" hidden="1">
          <a:extLst>
            <a:ext uri="{63B3BB69-23CF-44E3-9099-C40C66FF867C}">
              <a14:compatExt xmlns:a14="http://schemas.microsoft.com/office/drawing/2010/main" spid="_x0000_s10298"/>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75</xdr:row>
      <xdr:rowOff>0</xdr:rowOff>
    </xdr:from>
    <xdr:to>
      <xdr:col>7</xdr:col>
      <xdr:colOff>828675</xdr:colOff>
      <xdr:row>75</xdr:row>
      <xdr:rowOff>238125</xdr:rowOff>
    </xdr:to>
    <xdr:sp macro="" textlink="">
      <xdr:nvSpPr>
        <xdr:cNvPr id="10299" name="Drop Down 59" hidden="1">
          <a:extLst>
            <a:ext uri="{63B3BB69-23CF-44E3-9099-C40C66FF867C}">
              <a14:compatExt xmlns:a14="http://schemas.microsoft.com/office/drawing/2010/main" spid="_x0000_s1029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38100</xdr:colOff>
      <xdr:row>43</xdr:row>
      <xdr:rowOff>47625</xdr:rowOff>
    </xdr:from>
    <xdr:to>
      <xdr:col>1</xdr:col>
      <xdr:colOff>1009650</xdr:colOff>
      <xdr:row>44</xdr:row>
      <xdr:rowOff>171450</xdr:rowOff>
    </xdr:to>
    <xdr:sp macro="" textlink="">
      <xdr:nvSpPr>
        <xdr:cNvPr id="10303" name="CommandButton1" hidden="1">
          <a:extLst>
            <a:ext uri="{63B3BB69-23CF-44E3-9099-C40C66FF867C}">
              <a14:compatExt xmlns:a14="http://schemas.microsoft.com/office/drawing/2010/main" spid="_x0000_s10303"/>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7</xdr:col>
          <xdr:colOff>9525</xdr:colOff>
          <xdr:row>46</xdr:row>
          <xdr:rowOff>0</xdr:rowOff>
        </xdr:from>
        <xdr:to>
          <xdr:col>7</xdr:col>
          <xdr:colOff>828675</xdr:colOff>
          <xdr:row>46</xdr:row>
          <xdr:rowOff>238125</xdr:rowOff>
        </xdr:to>
        <xdr:sp macro="" textlink="">
          <xdr:nvSpPr>
            <xdr:cNvPr id="2" name="Drop Down 30" hidden="1">
              <a:extLst>
                <a:ext uri="{63B3BB69-23CF-44E3-9099-C40C66FF867C}">
                  <a14:compatExt spid="_x0000_s102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47</xdr:row>
          <xdr:rowOff>0</xdr:rowOff>
        </xdr:from>
        <xdr:to>
          <xdr:col>7</xdr:col>
          <xdr:colOff>828675</xdr:colOff>
          <xdr:row>47</xdr:row>
          <xdr:rowOff>238125</xdr:rowOff>
        </xdr:to>
        <xdr:sp macro="" textlink="">
          <xdr:nvSpPr>
            <xdr:cNvPr id="3" name="Drop Down 31" hidden="1">
              <a:extLst>
                <a:ext uri="{63B3BB69-23CF-44E3-9099-C40C66FF867C}">
                  <a14:compatExt spid="_x0000_s102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48</xdr:row>
          <xdr:rowOff>0</xdr:rowOff>
        </xdr:from>
        <xdr:to>
          <xdr:col>7</xdr:col>
          <xdr:colOff>828675</xdr:colOff>
          <xdr:row>48</xdr:row>
          <xdr:rowOff>238125</xdr:rowOff>
        </xdr:to>
        <xdr:sp macro="" textlink="">
          <xdr:nvSpPr>
            <xdr:cNvPr id="7" name="Drop Down 32" hidden="1">
              <a:extLst>
                <a:ext uri="{63B3BB69-23CF-44E3-9099-C40C66FF867C}">
                  <a14:compatExt spid="_x0000_s102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49</xdr:row>
          <xdr:rowOff>0</xdr:rowOff>
        </xdr:from>
        <xdr:to>
          <xdr:col>7</xdr:col>
          <xdr:colOff>828675</xdr:colOff>
          <xdr:row>49</xdr:row>
          <xdr:rowOff>238125</xdr:rowOff>
        </xdr:to>
        <xdr:sp macro="" textlink="">
          <xdr:nvSpPr>
            <xdr:cNvPr id="10" name="Drop Down 33" hidden="1">
              <a:extLst>
                <a:ext uri="{63B3BB69-23CF-44E3-9099-C40C66FF867C}">
                  <a14:compatExt spid="_x0000_s102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50</xdr:row>
          <xdr:rowOff>0</xdr:rowOff>
        </xdr:from>
        <xdr:to>
          <xdr:col>7</xdr:col>
          <xdr:colOff>828675</xdr:colOff>
          <xdr:row>50</xdr:row>
          <xdr:rowOff>238125</xdr:rowOff>
        </xdr:to>
        <xdr:sp macro="" textlink="">
          <xdr:nvSpPr>
            <xdr:cNvPr id="12" name="Drop Down 34" hidden="1">
              <a:extLst>
                <a:ext uri="{63B3BB69-23CF-44E3-9099-C40C66FF867C}">
                  <a14:compatExt spid="_x0000_s102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51</xdr:row>
          <xdr:rowOff>0</xdr:rowOff>
        </xdr:from>
        <xdr:to>
          <xdr:col>7</xdr:col>
          <xdr:colOff>828675</xdr:colOff>
          <xdr:row>51</xdr:row>
          <xdr:rowOff>238125</xdr:rowOff>
        </xdr:to>
        <xdr:sp macro="" textlink="">
          <xdr:nvSpPr>
            <xdr:cNvPr id="13" name="Drop Down 35" hidden="1">
              <a:extLst>
                <a:ext uri="{63B3BB69-23CF-44E3-9099-C40C66FF867C}">
                  <a14:compatExt spid="_x0000_s102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52</xdr:row>
          <xdr:rowOff>0</xdr:rowOff>
        </xdr:from>
        <xdr:to>
          <xdr:col>7</xdr:col>
          <xdr:colOff>828675</xdr:colOff>
          <xdr:row>52</xdr:row>
          <xdr:rowOff>238125</xdr:rowOff>
        </xdr:to>
        <xdr:sp macro="" textlink="">
          <xdr:nvSpPr>
            <xdr:cNvPr id="14" name="Drop Down 36" hidden="1">
              <a:extLst>
                <a:ext uri="{63B3BB69-23CF-44E3-9099-C40C66FF867C}">
                  <a14:compatExt spid="_x0000_s10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53</xdr:row>
          <xdr:rowOff>0</xdr:rowOff>
        </xdr:from>
        <xdr:to>
          <xdr:col>7</xdr:col>
          <xdr:colOff>828675</xdr:colOff>
          <xdr:row>53</xdr:row>
          <xdr:rowOff>238125</xdr:rowOff>
        </xdr:to>
        <xdr:sp macro="" textlink="">
          <xdr:nvSpPr>
            <xdr:cNvPr id="15" name="Drop Down 37" hidden="1">
              <a:extLst>
                <a:ext uri="{63B3BB69-23CF-44E3-9099-C40C66FF867C}">
                  <a14:compatExt spid="_x0000_s102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54</xdr:row>
          <xdr:rowOff>0</xdr:rowOff>
        </xdr:from>
        <xdr:to>
          <xdr:col>7</xdr:col>
          <xdr:colOff>828675</xdr:colOff>
          <xdr:row>54</xdr:row>
          <xdr:rowOff>238125</xdr:rowOff>
        </xdr:to>
        <xdr:sp macro="" textlink="">
          <xdr:nvSpPr>
            <xdr:cNvPr id="17" name="Drop Down 38" hidden="1">
              <a:extLst>
                <a:ext uri="{63B3BB69-23CF-44E3-9099-C40C66FF867C}">
                  <a14:compatExt spid="_x0000_s102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55</xdr:row>
          <xdr:rowOff>0</xdr:rowOff>
        </xdr:from>
        <xdr:to>
          <xdr:col>7</xdr:col>
          <xdr:colOff>828675</xdr:colOff>
          <xdr:row>55</xdr:row>
          <xdr:rowOff>238125</xdr:rowOff>
        </xdr:to>
        <xdr:sp macro="" textlink="">
          <xdr:nvSpPr>
            <xdr:cNvPr id="18" name="Drop Down 39" hidden="1">
              <a:extLst>
                <a:ext uri="{63B3BB69-23CF-44E3-9099-C40C66FF867C}">
                  <a14:compatExt spid="_x0000_s102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56</xdr:row>
          <xdr:rowOff>0</xdr:rowOff>
        </xdr:from>
        <xdr:to>
          <xdr:col>7</xdr:col>
          <xdr:colOff>828675</xdr:colOff>
          <xdr:row>56</xdr:row>
          <xdr:rowOff>238125</xdr:rowOff>
        </xdr:to>
        <xdr:sp macro="" textlink="">
          <xdr:nvSpPr>
            <xdr:cNvPr id="19" name="Drop Down 40" hidden="1">
              <a:extLst>
                <a:ext uri="{63B3BB69-23CF-44E3-9099-C40C66FF867C}">
                  <a14:compatExt spid="_x0000_s10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57</xdr:row>
          <xdr:rowOff>0</xdr:rowOff>
        </xdr:from>
        <xdr:to>
          <xdr:col>7</xdr:col>
          <xdr:colOff>828675</xdr:colOff>
          <xdr:row>57</xdr:row>
          <xdr:rowOff>238125</xdr:rowOff>
        </xdr:to>
        <xdr:sp macro="" textlink="">
          <xdr:nvSpPr>
            <xdr:cNvPr id="20" name="Drop Down 41" hidden="1">
              <a:extLst>
                <a:ext uri="{63B3BB69-23CF-44E3-9099-C40C66FF867C}">
                  <a14:compatExt spid="_x0000_s102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58</xdr:row>
          <xdr:rowOff>0</xdr:rowOff>
        </xdr:from>
        <xdr:to>
          <xdr:col>7</xdr:col>
          <xdr:colOff>828675</xdr:colOff>
          <xdr:row>58</xdr:row>
          <xdr:rowOff>238125</xdr:rowOff>
        </xdr:to>
        <xdr:sp macro="" textlink="">
          <xdr:nvSpPr>
            <xdr:cNvPr id="21" name="Drop Down 42" hidden="1">
              <a:extLst>
                <a:ext uri="{63B3BB69-23CF-44E3-9099-C40C66FF867C}">
                  <a14:compatExt spid="_x0000_s102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59</xdr:row>
          <xdr:rowOff>0</xdr:rowOff>
        </xdr:from>
        <xdr:to>
          <xdr:col>7</xdr:col>
          <xdr:colOff>828675</xdr:colOff>
          <xdr:row>59</xdr:row>
          <xdr:rowOff>238125</xdr:rowOff>
        </xdr:to>
        <xdr:sp macro="" textlink="">
          <xdr:nvSpPr>
            <xdr:cNvPr id="22" name="Drop Down 43" hidden="1">
              <a:extLst>
                <a:ext uri="{63B3BB69-23CF-44E3-9099-C40C66FF867C}">
                  <a14:compatExt spid="_x0000_s102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60</xdr:row>
          <xdr:rowOff>0</xdr:rowOff>
        </xdr:from>
        <xdr:to>
          <xdr:col>7</xdr:col>
          <xdr:colOff>828675</xdr:colOff>
          <xdr:row>60</xdr:row>
          <xdr:rowOff>238125</xdr:rowOff>
        </xdr:to>
        <xdr:sp macro="" textlink="">
          <xdr:nvSpPr>
            <xdr:cNvPr id="23" name="Drop Down 44" hidden="1">
              <a:extLst>
                <a:ext uri="{63B3BB69-23CF-44E3-9099-C40C66FF867C}">
                  <a14:compatExt spid="_x0000_s10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61</xdr:row>
          <xdr:rowOff>0</xdr:rowOff>
        </xdr:from>
        <xdr:to>
          <xdr:col>7</xdr:col>
          <xdr:colOff>828675</xdr:colOff>
          <xdr:row>61</xdr:row>
          <xdr:rowOff>238125</xdr:rowOff>
        </xdr:to>
        <xdr:sp macro="" textlink="">
          <xdr:nvSpPr>
            <xdr:cNvPr id="24" name="Drop Down 45" hidden="1">
              <a:extLst>
                <a:ext uri="{63B3BB69-23CF-44E3-9099-C40C66FF867C}">
                  <a14:compatExt spid="_x0000_s10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62</xdr:row>
          <xdr:rowOff>0</xdr:rowOff>
        </xdr:from>
        <xdr:to>
          <xdr:col>7</xdr:col>
          <xdr:colOff>828675</xdr:colOff>
          <xdr:row>62</xdr:row>
          <xdr:rowOff>238125</xdr:rowOff>
        </xdr:to>
        <xdr:sp macro="" textlink="">
          <xdr:nvSpPr>
            <xdr:cNvPr id="25" name="Drop Down 46" hidden="1">
              <a:extLst>
                <a:ext uri="{63B3BB69-23CF-44E3-9099-C40C66FF867C}">
                  <a14:compatExt spid="_x0000_s102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63</xdr:row>
          <xdr:rowOff>0</xdr:rowOff>
        </xdr:from>
        <xdr:to>
          <xdr:col>7</xdr:col>
          <xdr:colOff>828675</xdr:colOff>
          <xdr:row>63</xdr:row>
          <xdr:rowOff>238125</xdr:rowOff>
        </xdr:to>
        <xdr:sp macro="" textlink="">
          <xdr:nvSpPr>
            <xdr:cNvPr id="26" name="Drop Down 47" hidden="1">
              <a:extLst>
                <a:ext uri="{63B3BB69-23CF-44E3-9099-C40C66FF867C}">
                  <a14:compatExt spid="_x0000_s10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64</xdr:row>
          <xdr:rowOff>0</xdr:rowOff>
        </xdr:from>
        <xdr:to>
          <xdr:col>7</xdr:col>
          <xdr:colOff>828675</xdr:colOff>
          <xdr:row>64</xdr:row>
          <xdr:rowOff>238125</xdr:rowOff>
        </xdr:to>
        <xdr:sp macro="" textlink="">
          <xdr:nvSpPr>
            <xdr:cNvPr id="27" name="Drop Down 48" hidden="1">
              <a:extLst>
                <a:ext uri="{63B3BB69-23CF-44E3-9099-C40C66FF867C}">
                  <a14:compatExt spid="_x0000_s102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65</xdr:row>
          <xdr:rowOff>0</xdr:rowOff>
        </xdr:from>
        <xdr:to>
          <xdr:col>7</xdr:col>
          <xdr:colOff>828675</xdr:colOff>
          <xdr:row>65</xdr:row>
          <xdr:rowOff>238125</xdr:rowOff>
        </xdr:to>
        <xdr:sp macro="" textlink="">
          <xdr:nvSpPr>
            <xdr:cNvPr id="28" name="Drop Down 49" hidden="1">
              <a:extLst>
                <a:ext uri="{63B3BB69-23CF-44E3-9099-C40C66FF867C}">
                  <a14:compatExt spid="_x0000_s1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66</xdr:row>
          <xdr:rowOff>0</xdr:rowOff>
        </xdr:from>
        <xdr:to>
          <xdr:col>7</xdr:col>
          <xdr:colOff>828675</xdr:colOff>
          <xdr:row>66</xdr:row>
          <xdr:rowOff>238125</xdr:rowOff>
        </xdr:to>
        <xdr:sp macro="" textlink="">
          <xdr:nvSpPr>
            <xdr:cNvPr id="29" name="Drop Down 50" hidden="1">
              <a:extLst>
                <a:ext uri="{63B3BB69-23CF-44E3-9099-C40C66FF867C}">
                  <a14:compatExt spid="_x0000_s1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67</xdr:row>
          <xdr:rowOff>0</xdr:rowOff>
        </xdr:from>
        <xdr:to>
          <xdr:col>7</xdr:col>
          <xdr:colOff>828675</xdr:colOff>
          <xdr:row>67</xdr:row>
          <xdr:rowOff>238125</xdr:rowOff>
        </xdr:to>
        <xdr:sp macro="" textlink="">
          <xdr:nvSpPr>
            <xdr:cNvPr id="30" name="Drop Down 51" hidden="1">
              <a:extLst>
                <a:ext uri="{63B3BB69-23CF-44E3-9099-C40C66FF867C}">
                  <a14:compatExt spid="_x0000_s102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68</xdr:row>
          <xdr:rowOff>0</xdr:rowOff>
        </xdr:from>
        <xdr:to>
          <xdr:col>7</xdr:col>
          <xdr:colOff>828675</xdr:colOff>
          <xdr:row>68</xdr:row>
          <xdr:rowOff>238125</xdr:rowOff>
        </xdr:to>
        <xdr:sp macro="" textlink="">
          <xdr:nvSpPr>
            <xdr:cNvPr id="31" name="Drop Down 52" hidden="1">
              <a:extLst>
                <a:ext uri="{63B3BB69-23CF-44E3-9099-C40C66FF867C}">
                  <a14:compatExt spid="_x0000_s10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69</xdr:row>
          <xdr:rowOff>0</xdr:rowOff>
        </xdr:from>
        <xdr:to>
          <xdr:col>7</xdr:col>
          <xdr:colOff>828675</xdr:colOff>
          <xdr:row>69</xdr:row>
          <xdr:rowOff>238125</xdr:rowOff>
        </xdr:to>
        <xdr:sp macro="" textlink="">
          <xdr:nvSpPr>
            <xdr:cNvPr id="32" name="Drop Down 53" hidden="1">
              <a:extLst>
                <a:ext uri="{63B3BB69-23CF-44E3-9099-C40C66FF867C}">
                  <a14:compatExt spid="_x0000_s102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70</xdr:row>
          <xdr:rowOff>0</xdr:rowOff>
        </xdr:from>
        <xdr:to>
          <xdr:col>7</xdr:col>
          <xdr:colOff>828675</xdr:colOff>
          <xdr:row>70</xdr:row>
          <xdr:rowOff>238125</xdr:rowOff>
        </xdr:to>
        <xdr:sp macro="" textlink="">
          <xdr:nvSpPr>
            <xdr:cNvPr id="33" name="Drop Down 54" hidden="1">
              <a:extLst>
                <a:ext uri="{63B3BB69-23CF-44E3-9099-C40C66FF867C}">
                  <a14:compatExt spid="_x0000_s102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71</xdr:row>
          <xdr:rowOff>0</xdr:rowOff>
        </xdr:from>
        <xdr:to>
          <xdr:col>7</xdr:col>
          <xdr:colOff>828675</xdr:colOff>
          <xdr:row>71</xdr:row>
          <xdr:rowOff>238125</xdr:rowOff>
        </xdr:to>
        <xdr:sp macro="" textlink="">
          <xdr:nvSpPr>
            <xdr:cNvPr id="34" name="Drop Down 55" hidden="1">
              <a:extLst>
                <a:ext uri="{63B3BB69-23CF-44E3-9099-C40C66FF867C}">
                  <a14:compatExt spid="_x0000_s102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72</xdr:row>
          <xdr:rowOff>0</xdr:rowOff>
        </xdr:from>
        <xdr:to>
          <xdr:col>7</xdr:col>
          <xdr:colOff>828675</xdr:colOff>
          <xdr:row>72</xdr:row>
          <xdr:rowOff>238125</xdr:rowOff>
        </xdr:to>
        <xdr:sp macro="" textlink="">
          <xdr:nvSpPr>
            <xdr:cNvPr id="35" name="Drop Down 56" hidden="1">
              <a:extLst>
                <a:ext uri="{63B3BB69-23CF-44E3-9099-C40C66FF867C}">
                  <a14:compatExt spid="_x0000_s102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73</xdr:row>
          <xdr:rowOff>0</xdr:rowOff>
        </xdr:from>
        <xdr:to>
          <xdr:col>7</xdr:col>
          <xdr:colOff>828675</xdr:colOff>
          <xdr:row>73</xdr:row>
          <xdr:rowOff>238125</xdr:rowOff>
        </xdr:to>
        <xdr:sp macro="" textlink="">
          <xdr:nvSpPr>
            <xdr:cNvPr id="36" name="Drop Down 57" hidden="1">
              <a:extLst>
                <a:ext uri="{63B3BB69-23CF-44E3-9099-C40C66FF867C}">
                  <a14:compatExt spid="_x0000_s10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74</xdr:row>
          <xdr:rowOff>0</xdr:rowOff>
        </xdr:from>
        <xdr:to>
          <xdr:col>7</xdr:col>
          <xdr:colOff>828675</xdr:colOff>
          <xdr:row>74</xdr:row>
          <xdr:rowOff>238125</xdr:rowOff>
        </xdr:to>
        <xdr:sp macro="" textlink="">
          <xdr:nvSpPr>
            <xdr:cNvPr id="37" name="Drop Down 58" hidden="1">
              <a:extLst>
                <a:ext uri="{63B3BB69-23CF-44E3-9099-C40C66FF867C}">
                  <a14:compatExt spid="_x0000_s10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75</xdr:row>
          <xdr:rowOff>0</xdr:rowOff>
        </xdr:from>
        <xdr:to>
          <xdr:col>7</xdr:col>
          <xdr:colOff>828675</xdr:colOff>
          <xdr:row>75</xdr:row>
          <xdr:rowOff>238125</xdr:rowOff>
        </xdr:to>
        <xdr:sp macro="" textlink="">
          <xdr:nvSpPr>
            <xdr:cNvPr id="38" name="Drop Down 59" hidden="1">
              <a:extLst>
                <a:ext uri="{63B3BB69-23CF-44E3-9099-C40C66FF867C}">
                  <a14:compatExt spid="_x0000_s10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85725</xdr:colOff>
      <xdr:row>43</xdr:row>
      <xdr:rowOff>57150</xdr:rowOff>
    </xdr:from>
    <xdr:to>
      <xdr:col>1</xdr:col>
      <xdr:colOff>1162050</xdr:colOff>
      <xdr:row>44</xdr:row>
      <xdr:rowOff>209550</xdr:rowOff>
    </xdr:to>
    <xdr:sp macro="" textlink="">
      <xdr:nvSpPr>
        <xdr:cNvPr id="10301" name="CommandButton1" hidden="1">
          <a:extLst>
            <a:ext uri="{63B3BB69-23CF-44E3-9099-C40C66FF867C}">
              <a14:compatExt xmlns:a14="http://schemas.microsoft.com/office/drawing/2010/main" spid="_x0000_s10301"/>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4</xdr:col>
          <xdr:colOff>28575</xdr:colOff>
          <xdr:row>43</xdr:row>
          <xdr:rowOff>104775</xdr:rowOff>
        </xdr:from>
        <xdr:to>
          <xdr:col>5</xdr:col>
          <xdr:colOff>171450</xdr:colOff>
          <xdr:row>44</xdr:row>
          <xdr:rowOff>180975</xdr:rowOff>
        </xdr:to>
        <xdr:sp macro="" textlink="">
          <xdr:nvSpPr>
            <xdr:cNvPr id="10300" name="Button 60" hidden="1">
              <a:extLst>
                <a:ext uri="{63B3BB69-23CF-44E3-9099-C40C66FF867C}">
                  <a14:compatExt spid="_x0000_s1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twoCellAnchor>
    <xdr:from>
      <xdr:col>7</xdr:col>
      <xdr:colOff>342900</xdr:colOff>
      <xdr:row>0</xdr:row>
      <xdr:rowOff>85725</xdr:rowOff>
    </xdr:from>
    <xdr:to>
      <xdr:col>9</xdr:col>
      <xdr:colOff>257175</xdr:colOff>
      <xdr:row>0</xdr:row>
      <xdr:rowOff>314325</xdr:rowOff>
    </xdr:to>
    <xdr:sp macro="" textlink="">
      <xdr:nvSpPr>
        <xdr:cNvPr id="41" name="Rectangle 40"/>
        <xdr:cNvSpPr/>
      </xdr:nvSpPr>
      <xdr:spPr>
        <a:xfrm>
          <a:off x="6943725" y="85725"/>
          <a:ext cx="1371600" cy="228600"/>
        </a:xfrm>
        <a:prstGeom prst="rect">
          <a:avLst/>
        </a:prstGeom>
        <a:solidFill>
          <a:schemeClr val="accent5">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b="0"/>
            <a:t>LAND-USE CHANGE</a:t>
          </a:r>
          <a:endParaRPr lang="en-US" sz="1100" b="0"/>
        </a:p>
      </xdr:txBody>
    </xdr:sp>
    <xdr:clientData/>
  </xdr:twoCellAnchor>
  <xdr:twoCellAnchor>
    <xdr:from>
      <xdr:col>1</xdr:col>
      <xdr:colOff>0</xdr:colOff>
      <xdr:row>1</xdr:row>
      <xdr:rowOff>28575</xdr:rowOff>
    </xdr:from>
    <xdr:to>
      <xdr:col>5</xdr:col>
      <xdr:colOff>731520</xdr:colOff>
      <xdr:row>1</xdr:row>
      <xdr:rowOff>3137535</xdr:rowOff>
    </xdr:to>
    <xdr:graphicFrame macro="">
      <xdr:nvGraphicFramePr>
        <xdr:cNvPr id="73" name="Chart 7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1</xdr:row>
      <xdr:rowOff>38100</xdr:rowOff>
    </xdr:from>
    <xdr:to>
      <xdr:col>9</xdr:col>
      <xdr:colOff>3042920</xdr:colOff>
      <xdr:row>1</xdr:row>
      <xdr:rowOff>3147060</xdr:rowOff>
    </xdr:to>
    <xdr:graphicFrame macro="">
      <xdr:nvGraphicFramePr>
        <xdr:cNvPr id="74" name="Chart 7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352425</xdr:colOff>
      <xdr:row>0</xdr:row>
      <xdr:rowOff>85726</xdr:rowOff>
    </xdr:from>
    <xdr:to>
      <xdr:col>5</xdr:col>
      <xdr:colOff>28575</xdr:colOff>
      <xdr:row>0</xdr:row>
      <xdr:rowOff>314326</xdr:rowOff>
    </xdr:to>
    <xdr:sp macro="" textlink="">
      <xdr:nvSpPr>
        <xdr:cNvPr id="2" name="Rectangle 1">
          <a:hlinkClick xmlns:r="http://schemas.openxmlformats.org/officeDocument/2006/relationships" r:id="rId1"/>
        </xdr:cNvPr>
        <xdr:cNvSpPr/>
      </xdr:nvSpPr>
      <xdr:spPr>
        <a:xfrm>
          <a:off x="4095750" y="85726"/>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S</a:t>
          </a:r>
          <a:r>
            <a:rPr lang="et-EE" sz="1100">
              <a:solidFill>
                <a:schemeClr val="bg1"/>
              </a:solidFill>
            </a:rPr>
            <a:t>TA</a:t>
          </a:r>
          <a:r>
            <a:rPr lang="en-US" sz="1100">
              <a:solidFill>
                <a:schemeClr val="bg1"/>
              </a:solidFill>
            </a:rPr>
            <a:t>RT</a:t>
          </a:r>
        </a:p>
      </xdr:txBody>
    </xdr:sp>
    <xdr:clientData/>
  </xdr:twoCellAnchor>
  <xdr:twoCellAnchor>
    <xdr:from>
      <xdr:col>5</xdr:col>
      <xdr:colOff>76200</xdr:colOff>
      <xdr:row>0</xdr:row>
      <xdr:rowOff>85726</xdr:rowOff>
    </xdr:from>
    <xdr:to>
      <xdr:col>6</xdr:col>
      <xdr:colOff>600075</xdr:colOff>
      <xdr:row>0</xdr:row>
      <xdr:rowOff>314326</xdr:rowOff>
    </xdr:to>
    <xdr:sp macro="" textlink="">
      <xdr:nvSpPr>
        <xdr:cNvPr id="3" name="Rectangle 2">
          <a:hlinkClick xmlns:r="http://schemas.openxmlformats.org/officeDocument/2006/relationships" r:id="rId2"/>
        </xdr:cNvPr>
        <xdr:cNvSpPr/>
      </xdr:nvSpPr>
      <xdr:spPr>
        <a:xfrm>
          <a:off x="5514975" y="85726"/>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TRANSPORT</a:t>
          </a:r>
          <a:endParaRPr lang="en-US" sz="1100">
            <a:solidFill>
              <a:schemeClr val="bg1"/>
            </a:solidFill>
          </a:endParaRPr>
        </a:p>
      </xdr:txBody>
    </xdr:sp>
    <xdr:clientData/>
  </xdr:twoCellAnchor>
  <xdr:twoCellAnchor>
    <xdr:from>
      <xdr:col>6</xdr:col>
      <xdr:colOff>647700</xdr:colOff>
      <xdr:row>0</xdr:row>
      <xdr:rowOff>85725</xdr:rowOff>
    </xdr:from>
    <xdr:to>
      <xdr:col>8</xdr:col>
      <xdr:colOff>323850</xdr:colOff>
      <xdr:row>0</xdr:row>
      <xdr:rowOff>314325</xdr:rowOff>
    </xdr:to>
    <xdr:sp macro="" textlink="">
      <xdr:nvSpPr>
        <xdr:cNvPr id="4" name="Rectangle 3">
          <a:hlinkClick xmlns:r="http://schemas.openxmlformats.org/officeDocument/2006/relationships" r:id="rId3"/>
        </xdr:cNvPr>
        <xdr:cNvSpPr/>
      </xdr:nvSpPr>
      <xdr:spPr>
        <a:xfrm>
          <a:off x="6934200" y="85725"/>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LAND-USE</a:t>
          </a:r>
          <a:r>
            <a:rPr lang="et-EE" sz="1100" baseline="0">
              <a:solidFill>
                <a:schemeClr val="bg1"/>
              </a:solidFill>
            </a:rPr>
            <a:t> CHANGE</a:t>
          </a:r>
          <a:endParaRPr lang="en-US" sz="1100">
            <a:solidFill>
              <a:schemeClr val="bg1"/>
            </a:solidFill>
          </a:endParaRPr>
        </a:p>
      </xdr:txBody>
    </xdr:sp>
    <xdr:clientData/>
  </xdr:twoCellAnchor>
  <xdr:twoCellAnchor>
    <xdr:from>
      <xdr:col>8</xdr:col>
      <xdr:colOff>383368</xdr:colOff>
      <xdr:row>0</xdr:row>
      <xdr:rowOff>85725</xdr:rowOff>
    </xdr:from>
    <xdr:to>
      <xdr:col>10</xdr:col>
      <xdr:colOff>59518</xdr:colOff>
      <xdr:row>0</xdr:row>
      <xdr:rowOff>314325</xdr:rowOff>
    </xdr:to>
    <xdr:sp macro="" textlink="">
      <xdr:nvSpPr>
        <xdr:cNvPr id="5" name="Rectangle 4"/>
        <xdr:cNvSpPr/>
      </xdr:nvSpPr>
      <xdr:spPr>
        <a:xfrm>
          <a:off x="8365318" y="85725"/>
          <a:ext cx="1371600" cy="228600"/>
        </a:xfrm>
        <a:prstGeom prst="rect">
          <a:avLst/>
        </a:prstGeom>
        <a:solidFill>
          <a:schemeClr val="accent5">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BUILDINGS</a:t>
          </a:r>
          <a:endParaRPr lang="en-US" sz="1100">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4</xdr:col>
          <xdr:colOff>19050</xdr:colOff>
          <xdr:row>74</xdr:row>
          <xdr:rowOff>9525</xdr:rowOff>
        </xdr:from>
        <xdr:to>
          <xdr:col>4</xdr:col>
          <xdr:colOff>838200</xdr:colOff>
          <xdr:row>75</xdr:row>
          <xdr:rowOff>0</xdr:rowOff>
        </xdr:to>
        <xdr:sp macro="" textlink="">
          <xdr:nvSpPr>
            <xdr:cNvPr id="13313" name="Drop Down 1" hidden="1">
              <a:extLst>
                <a:ext uri="{63B3BB69-23CF-44E3-9099-C40C66FF867C}">
                  <a14:compatExt spid="_x0000_s13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74</xdr:row>
          <xdr:rowOff>9525</xdr:rowOff>
        </xdr:from>
        <xdr:to>
          <xdr:col>4</xdr:col>
          <xdr:colOff>0</xdr:colOff>
          <xdr:row>75</xdr:row>
          <xdr:rowOff>0</xdr:rowOff>
        </xdr:to>
        <xdr:sp macro="" textlink="">
          <xdr:nvSpPr>
            <xdr:cNvPr id="13337" name="Drop Down 25" hidden="1">
              <a:extLst>
                <a:ext uri="{63B3BB69-23CF-44E3-9099-C40C66FF867C}">
                  <a14:compatExt spid="_x0000_s13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38100</xdr:colOff>
      <xdr:row>3</xdr:row>
      <xdr:rowOff>238125</xdr:rowOff>
    </xdr:from>
    <xdr:to>
      <xdr:col>6</xdr:col>
      <xdr:colOff>485774</xdr:colOff>
      <xdr:row>12</xdr:row>
      <xdr:rowOff>9525</xdr:rowOff>
    </xdr:to>
    <xdr:graphicFrame macro="">
      <xdr:nvGraphicFramePr>
        <xdr:cNvPr id="39" name="Chart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11</xdr:row>
      <xdr:rowOff>228599</xdr:rowOff>
    </xdr:from>
    <xdr:to>
      <xdr:col>6</xdr:col>
      <xdr:colOff>466724</xdr:colOff>
      <xdr:row>20</xdr:row>
      <xdr:rowOff>219074</xdr:rowOff>
    </xdr:to>
    <xdr:graphicFrame macro="">
      <xdr:nvGraphicFramePr>
        <xdr:cNvPr id="40" name="Chart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104775</xdr:colOff>
      <xdr:row>0</xdr:row>
      <xdr:rowOff>85725</xdr:rowOff>
    </xdr:from>
    <xdr:to>
      <xdr:col>11</xdr:col>
      <xdr:colOff>632732</xdr:colOff>
      <xdr:row>0</xdr:row>
      <xdr:rowOff>314325</xdr:rowOff>
    </xdr:to>
    <xdr:sp macro="" textlink="">
      <xdr:nvSpPr>
        <xdr:cNvPr id="41" name="Rectangle 40">
          <a:hlinkClick xmlns:r="http://schemas.openxmlformats.org/officeDocument/2006/relationships" r:id="rId6"/>
        </xdr:cNvPr>
        <xdr:cNvSpPr/>
      </xdr:nvSpPr>
      <xdr:spPr>
        <a:xfrm>
          <a:off x="9782175" y="85725"/>
          <a:ext cx="1375682"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RESULTS</a:t>
          </a:r>
          <a:endParaRPr lang="en-US" sz="1100">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4</xdr:col>
          <xdr:colOff>19050</xdr:colOff>
          <xdr:row>75</xdr:row>
          <xdr:rowOff>9525</xdr:rowOff>
        </xdr:from>
        <xdr:to>
          <xdr:col>4</xdr:col>
          <xdr:colOff>838200</xdr:colOff>
          <xdr:row>76</xdr:row>
          <xdr:rowOff>0</xdr:rowOff>
        </xdr:to>
        <xdr:sp macro="" textlink="">
          <xdr:nvSpPr>
            <xdr:cNvPr id="13363" name="Drop Down 51" hidden="1">
              <a:extLst>
                <a:ext uri="{63B3BB69-23CF-44E3-9099-C40C66FF867C}">
                  <a14:compatExt spid="_x0000_s133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75</xdr:row>
          <xdr:rowOff>9525</xdr:rowOff>
        </xdr:from>
        <xdr:to>
          <xdr:col>4</xdr:col>
          <xdr:colOff>0</xdr:colOff>
          <xdr:row>76</xdr:row>
          <xdr:rowOff>0</xdr:rowOff>
        </xdr:to>
        <xdr:sp macro="" textlink="">
          <xdr:nvSpPr>
            <xdr:cNvPr id="13364" name="Drop Down 52" hidden="1">
              <a:extLst>
                <a:ext uri="{63B3BB69-23CF-44E3-9099-C40C66FF867C}">
                  <a14:compatExt spid="_x0000_s13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76</xdr:row>
          <xdr:rowOff>9525</xdr:rowOff>
        </xdr:from>
        <xdr:to>
          <xdr:col>4</xdr:col>
          <xdr:colOff>838200</xdr:colOff>
          <xdr:row>77</xdr:row>
          <xdr:rowOff>0</xdr:rowOff>
        </xdr:to>
        <xdr:sp macro="" textlink="">
          <xdr:nvSpPr>
            <xdr:cNvPr id="13365" name="Drop Down 53" hidden="1">
              <a:extLst>
                <a:ext uri="{63B3BB69-23CF-44E3-9099-C40C66FF867C}">
                  <a14:compatExt spid="_x0000_s13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76</xdr:row>
          <xdr:rowOff>9525</xdr:rowOff>
        </xdr:from>
        <xdr:to>
          <xdr:col>4</xdr:col>
          <xdr:colOff>0</xdr:colOff>
          <xdr:row>77</xdr:row>
          <xdr:rowOff>0</xdr:rowOff>
        </xdr:to>
        <xdr:sp macro="" textlink="">
          <xdr:nvSpPr>
            <xdr:cNvPr id="13366" name="Drop Down 54" hidden="1">
              <a:extLst>
                <a:ext uri="{63B3BB69-23CF-44E3-9099-C40C66FF867C}">
                  <a14:compatExt spid="_x0000_s13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77</xdr:row>
          <xdr:rowOff>9525</xdr:rowOff>
        </xdr:from>
        <xdr:to>
          <xdr:col>4</xdr:col>
          <xdr:colOff>838200</xdr:colOff>
          <xdr:row>78</xdr:row>
          <xdr:rowOff>0</xdr:rowOff>
        </xdr:to>
        <xdr:sp macro="" textlink="">
          <xdr:nvSpPr>
            <xdr:cNvPr id="13367" name="Drop Down 55" hidden="1">
              <a:extLst>
                <a:ext uri="{63B3BB69-23CF-44E3-9099-C40C66FF867C}">
                  <a14:compatExt spid="_x0000_s133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77</xdr:row>
          <xdr:rowOff>9525</xdr:rowOff>
        </xdr:from>
        <xdr:to>
          <xdr:col>4</xdr:col>
          <xdr:colOff>0</xdr:colOff>
          <xdr:row>78</xdr:row>
          <xdr:rowOff>0</xdr:rowOff>
        </xdr:to>
        <xdr:sp macro="" textlink="">
          <xdr:nvSpPr>
            <xdr:cNvPr id="13368" name="Drop Down 56" hidden="1">
              <a:extLst>
                <a:ext uri="{63B3BB69-23CF-44E3-9099-C40C66FF867C}">
                  <a14:compatExt spid="_x0000_s133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82</xdr:row>
          <xdr:rowOff>9525</xdr:rowOff>
        </xdr:from>
        <xdr:to>
          <xdr:col>4</xdr:col>
          <xdr:colOff>838200</xdr:colOff>
          <xdr:row>83</xdr:row>
          <xdr:rowOff>0</xdr:rowOff>
        </xdr:to>
        <xdr:sp macro="" textlink="">
          <xdr:nvSpPr>
            <xdr:cNvPr id="13369" name="Drop Down 57" hidden="1">
              <a:extLst>
                <a:ext uri="{63B3BB69-23CF-44E3-9099-C40C66FF867C}">
                  <a14:compatExt spid="_x0000_s13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82</xdr:row>
          <xdr:rowOff>9525</xdr:rowOff>
        </xdr:from>
        <xdr:to>
          <xdr:col>4</xdr:col>
          <xdr:colOff>0</xdr:colOff>
          <xdr:row>83</xdr:row>
          <xdr:rowOff>0</xdr:rowOff>
        </xdr:to>
        <xdr:sp macro="" textlink="">
          <xdr:nvSpPr>
            <xdr:cNvPr id="13370" name="Drop Down 58" hidden="1">
              <a:extLst>
                <a:ext uri="{63B3BB69-23CF-44E3-9099-C40C66FF867C}">
                  <a14:compatExt spid="_x0000_s133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83</xdr:row>
          <xdr:rowOff>9525</xdr:rowOff>
        </xdr:from>
        <xdr:to>
          <xdr:col>4</xdr:col>
          <xdr:colOff>838200</xdr:colOff>
          <xdr:row>84</xdr:row>
          <xdr:rowOff>0</xdr:rowOff>
        </xdr:to>
        <xdr:sp macro="" textlink="">
          <xdr:nvSpPr>
            <xdr:cNvPr id="13371" name="Drop Down 59" hidden="1">
              <a:extLst>
                <a:ext uri="{63B3BB69-23CF-44E3-9099-C40C66FF867C}">
                  <a14:compatExt spid="_x0000_s133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83</xdr:row>
          <xdr:rowOff>9525</xdr:rowOff>
        </xdr:from>
        <xdr:to>
          <xdr:col>4</xdr:col>
          <xdr:colOff>0</xdr:colOff>
          <xdr:row>84</xdr:row>
          <xdr:rowOff>0</xdr:rowOff>
        </xdr:to>
        <xdr:sp macro="" textlink="">
          <xdr:nvSpPr>
            <xdr:cNvPr id="13372" name="Drop Down 60" hidden="1">
              <a:extLst>
                <a:ext uri="{63B3BB69-23CF-44E3-9099-C40C66FF867C}">
                  <a14:compatExt spid="_x0000_s133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84</xdr:row>
          <xdr:rowOff>9525</xdr:rowOff>
        </xdr:from>
        <xdr:to>
          <xdr:col>4</xdr:col>
          <xdr:colOff>838200</xdr:colOff>
          <xdr:row>85</xdr:row>
          <xdr:rowOff>0</xdr:rowOff>
        </xdr:to>
        <xdr:sp macro="" textlink="">
          <xdr:nvSpPr>
            <xdr:cNvPr id="13373" name="Drop Down 61" hidden="1">
              <a:extLst>
                <a:ext uri="{63B3BB69-23CF-44E3-9099-C40C66FF867C}">
                  <a14:compatExt spid="_x0000_s133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84</xdr:row>
          <xdr:rowOff>9525</xdr:rowOff>
        </xdr:from>
        <xdr:to>
          <xdr:col>4</xdr:col>
          <xdr:colOff>0</xdr:colOff>
          <xdr:row>85</xdr:row>
          <xdr:rowOff>0</xdr:rowOff>
        </xdr:to>
        <xdr:sp macro="" textlink="">
          <xdr:nvSpPr>
            <xdr:cNvPr id="13374" name="Drop Down 62" hidden="1">
              <a:extLst>
                <a:ext uri="{63B3BB69-23CF-44E3-9099-C40C66FF867C}">
                  <a14:compatExt spid="_x0000_s133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85</xdr:row>
          <xdr:rowOff>9525</xdr:rowOff>
        </xdr:from>
        <xdr:to>
          <xdr:col>4</xdr:col>
          <xdr:colOff>838200</xdr:colOff>
          <xdr:row>86</xdr:row>
          <xdr:rowOff>0</xdr:rowOff>
        </xdr:to>
        <xdr:sp macro="" textlink="">
          <xdr:nvSpPr>
            <xdr:cNvPr id="13375" name="Drop Down 63" hidden="1">
              <a:extLst>
                <a:ext uri="{63B3BB69-23CF-44E3-9099-C40C66FF867C}">
                  <a14:compatExt spid="_x0000_s133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85</xdr:row>
          <xdr:rowOff>9525</xdr:rowOff>
        </xdr:from>
        <xdr:to>
          <xdr:col>4</xdr:col>
          <xdr:colOff>0</xdr:colOff>
          <xdr:row>86</xdr:row>
          <xdr:rowOff>0</xdr:rowOff>
        </xdr:to>
        <xdr:sp macro="" textlink="">
          <xdr:nvSpPr>
            <xdr:cNvPr id="13376" name="Drop Down 64" hidden="1">
              <a:extLst>
                <a:ext uri="{63B3BB69-23CF-44E3-9099-C40C66FF867C}">
                  <a14:compatExt spid="_x0000_s133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86</xdr:row>
          <xdr:rowOff>9525</xdr:rowOff>
        </xdr:from>
        <xdr:to>
          <xdr:col>4</xdr:col>
          <xdr:colOff>838200</xdr:colOff>
          <xdr:row>87</xdr:row>
          <xdr:rowOff>0</xdr:rowOff>
        </xdr:to>
        <xdr:sp macro="" textlink="">
          <xdr:nvSpPr>
            <xdr:cNvPr id="13377" name="Drop Down 65" hidden="1">
              <a:extLst>
                <a:ext uri="{63B3BB69-23CF-44E3-9099-C40C66FF867C}">
                  <a14:compatExt spid="_x0000_s1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86</xdr:row>
          <xdr:rowOff>9525</xdr:rowOff>
        </xdr:from>
        <xdr:to>
          <xdr:col>4</xdr:col>
          <xdr:colOff>0</xdr:colOff>
          <xdr:row>87</xdr:row>
          <xdr:rowOff>0</xdr:rowOff>
        </xdr:to>
        <xdr:sp macro="" textlink="">
          <xdr:nvSpPr>
            <xdr:cNvPr id="13378" name="Drop Down 66" hidden="1">
              <a:extLst>
                <a:ext uri="{63B3BB69-23CF-44E3-9099-C40C66FF867C}">
                  <a14:compatExt spid="_x0000_s133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87</xdr:row>
          <xdr:rowOff>9525</xdr:rowOff>
        </xdr:from>
        <xdr:to>
          <xdr:col>4</xdr:col>
          <xdr:colOff>838200</xdr:colOff>
          <xdr:row>88</xdr:row>
          <xdr:rowOff>0</xdr:rowOff>
        </xdr:to>
        <xdr:sp macro="" textlink="">
          <xdr:nvSpPr>
            <xdr:cNvPr id="13379" name="Drop Down 67" hidden="1">
              <a:extLst>
                <a:ext uri="{63B3BB69-23CF-44E3-9099-C40C66FF867C}">
                  <a14:compatExt spid="_x0000_s133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87</xdr:row>
          <xdr:rowOff>9525</xdr:rowOff>
        </xdr:from>
        <xdr:to>
          <xdr:col>4</xdr:col>
          <xdr:colOff>0</xdr:colOff>
          <xdr:row>88</xdr:row>
          <xdr:rowOff>0</xdr:rowOff>
        </xdr:to>
        <xdr:sp macro="" textlink="">
          <xdr:nvSpPr>
            <xdr:cNvPr id="13380" name="Drop Down 68" hidden="1">
              <a:extLst>
                <a:ext uri="{63B3BB69-23CF-44E3-9099-C40C66FF867C}">
                  <a14:compatExt spid="_x0000_s133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113</xdr:row>
          <xdr:rowOff>9525</xdr:rowOff>
        </xdr:from>
        <xdr:to>
          <xdr:col>4</xdr:col>
          <xdr:colOff>838200</xdr:colOff>
          <xdr:row>114</xdr:row>
          <xdr:rowOff>0</xdr:rowOff>
        </xdr:to>
        <xdr:sp macro="" textlink="">
          <xdr:nvSpPr>
            <xdr:cNvPr id="13381" name="Drop Down 69" hidden="1">
              <a:extLst>
                <a:ext uri="{63B3BB69-23CF-44E3-9099-C40C66FF867C}">
                  <a14:compatExt spid="_x0000_s133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113</xdr:row>
          <xdr:rowOff>9525</xdr:rowOff>
        </xdr:from>
        <xdr:to>
          <xdr:col>4</xdr:col>
          <xdr:colOff>0</xdr:colOff>
          <xdr:row>114</xdr:row>
          <xdr:rowOff>0</xdr:rowOff>
        </xdr:to>
        <xdr:sp macro="" textlink="">
          <xdr:nvSpPr>
            <xdr:cNvPr id="13382" name="Drop Down 70" hidden="1">
              <a:extLst>
                <a:ext uri="{63B3BB69-23CF-44E3-9099-C40C66FF867C}">
                  <a14:compatExt spid="_x0000_s133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114</xdr:row>
          <xdr:rowOff>9525</xdr:rowOff>
        </xdr:from>
        <xdr:to>
          <xdr:col>4</xdr:col>
          <xdr:colOff>838200</xdr:colOff>
          <xdr:row>115</xdr:row>
          <xdr:rowOff>0</xdr:rowOff>
        </xdr:to>
        <xdr:sp macro="" textlink="">
          <xdr:nvSpPr>
            <xdr:cNvPr id="13383" name="Drop Down 71" hidden="1">
              <a:extLst>
                <a:ext uri="{63B3BB69-23CF-44E3-9099-C40C66FF867C}">
                  <a14:compatExt spid="_x0000_s133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114</xdr:row>
          <xdr:rowOff>9525</xdr:rowOff>
        </xdr:from>
        <xdr:to>
          <xdr:col>4</xdr:col>
          <xdr:colOff>0</xdr:colOff>
          <xdr:row>115</xdr:row>
          <xdr:rowOff>0</xdr:rowOff>
        </xdr:to>
        <xdr:sp macro="" textlink="">
          <xdr:nvSpPr>
            <xdr:cNvPr id="13384" name="Drop Down 72" hidden="1">
              <a:extLst>
                <a:ext uri="{63B3BB69-23CF-44E3-9099-C40C66FF867C}">
                  <a14:compatExt spid="_x0000_s133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115</xdr:row>
          <xdr:rowOff>9525</xdr:rowOff>
        </xdr:from>
        <xdr:to>
          <xdr:col>4</xdr:col>
          <xdr:colOff>838200</xdr:colOff>
          <xdr:row>116</xdr:row>
          <xdr:rowOff>0</xdr:rowOff>
        </xdr:to>
        <xdr:sp macro="" textlink="">
          <xdr:nvSpPr>
            <xdr:cNvPr id="13385" name="Drop Down 73" hidden="1">
              <a:extLst>
                <a:ext uri="{63B3BB69-23CF-44E3-9099-C40C66FF867C}">
                  <a14:compatExt spid="_x0000_s13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115</xdr:row>
          <xdr:rowOff>9525</xdr:rowOff>
        </xdr:from>
        <xdr:to>
          <xdr:col>4</xdr:col>
          <xdr:colOff>0</xdr:colOff>
          <xdr:row>116</xdr:row>
          <xdr:rowOff>0</xdr:rowOff>
        </xdr:to>
        <xdr:sp macro="" textlink="">
          <xdr:nvSpPr>
            <xdr:cNvPr id="13386" name="Drop Down 74" hidden="1">
              <a:extLst>
                <a:ext uri="{63B3BB69-23CF-44E3-9099-C40C66FF867C}">
                  <a14:compatExt spid="_x0000_s13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116</xdr:row>
          <xdr:rowOff>9525</xdr:rowOff>
        </xdr:from>
        <xdr:to>
          <xdr:col>4</xdr:col>
          <xdr:colOff>838200</xdr:colOff>
          <xdr:row>117</xdr:row>
          <xdr:rowOff>0</xdr:rowOff>
        </xdr:to>
        <xdr:sp macro="" textlink="">
          <xdr:nvSpPr>
            <xdr:cNvPr id="13387" name="Drop Down 75" hidden="1">
              <a:extLst>
                <a:ext uri="{63B3BB69-23CF-44E3-9099-C40C66FF867C}">
                  <a14:compatExt spid="_x0000_s133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116</xdr:row>
          <xdr:rowOff>9525</xdr:rowOff>
        </xdr:from>
        <xdr:to>
          <xdr:col>4</xdr:col>
          <xdr:colOff>0</xdr:colOff>
          <xdr:row>117</xdr:row>
          <xdr:rowOff>0</xdr:rowOff>
        </xdr:to>
        <xdr:sp macro="" textlink="">
          <xdr:nvSpPr>
            <xdr:cNvPr id="13388" name="Drop Down 76" hidden="1">
              <a:extLst>
                <a:ext uri="{63B3BB69-23CF-44E3-9099-C40C66FF867C}">
                  <a14:compatExt spid="_x0000_s133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117</xdr:row>
          <xdr:rowOff>9525</xdr:rowOff>
        </xdr:from>
        <xdr:to>
          <xdr:col>4</xdr:col>
          <xdr:colOff>838200</xdr:colOff>
          <xdr:row>118</xdr:row>
          <xdr:rowOff>0</xdr:rowOff>
        </xdr:to>
        <xdr:sp macro="" textlink="">
          <xdr:nvSpPr>
            <xdr:cNvPr id="13389" name="Drop Down 77" hidden="1">
              <a:extLst>
                <a:ext uri="{63B3BB69-23CF-44E3-9099-C40C66FF867C}">
                  <a14:compatExt spid="_x0000_s133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117</xdr:row>
          <xdr:rowOff>9525</xdr:rowOff>
        </xdr:from>
        <xdr:to>
          <xdr:col>4</xdr:col>
          <xdr:colOff>0</xdr:colOff>
          <xdr:row>118</xdr:row>
          <xdr:rowOff>0</xdr:rowOff>
        </xdr:to>
        <xdr:sp macro="" textlink="">
          <xdr:nvSpPr>
            <xdr:cNvPr id="13390" name="Drop Down 78" hidden="1">
              <a:extLst>
                <a:ext uri="{63B3BB69-23CF-44E3-9099-C40C66FF867C}">
                  <a14:compatExt spid="_x0000_s133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118</xdr:row>
          <xdr:rowOff>9525</xdr:rowOff>
        </xdr:from>
        <xdr:to>
          <xdr:col>4</xdr:col>
          <xdr:colOff>838200</xdr:colOff>
          <xdr:row>119</xdr:row>
          <xdr:rowOff>0</xdr:rowOff>
        </xdr:to>
        <xdr:sp macro="" textlink="">
          <xdr:nvSpPr>
            <xdr:cNvPr id="13391" name="Drop Down 79" hidden="1">
              <a:extLst>
                <a:ext uri="{63B3BB69-23CF-44E3-9099-C40C66FF867C}">
                  <a14:compatExt spid="_x0000_s133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118</xdr:row>
          <xdr:rowOff>9525</xdr:rowOff>
        </xdr:from>
        <xdr:to>
          <xdr:col>4</xdr:col>
          <xdr:colOff>0</xdr:colOff>
          <xdr:row>119</xdr:row>
          <xdr:rowOff>0</xdr:rowOff>
        </xdr:to>
        <xdr:sp macro="" textlink="">
          <xdr:nvSpPr>
            <xdr:cNvPr id="13392" name="Drop Down 80" hidden="1">
              <a:extLst>
                <a:ext uri="{63B3BB69-23CF-44E3-9099-C40C66FF867C}">
                  <a14:compatExt spid="_x0000_s133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113</xdr:row>
          <xdr:rowOff>9525</xdr:rowOff>
        </xdr:from>
        <xdr:to>
          <xdr:col>1</xdr:col>
          <xdr:colOff>180975</xdr:colOff>
          <xdr:row>114</xdr:row>
          <xdr:rowOff>0</xdr:rowOff>
        </xdr:to>
        <xdr:sp macro="" textlink="">
          <xdr:nvSpPr>
            <xdr:cNvPr id="13393" name="Drop Down 81" hidden="1">
              <a:extLst>
                <a:ext uri="{63B3BB69-23CF-44E3-9099-C40C66FF867C}">
                  <a14:compatExt spid="_x0000_s13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114</xdr:row>
          <xdr:rowOff>9525</xdr:rowOff>
        </xdr:from>
        <xdr:to>
          <xdr:col>1</xdr:col>
          <xdr:colOff>180975</xdr:colOff>
          <xdr:row>115</xdr:row>
          <xdr:rowOff>0</xdr:rowOff>
        </xdr:to>
        <xdr:sp macro="" textlink="">
          <xdr:nvSpPr>
            <xdr:cNvPr id="13394" name="Drop Down 82" hidden="1">
              <a:extLst>
                <a:ext uri="{63B3BB69-23CF-44E3-9099-C40C66FF867C}">
                  <a14:compatExt spid="_x0000_s13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115</xdr:row>
          <xdr:rowOff>9525</xdr:rowOff>
        </xdr:from>
        <xdr:to>
          <xdr:col>1</xdr:col>
          <xdr:colOff>180975</xdr:colOff>
          <xdr:row>116</xdr:row>
          <xdr:rowOff>0</xdr:rowOff>
        </xdr:to>
        <xdr:sp macro="" textlink="">
          <xdr:nvSpPr>
            <xdr:cNvPr id="13395" name="Drop Down 83" hidden="1">
              <a:extLst>
                <a:ext uri="{63B3BB69-23CF-44E3-9099-C40C66FF867C}">
                  <a14:compatExt spid="_x0000_s133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116</xdr:row>
          <xdr:rowOff>9525</xdr:rowOff>
        </xdr:from>
        <xdr:to>
          <xdr:col>1</xdr:col>
          <xdr:colOff>180975</xdr:colOff>
          <xdr:row>117</xdr:row>
          <xdr:rowOff>0</xdr:rowOff>
        </xdr:to>
        <xdr:sp macro="" textlink="">
          <xdr:nvSpPr>
            <xdr:cNvPr id="13396" name="Drop Down 84" hidden="1">
              <a:extLst>
                <a:ext uri="{63B3BB69-23CF-44E3-9099-C40C66FF867C}">
                  <a14:compatExt spid="_x0000_s133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117</xdr:row>
          <xdr:rowOff>9525</xdr:rowOff>
        </xdr:from>
        <xdr:to>
          <xdr:col>1</xdr:col>
          <xdr:colOff>180975</xdr:colOff>
          <xdr:row>118</xdr:row>
          <xdr:rowOff>0</xdr:rowOff>
        </xdr:to>
        <xdr:sp macro="" textlink="">
          <xdr:nvSpPr>
            <xdr:cNvPr id="13397" name="Drop Down 85" hidden="1">
              <a:extLst>
                <a:ext uri="{63B3BB69-23CF-44E3-9099-C40C66FF867C}">
                  <a14:compatExt spid="_x0000_s133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118</xdr:row>
          <xdr:rowOff>9525</xdr:rowOff>
        </xdr:from>
        <xdr:to>
          <xdr:col>1</xdr:col>
          <xdr:colOff>180975</xdr:colOff>
          <xdr:row>119</xdr:row>
          <xdr:rowOff>0</xdr:rowOff>
        </xdr:to>
        <xdr:sp macro="" textlink="">
          <xdr:nvSpPr>
            <xdr:cNvPr id="13398" name="Drop Down 86" hidden="1">
              <a:extLst>
                <a:ext uri="{63B3BB69-23CF-44E3-9099-C40C66FF867C}">
                  <a14:compatExt spid="_x0000_s133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123</xdr:row>
          <xdr:rowOff>9525</xdr:rowOff>
        </xdr:from>
        <xdr:to>
          <xdr:col>1</xdr:col>
          <xdr:colOff>180975</xdr:colOff>
          <xdr:row>124</xdr:row>
          <xdr:rowOff>0</xdr:rowOff>
        </xdr:to>
        <xdr:sp macro="" textlink="">
          <xdr:nvSpPr>
            <xdr:cNvPr id="13399" name="Drop Down 87" hidden="1">
              <a:extLst>
                <a:ext uri="{63B3BB69-23CF-44E3-9099-C40C66FF867C}">
                  <a14:compatExt spid="_x0000_s133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124</xdr:row>
          <xdr:rowOff>9525</xdr:rowOff>
        </xdr:from>
        <xdr:to>
          <xdr:col>1</xdr:col>
          <xdr:colOff>180975</xdr:colOff>
          <xdr:row>125</xdr:row>
          <xdr:rowOff>0</xdr:rowOff>
        </xdr:to>
        <xdr:sp macro="" textlink="">
          <xdr:nvSpPr>
            <xdr:cNvPr id="13400" name="Drop Down 88" hidden="1">
              <a:extLst>
                <a:ext uri="{63B3BB69-23CF-44E3-9099-C40C66FF867C}">
                  <a14:compatExt spid="_x0000_s13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125</xdr:row>
          <xdr:rowOff>9525</xdr:rowOff>
        </xdr:from>
        <xdr:to>
          <xdr:col>1</xdr:col>
          <xdr:colOff>180975</xdr:colOff>
          <xdr:row>126</xdr:row>
          <xdr:rowOff>0</xdr:rowOff>
        </xdr:to>
        <xdr:sp macro="" textlink="">
          <xdr:nvSpPr>
            <xdr:cNvPr id="13401" name="Drop Down 89" hidden="1">
              <a:extLst>
                <a:ext uri="{63B3BB69-23CF-44E3-9099-C40C66FF867C}">
                  <a14:compatExt spid="_x0000_s13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126</xdr:row>
          <xdr:rowOff>9525</xdr:rowOff>
        </xdr:from>
        <xdr:to>
          <xdr:col>1</xdr:col>
          <xdr:colOff>180975</xdr:colOff>
          <xdr:row>127</xdr:row>
          <xdr:rowOff>0</xdr:rowOff>
        </xdr:to>
        <xdr:sp macro="" textlink="">
          <xdr:nvSpPr>
            <xdr:cNvPr id="13402" name="Drop Down 90" hidden="1">
              <a:extLst>
                <a:ext uri="{63B3BB69-23CF-44E3-9099-C40C66FF867C}">
                  <a14:compatExt spid="_x0000_s134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127</xdr:row>
          <xdr:rowOff>9525</xdr:rowOff>
        </xdr:from>
        <xdr:to>
          <xdr:col>1</xdr:col>
          <xdr:colOff>180975</xdr:colOff>
          <xdr:row>128</xdr:row>
          <xdr:rowOff>0</xdr:rowOff>
        </xdr:to>
        <xdr:sp macro="" textlink="">
          <xdr:nvSpPr>
            <xdr:cNvPr id="13403" name="Drop Down 91" hidden="1">
              <a:extLst>
                <a:ext uri="{63B3BB69-23CF-44E3-9099-C40C66FF867C}">
                  <a14:compatExt spid="_x0000_s134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128</xdr:row>
          <xdr:rowOff>9525</xdr:rowOff>
        </xdr:from>
        <xdr:to>
          <xdr:col>1</xdr:col>
          <xdr:colOff>180975</xdr:colOff>
          <xdr:row>129</xdr:row>
          <xdr:rowOff>0</xdr:rowOff>
        </xdr:to>
        <xdr:sp macro="" textlink="">
          <xdr:nvSpPr>
            <xdr:cNvPr id="13404" name="Drop Down 92" hidden="1">
              <a:extLst>
                <a:ext uri="{63B3BB69-23CF-44E3-9099-C40C66FF867C}">
                  <a14:compatExt spid="_x0000_s134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51</xdr:row>
      <xdr:rowOff>189308</xdr:rowOff>
    </xdr:from>
    <xdr:to>
      <xdr:col>10</xdr:col>
      <xdr:colOff>438150</xdr:colOff>
      <xdr:row>67</xdr:row>
      <xdr:rowOff>240108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19050</xdr:colOff>
          <xdr:row>113</xdr:row>
          <xdr:rowOff>9525</xdr:rowOff>
        </xdr:from>
        <xdr:to>
          <xdr:col>9</xdr:col>
          <xdr:colOff>838200</xdr:colOff>
          <xdr:row>114</xdr:row>
          <xdr:rowOff>0</xdr:rowOff>
        </xdr:to>
        <xdr:sp macro="" textlink="">
          <xdr:nvSpPr>
            <xdr:cNvPr id="13409" name="Drop Down 97" hidden="1">
              <a:extLst>
                <a:ext uri="{63B3BB69-23CF-44E3-9099-C40C66FF867C}">
                  <a14:compatExt spid="_x0000_s13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113</xdr:row>
          <xdr:rowOff>9525</xdr:rowOff>
        </xdr:from>
        <xdr:to>
          <xdr:col>9</xdr:col>
          <xdr:colOff>0</xdr:colOff>
          <xdr:row>114</xdr:row>
          <xdr:rowOff>0</xdr:rowOff>
        </xdr:to>
        <xdr:sp macro="" textlink="">
          <xdr:nvSpPr>
            <xdr:cNvPr id="13410" name="Drop Down 98" hidden="1">
              <a:extLst>
                <a:ext uri="{63B3BB69-23CF-44E3-9099-C40C66FF867C}">
                  <a14:compatExt spid="_x0000_s13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114</xdr:row>
          <xdr:rowOff>9525</xdr:rowOff>
        </xdr:from>
        <xdr:to>
          <xdr:col>9</xdr:col>
          <xdr:colOff>838200</xdr:colOff>
          <xdr:row>115</xdr:row>
          <xdr:rowOff>0</xdr:rowOff>
        </xdr:to>
        <xdr:sp macro="" textlink="">
          <xdr:nvSpPr>
            <xdr:cNvPr id="13411" name="Drop Down 99" hidden="1">
              <a:extLst>
                <a:ext uri="{63B3BB69-23CF-44E3-9099-C40C66FF867C}">
                  <a14:compatExt spid="_x0000_s134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114</xdr:row>
          <xdr:rowOff>9525</xdr:rowOff>
        </xdr:from>
        <xdr:to>
          <xdr:col>8</xdr:col>
          <xdr:colOff>847725</xdr:colOff>
          <xdr:row>115</xdr:row>
          <xdr:rowOff>0</xdr:rowOff>
        </xdr:to>
        <xdr:sp macro="" textlink="">
          <xdr:nvSpPr>
            <xdr:cNvPr id="13412" name="Drop Down 100" hidden="1">
              <a:extLst>
                <a:ext uri="{63B3BB69-23CF-44E3-9099-C40C66FF867C}">
                  <a14:compatExt spid="_x0000_s134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115</xdr:row>
          <xdr:rowOff>9525</xdr:rowOff>
        </xdr:from>
        <xdr:to>
          <xdr:col>9</xdr:col>
          <xdr:colOff>838200</xdr:colOff>
          <xdr:row>116</xdr:row>
          <xdr:rowOff>0</xdr:rowOff>
        </xdr:to>
        <xdr:sp macro="" textlink="">
          <xdr:nvSpPr>
            <xdr:cNvPr id="13413" name="Drop Down 101" hidden="1">
              <a:extLst>
                <a:ext uri="{63B3BB69-23CF-44E3-9099-C40C66FF867C}">
                  <a14:compatExt spid="_x0000_s134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115</xdr:row>
          <xdr:rowOff>9525</xdr:rowOff>
        </xdr:from>
        <xdr:to>
          <xdr:col>8</xdr:col>
          <xdr:colOff>847725</xdr:colOff>
          <xdr:row>116</xdr:row>
          <xdr:rowOff>0</xdr:rowOff>
        </xdr:to>
        <xdr:sp macro="" textlink="">
          <xdr:nvSpPr>
            <xdr:cNvPr id="13414" name="Drop Down 102" hidden="1">
              <a:extLst>
                <a:ext uri="{63B3BB69-23CF-44E3-9099-C40C66FF867C}">
                  <a14:compatExt spid="_x0000_s134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116</xdr:row>
          <xdr:rowOff>9525</xdr:rowOff>
        </xdr:from>
        <xdr:to>
          <xdr:col>9</xdr:col>
          <xdr:colOff>838200</xdr:colOff>
          <xdr:row>117</xdr:row>
          <xdr:rowOff>0</xdr:rowOff>
        </xdr:to>
        <xdr:sp macro="" textlink="">
          <xdr:nvSpPr>
            <xdr:cNvPr id="13415" name="Drop Down 103" hidden="1">
              <a:extLst>
                <a:ext uri="{63B3BB69-23CF-44E3-9099-C40C66FF867C}">
                  <a14:compatExt spid="_x0000_s134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116</xdr:row>
          <xdr:rowOff>9525</xdr:rowOff>
        </xdr:from>
        <xdr:to>
          <xdr:col>8</xdr:col>
          <xdr:colOff>847725</xdr:colOff>
          <xdr:row>117</xdr:row>
          <xdr:rowOff>0</xdr:rowOff>
        </xdr:to>
        <xdr:sp macro="" textlink="">
          <xdr:nvSpPr>
            <xdr:cNvPr id="13416" name="Drop Down 104" hidden="1">
              <a:extLst>
                <a:ext uri="{63B3BB69-23CF-44E3-9099-C40C66FF867C}">
                  <a14:compatExt spid="_x0000_s134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117</xdr:row>
          <xdr:rowOff>9525</xdr:rowOff>
        </xdr:from>
        <xdr:to>
          <xdr:col>9</xdr:col>
          <xdr:colOff>838200</xdr:colOff>
          <xdr:row>118</xdr:row>
          <xdr:rowOff>0</xdr:rowOff>
        </xdr:to>
        <xdr:sp macro="" textlink="">
          <xdr:nvSpPr>
            <xdr:cNvPr id="13417" name="Drop Down 105" hidden="1">
              <a:extLst>
                <a:ext uri="{63B3BB69-23CF-44E3-9099-C40C66FF867C}">
                  <a14:compatExt spid="_x0000_s134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117</xdr:row>
          <xdr:rowOff>9525</xdr:rowOff>
        </xdr:from>
        <xdr:to>
          <xdr:col>9</xdr:col>
          <xdr:colOff>0</xdr:colOff>
          <xdr:row>118</xdr:row>
          <xdr:rowOff>0</xdr:rowOff>
        </xdr:to>
        <xdr:sp macro="" textlink="">
          <xdr:nvSpPr>
            <xdr:cNvPr id="13418" name="Drop Down 106" hidden="1">
              <a:extLst>
                <a:ext uri="{63B3BB69-23CF-44E3-9099-C40C66FF867C}">
                  <a14:compatExt spid="_x0000_s134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118</xdr:row>
          <xdr:rowOff>9525</xdr:rowOff>
        </xdr:from>
        <xdr:to>
          <xdr:col>9</xdr:col>
          <xdr:colOff>838200</xdr:colOff>
          <xdr:row>119</xdr:row>
          <xdr:rowOff>0</xdr:rowOff>
        </xdr:to>
        <xdr:sp macro="" textlink="">
          <xdr:nvSpPr>
            <xdr:cNvPr id="13419" name="Drop Down 107" hidden="1">
              <a:extLst>
                <a:ext uri="{63B3BB69-23CF-44E3-9099-C40C66FF867C}">
                  <a14:compatExt spid="_x0000_s134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118</xdr:row>
          <xdr:rowOff>9525</xdr:rowOff>
        </xdr:from>
        <xdr:to>
          <xdr:col>9</xdr:col>
          <xdr:colOff>0</xdr:colOff>
          <xdr:row>119</xdr:row>
          <xdr:rowOff>0</xdr:rowOff>
        </xdr:to>
        <xdr:sp macro="" textlink="">
          <xdr:nvSpPr>
            <xdr:cNvPr id="13420" name="Drop Down 108" hidden="1">
              <a:extLst>
                <a:ext uri="{63B3BB69-23CF-44E3-9099-C40C66FF867C}">
                  <a14:compatExt spid="_x0000_s134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93</xdr:row>
          <xdr:rowOff>9525</xdr:rowOff>
        </xdr:from>
        <xdr:to>
          <xdr:col>4</xdr:col>
          <xdr:colOff>838200</xdr:colOff>
          <xdr:row>94</xdr:row>
          <xdr:rowOff>0</xdr:rowOff>
        </xdr:to>
        <xdr:sp macro="" textlink="">
          <xdr:nvSpPr>
            <xdr:cNvPr id="13421" name="Drop Down 109" hidden="1">
              <a:extLst>
                <a:ext uri="{63B3BB69-23CF-44E3-9099-C40C66FF867C}">
                  <a14:compatExt spid="_x0000_s134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93</xdr:row>
          <xdr:rowOff>9525</xdr:rowOff>
        </xdr:from>
        <xdr:to>
          <xdr:col>4</xdr:col>
          <xdr:colOff>0</xdr:colOff>
          <xdr:row>94</xdr:row>
          <xdr:rowOff>0</xdr:rowOff>
        </xdr:to>
        <xdr:sp macro="" textlink="">
          <xdr:nvSpPr>
            <xdr:cNvPr id="13422" name="Drop Down 110" hidden="1">
              <a:extLst>
                <a:ext uri="{63B3BB69-23CF-44E3-9099-C40C66FF867C}">
                  <a14:compatExt spid="_x0000_s134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94</xdr:row>
          <xdr:rowOff>9525</xdr:rowOff>
        </xdr:from>
        <xdr:to>
          <xdr:col>4</xdr:col>
          <xdr:colOff>838200</xdr:colOff>
          <xdr:row>95</xdr:row>
          <xdr:rowOff>0</xdr:rowOff>
        </xdr:to>
        <xdr:sp macro="" textlink="">
          <xdr:nvSpPr>
            <xdr:cNvPr id="13423" name="Drop Down 111" hidden="1">
              <a:extLst>
                <a:ext uri="{63B3BB69-23CF-44E3-9099-C40C66FF867C}">
                  <a14:compatExt spid="_x0000_s134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94</xdr:row>
          <xdr:rowOff>9525</xdr:rowOff>
        </xdr:from>
        <xdr:to>
          <xdr:col>4</xdr:col>
          <xdr:colOff>0</xdr:colOff>
          <xdr:row>95</xdr:row>
          <xdr:rowOff>0</xdr:rowOff>
        </xdr:to>
        <xdr:sp macro="" textlink="">
          <xdr:nvSpPr>
            <xdr:cNvPr id="13424" name="Drop Down 112" hidden="1">
              <a:extLst>
                <a:ext uri="{63B3BB69-23CF-44E3-9099-C40C66FF867C}">
                  <a14:compatExt spid="_x0000_s13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95</xdr:row>
          <xdr:rowOff>9525</xdr:rowOff>
        </xdr:from>
        <xdr:to>
          <xdr:col>4</xdr:col>
          <xdr:colOff>838200</xdr:colOff>
          <xdr:row>96</xdr:row>
          <xdr:rowOff>0</xdr:rowOff>
        </xdr:to>
        <xdr:sp macro="" textlink="">
          <xdr:nvSpPr>
            <xdr:cNvPr id="13425" name="Drop Down 113" hidden="1">
              <a:extLst>
                <a:ext uri="{63B3BB69-23CF-44E3-9099-C40C66FF867C}">
                  <a14:compatExt spid="_x0000_s134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95</xdr:row>
          <xdr:rowOff>9525</xdr:rowOff>
        </xdr:from>
        <xdr:to>
          <xdr:col>4</xdr:col>
          <xdr:colOff>0</xdr:colOff>
          <xdr:row>96</xdr:row>
          <xdr:rowOff>0</xdr:rowOff>
        </xdr:to>
        <xdr:sp macro="" textlink="">
          <xdr:nvSpPr>
            <xdr:cNvPr id="13426" name="Drop Down 114" hidden="1">
              <a:extLst>
                <a:ext uri="{63B3BB69-23CF-44E3-9099-C40C66FF867C}">
                  <a14:compatExt spid="_x0000_s134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96</xdr:row>
          <xdr:rowOff>9525</xdr:rowOff>
        </xdr:from>
        <xdr:to>
          <xdr:col>4</xdr:col>
          <xdr:colOff>838200</xdr:colOff>
          <xdr:row>97</xdr:row>
          <xdr:rowOff>0</xdr:rowOff>
        </xdr:to>
        <xdr:sp macro="" textlink="">
          <xdr:nvSpPr>
            <xdr:cNvPr id="13427" name="Drop Down 115" hidden="1">
              <a:extLst>
                <a:ext uri="{63B3BB69-23CF-44E3-9099-C40C66FF867C}">
                  <a14:compatExt spid="_x0000_s134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96</xdr:row>
          <xdr:rowOff>9525</xdr:rowOff>
        </xdr:from>
        <xdr:to>
          <xdr:col>4</xdr:col>
          <xdr:colOff>0</xdr:colOff>
          <xdr:row>97</xdr:row>
          <xdr:rowOff>0</xdr:rowOff>
        </xdr:to>
        <xdr:sp macro="" textlink="">
          <xdr:nvSpPr>
            <xdr:cNvPr id="13428" name="Drop Down 116" hidden="1">
              <a:extLst>
                <a:ext uri="{63B3BB69-23CF-44E3-9099-C40C66FF867C}">
                  <a14:compatExt spid="_x0000_s134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100</xdr:row>
          <xdr:rowOff>9525</xdr:rowOff>
        </xdr:from>
        <xdr:to>
          <xdr:col>4</xdr:col>
          <xdr:colOff>838200</xdr:colOff>
          <xdr:row>101</xdr:row>
          <xdr:rowOff>0</xdr:rowOff>
        </xdr:to>
        <xdr:sp macro="" textlink="">
          <xdr:nvSpPr>
            <xdr:cNvPr id="13429" name="Drop Down 117" hidden="1">
              <a:extLst>
                <a:ext uri="{63B3BB69-23CF-44E3-9099-C40C66FF867C}">
                  <a14:compatExt spid="_x0000_s134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100</xdr:row>
          <xdr:rowOff>9525</xdr:rowOff>
        </xdr:from>
        <xdr:to>
          <xdr:col>4</xdr:col>
          <xdr:colOff>0</xdr:colOff>
          <xdr:row>101</xdr:row>
          <xdr:rowOff>0</xdr:rowOff>
        </xdr:to>
        <xdr:sp macro="" textlink="">
          <xdr:nvSpPr>
            <xdr:cNvPr id="13430" name="Drop Down 118" hidden="1">
              <a:extLst>
                <a:ext uri="{63B3BB69-23CF-44E3-9099-C40C66FF867C}">
                  <a14:compatExt spid="_x0000_s134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101</xdr:row>
          <xdr:rowOff>9525</xdr:rowOff>
        </xdr:from>
        <xdr:to>
          <xdr:col>4</xdr:col>
          <xdr:colOff>838200</xdr:colOff>
          <xdr:row>102</xdr:row>
          <xdr:rowOff>0</xdr:rowOff>
        </xdr:to>
        <xdr:sp macro="" textlink="">
          <xdr:nvSpPr>
            <xdr:cNvPr id="13431" name="Drop Down 119" hidden="1">
              <a:extLst>
                <a:ext uri="{63B3BB69-23CF-44E3-9099-C40C66FF867C}">
                  <a14:compatExt spid="_x0000_s134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101</xdr:row>
          <xdr:rowOff>9525</xdr:rowOff>
        </xdr:from>
        <xdr:to>
          <xdr:col>4</xdr:col>
          <xdr:colOff>0</xdr:colOff>
          <xdr:row>102</xdr:row>
          <xdr:rowOff>0</xdr:rowOff>
        </xdr:to>
        <xdr:sp macro="" textlink="">
          <xdr:nvSpPr>
            <xdr:cNvPr id="13432" name="Drop Down 120" hidden="1">
              <a:extLst>
                <a:ext uri="{63B3BB69-23CF-44E3-9099-C40C66FF867C}">
                  <a14:compatExt spid="_x0000_s134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102</xdr:row>
          <xdr:rowOff>9525</xdr:rowOff>
        </xdr:from>
        <xdr:to>
          <xdr:col>4</xdr:col>
          <xdr:colOff>838200</xdr:colOff>
          <xdr:row>103</xdr:row>
          <xdr:rowOff>0</xdr:rowOff>
        </xdr:to>
        <xdr:sp macro="" textlink="">
          <xdr:nvSpPr>
            <xdr:cNvPr id="13433" name="Drop Down 121" hidden="1">
              <a:extLst>
                <a:ext uri="{63B3BB69-23CF-44E3-9099-C40C66FF867C}">
                  <a14:compatExt spid="_x0000_s13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102</xdr:row>
          <xdr:rowOff>9525</xdr:rowOff>
        </xdr:from>
        <xdr:to>
          <xdr:col>4</xdr:col>
          <xdr:colOff>0</xdr:colOff>
          <xdr:row>103</xdr:row>
          <xdr:rowOff>0</xdr:rowOff>
        </xdr:to>
        <xdr:sp macro="" textlink="">
          <xdr:nvSpPr>
            <xdr:cNvPr id="13434" name="Drop Down 122" hidden="1">
              <a:extLst>
                <a:ext uri="{63B3BB69-23CF-44E3-9099-C40C66FF867C}">
                  <a14:compatExt spid="_x0000_s13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103</xdr:row>
          <xdr:rowOff>9525</xdr:rowOff>
        </xdr:from>
        <xdr:to>
          <xdr:col>4</xdr:col>
          <xdr:colOff>838200</xdr:colOff>
          <xdr:row>104</xdr:row>
          <xdr:rowOff>0</xdr:rowOff>
        </xdr:to>
        <xdr:sp macro="" textlink="">
          <xdr:nvSpPr>
            <xdr:cNvPr id="13435" name="Drop Down 123" hidden="1">
              <a:extLst>
                <a:ext uri="{63B3BB69-23CF-44E3-9099-C40C66FF867C}">
                  <a14:compatExt spid="_x0000_s134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103</xdr:row>
          <xdr:rowOff>9525</xdr:rowOff>
        </xdr:from>
        <xdr:to>
          <xdr:col>4</xdr:col>
          <xdr:colOff>0</xdr:colOff>
          <xdr:row>104</xdr:row>
          <xdr:rowOff>0</xdr:rowOff>
        </xdr:to>
        <xdr:sp macro="" textlink="">
          <xdr:nvSpPr>
            <xdr:cNvPr id="13436" name="Drop Down 124" hidden="1">
              <a:extLst>
                <a:ext uri="{63B3BB69-23CF-44E3-9099-C40C66FF867C}">
                  <a14:compatExt spid="_x0000_s134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104</xdr:row>
          <xdr:rowOff>9525</xdr:rowOff>
        </xdr:from>
        <xdr:to>
          <xdr:col>4</xdr:col>
          <xdr:colOff>838200</xdr:colOff>
          <xdr:row>105</xdr:row>
          <xdr:rowOff>0</xdr:rowOff>
        </xdr:to>
        <xdr:sp macro="" textlink="">
          <xdr:nvSpPr>
            <xdr:cNvPr id="13437" name="Drop Down 125" hidden="1">
              <a:extLst>
                <a:ext uri="{63B3BB69-23CF-44E3-9099-C40C66FF867C}">
                  <a14:compatExt spid="_x0000_s134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104</xdr:row>
          <xdr:rowOff>9525</xdr:rowOff>
        </xdr:from>
        <xdr:to>
          <xdr:col>4</xdr:col>
          <xdr:colOff>0</xdr:colOff>
          <xdr:row>105</xdr:row>
          <xdr:rowOff>0</xdr:rowOff>
        </xdr:to>
        <xdr:sp macro="" textlink="">
          <xdr:nvSpPr>
            <xdr:cNvPr id="13438" name="Drop Down 126" hidden="1">
              <a:extLst>
                <a:ext uri="{63B3BB69-23CF-44E3-9099-C40C66FF867C}">
                  <a14:compatExt spid="_x0000_s13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105</xdr:row>
          <xdr:rowOff>9525</xdr:rowOff>
        </xdr:from>
        <xdr:to>
          <xdr:col>4</xdr:col>
          <xdr:colOff>838200</xdr:colOff>
          <xdr:row>106</xdr:row>
          <xdr:rowOff>0</xdr:rowOff>
        </xdr:to>
        <xdr:sp macro="" textlink="">
          <xdr:nvSpPr>
            <xdr:cNvPr id="13439" name="Drop Down 127" hidden="1">
              <a:extLst>
                <a:ext uri="{63B3BB69-23CF-44E3-9099-C40C66FF867C}">
                  <a14:compatExt spid="_x0000_s134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105</xdr:row>
          <xdr:rowOff>9525</xdr:rowOff>
        </xdr:from>
        <xdr:to>
          <xdr:col>4</xdr:col>
          <xdr:colOff>0</xdr:colOff>
          <xdr:row>106</xdr:row>
          <xdr:rowOff>0</xdr:rowOff>
        </xdr:to>
        <xdr:sp macro="" textlink="">
          <xdr:nvSpPr>
            <xdr:cNvPr id="13440" name="Drop Down 128" hidden="1">
              <a:extLst>
                <a:ext uri="{63B3BB69-23CF-44E3-9099-C40C66FF867C}">
                  <a14:compatExt spid="_x0000_s134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123</xdr:row>
          <xdr:rowOff>9525</xdr:rowOff>
        </xdr:from>
        <xdr:to>
          <xdr:col>9</xdr:col>
          <xdr:colOff>838200</xdr:colOff>
          <xdr:row>124</xdr:row>
          <xdr:rowOff>0</xdr:rowOff>
        </xdr:to>
        <xdr:sp macro="" textlink="">
          <xdr:nvSpPr>
            <xdr:cNvPr id="13441" name="Drop Down 129" hidden="1">
              <a:extLst>
                <a:ext uri="{63B3BB69-23CF-44E3-9099-C40C66FF867C}">
                  <a14:compatExt spid="_x0000_s134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123</xdr:row>
          <xdr:rowOff>9525</xdr:rowOff>
        </xdr:from>
        <xdr:to>
          <xdr:col>8</xdr:col>
          <xdr:colOff>847725</xdr:colOff>
          <xdr:row>124</xdr:row>
          <xdr:rowOff>0</xdr:rowOff>
        </xdr:to>
        <xdr:sp macro="" textlink="">
          <xdr:nvSpPr>
            <xdr:cNvPr id="13442" name="Drop Down 130" hidden="1">
              <a:extLst>
                <a:ext uri="{63B3BB69-23CF-44E3-9099-C40C66FF867C}">
                  <a14:compatExt spid="_x0000_s13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124</xdr:row>
          <xdr:rowOff>9525</xdr:rowOff>
        </xdr:from>
        <xdr:to>
          <xdr:col>9</xdr:col>
          <xdr:colOff>838200</xdr:colOff>
          <xdr:row>125</xdr:row>
          <xdr:rowOff>0</xdr:rowOff>
        </xdr:to>
        <xdr:sp macro="" textlink="">
          <xdr:nvSpPr>
            <xdr:cNvPr id="13443" name="Drop Down 131" hidden="1">
              <a:extLst>
                <a:ext uri="{63B3BB69-23CF-44E3-9099-C40C66FF867C}">
                  <a14:compatExt spid="_x0000_s134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124</xdr:row>
          <xdr:rowOff>9525</xdr:rowOff>
        </xdr:from>
        <xdr:to>
          <xdr:col>8</xdr:col>
          <xdr:colOff>847725</xdr:colOff>
          <xdr:row>125</xdr:row>
          <xdr:rowOff>0</xdr:rowOff>
        </xdr:to>
        <xdr:sp macro="" textlink="">
          <xdr:nvSpPr>
            <xdr:cNvPr id="13444" name="Drop Down 132" hidden="1">
              <a:extLst>
                <a:ext uri="{63B3BB69-23CF-44E3-9099-C40C66FF867C}">
                  <a14:compatExt spid="_x0000_s134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125</xdr:row>
          <xdr:rowOff>9525</xdr:rowOff>
        </xdr:from>
        <xdr:to>
          <xdr:col>9</xdr:col>
          <xdr:colOff>838200</xdr:colOff>
          <xdr:row>126</xdr:row>
          <xdr:rowOff>0</xdr:rowOff>
        </xdr:to>
        <xdr:sp macro="" textlink="">
          <xdr:nvSpPr>
            <xdr:cNvPr id="13445" name="Drop Down 133" hidden="1">
              <a:extLst>
                <a:ext uri="{63B3BB69-23CF-44E3-9099-C40C66FF867C}">
                  <a14:compatExt spid="_x0000_s134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125</xdr:row>
          <xdr:rowOff>9525</xdr:rowOff>
        </xdr:from>
        <xdr:to>
          <xdr:col>8</xdr:col>
          <xdr:colOff>847725</xdr:colOff>
          <xdr:row>126</xdr:row>
          <xdr:rowOff>0</xdr:rowOff>
        </xdr:to>
        <xdr:sp macro="" textlink="">
          <xdr:nvSpPr>
            <xdr:cNvPr id="13446" name="Drop Down 134" hidden="1">
              <a:extLst>
                <a:ext uri="{63B3BB69-23CF-44E3-9099-C40C66FF867C}">
                  <a14:compatExt spid="_x0000_s134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126</xdr:row>
          <xdr:rowOff>9525</xdr:rowOff>
        </xdr:from>
        <xdr:to>
          <xdr:col>9</xdr:col>
          <xdr:colOff>838200</xdr:colOff>
          <xdr:row>127</xdr:row>
          <xdr:rowOff>0</xdr:rowOff>
        </xdr:to>
        <xdr:sp macro="" textlink="">
          <xdr:nvSpPr>
            <xdr:cNvPr id="13447" name="Drop Down 135" hidden="1">
              <a:extLst>
                <a:ext uri="{63B3BB69-23CF-44E3-9099-C40C66FF867C}">
                  <a14:compatExt spid="_x0000_s134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126</xdr:row>
          <xdr:rowOff>9525</xdr:rowOff>
        </xdr:from>
        <xdr:to>
          <xdr:col>8</xdr:col>
          <xdr:colOff>847725</xdr:colOff>
          <xdr:row>127</xdr:row>
          <xdr:rowOff>0</xdr:rowOff>
        </xdr:to>
        <xdr:sp macro="" textlink="">
          <xdr:nvSpPr>
            <xdr:cNvPr id="13448" name="Drop Down 136" hidden="1">
              <a:extLst>
                <a:ext uri="{63B3BB69-23CF-44E3-9099-C40C66FF867C}">
                  <a14:compatExt spid="_x0000_s13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127</xdr:row>
          <xdr:rowOff>9525</xdr:rowOff>
        </xdr:from>
        <xdr:to>
          <xdr:col>9</xdr:col>
          <xdr:colOff>838200</xdr:colOff>
          <xdr:row>128</xdr:row>
          <xdr:rowOff>0</xdr:rowOff>
        </xdr:to>
        <xdr:sp macro="" textlink="">
          <xdr:nvSpPr>
            <xdr:cNvPr id="13449" name="Drop Down 137" hidden="1">
              <a:extLst>
                <a:ext uri="{63B3BB69-23CF-44E3-9099-C40C66FF867C}">
                  <a14:compatExt spid="_x0000_s13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127</xdr:row>
          <xdr:rowOff>9525</xdr:rowOff>
        </xdr:from>
        <xdr:to>
          <xdr:col>8</xdr:col>
          <xdr:colOff>847725</xdr:colOff>
          <xdr:row>128</xdr:row>
          <xdr:rowOff>0</xdr:rowOff>
        </xdr:to>
        <xdr:sp macro="" textlink="">
          <xdr:nvSpPr>
            <xdr:cNvPr id="13450" name="Drop Down 138" hidden="1">
              <a:extLst>
                <a:ext uri="{63B3BB69-23CF-44E3-9099-C40C66FF867C}">
                  <a14:compatExt spid="_x0000_s134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128</xdr:row>
          <xdr:rowOff>9525</xdr:rowOff>
        </xdr:from>
        <xdr:to>
          <xdr:col>9</xdr:col>
          <xdr:colOff>838200</xdr:colOff>
          <xdr:row>129</xdr:row>
          <xdr:rowOff>0</xdr:rowOff>
        </xdr:to>
        <xdr:sp macro="" textlink="">
          <xdr:nvSpPr>
            <xdr:cNvPr id="13451" name="Drop Down 139" hidden="1">
              <a:extLst>
                <a:ext uri="{63B3BB69-23CF-44E3-9099-C40C66FF867C}">
                  <a14:compatExt spid="_x0000_s13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128</xdr:row>
          <xdr:rowOff>9525</xdr:rowOff>
        </xdr:from>
        <xdr:to>
          <xdr:col>8</xdr:col>
          <xdr:colOff>847725</xdr:colOff>
          <xdr:row>129</xdr:row>
          <xdr:rowOff>0</xdr:rowOff>
        </xdr:to>
        <xdr:sp macro="" textlink="">
          <xdr:nvSpPr>
            <xdr:cNvPr id="13452" name="Drop Down 140" hidden="1">
              <a:extLst>
                <a:ext uri="{63B3BB69-23CF-44E3-9099-C40C66FF867C}">
                  <a14:compatExt spid="_x0000_s134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134</xdr:row>
          <xdr:rowOff>9525</xdr:rowOff>
        </xdr:from>
        <xdr:to>
          <xdr:col>9</xdr:col>
          <xdr:colOff>838200</xdr:colOff>
          <xdr:row>135</xdr:row>
          <xdr:rowOff>0</xdr:rowOff>
        </xdr:to>
        <xdr:sp macro="" textlink="">
          <xdr:nvSpPr>
            <xdr:cNvPr id="13495" name="Drop Down 183" hidden="1">
              <a:extLst>
                <a:ext uri="{63B3BB69-23CF-44E3-9099-C40C66FF867C}">
                  <a14:compatExt spid="_x0000_s134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134</xdr:row>
          <xdr:rowOff>9525</xdr:rowOff>
        </xdr:from>
        <xdr:to>
          <xdr:col>9</xdr:col>
          <xdr:colOff>0</xdr:colOff>
          <xdr:row>135</xdr:row>
          <xdr:rowOff>0</xdr:rowOff>
        </xdr:to>
        <xdr:sp macro="" textlink="">
          <xdr:nvSpPr>
            <xdr:cNvPr id="13496" name="Drop Down 184" hidden="1">
              <a:extLst>
                <a:ext uri="{63B3BB69-23CF-44E3-9099-C40C66FF867C}">
                  <a14:compatExt spid="_x0000_s13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135</xdr:row>
          <xdr:rowOff>9525</xdr:rowOff>
        </xdr:from>
        <xdr:to>
          <xdr:col>9</xdr:col>
          <xdr:colOff>838200</xdr:colOff>
          <xdr:row>136</xdr:row>
          <xdr:rowOff>0</xdr:rowOff>
        </xdr:to>
        <xdr:sp macro="" textlink="">
          <xdr:nvSpPr>
            <xdr:cNvPr id="13497" name="Drop Down 185" hidden="1">
              <a:extLst>
                <a:ext uri="{63B3BB69-23CF-44E3-9099-C40C66FF867C}">
                  <a14:compatExt spid="_x0000_s134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135</xdr:row>
          <xdr:rowOff>9525</xdr:rowOff>
        </xdr:from>
        <xdr:to>
          <xdr:col>9</xdr:col>
          <xdr:colOff>0</xdr:colOff>
          <xdr:row>136</xdr:row>
          <xdr:rowOff>0</xdr:rowOff>
        </xdr:to>
        <xdr:sp macro="" textlink="">
          <xdr:nvSpPr>
            <xdr:cNvPr id="13498" name="Drop Down 186" hidden="1">
              <a:extLst>
                <a:ext uri="{63B3BB69-23CF-44E3-9099-C40C66FF867C}">
                  <a14:compatExt spid="_x0000_s134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136</xdr:row>
          <xdr:rowOff>9525</xdr:rowOff>
        </xdr:from>
        <xdr:to>
          <xdr:col>9</xdr:col>
          <xdr:colOff>838200</xdr:colOff>
          <xdr:row>137</xdr:row>
          <xdr:rowOff>0</xdr:rowOff>
        </xdr:to>
        <xdr:sp macro="" textlink="">
          <xdr:nvSpPr>
            <xdr:cNvPr id="13499" name="Drop Down 187" hidden="1">
              <a:extLst>
                <a:ext uri="{63B3BB69-23CF-44E3-9099-C40C66FF867C}">
                  <a14:compatExt spid="_x0000_s134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136</xdr:row>
          <xdr:rowOff>9525</xdr:rowOff>
        </xdr:from>
        <xdr:to>
          <xdr:col>9</xdr:col>
          <xdr:colOff>0</xdr:colOff>
          <xdr:row>137</xdr:row>
          <xdr:rowOff>0</xdr:rowOff>
        </xdr:to>
        <xdr:sp macro="" textlink="">
          <xdr:nvSpPr>
            <xdr:cNvPr id="13500" name="Drop Down 188" hidden="1">
              <a:extLst>
                <a:ext uri="{63B3BB69-23CF-44E3-9099-C40C66FF867C}">
                  <a14:compatExt spid="_x0000_s13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137</xdr:row>
          <xdr:rowOff>9525</xdr:rowOff>
        </xdr:from>
        <xdr:to>
          <xdr:col>9</xdr:col>
          <xdr:colOff>838200</xdr:colOff>
          <xdr:row>138</xdr:row>
          <xdr:rowOff>0</xdr:rowOff>
        </xdr:to>
        <xdr:sp macro="" textlink="">
          <xdr:nvSpPr>
            <xdr:cNvPr id="13501" name="Drop Down 189" hidden="1">
              <a:extLst>
                <a:ext uri="{63B3BB69-23CF-44E3-9099-C40C66FF867C}">
                  <a14:compatExt spid="_x0000_s135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137</xdr:row>
          <xdr:rowOff>9525</xdr:rowOff>
        </xdr:from>
        <xdr:to>
          <xdr:col>9</xdr:col>
          <xdr:colOff>0</xdr:colOff>
          <xdr:row>138</xdr:row>
          <xdr:rowOff>0</xdr:rowOff>
        </xdr:to>
        <xdr:sp macro="" textlink="">
          <xdr:nvSpPr>
            <xdr:cNvPr id="13502" name="Drop Down 190" hidden="1">
              <a:extLst>
                <a:ext uri="{63B3BB69-23CF-44E3-9099-C40C66FF867C}">
                  <a14:compatExt spid="_x0000_s135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138</xdr:row>
          <xdr:rowOff>9525</xdr:rowOff>
        </xdr:from>
        <xdr:to>
          <xdr:col>9</xdr:col>
          <xdr:colOff>838200</xdr:colOff>
          <xdr:row>139</xdr:row>
          <xdr:rowOff>0</xdr:rowOff>
        </xdr:to>
        <xdr:sp macro="" textlink="">
          <xdr:nvSpPr>
            <xdr:cNvPr id="13503" name="Drop Down 191" hidden="1">
              <a:extLst>
                <a:ext uri="{63B3BB69-23CF-44E3-9099-C40C66FF867C}">
                  <a14:compatExt spid="_x0000_s135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138</xdr:row>
          <xdr:rowOff>9525</xdr:rowOff>
        </xdr:from>
        <xdr:to>
          <xdr:col>9</xdr:col>
          <xdr:colOff>0</xdr:colOff>
          <xdr:row>139</xdr:row>
          <xdr:rowOff>0</xdr:rowOff>
        </xdr:to>
        <xdr:sp macro="" textlink="">
          <xdr:nvSpPr>
            <xdr:cNvPr id="13504" name="Drop Down 192" hidden="1">
              <a:extLst>
                <a:ext uri="{63B3BB69-23CF-44E3-9099-C40C66FF867C}">
                  <a14:compatExt spid="_x0000_s135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139</xdr:row>
          <xdr:rowOff>9525</xdr:rowOff>
        </xdr:from>
        <xdr:to>
          <xdr:col>9</xdr:col>
          <xdr:colOff>838200</xdr:colOff>
          <xdr:row>140</xdr:row>
          <xdr:rowOff>0</xdr:rowOff>
        </xdr:to>
        <xdr:sp macro="" textlink="">
          <xdr:nvSpPr>
            <xdr:cNvPr id="13505" name="Drop Down 193" hidden="1">
              <a:extLst>
                <a:ext uri="{63B3BB69-23CF-44E3-9099-C40C66FF867C}">
                  <a14:compatExt spid="_x0000_s13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139</xdr:row>
          <xdr:rowOff>9525</xdr:rowOff>
        </xdr:from>
        <xdr:to>
          <xdr:col>9</xdr:col>
          <xdr:colOff>0</xdr:colOff>
          <xdr:row>140</xdr:row>
          <xdr:rowOff>0</xdr:rowOff>
        </xdr:to>
        <xdr:sp macro="" textlink="">
          <xdr:nvSpPr>
            <xdr:cNvPr id="13506" name="Drop Down 194" hidden="1">
              <a:extLst>
                <a:ext uri="{63B3BB69-23CF-44E3-9099-C40C66FF867C}">
                  <a14:compatExt spid="_x0000_s13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134</xdr:row>
          <xdr:rowOff>9525</xdr:rowOff>
        </xdr:from>
        <xdr:to>
          <xdr:col>1</xdr:col>
          <xdr:colOff>180975</xdr:colOff>
          <xdr:row>135</xdr:row>
          <xdr:rowOff>0</xdr:rowOff>
        </xdr:to>
        <xdr:sp macro="" textlink="">
          <xdr:nvSpPr>
            <xdr:cNvPr id="13507" name="Drop Down 195" hidden="1">
              <a:extLst>
                <a:ext uri="{63B3BB69-23CF-44E3-9099-C40C66FF867C}">
                  <a14:compatExt spid="_x0000_s135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135</xdr:row>
          <xdr:rowOff>9525</xdr:rowOff>
        </xdr:from>
        <xdr:to>
          <xdr:col>1</xdr:col>
          <xdr:colOff>180975</xdr:colOff>
          <xdr:row>136</xdr:row>
          <xdr:rowOff>0</xdr:rowOff>
        </xdr:to>
        <xdr:sp macro="" textlink="">
          <xdr:nvSpPr>
            <xdr:cNvPr id="13508" name="Drop Down 196" hidden="1">
              <a:extLst>
                <a:ext uri="{63B3BB69-23CF-44E3-9099-C40C66FF867C}">
                  <a14:compatExt spid="_x0000_s135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136</xdr:row>
          <xdr:rowOff>9525</xdr:rowOff>
        </xdr:from>
        <xdr:to>
          <xdr:col>1</xdr:col>
          <xdr:colOff>180975</xdr:colOff>
          <xdr:row>137</xdr:row>
          <xdr:rowOff>0</xdr:rowOff>
        </xdr:to>
        <xdr:sp macro="" textlink="">
          <xdr:nvSpPr>
            <xdr:cNvPr id="13509" name="Drop Down 197" hidden="1">
              <a:extLst>
                <a:ext uri="{63B3BB69-23CF-44E3-9099-C40C66FF867C}">
                  <a14:compatExt spid="_x0000_s135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137</xdr:row>
          <xdr:rowOff>9525</xdr:rowOff>
        </xdr:from>
        <xdr:to>
          <xdr:col>1</xdr:col>
          <xdr:colOff>180975</xdr:colOff>
          <xdr:row>138</xdr:row>
          <xdr:rowOff>0</xdr:rowOff>
        </xdr:to>
        <xdr:sp macro="" textlink="">
          <xdr:nvSpPr>
            <xdr:cNvPr id="13510" name="Drop Down 198" hidden="1">
              <a:extLst>
                <a:ext uri="{63B3BB69-23CF-44E3-9099-C40C66FF867C}">
                  <a14:compatExt spid="_x0000_s135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138</xdr:row>
          <xdr:rowOff>9525</xdr:rowOff>
        </xdr:from>
        <xdr:to>
          <xdr:col>1</xdr:col>
          <xdr:colOff>180975</xdr:colOff>
          <xdr:row>139</xdr:row>
          <xdr:rowOff>0</xdr:rowOff>
        </xdr:to>
        <xdr:sp macro="" textlink="">
          <xdr:nvSpPr>
            <xdr:cNvPr id="13511" name="Drop Down 199" hidden="1">
              <a:extLst>
                <a:ext uri="{63B3BB69-23CF-44E3-9099-C40C66FF867C}">
                  <a14:compatExt spid="_x0000_s135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139</xdr:row>
          <xdr:rowOff>9525</xdr:rowOff>
        </xdr:from>
        <xdr:to>
          <xdr:col>1</xdr:col>
          <xdr:colOff>180975</xdr:colOff>
          <xdr:row>140</xdr:row>
          <xdr:rowOff>0</xdr:rowOff>
        </xdr:to>
        <xdr:sp macro="" textlink="">
          <xdr:nvSpPr>
            <xdr:cNvPr id="13512" name="Drop Down 200" hidden="1">
              <a:extLst>
                <a:ext uri="{63B3BB69-23CF-44E3-9099-C40C66FF867C}">
                  <a14:compatExt spid="_x0000_s135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134</xdr:row>
          <xdr:rowOff>19050</xdr:rowOff>
        </xdr:from>
        <xdr:to>
          <xdr:col>3</xdr:col>
          <xdr:colOff>695325</xdr:colOff>
          <xdr:row>135</xdr:row>
          <xdr:rowOff>9525</xdr:rowOff>
        </xdr:to>
        <xdr:sp macro="" textlink="">
          <xdr:nvSpPr>
            <xdr:cNvPr id="13513" name="Drop Down 201" hidden="1">
              <a:extLst>
                <a:ext uri="{63B3BB69-23CF-44E3-9099-C40C66FF867C}">
                  <a14:compatExt spid="_x0000_s135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135</xdr:row>
          <xdr:rowOff>19050</xdr:rowOff>
        </xdr:from>
        <xdr:to>
          <xdr:col>3</xdr:col>
          <xdr:colOff>685800</xdr:colOff>
          <xdr:row>136</xdr:row>
          <xdr:rowOff>9525</xdr:rowOff>
        </xdr:to>
        <xdr:sp macro="" textlink="">
          <xdr:nvSpPr>
            <xdr:cNvPr id="13526" name="Drop Down 214" hidden="1">
              <a:extLst>
                <a:ext uri="{63B3BB69-23CF-44E3-9099-C40C66FF867C}">
                  <a14:compatExt spid="_x0000_s135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136</xdr:row>
          <xdr:rowOff>19050</xdr:rowOff>
        </xdr:from>
        <xdr:to>
          <xdr:col>3</xdr:col>
          <xdr:colOff>685800</xdr:colOff>
          <xdr:row>137</xdr:row>
          <xdr:rowOff>9525</xdr:rowOff>
        </xdr:to>
        <xdr:sp macro="" textlink="">
          <xdr:nvSpPr>
            <xdr:cNvPr id="13527" name="Drop Down 215" hidden="1">
              <a:extLst>
                <a:ext uri="{63B3BB69-23CF-44E3-9099-C40C66FF867C}">
                  <a14:compatExt spid="_x0000_s135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137</xdr:row>
          <xdr:rowOff>19050</xdr:rowOff>
        </xdr:from>
        <xdr:to>
          <xdr:col>3</xdr:col>
          <xdr:colOff>685800</xdr:colOff>
          <xdr:row>138</xdr:row>
          <xdr:rowOff>9525</xdr:rowOff>
        </xdr:to>
        <xdr:sp macro="" textlink="">
          <xdr:nvSpPr>
            <xdr:cNvPr id="13528" name="Drop Down 216" hidden="1">
              <a:extLst>
                <a:ext uri="{63B3BB69-23CF-44E3-9099-C40C66FF867C}">
                  <a14:compatExt spid="_x0000_s135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138</xdr:row>
          <xdr:rowOff>19050</xdr:rowOff>
        </xdr:from>
        <xdr:to>
          <xdr:col>3</xdr:col>
          <xdr:colOff>685800</xdr:colOff>
          <xdr:row>139</xdr:row>
          <xdr:rowOff>9525</xdr:rowOff>
        </xdr:to>
        <xdr:sp macro="" textlink="">
          <xdr:nvSpPr>
            <xdr:cNvPr id="13529" name="Drop Down 217" hidden="1">
              <a:extLst>
                <a:ext uri="{63B3BB69-23CF-44E3-9099-C40C66FF867C}">
                  <a14:compatExt spid="_x0000_s13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139</xdr:row>
          <xdr:rowOff>19050</xdr:rowOff>
        </xdr:from>
        <xdr:to>
          <xdr:col>3</xdr:col>
          <xdr:colOff>685800</xdr:colOff>
          <xdr:row>140</xdr:row>
          <xdr:rowOff>9525</xdr:rowOff>
        </xdr:to>
        <xdr:sp macro="" textlink="">
          <xdr:nvSpPr>
            <xdr:cNvPr id="13530" name="Drop Down 218" hidden="1">
              <a:extLst>
                <a:ext uri="{63B3BB69-23CF-44E3-9099-C40C66FF867C}">
                  <a14:compatExt spid="_x0000_s13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800101</xdr:colOff>
      <xdr:row>515</xdr:row>
      <xdr:rowOff>190499</xdr:rowOff>
    </xdr:from>
    <xdr:to>
      <xdr:col>31</xdr:col>
      <xdr:colOff>214312</xdr:colOff>
      <xdr:row>519</xdr:row>
      <xdr:rowOff>47620</xdr:rowOff>
    </xdr:to>
    <xdr:sp macro="" textlink="">
      <xdr:nvSpPr>
        <xdr:cNvPr id="6" name="TextBox 5"/>
        <xdr:cNvSpPr txBox="1"/>
      </xdr:nvSpPr>
      <xdr:spPr>
        <a:xfrm>
          <a:off x="26850976" y="123443999"/>
          <a:ext cx="1128711" cy="809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1</a:t>
          </a:r>
        </a:p>
      </xdr:txBody>
    </xdr:sp>
    <xdr:clientData/>
  </xdr:twoCellAnchor>
  <xdr:twoCellAnchor>
    <xdr:from>
      <xdr:col>30</xdr:col>
      <xdr:colOff>23813</xdr:colOff>
      <xdr:row>616</xdr:row>
      <xdr:rowOff>23812</xdr:rowOff>
    </xdr:from>
    <xdr:to>
      <xdr:col>31</xdr:col>
      <xdr:colOff>71437</xdr:colOff>
      <xdr:row>619</xdr:row>
      <xdr:rowOff>95245</xdr:rowOff>
    </xdr:to>
    <xdr:sp macro="" textlink="">
      <xdr:nvSpPr>
        <xdr:cNvPr id="128" name="TextBox 127"/>
        <xdr:cNvSpPr txBox="1"/>
      </xdr:nvSpPr>
      <xdr:spPr>
        <a:xfrm>
          <a:off x="26931938" y="147327937"/>
          <a:ext cx="904874" cy="7858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1</a:t>
          </a:r>
        </a:p>
      </xdr:txBody>
    </xdr:sp>
    <xdr:clientData/>
  </xdr:twoCellAnchor>
  <xdr:twoCellAnchor>
    <xdr:from>
      <xdr:col>29</xdr:col>
      <xdr:colOff>735806</xdr:colOff>
      <xdr:row>626</xdr:row>
      <xdr:rowOff>176207</xdr:rowOff>
    </xdr:from>
    <xdr:to>
      <xdr:col>31</xdr:col>
      <xdr:colOff>259556</xdr:colOff>
      <xdr:row>631</xdr:row>
      <xdr:rowOff>33332</xdr:rowOff>
    </xdr:to>
    <xdr:sp macro="" textlink="">
      <xdr:nvSpPr>
        <xdr:cNvPr id="129" name="TextBox 128"/>
        <xdr:cNvSpPr txBox="1"/>
      </xdr:nvSpPr>
      <xdr:spPr>
        <a:xfrm>
          <a:off x="26786681" y="149861582"/>
          <a:ext cx="1238250" cy="1047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2</a:t>
          </a:r>
        </a:p>
      </xdr:txBody>
    </xdr:sp>
    <xdr:clientData/>
  </xdr:twoCellAnchor>
  <xdr:twoCellAnchor>
    <xdr:from>
      <xdr:col>29</xdr:col>
      <xdr:colOff>781051</xdr:colOff>
      <xdr:row>637</xdr:row>
      <xdr:rowOff>150016</xdr:rowOff>
    </xdr:from>
    <xdr:to>
      <xdr:col>31</xdr:col>
      <xdr:colOff>304801</xdr:colOff>
      <xdr:row>642</xdr:row>
      <xdr:rowOff>19047</xdr:rowOff>
    </xdr:to>
    <xdr:sp macro="" textlink="">
      <xdr:nvSpPr>
        <xdr:cNvPr id="130" name="TextBox 129"/>
        <xdr:cNvSpPr txBox="1"/>
      </xdr:nvSpPr>
      <xdr:spPr>
        <a:xfrm>
          <a:off x="26831926" y="152454766"/>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3</a:t>
          </a:r>
        </a:p>
      </xdr:txBody>
    </xdr:sp>
    <xdr:clientData/>
  </xdr:twoCellAnchor>
  <xdr:twoCellAnchor>
    <xdr:from>
      <xdr:col>29</xdr:col>
      <xdr:colOff>766760</xdr:colOff>
      <xdr:row>648</xdr:row>
      <xdr:rowOff>183357</xdr:rowOff>
    </xdr:from>
    <xdr:to>
      <xdr:col>31</xdr:col>
      <xdr:colOff>290510</xdr:colOff>
      <xdr:row>653</xdr:row>
      <xdr:rowOff>52388</xdr:rowOff>
    </xdr:to>
    <xdr:sp macro="" textlink="">
      <xdr:nvSpPr>
        <xdr:cNvPr id="131" name="TextBox 130"/>
        <xdr:cNvSpPr txBox="1"/>
      </xdr:nvSpPr>
      <xdr:spPr>
        <a:xfrm>
          <a:off x="26817635" y="155107482"/>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4</a:t>
          </a:r>
        </a:p>
      </xdr:txBody>
    </xdr:sp>
    <xdr:clientData/>
  </xdr:twoCellAnchor>
  <xdr:twoCellAnchor>
    <xdr:from>
      <xdr:col>29</xdr:col>
      <xdr:colOff>728662</xdr:colOff>
      <xdr:row>659</xdr:row>
      <xdr:rowOff>157164</xdr:rowOff>
    </xdr:from>
    <xdr:to>
      <xdr:col>31</xdr:col>
      <xdr:colOff>285749</xdr:colOff>
      <xdr:row>664</xdr:row>
      <xdr:rowOff>26195</xdr:rowOff>
    </xdr:to>
    <xdr:sp macro="" textlink="">
      <xdr:nvSpPr>
        <xdr:cNvPr id="132" name="TextBox 131"/>
        <xdr:cNvSpPr txBox="1"/>
      </xdr:nvSpPr>
      <xdr:spPr>
        <a:xfrm>
          <a:off x="26779537" y="157700664"/>
          <a:ext cx="1271587"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5</a:t>
          </a:r>
        </a:p>
      </xdr:txBody>
    </xdr:sp>
    <xdr:clientData/>
  </xdr:twoCellAnchor>
  <xdr:twoCellAnchor>
    <xdr:from>
      <xdr:col>29</xdr:col>
      <xdr:colOff>761999</xdr:colOff>
      <xdr:row>670</xdr:row>
      <xdr:rowOff>202379</xdr:rowOff>
    </xdr:from>
    <xdr:to>
      <xdr:col>31</xdr:col>
      <xdr:colOff>285749</xdr:colOff>
      <xdr:row>675</xdr:row>
      <xdr:rowOff>71410</xdr:rowOff>
    </xdr:to>
    <xdr:sp macro="" textlink="">
      <xdr:nvSpPr>
        <xdr:cNvPr id="133" name="TextBox 132"/>
        <xdr:cNvSpPr txBox="1"/>
      </xdr:nvSpPr>
      <xdr:spPr>
        <a:xfrm>
          <a:off x="26812874" y="160365254"/>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6</a:t>
          </a:r>
        </a:p>
      </xdr:txBody>
    </xdr:sp>
    <xdr:clientData/>
  </xdr:twoCellAnchor>
  <xdr:twoCellAnchor>
    <xdr:from>
      <xdr:col>29</xdr:col>
      <xdr:colOff>666751</xdr:colOff>
      <xdr:row>721</xdr:row>
      <xdr:rowOff>226214</xdr:rowOff>
    </xdr:from>
    <xdr:to>
      <xdr:col>31</xdr:col>
      <xdr:colOff>190501</xdr:colOff>
      <xdr:row>726</xdr:row>
      <xdr:rowOff>95245</xdr:rowOff>
    </xdr:to>
    <xdr:sp macro="" textlink="">
      <xdr:nvSpPr>
        <xdr:cNvPr id="134" name="TextBox 133"/>
        <xdr:cNvSpPr txBox="1"/>
      </xdr:nvSpPr>
      <xdr:spPr>
        <a:xfrm>
          <a:off x="26717626" y="172533464"/>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4800">
              <a:solidFill>
                <a:schemeClr val="bg1">
                  <a:lumMod val="65000"/>
                </a:schemeClr>
              </a:solidFill>
              <a:latin typeface="Arial Black" panose="020B0A04020102020204" pitchFamily="34" charset="0"/>
            </a:rPr>
            <a:t>1</a:t>
          </a:r>
          <a:r>
            <a:rPr lang="et-EE" sz="4800">
              <a:solidFill>
                <a:schemeClr val="bg1">
                  <a:lumMod val="65000"/>
                </a:schemeClr>
              </a:solidFill>
              <a:latin typeface="Arial Black" panose="020B0A04020102020204" pitchFamily="34" charset="0"/>
            </a:rPr>
            <a:t>a</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592931</xdr:colOff>
      <xdr:row>732</xdr:row>
      <xdr:rowOff>33332</xdr:rowOff>
    </xdr:from>
    <xdr:to>
      <xdr:col>31</xdr:col>
      <xdr:colOff>116681</xdr:colOff>
      <xdr:row>736</xdr:row>
      <xdr:rowOff>128582</xdr:rowOff>
    </xdr:to>
    <xdr:sp macro="" textlink="">
      <xdr:nvSpPr>
        <xdr:cNvPr id="135" name="TextBox 134"/>
        <xdr:cNvSpPr txBox="1"/>
      </xdr:nvSpPr>
      <xdr:spPr>
        <a:xfrm>
          <a:off x="26643806" y="174959957"/>
          <a:ext cx="1238250" cy="1047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2</a:t>
          </a:r>
          <a:r>
            <a:rPr lang="et-EE" sz="4800">
              <a:solidFill>
                <a:schemeClr val="bg1">
                  <a:lumMod val="65000"/>
                </a:schemeClr>
              </a:solidFill>
              <a:latin typeface="Arial Black" panose="020B0A04020102020204" pitchFamily="34" charset="0"/>
            </a:rPr>
            <a:t>a</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614365</xdr:colOff>
      <xdr:row>743</xdr:row>
      <xdr:rowOff>150016</xdr:rowOff>
    </xdr:from>
    <xdr:to>
      <xdr:col>31</xdr:col>
      <xdr:colOff>138115</xdr:colOff>
      <xdr:row>748</xdr:row>
      <xdr:rowOff>19047</xdr:rowOff>
    </xdr:to>
    <xdr:sp macro="" textlink="">
      <xdr:nvSpPr>
        <xdr:cNvPr id="136" name="TextBox 135"/>
        <xdr:cNvSpPr txBox="1"/>
      </xdr:nvSpPr>
      <xdr:spPr>
        <a:xfrm>
          <a:off x="26665240" y="177696016"/>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3</a:t>
          </a:r>
          <a:r>
            <a:rPr lang="et-EE" sz="4800">
              <a:solidFill>
                <a:schemeClr val="bg1">
                  <a:lumMod val="65000"/>
                </a:schemeClr>
              </a:solidFill>
              <a:latin typeface="Arial Black" panose="020B0A04020102020204" pitchFamily="34" charset="0"/>
            </a:rPr>
            <a:t>a</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600073</xdr:colOff>
      <xdr:row>754</xdr:row>
      <xdr:rowOff>183357</xdr:rowOff>
    </xdr:from>
    <xdr:to>
      <xdr:col>31</xdr:col>
      <xdr:colOff>123823</xdr:colOff>
      <xdr:row>759</xdr:row>
      <xdr:rowOff>52388</xdr:rowOff>
    </xdr:to>
    <xdr:sp macro="" textlink="">
      <xdr:nvSpPr>
        <xdr:cNvPr id="137" name="TextBox 136"/>
        <xdr:cNvSpPr txBox="1"/>
      </xdr:nvSpPr>
      <xdr:spPr>
        <a:xfrm>
          <a:off x="26650948" y="180348732"/>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4</a:t>
          </a:r>
          <a:r>
            <a:rPr lang="et-EE" sz="4800">
              <a:solidFill>
                <a:schemeClr val="bg1">
                  <a:lumMod val="65000"/>
                </a:schemeClr>
              </a:solidFill>
              <a:latin typeface="Arial Black" panose="020B0A04020102020204" pitchFamily="34" charset="0"/>
            </a:rPr>
            <a:t>a</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585787</xdr:colOff>
      <xdr:row>765</xdr:row>
      <xdr:rowOff>180977</xdr:rowOff>
    </xdr:from>
    <xdr:to>
      <xdr:col>31</xdr:col>
      <xdr:colOff>142874</xdr:colOff>
      <xdr:row>770</xdr:row>
      <xdr:rowOff>50008</xdr:rowOff>
    </xdr:to>
    <xdr:sp macro="" textlink="">
      <xdr:nvSpPr>
        <xdr:cNvPr id="138" name="TextBox 137"/>
        <xdr:cNvSpPr txBox="1"/>
      </xdr:nvSpPr>
      <xdr:spPr>
        <a:xfrm>
          <a:off x="26636662" y="182965727"/>
          <a:ext cx="1271587"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5</a:t>
          </a:r>
          <a:r>
            <a:rPr lang="et-EE" sz="4800">
              <a:solidFill>
                <a:schemeClr val="bg1">
                  <a:lumMod val="65000"/>
                </a:schemeClr>
              </a:solidFill>
              <a:latin typeface="Arial Black" panose="020B0A04020102020204" pitchFamily="34" charset="0"/>
            </a:rPr>
            <a:t>a</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595312</xdr:colOff>
      <xdr:row>776</xdr:row>
      <xdr:rowOff>130942</xdr:rowOff>
    </xdr:from>
    <xdr:to>
      <xdr:col>31</xdr:col>
      <xdr:colOff>119062</xdr:colOff>
      <xdr:row>780</xdr:row>
      <xdr:rowOff>238098</xdr:rowOff>
    </xdr:to>
    <xdr:sp macro="" textlink="">
      <xdr:nvSpPr>
        <xdr:cNvPr id="139" name="TextBox 138"/>
        <xdr:cNvSpPr txBox="1"/>
      </xdr:nvSpPr>
      <xdr:spPr>
        <a:xfrm>
          <a:off x="26646187" y="185535067"/>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6</a:t>
          </a:r>
          <a:r>
            <a:rPr lang="et-EE" sz="4800">
              <a:solidFill>
                <a:schemeClr val="bg1">
                  <a:lumMod val="65000"/>
                </a:schemeClr>
              </a:solidFill>
              <a:latin typeface="Arial Black" panose="020B0A04020102020204" pitchFamily="34" charset="0"/>
            </a:rPr>
            <a:t>a</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595313</xdr:colOff>
      <xdr:row>788</xdr:row>
      <xdr:rowOff>130965</xdr:rowOff>
    </xdr:from>
    <xdr:to>
      <xdr:col>31</xdr:col>
      <xdr:colOff>119063</xdr:colOff>
      <xdr:row>792</xdr:row>
      <xdr:rowOff>238121</xdr:rowOff>
    </xdr:to>
    <xdr:sp macro="" textlink="">
      <xdr:nvSpPr>
        <xdr:cNvPr id="140" name="TextBox 139"/>
        <xdr:cNvSpPr txBox="1"/>
      </xdr:nvSpPr>
      <xdr:spPr>
        <a:xfrm>
          <a:off x="26646188" y="188392590"/>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1</a:t>
          </a:r>
          <a:r>
            <a:rPr lang="et-EE" sz="4800">
              <a:solidFill>
                <a:schemeClr val="bg1">
                  <a:lumMod val="65000"/>
                </a:schemeClr>
              </a:solidFill>
              <a:latin typeface="Arial Black" panose="020B0A04020102020204" pitchFamily="34" charset="0"/>
            </a:rPr>
            <a:t>b</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616744</xdr:colOff>
      <xdr:row>799</xdr:row>
      <xdr:rowOff>128583</xdr:rowOff>
    </xdr:from>
    <xdr:to>
      <xdr:col>31</xdr:col>
      <xdr:colOff>140494</xdr:colOff>
      <xdr:row>803</xdr:row>
      <xdr:rowOff>223833</xdr:rowOff>
    </xdr:to>
    <xdr:sp macro="" textlink="">
      <xdr:nvSpPr>
        <xdr:cNvPr id="141" name="TextBox 140"/>
        <xdr:cNvSpPr txBox="1"/>
      </xdr:nvSpPr>
      <xdr:spPr>
        <a:xfrm>
          <a:off x="26667619" y="191009583"/>
          <a:ext cx="1238250" cy="1047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2</a:t>
          </a:r>
          <a:r>
            <a:rPr lang="et-EE" sz="4800">
              <a:solidFill>
                <a:schemeClr val="bg1">
                  <a:lumMod val="65000"/>
                </a:schemeClr>
              </a:solidFill>
              <a:latin typeface="Arial Black" panose="020B0A04020102020204" pitchFamily="34" charset="0"/>
            </a:rPr>
            <a:t>b</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614365</xdr:colOff>
      <xdr:row>810</xdr:row>
      <xdr:rowOff>126204</xdr:rowOff>
    </xdr:from>
    <xdr:to>
      <xdr:col>31</xdr:col>
      <xdr:colOff>138115</xdr:colOff>
      <xdr:row>814</xdr:row>
      <xdr:rowOff>233360</xdr:rowOff>
    </xdr:to>
    <xdr:sp macro="" textlink="">
      <xdr:nvSpPr>
        <xdr:cNvPr id="142" name="TextBox 141"/>
        <xdr:cNvSpPr txBox="1"/>
      </xdr:nvSpPr>
      <xdr:spPr>
        <a:xfrm>
          <a:off x="26665240" y="193626579"/>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3</a:t>
          </a:r>
          <a:r>
            <a:rPr lang="et-EE" sz="4800">
              <a:solidFill>
                <a:schemeClr val="bg1">
                  <a:lumMod val="65000"/>
                </a:schemeClr>
              </a:solidFill>
              <a:latin typeface="Arial Black" panose="020B0A04020102020204" pitchFamily="34" charset="0"/>
            </a:rPr>
            <a:t>b</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600073</xdr:colOff>
      <xdr:row>821</xdr:row>
      <xdr:rowOff>159545</xdr:rowOff>
    </xdr:from>
    <xdr:to>
      <xdr:col>31</xdr:col>
      <xdr:colOff>123823</xdr:colOff>
      <xdr:row>826</xdr:row>
      <xdr:rowOff>28576</xdr:rowOff>
    </xdr:to>
    <xdr:sp macro="" textlink="">
      <xdr:nvSpPr>
        <xdr:cNvPr id="143" name="TextBox 142"/>
        <xdr:cNvSpPr txBox="1"/>
      </xdr:nvSpPr>
      <xdr:spPr>
        <a:xfrm>
          <a:off x="26650948" y="196279295"/>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4</a:t>
          </a:r>
          <a:r>
            <a:rPr lang="et-EE" sz="4800">
              <a:solidFill>
                <a:schemeClr val="bg1">
                  <a:lumMod val="65000"/>
                </a:schemeClr>
              </a:solidFill>
              <a:latin typeface="Arial Black" panose="020B0A04020102020204" pitchFamily="34" charset="0"/>
            </a:rPr>
            <a:t>b</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633414</xdr:colOff>
      <xdr:row>832</xdr:row>
      <xdr:rowOff>180976</xdr:rowOff>
    </xdr:from>
    <xdr:to>
      <xdr:col>31</xdr:col>
      <xdr:colOff>130969</xdr:colOff>
      <xdr:row>837</xdr:row>
      <xdr:rowOff>50007</xdr:rowOff>
    </xdr:to>
    <xdr:sp macro="" textlink="">
      <xdr:nvSpPr>
        <xdr:cNvPr id="144" name="TextBox 143"/>
        <xdr:cNvSpPr txBox="1"/>
      </xdr:nvSpPr>
      <xdr:spPr>
        <a:xfrm>
          <a:off x="26684289" y="198920101"/>
          <a:ext cx="1212055"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5</a:t>
          </a:r>
          <a:r>
            <a:rPr lang="et-EE" sz="4800">
              <a:solidFill>
                <a:schemeClr val="bg1">
                  <a:lumMod val="65000"/>
                </a:schemeClr>
              </a:solidFill>
              <a:latin typeface="Arial Black" panose="020B0A04020102020204" pitchFamily="34" charset="0"/>
            </a:rPr>
            <a:t>b</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595312</xdr:colOff>
      <xdr:row>843</xdr:row>
      <xdr:rowOff>178567</xdr:rowOff>
    </xdr:from>
    <xdr:to>
      <xdr:col>31</xdr:col>
      <xdr:colOff>119062</xdr:colOff>
      <xdr:row>848</xdr:row>
      <xdr:rowOff>47598</xdr:rowOff>
    </xdr:to>
    <xdr:sp macro="" textlink="">
      <xdr:nvSpPr>
        <xdr:cNvPr id="145" name="TextBox 144"/>
        <xdr:cNvSpPr txBox="1"/>
      </xdr:nvSpPr>
      <xdr:spPr>
        <a:xfrm>
          <a:off x="26646187" y="201537067"/>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6</a:t>
          </a:r>
          <a:r>
            <a:rPr lang="et-EE" sz="4800">
              <a:solidFill>
                <a:schemeClr val="bg1">
                  <a:lumMod val="65000"/>
                </a:schemeClr>
              </a:solidFill>
              <a:latin typeface="Arial Black" panose="020B0A04020102020204" pitchFamily="34" charset="0"/>
            </a:rPr>
            <a:t>b</a:t>
          </a:r>
          <a:endParaRPr lang="en-US" sz="4800">
            <a:solidFill>
              <a:schemeClr val="bg1">
                <a:lumMod val="65000"/>
              </a:schemeClr>
            </a:solidFill>
            <a:latin typeface="Arial Black" panose="020B0A04020102020204" pitchFamily="34" charset="0"/>
          </a:endParaRPr>
        </a:p>
      </xdr:txBody>
    </xdr:sp>
    <xdr:clientData/>
  </xdr:twoCellAnchor>
  <xdr:twoCellAnchor>
    <xdr:from>
      <xdr:col>0</xdr:col>
      <xdr:colOff>0</xdr:colOff>
      <xdr:row>158</xdr:row>
      <xdr:rowOff>75008</xdr:rowOff>
    </xdr:from>
    <xdr:to>
      <xdr:col>10</xdr:col>
      <xdr:colOff>438150</xdr:colOff>
      <xdr:row>174</xdr:row>
      <xdr:rowOff>125808</xdr:rowOff>
    </xdr:to>
    <xdr:graphicFrame macro="">
      <xdr:nvGraphicFramePr>
        <xdr:cNvPr id="146" name="Chart 1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29</xdr:col>
      <xdr:colOff>90942</xdr:colOff>
      <xdr:row>473</xdr:row>
      <xdr:rowOff>166687</xdr:rowOff>
    </xdr:from>
    <xdr:to>
      <xdr:col>31</xdr:col>
      <xdr:colOff>119063</xdr:colOff>
      <xdr:row>476</xdr:row>
      <xdr:rowOff>134937</xdr:rowOff>
    </xdr:to>
    <xdr:sp macro="" textlink="">
      <xdr:nvSpPr>
        <xdr:cNvPr id="147" name="TextBox 146"/>
        <xdr:cNvSpPr txBox="1"/>
      </xdr:nvSpPr>
      <xdr:spPr>
        <a:xfrm>
          <a:off x="26141817" y="113418937"/>
          <a:ext cx="1742621" cy="68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U8.</a:t>
          </a:r>
          <a:r>
            <a:rPr lang="en-US" sz="4800">
              <a:solidFill>
                <a:schemeClr val="bg1">
                  <a:lumMod val="65000"/>
                </a:schemeClr>
              </a:solidFill>
              <a:latin typeface="Arial Black" panose="020B0A04020102020204" pitchFamily="34" charset="0"/>
            </a:rPr>
            <a:t>1</a:t>
          </a:r>
        </a:p>
      </xdr:txBody>
    </xdr:sp>
    <xdr:clientData/>
  </xdr:twoCellAnchor>
  <xdr:twoCellAnchor>
    <xdr:from>
      <xdr:col>28</xdr:col>
      <xdr:colOff>847726</xdr:colOff>
      <xdr:row>356</xdr:row>
      <xdr:rowOff>142875</xdr:rowOff>
    </xdr:from>
    <xdr:to>
      <xdr:col>31</xdr:col>
      <xdr:colOff>166688</xdr:colOff>
      <xdr:row>359</xdr:row>
      <xdr:rowOff>64294</xdr:rowOff>
    </xdr:to>
    <xdr:sp macro="" textlink="">
      <xdr:nvSpPr>
        <xdr:cNvPr id="149" name="TextBox 148"/>
        <xdr:cNvSpPr txBox="1"/>
      </xdr:nvSpPr>
      <xdr:spPr>
        <a:xfrm>
          <a:off x="26041351" y="85534500"/>
          <a:ext cx="1890712" cy="6357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U7.3</a:t>
          </a:r>
          <a:endParaRPr lang="en-US" sz="4800">
            <a:solidFill>
              <a:schemeClr val="bg1">
                <a:lumMod val="65000"/>
              </a:schemeClr>
            </a:solidFill>
            <a:latin typeface="Arial Black" panose="020B0A04020102020204" pitchFamily="34" charset="0"/>
          </a:endParaRPr>
        </a:p>
      </xdr:txBody>
    </xdr:sp>
    <xdr:clientData/>
  </xdr:twoCellAnchor>
  <xdr:twoCellAnchor>
    <xdr:from>
      <xdr:col>12</xdr:col>
      <xdr:colOff>11512550</xdr:colOff>
      <xdr:row>293</xdr:row>
      <xdr:rowOff>123825</xdr:rowOff>
    </xdr:from>
    <xdr:to>
      <xdr:col>12</xdr:col>
      <xdr:colOff>13369925</xdr:colOff>
      <xdr:row>297</xdr:row>
      <xdr:rowOff>224631</xdr:rowOff>
    </xdr:to>
    <xdr:sp macro="" textlink="">
      <xdr:nvSpPr>
        <xdr:cNvPr id="150" name="TextBox 149"/>
        <xdr:cNvSpPr txBox="1"/>
      </xdr:nvSpPr>
      <xdr:spPr>
        <a:xfrm>
          <a:off x="22999700" y="73237725"/>
          <a:ext cx="1857375" cy="10914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U7.2</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17462</xdr:colOff>
      <xdr:row>238</xdr:row>
      <xdr:rowOff>119062</xdr:rowOff>
    </xdr:from>
    <xdr:to>
      <xdr:col>31</xdr:col>
      <xdr:colOff>71437</xdr:colOff>
      <xdr:row>241</xdr:row>
      <xdr:rowOff>105568</xdr:rowOff>
    </xdr:to>
    <xdr:sp macro="" textlink="">
      <xdr:nvSpPr>
        <xdr:cNvPr id="151" name="TextBox 150"/>
        <xdr:cNvSpPr txBox="1"/>
      </xdr:nvSpPr>
      <xdr:spPr>
        <a:xfrm>
          <a:off x="20924837" y="57411937"/>
          <a:ext cx="1768475" cy="70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U7.1</a:t>
          </a:r>
          <a:endParaRPr lang="en-US" sz="4800">
            <a:solidFill>
              <a:schemeClr val="bg1">
                <a:lumMod val="65000"/>
              </a:schemeClr>
            </a:solidFill>
            <a:latin typeface="Arial Black" panose="020B0A04020102020204" pitchFamily="34" charset="0"/>
          </a:endParaRPr>
        </a:p>
      </xdr:txBody>
    </xdr:sp>
    <xdr:clientData/>
  </xdr:twoCellAnchor>
  <xdr:twoCellAnchor>
    <xdr:from>
      <xdr:col>12</xdr:col>
      <xdr:colOff>2667000</xdr:colOff>
      <xdr:row>216</xdr:row>
      <xdr:rowOff>155575</xdr:rowOff>
    </xdr:from>
    <xdr:to>
      <xdr:col>12</xdr:col>
      <xdr:colOff>13363575</xdr:colOff>
      <xdr:row>221</xdr:row>
      <xdr:rowOff>8731</xdr:rowOff>
    </xdr:to>
    <xdr:sp macro="" textlink="">
      <xdr:nvSpPr>
        <xdr:cNvPr id="152" name="TextBox 151"/>
        <xdr:cNvSpPr txBox="1"/>
      </xdr:nvSpPr>
      <xdr:spPr>
        <a:xfrm>
          <a:off x="14144625" y="52209700"/>
          <a:ext cx="10696575" cy="10437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t-EE" sz="4800">
              <a:solidFill>
                <a:schemeClr val="bg1">
                  <a:lumMod val="65000"/>
                </a:schemeClr>
              </a:solidFill>
              <a:latin typeface="Arial Black" panose="020B0A04020102020204" pitchFamily="34" charset="0"/>
            </a:rPr>
            <a:t>BASELINE SUMMARY</a:t>
          </a:r>
          <a:endParaRPr lang="en-US" sz="4800">
            <a:solidFill>
              <a:schemeClr val="bg1">
                <a:lumMod val="65000"/>
              </a:schemeClr>
            </a:solidFill>
            <a:latin typeface="Arial Black" panose="020B0A04020102020204" pitchFamily="34" charset="0"/>
          </a:endParaRPr>
        </a:p>
      </xdr:txBody>
    </xdr:sp>
    <xdr:clientData/>
  </xdr:twoCellAnchor>
  <xdr:twoCellAnchor>
    <xdr:from>
      <xdr:col>70</xdr:col>
      <xdr:colOff>127000</xdr:colOff>
      <xdr:row>244</xdr:row>
      <xdr:rowOff>222250</xdr:rowOff>
    </xdr:from>
    <xdr:to>
      <xdr:col>72</xdr:col>
      <xdr:colOff>592666</xdr:colOff>
      <xdr:row>254</xdr:row>
      <xdr:rowOff>42333</xdr:rowOff>
    </xdr:to>
    <xdr:cxnSp macro="">
      <xdr:nvCxnSpPr>
        <xdr:cNvPr id="9" name="Straight Arrow Connector 8"/>
        <xdr:cNvCxnSpPr/>
      </xdr:nvCxnSpPr>
      <xdr:spPr>
        <a:xfrm>
          <a:off x="41941750" y="60198000"/>
          <a:ext cx="1693333" cy="22542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837861</xdr:colOff>
      <xdr:row>579</xdr:row>
      <xdr:rowOff>70752</xdr:rowOff>
    </xdr:from>
    <xdr:to>
      <xdr:col>31</xdr:col>
      <xdr:colOff>23812</xdr:colOff>
      <xdr:row>582</xdr:row>
      <xdr:rowOff>142874</xdr:rowOff>
    </xdr:to>
    <xdr:sp macro="" textlink="">
      <xdr:nvSpPr>
        <xdr:cNvPr id="153" name="TextBox 152"/>
        <xdr:cNvSpPr txBox="1"/>
      </xdr:nvSpPr>
      <xdr:spPr>
        <a:xfrm>
          <a:off x="26031486" y="138564252"/>
          <a:ext cx="1757701" cy="7864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U8.2</a:t>
          </a:r>
          <a:endParaRPr lang="en-US" sz="4800">
            <a:solidFill>
              <a:schemeClr val="bg1">
                <a:lumMod val="65000"/>
              </a:schemeClr>
            </a:solidFill>
            <a:latin typeface="Arial Black" panose="020B0A04020102020204" pitchFamily="34" charset="0"/>
          </a:endParaRPr>
        </a:p>
      </xdr:txBody>
    </xdr:sp>
    <xdr:clientData/>
  </xdr:twoCellAnchor>
  <xdr:twoCellAnchor>
    <xdr:from>
      <xdr:col>28</xdr:col>
      <xdr:colOff>764041</xdr:colOff>
      <xdr:row>678</xdr:row>
      <xdr:rowOff>119061</xdr:rowOff>
    </xdr:from>
    <xdr:to>
      <xdr:col>31</xdr:col>
      <xdr:colOff>119062</xdr:colOff>
      <xdr:row>681</xdr:row>
      <xdr:rowOff>92183</xdr:rowOff>
    </xdr:to>
    <xdr:sp macro="" textlink="">
      <xdr:nvSpPr>
        <xdr:cNvPr id="154" name="TextBox 153"/>
        <xdr:cNvSpPr txBox="1"/>
      </xdr:nvSpPr>
      <xdr:spPr>
        <a:xfrm>
          <a:off x="25957666" y="162186936"/>
          <a:ext cx="1926771" cy="6874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U8.3</a:t>
          </a:r>
          <a:endParaRPr lang="en-US" sz="4800">
            <a:solidFill>
              <a:schemeClr val="bg1">
                <a:lumMod val="65000"/>
              </a:schemeClr>
            </a:solidFill>
            <a:latin typeface="Arial Black" panose="020B0A04020102020204" pitchFamily="34" charset="0"/>
          </a:endParaRPr>
        </a:p>
      </xdr:txBody>
    </xdr:sp>
    <xdr:clientData/>
  </xdr:twoCellAnchor>
  <xdr:twoCellAnchor>
    <xdr:from>
      <xdr:col>18</xdr:col>
      <xdr:colOff>295275</xdr:colOff>
      <xdr:row>976</xdr:row>
      <xdr:rowOff>190500</xdr:rowOff>
    </xdr:from>
    <xdr:to>
      <xdr:col>30</xdr:col>
      <xdr:colOff>720725</xdr:colOff>
      <xdr:row>980</xdr:row>
      <xdr:rowOff>211931</xdr:rowOff>
    </xdr:to>
    <xdr:sp macro="" textlink="">
      <xdr:nvSpPr>
        <xdr:cNvPr id="155" name="TextBox 154"/>
        <xdr:cNvSpPr txBox="1"/>
      </xdr:nvSpPr>
      <xdr:spPr>
        <a:xfrm>
          <a:off x="16932275" y="248570750"/>
          <a:ext cx="10712450" cy="10374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t-EE" sz="4800">
              <a:solidFill>
                <a:schemeClr val="bg1">
                  <a:lumMod val="65000"/>
                </a:schemeClr>
              </a:solidFill>
              <a:latin typeface="Arial Black" panose="020B0A04020102020204" pitchFamily="34" charset="0"/>
            </a:rPr>
            <a:t>POLICY SUMMARY</a:t>
          </a:r>
          <a:endParaRPr lang="en-US" sz="4800">
            <a:solidFill>
              <a:schemeClr val="bg1">
                <a:lumMod val="65000"/>
              </a:schemeClr>
            </a:solidFill>
            <a:latin typeface="Arial Black" panose="020B0A04020102020204" pitchFamily="34" charset="0"/>
          </a:endParaRPr>
        </a:p>
      </xdr:txBody>
    </xdr:sp>
    <xdr:clientData/>
  </xdr:twoCellAnchor>
  <xdr:twoCellAnchor>
    <xdr:from>
      <xdr:col>28</xdr:col>
      <xdr:colOff>801688</xdr:colOff>
      <xdr:row>294</xdr:row>
      <xdr:rowOff>127000</xdr:rowOff>
    </xdr:from>
    <xdr:to>
      <xdr:col>31</xdr:col>
      <xdr:colOff>71438</xdr:colOff>
      <xdr:row>297</xdr:row>
      <xdr:rowOff>113506</xdr:rowOff>
    </xdr:to>
    <xdr:sp macro="" textlink="">
      <xdr:nvSpPr>
        <xdr:cNvPr id="165" name="TextBox 164"/>
        <xdr:cNvSpPr txBox="1"/>
      </xdr:nvSpPr>
      <xdr:spPr>
        <a:xfrm>
          <a:off x="25995313" y="70754875"/>
          <a:ext cx="1841500" cy="70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U7.2</a:t>
          </a:r>
          <a:endParaRPr lang="en-US" sz="4800">
            <a:solidFill>
              <a:schemeClr val="bg1">
                <a:lumMod val="65000"/>
              </a:schemeClr>
            </a:solidFill>
            <a:latin typeface="Arial Black" panose="020B0A04020102020204" pitchFamily="34" charset="0"/>
          </a:endParaRPr>
        </a:p>
      </xdr:txBody>
    </xdr:sp>
    <xdr:clientData/>
  </xdr:twoCellAnchor>
  <xdr:twoCellAnchor>
    <xdr:from>
      <xdr:col>14</xdr:col>
      <xdr:colOff>619126</xdr:colOff>
      <xdr:row>217</xdr:row>
      <xdr:rowOff>71437</xdr:rowOff>
    </xdr:from>
    <xdr:to>
      <xdr:col>30</xdr:col>
      <xdr:colOff>738188</xdr:colOff>
      <xdr:row>220</xdr:row>
      <xdr:rowOff>57943</xdr:rowOff>
    </xdr:to>
    <xdr:sp macro="" textlink="">
      <xdr:nvSpPr>
        <xdr:cNvPr id="166" name="TextBox 165"/>
        <xdr:cNvSpPr txBox="1"/>
      </xdr:nvSpPr>
      <xdr:spPr>
        <a:xfrm>
          <a:off x="13604876" y="55697437"/>
          <a:ext cx="8532812" cy="748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t-EE" sz="4800">
              <a:solidFill>
                <a:schemeClr val="bg1">
                  <a:lumMod val="65000"/>
                </a:schemeClr>
              </a:solidFill>
              <a:latin typeface="Arial Black" panose="020B0A04020102020204" pitchFamily="34" charset="0"/>
            </a:rPr>
            <a:t>BASELINE</a:t>
          </a:r>
          <a:r>
            <a:rPr lang="et-EE" sz="4800" baseline="0">
              <a:solidFill>
                <a:schemeClr val="bg1">
                  <a:lumMod val="65000"/>
                </a:schemeClr>
              </a:solidFill>
              <a:latin typeface="Arial Black" panose="020B0A04020102020204" pitchFamily="34" charset="0"/>
            </a:rPr>
            <a:t> SUMMARY</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809626</xdr:colOff>
      <xdr:row>527</xdr:row>
      <xdr:rowOff>128575</xdr:rowOff>
    </xdr:from>
    <xdr:to>
      <xdr:col>31</xdr:col>
      <xdr:colOff>223837</xdr:colOff>
      <xdr:row>530</xdr:row>
      <xdr:rowOff>223821</xdr:rowOff>
    </xdr:to>
    <xdr:sp macro="" textlink="">
      <xdr:nvSpPr>
        <xdr:cNvPr id="167" name="TextBox 166"/>
        <xdr:cNvSpPr txBox="1"/>
      </xdr:nvSpPr>
      <xdr:spPr>
        <a:xfrm>
          <a:off x="26860501" y="126239575"/>
          <a:ext cx="1128711" cy="809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2</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842963</xdr:colOff>
      <xdr:row>538</xdr:row>
      <xdr:rowOff>42850</xdr:rowOff>
    </xdr:from>
    <xdr:to>
      <xdr:col>31</xdr:col>
      <xdr:colOff>257174</xdr:colOff>
      <xdr:row>541</xdr:row>
      <xdr:rowOff>138096</xdr:rowOff>
    </xdr:to>
    <xdr:sp macro="" textlink="">
      <xdr:nvSpPr>
        <xdr:cNvPr id="168" name="TextBox 167"/>
        <xdr:cNvSpPr txBox="1"/>
      </xdr:nvSpPr>
      <xdr:spPr>
        <a:xfrm>
          <a:off x="26893838" y="128773225"/>
          <a:ext cx="1128711" cy="809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3</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771526</xdr:colOff>
      <xdr:row>549</xdr:row>
      <xdr:rowOff>52375</xdr:rowOff>
    </xdr:from>
    <xdr:to>
      <xdr:col>31</xdr:col>
      <xdr:colOff>195262</xdr:colOff>
      <xdr:row>552</xdr:row>
      <xdr:rowOff>147621</xdr:rowOff>
    </xdr:to>
    <xdr:sp macro="" textlink="">
      <xdr:nvSpPr>
        <xdr:cNvPr id="169" name="TextBox 168"/>
        <xdr:cNvSpPr txBox="1"/>
      </xdr:nvSpPr>
      <xdr:spPr>
        <a:xfrm>
          <a:off x="26822401" y="131402125"/>
          <a:ext cx="1138236" cy="809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4</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757239</xdr:colOff>
      <xdr:row>560</xdr:row>
      <xdr:rowOff>61896</xdr:rowOff>
    </xdr:from>
    <xdr:to>
      <xdr:col>31</xdr:col>
      <xdr:colOff>180975</xdr:colOff>
      <xdr:row>563</xdr:row>
      <xdr:rowOff>157142</xdr:rowOff>
    </xdr:to>
    <xdr:sp macro="" textlink="">
      <xdr:nvSpPr>
        <xdr:cNvPr id="170" name="TextBox 169"/>
        <xdr:cNvSpPr txBox="1"/>
      </xdr:nvSpPr>
      <xdr:spPr>
        <a:xfrm>
          <a:off x="26808114" y="134031021"/>
          <a:ext cx="1138236" cy="809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5</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790577</xdr:colOff>
      <xdr:row>571</xdr:row>
      <xdr:rowOff>119035</xdr:rowOff>
    </xdr:from>
    <xdr:to>
      <xdr:col>31</xdr:col>
      <xdr:colOff>214313</xdr:colOff>
      <xdr:row>574</xdr:row>
      <xdr:rowOff>214281</xdr:rowOff>
    </xdr:to>
    <xdr:sp macro="" textlink="">
      <xdr:nvSpPr>
        <xdr:cNvPr id="171" name="TextBox 170"/>
        <xdr:cNvSpPr txBox="1"/>
      </xdr:nvSpPr>
      <xdr:spPr>
        <a:xfrm>
          <a:off x="26841452" y="136707535"/>
          <a:ext cx="1138236" cy="809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6</a:t>
          </a:r>
          <a:endParaRPr lang="en-US" sz="4800">
            <a:solidFill>
              <a:schemeClr val="bg1">
                <a:lumMod val="65000"/>
              </a:schemeClr>
            </a:solidFill>
            <a:latin typeface="Arial Black" panose="020B0A04020102020204" pitchFamily="34" charset="0"/>
          </a:endParaRPr>
        </a:p>
      </xdr:txBody>
    </xdr:sp>
    <xdr:clientData/>
  </xdr:twoCellAnchor>
  <xdr:twoCellAnchor>
    <xdr:from>
      <xdr:col>0</xdr:col>
      <xdr:colOff>0</xdr:colOff>
      <xdr:row>1</xdr:row>
      <xdr:rowOff>0</xdr:rowOff>
    </xdr:from>
    <xdr:to>
      <xdr:col>4</xdr:col>
      <xdr:colOff>731520</xdr:colOff>
      <xdr:row>1</xdr:row>
      <xdr:rowOff>3108960</xdr:rowOff>
    </xdr:to>
    <xdr:graphicFrame macro="">
      <xdr:nvGraphicFramePr>
        <xdr:cNvPr id="172" name="Chart 17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730250</xdr:colOff>
      <xdr:row>1</xdr:row>
      <xdr:rowOff>31750</xdr:rowOff>
    </xdr:from>
    <xdr:to>
      <xdr:col>11</xdr:col>
      <xdr:colOff>144145</xdr:colOff>
      <xdr:row>1</xdr:row>
      <xdr:rowOff>3140710</xdr:rowOff>
    </xdr:to>
    <xdr:graphicFrame macro="">
      <xdr:nvGraphicFramePr>
        <xdr:cNvPr id="173" name="Chart 17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25</xdr:row>
      <xdr:rowOff>57150</xdr:rowOff>
    </xdr:from>
    <xdr:to>
      <xdr:col>14</xdr:col>
      <xdr:colOff>238125</xdr:colOff>
      <xdr:row>41</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25</xdr:row>
      <xdr:rowOff>66675</xdr:rowOff>
    </xdr:from>
    <xdr:to>
      <xdr:col>31</xdr:col>
      <xdr:colOff>9525</xdr:colOff>
      <xdr:row>41</xdr:row>
      <xdr:rowOff>90487</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133350</xdr:colOff>
      <xdr:row>0</xdr:row>
      <xdr:rowOff>85725</xdr:rowOff>
    </xdr:from>
    <xdr:to>
      <xdr:col>12</xdr:col>
      <xdr:colOff>361950</xdr:colOff>
      <xdr:row>0</xdr:row>
      <xdr:rowOff>314325</xdr:rowOff>
    </xdr:to>
    <xdr:sp macro="" textlink="">
      <xdr:nvSpPr>
        <xdr:cNvPr id="4" name="Rectangle 3">
          <a:hlinkClick xmlns:r="http://schemas.openxmlformats.org/officeDocument/2006/relationships" r:id="rId3"/>
        </xdr:cNvPr>
        <xdr:cNvSpPr/>
      </xdr:nvSpPr>
      <xdr:spPr>
        <a:xfrm>
          <a:off x="4495800" y="85725"/>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S</a:t>
          </a:r>
          <a:r>
            <a:rPr lang="et-EE" sz="1100">
              <a:solidFill>
                <a:schemeClr val="bg1"/>
              </a:solidFill>
            </a:rPr>
            <a:t>TA</a:t>
          </a:r>
          <a:r>
            <a:rPr lang="en-US" sz="1100">
              <a:solidFill>
                <a:schemeClr val="bg1"/>
              </a:solidFill>
            </a:rPr>
            <a:t>RT</a:t>
          </a:r>
        </a:p>
      </xdr:txBody>
    </xdr:sp>
    <xdr:clientData/>
  </xdr:twoCellAnchor>
  <xdr:twoCellAnchor>
    <xdr:from>
      <xdr:col>13</xdr:col>
      <xdr:colOff>28575</xdr:colOff>
      <xdr:row>0</xdr:row>
      <xdr:rowOff>85725</xdr:rowOff>
    </xdr:from>
    <xdr:to>
      <xdr:col>16</xdr:col>
      <xdr:colOff>257175</xdr:colOff>
      <xdr:row>0</xdr:row>
      <xdr:rowOff>314325</xdr:rowOff>
    </xdr:to>
    <xdr:sp macro="" textlink="">
      <xdr:nvSpPr>
        <xdr:cNvPr id="5" name="Rectangle 4">
          <a:hlinkClick xmlns:r="http://schemas.openxmlformats.org/officeDocument/2006/relationships" r:id="rId4"/>
        </xdr:cNvPr>
        <xdr:cNvSpPr/>
      </xdr:nvSpPr>
      <xdr:spPr>
        <a:xfrm>
          <a:off x="5915025" y="85725"/>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TRANSPORT</a:t>
          </a:r>
          <a:endParaRPr lang="en-US" sz="1100">
            <a:solidFill>
              <a:schemeClr val="bg1"/>
            </a:solidFill>
          </a:endParaRPr>
        </a:p>
      </xdr:txBody>
    </xdr:sp>
    <xdr:clientData/>
  </xdr:twoCellAnchor>
  <xdr:twoCellAnchor>
    <xdr:from>
      <xdr:col>16</xdr:col>
      <xdr:colOff>304800</xdr:colOff>
      <xdr:row>0</xdr:row>
      <xdr:rowOff>85725</xdr:rowOff>
    </xdr:from>
    <xdr:to>
      <xdr:col>20</xdr:col>
      <xdr:colOff>152400</xdr:colOff>
      <xdr:row>0</xdr:row>
      <xdr:rowOff>314325</xdr:rowOff>
    </xdr:to>
    <xdr:sp macro="" textlink="">
      <xdr:nvSpPr>
        <xdr:cNvPr id="6" name="Rectangle 5">
          <a:hlinkClick xmlns:r="http://schemas.openxmlformats.org/officeDocument/2006/relationships" r:id="rId5"/>
        </xdr:cNvPr>
        <xdr:cNvSpPr/>
      </xdr:nvSpPr>
      <xdr:spPr>
        <a:xfrm>
          <a:off x="7334250" y="85725"/>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LAND</a:t>
          </a:r>
          <a:r>
            <a:rPr lang="et-EE" sz="1100">
              <a:solidFill>
                <a:schemeClr val="bg1"/>
              </a:solidFill>
            </a:rPr>
            <a:t>-USE</a:t>
          </a:r>
          <a:r>
            <a:rPr lang="et-EE" sz="1100" baseline="0">
              <a:solidFill>
                <a:schemeClr val="bg1"/>
              </a:solidFill>
            </a:rPr>
            <a:t> CHANGE</a:t>
          </a:r>
          <a:endParaRPr lang="en-US" sz="1100">
            <a:solidFill>
              <a:schemeClr val="bg1"/>
            </a:solidFill>
          </a:endParaRPr>
        </a:p>
      </xdr:txBody>
    </xdr:sp>
    <xdr:clientData/>
  </xdr:twoCellAnchor>
  <xdr:twoCellAnchor>
    <xdr:from>
      <xdr:col>20</xdr:col>
      <xdr:colOff>200025</xdr:colOff>
      <xdr:row>0</xdr:row>
      <xdr:rowOff>85725</xdr:rowOff>
    </xdr:from>
    <xdr:to>
      <xdr:col>24</xdr:col>
      <xdr:colOff>51707</xdr:colOff>
      <xdr:row>0</xdr:row>
      <xdr:rowOff>314325</xdr:rowOff>
    </xdr:to>
    <xdr:sp macro="" textlink="">
      <xdr:nvSpPr>
        <xdr:cNvPr id="7" name="Rectangle 6">
          <a:hlinkClick xmlns:r="http://schemas.openxmlformats.org/officeDocument/2006/relationships" r:id="rId6"/>
        </xdr:cNvPr>
        <xdr:cNvSpPr/>
      </xdr:nvSpPr>
      <xdr:spPr>
        <a:xfrm>
          <a:off x="8753475" y="85725"/>
          <a:ext cx="1375682"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BUILDINGS</a:t>
          </a:r>
        </a:p>
      </xdr:txBody>
    </xdr:sp>
    <xdr:clientData/>
  </xdr:twoCellAnchor>
  <xdr:twoCellAnchor>
    <xdr:from>
      <xdr:col>24</xdr:col>
      <xdr:colOff>85725</xdr:colOff>
      <xdr:row>0</xdr:row>
      <xdr:rowOff>85725</xdr:rowOff>
    </xdr:from>
    <xdr:to>
      <xdr:col>27</xdr:col>
      <xdr:colOff>318407</xdr:colOff>
      <xdr:row>0</xdr:row>
      <xdr:rowOff>314325</xdr:rowOff>
    </xdr:to>
    <xdr:sp macro="" textlink="">
      <xdr:nvSpPr>
        <xdr:cNvPr id="8" name="Rectangle 7"/>
        <xdr:cNvSpPr/>
      </xdr:nvSpPr>
      <xdr:spPr>
        <a:xfrm>
          <a:off x="10163175" y="85725"/>
          <a:ext cx="1375682" cy="228600"/>
        </a:xfrm>
        <a:prstGeom prst="rect">
          <a:avLst/>
        </a:prstGeom>
        <a:solidFill>
          <a:schemeClr val="accent5">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RESULTS</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0</xdr:colOff>
      <xdr:row>9</xdr:row>
      <xdr:rowOff>19050</xdr:rowOff>
    </xdr:from>
    <xdr:to>
      <xdr:col>3</xdr:col>
      <xdr:colOff>657225</xdr:colOff>
      <xdr:row>10</xdr:row>
      <xdr:rowOff>0</xdr:rowOff>
    </xdr:to>
    <xdr:sp macro="" textlink="">
      <xdr:nvSpPr>
        <xdr:cNvPr id="11265" name="Drop Down 1"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6</xdr:col>
      <xdr:colOff>361950</xdr:colOff>
      <xdr:row>0</xdr:row>
      <xdr:rowOff>85726</xdr:rowOff>
    </xdr:from>
    <xdr:to>
      <xdr:col>8</xdr:col>
      <xdr:colOff>304800</xdr:colOff>
      <xdr:row>0</xdr:row>
      <xdr:rowOff>314326</xdr:rowOff>
    </xdr:to>
    <xdr:sp macro="" textlink="">
      <xdr:nvSpPr>
        <xdr:cNvPr id="3" name="Rectangle 2">
          <a:hlinkClick xmlns:r="http://schemas.openxmlformats.org/officeDocument/2006/relationships" r:id="rId1"/>
        </xdr:cNvPr>
        <xdr:cNvSpPr/>
      </xdr:nvSpPr>
      <xdr:spPr>
        <a:xfrm>
          <a:off x="5934075" y="85726"/>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TRANSPORT</a:t>
          </a:r>
        </a:p>
      </xdr:txBody>
    </xdr:sp>
    <xdr:clientData/>
  </xdr:twoCellAnchor>
  <xdr:twoCellAnchor>
    <xdr:from>
      <xdr:col>8</xdr:col>
      <xdr:colOff>352425</xdr:colOff>
      <xdr:row>0</xdr:row>
      <xdr:rowOff>85726</xdr:rowOff>
    </xdr:from>
    <xdr:to>
      <xdr:col>10</xdr:col>
      <xdr:colOff>295275</xdr:colOff>
      <xdr:row>0</xdr:row>
      <xdr:rowOff>314326</xdr:rowOff>
    </xdr:to>
    <xdr:sp macro="" textlink="">
      <xdr:nvSpPr>
        <xdr:cNvPr id="4" name="Rectangle 3">
          <a:hlinkClick xmlns:r="http://schemas.openxmlformats.org/officeDocument/2006/relationships" r:id="rId2"/>
        </xdr:cNvPr>
        <xdr:cNvSpPr/>
      </xdr:nvSpPr>
      <xdr:spPr>
        <a:xfrm>
          <a:off x="7353300" y="85726"/>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LAND</a:t>
          </a:r>
          <a:r>
            <a:rPr lang="en-US" sz="1100" baseline="0">
              <a:solidFill>
                <a:schemeClr val="bg1"/>
              </a:solidFill>
            </a:rPr>
            <a:t> USE CHANGE</a:t>
          </a:r>
          <a:endParaRPr lang="en-US" sz="1100">
            <a:solidFill>
              <a:schemeClr val="bg1"/>
            </a:solidFill>
          </a:endParaRPr>
        </a:p>
      </xdr:txBody>
    </xdr:sp>
    <xdr:clientData/>
  </xdr:twoCellAnchor>
  <xdr:twoCellAnchor>
    <xdr:from>
      <xdr:col>10</xdr:col>
      <xdr:colOff>342900</xdr:colOff>
      <xdr:row>0</xdr:row>
      <xdr:rowOff>85725</xdr:rowOff>
    </xdr:from>
    <xdr:to>
      <xdr:col>12</xdr:col>
      <xdr:colOff>285750</xdr:colOff>
      <xdr:row>0</xdr:row>
      <xdr:rowOff>314325</xdr:rowOff>
    </xdr:to>
    <xdr:sp macro="" textlink="">
      <xdr:nvSpPr>
        <xdr:cNvPr id="5" name="Rectangle 4">
          <a:hlinkClick xmlns:r="http://schemas.openxmlformats.org/officeDocument/2006/relationships" r:id="rId3"/>
        </xdr:cNvPr>
        <xdr:cNvSpPr/>
      </xdr:nvSpPr>
      <xdr:spPr>
        <a:xfrm>
          <a:off x="8772525" y="85725"/>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BUILDINGS</a:t>
          </a:r>
        </a:p>
      </xdr:txBody>
    </xdr:sp>
    <xdr:clientData/>
  </xdr:twoCellAnchor>
  <xdr:twoCellAnchor>
    <xdr:from>
      <xdr:col>12</xdr:col>
      <xdr:colOff>333375</xdr:colOff>
      <xdr:row>0</xdr:row>
      <xdr:rowOff>85725</xdr:rowOff>
    </xdr:from>
    <xdr:to>
      <xdr:col>14</xdr:col>
      <xdr:colOff>276225</xdr:colOff>
      <xdr:row>0</xdr:row>
      <xdr:rowOff>314325</xdr:rowOff>
    </xdr:to>
    <xdr:sp macro="" textlink="">
      <xdr:nvSpPr>
        <xdr:cNvPr id="6" name="Rectangle 5">
          <a:hlinkClick xmlns:r="http://schemas.openxmlformats.org/officeDocument/2006/relationships" r:id="rId4"/>
        </xdr:cNvPr>
        <xdr:cNvSpPr/>
      </xdr:nvSpPr>
      <xdr:spPr>
        <a:xfrm>
          <a:off x="10191750" y="85725"/>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RESULTS</a:t>
          </a:r>
          <a:endParaRPr lang="en-US" sz="1100">
            <a:solidFill>
              <a:schemeClr val="bg1"/>
            </a:solidFill>
          </a:endParaRPr>
        </a:p>
      </xdr:txBody>
    </xdr:sp>
    <xdr:clientData/>
  </xdr:twoCellAnchor>
  <xdr:twoCellAnchor editAs="oneCell">
    <xdr:from>
      <xdr:col>1</xdr:col>
      <xdr:colOff>485775</xdr:colOff>
      <xdr:row>289</xdr:row>
      <xdr:rowOff>0</xdr:rowOff>
    </xdr:from>
    <xdr:to>
      <xdr:col>1</xdr:col>
      <xdr:colOff>2105025</xdr:colOff>
      <xdr:row>290</xdr:row>
      <xdr:rowOff>209550</xdr:rowOff>
    </xdr:to>
    <xdr:sp macro="" textlink="">
      <xdr:nvSpPr>
        <xdr:cNvPr id="11266" name="CommandButton1" hidden="1">
          <a:extLst>
            <a:ext uri="{63B3BB69-23CF-44E3-9099-C40C66FF867C}">
              <a14:compatExt xmlns:a14="http://schemas.microsoft.com/office/drawing/2010/main" spid="_x0000_s11266"/>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2</xdr:col>
          <xdr:colOff>0</xdr:colOff>
          <xdr:row>9</xdr:row>
          <xdr:rowOff>19050</xdr:rowOff>
        </xdr:from>
        <xdr:to>
          <xdr:col>3</xdr:col>
          <xdr:colOff>657225</xdr:colOff>
          <xdr:row>10</xdr:row>
          <xdr:rowOff>0</xdr:rowOff>
        </xdr:to>
        <xdr:sp macro="" textlink="">
          <xdr:nvSpPr>
            <xdr:cNvPr id="2" name="Drop Down 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542925</xdr:colOff>
      <xdr:row>353</xdr:row>
      <xdr:rowOff>238125</xdr:rowOff>
    </xdr:from>
    <xdr:to>
      <xdr:col>1</xdr:col>
      <xdr:colOff>2076450</xdr:colOff>
      <xdr:row>355</xdr:row>
      <xdr:rowOff>180975</xdr:rowOff>
    </xdr:to>
    <xdr:sp macro="" textlink="">
      <xdr:nvSpPr>
        <xdr:cNvPr id="11268" name="CommandButton1" hidden="1">
          <a:extLst>
            <a:ext uri="{63B3BB69-23CF-44E3-9099-C40C66FF867C}">
              <a14:compatExt xmlns:a14="http://schemas.microsoft.com/office/drawing/2010/main" spid="_x0000_s11268"/>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oneCellAnchor>
    <xdr:from>
      <xdr:col>2</xdr:col>
      <xdr:colOff>485775</xdr:colOff>
      <xdr:row>356</xdr:row>
      <xdr:rowOff>0</xdr:rowOff>
    </xdr:from>
    <xdr:ext cx="1619250" cy="457200"/>
    <xdr:sp macro="" textlink="">
      <xdr:nvSpPr>
        <xdr:cNvPr id="11" name="CommandButton1" hidden="1">
          <a:extLst>
            <a:ext uri="{63B3BB69-23CF-44E3-9099-C40C66FF867C}">
              <a14:compatExt xmlns:a14="http://schemas.microsoft.com/office/drawing/2010/main" spid="_x0000_s11266"/>
            </a:ext>
          </a:extLst>
        </xdr:cNvPr>
        <xdr:cNvSpPr/>
      </xdr:nvSpPr>
      <xdr:spPr bwMode="auto">
        <a:xfrm>
          <a:off x="485775" y="44710350"/>
          <a:ext cx="1619250" cy="4572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twoCellAnchor editAs="oneCell">
    <xdr:from>
      <xdr:col>2</xdr:col>
      <xdr:colOff>542925</xdr:colOff>
      <xdr:row>353</xdr:row>
      <xdr:rowOff>238125</xdr:rowOff>
    </xdr:from>
    <xdr:to>
      <xdr:col>4</xdr:col>
      <xdr:colOff>647700</xdr:colOff>
      <xdr:row>355</xdr:row>
      <xdr:rowOff>180975</xdr:rowOff>
    </xdr:to>
    <xdr:sp macro="" textlink="">
      <xdr:nvSpPr>
        <xdr:cNvPr id="11269" name="CommandButton2" hidden="1">
          <a:extLst>
            <a:ext uri="{63B3BB69-23CF-44E3-9099-C40C66FF867C}">
              <a14:compatExt xmlns:a14="http://schemas.microsoft.com/office/drawing/2010/main" spid="_x0000_s1126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361950</xdr:colOff>
      <xdr:row>354</xdr:row>
      <xdr:rowOff>57150</xdr:rowOff>
    </xdr:from>
    <xdr:to>
      <xdr:col>1</xdr:col>
      <xdr:colOff>2266950</xdr:colOff>
      <xdr:row>356</xdr:row>
      <xdr:rowOff>9525</xdr:rowOff>
    </xdr:to>
    <xdr:sp macro="" textlink="">
      <xdr:nvSpPr>
        <xdr:cNvPr id="11271" name="CommandButton1" hidden="1">
          <a:extLst>
            <a:ext uri="{63B3BB69-23CF-44E3-9099-C40C66FF867C}">
              <a14:compatExt xmlns:a14="http://schemas.microsoft.com/office/drawing/2010/main" spid="_x0000_s11271"/>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4</xdr:col>
      <xdr:colOff>371475</xdr:colOff>
      <xdr:row>0</xdr:row>
      <xdr:rowOff>85726</xdr:rowOff>
    </xdr:from>
    <xdr:to>
      <xdr:col>6</xdr:col>
      <xdr:colOff>314325</xdr:colOff>
      <xdr:row>0</xdr:row>
      <xdr:rowOff>314326</xdr:rowOff>
    </xdr:to>
    <xdr:sp macro="" textlink="">
      <xdr:nvSpPr>
        <xdr:cNvPr id="21" name="Rectangle 20">
          <a:hlinkClick xmlns:r="http://schemas.openxmlformats.org/officeDocument/2006/relationships" r:id="rId5"/>
        </xdr:cNvPr>
        <xdr:cNvSpPr/>
      </xdr:nvSpPr>
      <xdr:spPr>
        <a:xfrm>
          <a:off x="4514850" y="85726"/>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START</a:t>
          </a:r>
          <a:endParaRPr lang="en-US" sz="1100">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76200</xdr:colOff>
          <xdr:row>358</xdr:row>
          <xdr:rowOff>38100</xdr:rowOff>
        </xdr:from>
        <xdr:to>
          <xdr:col>1</xdr:col>
          <xdr:colOff>2619375</xdr:colOff>
          <xdr:row>359</xdr:row>
          <xdr:rowOff>238125</xdr:rowOff>
        </xdr:to>
        <xdr:sp macro="" textlink="">
          <xdr:nvSpPr>
            <xdr:cNvPr id="11273" name="CommandButton1" hidden="1">
              <a:extLst>
                <a:ext uri="{63B3BB69-23CF-44E3-9099-C40C66FF867C}">
                  <a14:compatExt spid="_x0000_s112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360</xdr:row>
          <xdr:rowOff>38100</xdr:rowOff>
        </xdr:from>
        <xdr:to>
          <xdr:col>1</xdr:col>
          <xdr:colOff>2609850</xdr:colOff>
          <xdr:row>361</xdr:row>
          <xdr:rowOff>238125</xdr:rowOff>
        </xdr:to>
        <xdr:sp macro="" textlink="">
          <xdr:nvSpPr>
            <xdr:cNvPr id="11274" name="CommandButton2" hidden="1">
              <a:extLst>
                <a:ext uri="{63B3BB69-23CF-44E3-9099-C40C66FF867C}">
                  <a14:compatExt spid="_x0000_s112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xdr:row>
          <xdr:rowOff>57150</xdr:rowOff>
        </xdr:from>
        <xdr:to>
          <xdr:col>6</xdr:col>
          <xdr:colOff>695325</xdr:colOff>
          <xdr:row>11</xdr:row>
          <xdr:rowOff>190500</xdr:rowOff>
        </xdr:to>
        <xdr:sp macro="" textlink="">
          <xdr:nvSpPr>
            <xdr:cNvPr id="11276" name="CommandButton4" hidden="1">
              <a:extLst>
                <a:ext uri="{63B3BB69-23CF-44E3-9099-C40C66FF867C}">
                  <a14:compatExt spid="_x0000_s11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6</xdr:col>
      <xdr:colOff>542925</xdr:colOff>
      <xdr:row>353</xdr:row>
      <xdr:rowOff>238125</xdr:rowOff>
    </xdr:from>
    <xdr:ext cx="1533525" cy="438150"/>
    <xdr:sp macro="" textlink="">
      <xdr:nvSpPr>
        <xdr:cNvPr id="17" name="CommandButton2" hidden="1">
          <a:extLst>
            <a:ext uri="{63B3BB69-23CF-44E3-9099-C40C66FF867C}">
              <a14:compatExt xmlns:a14="http://schemas.microsoft.com/office/drawing/2010/main" spid="_x0000_s11269"/>
            </a:ext>
          </a:extLst>
        </xdr:cNvPr>
        <xdr:cNvSpPr/>
      </xdr:nvSpPr>
      <xdr:spPr bwMode="auto">
        <a:xfrm>
          <a:off x="3638550" y="80362425"/>
          <a:ext cx="1533525" cy="4381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542925</xdr:colOff>
      <xdr:row>353</xdr:row>
      <xdr:rowOff>238125</xdr:rowOff>
    </xdr:from>
    <xdr:ext cx="1533525" cy="438150"/>
    <xdr:sp macro="" textlink="">
      <xdr:nvSpPr>
        <xdr:cNvPr id="18" name="CommandButton2" hidden="1">
          <a:extLst>
            <a:ext uri="{63B3BB69-23CF-44E3-9099-C40C66FF867C}">
              <a14:compatExt xmlns:a14="http://schemas.microsoft.com/office/drawing/2010/main" spid="_x0000_s11269"/>
            </a:ext>
          </a:extLst>
        </xdr:cNvPr>
        <xdr:cNvSpPr/>
      </xdr:nvSpPr>
      <xdr:spPr bwMode="auto">
        <a:xfrm>
          <a:off x="6496050" y="80362425"/>
          <a:ext cx="1533525" cy="4381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14</xdr:col>
      <xdr:colOff>542925</xdr:colOff>
      <xdr:row>353</xdr:row>
      <xdr:rowOff>238125</xdr:rowOff>
    </xdr:from>
    <xdr:ext cx="1533525" cy="438150"/>
    <xdr:sp macro="" textlink="">
      <xdr:nvSpPr>
        <xdr:cNvPr id="19" name="CommandButton2" hidden="1">
          <a:extLst>
            <a:ext uri="{63B3BB69-23CF-44E3-9099-C40C66FF867C}">
              <a14:compatExt xmlns:a14="http://schemas.microsoft.com/office/drawing/2010/main" spid="_x0000_s11269"/>
            </a:ext>
          </a:extLst>
        </xdr:cNvPr>
        <xdr:cNvSpPr/>
      </xdr:nvSpPr>
      <xdr:spPr bwMode="auto">
        <a:xfrm>
          <a:off x="9353550" y="80362425"/>
          <a:ext cx="1533525" cy="4381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18</xdr:col>
      <xdr:colOff>542925</xdr:colOff>
      <xdr:row>353</xdr:row>
      <xdr:rowOff>238125</xdr:rowOff>
    </xdr:from>
    <xdr:ext cx="1533525" cy="438150"/>
    <xdr:sp macro="" textlink="">
      <xdr:nvSpPr>
        <xdr:cNvPr id="20" name="CommandButton2" hidden="1">
          <a:extLst>
            <a:ext uri="{63B3BB69-23CF-44E3-9099-C40C66FF867C}">
              <a14:compatExt xmlns:a14="http://schemas.microsoft.com/office/drawing/2010/main" spid="_x0000_s11269"/>
            </a:ext>
          </a:extLst>
        </xdr:cNvPr>
        <xdr:cNvSpPr/>
      </xdr:nvSpPr>
      <xdr:spPr bwMode="auto">
        <a:xfrm>
          <a:off x="12211050" y="80362425"/>
          <a:ext cx="1533525" cy="4381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22</xdr:col>
      <xdr:colOff>542925</xdr:colOff>
      <xdr:row>353</xdr:row>
      <xdr:rowOff>238125</xdr:rowOff>
    </xdr:from>
    <xdr:ext cx="1533525" cy="438150"/>
    <xdr:sp macro="" textlink="">
      <xdr:nvSpPr>
        <xdr:cNvPr id="22" name="CommandButton2" hidden="1">
          <a:extLst>
            <a:ext uri="{63B3BB69-23CF-44E3-9099-C40C66FF867C}">
              <a14:compatExt xmlns:a14="http://schemas.microsoft.com/office/drawing/2010/main" spid="_x0000_s11269"/>
            </a:ext>
          </a:extLst>
        </xdr:cNvPr>
        <xdr:cNvSpPr/>
      </xdr:nvSpPr>
      <xdr:spPr bwMode="auto">
        <a:xfrm>
          <a:off x="15068550" y="80362425"/>
          <a:ext cx="1533525" cy="4381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26</xdr:col>
      <xdr:colOff>542925</xdr:colOff>
      <xdr:row>353</xdr:row>
      <xdr:rowOff>238125</xdr:rowOff>
    </xdr:from>
    <xdr:ext cx="1533525" cy="438150"/>
    <xdr:sp macro="" textlink="">
      <xdr:nvSpPr>
        <xdr:cNvPr id="23" name="CommandButton2" hidden="1">
          <a:extLst>
            <a:ext uri="{63B3BB69-23CF-44E3-9099-C40C66FF867C}">
              <a14:compatExt xmlns:a14="http://schemas.microsoft.com/office/drawing/2010/main" spid="_x0000_s11269"/>
            </a:ext>
          </a:extLst>
        </xdr:cNvPr>
        <xdr:cNvSpPr/>
      </xdr:nvSpPr>
      <xdr:spPr bwMode="auto">
        <a:xfrm>
          <a:off x="15068550" y="80362425"/>
          <a:ext cx="1533525" cy="4381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542925</xdr:colOff>
      <xdr:row>353</xdr:row>
      <xdr:rowOff>238125</xdr:rowOff>
    </xdr:from>
    <xdr:ext cx="1533525" cy="438150"/>
    <xdr:sp macro="" textlink="">
      <xdr:nvSpPr>
        <xdr:cNvPr id="24" name="CommandButton2" hidden="1">
          <a:extLst>
            <a:ext uri="{63B3BB69-23CF-44E3-9099-C40C66FF867C}">
              <a14:compatExt xmlns:a14="http://schemas.microsoft.com/office/drawing/2010/main" spid="_x0000_s11269"/>
            </a:ext>
          </a:extLst>
        </xdr:cNvPr>
        <xdr:cNvSpPr/>
      </xdr:nvSpPr>
      <xdr:spPr bwMode="auto">
        <a:xfrm>
          <a:off x="20783550" y="80362425"/>
          <a:ext cx="1533525" cy="4381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2.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2.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2.bin"/><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omments" Target="../comments2.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8.xml"/><Relationship Id="rId13" Type="http://schemas.openxmlformats.org/officeDocument/2006/relationships/ctrlProp" Target="../ctrlProps/ctrlProp33.xml"/><Relationship Id="rId18" Type="http://schemas.openxmlformats.org/officeDocument/2006/relationships/ctrlProp" Target="../ctrlProps/ctrlProp38.xml"/><Relationship Id="rId26" Type="http://schemas.openxmlformats.org/officeDocument/2006/relationships/ctrlProp" Target="../ctrlProps/ctrlProp46.xml"/><Relationship Id="rId3" Type="http://schemas.openxmlformats.org/officeDocument/2006/relationships/vmlDrawing" Target="../drawings/vmlDrawing3.vml"/><Relationship Id="rId21" Type="http://schemas.openxmlformats.org/officeDocument/2006/relationships/ctrlProp" Target="../ctrlProps/ctrlProp41.xml"/><Relationship Id="rId34" Type="http://schemas.openxmlformats.org/officeDocument/2006/relationships/ctrlProp" Target="../ctrlProps/ctrlProp54.xml"/><Relationship Id="rId7" Type="http://schemas.openxmlformats.org/officeDocument/2006/relationships/ctrlProp" Target="../ctrlProps/ctrlProp27.xml"/><Relationship Id="rId12" Type="http://schemas.openxmlformats.org/officeDocument/2006/relationships/ctrlProp" Target="../ctrlProps/ctrlProp32.xml"/><Relationship Id="rId17" Type="http://schemas.openxmlformats.org/officeDocument/2006/relationships/ctrlProp" Target="../ctrlProps/ctrlProp37.xml"/><Relationship Id="rId25" Type="http://schemas.openxmlformats.org/officeDocument/2006/relationships/ctrlProp" Target="../ctrlProps/ctrlProp45.xml"/><Relationship Id="rId33" Type="http://schemas.openxmlformats.org/officeDocument/2006/relationships/ctrlProp" Target="../ctrlProps/ctrlProp53.xml"/><Relationship Id="rId2" Type="http://schemas.openxmlformats.org/officeDocument/2006/relationships/drawing" Target="../drawings/drawing3.xml"/><Relationship Id="rId16" Type="http://schemas.openxmlformats.org/officeDocument/2006/relationships/ctrlProp" Target="../ctrlProps/ctrlProp36.xml"/><Relationship Id="rId20" Type="http://schemas.openxmlformats.org/officeDocument/2006/relationships/ctrlProp" Target="../ctrlProps/ctrlProp40.xml"/><Relationship Id="rId29" Type="http://schemas.openxmlformats.org/officeDocument/2006/relationships/ctrlProp" Target="../ctrlProps/ctrlProp49.xml"/><Relationship Id="rId1" Type="http://schemas.openxmlformats.org/officeDocument/2006/relationships/printerSettings" Target="../printerSettings/printerSettings3.bin"/><Relationship Id="rId6" Type="http://schemas.openxmlformats.org/officeDocument/2006/relationships/ctrlProp" Target="../ctrlProps/ctrlProp26.xml"/><Relationship Id="rId11" Type="http://schemas.openxmlformats.org/officeDocument/2006/relationships/ctrlProp" Target="../ctrlProps/ctrlProp31.xml"/><Relationship Id="rId24" Type="http://schemas.openxmlformats.org/officeDocument/2006/relationships/ctrlProp" Target="../ctrlProps/ctrlProp44.xml"/><Relationship Id="rId32" Type="http://schemas.openxmlformats.org/officeDocument/2006/relationships/ctrlProp" Target="../ctrlProps/ctrlProp52.xml"/><Relationship Id="rId5" Type="http://schemas.openxmlformats.org/officeDocument/2006/relationships/ctrlProp" Target="../ctrlProps/ctrlProp25.xml"/><Relationship Id="rId15" Type="http://schemas.openxmlformats.org/officeDocument/2006/relationships/ctrlProp" Target="../ctrlProps/ctrlProp35.xml"/><Relationship Id="rId23" Type="http://schemas.openxmlformats.org/officeDocument/2006/relationships/ctrlProp" Target="../ctrlProps/ctrlProp43.xml"/><Relationship Id="rId28" Type="http://schemas.openxmlformats.org/officeDocument/2006/relationships/ctrlProp" Target="../ctrlProps/ctrlProp48.xml"/><Relationship Id="rId10" Type="http://schemas.openxmlformats.org/officeDocument/2006/relationships/ctrlProp" Target="../ctrlProps/ctrlProp30.xml"/><Relationship Id="rId19" Type="http://schemas.openxmlformats.org/officeDocument/2006/relationships/ctrlProp" Target="../ctrlProps/ctrlProp39.xml"/><Relationship Id="rId31" Type="http://schemas.openxmlformats.org/officeDocument/2006/relationships/ctrlProp" Target="../ctrlProps/ctrlProp51.xml"/><Relationship Id="rId4" Type="http://schemas.openxmlformats.org/officeDocument/2006/relationships/ctrlProp" Target="../ctrlProps/ctrlProp24.xml"/><Relationship Id="rId9" Type="http://schemas.openxmlformats.org/officeDocument/2006/relationships/ctrlProp" Target="../ctrlProps/ctrlProp29.xml"/><Relationship Id="rId14" Type="http://schemas.openxmlformats.org/officeDocument/2006/relationships/ctrlProp" Target="../ctrlProps/ctrlProp34.xml"/><Relationship Id="rId22" Type="http://schemas.openxmlformats.org/officeDocument/2006/relationships/ctrlProp" Target="../ctrlProps/ctrlProp42.xml"/><Relationship Id="rId27" Type="http://schemas.openxmlformats.org/officeDocument/2006/relationships/ctrlProp" Target="../ctrlProps/ctrlProp47.xml"/><Relationship Id="rId30" Type="http://schemas.openxmlformats.org/officeDocument/2006/relationships/ctrlProp" Target="../ctrlProps/ctrlProp50.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77.xml"/><Relationship Id="rId21" Type="http://schemas.openxmlformats.org/officeDocument/2006/relationships/ctrlProp" Target="../ctrlProps/ctrlProp72.xml"/><Relationship Id="rId42" Type="http://schemas.openxmlformats.org/officeDocument/2006/relationships/ctrlProp" Target="../ctrlProps/ctrlProp93.xml"/><Relationship Id="rId47" Type="http://schemas.openxmlformats.org/officeDocument/2006/relationships/ctrlProp" Target="../ctrlProps/ctrlProp98.xml"/><Relationship Id="rId63" Type="http://schemas.openxmlformats.org/officeDocument/2006/relationships/ctrlProp" Target="../ctrlProps/ctrlProp114.xml"/><Relationship Id="rId68" Type="http://schemas.openxmlformats.org/officeDocument/2006/relationships/ctrlProp" Target="../ctrlProps/ctrlProp119.xml"/><Relationship Id="rId84" Type="http://schemas.openxmlformats.org/officeDocument/2006/relationships/ctrlProp" Target="../ctrlProps/ctrlProp135.xml"/><Relationship Id="rId89" Type="http://schemas.openxmlformats.org/officeDocument/2006/relationships/ctrlProp" Target="../ctrlProps/ctrlProp140.xml"/><Relationship Id="rId112" Type="http://schemas.openxmlformats.org/officeDocument/2006/relationships/ctrlProp" Target="../ctrlProps/ctrlProp163.xml"/><Relationship Id="rId16" Type="http://schemas.openxmlformats.org/officeDocument/2006/relationships/ctrlProp" Target="../ctrlProps/ctrlProp67.xml"/><Relationship Id="rId107" Type="http://schemas.openxmlformats.org/officeDocument/2006/relationships/ctrlProp" Target="../ctrlProps/ctrlProp158.xml"/><Relationship Id="rId11" Type="http://schemas.openxmlformats.org/officeDocument/2006/relationships/ctrlProp" Target="../ctrlProps/ctrlProp62.xml"/><Relationship Id="rId24" Type="http://schemas.openxmlformats.org/officeDocument/2006/relationships/ctrlProp" Target="../ctrlProps/ctrlProp75.xml"/><Relationship Id="rId32" Type="http://schemas.openxmlformats.org/officeDocument/2006/relationships/ctrlProp" Target="../ctrlProps/ctrlProp83.xml"/><Relationship Id="rId37" Type="http://schemas.openxmlformats.org/officeDocument/2006/relationships/ctrlProp" Target="../ctrlProps/ctrlProp88.xml"/><Relationship Id="rId40" Type="http://schemas.openxmlformats.org/officeDocument/2006/relationships/ctrlProp" Target="../ctrlProps/ctrlProp91.xml"/><Relationship Id="rId45" Type="http://schemas.openxmlformats.org/officeDocument/2006/relationships/ctrlProp" Target="../ctrlProps/ctrlProp96.xml"/><Relationship Id="rId53" Type="http://schemas.openxmlformats.org/officeDocument/2006/relationships/ctrlProp" Target="../ctrlProps/ctrlProp104.xml"/><Relationship Id="rId58" Type="http://schemas.openxmlformats.org/officeDocument/2006/relationships/ctrlProp" Target="../ctrlProps/ctrlProp109.xml"/><Relationship Id="rId66" Type="http://schemas.openxmlformats.org/officeDocument/2006/relationships/ctrlProp" Target="../ctrlProps/ctrlProp117.xml"/><Relationship Id="rId74" Type="http://schemas.openxmlformats.org/officeDocument/2006/relationships/ctrlProp" Target="../ctrlProps/ctrlProp125.xml"/><Relationship Id="rId79" Type="http://schemas.openxmlformats.org/officeDocument/2006/relationships/ctrlProp" Target="../ctrlProps/ctrlProp130.xml"/><Relationship Id="rId87" Type="http://schemas.openxmlformats.org/officeDocument/2006/relationships/ctrlProp" Target="../ctrlProps/ctrlProp138.xml"/><Relationship Id="rId102" Type="http://schemas.openxmlformats.org/officeDocument/2006/relationships/ctrlProp" Target="../ctrlProps/ctrlProp153.xml"/><Relationship Id="rId110" Type="http://schemas.openxmlformats.org/officeDocument/2006/relationships/ctrlProp" Target="../ctrlProps/ctrlProp161.xml"/><Relationship Id="rId115" Type="http://schemas.openxmlformats.org/officeDocument/2006/relationships/ctrlProp" Target="../ctrlProps/ctrlProp166.xml"/><Relationship Id="rId5" Type="http://schemas.openxmlformats.org/officeDocument/2006/relationships/ctrlProp" Target="../ctrlProps/ctrlProp56.xml"/><Relationship Id="rId61" Type="http://schemas.openxmlformats.org/officeDocument/2006/relationships/ctrlProp" Target="../ctrlProps/ctrlProp112.xml"/><Relationship Id="rId82" Type="http://schemas.openxmlformats.org/officeDocument/2006/relationships/ctrlProp" Target="../ctrlProps/ctrlProp133.xml"/><Relationship Id="rId90" Type="http://schemas.openxmlformats.org/officeDocument/2006/relationships/ctrlProp" Target="../ctrlProps/ctrlProp141.xml"/><Relationship Id="rId95" Type="http://schemas.openxmlformats.org/officeDocument/2006/relationships/ctrlProp" Target="../ctrlProps/ctrlProp146.xml"/><Relationship Id="rId19" Type="http://schemas.openxmlformats.org/officeDocument/2006/relationships/ctrlProp" Target="../ctrlProps/ctrlProp70.xml"/><Relationship Id="rId14" Type="http://schemas.openxmlformats.org/officeDocument/2006/relationships/ctrlProp" Target="../ctrlProps/ctrlProp65.xml"/><Relationship Id="rId22" Type="http://schemas.openxmlformats.org/officeDocument/2006/relationships/ctrlProp" Target="../ctrlProps/ctrlProp73.xml"/><Relationship Id="rId27" Type="http://schemas.openxmlformats.org/officeDocument/2006/relationships/ctrlProp" Target="../ctrlProps/ctrlProp78.xml"/><Relationship Id="rId30" Type="http://schemas.openxmlformats.org/officeDocument/2006/relationships/ctrlProp" Target="../ctrlProps/ctrlProp81.xml"/><Relationship Id="rId35" Type="http://schemas.openxmlformats.org/officeDocument/2006/relationships/ctrlProp" Target="../ctrlProps/ctrlProp86.xml"/><Relationship Id="rId43" Type="http://schemas.openxmlformats.org/officeDocument/2006/relationships/ctrlProp" Target="../ctrlProps/ctrlProp94.xml"/><Relationship Id="rId48" Type="http://schemas.openxmlformats.org/officeDocument/2006/relationships/ctrlProp" Target="../ctrlProps/ctrlProp99.xml"/><Relationship Id="rId56" Type="http://schemas.openxmlformats.org/officeDocument/2006/relationships/ctrlProp" Target="../ctrlProps/ctrlProp107.xml"/><Relationship Id="rId64" Type="http://schemas.openxmlformats.org/officeDocument/2006/relationships/ctrlProp" Target="../ctrlProps/ctrlProp115.xml"/><Relationship Id="rId69" Type="http://schemas.openxmlformats.org/officeDocument/2006/relationships/ctrlProp" Target="../ctrlProps/ctrlProp120.xml"/><Relationship Id="rId77" Type="http://schemas.openxmlformats.org/officeDocument/2006/relationships/ctrlProp" Target="../ctrlProps/ctrlProp128.xml"/><Relationship Id="rId100" Type="http://schemas.openxmlformats.org/officeDocument/2006/relationships/ctrlProp" Target="../ctrlProps/ctrlProp151.xml"/><Relationship Id="rId105" Type="http://schemas.openxmlformats.org/officeDocument/2006/relationships/ctrlProp" Target="../ctrlProps/ctrlProp156.xml"/><Relationship Id="rId113" Type="http://schemas.openxmlformats.org/officeDocument/2006/relationships/ctrlProp" Target="../ctrlProps/ctrlProp164.xml"/><Relationship Id="rId8" Type="http://schemas.openxmlformats.org/officeDocument/2006/relationships/ctrlProp" Target="../ctrlProps/ctrlProp59.xml"/><Relationship Id="rId51" Type="http://schemas.openxmlformats.org/officeDocument/2006/relationships/ctrlProp" Target="../ctrlProps/ctrlProp102.xml"/><Relationship Id="rId72" Type="http://schemas.openxmlformats.org/officeDocument/2006/relationships/ctrlProp" Target="../ctrlProps/ctrlProp123.xml"/><Relationship Id="rId80" Type="http://schemas.openxmlformats.org/officeDocument/2006/relationships/ctrlProp" Target="../ctrlProps/ctrlProp131.xml"/><Relationship Id="rId85" Type="http://schemas.openxmlformats.org/officeDocument/2006/relationships/ctrlProp" Target="../ctrlProps/ctrlProp136.xml"/><Relationship Id="rId93" Type="http://schemas.openxmlformats.org/officeDocument/2006/relationships/ctrlProp" Target="../ctrlProps/ctrlProp144.xml"/><Relationship Id="rId98" Type="http://schemas.openxmlformats.org/officeDocument/2006/relationships/ctrlProp" Target="../ctrlProps/ctrlProp149.xml"/><Relationship Id="rId3" Type="http://schemas.openxmlformats.org/officeDocument/2006/relationships/vmlDrawing" Target="../drawings/vmlDrawing4.vml"/><Relationship Id="rId12" Type="http://schemas.openxmlformats.org/officeDocument/2006/relationships/ctrlProp" Target="../ctrlProps/ctrlProp63.xml"/><Relationship Id="rId17" Type="http://schemas.openxmlformats.org/officeDocument/2006/relationships/ctrlProp" Target="../ctrlProps/ctrlProp68.xml"/><Relationship Id="rId25" Type="http://schemas.openxmlformats.org/officeDocument/2006/relationships/ctrlProp" Target="../ctrlProps/ctrlProp76.xml"/><Relationship Id="rId33" Type="http://schemas.openxmlformats.org/officeDocument/2006/relationships/ctrlProp" Target="../ctrlProps/ctrlProp84.xml"/><Relationship Id="rId38" Type="http://schemas.openxmlformats.org/officeDocument/2006/relationships/ctrlProp" Target="../ctrlProps/ctrlProp89.xml"/><Relationship Id="rId46" Type="http://schemas.openxmlformats.org/officeDocument/2006/relationships/ctrlProp" Target="../ctrlProps/ctrlProp97.xml"/><Relationship Id="rId59" Type="http://schemas.openxmlformats.org/officeDocument/2006/relationships/ctrlProp" Target="../ctrlProps/ctrlProp110.xml"/><Relationship Id="rId67" Type="http://schemas.openxmlformats.org/officeDocument/2006/relationships/ctrlProp" Target="../ctrlProps/ctrlProp118.xml"/><Relationship Id="rId103" Type="http://schemas.openxmlformats.org/officeDocument/2006/relationships/ctrlProp" Target="../ctrlProps/ctrlProp154.xml"/><Relationship Id="rId108" Type="http://schemas.openxmlformats.org/officeDocument/2006/relationships/ctrlProp" Target="../ctrlProps/ctrlProp159.xml"/><Relationship Id="rId20" Type="http://schemas.openxmlformats.org/officeDocument/2006/relationships/ctrlProp" Target="../ctrlProps/ctrlProp71.xml"/><Relationship Id="rId41" Type="http://schemas.openxmlformats.org/officeDocument/2006/relationships/ctrlProp" Target="../ctrlProps/ctrlProp92.xml"/><Relationship Id="rId54" Type="http://schemas.openxmlformats.org/officeDocument/2006/relationships/ctrlProp" Target="../ctrlProps/ctrlProp105.xml"/><Relationship Id="rId62" Type="http://schemas.openxmlformats.org/officeDocument/2006/relationships/ctrlProp" Target="../ctrlProps/ctrlProp113.xml"/><Relationship Id="rId70" Type="http://schemas.openxmlformats.org/officeDocument/2006/relationships/ctrlProp" Target="../ctrlProps/ctrlProp121.xml"/><Relationship Id="rId75" Type="http://schemas.openxmlformats.org/officeDocument/2006/relationships/ctrlProp" Target="../ctrlProps/ctrlProp126.xml"/><Relationship Id="rId83" Type="http://schemas.openxmlformats.org/officeDocument/2006/relationships/ctrlProp" Target="../ctrlProps/ctrlProp134.xml"/><Relationship Id="rId88" Type="http://schemas.openxmlformats.org/officeDocument/2006/relationships/ctrlProp" Target="../ctrlProps/ctrlProp139.xml"/><Relationship Id="rId91" Type="http://schemas.openxmlformats.org/officeDocument/2006/relationships/ctrlProp" Target="../ctrlProps/ctrlProp142.xml"/><Relationship Id="rId96" Type="http://schemas.openxmlformats.org/officeDocument/2006/relationships/ctrlProp" Target="../ctrlProps/ctrlProp147.xml"/><Relationship Id="rId111" Type="http://schemas.openxmlformats.org/officeDocument/2006/relationships/ctrlProp" Target="../ctrlProps/ctrlProp162.xml"/><Relationship Id="rId1" Type="http://schemas.openxmlformats.org/officeDocument/2006/relationships/printerSettings" Target="../printerSettings/printerSettings4.bin"/><Relationship Id="rId6" Type="http://schemas.openxmlformats.org/officeDocument/2006/relationships/ctrlProp" Target="../ctrlProps/ctrlProp57.xml"/><Relationship Id="rId15" Type="http://schemas.openxmlformats.org/officeDocument/2006/relationships/ctrlProp" Target="../ctrlProps/ctrlProp66.xml"/><Relationship Id="rId23" Type="http://schemas.openxmlformats.org/officeDocument/2006/relationships/ctrlProp" Target="../ctrlProps/ctrlProp74.xml"/><Relationship Id="rId28" Type="http://schemas.openxmlformats.org/officeDocument/2006/relationships/ctrlProp" Target="../ctrlProps/ctrlProp79.xml"/><Relationship Id="rId36" Type="http://schemas.openxmlformats.org/officeDocument/2006/relationships/ctrlProp" Target="../ctrlProps/ctrlProp87.xml"/><Relationship Id="rId49" Type="http://schemas.openxmlformats.org/officeDocument/2006/relationships/ctrlProp" Target="../ctrlProps/ctrlProp100.xml"/><Relationship Id="rId57" Type="http://schemas.openxmlformats.org/officeDocument/2006/relationships/ctrlProp" Target="../ctrlProps/ctrlProp108.xml"/><Relationship Id="rId106" Type="http://schemas.openxmlformats.org/officeDocument/2006/relationships/ctrlProp" Target="../ctrlProps/ctrlProp157.xml"/><Relationship Id="rId114" Type="http://schemas.openxmlformats.org/officeDocument/2006/relationships/ctrlProp" Target="../ctrlProps/ctrlProp165.xml"/><Relationship Id="rId10" Type="http://schemas.openxmlformats.org/officeDocument/2006/relationships/ctrlProp" Target="../ctrlProps/ctrlProp61.xml"/><Relationship Id="rId31" Type="http://schemas.openxmlformats.org/officeDocument/2006/relationships/ctrlProp" Target="../ctrlProps/ctrlProp82.xml"/><Relationship Id="rId44" Type="http://schemas.openxmlformats.org/officeDocument/2006/relationships/ctrlProp" Target="../ctrlProps/ctrlProp95.xml"/><Relationship Id="rId52" Type="http://schemas.openxmlformats.org/officeDocument/2006/relationships/ctrlProp" Target="../ctrlProps/ctrlProp103.xml"/><Relationship Id="rId60" Type="http://schemas.openxmlformats.org/officeDocument/2006/relationships/ctrlProp" Target="../ctrlProps/ctrlProp111.xml"/><Relationship Id="rId65" Type="http://schemas.openxmlformats.org/officeDocument/2006/relationships/ctrlProp" Target="../ctrlProps/ctrlProp116.xml"/><Relationship Id="rId73" Type="http://schemas.openxmlformats.org/officeDocument/2006/relationships/ctrlProp" Target="../ctrlProps/ctrlProp124.xml"/><Relationship Id="rId78" Type="http://schemas.openxmlformats.org/officeDocument/2006/relationships/ctrlProp" Target="../ctrlProps/ctrlProp129.xml"/><Relationship Id="rId81" Type="http://schemas.openxmlformats.org/officeDocument/2006/relationships/ctrlProp" Target="../ctrlProps/ctrlProp132.xml"/><Relationship Id="rId86" Type="http://schemas.openxmlformats.org/officeDocument/2006/relationships/ctrlProp" Target="../ctrlProps/ctrlProp137.xml"/><Relationship Id="rId94" Type="http://schemas.openxmlformats.org/officeDocument/2006/relationships/ctrlProp" Target="../ctrlProps/ctrlProp145.xml"/><Relationship Id="rId99" Type="http://schemas.openxmlformats.org/officeDocument/2006/relationships/ctrlProp" Target="../ctrlProps/ctrlProp150.xml"/><Relationship Id="rId101" Type="http://schemas.openxmlformats.org/officeDocument/2006/relationships/ctrlProp" Target="../ctrlProps/ctrlProp152.xml"/><Relationship Id="rId4" Type="http://schemas.openxmlformats.org/officeDocument/2006/relationships/ctrlProp" Target="../ctrlProps/ctrlProp55.xml"/><Relationship Id="rId9" Type="http://schemas.openxmlformats.org/officeDocument/2006/relationships/ctrlProp" Target="../ctrlProps/ctrlProp60.xml"/><Relationship Id="rId13" Type="http://schemas.openxmlformats.org/officeDocument/2006/relationships/ctrlProp" Target="../ctrlProps/ctrlProp64.xml"/><Relationship Id="rId18" Type="http://schemas.openxmlformats.org/officeDocument/2006/relationships/ctrlProp" Target="../ctrlProps/ctrlProp69.xml"/><Relationship Id="rId39" Type="http://schemas.openxmlformats.org/officeDocument/2006/relationships/ctrlProp" Target="../ctrlProps/ctrlProp90.xml"/><Relationship Id="rId109" Type="http://schemas.openxmlformats.org/officeDocument/2006/relationships/ctrlProp" Target="../ctrlProps/ctrlProp160.xml"/><Relationship Id="rId34" Type="http://schemas.openxmlformats.org/officeDocument/2006/relationships/ctrlProp" Target="../ctrlProps/ctrlProp85.xml"/><Relationship Id="rId50" Type="http://schemas.openxmlformats.org/officeDocument/2006/relationships/ctrlProp" Target="../ctrlProps/ctrlProp101.xml"/><Relationship Id="rId55" Type="http://schemas.openxmlformats.org/officeDocument/2006/relationships/ctrlProp" Target="../ctrlProps/ctrlProp106.xml"/><Relationship Id="rId76" Type="http://schemas.openxmlformats.org/officeDocument/2006/relationships/ctrlProp" Target="../ctrlProps/ctrlProp127.xml"/><Relationship Id="rId97" Type="http://schemas.openxmlformats.org/officeDocument/2006/relationships/ctrlProp" Target="../ctrlProps/ctrlProp148.xml"/><Relationship Id="rId104" Type="http://schemas.openxmlformats.org/officeDocument/2006/relationships/ctrlProp" Target="../ctrlProps/ctrlProp155.xml"/><Relationship Id="rId7" Type="http://schemas.openxmlformats.org/officeDocument/2006/relationships/ctrlProp" Target="../ctrlProps/ctrlProp58.xml"/><Relationship Id="rId71" Type="http://schemas.openxmlformats.org/officeDocument/2006/relationships/ctrlProp" Target="../ctrlProps/ctrlProp122.xml"/><Relationship Id="rId92" Type="http://schemas.openxmlformats.org/officeDocument/2006/relationships/ctrlProp" Target="../ctrlProps/ctrlProp143.xml"/><Relationship Id="rId2" Type="http://schemas.openxmlformats.org/officeDocument/2006/relationships/drawing" Target="../drawings/drawing4.xml"/><Relationship Id="rId29" Type="http://schemas.openxmlformats.org/officeDocument/2006/relationships/ctrlProp" Target="../ctrlProps/ctrlProp80.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6.xml"/><Relationship Id="rId7" Type="http://schemas.openxmlformats.org/officeDocument/2006/relationships/control" Target="../activeX/activeX2.xml"/><Relationship Id="rId2" Type="http://schemas.openxmlformats.org/officeDocument/2006/relationships/printerSettings" Target="../printerSettings/printerSettings6.bin"/><Relationship Id="rId1" Type="http://schemas.openxmlformats.org/officeDocument/2006/relationships/hyperlink" Target="https://github.com/QGasSP/ggia-backend/tree/main/CSVfiles" TargetMode="External"/><Relationship Id="rId6" Type="http://schemas.openxmlformats.org/officeDocument/2006/relationships/image" Target="../media/image1.emf"/><Relationship Id="rId11" Type="http://schemas.openxmlformats.org/officeDocument/2006/relationships/ctrlProp" Target="../ctrlProps/ctrlProp167.xml"/><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5.vml"/><Relationship Id="rId9" Type="http://schemas.openxmlformats.org/officeDocument/2006/relationships/control" Target="../activeX/activeX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B1:L9"/>
  <sheetViews>
    <sheetView zoomScaleNormal="100" workbookViewId="0"/>
  </sheetViews>
  <sheetFormatPr defaultRowHeight="20.100000000000001" customHeight="1"/>
  <cols>
    <col min="1" max="1" width="4.7109375" style="3" customWidth="1"/>
    <col min="2" max="2" width="30.7109375" style="3" customWidth="1"/>
    <col min="3" max="5" width="20.7109375" style="3" customWidth="1"/>
    <col min="6" max="16384" width="9.140625" style="3"/>
  </cols>
  <sheetData>
    <row r="1" spans="2:12" s="2" customFormat="1" ht="30" customHeight="1">
      <c r="B1" s="1" t="s">
        <v>1135</v>
      </c>
    </row>
    <row r="2" spans="2:12" ht="20.100000000000001" customHeight="1">
      <c r="B2" s="5" t="s">
        <v>94</v>
      </c>
      <c r="C2" s="708">
        <v>1</v>
      </c>
      <c r="D2" s="708"/>
      <c r="E2" s="708"/>
      <c r="F2" s="4"/>
      <c r="G2" s="708"/>
      <c r="H2" s="708"/>
      <c r="I2" s="708"/>
      <c r="J2" s="708"/>
      <c r="K2" s="708"/>
      <c r="L2" s="708"/>
    </row>
    <row r="3" spans="2:12" ht="20.100000000000001" customHeight="1">
      <c r="B3" s="13" t="s">
        <v>33</v>
      </c>
      <c r="C3" s="5">
        <v>26</v>
      </c>
      <c r="D3" s="930" t="str">
        <f>IF(C3=33,"Select local dataset","Not active")</f>
        <v>Not active</v>
      </c>
      <c r="E3" s="708">
        <v>4</v>
      </c>
      <c r="F3" s="5"/>
      <c r="G3" s="708"/>
      <c r="H3" s="708"/>
      <c r="I3" s="708"/>
      <c r="J3" s="708"/>
      <c r="K3" s="708"/>
      <c r="L3" s="708"/>
    </row>
    <row r="4" spans="2:12" ht="20.100000000000001" customHeight="1">
      <c r="B4" s="13" t="s">
        <v>31</v>
      </c>
      <c r="C4" s="931">
        <v>194942</v>
      </c>
      <c r="F4" s="708"/>
      <c r="G4" s="708"/>
      <c r="H4" s="708"/>
      <c r="I4" s="708"/>
      <c r="J4" s="708"/>
      <c r="K4" s="708"/>
      <c r="L4" s="708"/>
    </row>
    <row r="5" spans="2:12" ht="20.100000000000001" customHeight="1">
      <c r="B5" s="52"/>
      <c r="C5" s="708"/>
      <c r="F5" s="708"/>
      <c r="G5" s="708"/>
      <c r="H5" s="708"/>
      <c r="I5" s="708"/>
      <c r="J5" s="708"/>
      <c r="K5" s="708"/>
      <c r="L5" s="708"/>
    </row>
    <row r="6" spans="2:12" ht="20.100000000000001" customHeight="1">
      <c r="B6" s="5" t="s">
        <v>3066</v>
      </c>
      <c r="C6" s="708"/>
    </row>
    <row r="7" spans="2:12" ht="20.100000000000001" customHeight="1">
      <c r="B7" s="5" t="s">
        <v>3061</v>
      </c>
      <c r="C7" s="1141" t="str">
        <f>IF(INDEX('DEFAULT DATA'!$B$9:$B$41,$C$3,1)="","",INDEX('DEFAULT DATA'!$B$9:$B$41,$C$3,1))</f>
        <v>QGasSP</v>
      </c>
      <c r="F7" s="7"/>
    </row>
    <row r="8" spans="2:12" ht="20.100000000000001" customHeight="1">
      <c r="B8" s="5" t="s">
        <v>3065</v>
      </c>
      <c r="C8" s="1141">
        <f>IF(INDEX('DEFAULT DATA'!$B$9:$D$41,$C$3,2)="","",INDEX('DEFAULT DATA'!$B$9:$D$41,$C$3,2))</f>
        <v>2022</v>
      </c>
    </row>
    <row r="9" spans="2:12" ht="20.100000000000001" customHeight="1">
      <c r="B9" s="5" t="s">
        <v>3062</v>
      </c>
      <c r="C9" s="1141" t="str">
        <f>IF(INDEX('DEFAULT DATA'!$B$9:$D$41,$C$3,3)="","",INDEX('DEFAULT DATA'!$B$9:$D$41,$C$3,3))</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Drop Down 2">
              <controlPr defaultSize="0" autoLine="0" autoPict="0">
                <anchor moveWithCells="1">
                  <from>
                    <xdr:col>2</xdr:col>
                    <xdr:colOff>9525</xdr:colOff>
                    <xdr:row>2</xdr:row>
                    <xdr:rowOff>9525</xdr:rowOff>
                  </from>
                  <to>
                    <xdr:col>3</xdr:col>
                    <xdr:colOff>0</xdr:colOff>
                    <xdr:row>2</xdr:row>
                    <xdr:rowOff>238125</xdr:rowOff>
                  </to>
                </anchor>
              </controlPr>
            </control>
          </mc:Choice>
        </mc:AlternateContent>
        <mc:AlternateContent xmlns:mc="http://schemas.openxmlformats.org/markup-compatibility/2006">
          <mc:Choice Requires="x14">
            <control shapeId="8195" r:id="rId5" name="Drop Down 3">
              <controlPr defaultSize="0" autoLine="0" autoPict="0">
                <anchor moveWithCells="1">
                  <from>
                    <xdr:col>2</xdr:col>
                    <xdr:colOff>9525</xdr:colOff>
                    <xdr:row>1</xdr:row>
                    <xdr:rowOff>9525</xdr:rowOff>
                  </from>
                  <to>
                    <xdr:col>3</xdr:col>
                    <xdr:colOff>0</xdr:colOff>
                    <xdr:row>1</xdr:row>
                    <xdr:rowOff>238125</xdr:rowOff>
                  </to>
                </anchor>
              </controlPr>
            </control>
          </mc:Choice>
        </mc:AlternateContent>
        <mc:AlternateContent xmlns:mc="http://schemas.openxmlformats.org/markup-compatibility/2006">
          <mc:Choice Requires="x14">
            <control shapeId="8198" r:id="rId6" name="Drop Down 6">
              <controlPr defaultSize="0" autoLine="0" autoPict="0">
                <anchor moveWithCells="1">
                  <from>
                    <xdr:col>4</xdr:col>
                    <xdr:colOff>9525</xdr:colOff>
                    <xdr:row>2</xdr:row>
                    <xdr:rowOff>9525</xdr:rowOff>
                  </from>
                  <to>
                    <xdr:col>5</xdr:col>
                    <xdr:colOff>0</xdr:colOff>
                    <xdr:row>2</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ul1">
    <tabColor theme="5"/>
  </sheetPr>
  <dimension ref="A1:BN655"/>
  <sheetViews>
    <sheetView showGridLines="0" showRowColHeaders="0" zoomScaleNormal="100" zoomScaleSheetLayoutView="100" workbookViewId="0">
      <pane ySplit="2" topLeftCell="A213" activePane="bottomLeft" state="frozen"/>
      <selection pane="bottomLeft"/>
    </sheetView>
  </sheetViews>
  <sheetFormatPr defaultRowHeight="20.100000000000001" customHeight="1" outlineLevelRow="1"/>
  <cols>
    <col min="1" max="1" width="4.7109375" style="3" customWidth="1"/>
    <col min="2" max="11" width="12.7109375" style="3" customWidth="1"/>
    <col min="12" max="17" width="10.7109375" style="3" customWidth="1"/>
    <col min="18" max="18" width="100.7109375" style="3" customWidth="1"/>
    <col min="19" max="19" width="30.7109375" style="3" customWidth="1"/>
    <col min="20" max="20" width="65.7109375" style="3" customWidth="1"/>
    <col min="21" max="84" width="13.7109375" style="3" customWidth="1"/>
    <col min="85" max="16384" width="9.140625" style="3"/>
  </cols>
  <sheetData>
    <row r="1" spans="1:55" s="8" customFormat="1" ht="30" customHeight="1" thickBot="1">
      <c r="B1" s="39" t="s">
        <v>187</v>
      </c>
      <c r="C1" s="39"/>
      <c r="D1" s="39"/>
      <c r="E1" s="39"/>
      <c r="G1" s="2"/>
      <c r="H1" s="2"/>
      <c r="I1" s="2"/>
      <c r="J1" s="2"/>
      <c r="K1" s="2"/>
      <c r="L1" s="2"/>
      <c r="M1" s="2"/>
      <c r="N1" s="2"/>
      <c r="O1" s="2"/>
      <c r="P1" s="2"/>
      <c r="Q1" s="2"/>
      <c r="R1" s="2"/>
      <c r="S1" s="2"/>
      <c r="T1" s="2"/>
      <c r="U1" s="2"/>
      <c r="V1" s="2"/>
      <c r="W1" s="2"/>
      <c r="X1" s="2"/>
      <c r="Y1" s="2"/>
      <c r="Z1" s="2"/>
      <c r="AA1" s="2"/>
      <c r="AB1" s="2"/>
    </row>
    <row r="2" spans="1:55" s="892" customFormat="1" ht="249.95" hidden="1" customHeight="1" outlineLevel="1" thickBot="1">
      <c r="B2" s="893"/>
      <c r="C2" s="893"/>
      <c r="D2" s="893"/>
      <c r="E2" s="893"/>
      <c r="G2" s="639"/>
      <c r="H2" s="639"/>
      <c r="I2" s="639"/>
      <c r="J2" s="639"/>
      <c r="K2" s="639"/>
      <c r="L2" s="639"/>
      <c r="M2" s="639"/>
      <c r="N2" s="639"/>
      <c r="O2" s="639"/>
      <c r="P2" s="639"/>
      <c r="Q2" s="639"/>
      <c r="R2" s="639"/>
      <c r="S2" s="639"/>
      <c r="T2" s="639"/>
      <c r="U2" s="639"/>
      <c r="V2" s="639"/>
      <c r="W2" s="639"/>
      <c r="X2" s="639"/>
      <c r="Y2" s="639"/>
      <c r="Z2" s="639"/>
      <c r="AA2" s="639"/>
      <c r="AB2" s="639"/>
    </row>
    <row r="3" spans="1:55" s="234" customFormat="1" ht="30" customHeight="1" collapsed="1" thickBot="1">
      <c r="A3" s="751"/>
      <c r="B3" s="713" t="s">
        <v>34</v>
      </c>
      <c r="C3" s="713"/>
      <c r="D3" s="713"/>
      <c r="E3" s="713"/>
      <c r="F3" s="713"/>
      <c r="G3" s="713"/>
      <c r="H3" s="713"/>
      <c r="I3" s="713"/>
      <c r="J3" s="713"/>
      <c r="K3" s="713"/>
      <c r="L3" s="403"/>
      <c r="M3" s="403"/>
      <c r="N3" s="403"/>
      <c r="O3" s="404"/>
      <c r="P3" s="217"/>
      <c r="Q3" s="217"/>
      <c r="R3" s="217"/>
      <c r="S3" s="515" t="s">
        <v>2060</v>
      </c>
    </row>
    <row r="4" spans="1:55" ht="20.100000000000001" customHeight="1">
      <c r="A4" s="35"/>
      <c r="B4" s="405" t="str">
        <f>IF(START!C3=33,INDEX('DEFAULT DATA'!A42:A100,START!E3,1),INDEX('DEFAULT DATA'!A9:A41,START!C3,1))</f>
        <v>Romania</v>
      </c>
      <c r="C4" s="405"/>
      <c r="D4" s="405"/>
      <c r="E4" s="405"/>
      <c r="F4" s="405"/>
      <c r="G4" s="406">
        <f>INDEX('MENU OPTIONS'!A1:A29,START!C2,1)</f>
        <v>2022</v>
      </c>
      <c r="H4" s="407"/>
      <c r="I4" s="218"/>
      <c r="J4" s="218"/>
      <c r="K4" s="218"/>
      <c r="L4" s="218"/>
      <c r="M4" s="218"/>
      <c r="N4" s="218"/>
      <c r="O4" s="266"/>
      <c r="P4" s="668"/>
      <c r="Q4" s="668"/>
      <c r="R4" s="16"/>
      <c r="S4" s="527" t="s">
        <v>2061</v>
      </c>
      <c r="T4" s="528" t="s">
        <v>2312</v>
      </c>
      <c r="U4" s="529"/>
      <c r="V4" s="152">
        <v>2019</v>
      </c>
      <c r="W4" s="152">
        <v>2020</v>
      </c>
      <c r="X4" s="148">
        <v>2021</v>
      </c>
      <c r="Y4" s="148">
        <f>X4+1</f>
        <v>2022</v>
      </c>
      <c r="Z4" s="148">
        <f t="shared" ref="Z4:BA4" si="0">Y4+1</f>
        <v>2023</v>
      </c>
      <c r="AA4" s="148">
        <f t="shared" si="0"/>
        <v>2024</v>
      </c>
      <c r="AB4" s="148">
        <f t="shared" si="0"/>
        <v>2025</v>
      </c>
      <c r="AC4" s="148">
        <f t="shared" si="0"/>
        <v>2026</v>
      </c>
      <c r="AD4" s="148">
        <f t="shared" si="0"/>
        <v>2027</v>
      </c>
      <c r="AE4" s="148">
        <f t="shared" si="0"/>
        <v>2028</v>
      </c>
      <c r="AF4" s="148">
        <f t="shared" si="0"/>
        <v>2029</v>
      </c>
      <c r="AG4" s="148">
        <f t="shared" si="0"/>
        <v>2030</v>
      </c>
      <c r="AH4" s="148">
        <f t="shared" si="0"/>
        <v>2031</v>
      </c>
      <c r="AI4" s="148">
        <f t="shared" si="0"/>
        <v>2032</v>
      </c>
      <c r="AJ4" s="148">
        <f t="shared" si="0"/>
        <v>2033</v>
      </c>
      <c r="AK4" s="148">
        <f t="shared" si="0"/>
        <v>2034</v>
      </c>
      <c r="AL4" s="148">
        <f t="shared" si="0"/>
        <v>2035</v>
      </c>
      <c r="AM4" s="148">
        <f t="shared" si="0"/>
        <v>2036</v>
      </c>
      <c r="AN4" s="148">
        <f t="shared" si="0"/>
        <v>2037</v>
      </c>
      <c r="AO4" s="148">
        <f t="shared" si="0"/>
        <v>2038</v>
      </c>
      <c r="AP4" s="148">
        <f t="shared" si="0"/>
        <v>2039</v>
      </c>
      <c r="AQ4" s="148">
        <f t="shared" si="0"/>
        <v>2040</v>
      </c>
      <c r="AR4" s="148">
        <f t="shared" si="0"/>
        <v>2041</v>
      </c>
      <c r="AS4" s="148">
        <f t="shared" si="0"/>
        <v>2042</v>
      </c>
      <c r="AT4" s="148">
        <f t="shared" si="0"/>
        <v>2043</v>
      </c>
      <c r="AU4" s="148">
        <f t="shared" si="0"/>
        <v>2044</v>
      </c>
      <c r="AV4" s="148">
        <f t="shared" si="0"/>
        <v>2045</v>
      </c>
      <c r="AW4" s="148">
        <f t="shared" si="0"/>
        <v>2046</v>
      </c>
      <c r="AX4" s="148">
        <f t="shared" si="0"/>
        <v>2047</v>
      </c>
      <c r="AY4" s="148">
        <f t="shared" si="0"/>
        <v>2048</v>
      </c>
      <c r="AZ4" s="148">
        <f t="shared" si="0"/>
        <v>2049</v>
      </c>
      <c r="BA4" s="530">
        <f t="shared" si="0"/>
        <v>2050</v>
      </c>
      <c r="BC4" s="670"/>
    </row>
    <row r="5" spans="1:55" ht="20.100000000000001" customHeight="1" thickBot="1">
      <c r="A5" s="15"/>
      <c r="B5" s="734" t="s">
        <v>1133</v>
      </c>
      <c r="C5" s="734"/>
      <c r="D5" s="734"/>
      <c r="E5" s="734"/>
      <c r="F5" s="408"/>
      <c r="G5" s="409"/>
      <c r="H5" s="409"/>
      <c r="I5" s="668"/>
      <c r="J5" s="668"/>
      <c r="K5" s="668"/>
      <c r="L5" s="668"/>
      <c r="M5" s="668"/>
      <c r="N5" s="668"/>
      <c r="O5" s="291"/>
      <c r="P5" s="668"/>
      <c r="Q5" s="668"/>
      <c r="R5" s="16"/>
      <c r="S5" s="531" t="s">
        <v>2062</v>
      </c>
      <c r="T5" s="532" t="s">
        <v>2313</v>
      </c>
      <c r="U5" s="533"/>
      <c r="V5" s="533"/>
      <c r="W5" s="533"/>
      <c r="X5" s="273">
        <f>INDEX('DEFAULT DATA'!$H$9:H$41,START!C$3,1)</f>
        <v>364.21917808219177</v>
      </c>
      <c r="Y5" s="273">
        <f>(100+INDEX('DEFAULT DATA'!$I$9:$K$41,START!$C$3,1))/100*X5</f>
        <v>336.53852054794521</v>
      </c>
      <c r="Z5" s="273">
        <f>(100+INDEX('DEFAULT DATA'!$I$9:$K$41,START!$C$3,1))/100*Y5</f>
        <v>310.96159298630141</v>
      </c>
      <c r="AA5" s="273">
        <f>(100+INDEX('DEFAULT DATA'!$I$9:$K$41,START!$C$3,1))/100*Z5</f>
        <v>287.32851191934253</v>
      </c>
      <c r="AB5" s="273">
        <f>(100+INDEX('DEFAULT DATA'!$I$9:$K$41,START!$C$3,1))/100*AA5</f>
        <v>265.49154501347249</v>
      </c>
      <c r="AC5" s="273">
        <f>(100+INDEX('DEFAULT DATA'!$I$9:$K$41,START!$C$3,1))/100*AB5</f>
        <v>245.3141875924486</v>
      </c>
      <c r="AD5" s="273">
        <f>(100+INDEX('DEFAULT DATA'!$I$9:$K$41,START!$C$3,1))/100*AC5</f>
        <v>226.67030933542253</v>
      </c>
      <c r="AE5" s="273">
        <f>(100+INDEX('DEFAULT DATA'!$I$9:$K$41,START!$C$3,1))/100*AD5</f>
        <v>209.44336582593041</v>
      </c>
      <c r="AF5" s="273">
        <f>(100+INDEX('DEFAULT DATA'!$I$9:$K$41,START!$C$3,1))/100*AE5</f>
        <v>193.52567002315971</v>
      </c>
      <c r="AG5" s="273">
        <f>(100+INDEX('DEFAULT DATA'!$I$9:$K$41,START!$C$3,1))/100*AF5</f>
        <v>178.81771910139958</v>
      </c>
      <c r="AH5" s="273">
        <f>(100+INDEX('DEFAULT DATA'!$I$9:$K$41,START!$C$3,2))/100*AG5</f>
        <v>167.19456735980862</v>
      </c>
      <c r="AI5" s="273">
        <f>(100+INDEX('DEFAULT DATA'!$I$9:$K$41,START!$C$3,2))/100*AH5</f>
        <v>156.32692048142107</v>
      </c>
      <c r="AJ5" s="273">
        <f>(100+INDEX('DEFAULT DATA'!$I$9:$K$41,START!$C$3,2))/100*AI5</f>
        <v>146.1656706501287</v>
      </c>
      <c r="AK5" s="273">
        <f>(100+INDEX('DEFAULT DATA'!$I$9:$K$41,START!$C$3,2))/100*AJ5</f>
        <v>136.66490205787034</v>
      </c>
      <c r="AL5" s="273">
        <f>(100+INDEX('DEFAULT DATA'!$I$9:$K$41,START!$C$3,2))/100*AK5</f>
        <v>127.78168342410878</v>
      </c>
      <c r="AM5" s="273">
        <f>(100+INDEX('DEFAULT DATA'!$I$9:$K$41,START!$C$3,2))/100*AL5</f>
        <v>119.47587400154171</v>
      </c>
      <c r="AN5" s="273">
        <f>(100+INDEX('DEFAULT DATA'!$I$9:$K$41,START!$C$3,2))/100*AM5</f>
        <v>111.70994219144151</v>
      </c>
      <c r="AO5" s="273">
        <f>(100+INDEX('DEFAULT DATA'!$I$9:$K$41,START!$C$3,2))/100*AN5</f>
        <v>104.44879594899783</v>
      </c>
      <c r="AP5" s="273">
        <f>(100+INDEX('DEFAULT DATA'!$I$9:$K$41,START!$C$3,2))/100*AO5</f>
        <v>97.659624212312977</v>
      </c>
      <c r="AQ5" s="273">
        <f>(100+INDEX('DEFAULT DATA'!$I$9:$K$41,START!$C$3,2))/100*AP5</f>
        <v>91.31174863851264</v>
      </c>
      <c r="AR5" s="273">
        <f>(100+INDEX('DEFAULT DATA'!$I$9:$K$41,START!$C$3,3))/100*AQ5</f>
        <v>85.376484977009326</v>
      </c>
      <c r="AS5" s="273">
        <f>(100+INDEX('DEFAULT DATA'!$I$9:$K$41,START!$C$3,3))/100*AR5</f>
        <v>79.827013453503724</v>
      </c>
      <c r="AT5" s="273">
        <f>(100+INDEX('DEFAULT DATA'!$I$9:$K$41,START!$C$3,3))/100*AS5</f>
        <v>74.638257579025989</v>
      </c>
      <c r="AU5" s="273">
        <f>(100+INDEX('DEFAULT DATA'!$I$9:$K$41,START!$C$3,3))/100*AT5</f>
        <v>69.786770836389309</v>
      </c>
      <c r="AV5" s="273">
        <f>(100+INDEX('DEFAULT DATA'!$I$9:$K$41,START!$C$3,3))/100*AU5</f>
        <v>65.250630732024007</v>
      </c>
      <c r="AW5" s="273">
        <f>(100+INDEX('DEFAULT DATA'!$I$9:$K$41,START!$C$3,3))/100*AV5</f>
        <v>61.009339734442449</v>
      </c>
      <c r="AX5" s="273">
        <f>(100+INDEX('DEFAULT DATA'!$I$9:$K$41,START!$C$3,3))/100*AW5</f>
        <v>57.043732651703692</v>
      </c>
      <c r="AY5" s="273">
        <f>(100+INDEX('DEFAULT DATA'!$I$9:$K$41,START!$C$3,3))/100*AX5</f>
        <v>53.335890029342956</v>
      </c>
      <c r="AZ5" s="273">
        <f>(100+INDEX('DEFAULT DATA'!$I$9:$K$41,START!$C$3,3))/100*AY5</f>
        <v>49.869057177435664</v>
      </c>
      <c r="BA5" s="282">
        <f>(100+INDEX('DEFAULT DATA'!$I$9:$K$41,START!$C$3,3))/100*AZ5</f>
        <v>46.627568460902346</v>
      </c>
      <c r="BC5" s="670"/>
    </row>
    <row r="6" spans="1:55" ht="20.100000000000001" customHeight="1" thickBot="1">
      <c r="A6" s="15"/>
      <c r="B6" s="734" t="s">
        <v>1134</v>
      </c>
      <c r="C6" s="734"/>
      <c r="D6" s="734"/>
      <c r="E6" s="734"/>
      <c r="F6" s="408"/>
      <c r="G6" s="409"/>
      <c r="H6" s="409"/>
      <c r="I6" s="668"/>
      <c r="J6" s="668"/>
      <c r="K6" s="668"/>
      <c r="L6" s="668"/>
      <c r="M6" s="668"/>
      <c r="N6" s="668"/>
      <c r="O6" s="291"/>
      <c r="P6" s="668"/>
      <c r="Q6" s="668"/>
      <c r="R6" s="16"/>
      <c r="S6" s="511" t="s">
        <v>213</v>
      </c>
      <c r="BC6" s="670"/>
    </row>
    <row r="7" spans="1:55" ht="20.100000000000001" customHeight="1">
      <c r="A7" s="752"/>
      <c r="B7" s="410" t="s">
        <v>102</v>
      </c>
      <c r="C7" s="735"/>
      <c r="D7" s="735"/>
      <c r="E7" s="735"/>
      <c r="F7" s="410"/>
      <c r="G7" s="411" t="s">
        <v>65</v>
      </c>
      <c r="H7" s="411"/>
      <c r="I7" s="262"/>
      <c r="J7" s="262"/>
      <c r="K7" s="262"/>
      <c r="L7" s="262"/>
      <c r="M7" s="262"/>
      <c r="N7" s="262"/>
      <c r="O7" s="412"/>
      <c r="P7" s="668"/>
      <c r="Q7" s="668"/>
      <c r="R7" s="16"/>
      <c r="S7" s="534"/>
      <c r="T7" s="528" t="s">
        <v>2315</v>
      </c>
      <c r="U7" s="529"/>
      <c r="V7" s="665">
        <v>2019</v>
      </c>
      <c r="W7" s="665">
        <v>2020</v>
      </c>
      <c r="X7" s="148">
        <v>2021</v>
      </c>
      <c r="Y7" s="148">
        <f>X7+1</f>
        <v>2022</v>
      </c>
      <c r="Z7" s="148">
        <f t="shared" ref="Z7" si="1">Y7+1</f>
        <v>2023</v>
      </c>
      <c r="AA7" s="148">
        <f t="shared" ref="AA7" si="2">Z7+1</f>
        <v>2024</v>
      </c>
      <c r="AB7" s="148">
        <f t="shared" ref="AB7" si="3">AA7+1</f>
        <v>2025</v>
      </c>
      <c r="AC7" s="148">
        <f t="shared" ref="AC7" si="4">AB7+1</f>
        <v>2026</v>
      </c>
      <c r="AD7" s="148">
        <f t="shared" ref="AD7" si="5">AC7+1</f>
        <v>2027</v>
      </c>
      <c r="AE7" s="148">
        <f t="shared" ref="AE7" si="6">AD7+1</f>
        <v>2028</v>
      </c>
      <c r="AF7" s="148">
        <f t="shared" ref="AF7" si="7">AE7+1</f>
        <v>2029</v>
      </c>
      <c r="AG7" s="148">
        <f t="shared" ref="AG7" si="8">AF7+1</f>
        <v>2030</v>
      </c>
      <c r="AH7" s="148">
        <f t="shared" ref="AH7" si="9">AG7+1</f>
        <v>2031</v>
      </c>
      <c r="AI7" s="148">
        <f t="shared" ref="AI7" si="10">AH7+1</f>
        <v>2032</v>
      </c>
      <c r="AJ7" s="148">
        <f t="shared" ref="AJ7" si="11">AI7+1</f>
        <v>2033</v>
      </c>
      <c r="AK7" s="148">
        <f t="shared" ref="AK7" si="12">AJ7+1</f>
        <v>2034</v>
      </c>
      <c r="AL7" s="148">
        <f t="shared" ref="AL7" si="13">AK7+1</f>
        <v>2035</v>
      </c>
      <c r="AM7" s="148">
        <f t="shared" ref="AM7" si="14">AL7+1</f>
        <v>2036</v>
      </c>
      <c r="AN7" s="148">
        <f t="shared" ref="AN7" si="15">AM7+1</f>
        <v>2037</v>
      </c>
      <c r="AO7" s="148">
        <f t="shared" ref="AO7" si="16">AN7+1</f>
        <v>2038</v>
      </c>
      <c r="AP7" s="148">
        <f t="shared" ref="AP7" si="17">AO7+1</f>
        <v>2039</v>
      </c>
      <c r="AQ7" s="148">
        <f t="shared" ref="AQ7" si="18">AP7+1</f>
        <v>2040</v>
      </c>
      <c r="AR7" s="148">
        <f t="shared" ref="AR7" si="19">AQ7+1</f>
        <v>2041</v>
      </c>
      <c r="AS7" s="148">
        <f t="shared" ref="AS7" si="20">AR7+1</f>
        <v>2042</v>
      </c>
      <c r="AT7" s="148">
        <f t="shared" ref="AT7" si="21">AS7+1</f>
        <v>2043</v>
      </c>
      <c r="AU7" s="148">
        <f t="shared" ref="AU7" si="22">AT7+1</f>
        <v>2044</v>
      </c>
      <c r="AV7" s="148">
        <f t="shared" ref="AV7" si="23">AU7+1</f>
        <v>2045</v>
      </c>
      <c r="AW7" s="148">
        <f t="shared" ref="AW7" si="24">AV7+1</f>
        <v>2046</v>
      </c>
      <c r="AX7" s="148">
        <f t="shared" ref="AX7" si="25">AW7+1</f>
        <v>2047</v>
      </c>
      <c r="AY7" s="148">
        <f t="shared" ref="AY7" si="26">AX7+1</f>
        <v>2048</v>
      </c>
      <c r="AZ7" s="148">
        <f t="shared" ref="AZ7" si="27">AY7+1</f>
        <v>2049</v>
      </c>
      <c r="BA7" s="530">
        <f t="shared" ref="BA7" si="28">AZ7+1</f>
        <v>2050</v>
      </c>
      <c r="BC7" s="670"/>
    </row>
    <row r="8" spans="1:55" ht="20.100000000000001" customHeight="1" thickBot="1">
      <c r="A8" s="15"/>
      <c r="B8" s="1485" t="s">
        <v>60</v>
      </c>
      <c r="C8" s="1485"/>
      <c r="D8" s="1485"/>
      <c r="E8" s="1485"/>
      <c r="F8" s="1485"/>
      <c r="G8" s="326">
        <v>0</v>
      </c>
      <c r="H8" s="413"/>
      <c r="I8" s="668"/>
      <c r="J8" s="668"/>
      <c r="K8" s="668"/>
      <c r="L8" s="668"/>
      <c r="M8" s="668"/>
      <c r="N8" s="668"/>
      <c r="O8" s="291"/>
      <c r="P8" s="668"/>
      <c r="Q8" s="668"/>
      <c r="R8" s="16"/>
      <c r="S8" s="509"/>
      <c r="T8" s="532" t="s">
        <v>2314</v>
      </c>
      <c r="U8" s="533"/>
      <c r="V8" s="533"/>
      <c r="W8" s="533"/>
      <c r="X8" s="203"/>
      <c r="Y8" s="155">
        <f>IF(Y7=(2021+START!$C$2),START!$C$4,ROUNDUP(X8*(100+INDEX('DEFAULT DATA'!$E$9:$G$41,START!$C$3,1))/100,0))</f>
        <v>194942</v>
      </c>
      <c r="Z8" s="155">
        <f>IF(Z7=(2021+START!$C$2),START!$C$4,ROUNDUP(Y8*(100+INDEX('DEFAULT DATA'!$E$9:$G$41,START!$C$3,1))/100,0))</f>
        <v>194163</v>
      </c>
      <c r="AA8" s="155">
        <f>IF(AA7=(2021+START!$C$2),START!$C$4,ROUNDUP(Z8*(100+INDEX('DEFAULT DATA'!$E$9:$G$41,START!$C$3,1))/100,0))</f>
        <v>193387</v>
      </c>
      <c r="AB8" s="155">
        <f>IF(AB7=(2021+START!$C$2),START!$C$4,ROUNDUP(AA8*(100+INDEX('DEFAULT DATA'!$E$9:$G$41,START!$C$3,1))/100,0))</f>
        <v>192614</v>
      </c>
      <c r="AC8" s="155">
        <f>IF(AC7=(2021+START!$C$2),START!$C$4,ROUNDUP(AB8*(100+INDEX('DEFAULT DATA'!$E$9:$G$41,START!$C$3,1))/100,0))</f>
        <v>191844</v>
      </c>
      <c r="AD8" s="155">
        <f>IF(AD7=(2021+START!$C$2),START!$C$4,ROUNDUP(AC8*(100+INDEX('DEFAULT DATA'!$E$9:$G$41,START!$C$3,1))/100,0))</f>
        <v>191077</v>
      </c>
      <c r="AE8" s="155">
        <f>IF(AE7=(2021+START!$C$2),START!$C$4,ROUNDUP(AD8*(100+INDEX('DEFAULT DATA'!$E$9:$G$41,START!$C$3,1))/100,0))</f>
        <v>190313</v>
      </c>
      <c r="AF8" s="155">
        <f>IF(AF7=(2021+START!$C$2),START!$C$4,ROUNDUP(AE8*(100+INDEX('DEFAULT DATA'!$E$9:$G$41,START!$C$3,1))/100,0))</f>
        <v>189552</v>
      </c>
      <c r="AG8" s="155">
        <f>IF(AG7=(2021+START!$C$2),START!$C$4,ROUNDUP(AF8*(100+INDEX('DEFAULT DATA'!$E$9:$G$41,START!$C$3,1))/100,0))</f>
        <v>188794</v>
      </c>
      <c r="AH8" s="155">
        <f>IF(AH7=(2021+START!$C$2),START!$C$4,ROUNDUP(AG8*(100+INDEX('DEFAULT DATA'!$E$9:$G$41,START!$C$3,2))/100,0))</f>
        <v>188228</v>
      </c>
      <c r="AI8" s="155">
        <f>IF(AI7=(2021+START!$C$2),START!$C$4,ROUNDUP(AH8*(100+INDEX('DEFAULT DATA'!$E$9:$G$41,START!$C$3,2))/100,0))</f>
        <v>187664</v>
      </c>
      <c r="AJ8" s="155">
        <f>IF(AJ7=(2021+START!$C$2),START!$C$4,ROUNDUP(AI8*(100+INDEX('DEFAULT DATA'!$E$9:$G$41,START!$C$3,2))/100,0))</f>
        <v>187102</v>
      </c>
      <c r="AK8" s="155">
        <f>IF(AK7=(2021+START!$C$2),START!$C$4,ROUNDUP(AJ8*(100+INDEX('DEFAULT DATA'!$E$9:$G$41,START!$C$3,2))/100,0))</f>
        <v>186541</v>
      </c>
      <c r="AL8" s="155">
        <f>IF(AL7=(2021+START!$C$2),START!$C$4,ROUNDUP(AK8*(100+INDEX('DEFAULT DATA'!$E$9:$G$41,START!$C$3,2))/100,0))</f>
        <v>185982</v>
      </c>
      <c r="AM8" s="155">
        <f>IF(AM7=(2021+START!$C$2),START!$C$4,ROUNDUP(AL8*(100+INDEX('DEFAULT DATA'!$E$9:$G$41,START!$C$3,2))/100,0))</f>
        <v>185425</v>
      </c>
      <c r="AN8" s="155">
        <f>IF(AN7=(2021+START!$C$2),START!$C$4,ROUNDUP(AM8*(100+INDEX('DEFAULT DATA'!$E$9:$G$41,START!$C$3,2))/100,0))</f>
        <v>184869</v>
      </c>
      <c r="AO8" s="155">
        <f>IF(AO7=(2021+START!$C$2),START!$C$4,ROUNDUP(AN8*(100+INDEX('DEFAULT DATA'!$E$9:$G$41,START!$C$3,2))/100,0))</f>
        <v>184315</v>
      </c>
      <c r="AP8" s="155">
        <f>IF(AP7=(2021+START!$C$2),START!$C$4,ROUNDUP(AO8*(100+INDEX('DEFAULT DATA'!$E$9:$G$41,START!$C$3,2))/100,0))</f>
        <v>183763</v>
      </c>
      <c r="AQ8" s="155">
        <f>IF(AQ7=(2021+START!$C$2),START!$C$4,ROUNDUP(AP8*(100+INDEX('DEFAULT DATA'!$E$9:$G$41,START!$C$3,2))/100,0))</f>
        <v>183212</v>
      </c>
      <c r="AR8" s="155">
        <f>IF(AR7=(2021+START!$C$2),START!$C$4,ROUNDUP(AQ8*(100+INDEX('DEFAULT DATA'!$E$9:$G$41,START!$C$3,3))/100,0))</f>
        <v>182663</v>
      </c>
      <c r="AS8" s="155">
        <f>IF(AS7=(2021+START!$C$2),START!$C$4,ROUNDUP(AR8*(100+INDEX('DEFAULT DATA'!$E$9:$G$41,START!$C$3,3))/100,0))</f>
        <v>182116</v>
      </c>
      <c r="AT8" s="155">
        <f>IF(AT7=(2021+START!$C$2),START!$C$4,ROUNDUP(AS8*(100+INDEX('DEFAULT DATA'!$E$9:$G$41,START!$C$3,3))/100,0))</f>
        <v>181570</v>
      </c>
      <c r="AU8" s="155">
        <f>IF(AU7=(2021+START!$C$2),START!$C$4,ROUNDUP(AT8*(100+INDEX('DEFAULT DATA'!$E$9:$G$41,START!$C$3,3))/100,0))</f>
        <v>181026</v>
      </c>
      <c r="AV8" s="155">
        <f>IF(AV7=(2021+START!$C$2),START!$C$4,ROUNDUP(AU8*(100+INDEX('DEFAULT DATA'!$E$9:$G$41,START!$C$3,3))/100,0))</f>
        <v>180483</v>
      </c>
      <c r="AW8" s="155">
        <f>IF(AW7=(2021+START!$C$2),START!$C$4,ROUNDUP(AV8*(100+INDEX('DEFAULT DATA'!$E$9:$G$41,START!$C$3,3))/100,0))</f>
        <v>179942</v>
      </c>
      <c r="AX8" s="155">
        <f>IF(AX7=(2021+START!$C$2),START!$C$4,ROUNDUP(AW8*(100+INDEX('DEFAULT DATA'!$E$9:$G$41,START!$C$3,3))/100,0))</f>
        <v>179403</v>
      </c>
      <c r="AY8" s="155">
        <f>IF(AY7=(2021+START!$C$2),START!$C$4,ROUNDUP(AX8*(100+INDEX('DEFAULT DATA'!$E$9:$G$41,START!$C$3,3))/100,0))</f>
        <v>178865</v>
      </c>
      <c r="AZ8" s="155">
        <f>IF(AZ7=(2021+START!$C$2),START!$C$4,ROUNDUP(AY8*(100+INDEX('DEFAULT DATA'!$E$9:$G$41,START!$C$3,3))/100,0))</f>
        <v>178329</v>
      </c>
      <c r="BA8" s="156">
        <f>IF(BA7=(2021+START!$C$2),START!$C$4,ROUNDUP(AZ8*(100+INDEX('DEFAULT DATA'!$E$9:$G$41,START!$C$3,3))/100,0))</f>
        <v>177795</v>
      </c>
      <c r="BC8" s="670"/>
    </row>
    <row r="9" spans="1:55" ht="20.100000000000001" customHeight="1" thickBot="1">
      <c r="A9" s="15"/>
      <c r="B9" s="1485" t="s">
        <v>61</v>
      </c>
      <c r="C9" s="1485"/>
      <c r="D9" s="1485"/>
      <c r="E9" s="1485"/>
      <c r="F9" s="1485"/>
      <c r="G9" s="133">
        <v>50</v>
      </c>
      <c r="H9" s="413"/>
      <c r="I9" s="668"/>
      <c r="J9" s="668"/>
      <c r="K9" s="668"/>
      <c r="L9" s="668"/>
      <c r="M9" s="668"/>
      <c r="N9" s="668"/>
      <c r="O9" s="291"/>
      <c r="P9" s="668"/>
      <c r="Q9" s="668"/>
      <c r="R9" s="16"/>
    </row>
    <row r="10" spans="1:55" ht="20.100000000000001" customHeight="1">
      <c r="A10" s="15"/>
      <c r="B10" s="1485" t="s">
        <v>62</v>
      </c>
      <c r="C10" s="1485"/>
      <c r="D10" s="1485"/>
      <c r="E10" s="1485"/>
      <c r="F10" s="1485"/>
      <c r="G10" s="133">
        <v>50</v>
      </c>
      <c r="H10" s="413"/>
      <c r="I10" s="668"/>
      <c r="J10" s="668"/>
      <c r="K10" s="668"/>
      <c r="L10" s="668"/>
      <c r="M10" s="668"/>
      <c r="N10" s="668"/>
      <c r="O10" s="291"/>
      <c r="P10" s="668"/>
      <c r="Q10" s="668"/>
      <c r="R10" s="16"/>
      <c r="S10" s="651" t="s">
        <v>2307</v>
      </c>
      <c r="T10" s="652"/>
      <c r="U10" s="250"/>
      <c r="V10" s="250"/>
      <c r="W10" s="250"/>
      <c r="X10" s="250"/>
      <c r="Y10" s="250"/>
      <c r="Z10" s="250"/>
      <c r="AA10" s="250"/>
      <c r="AB10" s="250"/>
      <c r="AC10" s="250"/>
      <c r="AE10" s="666"/>
    </row>
    <row r="11" spans="1:55" ht="20.100000000000001" customHeight="1">
      <c r="A11" s="15"/>
      <c r="B11" s="1485" t="s">
        <v>63</v>
      </c>
      <c r="C11" s="1485"/>
      <c r="D11" s="1485"/>
      <c r="E11" s="1485"/>
      <c r="F11" s="1485"/>
      <c r="G11" s="133">
        <v>0</v>
      </c>
      <c r="H11" s="413"/>
      <c r="I11" s="668"/>
      <c r="J11" s="668"/>
      <c r="K11" s="668"/>
      <c r="L11" s="668"/>
      <c r="M11" s="668"/>
      <c r="N11" s="668"/>
      <c r="O11" s="291"/>
      <c r="P11" s="668"/>
      <c r="Q11" s="668"/>
      <c r="R11" s="16"/>
      <c r="S11" s="653" t="s">
        <v>2308</v>
      </c>
      <c r="T11" s="654"/>
      <c r="U11" s="250"/>
      <c r="V11" s="250"/>
      <c r="W11" s="250"/>
      <c r="X11" s="250"/>
      <c r="Y11" s="250"/>
      <c r="Z11" s="250"/>
      <c r="AA11" s="250"/>
      <c r="AB11" s="250"/>
      <c r="AC11" s="250"/>
    </row>
    <row r="12" spans="1:55" ht="20.100000000000001" customHeight="1">
      <c r="A12" s="15"/>
      <c r="B12" s="1485" t="s">
        <v>64</v>
      </c>
      <c r="C12" s="1485"/>
      <c r="D12" s="1485"/>
      <c r="E12" s="1485"/>
      <c r="F12" s="1485"/>
      <c r="G12" s="133">
        <v>0</v>
      </c>
      <c r="H12" s="413"/>
      <c r="I12" s="668"/>
      <c r="J12" s="668"/>
      <c r="K12" s="668"/>
      <c r="L12" s="668"/>
      <c r="M12" s="668"/>
      <c r="N12" s="668"/>
      <c r="O12" s="291"/>
      <c r="P12" s="668"/>
      <c r="Q12" s="668"/>
      <c r="R12" s="16"/>
      <c r="S12" s="655" t="s">
        <v>2309</v>
      </c>
      <c r="T12" s="654"/>
      <c r="U12" s="250"/>
      <c r="V12" s="250"/>
      <c r="W12" s="250"/>
      <c r="X12" s="250"/>
      <c r="Y12" s="250"/>
      <c r="Z12" s="250"/>
      <c r="AA12" s="250"/>
      <c r="AB12" s="250"/>
      <c r="AC12" s="250"/>
    </row>
    <row r="13" spans="1:55" ht="20.100000000000001" customHeight="1" thickBot="1">
      <c r="A13" s="15"/>
      <c r="B13" s="736" t="str">
        <f>IF(G13=100,"","The sum is not 100%")</f>
        <v/>
      </c>
      <c r="C13" s="736"/>
      <c r="D13" s="736"/>
      <c r="E13" s="736"/>
      <c r="F13" s="82"/>
      <c r="G13" s="413">
        <f>SUM(G8:G12)</f>
        <v>100</v>
      </c>
      <c r="H13" s="413"/>
      <c r="I13" s="668"/>
      <c r="J13" s="668"/>
      <c r="K13" s="668"/>
      <c r="L13" s="668"/>
      <c r="M13" s="668"/>
      <c r="N13" s="668"/>
      <c r="O13" s="291"/>
      <c r="P13" s="668"/>
      <c r="Q13" s="668"/>
      <c r="R13" s="16"/>
      <c r="S13" s="656" t="s">
        <v>2310</v>
      </c>
      <c r="T13" s="657"/>
      <c r="U13" s="250"/>
      <c r="V13" s="250"/>
      <c r="W13" s="250"/>
      <c r="X13" s="250"/>
      <c r="Y13" s="250"/>
      <c r="Z13" s="250"/>
      <c r="AA13" s="250"/>
      <c r="AB13" s="250"/>
      <c r="AC13" s="250"/>
    </row>
    <row r="14" spans="1:55" ht="20.100000000000001" customHeight="1" thickBot="1">
      <c r="A14" s="752"/>
      <c r="B14" s="414" t="s">
        <v>2935</v>
      </c>
      <c r="C14" s="125"/>
      <c r="D14" s="125"/>
      <c r="E14" s="125"/>
      <c r="F14" s="414"/>
      <c r="G14" s="723" t="s">
        <v>2950</v>
      </c>
      <c r="H14" s="411"/>
      <c r="I14" s="262"/>
      <c r="J14" s="262"/>
      <c r="K14" s="262"/>
      <c r="L14" s="262"/>
      <c r="M14" s="262"/>
      <c r="N14" s="262"/>
      <c r="O14" s="412"/>
      <c r="P14" s="668"/>
      <c r="Q14" s="668"/>
      <c r="R14" s="16"/>
      <c r="S14" s="286" t="s">
        <v>2311</v>
      </c>
      <c r="T14" s="250"/>
      <c r="U14" s="449"/>
      <c r="V14" s="644" t="s">
        <v>2037</v>
      </c>
      <c r="W14" s="644" t="s">
        <v>2270</v>
      </c>
      <c r="X14" s="643" t="s">
        <v>2038</v>
      </c>
      <c r="Y14" s="643" t="s">
        <v>2271</v>
      </c>
      <c r="Z14" s="644" t="s">
        <v>2272</v>
      </c>
      <c r="AA14" s="644" t="s">
        <v>2273</v>
      </c>
      <c r="AB14" s="644" t="s">
        <v>2274</v>
      </c>
      <c r="AC14" s="644" t="s">
        <v>2275</v>
      </c>
      <c r="AD14" s="217"/>
      <c r="AE14" s="217"/>
      <c r="AF14" s="217"/>
      <c r="AG14" s="217"/>
      <c r="AH14" s="217"/>
      <c r="AI14" s="217"/>
      <c r="AJ14" s="217"/>
      <c r="AK14" s="217"/>
      <c r="AL14" s="217"/>
      <c r="AM14" s="217"/>
      <c r="AN14" s="234"/>
      <c r="AO14" s="234"/>
      <c r="AP14" s="234"/>
      <c r="AQ14" s="234"/>
      <c r="AR14" s="234"/>
      <c r="AS14" s="234"/>
      <c r="AT14" s="234"/>
      <c r="AU14" s="234"/>
      <c r="AV14" s="234"/>
      <c r="AW14" s="234"/>
      <c r="AX14" s="234"/>
      <c r="AY14" s="234"/>
      <c r="AZ14" s="234"/>
      <c r="BA14" s="234"/>
    </row>
    <row r="15" spans="1:55" ht="20.100000000000001" customHeight="1">
      <c r="A15" s="15"/>
      <c r="B15" s="82" t="s">
        <v>95</v>
      </c>
      <c r="C15" s="82"/>
      <c r="D15" s="82"/>
      <c r="E15" s="82"/>
      <c r="F15" s="82"/>
      <c r="G15" s="389">
        <v>100</v>
      </c>
      <c r="H15" s="413"/>
      <c r="I15" s="82"/>
      <c r="J15" s="82"/>
      <c r="K15" s="82"/>
      <c r="L15" s="82"/>
      <c r="M15" s="82"/>
      <c r="N15" s="82"/>
      <c r="O15" s="127"/>
      <c r="P15" s="82"/>
      <c r="Q15" s="82"/>
      <c r="R15" s="13"/>
      <c r="S15" s="299" t="s">
        <v>152</v>
      </c>
      <c r="T15" s="535" t="s">
        <v>1563</v>
      </c>
      <c r="U15" s="642" t="s">
        <v>210</v>
      </c>
      <c r="V15" s="151" t="s">
        <v>67</v>
      </c>
      <c r="W15" s="151" t="s">
        <v>68</v>
      </c>
      <c r="X15" s="151" t="s">
        <v>74</v>
      </c>
      <c r="Y15" s="151" t="s">
        <v>69</v>
      </c>
      <c r="Z15" s="151" t="s">
        <v>70</v>
      </c>
      <c r="AA15" s="151" t="s">
        <v>71</v>
      </c>
      <c r="AB15" s="151" t="s">
        <v>72</v>
      </c>
      <c r="AC15" s="658" t="s">
        <v>73</v>
      </c>
      <c r="AN15" s="234"/>
    </row>
    <row r="16" spans="1:55" ht="20.100000000000001" customHeight="1">
      <c r="A16" s="15"/>
      <c r="B16" s="82" t="s">
        <v>96</v>
      </c>
      <c r="C16" s="82"/>
      <c r="D16" s="82"/>
      <c r="E16" s="82"/>
      <c r="F16" s="82"/>
      <c r="G16" s="389">
        <v>100</v>
      </c>
      <c r="H16" s="413"/>
      <c r="I16" s="668"/>
      <c r="J16" s="668"/>
      <c r="K16" s="668"/>
      <c r="L16" s="668"/>
      <c r="M16" s="668"/>
      <c r="N16" s="668"/>
      <c r="O16" s="291"/>
      <c r="P16" s="668"/>
      <c r="Q16" s="668"/>
      <c r="R16" s="16"/>
      <c r="S16" s="659"/>
      <c r="T16" s="395" t="s">
        <v>60</v>
      </c>
      <c r="U16" s="133">
        <f>G8</f>
        <v>0</v>
      </c>
      <c r="V16" s="123">
        <f>INDEX('DEFAULT DATA'!$Z$9:$AD$41,START!$C$3,1)</f>
        <v>2</v>
      </c>
      <c r="W16" s="123">
        <f>INDEX('DEFAULT DATA'!$DA$9:$DE$41,START!$C$3,1)</f>
        <v>0.3</v>
      </c>
      <c r="X16" s="123">
        <v>1</v>
      </c>
      <c r="Y16" s="123">
        <v>1</v>
      </c>
      <c r="Z16" s="123">
        <f>INDEX('DEFAULT DATA'!$JE$9:$JI$41,START!$C$3,1)</f>
        <v>2</v>
      </c>
      <c r="AA16" s="123">
        <f>INDEX('DEFAULT DATA'!$JQ$9:$JU$41,START!$C$3,1)</f>
        <v>2</v>
      </c>
      <c r="AB16" s="123">
        <f>INDEX('DEFAULT DATA'!$KB$9:$KF$41,START!$C$3,1)</f>
        <v>2</v>
      </c>
      <c r="AC16" s="159">
        <f>INDEX('DEFAULT DATA'!$LS$9:$LW$41,START!$C$3,1)</f>
        <v>2</v>
      </c>
      <c r="AN16" s="234"/>
    </row>
    <row r="17" spans="1:63" ht="20.100000000000001" customHeight="1">
      <c r="A17" s="15"/>
      <c r="B17" s="668"/>
      <c r="C17" s="668"/>
      <c r="D17" s="668"/>
      <c r="E17" s="668"/>
      <c r="F17" s="668"/>
      <c r="G17" s="668"/>
      <c r="H17" s="413"/>
      <c r="I17" s="668"/>
      <c r="J17" s="668"/>
      <c r="K17" s="668"/>
      <c r="L17" s="668"/>
      <c r="M17" s="668"/>
      <c r="N17" s="668"/>
      <c r="O17" s="291"/>
      <c r="P17" s="668"/>
      <c r="Q17" s="668"/>
      <c r="R17" s="16"/>
      <c r="S17" s="659"/>
      <c r="T17" s="395" t="s">
        <v>61</v>
      </c>
      <c r="U17" s="133">
        <f>G9</f>
        <v>50</v>
      </c>
      <c r="V17" s="123">
        <f>INDEX('DEFAULT DATA'!$Z$9:$AD$41,START!$C$3,2)</f>
        <v>1.5</v>
      </c>
      <c r="W17" s="123">
        <f>INDEX('DEFAULT DATA'!$DA$9:$DE$41,START!$C$3,2)</f>
        <v>0.7</v>
      </c>
      <c r="X17" s="123">
        <v>1</v>
      </c>
      <c r="Y17" s="123">
        <v>1</v>
      </c>
      <c r="Z17" s="123">
        <f>INDEX('DEFAULT DATA'!$JE$9:$JI$41,START!$C$3,2)</f>
        <v>1.5</v>
      </c>
      <c r="AA17" s="123">
        <f>INDEX('DEFAULT DATA'!$JQ$9:$JU$41,START!$C$3,2)</f>
        <v>2</v>
      </c>
      <c r="AB17" s="123">
        <f>INDEX('DEFAULT DATA'!$KB$9:$KF$41,START!$C$3,2)</f>
        <v>1.5</v>
      </c>
      <c r="AC17" s="159">
        <f>INDEX('DEFAULT DATA'!$LS$9:$LW$41,START!$C$3,2)</f>
        <v>1</v>
      </c>
      <c r="AN17" s="234"/>
    </row>
    <row r="18" spans="1:63" ht="20.100000000000001" customHeight="1">
      <c r="A18" s="752"/>
      <c r="B18" s="414" t="s">
        <v>2934</v>
      </c>
      <c r="C18" s="125"/>
      <c r="D18" s="125"/>
      <c r="E18" s="125"/>
      <c r="F18" s="414"/>
      <c r="G18" s="932"/>
      <c r="H18" s="932"/>
      <c r="I18" s="262"/>
      <c r="J18" s="262"/>
      <c r="K18" s="262"/>
      <c r="L18" s="262"/>
      <c r="M18" s="262"/>
      <c r="N18" s="262"/>
      <c r="O18" s="412"/>
      <c r="P18" s="668"/>
      <c r="Q18" s="668"/>
      <c r="R18" s="16"/>
      <c r="S18" s="659"/>
      <c r="T18" s="395" t="s">
        <v>62</v>
      </c>
      <c r="U18" s="133">
        <f>G10</f>
        <v>50</v>
      </c>
      <c r="V18" s="123">
        <f>INDEX('DEFAULT DATA'!$Z$9:$AD$41,START!$C$3,3)</f>
        <v>1</v>
      </c>
      <c r="W18" s="123">
        <f>INDEX('DEFAULT DATA'!$DA$9:$DE$41,START!$C$3,3)</f>
        <v>1.2</v>
      </c>
      <c r="X18" s="123">
        <v>1</v>
      </c>
      <c r="Y18" s="123">
        <v>1</v>
      </c>
      <c r="Z18" s="123">
        <f>INDEX('DEFAULT DATA'!$JE$9:$JI$41,START!$C$3,3)</f>
        <v>0.7</v>
      </c>
      <c r="AA18" s="123">
        <f>INDEX('DEFAULT DATA'!$JQ$9:$JU$41,START!$C$3,3)</f>
        <v>1</v>
      </c>
      <c r="AB18" s="123">
        <f>INDEX('DEFAULT DATA'!$KB$9:$KF$41,START!$C$3,3)</f>
        <v>0.5</v>
      </c>
      <c r="AC18" s="159">
        <f>INDEX('DEFAULT DATA'!$LS$9:$LW$41,START!$C$3,3)</f>
        <v>0.5</v>
      </c>
      <c r="AN18" s="234"/>
    </row>
    <row r="19" spans="1:63" ht="20.100000000000001" customHeight="1">
      <c r="A19" s="15"/>
      <c r="B19" s="82" t="s">
        <v>2933</v>
      </c>
      <c r="C19" s="82"/>
      <c r="D19" s="82"/>
      <c r="E19" s="82"/>
      <c r="F19" s="82"/>
      <c r="G19" s="82">
        <v>1</v>
      </c>
      <c r="H19" s="82"/>
      <c r="I19" s="668"/>
      <c r="J19" s="668"/>
      <c r="K19" s="668"/>
      <c r="L19" s="668"/>
      <c r="M19" s="668"/>
      <c r="N19" s="668"/>
      <c r="O19" s="291"/>
      <c r="P19" s="668"/>
      <c r="Q19" s="668"/>
      <c r="R19" s="16"/>
      <c r="S19" s="659"/>
      <c r="T19" s="395" t="s">
        <v>63</v>
      </c>
      <c r="U19" s="133">
        <f>G11</f>
        <v>0</v>
      </c>
      <c r="V19" s="123">
        <f>INDEX('DEFAULT DATA'!$Z$9:$AD$41,START!$C$3,4)</f>
        <v>0.8</v>
      </c>
      <c r="W19" s="123">
        <f>INDEX('DEFAULT DATA'!$DA$9:$DE$41,START!$C$3,4)</f>
        <v>1.2</v>
      </c>
      <c r="X19" s="123">
        <v>1</v>
      </c>
      <c r="Y19" s="123">
        <v>1</v>
      </c>
      <c r="Z19" s="123">
        <f>INDEX('DEFAULT DATA'!$JE$9:$JI$41,START!$C$3,4)</f>
        <v>0.7</v>
      </c>
      <c r="AA19" s="123">
        <f>INDEX('DEFAULT DATA'!$JQ$9:$JU$41,START!$C$3,4)</f>
        <v>1</v>
      </c>
      <c r="AB19" s="123">
        <f>INDEX('DEFAULT DATA'!$KB$9:$KF$41,START!$C$3,4)</f>
        <v>1</v>
      </c>
      <c r="AC19" s="159">
        <f>INDEX('DEFAULT DATA'!$LS$9:$LW$41,START!$C$3,4)</f>
        <v>0.7</v>
      </c>
    </row>
    <row r="20" spans="1:63" ht="20.100000000000001" customHeight="1" thickBot="1">
      <c r="A20" s="15"/>
      <c r="B20" s="82" t="s">
        <v>97</v>
      </c>
      <c r="C20" s="82"/>
      <c r="D20" s="82"/>
      <c r="E20" s="82"/>
      <c r="F20" s="82"/>
      <c r="G20" s="82">
        <v>1</v>
      </c>
      <c r="H20" s="82"/>
      <c r="I20" s="668"/>
      <c r="J20" s="668"/>
      <c r="K20" s="668"/>
      <c r="L20" s="668"/>
      <c r="M20" s="668"/>
      <c r="N20" s="668"/>
      <c r="O20" s="291"/>
      <c r="P20" s="668"/>
      <c r="Q20" s="668"/>
      <c r="R20" s="16"/>
      <c r="S20" s="568"/>
      <c r="T20" s="446" t="s">
        <v>64</v>
      </c>
      <c r="U20" s="369">
        <f>G12</f>
        <v>0</v>
      </c>
      <c r="V20" s="160">
        <f>INDEX('DEFAULT DATA'!$Z$9:$AD$41,START!$C$3,5)</f>
        <v>0.5</v>
      </c>
      <c r="W20" s="160">
        <f>INDEX('DEFAULT DATA'!$DA$9:$DE$41,START!$C$3,5)</f>
        <v>3</v>
      </c>
      <c r="X20" s="160">
        <v>1</v>
      </c>
      <c r="Y20" s="160">
        <v>1</v>
      </c>
      <c r="Z20" s="160">
        <f>INDEX('DEFAULT DATA'!$JE$9:$JI$41,START!$C$3,5)</f>
        <v>0.5</v>
      </c>
      <c r="AA20" s="160">
        <f>INDEX('DEFAULT DATA'!$JQ$9:$JU$41,START!$C$3,5)</f>
        <v>0.5</v>
      </c>
      <c r="AB20" s="160">
        <f>INDEX('DEFAULT DATA'!$KB$9:$KF$41,START!$C$3,5)</f>
        <v>0.5</v>
      </c>
      <c r="AC20" s="161">
        <f>INDEX('DEFAULT DATA'!$LS$9:$LW$41,START!$C$3,5)</f>
        <v>0.2</v>
      </c>
    </row>
    <row r="21" spans="1:63" ht="20.100000000000001" customHeight="1" thickBot="1">
      <c r="A21" s="15"/>
      <c r="B21" s="82" t="s">
        <v>98</v>
      </c>
      <c r="C21" s="82"/>
      <c r="D21" s="82"/>
      <c r="E21" s="82"/>
      <c r="F21" s="82"/>
      <c r="G21" s="82">
        <v>1</v>
      </c>
      <c r="H21" s="82"/>
      <c r="I21" s="668"/>
      <c r="J21" s="668"/>
      <c r="K21" s="668"/>
      <c r="L21" s="668"/>
      <c r="M21" s="668"/>
      <c r="N21" s="668"/>
      <c r="O21" s="291"/>
      <c r="P21" s="668"/>
      <c r="Q21" s="668"/>
      <c r="R21" s="16"/>
      <c r="S21" s="660"/>
      <c r="T21" s="536" t="s">
        <v>1564</v>
      </c>
      <c r="U21" s="661"/>
      <c r="V21" s="560">
        <f>($G$8/100*V16)+($G$9/100*V17)+($G$10/100*V18)+($G$11/100*V19)+($G$12/100*V20)</f>
        <v>1.25</v>
      </c>
      <c r="W21" s="560">
        <f t="shared" ref="W21:AC21" si="29">($G$8/100*W16)+($G$9/100*W17)+($G$10/100*W18)+($G$11/100*W19)+($G$12/100*W20)</f>
        <v>0.95</v>
      </c>
      <c r="X21" s="560">
        <f t="shared" si="29"/>
        <v>1</v>
      </c>
      <c r="Y21" s="560">
        <f t="shared" si="29"/>
        <v>1</v>
      </c>
      <c r="Z21" s="560">
        <f t="shared" si="29"/>
        <v>1.1000000000000001</v>
      </c>
      <c r="AA21" s="560">
        <f t="shared" si="29"/>
        <v>1.5</v>
      </c>
      <c r="AB21" s="560">
        <f t="shared" si="29"/>
        <v>1</v>
      </c>
      <c r="AC21" s="561">
        <f t="shared" si="29"/>
        <v>0.75</v>
      </c>
    </row>
    <row r="22" spans="1:63" ht="20.100000000000001" customHeight="1">
      <c r="A22" s="15"/>
      <c r="B22" s="82" t="s">
        <v>99</v>
      </c>
      <c r="C22" s="82"/>
      <c r="D22" s="82"/>
      <c r="E22" s="82"/>
      <c r="F22" s="82"/>
      <c r="G22" s="82">
        <v>1</v>
      </c>
      <c r="H22" s="82"/>
      <c r="I22" s="668"/>
      <c r="J22" s="668"/>
      <c r="K22" s="668"/>
      <c r="L22" s="668"/>
      <c r="M22" s="668"/>
      <c r="N22" s="668"/>
      <c r="O22" s="291"/>
      <c r="P22" s="668"/>
      <c r="Q22" s="668"/>
      <c r="R22" s="16"/>
    </row>
    <row r="23" spans="1:63" ht="20.100000000000001" customHeight="1" thickBot="1">
      <c r="A23" s="15"/>
      <c r="B23" s="668"/>
      <c r="C23" s="668"/>
      <c r="D23" s="668"/>
      <c r="E23" s="668"/>
      <c r="F23" s="668"/>
      <c r="G23" s="668"/>
      <c r="H23" s="668"/>
      <c r="I23" s="668"/>
      <c r="J23" s="668"/>
      <c r="K23" s="668"/>
      <c r="L23" s="668"/>
      <c r="M23" s="668"/>
      <c r="N23" s="668"/>
      <c r="O23" s="291"/>
      <c r="P23" s="668"/>
      <c r="Q23" s="668"/>
      <c r="R23" s="16"/>
      <c r="S23" s="235" t="s">
        <v>2063</v>
      </c>
      <c r="T23" s="3" t="s">
        <v>2041</v>
      </c>
      <c r="AG23" s="236"/>
    </row>
    <row r="24" spans="1:63" ht="20.100000000000001" customHeight="1">
      <c r="A24" s="752"/>
      <c r="B24" s="414" t="s">
        <v>162</v>
      </c>
      <c r="C24" s="125"/>
      <c r="D24" s="125"/>
      <c r="E24" s="241" t="s">
        <v>65</v>
      </c>
      <c r="F24" s="262"/>
      <c r="G24" s="262"/>
      <c r="H24" s="262"/>
      <c r="I24" s="414" t="s">
        <v>163</v>
      </c>
      <c r="J24" s="125"/>
      <c r="K24" s="125"/>
      <c r="L24" s="241" t="s">
        <v>65</v>
      </c>
      <c r="M24" s="414"/>
      <c r="N24" s="414"/>
      <c r="O24" s="747"/>
      <c r="P24" s="246"/>
      <c r="Q24" s="246"/>
      <c r="R24" s="52"/>
      <c r="S24" s="209" t="s">
        <v>618</v>
      </c>
      <c r="T24" s="1072" t="s">
        <v>2948</v>
      </c>
      <c r="U24" s="537"/>
      <c r="V24" s="152">
        <v>2019</v>
      </c>
      <c r="W24" s="152">
        <v>2020</v>
      </c>
      <c r="X24" s="152">
        <v>2021</v>
      </c>
      <c r="Y24" s="152">
        <f>X24+1</f>
        <v>2022</v>
      </c>
      <c r="Z24" s="152">
        <f t="shared" ref="Z24:AZ24" si="30">Y24+1</f>
        <v>2023</v>
      </c>
      <c r="AA24" s="152">
        <f t="shared" si="30"/>
        <v>2024</v>
      </c>
      <c r="AB24" s="152">
        <f t="shared" si="30"/>
        <v>2025</v>
      </c>
      <c r="AC24" s="152">
        <f t="shared" si="30"/>
        <v>2026</v>
      </c>
      <c r="AD24" s="152">
        <f t="shared" si="30"/>
        <v>2027</v>
      </c>
      <c r="AE24" s="152">
        <f t="shared" si="30"/>
        <v>2028</v>
      </c>
      <c r="AF24" s="152">
        <f t="shared" si="30"/>
        <v>2029</v>
      </c>
      <c r="AG24" s="152">
        <f t="shared" si="30"/>
        <v>2030</v>
      </c>
      <c r="AH24" s="152">
        <f t="shared" si="30"/>
        <v>2031</v>
      </c>
      <c r="AI24" s="152">
        <f t="shared" si="30"/>
        <v>2032</v>
      </c>
      <c r="AJ24" s="152">
        <f t="shared" si="30"/>
        <v>2033</v>
      </c>
      <c r="AK24" s="152">
        <f t="shared" si="30"/>
        <v>2034</v>
      </c>
      <c r="AL24" s="152">
        <f t="shared" si="30"/>
        <v>2035</v>
      </c>
      <c r="AM24" s="152">
        <f t="shared" si="30"/>
        <v>2036</v>
      </c>
      <c r="AN24" s="152">
        <f t="shared" si="30"/>
        <v>2037</v>
      </c>
      <c r="AO24" s="152">
        <f t="shared" si="30"/>
        <v>2038</v>
      </c>
      <c r="AP24" s="152">
        <f t="shared" si="30"/>
        <v>2039</v>
      </c>
      <c r="AQ24" s="152">
        <f>AP24+1</f>
        <v>2040</v>
      </c>
      <c r="AR24" s="152">
        <f t="shared" si="30"/>
        <v>2041</v>
      </c>
      <c r="AS24" s="152">
        <f t="shared" si="30"/>
        <v>2042</v>
      </c>
      <c r="AT24" s="152">
        <f t="shared" si="30"/>
        <v>2043</v>
      </c>
      <c r="AU24" s="152">
        <f>AT24+1</f>
        <v>2044</v>
      </c>
      <c r="AV24" s="152">
        <f t="shared" si="30"/>
        <v>2045</v>
      </c>
      <c r="AW24" s="152">
        <f t="shared" si="30"/>
        <v>2046</v>
      </c>
      <c r="AX24" s="152">
        <f t="shared" si="30"/>
        <v>2047</v>
      </c>
      <c r="AY24" s="152">
        <f t="shared" si="30"/>
        <v>2048</v>
      </c>
      <c r="AZ24" s="152">
        <f t="shared" si="30"/>
        <v>2049</v>
      </c>
      <c r="BA24" s="153">
        <f>AZ24+1</f>
        <v>2050</v>
      </c>
    </row>
    <row r="25" spans="1:63" ht="20.100000000000001" customHeight="1" thickBot="1">
      <c r="A25" s="15"/>
      <c r="B25" s="82" t="str">
        <f>INDEX('MENU OPTIONS'!$F$3:$AL$9,1,START!$C$3)</f>
        <v>Bucharest</v>
      </c>
      <c r="C25" s="82"/>
      <c r="D25" s="668"/>
      <c r="E25" s="445">
        <v>100</v>
      </c>
      <c r="F25" s="668"/>
      <c r="G25" s="668"/>
      <c r="H25" s="668"/>
      <c r="I25" s="82" t="str">
        <f>INDEX('MENU OPTIONS'!$F$23:$AL$80,1,START!$C$3)</f>
        <v>Arad</v>
      </c>
      <c r="J25" s="668"/>
      <c r="K25" s="668"/>
      <c r="L25" s="445">
        <v>100</v>
      </c>
      <c r="M25" s="668"/>
      <c r="N25" s="668"/>
      <c r="O25" s="291"/>
      <c r="P25" s="668"/>
      <c r="Q25" s="668"/>
      <c r="R25" s="52"/>
      <c r="S25" s="539" t="s">
        <v>616</v>
      </c>
      <c r="T25" s="538" t="s">
        <v>2656</v>
      </c>
      <c r="U25" s="155" t="s">
        <v>2908</v>
      </c>
      <c r="V25" s="540"/>
      <c r="W25" s="540"/>
      <c r="X25" s="160">
        <f>INDEX('DEFAULT DATA'!$P$9:$P$41,START!$C$3,1)/INDEX('DEFAULT DATA'!$Q$9:$Q$41,START!$C$3,1)*V21*INDEX('DEFAULT DATA'!$ME$9:$MH$41,START!$C$3,G19)</f>
        <v>55.540841414749089</v>
      </c>
      <c r="Y25" s="160">
        <f>X25*(100+INDEX('DEFAULT DATA'!$R$9:$T$41,START!$C$3,1))/100</f>
        <v>55.985168146067082</v>
      </c>
      <c r="Z25" s="160">
        <f>Y25*(100+INDEX('DEFAULT DATA'!$R$9:$T$41,START!$C$3,1))/100</f>
        <v>56.433049491235614</v>
      </c>
      <c r="AA25" s="160">
        <f>Z25*(100+INDEX('DEFAULT DATA'!$R$9:$T$41,START!$C$3,1))/100</f>
        <v>56.884513887165497</v>
      </c>
      <c r="AB25" s="160">
        <f>AA25*(100+INDEX('DEFAULT DATA'!$R$9:$T$41,START!$C$3,1))/100</f>
        <v>57.339589998262817</v>
      </c>
      <c r="AC25" s="160">
        <f>AB25*(100+INDEX('DEFAULT DATA'!$R$9:$T$41,START!$C$3,1))/100</f>
        <v>57.798306718248917</v>
      </c>
      <c r="AD25" s="160">
        <f>AC25*(100+INDEX('DEFAULT DATA'!$R$9:$T$41,START!$C$3,1))/100</f>
        <v>58.260693171994909</v>
      </c>
      <c r="AE25" s="160">
        <f>AD25*(100+INDEX('DEFAULT DATA'!$R$9:$T$41,START!$C$3,1))/100</f>
        <v>58.726778717370863</v>
      </c>
      <c r="AF25" s="160">
        <f>AE25*(100+INDEX('DEFAULT DATA'!$R$9:$T$41,START!$C$3,1))/100</f>
        <v>59.196592947109828</v>
      </c>
      <c r="AG25" s="160">
        <f>AF25*(100+INDEX('DEFAULT DATA'!$R$9:$T$41,START!$C$3,1))/100</f>
        <v>59.670165690686709</v>
      </c>
      <c r="AH25" s="160">
        <f>AG25*(100+INDEX('DEFAULT DATA'!$R$9:$T$41,START!$C$3,2))/100</f>
        <v>60.087856850521518</v>
      </c>
      <c r="AI25" s="160">
        <f>AH25*(100+INDEX('DEFAULT DATA'!$R$9:$T$41,START!$C$3,2))/100</f>
        <v>60.508471848475175</v>
      </c>
      <c r="AJ25" s="160">
        <f>AI25*(100+INDEX('DEFAULT DATA'!$R$9:$T$41,START!$C$3,2))/100</f>
        <v>60.932031151414506</v>
      </c>
      <c r="AK25" s="160">
        <f>AJ25*(100+INDEX('DEFAULT DATA'!$R$9:$T$41,START!$C$3,2))/100</f>
        <v>61.358555369474409</v>
      </c>
      <c r="AL25" s="160">
        <f>AK25*(100+INDEX('DEFAULT DATA'!$R$9:$T$41,START!$C$3,2))/100</f>
        <v>61.788065257060737</v>
      </c>
      <c r="AM25" s="160">
        <f>AL25*(100+INDEX('DEFAULT DATA'!$R$9:$T$41,START!$C$3,2))/100</f>
        <v>62.220581713860163</v>
      </c>
      <c r="AN25" s="160">
        <f>AM25*(100+INDEX('DEFAULT DATA'!$R$9:$T$41,START!$C$3,2))/100</f>
        <v>62.656125785857185</v>
      </c>
      <c r="AO25" s="160">
        <f>AN25*(100+INDEX('DEFAULT DATA'!$R$9:$T$41,START!$C$3,2))/100</f>
        <v>63.094718666358183</v>
      </c>
      <c r="AP25" s="160">
        <f>AO25*(100+INDEX('DEFAULT DATA'!$R$9:$T$41,START!$C$3,2))/100</f>
        <v>63.536381697022691</v>
      </c>
      <c r="AQ25" s="160">
        <f>AP25*(100+INDEX('DEFAULT DATA'!$R$9:$T$41,START!$C$3,2))/100</f>
        <v>63.981136368901851</v>
      </c>
      <c r="AR25" s="160">
        <f>AQ25*(100+INDEX('DEFAULT DATA'!$R$9:$T$41,START!$C$3,3))/100</f>
        <v>64.429004323484165</v>
      </c>
      <c r="AS25" s="160">
        <f>AR25*(100+INDEX('DEFAULT DATA'!$R$9:$T$41,START!$C$3,3))/100</f>
        <v>64.880007353748553</v>
      </c>
      <c r="AT25" s="160">
        <f>AS25*(100+INDEX('DEFAULT DATA'!$R$9:$T$41,START!$C$3,3))/100</f>
        <v>65.334167405224804</v>
      </c>
      <c r="AU25" s="160">
        <f>AT25*(100+INDEX('DEFAULT DATA'!$R$9:$T$41,START!$C$3,3))/100</f>
        <v>65.791506577061384</v>
      </c>
      <c r="AV25" s="160">
        <f>AU25*(100+INDEX('DEFAULT DATA'!$R$9:$T$41,START!$C$3,3))/100</f>
        <v>66.252047123100823</v>
      </c>
      <c r="AW25" s="160">
        <f>AV25*(100+INDEX('DEFAULT DATA'!$R$9:$T$41,START!$C$3,3))/100</f>
        <v>66.715811452962541</v>
      </c>
      <c r="AX25" s="160">
        <f>AW25*(100+INDEX('DEFAULT DATA'!$R$9:$T$41,START!$C$3,3))/100</f>
        <v>67.182822133133271</v>
      </c>
      <c r="AY25" s="160">
        <f>AX25*(100+INDEX('DEFAULT DATA'!$R$9:$T$41,START!$C$3,3))/100</f>
        <v>67.653101888065208</v>
      </c>
      <c r="AZ25" s="160">
        <f>AY25*(100+INDEX('DEFAULT DATA'!$R$9:$T$41,START!$C$3,3))/100</f>
        <v>68.126673601281666</v>
      </c>
      <c r="BA25" s="161">
        <f>AZ25*(100+INDEX('DEFAULT DATA'!$R$9:$T$41,START!$C$3,3))/100</f>
        <v>68.603560316490643</v>
      </c>
      <c r="BB25" s="16"/>
      <c r="BC25" s="16"/>
      <c r="BD25" s="16"/>
    </row>
    <row r="26" spans="1:63" ht="20.100000000000001" customHeight="1" thickBot="1">
      <c r="A26" s="15"/>
      <c r="B26" s="82" t="str">
        <f>INDEX('MENU OPTIONS'!$F$3:$AL$9,2,START!$C$3)</f>
        <v>-</v>
      </c>
      <c r="C26" s="82"/>
      <c r="D26" s="668"/>
      <c r="E26" s="445">
        <v>0</v>
      </c>
      <c r="F26" s="668"/>
      <c r="G26" s="668"/>
      <c r="H26" s="668"/>
      <c r="I26" s="82" t="str">
        <f>INDEX('MENU OPTIONS'!$F$23:$AL$80,2,START!$C$3)</f>
        <v>Botoșani</v>
      </c>
      <c r="J26" s="668"/>
      <c r="K26" s="668"/>
      <c r="L26" s="445">
        <v>100</v>
      </c>
      <c r="M26" s="668"/>
      <c r="N26" s="668"/>
      <c r="O26" s="291"/>
      <c r="P26" s="668"/>
      <c r="Q26" s="668"/>
      <c r="R26" s="52"/>
      <c r="S26" s="16"/>
      <c r="T26" s="16"/>
      <c r="U26" s="16"/>
      <c r="V26" s="16"/>
      <c r="W26" s="16"/>
      <c r="X26" s="669"/>
      <c r="Y26" s="669"/>
      <c r="Z26" s="669"/>
      <c r="AA26" s="669"/>
      <c r="AB26" s="669"/>
      <c r="AC26" s="16"/>
      <c r="AD26" s="16"/>
      <c r="AE26" s="16"/>
      <c r="AF26" s="16"/>
      <c r="AG26" s="16"/>
      <c r="AH26" s="16"/>
      <c r="AI26" s="16"/>
      <c r="AJ26" s="16"/>
      <c r="AK26" s="16"/>
      <c r="AL26" s="16"/>
      <c r="AM26" s="16"/>
      <c r="AN26" s="16"/>
      <c r="AO26" s="16"/>
      <c r="AP26" s="16"/>
      <c r="AQ26" s="16"/>
      <c r="AR26" s="16"/>
      <c r="AS26" s="16"/>
      <c r="AT26" s="16"/>
      <c r="AU26" s="16"/>
      <c r="AV26" s="16"/>
      <c r="AW26" s="16"/>
      <c r="AX26" s="16"/>
      <c r="AY26" s="16"/>
      <c r="AZ26" s="16"/>
      <c r="BA26" s="16"/>
      <c r="BB26" s="16"/>
      <c r="BC26" s="16"/>
      <c r="BD26" s="16"/>
    </row>
    <row r="27" spans="1:63" ht="20.100000000000001" customHeight="1" thickBot="1">
      <c r="A27" s="15"/>
      <c r="B27" s="82" t="str">
        <f>INDEX('MENU OPTIONS'!$F$3:$AL$9,3,START!$C$3)</f>
        <v>-</v>
      </c>
      <c r="C27" s="82"/>
      <c r="D27" s="668"/>
      <c r="E27" s="445">
        <v>0</v>
      </c>
      <c r="F27" s="668"/>
      <c r="G27" s="668"/>
      <c r="H27" s="668"/>
      <c r="I27" s="82" t="str">
        <f>INDEX('MENU OPTIONS'!$F$23:$AL$80,3,START!$C$3)</f>
        <v>Brăila</v>
      </c>
      <c r="J27" s="668"/>
      <c r="K27" s="668"/>
      <c r="L27" s="445">
        <v>100</v>
      </c>
      <c r="M27" s="668"/>
      <c r="N27" s="668"/>
      <c r="O27" s="291"/>
      <c r="P27" s="668"/>
      <c r="Q27" s="668"/>
      <c r="R27" s="52"/>
      <c r="S27" s="641" t="s">
        <v>2030</v>
      </c>
      <c r="T27" s="541" t="s">
        <v>2034</v>
      </c>
      <c r="U27" s="1489" t="s">
        <v>2031</v>
      </c>
      <c r="V27" s="1489"/>
      <c r="W27" s="1489"/>
      <c r="X27" s="1486" t="s">
        <v>632</v>
      </c>
      <c r="Y27" s="1487"/>
      <c r="Z27" s="1487"/>
      <c r="AA27" s="1487"/>
      <c r="AB27" s="1487"/>
      <c r="AC27" s="1487"/>
      <c r="AD27" s="1487"/>
      <c r="AE27" s="1487"/>
      <c r="AF27" s="1487"/>
      <c r="AG27" s="1487"/>
      <c r="AH27" s="1487"/>
      <c r="AI27" s="1487"/>
      <c r="AJ27" s="1487"/>
      <c r="AK27" s="1487"/>
      <c r="AL27" s="1487"/>
      <c r="AM27" s="1487"/>
      <c r="AN27" s="1487"/>
      <c r="AO27" s="1487"/>
      <c r="AP27" s="1487"/>
      <c r="AQ27" s="1487"/>
      <c r="AR27" s="1487"/>
      <c r="AS27" s="1487"/>
      <c r="AT27" s="1487"/>
      <c r="AU27" s="1487"/>
      <c r="AV27" s="1487"/>
      <c r="AW27" s="1487"/>
      <c r="AX27" s="1487"/>
      <c r="AY27" s="1487"/>
      <c r="AZ27" s="1487"/>
      <c r="BA27" s="1488"/>
      <c r="BB27" s="16"/>
      <c r="BC27" s="16"/>
    </row>
    <row r="28" spans="1:63" ht="20.100000000000001" customHeight="1">
      <c r="A28" s="15"/>
      <c r="B28" s="82" t="str">
        <f>INDEX('MENU OPTIONS'!$F$3:$AL$9,4,START!$C$3)</f>
        <v>-</v>
      </c>
      <c r="C28" s="82"/>
      <c r="D28" s="668"/>
      <c r="E28" s="445">
        <v>0</v>
      </c>
      <c r="F28" s="668"/>
      <c r="G28" s="668"/>
      <c r="H28" s="668"/>
      <c r="I28" s="82" t="str">
        <f>INDEX('MENU OPTIONS'!$F$23:$AL$80,4,START!$C$3)</f>
        <v>Bucharest</v>
      </c>
      <c r="J28" s="668"/>
      <c r="K28" s="668"/>
      <c r="L28" s="445">
        <v>0</v>
      </c>
      <c r="M28" s="668"/>
      <c r="N28" s="668"/>
      <c r="O28" s="291"/>
      <c r="P28" s="668"/>
      <c r="Q28" s="668"/>
      <c r="R28" s="52"/>
      <c r="S28" s="542" t="s">
        <v>579</v>
      </c>
      <c r="T28" s="383"/>
      <c r="U28" s="777" t="s">
        <v>580</v>
      </c>
      <c r="V28" s="389" t="s">
        <v>581</v>
      </c>
      <c r="W28" s="389" t="s">
        <v>582</v>
      </c>
      <c r="X28" s="390">
        <f t="shared" ref="X28:BA28" si="31">X24</f>
        <v>2021</v>
      </c>
      <c r="Y28" s="115">
        <f t="shared" si="31"/>
        <v>2022</v>
      </c>
      <c r="Z28" s="115">
        <f t="shared" si="31"/>
        <v>2023</v>
      </c>
      <c r="AA28" s="115">
        <f t="shared" si="31"/>
        <v>2024</v>
      </c>
      <c r="AB28" s="115">
        <f t="shared" si="31"/>
        <v>2025</v>
      </c>
      <c r="AC28" s="115">
        <f t="shared" si="31"/>
        <v>2026</v>
      </c>
      <c r="AD28" s="115">
        <f t="shared" si="31"/>
        <v>2027</v>
      </c>
      <c r="AE28" s="115">
        <f t="shared" si="31"/>
        <v>2028</v>
      </c>
      <c r="AF28" s="115">
        <f t="shared" si="31"/>
        <v>2029</v>
      </c>
      <c r="AG28" s="115">
        <f t="shared" si="31"/>
        <v>2030</v>
      </c>
      <c r="AH28" s="115">
        <f t="shared" si="31"/>
        <v>2031</v>
      </c>
      <c r="AI28" s="115">
        <f t="shared" si="31"/>
        <v>2032</v>
      </c>
      <c r="AJ28" s="115">
        <f t="shared" si="31"/>
        <v>2033</v>
      </c>
      <c r="AK28" s="115">
        <f t="shared" si="31"/>
        <v>2034</v>
      </c>
      <c r="AL28" s="115">
        <f t="shared" si="31"/>
        <v>2035</v>
      </c>
      <c r="AM28" s="115">
        <f t="shared" si="31"/>
        <v>2036</v>
      </c>
      <c r="AN28" s="115">
        <f t="shared" si="31"/>
        <v>2037</v>
      </c>
      <c r="AO28" s="115">
        <f t="shared" si="31"/>
        <v>2038</v>
      </c>
      <c r="AP28" s="115">
        <f t="shared" si="31"/>
        <v>2039</v>
      </c>
      <c r="AQ28" s="115">
        <f t="shared" si="31"/>
        <v>2040</v>
      </c>
      <c r="AR28" s="115">
        <f t="shared" si="31"/>
        <v>2041</v>
      </c>
      <c r="AS28" s="115">
        <f t="shared" si="31"/>
        <v>2042</v>
      </c>
      <c r="AT28" s="115">
        <f t="shared" si="31"/>
        <v>2043</v>
      </c>
      <c r="AU28" s="115">
        <f t="shared" si="31"/>
        <v>2044</v>
      </c>
      <c r="AV28" s="115">
        <f t="shared" si="31"/>
        <v>2045</v>
      </c>
      <c r="AW28" s="115">
        <f t="shared" si="31"/>
        <v>2046</v>
      </c>
      <c r="AX28" s="115">
        <f t="shared" si="31"/>
        <v>2047</v>
      </c>
      <c r="AY28" s="115">
        <f t="shared" si="31"/>
        <v>2048</v>
      </c>
      <c r="AZ28" s="115">
        <f t="shared" si="31"/>
        <v>2049</v>
      </c>
      <c r="BA28" s="323">
        <f t="shared" si="31"/>
        <v>2050</v>
      </c>
      <c r="BB28" s="16"/>
      <c r="BC28" s="550" t="s">
        <v>2033</v>
      </c>
      <c r="BD28" s="492" t="s">
        <v>2032</v>
      </c>
      <c r="BE28" s="551" t="s">
        <v>1789</v>
      </c>
    </row>
    <row r="29" spans="1:63" ht="20.100000000000001" customHeight="1">
      <c r="A29" s="15"/>
      <c r="B29" s="82" t="str">
        <f>INDEX('MENU OPTIONS'!$F$3:$AL$9,5,START!$C$3)</f>
        <v>-</v>
      </c>
      <c r="C29" s="82"/>
      <c r="D29" s="668"/>
      <c r="E29" s="445">
        <v>0</v>
      </c>
      <c r="F29" s="668"/>
      <c r="G29" s="668"/>
      <c r="H29" s="668"/>
      <c r="I29" s="82" t="str">
        <f>INDEX('MENU OPTIONS'!$F$23:$AL$80,5,START!$C$3)</f>
        <v>Cluj-Napoca</v>
      </c>
      <c r="J29" s="668"/>
      <c r="K29" s="668"/>
      <c r="L29" s="445">
        <v>0</v>
      </c>
      <c r="M29" s="668"/>
      <c r="N29" s="668"/>
      <c r="O29" s="291"/>
      <c r="P29" s="668"/>
      <c r="Q29" s="668"/>
      <c r="R29" s="52"/>
      <c r="S29" s="542" t="s">
        <v>583</v>
      </c>
      <c r="T29" s="383" t="str">
        <f>CONCATENATE($BD$28,"= ",BC29,"; ",$BC$28,": ",BD29,"; ",$BE$28,": ",BE29)</f>
        <v>EFbus_road= BUS_COL16; EFbus_street: BUS_COL21; Share: BUS_COL6</v>
      </c>
      <c r="U29" s="974">
        <f>0.4*V29+0.6*W29</f>
        <v>364.57793568343214</v>
      </c>
      <c r="V29" s="76">
        <f>INDEX('DEFAULT DATA'!$AJ$9:$AN$41,START!$C$3,1)</f>
        <v>261.91600618637949</v>
      </c>
      <c r="W29" s="76">
        <f>INDEX('DEFAULT DATA'!$AE$9:$AI$41,START!$C$3,1)</f>
        <v>433.01922201480062</v>
      </c>
      <c r="X29" s="72">
        <f>INDEX('DEFAULT DATA'!$U$9:$Y$41,START!$C$3,1)</f>
        <v>0.2</v>
      </c>
      <c r="Y29" s="389">
        <f>INDEX('DEFAULT DATA'!$U$9:$Y$41,START!$C$3,1)</f>
        <v>0.2</v>
      </c>
      <c r="Z29" s="389">
        <f>INDEX('DEFAULT DATA'!$U$9:$Y$41,START!$C$3,1)</f>
        <v>0.2</v>
      </c>
      <c r="AA29" s="389">
        <f>INDEX('DEFAULT DATA'!$U$9:$Y$41,START!$C$3,1)</f>
        <v>0.2</v>
      </c>
      <c r="AB29" s="389">
        <f>INDEX('DEFAULT DATA'!$U$9:$Y$41,START!$C$3,1)</f>
        <v>0.2</v>
      </c>
      <c r="AC29" s="389">
        <f>INDEX('DEFAULT DATA'!$U$9:$Y$41,START!$C$3,1)</f>
        <v>0.2</v>
      </c>
      <c r="AD29" s="389">
        <f>INDEX('DEFAULT DATA'!$U$9:$Y$41,START!$C$3,1)</f>
        <v>0.2</v>
      </c>
      <c r="AE29" s="389">
        <f>INDEX('DEFAULT DATA'!$U$9:$Y$41,START!$C$3,1)</f>
        <v>0.2</v>
      </c>
      <c r="AF29" s="389">
        <f>INDEX('DEFAULT DATA'!$U$9:$Y$41,START!$C$3,1)</f>
        <v>0.2</v>
      </c>
      <c r="AG29" s="389">
        <f>INDEX('DEFAULT DATA'!$U$9:$Y$41,START!$C$3,1)</f>
        <v>0.2</v>
      </c>
      <c r="AH29" s="389">
        <f>INDEX('DEFAULT DATA'!$U$9:$Y$41,START!$C$3,1)</f>
        <v>0.2</v>
      </c>
      <c r="AI29" s="389">
        <f>INDEX('DEFAULT DATA'!$U$9:$Y$41,START!$C$3,1)</f>
        <v>0.2</v>
      </c>
      <c r="AJ29" s="389">
        <f>INDEX('DEFAULT DATA'!$U$9:$Y$41,START!$C$3,1)</f>
        <v>0.2</v>
      </c>
      <c r="AK29" s="389">
        <f>INDEX('DEFAULT DATA'!$U$9:$Y$41,START!$C$3,1)</f>
        <v>0.2</v>
      </c>
      <c r="AL29" s="389">
        <f>INDEX('DEFAULT DATA'!$U$9:$Y$41,START!$C$3,1)</f>
        <v>0.2</v>
      </c>
      <c r="AM29" s="389">
        <f>INDEX('DEFAULT DATA'!$U$9:$Y$41,START!$C$3,1)</f>
        <v>0.2</v>
      </c>
      <c r="AN29" s="389">
        <f>INDEX('DEFAULT DATA'!$U$9:$Y$41,START!$C$3,1)</f>
        <v>0.2</v>
      </c>
      <c r="AO29" s="389">
        <f>INDEX('DEFAULT DATA'!$U$9:$Y$41,START!$C$3,1)</f>
        <v>0.2</v>
      </c>
      <c r="AP29" s="389">
        <f>INDEX('DEFAULT DATA'!$U$9:$Y$41,START!$C$3,1)</f>
        <v>0.2</v>
      </c>
      <c r="AQ29" s="389">
        <f>INDEX('DEFAULT DATA'!$U$9:$Y$41,START!$C$3,1)</f>
        <v>0.2</v>
      </c>
      <c r="AR29" s="389">
        <f>INDEX('DEFAULT DATA'!$U$9:$Y$41,START!$C$3,1)</f>
        <v>0.2</v>
      </c>
      <c r="AS29" s="389">
        <f>INDEX('DEFAULT DATA'!$U$9:$Y$41,START!$C$3,1)</f>
        <v>0.2</v>
      </c>
      <c r="AT29" s="389">
        <f>INDEX('DEFAULT DATA'!$U$9:$Y$41,START!$C$3,1)</f>
        <v>0.2</v>
      </c>
      <c r="AU29" s="389">
        <f>INDEX('DEFAULT DATA'!$U$9:$Y$41,START!$C$3,1)</f>
        <v>0.2</v>
      </c>
      <c r="AV29" s="389">
        <f>INDEX('DEFAULT DATA'!$U$9:$Y$41,START!$C$3,1)</f>
        <v>0.2</v>
      </c>
      <c r="AW29" s="389">
        <f>INDEX('DEFAULT DATA'!$U$9:$Y$41,START!$C$3,1)</f>
        <v>0.2</v>
      </c>
      <c r="AX29" s="389">
        <f>INDEX('DEFAULT DATA'!$U$9:$Y$41,START!$C$3,1)</f>
        <v>0.2</v>
      </c>
      <c r="AY29" s="389">
        <f>INDEX('DEFAULT DATA'!$U$9:$Y$41,START!$C$3,1)</f>
        <v>0.2</v>
      </c>
      <c r="AZ29" s="389">
        <f>INDEX('DEFAULT DATA'!$U$9:$Y$41,START!$C$3,1)</f>
        <v>0.2</v>
      </c>
      <c r="BA29" s="543">
        <f>INDEX('DEFAULT DATA'!$U$9:$Y$41,START!$C$3,1)</f>
        <v>0.2</v>
      </c>
      <c r="BB29" s="16"/>
      <c r="BC29" s="552" t="s">
        <v>199</v>
      </c>
      <c r="BD29" s="383" t="s">
        <v>1702</v>
      </c>
      <c r="BE29" s="553" t="s">
        <v>84</v>
      </c>
    </row>
    <row r="30" spans="1:63" ht="20.100000000000001" customHeight="1" thickBot="1">
      <c r="A30" s="15"/>
      <c r="B30" s="82" t="str">
        <f>INDEX('MENU OPTIONS'!$F$3:$AL$9,6,START!$C$3)</f>
        <v>-</v>
      </c>
      <c r="C30" s="82"/>
      <c r="D30" s="668"/>
      <c r="E30" s="445">
        <v>0</v>
      </c>
      <c r="F30" s="668"/>
      <c r="G30" s="668"/>
      <c r="H30" s="668"/>
      <c r="I30" s="82" t="str">
        <f>INDEX('MENU OPTIONS'!$F$23:$AL$80,6,START!$C$3)</f>
        <v>Craiova</v>
      </c>
      <c r="J30" s="668"/>
      <c r="K30" s="668"/>
      <c r="L30" s="445">
        <v>0</v>
      </c>
      <c r="M30" s="668"/>
      <c r="N30" s="668"/>
      <c r="O30" s="291"/>
      <c r="P30" s="668"/>
      <c r="Q30" s="668"/>
      <c r="R30" s="52"/>
      <c r="S30" s="542" t="s">
        <v>584</v>
      </c>
      <c r="T30" s="383" t="str">
        <f>CONCATENATE($BD$28,"= ",BC30,"; ",$BC$28,": ",BD30,"; ",$BE$28,": ",BE30)</f>
        <v>EFbus_road= BUS_COL17; EFbus_street: BUS_COL22; Share: BUS_COL7</v>
      </c>
      <c r="U30" s="974">
        <f t="shared" ref="U30:U32" si="32">0.4*V30+0.6*W30</f>
        <v>396.28036487329581</v>
      </c>
      <c r="V30" s="76">
        <f>INDEX('DEFAULT DATA'!$AJ$9:$AN$41,START!$C$3,2)</f>
        <v>284.69131107215162</v>
      </c>
      <c r="W30" s="390">
        <f>INDEX('DEFAULT DATA'!$AE$9:$AI$41,START!$C$3,2)</f>
        <v>470.67306740739195</v>
      </c>
      <c r="X30" s="389">
        <f>INDEX('DEFAULT DATA'!$U$9:$Y$41,START!$C$3,2)</f>
        <v>0.1</v>
      </c>
      <c r="Y30" s="389">
        <f>INDEX('DEFAULT DATA'!$U$9:$Y$41,START!$C$3,2)</f>
        <v>0.1</v>
      </c>
      <c r="Z30" s="389">
        <f>INDEX('DEFAULT DATA'!$U$9:$Y$41,START!$C$3,2)</f>
        <v>0.1</v>
      </c>
      <c r="AA30" s="389">
        <f>INDEX('DEFAULT DATA'!$U$9:$Y$41,START!$C$3,2)</f>
        <v>0.1</v>
      </c>
      <c r="AB30" s="389">
        <f>INDEX('DEFAULT DATA'!$U$9:$Y$41,START!$C$3,2)</f>
        <v>0.1</v>
      </c>
      <c r="AC30" s="389">
        <f>INDEX('DEFAULT DATA'!$U$9:$Y$41,START!$C$3,2)</f>
        <v>0.1</v>
      </c>
      <c r="AD30" s="389">
        <f>INDEX('DEFAULT DATA'!$U$9:$Y$41,START!$C$3,2)</f>
        <v>0.1</v>
      </c>
      <c r="AE30" s="389">
        <f>INDEX('DEFAULT DATA'!$U$9:$Y$41,START!$C$3,2)</f>
        <v>0.1</v>
      </c>
      <c r="AF30" s="389">
        <f>INDEX('DEFAULT DATA'!$U$9:$Y$41,START!$C$3,2)</f>
        <v>0.1</v>
      </c>
      <c r="AG30" s="389">
        <f>INDEX('DEFAULT DATA'!$U$9:$Y$41,START!$C$3,2)</f>
        <v>0.1</v>
      </c>
      <c r="AH30" s="389">
        <f>INDEX('DEFAULT DATA'!$U$9:$Y$41,START!$C$3,2)</f>
        <v>0.1</v>
      </c>
      <c r="AI30" s="389">
        <f>INDEX('DEFAULT DATA'!$U$9:$Y$41,START!$C$3,2)</f>
        <v>0.1</v>
      </c>
      <c r="AJ30" s="389">
        <f>INDEX('DEFAULT DATA'!$U$9:$Y$41,START!$C$3,2)</f>
        <v>0.1</v>
      </c>
      <c r="AK30" s="389">
        <f>INDEX('DEFAULT DATA'!$U$9:$Y$41,START!$C$3,2)</f>
        <v>0.1</v>
      </c>
      <c r="AL30" s="389">
        <f>INDEX('DEFAULT DATA'!$U$9:$Y$41,START!$C$3,2)</f>
        <v>0.1</v>
      </c>
      <c r="AM30" s="389">
        <f>INDEX('DEFAULT DATA'!$U$9:$Y$41,START!$C$3,2)</f>
        <v>0.1</v>
      </c>
      <c r="AN30" s="389">
        <f>INDEX('DEFAULT DATA'!$U$9:$Y$41,START!$C$3,2)</f>
        <v>0.1</v>
      </c>
      <c r="AO30" s="389">
        <f>INDEX('DEFAULT DATA'!$U$9:$Y$41,START!$C$3,2)</f>
        <v>0.1</v>
      </c>
      <c r="AP30" s="389">
        <f>INDEX('DEFAULT DATA'!$U$9:$Y$41,START!$C$3,2)</f>
        <v>0.1</v>
      </c>
      <c r="AQ30" s="389">
        <f>INDEX('DEFAULT DATA'!$U$9:$Y$41,START!$C$3,2)</f>
        <v>0.1</v>
      </c>
      <c r="AR30" s="389">
        <f>INDEX('DEFAULT DATA'!$U$9:$Y$41,START!$C$3,2)</f>
        <v>0.1</v>
      </c>
      <c r="AS30" s="389">
        <f>INDEX('DEFAULT DATA'!$U$9:$Y$41,START!$C$3,2)</f>
        <v>0.1</v>
      </c>
      <c r="AT30" s="389">
        <f>INDEX('DEFAULT DATA'!$U$9:$Y$41,START!$C$3,2)</f>
        <v>0.1</v>
      </c>
      <c r="AU30" s="389">
        <f>INDEX('DEFAULT DATA'!$U$9:$Y$41,START!$C$3,2)</f>
        <v>0.1</v>
      </c>
      <c r="AV30" s="389">
        <f>INDEX('DEFAULT DATA'!$U$9:$Y$41,START!$C$3,2)</f>
        <v>0.1</v>
      </c>
      <c r="AW30" s="389">
        <f>INDEX('DEFAULT DATA'!$U$9:$Y$41,START!$C$3,2)</f>
        <v>0.1</v>
      </c>
      <c r="AX30" s="389">
        <f>INDEX('DEFAULT DATA'!$U$9:$Y$41,START!$C$3,2)</f>
        <v>0.1</v>
      </c>
      <c r="AY30" s="389">
        <f>INDEX('DEFAULT DATA'!$U$9:$Y$41,START!$C$3,2)</f>
        <v>0.1</v>
      </c>
      <c r="AZ30" s="389">
        <f>INDEX('DEFAULT DATA'!$U$9:$Y$41,START!$C$3,2)</f>
        <v>0.1</v>
      </c>
      <c r="BA30" s="543">
        <f>INDEX('DEFAULT DATA'!$U$9:$Y$41,START!$C$3,2)</f>
        <v>0.1</v>
      </c>
      <c r="BB30" s="16"/>
      <c r="BC30" s="552" t="s">
        <v>1698</v>
      </c>
      <c r="BD30" s="383" t="s">
        <v>1703</v>
      </c>
      <c r="BE30" s="553" t="s">
        <v>143</v>
      </c>
      <c r="BG30" s="130" t="s">
        <v>2299</v>
      </c>
    </row>
    <row r="31" spans="1:63" ht="20.100000000000001" customHeight="1">
      <c r="A31" s="15"/>
      <c r="B31" s="82" t="str">
        <f>INDEX('MENU OPTIONS'!$F$3:$AL$9,7,START!$C$3)</f>
        <v>-</v>
      </c>
      <c r="C31" s="82"/>
      <c r="D31" s="668"/>
      <c r="E31" s="445">
        <v>0</v>
      </c>
      <c r="F31" s="668"/>
      <c r="G31" s="668"/>
      <c r="H31" s="668"/>
      <c r="I31" s="82" t="str">
        <f>INDEX('MENU OPTIONS'!$F$23:$AL$80,7,START!$C$3)</f>
        <v>Galați</v>
      </c>
      <c r="J31" s="668"/>
      <c r="K31" s="668"/>
      <c r="L31" s="445">
        <v>0</v>
      </c>
      <c r="M31" s="668"/>
      <c r="N31" s="668"/>
      <c r="O31" s="291"/>
      <c r="P31" s="668"/>
      <c r="Q31" s="668"/>
      <c r="R31" s="52"/>
      <c r="S31" s="542" t="s">
        <v>577</v>
      </c>
      <c r="T31" s="383" t="str">
        <f>CONCATENATE($BD$28,"= ",BC31,"; ",$BC$28,": ",BD31,"; ",$BE$28,": ",BE31)</f>
        <v>EFbus_road= BUS_COL18; EFbus_street: BUS_COL23; Share: 100 - others</v>
      </c>
      <c r="U31" s="974">
        <f t="shared" si="32"/>
        <v>364.87514595708711</v>
      </c>
      <c r="V31" s="76">
        <f>INDEX('DEFAULT DATA'!$AJ$9:$AN$41,START!$C$3,3)</f>
        <v>262.12952466968363</v>
      </c>
      <c r="W31" s="390">
        <f>INDEX('DEFAULT DATA'!$AE$9:$AI$41,START!$C$3,3)</f>
        <v>433.37222681535616</v>
      </c>
      <c r="X31" s="389">
        <f>100-(X29+X30+X32+X33)</f>
        <v>99.58</v>
      </c>
      <c r="Y31" s="389">
        <f>100-(Y29+Y30+Y32+Y33)</f>
        <v>99.56</v>
      </c>
      <c r="Z31" s="389">
        <f t="shared" ref="Z31:BA31" si="33">100-(Z29+Z30+Z32+Z33)</f>
        <v>99.54</v>
      </c>
      <c r="AA31" s="389">
        <f t="shared" si="33"/>
        <v>99.52</v>
      </c>
      <c r="AB31" s="389">
        <f t="shared" si="33"/>
        <v>99.5</v>
      </c>
      <c r="AC31" s="389">
        <f t="shared" si="33"/>
        <v>99.46</v>
      </c>
      <c r="AD31" s="389">
        <f t="shared" si="33"/>
        <v>99.42</v>
      </c>
      <c r="AE31" s="389">
        <f t="shared" si="33"/>
        <v>99.38</v>
      </c>
      <c r="AF31" s="389">
        <f t="shared" si="33"/>
        <v>99.34</v>
      </c>
      <c r="AG31" s="389">
        <f t="shared" si="33"/>
        <v>99.3</v>
      </c>
      <c r="AH31" s="389">
        <f t="shared" si="33"/>
        <v>99.26</v>
      </c>
      <c r="AI31" s="389">
        <f t="shared" si="33"/>
        <v>99.22</v>
      </c>
      <c r="AJ31" s="389">
        <f t="shared" si="33"/>
        <v>99.18</v>
      </c>
      <c r="AK31" s="389">
        <f t="shared" si="33"/>
        <v>99.14</v>
      </c>
      <c r="AL31" s="389">
        <f t="shared" si="33"/>
        <v>99.1</v>
      </c>
      <c r="AM31" s="389">
        <f t="shared" si="33"/>
        <v>99.04</v>
      </c>
      <c r="AN31" s="389">
        <f t="shared" si="33"/>
        <v>98.98</v>
      </c>
      <c r="AO31" s="389">
        <f t="shared" si="33"/>
        <v>98.92</v>
      </c>
      <c r="AP31" s="389">
        <f t="shared" si="33"/>
        <v>98.86</v>
      </c>
      <c r="AQ31" s="389">
        <f t="shared" si="33"/>
        <v>98.8</v>
      </c>
      <c r="AR31" s="389">
        <f t="shared" si="33"/>
        <v>98.74</v>
      </c>
      <c r="AS31" s="389">
        <f t="shared" si="33"/>
        <v>98.68</v>
      </c>
      <c r="AT31" s="389">
        <f t="shared" si="33"/>
        <v>98.62</v>
      </c>
      <c r="AU31" s="389">
        <f t="shared" si="33"/>
        <v>98.56</v>
      </c>
      <c r="AV31" s="389">
        <f t="shared" si="33"/>
        <v>98.5</v>
      </c>
      <c r="AW31" s="389">
        <f t="shared" si="33"/>
        <v>98.46</v>
      </c>
      <c r="AX31" s="389">
        <f t="shared" si="33"/>
        <v>98.42</v>
      </c>
      <c r="AY31" s="389">
        <f t="shared" si="33"/>
        <v>98.38</v>
      </c>
      <c r="AZ31" s="389">
        <f t="shared" si="33"/>
        <v>98.34</v>
      </c>
      <c r="BA31" s="543">
        <f t="shared" si="33"/>
        <v>98.3</v>
      </c>
      <c r="BB31" s="16"/>
      <c r="BC31" s="552" t="s">
        <v>1699</v>
      </c>
      <c r="BD31" s="383" t="s">
        <v>1704</v>
      </c>
      <c r="BE31" s="645" t="s">
        <v>2285</v>
      </c>
      <c r="BG31" s="647">
        <v>2021</v>
      </c>
      <c r="BH31" s="1492" t="s">
        <v>2300</v>
      </c>
      <c r="BI31" s="1492"/>
      <c r="BJ31" s="1492"/>
      <c r="BK31" s="1493"/>
    </row>
    <row r="32" spans="1:63" ht="20.100000000000001" customHeight="1">
      <c r="A32" s="15"/>
      <c r="B32" s="668"/>
      <c r="C32" s="668"/>
      <c r="D32" s="668"/>
      <c r="E32" s="668"/>
      <c r="F32" s="668"/>
      <c r="G32" s="668"/>
      <c r="H32" s="668"/>
      <c r="I32" s="82" t="str">
        <f>INDEX('MENU OPTIONS'!$F$23:$AL$80,8,START!$C$3)</f>
        <v>Iași (RATP Iași)</v>
      </c>
      <c r="J32" s="668"/>
      <c r="K32" s="668"/>
      <c r="L32" s="445">
        <v>0</v>
      </c>
      <c r="M32" s="668"/>
      <c r="N32" s="668"/>
      <c r="O32" s="291"/>
      <c r="P32" s="668"/>
      <c r="Q32" s="668"/>
      <c r="R32" s="52"/>
      <c r="S32" s="542" t="s">
        <v>585</v>
      </c>
      <c r="T32" s="383" t="str">
        <f>CONCATENATE($BD$28,"= ",BC32,"; ",$BC$28,": ",BD32,"; ",$BE$28,": ",BE32)</f>
        <v>EFbus_road= BUS_COL19; EFbus_street: BUS_COL24; Share: BUS_COL9</v>
      </c>
      <c r="U32" s="974">
        <f t="shared" si="32"/>
        <v>546.47062316027495</v>
      </c>
      <c r="V32" s="76">
        <f>INDEX('DEFAULT DATA'!$AJ$9:$AN$41,START!$C$3,4)</f>
        <v>392.58931796849708</v>
      </c>
      <c r="W32" s="390">
        <f>INDEX('DEFAULT DATA'!$AE$9:$AI$41,START!$C$3,4)</f>
        <v>649.0581599547935</v>
      </c>
      <c r="X32" s="389">
        <f>INDEX('DEFAULT DATA'!$U$9:$Y$41,START!$C$3,4)</f>
        <v>0.1</v>
      </c>
      <c r="Y32" s="389">
        <f>INDEX('DEFAULT DATA'!$U$9:$Y$41,START!$C$3,4)</f>
        <v>0.1</v>
      </c>
      <c r="Z32" s="389">
        <f>INDEX('DEFAULT DATA'!$U$9:$Y$41,START!$C$3,4)</f>
        <v>0.1</v>
      </c>
      <c r="AA32" s="389">
        <f>INDEX('DEFAULT DATA'!$U$9:$Y$41,START!$C$3,4)</f>
        <v>0.1</v>
      </c>
      <c r="AB32" s="389">
        <f>INDEX('DEFAULT DATA'!$U$9:$Y$41,START!$C$3,4)</f>
        <v>0.1</v>
      </c>
      <c r="AC32" s="389">
        <f>INDEX('DEFAULT DATA'!$U$9:$Y$41,START!$C$3,4)</f>
        <v>0.1</v>
      </c>
      <c r="AD32" s="389">
        <f>INDEX('DEFAULT DATA'!$U$9:$Y$41,START!$C$3,4)</f>
        <v>0.1</v>
      </c>
      <c r="AE32" s="389">
        <f>INDEX('DEFAULT DATA'!$U$9:$Y$41,START!$C$3,4)</f>
        <v>0.1</v>
      </c>
      <c r="AF32" s="389">
        <f>INDEX('DEFAULT DATA'!$U$9:$Y$41,START!$C$3,4)</f>
        <v>0.1</v>
      </c>
      <c r="AG32" s="389">
        <f>INDEX('DEFAULT DATA'!$U$9:$Y$41,START!$C$3,4)</f>
        <v>0.1</v>
      </c>
      <c r="AH32" s="389">
        <f>INDEX('DEFAULT DATA'!$U$9:$Y$41,START!$C$3,4)</f>
        <v>0.1</v>
      </c>
      <c r="AI32" s="389">
        <f>INDEX('DEFAULT DATA'!$U$9:$Y$41,START!$C$3,4)</f>
        <v>0.1</v>
      </c>
      <c r="AJ32" s="389">
        <f>INDEX('DEFAULT DATA'!$U$9:$Y$41,START!$C$3,4)</f>
        <v>0.1</v>
      </c>
      <c r="AK32" s="389">
        <f>INDEX('DEFAULT DATA'!$U$9:$Y$41,START!$C$3,4)</f>
        <v>0.1</v>
      </c>
      <c r="AL32" s="389">
        <f>INDEX('DEFAULT DATA'!$U$9:$Y$41,START!$C$3,4)</f>
        <v>0.1</v>
      </c>
      <c r="AM32" s="389">
        <f>INDEX('DEFAULT DATA'!$U$9:$Y$41,START!$C$3,4)</f>
        <v>0.1</v>
      </c>
      <c r="AN32" s="389">
        <f>INDEX('DEFAULT DATA'!$U$9:$Y$41,START!$C$3,4)</f>
        <v>0.1</v>
      </c>
      <c r="AO32" s="389">
        <f>INDEX('DEFAULT DATA'!$U$9:$Y$41,START!$C$3,4)</f>
        <v>0.1</v>
      </c>
      <c r="AP32" s="389">
        <f>INDEX('DEFAULT DATA'!$U$9:$Y$41,START!$C$3,4)</f>
        <v>0.1</v>
      </c>
      <c r="AQ32" s="389">
        <f>INDEX('DEFAULT DATA'!$U$9:$Y$41,START!$C$3,4)</f>
        <v>0.1</v>
      </c>
      <c r="AR32" s="389">
        <f>INDEX('DEFAULT DATA'!$U$9:$Y$41,START!$C$3,4)</f>
        <v>0.1</v>
      </c>
      <c r="AS32" s="389">
        <f>INDEX('DEFAULT DATA'!$U$9:$Y$41,START!$C$3,4)</f>
        <v>0.1</v>
      </c>
      <c r="AT32" s="389">
        <f>INDEX('DEFAULT DATA'!$U$9:$Y$41,START!$C$3,4)</f>
        <v>0.1</v>
      </c>
      <c r="AU32" s="389">
        <f>INDEX('DEFAULT DATA'!$U$9:$Y$41,START!$C$3,4)</f>
        <v>0.1</v>
      </c>
      <c r="AV32" s="389">
        <f>INDEX('DEFAULT DATA'!$U$9:$Y$41,START!$C$3,4)</f>
        <v>0.1</v>
      </c>
      <c r="AW32" s="389">
        <f>INDEX('DEFAULT DATA'!$U$9:$Y$41,START!$C$3,4)</f>
        <v>0.1</v>
      </c>
      <c r="AX32" s="389">
        <f>INDEX('DEFAULT DATA'!$U$9:$Y$41,START!$C$3,4)</f>
        <v>0.1</v>
      </c>
      <c r="AY32" s="389">
        <f>INDEX('DEFAULT DATA'!$U$9:$Y$41,START!$C$3,4)</f>
        <v>0.1</v>
      </c>
      <c r="AZ32" s="389">
        <f>INDEX('DEFAULT DATA'!$U$9:$Y$41,START!$C$3,4)</f>
        <v>0.1</v>
      </c>
      <c r="BA32" s="543">
        <f>INDEX('DEFAULT DATA'!$U$9:$Y$41,START!$C$3,4)</f>
        <v>0.1</v>
      </c>
      <c r="BB32" s="16"/>
      <c r="BC32" s="552" t="s">
        <v>1700</v>
      </c>
      <c r="BD32" s="383" t="s">
        <v>1705</v>
      </c>
      <c r="BE32" s="553" t="s">
        <v>145</v>
      </c>
      <c r="BG32" s="648" t="s">
        <v>2286</v>
      </c>
      <c r="BH32" s="1494" t="s">
        <v>2292</v>
      </c>
      <c r="BI32" s="1494"/>
      <c r="BJ32" s="1494"/>
      <c r="BK32" s="1495"/>
    </row>
    <row r="33" spans="1:63" ht="20.100000000000001" customHeight="1" thickBot="1">
      <c r="A33" s="15"/>
      <c r="B33" s="668"/>
      <c r="C33" s="668"/>
      <c r="D33" s="668"/>
      <c r="E33" s="668"/>
      <c r="F33" s="668"/>
      <c r="G33" s="668"/>
      <c r="H33" s="668"/>
      <c r="I33" s="82" t="str">
        <f>INDEX('MENU OPTIONS'!$F$23:$AL$80,9,START!$C$3)</f>
        <v>Oradea</v>
      </c>
      <c r="J33" s="668"/>
      <c r="K33" s="668"/>
      <c r="L33" s="445">
        <v>0</v>
      </c>
      <c r="M33" s="668"/>
      <c r="N33" s="668"/>
      <c r="O33" s="291"/>
      <c r="P33" s="668"/>
      <c r="Q33" s="668"/>
      <c r="R33" s="52"/>
      <c r="S33" s="544" t="s">
        <v>578</v>
      </c>
      <c r="T33" s="448" t="str">
        <f>CONCATENATE($BD$28,"= ",BC33,"; ",$BC$28,": ",BD33,"; ",$BE$28,": ",BE33)</f>
        <v>EFbus_road= BUS_COL20; EFbus_street: BUS_COL25; Share: see equation</v>
      </c>
      <c r="U33" s="975">
        <v>0.92799999999999994</v>
      </c>
      <c r="V33" s="672">
        <f>INDEX('DEFAULT DATA'!$AJ$9:$AN$41,START!$C$3,5)</f>
        <v>0.96717040125065135</v>
      </c>
      <c r="W33" s="672">
        <f>INDEX('DEFAULT DATA'!$AE$9:$AI$41,START!$C$3,5)</f>
        <v>0.82209484106305364</v>
      </c>
      <c r="X33" s="671">
        <f>INDEX('DEFAULT DATA'!$AO$9:$AO$41,START!$C$3,1)+((INDEX('DEFAULT DATA'!$AP$9:$AP$41,START!$C$3,1)-INDEX('DEFAULT DATA'!$AO$9:$AO$41,START!$C$3,1))/5)</f>
        <v>0.02</v>
      </c>
      <c r="Y33" s="671">
        <f>X33+((INDEX('DEFAULT DATA'!$AP$9:$AP$41,START!$C$3,1)-INDEX('DEFAULT DATA'!$AO$9:$AO$41,START!$C$3,1))/5)</f>
        <v>0.04</v>
      </c>
      <c r="Z33" s="671">
        <f>Y33+((INDEX('DEFAULT DATA'!$AP$9:$AP$41,START!$C$3,1)-INDEX('DEFAULT DATA'!$AO$9:$AO$41,START!$C$3,1))/5)</f>
        <v>0.06</v>
      </c>
      <c r="AA33" s="671">
        <f>Z33+((INDEX('DEFAULT DATA'!$AP$9:$AP$41,START!$C$3,1)-INDEX('DEFAULT DATA'!$AO$9:$AO$41,START!$C$3,1))/5)</f>
        <v>0.08</v>
      </c>
      <c r="AB33" s="671">
        <f>AA33+((INDEX('DEFAULT DATA'!$AP$9:$AP$41,START!$C$3,1)-INDEX('DEFAULT DATA'!$AO$9:$AO$41,START!$C$3,1))/5)</f>
        <v>0.1</v>
      </c>
      <c r="AC33" s="671">
        <f>AB33+((INDEX('DEFAULT DATA'!$AQ$9:$AQ$41,START!$C$3,1)-INDEX('DEFAULT DATA'!$AP$9:$AP$41,START!$C$3,1))/5)</f>
        <v>0.14000000000000001</v>
      </c>
      <c r="AD33" s="671">
        <f>AC33+((INDEX('DEFAULT DATA'!$AQ$9:$AQ$41,START!$C$3,1)-INDEX('DEFAULT DATA'!$AP$9:$AP$41,START!$C$3,1))/5)</f>
        <v>0.18</v>
      </c>
      <c r="AE33" s="671">
        <f>AD33+((INDEX('DEFAULT DATA'!$AQ$9:$AQ$41,START!$C$3,1)-INDEX('DEFAULT DATA'!$AP$9:$AP$41,START!$C$3,1))/5)</f>
        <v>0.21999999999999997</v>
      </c>
      <c r="AF33" s="671">
        <f>AE33+((INDEX('DEFAULT DATA'!$AQ$9:$AQ$41,START!$C$3,1)-INDEX('DEFAULT DATA'!$AP$9:$AP$41,START!$C$3,1))/5)</f>
        <v>0.25999999999999995</v>
      </c>
      <c r="AG33" s="671">
        <f>AF33+((INDEX('DEFAULT DATA'!$AQ$9:$AQ$41,START!$C$3,1)-INDEX('DEFAULT DATA'!$AP$9:$AP$41,START!$C$3,1))/5)</f>
        <v>0.29999999999999993</v>
      </c>
      <c r="AH33" s="671">
        <f>AG33+((INDEX('DEFAULT DATA'!$AR$9:$AR$41,START!$C$3,1)-INDEX('DEFAULT DATA'!$AQ$9:$AQ$41,START!$C$3,1))/5)</f>
        <v>0.33999999999999991</v>
      </c>
      <c r="AI33" s="671">
        <f>AH33+((INDEX('DEFAULT DATA'!$AR$9:$AR$41,START!$C$3,1)-INDEX('DEFAULT DATA'!$AQ$9:$AQ$41,START!$C$3,1))/5)</f>
        <v>0.37999999999999989</v>
      </c>
      <c r="AJ33" s="671">
        <f>AI33+((INDEX('DEFAULT DATA'!$AR$9:$AR$41,START!$C$3,1)-INDEX('DEFAULT DATA'!$AQ$9:$AQ$41,START!$C$3,1))/5)</f>
        <v>0.41999999999999987</v>
      </c>
      <c r="AK33" s="671">
        <f>AJ33+((INDEX('DEFAULT DATA'!$AR$9:$AR$41,START!$C$3,1)-INDEX('DEFAULT DATA'!$AQ$9:$AQ$41,START!$C$3,1))/5)</f>
        <v>0.45999999999999985</v>
      </c>
      <c r="AL33" s="671">
        <f>AK33+((INDEX('DEFAULT DATA'!$AR$9:$AR$41,START!$C$3,1)-INDEX('DEFAULT DATA'!$AQ$9:$AQ$41,START!$C$3,1))/5)</f>
        <v>0.49999999999999983</v>
      </c>
      <c r="AM33" s="671">
        <f>AL33+((INDEX('DEFAULT DATA'!$AS$9:$AS$41,START!$C$3,1)-INDEX('DEFAULT DATA'!$AR$9:$AR$41,START!$C$3,1))/5)</f>
        <v>0.55999999999999983</v>
      </c>
      <c r="AN33" s="671">
        <f>AM33+((INDEX('DEFAULT DATA'!$AS$9:$AS$41,START!$C$3,1)-INDEX('DEFAULT DATA'!$AR$9:$AR$41,START!$C$3,1))/5)</f>
        <v>0.61999999999999988</v>
      </c>
      <c r="AO33" s="671">
        <f>AN33+((INDEX('DEFAULT DATA'!$AS$9:$AS$41,START!$C$3,1)-INDEX('DEFAULT DATA'!$AR$9:$AR$41,START!$C$3,1))/5)</f>
        <v>0.67999999999999994</v>
      </c>
      <c r="AP33" s="671">
        <f>AO33+((INDEX('DEFAULT DATA'!$AS$9:$AS$41,START!$C$3,1)-INDEX('DEFAULT DATA'!$AR$9:$AR$41,START!$C$3,1))/5)</f>
        <v>0.74</v>
      </c>
      <c r="AQ33" s="671">
        <f>AP33+((INDEX('DEFAULT DATA'!$AS$9:$AS$41,START!$C$3,1)-INDEX('DEFAULT DATA'!$AR$9:$AR$41,START!$C$3,1))/5)</f>
        <v>0.8</v>
      </c>
      <c r="AR33" s="671">
        <f>AQ33+((INDEX('DEFAULT DATA'!$AT$9:$AT$41,START!$C$3,1)-INDEX('DEFAULT DATA'!$AS$9:$AS$41,START!$C$3,1))/5)</f>
        <v>0.8600000000000001</v>
      </c>
      <c r="AS33" s="671">
        <f>AR33+((INDEX('DEFAULT DATA'!$AT$9:$AT$41,START!$C$3,1)-INDEX('DEFAULT DATA'!$AS$9:$AS$41,START!$C$3,1))/5)</f>
        <v>0.92000000000000015</v>
      </c>
      <c r="AT33" s="671">
        <f>AS33+((INDEX('DEFAULT DATA'!$AT$9:$AT$41,START!$C$3,1)-INDEX('DEFAULT DATA'!$AS$9:$AS$41,START!$C$3,1))/5)</f>
        <v>0.9800000000000002</v>
      </c>
      <c r="AU33" s="671">
        <f>AT33+((INDEX('DEFAULT DATA'!$AT$9:$AT$41,START!$C$3,1)-INDEX('DEFAULT DATA'!$AS$9:$AS$41,START!$C$3,1))/5)</f>
        <v>1.0400000000000003</v>
      </c>
      <c r="AV33" s="671">
        <f>AU33+((INDEX('DEFAULT DATA'!$AT$9:$AT$41,START!$C$3,1)-INDEX('DEFAULT DATA'!$AS$9:$AS$41,START!$C$3,1))/5)</f>
        <v>1.1000000000000003</v>
      </c>
      <c r="AW33" s="671">
        <f>AV33+((INDEX('DEFAULT DATA'!$AU$9:$AU$41,START!$C$3,1)-INDEX('DEFAULT DATA'!$AT$9:$AT$41,START!$C$3,1))/5)</f>
        <v>1.1400000000000003</v>
      </c>
      <c r="AX33" s="671">
        <f>AW33+((INDEX('DEFAULT DATA'!$AU$9:$AU$41,START!$C$3,1)-INDEX('DEFAULT DATA'!$AT$9:$AT$41,START!$C$3,1))/5)</f>
        <v>1.1800000000000004</v>
      </c>
      <c r="AY33" s="671">
        <f>AX33+((INDEX('DEFAULT DATA'!$AU$9:$AU$41,START!$C$3,1)-INDEX('DEFAULT DATA'!$AT$9:$AT$41,START!$C$3,1))/5)</f>
        <v>1.2200000000000004</v>
      </c>
      <c r="AZ33" s="671">
        <f>AY33+((INDEX('DEFAULT DATA'!$AU$9:$AU$41,START!$C$3,1)-INDEX('DEFAULT DATA'!$AT$9:$AT$41,START!$C$3,1))/5)</f>
        <v>1.2600000000000005</v>
      </c>
      <c r="BA33" s="673">
        <f>AZ33+((INDEX('DEFAULT DATA'!$AU$9:$AU$41,START!$C$3,1)-INDEX('DEFAULT DATA'!$AT$9:$AT$41,START!$C$3,1))/5)</f>
        <v>1.3000000000000005</v>
      </c>
      <c r="BB33" s="16"/>
      <c r="BC33" s="554" t="s">
        <v>1701</v>
      </c>
      <c r="BD33" s="448" t="s">
        <v>1706</v>
      </c>
      <c r="BE33" s="650" t="s">
        <v>2284</v>
      </c>
      <c r="BF33" s="646" t="s">
        <v>2298</v>
      </c>
      <c r="BG33" s="648" t="s">
        <v>2291</v>
      </c>
      <c r="BH33" s="1494" t="s">
        <v>2293</v>
      </c>
      <c r="BI33" s="1494"/>
      <c r="BJ33" s="1494"/>
      <c r="BK33" s="1495"/>
    </row>
    <row r="34" spans="1:63" ht="20.100000000000001" customHeight="1">
      <c r="A34" s="15"/>
      <c r="B34" s="668"/>
      <c r="C34" s="668"/>
      <c r="D34" s="668"/>
      <c r="E34" s="668"/>
      <c r="F34" s="668"/>
      <c r="G34" s="668"/>
      <c r="H34" s="668"/>
      <c r="I34" s="82" t="str">
        <f>INDEX('MENU OPTIONS'!$F$23:$AL$80,10,START!$C$3)</f>
        <v>Ploiești</v>
      </c>
      <c r="J34" s="668"/>
      <c r="K34" s="668"/>
      <c r="L34" s="445">
        <v>0</v>
      </c>
      <c r="M34" s="668"/>
      <c r="N34" s="668"/>
      <c r="O34" s="291"/>
      <c r="P34" s="668"/>
      <c r="Q34" s="668"/>
      <c r="R34" s="52"/>
      <c r="S34" s="545" t="s">
        <v>617</v>
      </c>
      <c r="T34" s="450" t="s">
        <v>2044</v>
      </c>
      <c r="U34" s="391"/>
      <c r="V34" s="391"/>
      <c r="W34" s="391"/>
      <c r="X34" s="162">
        <f>(X29/100*$U$29)+(X30/100*$U$30)+(X31/100*$U$31)+(X32/100*$U$32)+(X33*X5/100*$U$33)</f>
        <v>365.08217628291987</v>
      </c>
      <c r="Y34" s="162">
        <f>(Y29/100*$U$29)+(Y30/100*$U$30)+(Y31/100*$U$31)+(Y32/100*$U$32)+(Y33*Y5/100*$U$33)</f>
        <v>365.06652527310382</v>
      </c>
      <c r="Z34" s="162">
        <f t="shared" ref="Z34:BA34" si="34">(Z29/100*$U$29)+(Z30/100*$U$30)+(Z31/100*$U$31)+(Z32/100*$U$32)+(Z33*Z5/100*$U$33)</f>
        <v>365.04177056005977</v>
      </c>
      <c r="AA34" s="162">
        <f t="shared" si="34"/>
        <v>365.00896480314242</v>
      </c>
      <c r="AB34" s="162">
        <f t="shared" si="34"/>
        <v>364.96905324047464</v>
      </c>
      <c r="AC34" s="162">
        <f t="shared" si="34"/>
        <v>364.89543922083936</v>
      </c>
      <c r="AD34" s="162">
        <f t="shared" si="34"/>
        <v>364.80940705465036</v>
      </c>
      <c r="AE34" s="162">
        <f t="shared" si="34"/>
        <v>364.71242648722381</v>
      </c>
      <c r="AF34" s="162">
        <f t="shared" si="34"/>
        <v>364.60581558980272</v>
      </c>
      <c r="AG34" s="162">
        <f t="shared" si="34"/>
        <v>364.49075532476621</v>
      </c>
      <c r="AH34" s="162">
        <f t="shared" si="34"/>
        <v>364.3745090353388</v>
      </c>
      <c r="AI34" s="162">
        <f t="shared" si="34"/>
        <v>364.25229793040796</v>
      </c>
      <c r="AJ34" s="162">
        <f t="shared" si="34"/>
        <v>364.12477193756541</v>
      </c>
      <c r="AK34" s="162">
        <f t="shared" si="34"/>
        <v>363.99252169516126</v>
      </c>
      <c r="AL34" s="162">
        <f t="shared" si="34"/>
        <v>363.85608351396161</v>
      </c>
      <c r="AM34" s="162">
        <f t="shared" si="34"/>
        <v>363.66514363731073</v>
      </c>
      <c r="AN34" s="162">
        <f t="shared" si="34"/>
        <v>363.46806065111798</v>
      </c>
      <c r="AO34" s="162">
        <f t="shared" si="34"/>
        <v>363.26551492210757</v>
      </c>
      <c r="AP34" s="162">
        <f t="shared" si="34"/>
        <v>363.05812432396755</v>
      </c>
      <c r="AQ34" s="162">
        <f t="shared" si="34"/>
        <v>362.84644948689487</v>
      </c>
      <c r="AR34" s="162">
        <f t="shared" si="34"/>
        <v>362.63099862873275</v>
      </c>
      <c r="AS34" s="162">
        <f t="shared" si="34"/>
        <v>362.4122319999147</v>
      </c>
      <c r="AT34" s="162">
        <f t="shared" si="34"/>
        <v>362.19056597200648</v>
      </c>
      <c r="AU34" s="162">
        <f t="shared" si="34"/>
        <v>361.96637679740172</v>
      </c>
      <c r="AV34" s="162">
        <f t="shared" si="34"/>
        <v>361.74000406564375</v>
      </c>
      <c r="AW34" s="162">
        <f t="shared" si="34"/>
        <v>361.57340557566698</v>
      </c>
      <c r="AX34" s="162">
        <f t="shared" si="34"/>
        <v>361.40667720039482</v>
      </c>
      <c r="AY34" s="162">
        <f t="shared" si="34"/>
        <v>361.23992306453897</v>
      </c>
      <c r="AZ34" s="162">
        <f t="shared" si="34"/>
        <v>361.07323430536428</v>
      </c>
      <c r="BA34" s="546">
        <f t="shared" si="34"/>
        <v>360.90669032112942</v>
      </c>
      <c r="BB34" s="16"/>
      <c r="BC34" s="16"/>
      <c r="BD34" s="16"/>
      <c r="BG34" s="648" t="s">
        <v>2287</v>
      </c>
      <c r="BH34" s="1494" t="s">
        <v>2294</v>
      </c>
      <c r="BI34" s="1494"/>
      <c r="BJ34" s="1494"/>
      <c r="BK34" s="1495"/>
    </row>
    <row r="35" spans="1:63" ht="20.100000000000001" customHeight="1">
      <c r="A35" s="15"/>
      <c r="B35" s="668"/>
      <c r="C35" s="668"/>
      <c r="D35" s="668"/>
      <c r="E35" s="668"/>
      <c r="F35" s="668"/>
      <c r="G35" s="668"/>
      <c r="H35" s="668"/>
      <c r="I35" s="82" t="str">
        <f>INDEX('MENU OPTIONS'!$F$23:$AL$80,11,START!$C$3)</f>
        <v>Timișoara</v>
      </c>
      <c r="J35" s="668"/>
      <c r="K35" s="668"/>
      <c r="L35" s="445">
        <v>0</v>
      </c>
      <c r="M35" s="668"/>
      <c r="N35" s="668"/>
      <c r="O35" s="291"/>
      <c r="P35" s="668"/>
      <c r="Q35" s="668"/>
      <c r="R35" s="52"/>
      <c r="S35" s="101" t="s">
        <v>2035</v>
      </c>
      <c r="T35" s="450" t="s">
        <v>116</v>
      </c>
      <c r="U35" s="392"/>
      <c r="V35" s="393"/>
      <c r="W35" s="393"/>
      <c r="X35" s="123">
        <f>(X29/100*$V$29)+(X30/100*$V$30)+(X31/100*$V$31)+(X32/100*$V$32)+(X33*X5/100*$V$33)</f>
        <v>262.30014570920616</v>
      </c>
      <c r="Y35" s="123">
        <f>(Y29/100*$V$29)+(Y30/100*$V$30)+(Y31/100*$V$31)+(Y32/100*$V$32)+(Y33*Y5/100*$V$33)</f>
        <v>262.30746344093228</v>
      </c>
      <c r="Z35" s="123">
        <f t="shared" ref="Z35:BA35" si="35">(Z29/100*$V$29)+(Z30/100*$V$30)+(Z31/100*$V$31)+(Z32/100*$V$32)+(Z33*Z5/100*$V$33)</f>
        <v>262.30529320681376</v>
      </c>
      <c r="AA35" s="123">
        <f t="shared" si="35"/>
        <v>262.29473209841359</v>
      </c>
      <c r="AB35" s="123">
        <f t="shared" si="35"/>
        <v>262.27676525186791</v>
      </c>
      <c r="AC35" s="123">
        <f t="shared" si="35"/>
        <v>262.24730274762544</v>
      </c>
      <c r="AD35" s="123">
        <f t="shared" si="35"/>
        <v>262.20489793326959</v>
      </c>
      <c r="AE35" s="123">
        <f t="shared" si="35"/>
        <v>262.15108259130824</v>
      </c>
      <c r="AF35" s="123">
        <f t="shared" si="35"/>
        <v>262.08723042809146</v>
      </c>
      <c r="AG35" s="123">
        <f t="shared" si="35"/>
        <v>262.01457225381131</v>
      </c>
      <c r="AH35" s="123">
        <f t="shared" si="35"/>
        <v>261.9406779936624</v>
      </c>
      <c r="AI35" s="123">
        <f t="shared" si="35"/>
        <v>261.86056714622498</v>
      </c>
      <c r="AJ35" s="123">
        <f t="shared" si="35"/>
        <v>261.77491707219895</v>
      </c>
      <c r="AK35" s="123">
        <f t="shared" si="35"/>
        <v>261.68434334047464</v>
      </c>
      <c r="AL35" s="123">
        <f t="shared" si="35"/>
        <v>261.58940489921872</v>
      </c>
      <c r="AM35" s="123">
        <f t="shared" si="35"/>
        <v>261.46129363665602</v>
      </c>
      <c r="AN35" s="123">
        <f t="shared" si="35"/>
        <v>261.32677996706673</v>
      </c>
      <c r="AO35" s="123">
        <f t="shared" si="35"/>
        <v>261.18657297510379</v>
      </c>
      <c r="AP35" s="123">
        <f t="shared" si="35"/>
        <v>261.04131661458462</v>
      </c>
      <c r="AQ35" s="123">
        <f t="shared" si="35"/>
        <v>260.8915951796177</v>
      </c>
      <c r="AR35" s="123">
        <f t="shared" si="35"/>
        <v>260.73793833965919</v>
      </c>
      <c r="AS35" s="123">
        <f t="shared" si="35"/>
        <v>260.58082577207591</v>
      </c>
      <c r="AT35" s="123">
        <f t="shared" si="35"/>
        <v>260.42069142326267</v>
      </c>
      <c r="AU35" s="123">
        <f t="shared" si="35"/>
        <v>260.25792742703248</v>
      </c>
      <c r="AV35" s="123">
        <f t="shared" si="35"/>
        <v>260.09288770682821</v>
      </c>
      <c r="AW35" s="123">
        <f t="shared" si="35"/>
        <v>259.96651590572122</v>
      </c>
      <c r="AX35" s="123">
        <f t="shared" si="35"/>
        <v>259.84000873692747</v>
      </c>
      <c r="AY35" s="123">
        <f t="shared" si="35"/>
        <v>259.71347472020915</v>
      </c>
      <c r="AZ35" s="123">
        <f t="shared" si="35"/>
        <v>259.587008839688</v>
      </c>
      <c r="BA35" s="159">
        <f t="shared" si="35"/>
        <v>259.46069384498213</v>
      </c>
      <c r="BB35" s="16"/>
      <c r="BC35" s="16"/>
      <c r="BD35" s="16"/>
      <c r="BG35" s="648" t="s">
        <v>2288</v>
      </c>
      <c r="BH35" s="1494" t="s">
        <v>2295</v>
      </c>
      <c r="BI35" s="1494"/>
      <c r="BJ35" s="1494"/>
      <c r="BK35" s="1495"/>
    </row>
    <row r="36" spans="1:63" ht="20.100000000000001" customHeight="1" thickBot="1">
      <c r="A36" s="15"/>
      <c r="B36" s="668"/>
      <c r="C36" s="668"/>
      <c r="D36" s="668"/>
      <c r="E36" s="668"/>
      <c r="F36" s="668"/>
      <c r="G36" s="668"/>
      <c r="H36" s="668"/>
      <c r="I36" s="82" t="str">
        <f>INDEX('MENU OPTIONS'!$F$23:$AL$80,12,START!$C$3)</f>
        <v>-</v>
      </c>
      <c r="J36" s="668"/>
      <c r="K36" s="668"/>
      <c r="L36" s="445">
        <v>0</v>
      </c>
      <c r="M36" s="668"/>
      <c r="N36" s="668"/>
      <c r="O36" s="291"/>
      <c r="P36" s="668"/>
      <c r="Q36" s="668"/>
      <c r="R36" s="52"/>
      <c r="S36" s="301" t="s">
        <v>2036</v>
      </c>
      <c r="T36" s="547" t="s">
        <v>116</v>
      </c>
      <c r="U36" s="548"/>
      <c r="V36" s="549"/>
      <c r="W36" s="549"/>
      <c r="X36" s="160">
        <f>(X29/100*$W$29)+(X30/100*$W$30)+(X31/100*$W$31)+(X32/100*$W$32)+(X33*X5/100*$W$33)</f>
        <v>433.59771767558698</v>
      </c>
      <c r="Y36" s="160">
        <f>(Y29/100*$W$29)+(Y30/100*$W$30)+(Y31/100*$W$31)+(Y32/100*$W$32)+(Y33*Y5/100*$W$33)</f>
        <v>433.56182532138496</v>
      </c>
      <c r="Z36" s="160">
        <f t="shared" ref="Z36:BA36" si="36">(Z29/100*$W$29)+(Z30/100*$W$30)+(Z31/100*$W$31)+(Z32/100*$W$32)+(Z33*Z5/100*$W$33)</f>
        <v>433.51786819621498</v>
      </c>
      <c r="AA36" s="160">
        <f t="shared" si="36"/>
        <v>433.46677882790561</v>
      </c>
      <c r="AB36" s="160">
        <f t="shared" si="36"/>
        <v>433.40939458217258</v>
      </c>
      <c r="AC36" s="160">
        <f t="shared" si="36"/>
        <v>433.30012660122804</v>
      </c>
      <c r="AD36" s="160">
        <f t="shared" si="36"/>
        <v>433.17985765668715</v>
      </c>
      <c r="AE36" s="160">
        <f t="shared" si="36"/>
        <v>433.04988976368151</v>
      </c>
      <c r="AF36" s="160">
        <f t="shared" si="36"/>
        <v>432.91139057260881</v>
      </c>
      <c r="AG36" s="160">
        <f t="shared" si="36"/>
        <v>432.76540627213222</v>
      </c>
      <c r="AH36" s="160">
        <f t="shared" si="36"/>
        <v>432.61837129866723</v>
      </c>
      <c r="AI36" s="160">
        <f t="shared" si="36"/>
        <v>432.46605222600698</v>
      </c>
      <c r="AJ36" s="160">
        <f t="shared" si="36"/>
        <v>432.30902481074639</v>
      </c>
      <c r="AK36" s="160">
        <f t="shared" si="36"/>
        <v>432.14781228644227</v>
      </c>
      <c r="AL36" s="160">
        <f t="shared" si="36"/>
        <v>431.98288975903631</v>
      </c>
      <c r="AM36" s="160">
        <f t="shared" si="36"/>
        <v>431.74765790735029</v>
      </c>
      <c r="AN36" s="160">
        <f t="shared" si="36"/>
        <v>431.50698400969173</v>
      </c>
      <c r="AO36" s="160">
        <f t="shared" si="36"/>
        <v>431.26147078801552</v>
      </c>
      <c r="AP36" s="160">
        <f t="shared" si="36"/>
        <v>431.0116656030666</v>
      </c>
      <c r="AQ36" s="160">
        <f t="shared" si="36"/>
        <v>430.75806510483699</v>
      </c>
      <c r="AR36" s="160">
        <f t="shared" si="36"/>
        <v>430.5011195123646</v>
      </c>
      <c r="AS36" s="160">
        <f t="shared" si="36"/>
        <v>430.24123655141113</v>
      </c>
      <c r="AT36" s="160">
        <f t="shared" si="36"/>
        <v>429.97878507641224</v>
      </c>
      <c r="AU36" s="160">
        <f t="shared" si="36"/>
        <v>429.71409840110886</v>
      </c>
      <c r="AV36" s="160">
        <f t="shared" si="36"/>
        <v>429.44747736042757</v>
      </c>
      <c r="AW36" s="160">
        <f t="shared" si="36"/>
        <v>429.25583647714819</v>
      </c>
      <c r="AX36" s="160">
        <f t="shared" si="36"/>
        <v>429.06408053133504</v>
      </c>
      <c r="AY36" s="160">
        <f t="shared" si="36"/>
        <v>428.87230176478607</v>
      </c>
      <c r="AZ36" s="160">
        <f t="shared" si="36"/>
        <v>428.68058091400457</v>
      </c>
      <c r="BA36" s="161">
        <f t="shared" si="36"/>
        <v>428.48898831616617</v>
      </c>
      <c r="BB36" s="16"/>
      <c r="BC36" s="16"/>
      <c r="BD36" s="16"/>
      <c r="BG36" s="648" t="s">
        <v>2289</v>
      </c>
      <c r="BH36" s="1494" t="s">
        <v>2296</v>
      </c>
      <c r="BI36" s="1494"/>
      <c r="BJ36" s="1494"/>
      <c r="BK36" s="1495"/>
    </row>
    <row r="37" spans="1:63" ht="20.100000000000001" customHeight="1" thickBot="1">
      <c r="A37" s="15"/>
      <c r="B37" s="668"/>
      <c r="C37" s="668"/>
      <c r="D37" s="668"/>
      <c r="E37" s="668"/>
      <c r="F37" s="668"/>
      <c r="G37" s="668"/>
      <c r="H37" s="668"/>
      <c r="I37" s="82" t="str">
        <f>INDEX('MENU OPTIONS'!$F$23:$AL$80,13,START!$C$3)</f>
        <v>-</v>
      </c>
      <c r="J37" s="668"/>
      <c r="K37" s="668"/>
      <c r="L37" s="445">
        <v>0</v>
      </c>
      <c r="M37" s="668"/>
      <c r="N37" s="668"/>
      <c r="O37" s="291"/>
      <c r="P37" s="668"/>
      <c r="Q37" s="668"/>
      <c r="R37" s="52"/>
      <c r="S37" s="82"/>
      <c r="T37" s="82"/>
      <c r="U37" s="82"/>
      <c r="V37" s="82"/>
      <c r="W37" s="82"/>
      <c r="X37" s="82"/>
      <c r="Y37" s="82"/>
      <c r="Z37" s="82"/>
      <c r="AA37" s="82"/>
      <c r="AB37" s="82"/>
      <c r="AC37" s="82"/>
      <c r="AD37" s="82"/>
      <c r="AE37" s="82"/>
      <c r="AF37" s="82"/>
      <c r="AG37" s="82"/>
      <c r="AH37" s="82"/>
      <c r="AI37" s="82"/>
      <c r="AJ37" s="82"/>
      <c r="AK37" s="82"/>
      <c r="AL37" s="82"/>
      <c r="AM37" s="82"/>
      <c r="AN37" s="82"/>
      <c r="AO37" s="82"/>
      <c r="AP37" s="82"/>
      <c r="AQ37" s="82"/>
      <c r="AR37" s="82"/>
      <c r="AS37" s="82"/>
      <c r="AT37" s="82"/>
      <c r="AU37" s="82"/>
      <c r="AV37" s="82"/>
      <c r="AW37" s="82"/>
      <c r="AX37" s="82"/>
      <c r="AY37" s="82"/>
      <c r="AZ37" s="82"/>
      <c r="BA37" s="82"/>
      <c r="BB37" s="16"/>
      <c r="BC37" s="16"/>
      <c r="BD37" s="16"/>
      <c r="BG37" s="649" t="s">
        <v>2290</v>
      </c>
      <c r="BH37" s="1490" t="s">
        <v>2297</v>
      </c>
      <c r="BI37" s="1490"/>
      <c r="BJ37" s="1490"/>
      <c r="BK37" s="1491"/>
    </row>
    <row r="38" spans="1:63" ht="20.100000000000001" customHeight="1">
      <c r="A38" s="15"/>
      <c r="B38" s="668"/>
      <c r="C38" s="668"/>
      <c r="D38" s="668"/>
      <c r="E38" s="668"/>
      <c r="F38" s="668"/>
      <c r="G38" s="668"/>
      <c r="H38" s="668"/>
      <c r="I38" s="82" t="str">
        <f>INDEX('MENU OPTIONS'!$F$23:$AL$80,14,START!$C$3)</f>
        <v>-</v>
      </c>
      <c r="J38" s="668"/>
      <c r="K38" s="668"/>
      <c r="L38" s="445">
        <v>0</v>
      </c>
      <c r="M38" s="668"/>
      <c r="N38" s="668"/>
      <c r="O38" s="291"/>
      <c r="P38" s="668"/>
      <c r="Q38" s="668"/>
      <c r="R38" s="52"/>
      <c r="S38" s="299" t="s">
        <v>2785</v>
      </c>
      <c r="T38" s="138"/>
      <c r="U38" s="1457" t="s">
        <v>631</v>
      </c>
      <c r="V38" s="1457"/>
      <c r="W38" s="152" t="s">
        <v>589</v>
      </c>
      <c r="X38" s="138"/>
      <c r="Y38" s="138"/>
      <c r="Z38" s="138"/>
      <c r="AA38" s="138"/>
      <c r="AB38" s="138"/>
      <c r="AC38" s="138"/>
      <c r="AD38" s="138"/>
      <c r="AE38" s="138"/>
      <c r="AF38" s="138"/>
      <c r="AG38" s="138"/>
      <c r="AH38" s="138"/>
      <c r="AI38" s="138"/>
      <c r="AJ38" s="138"/>
      <c r="AK38" s="138"/>
      <c r="AL38" s="138"/>
      <c r="AM38" s="138"/>
      <c r="AN38" s="138"/>
      <c r="AO38" s="138"/>
      <c r="AP38" s="138"/>
      <c r="AQ38" s="138"/>
      <c r="AR38" s="138"/>
      <c r="AS38" s="138"/>
      <c r="AT38" s="138"/>
      <c r="AU38" s="138"/>
      <c r="AV38" s="138"/>
      <c r="AW38" s="138"/>
      <c r="AX38" s="138"/>
      <c r="AY38" s="138"/>
      <c r="AZ38" s="138"/>
      <c r="BA38" s="556"/>
      <c r="BB38" s="16"/>
      <c r="BC38" s="16"/>
      <c r="BD38" s="16"/>
    </row>
    <row r="39" spans="1:63" ht="20.100000000000001" customHeight="1">
      <c r="A39" s="15"/>
      <c r="B39" s="668"/>
      <c r="C39" s="668"/>
      <c r="D39" s="668"/>
      <c r="E39" s="668"/>
      <c r="F39" s="668"/>
      <c r="G39" s="668"/>
      <c r="H39" s="668"/>
      <c r="I39" s="82" t="str">
        <f>INDEX('MENU OPTIONS'!$F$23:$AL$80,15,START!$C$3)</f>
        <v>-</v>
      </c>
      <c r="J39" s="668"/>
      <c r="K39" s="668"/>
      <c r="L39" s="445">
        <v>0</v>
      </c>
      <c r="M39" s="668"/>
      <c r="N39" s="668"/>
      <c r="O39" s="291"/>
      <c r="P39" s="668"/>
      <c r="Q39" s="668"/>
      <c r="R39" s="52"/>
      <c r="S39" s="101" t="s">
        <v>586</v>
      </c>
      <c r="T39" s="918" t="s">
        <v>2629</v>
      </c>
      <c r="U39" s="445" t="s">
        <v>581</v>
      </c>
      <c r="V39" s="445" t="s">
        <v>582</v>
      </c>
      <c r="W39" s="445" t="s">
        <v>588</v>
      </c>
      <c r="X39" s="115">
        <f>X28</f>
        <v>2021</v>
      </c>
      <c r="Y39" s="115">
        <f>Y28</f>
        <v>2022</v>
      </c>
      <c r="Z39" s="115">
        <f t="shared" ref="Z39:BA39" si="37">Z28</f>
        <v>2023</v>
      </c>
      <c r="AA39" s="115">
        <f t="shared" si="37"/>
        <v>2024</v>
      </c>
      <c r="AB39" s="115">
        <f t="shared" si="37"/>
        <v>2025</v>
      </c>
      <c r="AC39" s="115">
        <f t="shared" si="37"/>
        <v>2026</v>
      </c>
      <c r="AD39" s="115">
        <f t="shared" si="37"/>
        <v>2027</v>
      </c>
      <c r="AE39" s="115">
        <f t="shared" si="37"/>
        <v>2028</v>
      </c>
      <c r="AF39" s="115">
        <f t="shared" si="37"/>
        <v>2029</v>
      </c>
      <c r="AG39" s="115">
        <f t="shared" si="37"/>
        <v>2030</v>
      </c>
      <c r="AH39" s="115">
        <f t="shared" si="37"/>
        <v>2031</v>
      </c>
      <c r="AI39" s="115">
        <f t="shared" si="37"/>
        <v>2032</v>
      </c>
      <c r="AJ39" s="115">
        <f t="shared" si="37"/>
        <v>2033</v>
      </c>
      <c r="AK39" s="115">
        <f t="shared" si="37"/>
        <v>2034</v>
      </c>
      <c r="AL39" s="115">
        <f t="shared" si="37"/>
        <v>2035</v>
      </c>
      <c r="AM39" s="115">
        <f t="shared" si="37"/>
        <v>2036</v>
      </c>
      <c r="AN39" s="115">
        <f t="shared" si="37"/>
        <v>2037</v>
      </c>
      <c r="AO39" s="115">
        <f t="shared" si="37"/>
        <v>2038</v>
      </c>
      <c r="AP39" s="115">
        <f t="shared" si="37"/>
        <v>2039</v>
      </c>
      <c r="AQ39" s="115">
        <f t="shared" si="37"/>
        <v>2040</v>
      </c>
      <c r="AR39" s="115">
        <f t="shared" si="37"/>
        <v>2041</v>
      </c>
      <c r="AS39" s="115">
        <f t="shared" si="37"/>
        <v>2042</v>
      </c>
      <c r="AT39" s="115">
        <f t="shared" si="37"/>
        <v>2043</v>
      </c>
      <c r="AU39" s="115">
        <f t="shared" si="37"/>
        <v>2044</v>
      </c>
      <c r="AV39" s="115">
        <f t="shared" si="37"/>
        <v>2045</v>
      </c>
      <c r="AW39" s="115">
        <f t="shared" si="37"/>
        <v>2046</v>
      </c>
      <c r="AX39" s="115">
        <f t="shared" si="37"/>
        <v>2047</v>
      </c>
      <c r="AY39" s="115">
        <f t="shared" si="37"/>
        <v>2048</v>
      </c>
      <c r="AZ39" s="115">
        <f t="shared" si="37"/>
        <v>2049</v>
      </c>
      <c r="BA39" s="323">
        <f t="shared" si="37"/>
        <v>2050</v>
      </c>
      <c r="BB39" s="16"/>
      <c r="BC39" s="16"/>
      <c r="BD39" s="16"/>
    </row>
    <row r="40" spans="1:63" ht="20.100000000000001" customHeight="1">
      <c r="A40" s="15"/>
      <c r="B40" s="668"/>
      <c r="C40" s="668"/>
      <c r="D40" s="668"/>
      <c r="E40" s="668"/>
      <c r="F40" s="668"/>
      <c r="G40" s="668"/>
      <c r="H40" s="668"/>
      <c r="I40" s="82" t="str">
        <f>INDEX('MENU OPTIONS'!$F$23:$AL$80,16,START!$C$3)</f>
        <v>-</v>
      </c>
      <c r="J40" s="668"/>
      <c r="K40" s="668"/>
      <c r="L40" s="445">
        <v>0</v>
      </c>
      <c r="M40" s="668"/>
      <c r="N40" s="668"/>
      <c r="O40" s="291"/>
      <c r="P40" s="668"/>
      <c r="Q40" s="668"/>
      <c r="R40" s="52"/>
      <c r="S40" s="101" t="str">
        <f>B8</f>
        <v>METROPOLITAN CENTER</v>
      </c>
      <c r="T40" s="383" t="s">
        <v>587</v>
      </c>
      <c r="U40" s="389">
        <f>INDEX('DEFAULT DATA'!$AV$9:$AZ$41,START!$C$3,1)</f>
        <v>0</v>
      </c>
      <c r="V40" s="389">
        <f>100-U40</f>
        <v>100</v>
      </c>
      <c r="W40" s="133">
        <f>G8</f>
        <v>0</v>
      </c>
      <c r="X40" s="123">
        <f t="shared" ref="X40:AG44" si="38">($U40/100*X$35)+($V40/100*X$36)</f>
        <v>433.59771767558698</v>
      </c>
      <c r="Y40" s="123">
        <f t="shared" si="38"/>
        <v>433.56182532138496</v>
      </c>
      <c r="Z40" s="123">
        <f t="shared" si="38"/>
        <v>433.51786819621498</v>
      </c>
      <c r="AA40" s="123">
        <f t="shared" si="38"/>
        <v>433.46677882790561</v>
      </c>
      <c r="AB40" s="123">
        <f t="shared" si="38"/>
        <v>433.40939458217258</v>
      </c>
      <c r="AC40" s="123">
        <f t="shared" si="38"/>
        <v>433.30012660122804</v>
      </c>
      <c r="AD40" s="123">
        <f t="shared" si="38"/>
        <v>433.17985765668715</v>
      </c>
      <c r="AE40" s="123">
        <f t="shared" si="38"/>
        <v>433.04988976368151</v>
      </c>
      <c r="AF40" s="123">
        <f t="shared" si="38"/>
        <v>432.91139057260881</v>
      </c>
      <c r="AG40" s="123">
        <f t="shared" si="38"/>
        <v>432.76540627213222</v>
      </c>
      <c r="AH40" s="123">
        <f t="shared" ref="AH40:AQ44" si="39">($U40/100*AH$35)+($V40/100*AH$36)</f>
        <v>432.61837129866723</v>
      </c>
      <c r="AI40" s="123">
        <f t="shared" si="39"/>
        <v>432.46605222600698</v>
      </c>
      <c r="AJ40" s="123">
        <f t="shared" si="39"/>
        <v>432.30902481074639</v>
      </c>
      <c r="AK40" s="123">
        <f t="shared" si="39"/>
        <v>432.14781228644227</v>
      </c>
      <c r="AL40" s="123">
        <f t="shared" si="39"/>
        <v>431.98288975903631</v>
      </c>
      <c r="AM40" s="123">
        <f t="shared" si="39"/>
        <v>431.74765790735029</v>
      </c>
      <c r="AN40" s="123">
        <f t="shared" si="39"/>
        <v>431.50698400969173</v>
      </c>
      <c r="AO40" s="123">
        <f t="shared" si="39"/>
        <v>431.26147078801552</v>
      </c>
      <c r="AP40" s="123">
        <f t="shared" si="39"/>
        <v>431.0116656030666</v>
      </c>
      <c r="AQ40" s="123">
        <f t="shared" si="39"/>
        <v>430.75806510483699</v>
      </c>
      <c r="AR40" s="123">
        <f t="shared" ref="AR40:BA44" si="40">($U40/100*AR$35)+($V40/100*AR$36)</f>
        <v>430.5011195123646</v>
      </c>
      <c r="AS40" s="123">
        <f t="shared" si="40"/>
        <v>430.24123655141113</v>
      </c>
      <c r="AT40" s="123">
        <f t="shared" si="40"/>
        <v>429.97878507641224</v>
      </c>
      <c r="AU40" s="123">
        <f t="shared" si="40"/>
        <v>429.71409840110886</v>
      </c>
      <c r="AV40" s="123">
        <f t="shared" si="40"/>
        <v>429.44747736042757</v>
      </c>
      <c r="AW40" s="123">
        <f t="shared" si="40"/>
        <v>429.25583647714819</v>
      </c>
      <c r="AX40" s="123">
        <f t="shared" si="40"/>
        <v>429.06408053133504</v>
      </c>
      <c r="AY40" s="123">
        <f t="shared" si="40"/>
        <v>428.87230176478607</v>
      </c>
      <c r="AZ40" s="123">
        <f t="shared" si="40"/>
        <v>428.68058091400457</v>
      </c>
      <c r="BA40" s="159">
        <f t="shared" si="40"/>
        <v>428.48898831616617</v>
      </c>
      <c r="BB40" s="16"/>
      <c r="BC40" s="16"/>
      <c r="BD40" s="16"/>
    </row>
    <row r="41" spans="1:63" ht="20.100000000000001" customHeight="1">
      <c r="A41" s="15"/>
      <c r="B41" s="668"/>
      <c r="C41" s="668"/>
      <c r="D41" s="668"/>
      <c r="E41" s="668"/>
      <c r="F41" s="668"/>
      <c r="G41" s="668"/>
      <c r="H41" s="668"/>
      <c r="I41" s="82" t="str">
        <f>INDEX('MENU OPTIONS'!$F$23:$AL$80,17,START!$C$3)</f>
        <v>-</v>
      </c>
      <c r="J41" s="668"/>
      <c r="K41" s="668"/>
      <c r="L41" s="445">
        <v>0</v>
      </c>
      <c r="M41" s="668"/>
      <c r="N41" s="668"/>
      <c r="O41" s="291"/>
      <c r="P41" s="668"/>
      <c r="Q41" s="668"/>
      <c r="R41" s="52"/>
      <c r="S41" s="101" t="str">
        <f>B9</f>
        <v>URBAN</v>
      </c>
      <c r="T41" s="383" t="s">
        <v>587</v>
      </c>
      <c r="U41" s="389">
        <f>INDEX('DEFAULT DATA'!$AV$9:$AZ$41,START!$C$3,2)</f>
        <v>10</v>
      </c>
      <c r="V41" s="389">
        <f t="shared" ref="V41:V44" si="41">100-U41</f>
        <v>90</v>
      </c>
      <c r="W41" s="133">
        <f>G9</f>
        <v>50</v>
      </c>
      <c r="X41" s="123">
        <f t="shared" si="38"/>
        <v>416.4679604789489</v>
      </c>
      <c r="Y41" s="123">
        <f t="shared" si="38"/>
        <v>416.43638913333973</v>
      </c>
      <c r="Z41" s="123">
        <f t="shared" si="38"/>
        <v>416.39661069727487</v>
      </c>
      <c r="AA41" s="123">
        <f t="shared" si="38"/>
        <v>416.34957415495637</v>
      </c>
      <c r="AB41" s="123">
        <f t="shared" si="38"/>
        <v>416.29613164914213</v>
      </c>
      <c r="AC41" s="123">
        <f t="shared" si="38"/>
        <v>416.19484421586776</v>
      </c>
      <c r="AD41" s="123">
        <f t="shared" si="38"/>
        <v>416.08236168434541</v>
      </c>
      <c r="AE41" s="123">
        <f t="shared" si="38"/>
        <v>415.96000904644421</v>
      </c>
      <c r="AF41" s="123">
        <f t="shared" si="38"/>
        <v>415.82897455815709</v>
      </c>
      <c r="AG41" s="123">
        <f t="shared" si="38"/>
        <v>415.69032287030018</v>
      </c>
      <c r="AH41" s="123">
        <f t="shared" si="39"/>
        <v>415.55060196816675</v>
      </c>
      <c r="AI41" s="123">
        <f t="shared" si="39"/>
        <v>415.4055037180288</v>
      </c>
      <c r="AJ41" s="123">
        <f t="shared" si="39"/>
        <v>415.25561403689164</v>
      </c>
      <c r="AK41" s="123">
        <f t="shared" si="39"/>
        <v>415.10146539184552</v>
      </c>
      <c r="AL41" s="123">
        <f t="shared" si="39"/>
        <v>414.94354127305456</v>
      </c>
      <c r="AM41" s="123">
        <f t="shared" si="39"/>
        <v>414.71902148028084</v>
      </c>
      <c r="AN41" s="123">
        <f t="shared" si="39"/>
        <v>414.48896360542921</v>
      </c>
      <c r="AO41" s="123">
        <f t="shared" si="39"/>
        <v>414.25398100672436</v>
      </c>
      <c r="AP41" s="123">
        <f t="shared" si="39"/>
        <v>414.0146307042184</v>
      </c>
      <c r="AQ41" s="123">
        <f t="shared" si="39"/>
        <v>413.77141811231508</v>
      </c>
      <c r="AR41" s="123">
        <f t="shared" si="40"/>
        <v>413.52480139509407</v>
      </c>
      <c r="AS41" s="123">
        <f t="shared" si="40"/>
        <v>413.27519547347759</v>
      </c>
      <c r="AT41" s="123">
        <f t="shared" si="40"/>
        <v>413.02297571109733</v>
      </c>
      <c r="AU41" s="123">
        <f t="shared" si="40"/>
        <v>412.76848130370121</v>
      </c>
      <c r="AV41" s="123">
        <f t="shared" si="40"/>
        <v>412.51201839506763</v>
      </c>
      <c r="AW41" s="123">
        <f t="shared" si="40"/>
        <v>412.32690442000552</v>
      </c>
      <c r="AX41" s="123">
        <f t="shared" si="40"/>
        <v>412.14167335189433</v>
      </c>
      <c r="AY41" s="123">
        <f t="shared" si="40"/>
        <v>411.95641906032836</v>
      </c>
      <c r="AZ41" s="123">
        <f t="shared" si="40"/>
        <v>411.77122370657293</v>
      </c>
      <c r="BA41" s="159">
        <f t="shared" si="40"/>
        <v>411.58615886904778</v>
      </c>
      <c r="BB41" s="16"/>
      <c r="BC41" s="16"/>
      <c r="BD41" s="16"/>
    </row>
    <row r="42" spans="1:63" ht="20.100000000000001" customHeight="1">
      <c r="A42" s="15"/>
      <c r="B42" s="668"/>
      <c r="C42" s="668"/>
      <c r="D42" s="668"/>
      <c r="E42" s="668"/>
      <c r="F42" s="668"/>
      <c r="G42" s="668"/>
      <c r="H42" s="668"/>
      <c r="I42" s="82" t="str">
        <f>INDEX('MENU OPTIONS'!$F$23:$AL$80,18,START!$C$3)</f>
        <v>-</v>
      </c>
      <c r="J42" s="668"/>
      <c r="K42" s="668"/>
      <c r="L42" s="445">
        <v>0</v>
      </c>
      <c r="M42" s="668"/>
      <c r="N42" s="668"/>
      <c r="O42" s="291"/>
      <c r="P42" s="668"/>
      <c r="Q42" s="668"/>
      <c r="R42" s="687"/>
      <c r="S42" s="101" t="str">
        <f>B10</f>
        <v>SUBURBAN</v>
      </c>
      <c r="T42" s="383" t="s">
        <v>587</v>
      </c>
      <c r="U42" s="389">
        <f>INDEX('DEFAULT DATA'!$AV$9:$AZ$41,START!$C$3,3)</f>
        <v>20</v>
      </c>
      <c r="V42" s="389">
        <f t="shared" si="41"/>
        <v>80</v>
      </c>
      <c r="W42" s="133">
        <f>G10</f>
        <v>50</v>
      </c>
      <c r="X42" s="123">
        <f t="shared" si="38"/>
        <v>399.33820328231081</v>
      </c>
      <c r="Y42" s="123">
        <f t="shared" si="38"/>
        <v>399.31095294529445</v>
      </c>
      <c r="Z42" s="123">
        <f t="shared" si="38"/>
        <v>399.27535319833476</v>
      </c>
      <c r="AA42" s="123">
        <f t="shared" si="38"/>
        <v>399.23236948200724</v>
      </c>
      <c r="AB42" s="123">
        <f t="shared" si="38"/>
        <v>399.18286871611167</v>
      </c>
      <c r="AC42" s="123">
        <f t="shared" si="38"/>
        <v>399.08956183050753</v>
      </c>
      <c r="AD42" s="123">
        <f t="shared" si="38"/>
        <v>398.98486571200363</v>
      </c>
      <c r="AE42" s="123">
        <f t="shared" si="38"/>
        <v>398.87012832920686</v>
      </c>
      <c r="AF42" s="123">
        <f t="shared" si="38"/>
        <v>398.74655854370536</v>
      </c>
      <c r="AG42" s="123">
        <f t="shared" si="38"/>
        <v>398.61523946846808</v>
      </c>
      <c r="AH42" s="123">
        <f t="shared" si="39"/>
        <v>398.48283263766632</v>
      </c>
      <c r="AI42" s="123">
        <f t="shared" si="39"/>
        <v>398.34495521005061</v>
      </c>
      <c r="AJ42" s="123">
        <f t="shared" si="39"/>
        <v>398.20220326303695</v>
      </c>
      <c r="AK42" s="123">
        <f t="shared" si="39"/>
        <v>398.05511849724877</v>
      </c>
      <c r="AL42" s="123">
        <f t="shared" si="39"/>
        <v>397.90419278707282</v>
      </c>
      <c r="AM42" s="123">
        <f t="shared" si="39"/>
        <v>397.69038505321146</v>
      </c>
      <c r="AN42" s="123">
        <f t="shared" si="39"/>
        <v>397.47094320116673</v>
      </c>
      <c r="AO42" s="123">
        <f t="shared" si="39"/>
        <v>397.24649122543315</v>
      </c>
      <c r="AP42" s="123">
        <f t="shared" si="39"/>
        <v>397.01759580537026</v>
      </c>
      <c r="AQ42" s="123">
        <f t="shared" si="39"/>
        <v>396.78477111979316</v>
      </c>
      <c r="AR42" s="123">
        <f t="shared" si="40"/>
        <v>396.54848327782349</v>
      </c>
      <c r="AS42" s="123">
        <f t="shared" si="40"/>
        <v>396.30915439554411</v>
      </c>
      <c r="AT42" s="123">
        <f t="shared" si="40"/>
        <v>396.06716634578231</v>
      </c>
      <c r="AU42" s="123">
        <f t="shared" si="40"/>
        <v>395.82286420629362</v>
      </c>
      <c r="AV42" s="123">
        <f t="shared" si="40"/>
        <v>395.57655942970769</v>
      </c>
      <c r="AW42" s="123">
        <f t="shared" si="40"/>
        <v>395.39797236286284</v>
      </c>
      <c r="AX42" s="123">
        <f t="shared" si="40"/>
        <v>395.21926617245356</v>
      </c>
      <c r="AY42" s="123">
        <f t="shared" si="40"/>
        <v>395.0405363558707</v>
      </c>
      <c r="AZ42" s="123">
        <f t="shared" si="40"/>
        <v>394.86186649914123</v>
      </c>
      <c r="BA42" s="159">
        <f t="shared" si="40"/>
        <v>394.68332942192944</v>
      </c>
      <c r="BB42" s="16"/>
      <c r="BC42" s="16"/>
      <c r="BD42" s="16"/>
    </row>
    <row r="43" spans="1:63" ht="20.100000000000001" customHeight="1">
      <c r="A43" s="15"/>
      <c r="B43" s="668"/>
      <c r="C43" s="668"/>
      <c r="D43" s="668"/>
      <c r="E43" s="668"/>
      <c r="F43" s="668"/>
      <c r="G43" s="668"/>
      <c r="H43" s="668"/>
      <c r="I43" s="82" t="str">
        <f>INDEX('MENU OPTIONS'!$F$23:$AL$80,19,START!$C$3)</f>
        <v>-</v>
      </c>
      <c r="J43" s="668"/>
      <c r="K43" s="668"/>
      <c r="L43" s="445">
        <v>0</v>
      </c>
      <c r="M43" s="668"/>
      <c r="N43" s="668"/>
      <c r="O43" s="291"/>
      <c r="P43" s="668"/>
      <c r="Q43" s="668"/>
      <c r="R43" s="687"/>
      <c r="S43" s="101" t="str">
        <f>B11</f>
        <v>TOWN</v>
      </c>
      <c r="T43" s="383" t="s">
        <v>587</v>
      </c>
      <c r="U43" s="389">
        <f>INDEX('DEFAULT DATA'!$AV$9:$AZ$41,START!$C$3,4)</f>
        <v>70</v>
      </c>
      <c r="V43" s="389">
        <f t="shared" si="41"/>
        <v>30</v>
      </c>
      <c r="W43" s="133">
        <f>G11</f>
        <v>0</v>
      </c>
      <c r="X43" s="123">
        <f t="shared" si="38"/>
        <v>313.68941729912041</v>
      </c>
      <c r="Y43" s="123">
        <f t="shared" si="38"/>
        <v>313.68377200506802</v>
      </c>
      <c r="Z43" s="123">
        <f t="shared" si="38"/>
        <v>313.66906570363415</v>
      </c>
      <c r="AA43" s="123">
        <f t="shared" si="38"/>
        <v>313.6463461172612</v>
      </c>
      <c r="AB43" s="123">
        <f t="shared" si="38"/>
        <v>313.61655405095928</v>
      </c>
      <c r="AC43" s="123">
        <f t="shared" si="38"/>
        <v>313.56314990370618</v>
      </c>
      <c r="AD43" s="123">
        <f t="shared" si="38"/>
        <v>313.49738585029479</v>
      </c>
      <c r="AE43" s="123">
        <f t="shared" si="38"/>
        <v>313.42072474302017</v>
      </c>
      <c r="AF43" s="123">
        <f t="shared" si="38"/>
        <v>313.33447847144669</v>
      </c>
      <c r="AG43" s="123">
        <f t="shared" si="38"/>
        <v>313.23982245930756</v>
      </c>
      <c r="AH43" s="123">
        <f t="shared" si="39"/>
        <v>313.14398598516385</v>
      </c>
      <c r="AI43" s="123">
        <f t="shared" si="39"/>
        <v>313.04221267015953</v>
      </c>
      <c r="AJ43" s="123">
        <f t="shared" si="39"/>
        <v>312.93514939376314</v>
      </c>
      <c r="AK43" s="123">
        <f t="shared" si="39"/>
        <v>312.8233840242649</v>
      </c>
      <c r="AL43" s="123">
        <f t="shared" si="39"/>
        <v>312.70745035716396</v>
      </c>
      <c r="AM43" s="123">
        <f t="shared" si="39"/>
        <v>312.5472029178643</v>
      </c>
      <c r="AN43" s="123">
        <f t="shared" si="39"/>
        <v>312.3808411798542</v>
      </c>
      <c r="AO43" s="123">
        <f t="shared" si="39"/>
        <v>312.20904231897725</v>
      </c>
      <c r="AP43" s="123">
        <f t="shared" si="39"/>
        <v>312.03242131112916</v>
      </c>
      <c r="AQ43" s="123">
        <f t="shared" si="39"/>
        <v>311.85153615718343</v>
      </c>
      <c r="AR43" s="123">
        <f t="shared" si="40"/>
        <v>311.66689269147082</v>
      </c>
      <c r="AS43" s="123">
        <f t="shared" si="40"/>
        <v>311.47894900587647</v>
      </c>
      <c r="AT43" s="123">
        <f t="shared" si="40"/>
        <v>311.2881195192075</v>
      </c>
      <c r="AU43" s="123">
        <f t="shared" si="40"/>
        <v>311.09477871925537</v>
      </c>
      <c r="AV43" s="123">
        <f t="shared" si="40"/>
        <v>310.89926460290803</v>
      </c>
      <c r="AW43" s="123">
        <f t="shared" si="40"/>
        <v>310.7533120771493</v>
      </c>
      <c r="AX43" s="123">
        <f t="shared" si="40"/>
        <v>310.60723027524972</v>
      </c>
      <c r="AY43" s="123">
        <f t="shared" si="40"/>
        <v>310.46112283358218</v>
      </c>
      <c r="AZ43" s="123">
        <f t="shared" si="40"/>
        <v>310.31508046198292</v>
      </c>
      <c r="BA43" s="159">
        <f t="shared" si="40"/>
        <v>310.16918218633731</v>
      </c>
      <c r="BB43" s="16"/>
      <c r="BC43" s="16"/>
      <c r="BD43" s="16"/>
    </row>
    <row r="44" spans="1:63" ht="20.100000000000001" customHeight="1" thickBot="1">
      <c r="A44" s="15"/>
      <c r="B44" s="668"/>
      <c r="C44" s="668"/>
      <c r="D44" s="668"/>
      <c r="E44" s="668"/>
      <c r="F44" s="668"/>
      <c r="G44" s="668"/>
      <c r="H44" s="668"/>
      <c r="I44" s="82" t="str">
        <f>INDEX('MENU OPTIONS'!$F$23:$AL$80,20,START!$C$3)</f>
        <v>-</v>
      </c>
      <c r="J44" s="668"/>
      <c r="K44" s="668"/>
      <c r="L44" s="445">
        <v>0</v>
      </c>
      <c r="M44" s="668"/>
      <c r="N44" s="668"/>
      <c r="O44" s="291"/>
      <c r="P44" s="668"/>
      <c r="Q44" s="668"/>
      <c r="R44" s="687"/>
      <c r="S44" s="301" t="str">
        <f>B12</f>
        <v>RURAL</v>
      </c>
      <c r="T44" s="448" t="s">
        <v>587</v>
      </c>
      <c r="U44" s="921">
        <f>INDEX('DEFAULT DATA'!$AV$9:$AZ$41,START!$C$3,5)</f>
        <v>100</v>
      </c>
      <c r="V44" s="921">
        <f t="shared" si="41"/>
        <v>0</v>
      </c>
      <c r="W44" s="369">
        <f>G12</f>
        <v>0</v>
      </c>
      <c r="X44" s="160">
        <f t="shared" si="38"/>
        <v>262.30014570920616</v>
      </c>
      <c r="Y44" s="160">
        <f t="shared" si="38"/>
        <v>262.30746344093228</v>
      </c>
      <c r="Z44" s="160">
        <f t="shared" si="38"/>
        <v>262.30529320681376</v>
      </c>
      <c r="AA44" s="160">
        <f t="shared" si="38"/>
        <v>262.29473209841359</v>
      </c>
      <c r="AB44" s="160">
        <f t="shared" si="38"/>
        <v>262.27676525186791</v>
      </c>
      <c r="AC44" s="160">
        <f t="shared" si="38"/>
        <v>262.24730274762544</v>
      </c>
      <c r="AD44" s="160">
        <f t="shared" si="38"/>
        <v>262.20489793326959</v>
      </c>
      <c r="AE44" s="160">
        <f t="shared" si="38"/>
        <v>262.15108259130824</v>
      </c>
      <c r="AF44" s="160">
        <f t="shared" si="38"/>
        <v>262.08723042809146</v>
      </c>
      <c r="AG44" s="160">
        <f t="shared" si="38"/>
        <v>262.01457225381131</v>
      </c>
      <c r="AH44" s="160">
        <f t="shared" si="39"/>
        <v>261.9406779936624</v>
      </c>
      <c r="AI44" s="160">
        <f t="shared" si="39"/>
        <v>261.86056714622498</v>
      </c>
      <c r="AJ44" s="160">
        <f t="shared" si="39"/>
        <v>261.77491707219895</v>
      </c>
      <c r="AK44" s="160">
        <f t="shared" si="39"/>
        <v>261.68434334047464</v>
      </c>
      <c r="AL44" s="160">
        <f t="shared" si="39"/>
        <v>261.58940489921872</v>
      </c>
      <c r="AM44" s="160">
        <f t="shared" si="39"/>
        <v>261.46129363665602</v>
      </c>
      <c r="AN44" s="160">
        <f t="shared" si="39"/>
        <v>261.32677996706673</v>
      </c>
      <c r="AO44" s="160">
        <f t="shared" si="39"/>
        <v>261.18657297510379</v>
      </c>
      <c r="AP44" s="160">
        <f t="shared" si="39"/>
        <v>261.04131661458462</v>
      </c>
      <c r="AQ44" s="160">
        <f t="shared" si="39"/>
        <v>260.8915951796177</v>
      </c>
      <c r="AR44" s="160">
        <f t="shared" si="40"/>
        <v>260.73793833965919</v>
      </c>
      <c r="AS44" s="160">
        <f t="shared" si="40"/>
        <v>260.58082577207591</v>
      </c>
      <c r="AT44" s="160">
        <f t="shared" si="40"/>
        <v>260.42069142326267</v>
      </c>
      <c r="AU44" s="160">
        <f t="shared" si="40"/>
        <v>260.25792742703248</v>
      </c>
      <c r="AV44" s="160">
        <f t="shared" si="40"/>
        <v>260.09288770682821</v>
      </c>
      <c r="AW44" s="160">
        <f t="shared" si="40"/>
        <v>259.96651590572122</v>
      </c>
      <c r="AX44" s="160">
        <f t="shared" si="40"/>
        <v>259.84000873692747</v>
      </c>
      <c r="AY44" s="160">
        <f t="shared" si="40"/>
        <v>259.71347472020915</v>
      </c>
      <c r="AZ44" s="160">
        <f t="shared" si="40"/>
        <v>259.587008839688</v>
      </c>
      <c r="BA44" s="161">
        <f t="shared" si="40"/>
        <v>259.46069384498213</v>
      </c>
      <c r="BB44" s="16"/>
      <c r="BC44" s="16"/>
      <c r="BD44" s="16"/>
    </row>
    <row r="45" spans="1:63" ht="20.100000000000001" customHeight="1" thickBot="1">
      <c r="A45" s="15"/>
      <c r="B45" s="668"/>
      <c r="C45" s="668"/>
      <c r="D45" s="668"/>
      <c r="E45" s="668"/>
      <c r="F45" s="668"/>
      <c r="G45" s="668"/>
      <c r="H45" s="668"/>
      <c r="I45" s="82" t="str">
        <f>INDEX('MENU OPTIONS'!$F$23:$AL$80,21,START!$C$3)</f>
        <v>-</v>
      </c>
      <c r="J45" s="668"/>
      <c r="K45" s="668"/>
      <c r="L45" s="445">
        <v>0</v>
      </c>
      <c r="M45" s="668"/>
      <c r="N45" s="668"/>
      <c r="O45" s="291"/>
      <c r="P45" s="668"/>
      <c r="Q45" s="668"/>
      <c r="R45" s="687"/>
      <c r="S45" s="557" t="s">
        <v>2040</v>
      </c>
      <c r="T45" s="547" t="s">
        <v>116</v>
      </c>
      <c r="U45" s="558"/>
      <c r="V45" s="558"/>
      <c r="W45" s="559" t="s">
        <v>845</v>
      </c>
      <c r="X45" s="560">
        <f t="shared" ref="X45:BA45" si="42">($W$40/100*X40)+($W$41/100*X41)+($W$42/100*X42)+($W$43/100*X43)+($W$44/100*X44)</f>
        <v>407.90308188062988</v>
      </c>
      <c r="Y45" s="560">
        <f t="shared" si="42"/>
        <v>407.87367103931706</v>
      </c>
      <c r="Z45" s="560">
        <f t="shared" si="42"/>
        <v>407.83598194780484</v>
      </c>
      <c r="AA45" s="560">
        <f t="shared" si="42"/>
        <v>407.79097181848181</v>
      </c>
      <c r="AB45" s="560">
        <f t="shared" si="42"/>
        <v>407.7395001826269</v>
      </c>
      <c r="AC45" s="560">
        <f t="shared" si="42"/>
        <v>407.64220302318768</v>
      </c>
      <c r="AD45" s="560">
        <f t="shared" si="42"/>
        <v>407.53361369817452</v>
      </c>
      <c r="AE45" s="560">
        <f t="shared" si="42"/>
        <v>407.41506868782551</v>
      </c>
      <c r="AF45" s="560">
        <f t="shared" si="42"/>
        <v>407.28776655093122</v>
      </c>
      <c r="AG45" s="560">
        <f t="shared" si="42"/>
        <v>407.15278116938413</v>
      </c>
      <c r="AH45" s="560">
        <f t="shared" si="42"/>
        <v>407.0167173029165</v>
      </c>
      <c r="AI45" s="560">
        <f t="shared" si="42"/>
        <v>406.87522946403971</v>
      </c>
      <c r="AJ45" s="560">
        <f t="shared" si="42"/>
        <v>406.7289086499643</v>
      </c>
      <c r="AK45" s="560">
        <f t="shared" si="42"/>
        <v>406.57829194454712</v>
      </c>
      <c r="AL45" s="560">
        <f t="shared" si="42"/>
        <v>406.42386703006366</v>
      </c>
      <c r="AM45" s="560">
        <f t="shared" si="42"/>
        <v>406.20470326674615</v>
      </c>
      <c r="AN45" s="560">
        <f t="shared" si="42"/>
        <v>405.97995340329794</v>
      </c>
      <c r="AO45" s="560">
        <f t="shared" si="42"/>
        <v>405.75023611607878</v>
      </c>
      <c r="AP45" s="560">
        <f t="shared" si="42"/>
        <v>405.51611325479433</v>
      </c>
      <c r="AQ45" s="560">
        <f t="shared" si="42"/>
        <v>405.27809461605409</v>
      </c>
      <c r="AR45" s="560">
        <f t="shared" si="42"/>
        <v>405.03664233645878</v>
      </c>
      <c r="AS45" s="560">
        <f t="shared" si="42"/>
        <v>404.79217493451085</v>
      </c>
      <c r="AT45" s="560">
        <f t="shared" si="42"/>
        <v>404.54507102843979</v>
      </c>
      <c r="AU45" s="560">
        <f t="shared" si="42"/>
        <v>404.29567275499744</v>
      </c>
      <c r="AV45" s="560">
        <f t="shared" si="42"/>
        <v>404.04428891238763</v>
      </c>
      <c r="AW45" s="560">
        <f t="shared" si="42"/>
        <v>403.86243839143418</v>
      </c>
      <c r="AX45" s="560">
        <f t="shared" si="42"/>
        <v>403.68046976217397</v>
      </c>
      <c r="AY45" s="560">
        <f t="shared" si="42"/>
        <v>403.49847770809953</v>
      </c>
      <c r="AZ45" s="560">
        <f t="shared" si="42"/>
        <v>403.31654510285705</v>
      </c>
      <c r="BA45" s="561">
        <f t="shared" si="42"/>
        <v>403.13474414548864</v>
      </c>
      <c r="BB45" s="16"/>
      <c r="BC45" s="16"/>
      <c r="BD45" s="16"/>
    </row>
    <row r="46" spans="1:63" ht="20.100000000000001" customHeight="1" thickBot="1">
      <c r="A46" s="15"/>
      <c r="B46" s="668"/>
      <c r="C46" s="668"/>
      <c r="D46" s="668"/>
      <c r="E46" s="668"/>
      <c r="F46" s="668"/>
      <c r="G46" s="668"/>
      <c r="H46" s="668"/>
      <c r="I46" s="82" t="str">
        <f>INDEX('MENU OPTIONS'!$F$23:$AL$80,22,START!$C$3)</f>
        <v>-</v>
      </c>
      <c r="J46" s="668"/>
      <c r="K46" s="668"/>
      <c r="L46" s="445">
        <v>0</v>
      </c>
      <c r="M46" s="668"/>
      <c r="N46" s="668"/>
      <c r="O46" s="291"/>
      <c r="P46" s="668"/>
      <c r="Q46" s="668"/>
      <c r="R46" s="687"/>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c r="AZ46" s="16"/>
      <c r="BA46" s="16"/>
      <c r="BB46" s="16"/>
      <c r="BC46" s="16"/>
      <c r="BD46" s="16"/>
    </row>
    <row r="47" spans="1:63" ht="20.100000000000001" customHeight="1">
      <c r="A47" s="15"/>
      <c r="B47" s="668"/>
      <c r="C47" s="668"/>
      <c r="D47" s="668"/>
      <c r="E47" s="668"/>
      <c r="F47" s="668"/>
      <c r="G47" s="668"/>
      <c r="H47" s="668"/>
      <c r="I47" s="82" t="str">
        <f>INDEX('MENU OPTIONS'!$F$23:$AL$80,23,START!$C$3)</f>
        <v>-</v>
      </c>
      <c r="J47" s="668"/>
      <c r="K47" s="668"/>
      <c r="L47" s="445">
        <v>0</v>
      </c>
      <c r="M47" s="668"/>
      <c r="N47" s="668"/>
      <c r="O47" s="291"/>
      <c r="P47" s="668"/>
      <c r="Q47" s="668"/>
      <c r="R47" s="687"/>
      <c r="S47" s="299" t="s">
        <v>619</v>
      </c>
      <c r="T47" s="726" t="s">
        <v>2039</v>
      </c>
      <c r="U47" s="138"/>
      <c r="V47" s="152">
        <v>2019</v>
      </c>
      <c r="W47" s="152">
        <v>2020</v>
      </c>
      <c r="X47" s="152">
        <v>2021</v>
      </c>
      <c r="Y47" s="152">
        <f>X47+1</f>
        <v>2022</v>
      </c>
      <c r="Z47" s="152">
        <f t="shared" ref="Z47:BA47" si="43">Y47+1</f>
        <v>2023</v>
      </c>
      <c r="AA47" s="152">
        <f t="shared" si="43"/>
        <v>2024</v>
      </c>
      <c r="AB47" s="152">
        <f t="shared" si="43"/>
        <v>2025</v>
      </c>
      <c r="AC47" s="152">
        <f t="shared" si="43"/>
        <v>2026</v>
      </c>
      <c r="AD47" s="152">
        <f t="shared" si="43"/>
        <v>2027</v>
      </c>
      <c r="AE47" s="152">
        <f t="shared" si="43"/>
        <v>2028</v>
      </c>
      <c r="AF47" s="152">
        <f t="shared" si="43"/>
        <v>2029</v>
      </c>
      <c r="AG47" s="152">
        <f t="shared" si="43"/>
        <v>2030</v>
      </c>
      <c r="AH47" s="152">
        <f t="shared" si="43"/>
        <v>2031</v>
      </c>
      <c r="AI47" s="152">
        <f t="shared" si="43"/>
        <v>2032</v>
      </c>
      <c r="AJ47" s="152">
        <f t="shared" si="43"/>
        <v>2033</v>
      </c>
      <c r="AK47" s="152">
        <f t="shared" si="43"/>
        <v>2034</v>
      </c>
      <c r="AL47" s="152">
        <f t="shared" si="43"/>
        <v>2035</v>
      </c>
      <c r="AM47" s="152">
        <f t="shared" si="43"/>
        <v>2036</v>
      </c>
      <c r="AN47" s="152">
        <f t="shared" si="43"/>
        <v>2037</v>
      </c>
      <c r="AO47" s="152">
        <f t="shared" si="43"/>
        <v>2038</v>
      </c>
      <c r="AP47" s="152">
        <f t="shared" si="43"/>
        <v>2039</v>
      </c>
      <c r="AQ47" s="152">
        <f t="shared" si="43"/>
        <v>2040</v>
      </c>
      <c r="AR47" s="152">
        <f t="shared" si="43"/>
        <v>2041</v>
      </c>
      <c r="AS47" s="152">
        <f t="shared" si="43"/>
        <v>2042</v>
      </c>
      <c r="AT47" s="152">
        <f t="shared" si="43"/>
        <v>2043</v>
      </c>
      <c r="AU47" s="152">
        <f t="shared" si="43"/>
        <v>2044</v>
      </c>
      <c r="AV47" s="152">
        <f t="shared" si="43"/>
        <v>2045</v>
      </c>
      <c r="AW47" s="152">
        <f t="shared" si="43"/>
        <v>2046</v>
      </c>
      <c r="AX47" s="152">
        <f t="shared" si="43"/>
        <v>2047</v>
      </c>
      <c r="AY47" s="152">
        <f t="shared" si="43"/>
        <v>2048</v>
      </c>
      <c r="AZ47" s="152">
        <f t="shared" si="43"/>
        <v>2049</v>
      </c>
      <c r="BA47" s="153">
        <f t="shared" si="43"/>
        <v>2050</v>
      </c>
      <c r="BB47" s="16"/>
      <c r="BC47" s="16"/>
      <c r="BD47" s="16"/>
    </row>
    <row r="48" spans="1:63" ht="20.100000000000001" customHeight="1" thickBot="1">
      <c r="A48" s="15"/>
      <c r="B48" s="668"/>
      <c r="C48" s="668"/>
      <c r="D48" s="668"/>
      <c r="E48" s="668"/>
      <c r="F48" s="668"/>
      <c r="G48" s="668"/>
      <c r="H48" s="668"/>
      <c r="I48" s="82" t="str">
        <f>INDEX('MENU OPTIONS'!$F$23:$AL$80,24,START!$C$3)</f>
        <v>-</v>
      </c>
      <c r="J48" s="668"/>
      <c r="K48" s="668"/>
      <c r="L48" s="445">
        <v>0</v>
      </c>
      <c r="M48" s="668"/>
      <c r="N48" s="668"/>
      <c r="O48" s="291"/>
      <c r="P48" s="668"/>
      <c r="Q48" s="668"/>
      <c r="R48" s="687"/>
      <c r="S48" s="301" t="s">
        <v>615</v>
      </c>
      <c r="T48" s="448" t="s">
        <v>2056</v>
      </c>
      <c r="U48" s="343" t="s">
        <v>2909</v>
      </c>
      <c r="V48" s="139"/>
      <c r="W48" s="139"/>
      <c r="X48" s="170">
        <f t="shared" ref="X48:BA48" si="44">X25*X45/1000</f>
        <v>22.655280383319479</v>
      </c>
      <c r="Y48" s="170">
        <f t="shared" si="44"/>
        <v>22.834876055489818</v>
      </c>
      <c r="Z48" s="170">
        <f t="shared" si="44"/>
        <v>23.015428153567143</v>
      </c>
      <c r="AA48" s="170">
        <f t="shared" si="44"/>
        <v>23.196991199469142</v>
      </c>
      <c r="AB48" s="170">
        <f t="shared" si="44"/>
        <v>23.379615766568435</v>
      </c>
      <c r="AC48" s="170">
        <f t="shared" si="44"/>
        <v>23.561029081636899</v>
      </c>
      <c r="AD48" s="170">
        <f t="shared" si="44"/>
        <v>23.743190824943646</v>
      </c>
      <c r="AE48" s="170">
        <f t="shared" si="44"/>
        <v>23.926174584952381</v>
      </c>
      <c r="AF48" s="170">
        <f t="shared" si="44"/>
        <v>24.11004812885297</v>
      </c>
      <c r="AG48" s="170">
        <f t="shared" si="44"/>
        <v>24.294873913801055</v>
      </c>
      <c r="AH48" s="170">
        <f t="shared" si="44"/>
        <v>24.45676224506683</v>
      </c>
      <c r="AI48" s="170">
        <f t="shared" si="44"/>
        <v>24.619398367866726</v>
      </c>
      <c r="AJ48" s="170">
        <f t="shared" si="44"/>
        <v>24.782818532040448</v>
      </c>
      <c r="AK48" s="170">
        <f t="shared" si="44"/>
        <v>24.947056638305824</v>
      </c>
      <c r="AL48" s="170">
        <f t="shared" si="44"/>
        <v>25.112144418080547</v>
      </c>
      <c r="AM48" s="170">
        <f t="shared" si="44"/>
        <v>25.274292932162897</v>
      </c>
      <c r="AN48" s="170">
        <f t="shared" si="44"/>
        <v>25.437131026973475</v>
      </c>
      <c r="AO48" s="170">
        <f t="shared" si="44"/>
        <v>25.600696996552397</v>
      </c>
      <c r="AP48" s="170">
        <f t="shared" si="44"/>
        <v>25.765026556049694</v>
      </c>
      <c r="AQ48" s="170">
        <f t="shared" si="44"/>
        <v>25.930153038958462</v>
      </c>
      <c r="AR48" s="170">
        <f t="shared" si="44"/>
        <v>26.096107580265212</v>
      </c>
      <c r="AS48" s="170">
        <f t="shared" si="44"/>
        <v>26.262919286490934</v>
      </c>
      <c r="AT48" s="170">
        <f t="shared" si="44"/>
        <v>26.430615393530644</v>
      </c>
      <c r="AU48" s="170">
        <f t="shared" si="44"/>
        <v>26.599221413137872</v>
      </c>
      <c r="AV48" s="170">
        <f t="shared" si="44"/>
        <v>26.768761268843267</v>
      </c>
      <c r="AW48" s="170">
        <f t="shared" si="44"/>
        <v>26.944010292656621</v>
      </c>
      <c r="AX48" s="170">
        <f t="shared" si="44"/>
        <v>27.120393198651819</v>
      </c>
      <c r="AY48" s="170">
        <f t="shared" si="44"/>
        <v>27.297923624065266</v>
      </c>
      <c r="AZ48" s="170">
        <f t="shared" si="44"/>
        <v>27.476614626218939</v>
      </c>
      <c r="BA48" s="325">
        <f t="shared" si="44"/>
        <v>27.656478735658052</v>
      </c>
      <c r="BB48" s="16"/>
      <c r="BC48" s="16"/>
      <c r="BD48" s="16"/>
    </row>
    <row r="49" spans="1:57" ht="20.100000000000001" customHeight="1">
      <c r="A49" s="15"/>
      <c r="B49" s="668"/>
      <c r="C49" s="668"/>
      <c r="D49" s="668"/>
      <c r="E49" s="668"/>
      <c r="F49" s="668"/>
      <c r="G49" s="668"/>
      <c r="H49" s="668"/>
      <c r="I49" s="82" t="str">
        <f>INDEX('MENU OPTIONS'!$F$23:$AL$80,25,START!$C$3)</f>
        <v>-</v>
      </c>
      <c r="J49" s="668"/>
      <c r="K49" s="668"/>
      <c r="L49" s="445">
        <v>0</v>
      </c>
      <c r="M49" s="668"/>
      <c r="N49" s="668"/>
      <c r="O49" s="291"/>
      <c r="P49" s="668"/>
      <c r="Q49" s="668"/>
      <c r="R49" s="687"/>
      <c r="BB49" s="16"/>
      <c r="BC49" s="16"/>
      <c r="BD49" s="16"/>
    </row>
    <row r="50" spans="1:57" ht="20.100000000000001" customHeight="1" thickBot="1">
      <c r="A50" s="15"/>
      <c r="B50" s="668"/>
      <c r="C50" s="668"/>
      <c r="D50" s="668"/>
      <c r="E50" s="668"/>
      <c r="F50" s="668"/>
      <c r="G50" s="668"/>
      <c r="H50" s="668"/>
      <c r="I50" s="82" t="str">
        <f>INDEX('MENU OPTIONS'!$F$23:$AL$80,26,START!$C$3)</f>
        <v>-</v>
      </c>
      <c r="J50" s="668"/>
      <c r="K50" s="668"/>
      <c r="L50" s="445">
        <v>0</v>
      </c>
      <c r="M50" s="668"/>
      <c r="N50" s="668"/>
      <c r="O50" s="291"/>
      <c r="P50" s="668"/>
      <c r="Q50" s="668"/>
      <c r="R50" s="687"/>
      <c r="S50" s="237" t="s">
        <v>636</v>
      </c>
      <c r="BB50" s="16"/>
      <c r="BC50" s="16"/>
      <c r="BD50" s="16"/>
    </row>
    <row r="51" spans="1:57" ht="20.100000000000001" customHeight="1">
      <c r="A51" s="15"/>
      <c r="B51" s="668"/>
      <c r="C51" s="668"/>
      <c r="D51" s="668"/>
      <c r="E51" s="668"/>
      <c r="F51" s="668"/>
      <c r="G51" s="668"/>
      <c r="H51" s="668"/>
      <c r="I51" s="82" t="str">
        <f>INDEX('MENU OPTIONS'!$F$23:$AL$80,27,START!$C$3)</f>
        <v>-</v>
      </c>
      <c r="J51" s="668"/>
      <c r="K51" s="668"/>
      <c r="L51" s="445">
        <v>0</v>
      </c>
      <c r="M51" s="668"/>
      <c r="N51" s="668"/>
      <c r="O51" s="291"/>
      <c r="P51" s="668"/>
      <c r="Q51" s="668"/>
      <c r="R51" s="687"/>
      <c r="S51" s="209" t="s">
        <v>621</v>
      </c>
      <c r="T51" s="1072" t="s">
        <v>2944</v>
      </c>
      <c r="U51" s="537"/>
      <c r="V51" s="152">
        <v>2019</v>
      </c>
      <c r="W51" s="152">
        <v>2020</v>
      </c>
      <c r="X51" s="152">
        <v>2021</v>
      </c>
      <c r="Y51" s="152">
        <f>X51+1</f>
        <v>2022</v>
      </c>
      <c r="Z51" s="152">
        <f t="shared" ref="Z51" si="45">Y51+1</f>
        <v>2023</v>
      </c>
      <c r="AA51" s="152">
        <f t="shared" ref="AA51" si="46">Z51+1</f>
        <v>2024</v>
      </c>
      <c r="AB51" s="152">
        <f t="shared" ref="AB51" si="47">AA51+1</f>
        <v>2025</v>
      </c>
      <c r="AC51" s="152">
        <f t="shared" ref="AC51" si="48">AB51+1</f>
        <v>2026</v>
      </c>
      <c r="AD51" s="152">
        <f t="shared" ref="AD51" si="49">AC51+1</f>
        <v>2027</v>
      </c>
      <c r="AE51" s="152">
        <f t="shared" ref="AE51" si="50">AD51+1</f>
        <v>2028</v>
      </c>
      <c r="AF51" s="152">
        <f t="shared" ref="AF51" si="51">AE51+1</f>
        <v>2029</v>
      </c>
      <c r="AG51" s="152">
        <f t="shared" ref="AG51" si="52">AF51+1</f>
        <v>2030</v>
      </c>
      <c r="AH51" s="152">
        <f t="shared" ref="AH51" si="53">AG51+1</f>
        <v>2031</v>
      </c>
      <c r="AI51" s="152">
        <f t="shared" ref="AI51" si="54">AH51+1</f>
        <v>2032</v>
      </c>
      <c r="AJ51" s="152">
        <f t="shared" ref="AJ51" si="55">AI51+1</f>
        <v>2033</v>
      </c>
      <c r="AK51" s="152">
        <f t="shared" ref="AK51" si="56">AJ51+1</f>
        <v>2034</v>
      </c>
      <c r="AL51" s="152">
        <f t="shared" ref="AL51" si="57">AK51+1</f>
        <v>2035</v>
      </c>
      <c r="AM51" s="152">
        <f t="shared" ref="AM51" si="58">AL51+1</f>
        <v>2036</v>
      </c>
      <c r="AN51" s="152">
        <f t="shared" ref="AN51" si="59">AM51+1</f>
        <v>2037</v>
      </c>
      <c r="AO51" s="152">
        <f t="shared" ref="AO51" si="60">AN51+1</f>
        <v>2038</v>
      </c>
      <c r="AP51" s="152">
        <f t="shared" ref="AP51" si="61">AO51+1</f>
        <v>2039</v>
      </c>
      <c r="AQ51" s="152">
        <f>AP51+1</f>
        <v>2040</v>
      </c>
      <c r="AR51" s="152">
        <f t="shared" ref="AR51" si="62">AQ51+1</f>
        <v>2041</v>
      </c>
      <c r="AS51" s="152">
        <f t="shared" ref="AS51" si="63">AR51+1</f>
        <v>2042</v>
      </c>
      <c r="AT51" s="152">
        <f t="shared" ref="AT51" si="64">AS51+1</f>
        <v>2043</v>
      </c>
      <c r="AU51" s="152">
        <f>AT51+1</f>
        <v>2044</v>
      </c>
      <c r="AV51" s="152">
        <f t="shared" ref="AV51" si="65">AU51+1</f>
        <v>2045</v>
      </c>
      <c r="AW51" s="152">
        <f t="shared" ref="AW51" si="66">AV51+1</f>
        <v>2046</v>
      </c>
      <c r="AX51" s="152">
        <f t="shared" ref="AX51" si="67">AW51+1</f>
        <v>2047</v>
      </c>
      <c r="AY51" s="152">
        <f t="shared" ref="AY51" si="68">AX51+1</f>
        <v>2048</v>
      </c>
      <c r="AZ51" s="152">
        <f t="shared" ref="AZ51" si="69">AY51+1</f>
        <v>2049</v>
      </c>
      <c r="BA51" s="153">
        <f>AZ51+1</f>
        <v>2050</v>
      </c>
      <c r="BB51" s="16"/>
      <c r="BC51" s="16"/>
      <c r="BD51" s="16"/>
    </row>
    <row r="52" spans="1:57" ht="20.100000000000001" customHeight="1" thickBot="1">
      <c r="A52" s="15"/>
      <c r="B52" s="668"/>
      <c r="C52" s="668"/>
      <c r="D52" s="668"/>
      <c r="E52" s="668"/>
      <c r="F52" s="668"/>
      <c r="G52" s="668"/>
      <c r="H52" s="668"/>
      <c r="I52" s="82" t="str">
        <f>INDEX('MENU OPTIONS'!$F$23:$AL$80,28,START!$C$3)</f>
        <v>-</v>
      </c>
      <c r="J52" s="668"/>
      <c r="K52" s="668"/>
      <c r="L52" s="445">
        <v>0</v>
      </c>
      <c r="M52" s="668"/>
      <c r="N52" s="668"/>
      <c r="O52" s="291"/>
      <c r="P52" s="668"/>
      <c r="Q52" s="668"/>
      <c r="R52" s="687"/>
      <c r="S52" s="539" t="s">
        <v>622</v>
      </c>
      <c r="T52" s="538" t="s">
        <v>2316</v>
      </c>
      <c r="U52" s="343" t="s">
        <v>2908</v>
      </c>
      <c r="V52" s="540"/>
      <c r="W52" s="540"/>
      <c r="X52" s="160">
        <f>INDEX('DEFAULT DATA'!$BA$9:$BA$41,START!$C$3,1)/INDEX('DEFAULT DATA'!$BB$9:$BB$41,START!$C$3,1)*W21*INDEX('DEFAULT DATA'!$ME$9:$MH$41,START!$C$3,G19)</f>
        <v>1342.4866044173514</v>
      </c>
      <c r="Y52" s="160">
        <f>X52*(100+INDEX('DEFAULT DATA'!$BC$9:$BE$41,START!$C$3,1))/100</f>
        <v>1369.3363365056982</v>
      </c>
      <c r="Z52" s="160">
        <f>Y52*(100+INDEX('DEFAULT DATA'!$BC$9:$BE$41,START!$C$3,1))/100</f>
        <v>1396.7230632358123</v>
      </c>
      <c r="AA52" s="160">
        <f>Z52*(100+INDEX('DEFAULT DATA'!$BC$9:$BE$41,START!$C$3,1))/100</f>
        <v>1424.6575245005286</v>
      </c>
      <c r="AB52" s="160">
        <f>AA52*(100+INDEX('DEFAULT DATA'!$BC$9:$BE$41,START!$C$3,1))/100</f>
        <v>1453.1506749905393</v>
      </c>
      <c r="AC52" s="160">
        <f>AB52*(100+INDEX('DEFAULT DATA'!$BC$9:$BE$41,START!$C$3,1))/100</f>
        <v>1482.21368849035</v>
      </c>
      <c r="AD52" s="160">
        <f>AC52*(100+INDEX('DEFAULT DATA'!$BC$9:$BE$41,START!$C$3,1))/100</f>
        <v>1511.8579622601569</v>
      </c>
      <c r="AE52" s="160">
        <f>AD52*(100+INDEX('DEFAULT DATA'!$BC$9:$BE$41,START!$C$3,1))/100</f>
        <v>1542.0951215053601</v>
      </c>
      <c r="AF52" s="160">
        <f>AE52*(100+INDEX('DEFAULT DATA'!$BC$9:$BE$41,START!$C$3,1))/100</f>
        <v>1572.9370239354673</v>
      </c>
      <c r="AG52" s="160">
        <f>AF52*(100+INDEX('DEFAULT DATA'!$BC$9:$BE$41,START!$C$3,1))/100</f>
        <v>1604.3957644141767</v>
      </c>
      <c r="AH52" s="160">
        <f>AG52*(100+INDEX('DEFAULT DATA'!$BC$9:$BE$41,START!$C$3,2))/100</f>
        <v>1625.2529093515611</v>
      </c>
      <c r="AI52" s="160">
        <f>AH52*(100+INDEX('DEFAULT DATA'!$BC$9:$BE$41,START!$C$3,2))/100</f>
        <v>1646.3811971731316</v>
      </c>
      <c r="AJ52" s="160">
        <f>AI52*(100+INDEX('DEFAULT DATA'!$BC$9:$BE$41,START!$C$3,2))/100</f>
        <v>1667.7841527363821</v>
      </c>
      <c r="AK52" s="160">
        <f>AJ52*(100+INDEX('DEFAULT DATA'!$BC$9:$BE$41,START!$C$3,2))/100</f>
        <v>1689.465346721955</v>
      </c>
      <c r="AL52" s="160">
        <f>AK52*(100+INDEX('DEFAULT DATA'!$BC$9:$BE$41,START!$C$3,2))/100</f>
        <v>1711.4283962293403</v>
      </c>
      <c r="AM52" s="160">
        <f>AL52*(100+INDEX('DEFAULT DATA'!$BC$9:$BE$41,START!$C$3,2))/100</f>
        <v>1733.6769653803215</v>
      </c>
      <c r="AN52" s="160">
        <f>AM52*(100+INDEX('DEFAULT DATA'!$BC$9:$BE$41,START!$C$3,2))/100</f>
        <v>1756.2147659302657</v>
      </c>
      <c r="AO52" s="160">
        <f>AN52*(100+INDEX('DEFAULT DATA'!$BC$9:$BE$41,START!$C$3,2))/100</f>
        <v>1779.0455578873591</v>
      </c>
      <c r="AP52" s="160">
        <f>AO52*(100+INDEX('DEFAULT DATA'!$BC$9:$BE$41,START!$C$3,2))/100</f>
        <v>1802.1731501398949</v>
      </c>
      <c r="AQ52" s="160">
        <f>AP52*(100+INDEX('DEFAULT DATA'!$BC$9:$BE$41,START!$C$3,2))/100</f>
        <v>1825.6014010917136</v>
      </c>
      <c r="AR52" s="160">
        <f>AQ52*(100+INDEX('DEFAULT DATA'!$BC$9:$BE$41,START!$C$3,3))/100</f>
        <v>1849.3342193059059</v>
      </c>
      <c r="AS52" s="160">
        <f>AR52*(100+INDEX('DEFAULT DATA'!$BC$9:$BE$41,START!$C$3,3))/100</f>
        <v>1873.3755641568828</v>
      </c>
      <c r="AT52" s="160">
        <f>AS52*(100+INDEX('DEFAULT DATA'!$BC$9:$BE$41,START!$C$3,3))/100</f>
        <v>1897.7294464909221</v>
      </c>
      <c r="AU52" s="160">
        <f>AT52*(100+INDEX('DEFAULT DATA'!$BC$9:$BE$41,START!$C$3,3))/100</f>
        <v>1922.3999292953042</v>
      </c>
      <c r="AV52" s="160">
        <f>AU52*(100+INDEX('DEFAULT DATA'!$BC$9:$BE$41,START!$C$3,3))/100</f>
        <v>1947.3911283761431</v>
      </c>
      <c r="AW52" s="160">
        <f>AV52*(100+INDEX('DEFAULT DATA'!$BC$9:$BE$41,START!$C$3,3))/100</f>
        <v>1972.7072130450331</v>
      </c>
      <c r="AX52" s="160">
        <f>AW52*(100+INDEX('DEFAULT DATA'!$BC$9:$BE$41,START!$C$3,3))/100</f>
        <v>1998.3524068146185</v>
      </c>
      <c r="AY52" s="160">
        <f>AX52*(100+INDEX('DEFAULT DATA'!$BC$9:$BE$41,START!$C$3,3))/100</f>
        <v>2024.3309881032083</v>
      </c>
      <c r="AZ52" s="160">
        <f>AY52*(100+INDEX('DEFAULT DATA'!$BC$9:$BE$41,START!$C$3,3))/100</f>
        <v>2050.6472909485501</v>
      </c>
      <c r="BA52" s="161">
        <f>AZ52*(100+INDEX('DEFAULT DATA'!$BC$9:$BE$41,START!$C$3,3))/100</f>
        <v>2077.3057057308815</v>
      </c>
      <c r="BB52" s="16"/>
      <c r="BC52" s="16"/>
      <c r="BD52" s="16"/>
    </row>
    <row r="53" spans="1:57" ht="20.100000000000001" customHeight="1" thickBot="1">
      <c r="A53" s="15"/>
      <c r="B53" s="668"/>
      <c r="C53" s="668"/>
      <c r="D53" s="668"/>
      <c r="E53" s="668"/>
      <c r="F53" s="668"/>
      <c r="G53" s="668"/>
      <c r="H53" s="668"/>
      <c r="I53" s="82" t="str">
        <f>INDEX('MENU OPTIONS'!$F$23:$AL$80,29,START!$C$3)</f>
        <v>-</v>
      </c>
      <c r="J53" s="668"/>
      <c r="K53" s="668"/>
      <c r="L53" s="445">
        <v>0</v>
      </c>
      <c r="M53" s="668"/>
      <c r="N53" s="668"/>
      <c r="O53" s="291"/>
      <c r="P53" s="668"/>
      <c r="Q53" s="668"/>
      <c r="R53" s="687"/>
      <c r="S53" s="562"/>
      <c r="T53" s="16"/>
      <c r="U53" s="82"/>
      <c r="V53" s="82"/>
      <c r="W53" s="82"/>
      <c r="X53" s="82"/>
      <c r="Y53" s="82"/>
      <c r="Z53" s="82"/>
      <c r="AA53" s="82"/>
      <c r="AB53" s="82"/>
      <c r="AC53" s="82"/>
      <c r="AD53" s="82"/>
      <c r="AE53" s="82"/>
      <c r="AF53" s="82"/>
      <c r="AG53" s="82"/>
      <c r="AH53" s="82"/>
      <c r="AI53" s="82"/>
      <c r="AJ53" s="82"/>
      <c r="AK53" s="82"/>
      <c r="AL53" s="82"/>
      <c r="AM53" s="82"/>
      <c r="AN53" s="82"/>
      <c r="AO53" s="82"/>
      <c r="AP53" s="82"/>
      <c r="AQ53" s="82"/>
      <c r="AR53" s="82"/>
      <c r="AS53" s="82"/>
      <c r="AT53" s="82"/>
      <c r="AU53" s="82"/>
      <c r="AV53" s="82"/>
      <c r="AW53" s="82"/>
      <c r="AX53" s="82"/>
      <c r="AY53" s="82"/>
      <c r="AZ53" s="82"/>
      <c r="BA53" s="82"/>
      <c r="BB53" s="16"/>
      <c r="BC53" s="16"/>
      <c r="BD53" s="16"/>
    </row>
    <row r="54" spans="1:57" ht="20.100000000000001" customHeight="1">
      <c r="A54" s="15"/>
      <c r="B54" s="668"/>
      <c r="C54" s="668"/>
      <c r="D54" s="668"/>
      <c r="E54" s="668"/>
      <c r="F54" s="668"/>
      <c r="G54" s="668"/>
      <c r="H54" s="668"/>
      <c r="I54" s="82" t="str">
        <f>INDEX('MENU OPTIONS'!$F$23:$AL$80,30,START!$C$3)</f>
        <v>-</v>
      </c>
      <c r="J54" s="668"/>
      <c r="K54" s="668"/>
      <c r="L54" s="445">
        <v>0</v>
      </c>
      <c r="M54" s="668"/>
      <c r="N54" s="668"/>
      <c r="O54" s="291"/>
      <c r="P54" s="668"/>
      <c r="Q54" s="668"/>
      <c r="R54" s="687"/>
      <c r="S54" s="760" t="s">
        <v>2594</v>
      </c>
      <c r="T54" s="761"/>
      <c r="U54" s="763" t="s">
        <v>849</v>
      </c>
      <c r="V54" s="763"/>
      <c r="W54" s="763"/>
      <c r="X54" s="757" t="s">
        <v>633</v>
      </c>
      <c r="Y54" s="758"/>
      <c r="Z54" s="758"/>
      <c r="AA54" s="758"/>
      <c r="AB54" s="758"/>
      <c r="AC54" s="758"/>
      <c r="AD54" s="758"/>
      <c r="AE54" s="758"/>
      <c r="AF54" s="758"/>
      <c r="AG54" s="758"/>
      <c r="AH54" s="758"/>
      <c r="AI54" s="758"/>
      <c r="AJ54" s="758"/>
      <c r="AK54" s="758"/>
      <c r="AL54" s="758"/>
      <c r="AM54" s="758"/>
      <c r="AN54" s="758"/>
      <c r="AO54" s="758"/>
      <c r="AP54" s="758"/>
      <c r="AQ54" s="758"/>
      <c r="AR54" s="758"/>
      <c r="AS54" s="758"/>
      <c r="AT54" s="758"/>
      <c r="AU54" s="758"/>
      <c r="AV54" s="758"/>
      <c r="AW54" s="758"/>
      <c r="AX54" s="758"/>
      <c r="AY54" s="758"/>
      <c r="AZ54" s="758"/>
      <c r="BA54" s="759"/>
      <c r="BB54" s="16"/>
      <c r="BC54" s="16"/>
      <c r="BD54" s="16"/>
    </row>
    <row r="55" spans="1:57" ht="20.100000000000001" customHeight="1" thickBot="1">
      <c r="A55" s="15"/>
      <c r="B55" s="668"/>
      <c r="C55" s="668"/>
      <c r="D55" s="668"/>
      <c r="E55" s="668"/>
      <c r="F55" s="668"/>
      <c r="G55" s="668"/>
      <c r="H55" s="668"/>
      <c r="I55" s="82" t="str">
        <f>INDEX('MENU OPTIONS'!$F$23:$AL$80,31,START!$C$3)</f>
        <v>-</v>
      </c>
      <c r="J55" s="668"/>
      <c r="K55" s="668"/>
      <c r="L55" s="445">
        <v>0</v>
      </c>
      <c r="M55" s="668"/>
      <c r="N55" s="668"/>
      <c r="O55" s="291"/>
      <c r="P55" s="668"/>
      <c r="Q55" s="668"/>
      <c r="R55" s="687"/>
      <c r="S55" s="542" t="s">
        <v>579</v>
      </c>
      <c r="T55" s="383"/>
      <c r="U55" s="878" t="s">
        <v>580</v>
      </c>
      <c r="V55" s="389" t="s">
        <v>581</v>
      </c>
      <c r="W55" s="389" t="s">
        <v>582</v>
      </c>
      <c r="X55" s="390">
        <f t="shared" ref="X55:BA55" si="70">X51</f>
        <v>2021</v>
      </c>
      <c r="Y55" s="115">
        <f t="shared" si="70"/>
        <v>2022</v>
      </c>
      <c r="Z55" s="115">
        <f t="shared" si="70"/>
        <v>2023</v>
      </c>
      <c r="AA55" s="115">
        <f t="shared" si="70"/>
        <v>2024</v>
      </c>
      <c r="AB55" s="115">
        <f t="shared" si="70"/>
        <v>2025</v>
      </c>
      <c r="AC55" s="115">
        <f t="shared" si="70"/>
        <v>2026</v>
      </c>
      <c r="AD55" s="115">
        <f t="shared" si="70"/>
        <v>2027</v>
      </c>
      <c r="AE55" s="115">
        <f t="shared" si="70"/>
        <v>2028</v>
      </c>
      <c r="AF55" s="115">
        <f t="shared" si="70"/>
        <v>2029</v>
      </c>
      <c r="AG55" s="115">
        <f t="shared" si="70"/>
        <v>2030</v>
      </c>
      <c r="AH55" s="115">
        <f t="shared" si="70"/>
        <v>2031</v>
      </c>
      <c r="AI55" s="115">
        <f t="shared" si="70"/>
        <v>2032</v>
      </c>
      <c r="AJ55" s="115">
        <f t="shared" si="70"/>
        <v>2033</v>
      </c>
      <c r="AK55" s="115">
        <f t="shared" si="70"/>
        <v>2034</v>
      </c>
      <c r="AL55" s="115">
        <f t="shared" si="70"/>
        <v>2035</v>
      </c>
      <c r="AM55" s="115">
        <f t="shared" si="70"/>
        <v>2036</v>
      </c>
      <c r="AN55" s="115">
        <f t="shared" si="70"/>
        <v>2037</v>
      </c>
      <c r="AO55" s="115">
        <f t="shared" si="70"/>
        <v>2038</v>
      </c>
      <c r="AP55" s="115">
        <f t="shared" si="70"/>
        <v>2039</v>
      </c>
      <c r="AQ55" s="115">
        <f t="shared" si="70"/>
        <v>2040</v>
      </c>
      <c r="AR55" s="115">
        <f t="shared" si="70"/>
        <v>2041</v>
      </c>
      <c r="AS55" s="115">
        <f t="shared" si="70"/>
        <v>2042</v>
      </c>
      <c r="AT55" s="115">
        <f t="shared" si="70"/>
        <v>2043</v>
      </c>
      <c r="AU55" s="115">
        <f t="shared" si="70"/>
        <v>2044</v>
      </c>
      <c r="AV55" s="115">
        <f t="shared" si="70"/>
        <v>2045</v>
      </c>
      <c r="AW55" s="115">
        <f t="shared" si="70"/>
        <v>2046</v>
      </c>
      <c r="AX55" s="115">
        <f t="shared" si="70"/>
        <v>2047</v>
      </c>
      <c r="AY55" s="115">
        <f t="shared" si="70"/>
        <v>2048</v>
      </c>
      <c r="AZ55" s="115">
        <f t="shared" si="70"/>
        <v>2049</v>
      </c>
      <c r="BA55" s="323">
        <f t="shared" si="70"/>
        <v>2050</v>
      </c>
      <c r="BB55" s="16"/>
      <c r="BC55" s="16"/>
      <c r="BD55" s="16"/>
    </row>
    <row r="56" spans="1:57" ht="20.100000000000001" customHeight="1">
      <c r="A56" s="15"/>
      <c r="B56" s="668"/>
      <c r="C56" s="668"/>
      <c r="D56" s="668"/>
      <c r="E56" s="668"/>
      <c r="F56" s="668"/>
      <c r="G56" s="668"/>
      <c r="H56" s="668"/>
      <c r="I56" s="82" t="str">
        <f>INDEX('MENU OPTIONS'!$F$23:$AL$80,32,START!$C$3)</f>
        <v>-</v>
      </c>
      <c r="J56" s="668"/>
      <c r="K56" s="668"/>
      <c r="L56" s="445">
        <v>0</v>
      </c>
      <c r="M56" s="668"/>
      <c r="N56" s="668"/>
      <c r="O56" s="291"/>
      <c r="P56" s="668"/>
      <c r="Q56" s="668"/>
      <c r="R56" s="687"/>
      <c r="S56" s="542" t="s">
        <v>584</v>
      </c>
      <c r="T56" s="383" t="str">
        <f t="shared" ref="T56:T70" si="71">CONCATENATE($BC$56,": ",BC57,"; ",$BD$56,": ",BD57,"; ",$BE$56,": ",BE57)</f>
        <v>EFcar_road: CAR_COL39; EFcar_street: CAR_COL24; Share: CAR_COL9</v>
      </c>
      <c r="U56" s="882">
        <f>0.8*V56+0.2*W56</f>
        <v>192.291944</v>
      </c>
      <c r="V56" s="115">
        <f>INDEX('DEFAULT DATA'!$CL$9:$CZ$41,START!$C$3,1)</f>
        <v>175.08124000000001</v>
      </c>
      <c r="W56" s="115">
        <f>INDEX('DEFAULT DATA'!$BW$9:$CK$41,START!$C$3,1)</f>
        <v>261.13475999999997</v>
      </c>
      <c r="X56" s="401">
        <f>INDEX('DEFAULT DATA'!$BH$9:$BV$41,START!$C$3,1)</f>
        <v>2.4466324694609898E-4</v>
      </c>
      <c r="Y56" s="401">
        <f>INDEX('DEFAULT DATA'!$BH$9:$BV$41,START!$C$3,1)</f>
        <v>2.4466324694609898E-4</v>
      </c>
      <c r="Z56" s="401">
        <f>INDEX('DEFAULT DATA'!$BH$9:$BV$41,START!$C$3,1)</f>
        <v>2.4466324694609898E-4</v>
      </c>
      <c r="AA56" s="401">
        <f>INDEX('DEFAULT DATA'!$BH$9:$BV$41,START!$C$3,1)</f>
        <v>2.4466324694609898E-4</v>
      </c>
      <c r="AB56" s="401">
        <f>INDEX('DEFAULT DATA'!$BH$9:$BV$41,START!$C$3,1)</f>
        <v>2.4466324694609898E-4</v>
      </c>
      <c r="AC56" s="401">
        <f>INDEX('DEFAULT DATA'!$BH$9:$BV$41,START!$C$3,1)</f>
        <v>2.4466324694609898E-4</v>
      </c>
      <c r="AD56" s="401">
        <f>INDEX('DEFAULT DATA'!$BH$9:$BV$41,START!$C$3,1)</f>
        <v>2.4466324694609898E-4</v>
      </c>
      <c r="AE56" s="401">
        <f>INDEX('DEFAULT DATA'!$BH$9:$BV$41,START!$C$3,1)</f>
        <v>2.4466324694609898E-4</v>
      </c>
      <c r="AF56" s="401">
        <f>INDEX('DEFAULT DATA'!$BH$9:$BV$41,START!$C$3,1)</f>
        <v>2.4466324694609898E-4</v>
      </c>
      <c r="AG56" s="401">
        <f>INDEX('DEFAULT DATA'!$BH$9:$BV$41,START!$C$3,1)</f>
        <v>2.4466324694609898E-4</v>
      </c>
      <c r="AH56" s="401">
        <f>INDEX('DEFAULT DATA'!$BH$9:$BV$41,START!$C$3,1)</f>
        <v>2.4466324694609898E-4</v>
      </c>
      <c r="AI56" s="401">
        <f>INDEX('DEFAULT DATA'!$BH$9:$BV$41,START!$C$3,1)</f>
        <v>2.4466324694609898E-4</v>
      </c>
      <c r="AJ56" s="401">
        <f>INDEX('DEFAULT DATA'!$BH$9:$BV$41,START!$C$3,1)</f>
        <v>2.4466324694609898E-4</v>
      </c>
      <c r="AK56" s="401">
        <f>INDEX('DEFAULT DATA'!$BH$9:$BV$41,START!$C$3,1)</f>
        <v>2.4466324694609898E-4</v>
      </c>
      <c r="AL56" s="401">
        <f>INDEX('DEFAULT DATA'!$BH$9:$BV$41,START!$C$3,1)</f>
        <v>2.4466324694609898E-4</v>
      </c>
      <c r="AM56" s="401">
        <f>INDEX('DEFAULT DATA'!$BH$9:$BV$41,START!$C$3,1)</f>
        <v>2.4466324694609898E-4</v>
      </c>
      <c r="AN56" s="401">
        <f>INDEX('DEFAULT DATA'!$BH$9:$BV$41,START!$C$3,1)</f>
        <v>2.4466324694609898E-4</v>
      </c>
      <c r="AO56" s="401">
        <f>INDEX('DEFAULT DATA'!$BH$9:$BV$41,START!$C$3,1)</f>
        <v>2.4466324694609898E-4</v>
      </c>
      <c r="AP56" s="401">
        <f>INDEX('DEFAULT DATA'!$BH$9:$BV$41,START!$C$3,1)</f>
        <v>2.4466324694609898E-4</v>
      </c>
      <c r="AQ56" s="401">
        <f>INDEX('DEFAULT DATA'!$BH$9:$BV$41,START!$C$3,1)</f>
        <v>2.4466324694609898E-4</v>
      </c>
      <c r="AR56" s="401">
        <f>INDEX('DEFAULT DATA'!$BH$9:$BV$41,START!$C$3,1)</f>
        <v>2.4466324694609898E-4</v>
      </c>
      <c r="AS56" s="401">
        <f>INDEX('DEFAULT DATA'!$BH$9:$BV$41,START!$C$3,1)</f>
        <v>2.4466324694609898E-4</v>
      </c>
      <c r="AT56" s="401">
        <f>INDEX('DEFAULT DATA'!$BH$9:$BV$41,START!$C$3,1)</f>
        <v>2.4466324694609898E-4</v>
      </c>
      <c r="AU56" s="401">
        <f>INDEX('DEFAULT DATA'!$BH$9:$BV$41,START!$C$3,1)</f>
        <v>2.4466324694609898E-4</v>
      </c>
      <c r="AV56" s="401">
        <f>INDEX('DEFAULT DATA'!$BH$9:$BV$41,START!$C$3,1)</f>
        <v>2.4466324694609898E-4</v>
      </c>
      <c r="AW56" s="401">
        <f>INDEX('DEFAULT DATA'!$BH$9:$BV$41,START!$C$3,1)</f>
        <v>2.4466324694609898E-4</v>
      </c>
      <c r="AX56" s="401">
        <f>INDEX('DEFAULT DATA'!$BH$9:$BV$41,START!$C$3,1)</f>
        <v>2.4466324694609898E-4</v>
      </c>
      <c r="AY56" s="401">
        <f>INDEX('DEFAULT DATA'!$BH$9:$BV$41,START!$C$3,1)</f>
        <v>2.4466324694609898E-4</v>
      </c>
      <c r="AZ56" s="401">
        <f>INDEX('DEFAULT DATA'!$BH$9:$BV$41,START!$C$3,1)</f>
        <v>2.4466324694609898E-4</v>
      </c>
      <c r="BA56" s="563">
        <f>INDEX('DEFAULT DATA'!$BH$9:$BV$41,START!$C$3,1)</f>
        <v>2.4466324694609898E-4</v>
      </c>
      <c r="BB56" s="16"/>
      <c r="BC56" s="550" t="s">
        <v>2048</v>
      </c>
      <c r="BD56" s="492" t="s">
        <v>2049</v>
      </c>
      <c r="BE56" s="551" t="s">
        <v>1789</v>
      </c>
    </row>
    <row r="57" spans="1:57" ht="20.100000000000001" customHeight="1">
      <c r="A57" s="15"/>
      <c r="B57" s="668"/>
      <c r="C57" s="668"/>
      <c r="D57" s="668"/>
      <c r="E57" s="668"/>
      <c r="F57" s="668"/>
      <c r="G57" s="668"/>
      <c r="H57" s="668"/>
      <c r="I57" s="82" t="str">
        <f>INDEX('MENU OPTIONS'!$F$23:$AL$80,33,START!$C$3)</f>
        <v>-</v>
      </c>
      <c r="J57" s="668"/>
      <c r="K57" s="668"/>
      <c r="L57" s="445">
        <v>0</v>
      </c>
      <c r="M57" s="668"/>
      <c r="N57" s="668"/>
      <c r="O57" s="291"/>
      <c r="P57" s="668"/>
      <c r="Q57" s="668"/>
      <c r="R57" s="687"/>
      <c r="S57" s="542" t="s">
        <v>585</v>
      </c>
      <c r="T57" s="383" t="str">
        <f t="shared" si="71"/>
        <v>EFcar_road: CAR_COL40; EFcar_street: CAR_COL25; Share: CAR_COL10</v>
      </c>
      <c r="U57" s="882">
        <f t="shared" ref="U57:U69" si="72">0.8*V57+0.2*W57</f>
        <v>67.62</v>
      </c>
      <c r="V57" s="115">
        <f>INDEX('DEFAULT DATA'!$CL$9:$CZ$41,START!$C$3,2)</f>
        <v>60.4</v>
      </c>
      <c r="W57" s="115">
        <f>INDEX('DEFAULT DATA'!$BW$9:$CK$41,START!$C$3,2)</f>
        <v>96.5</v>
      </c>
      <c r="X57" s="401">
        <f>INDEX('DEFAULT DATA'!$BH$9:$BV$41,START!$C$3,2)</f>
        <v>3.065486564677593E-3</v>
      </c>
      <c r="Y57" s="401">
        <f>INDEX('DEFAULT DATA'!$BH$9:$BV$41,START!$C$3,2)</f>
        <v>3.065486564677593E-3</v>
      </c>
      <c r="Z57" s="401">
        <f>INDEX('DEFAULT DATA'!$BH$9:$BV$41,START!$C$3,2)</f>
        <v>3.065486564677593E-3</v>
      </c>
      <c r="AA57" s="401">
        <f>INDEX('DEFAULT DATA'!$BH$9:$BV$41,START!$C$3,2)</f>
        <v>3.065486564677593E-3</v>
      </c>
      <c r="AB57" s="401">
        <f>INDEX('DEFAULT DATA'!$BH$9:$BV$41,START!$C$3,2)</f>
        <v>3.065486564677593E-3</v>
      </c>
      <c r="AC57" s="401">
        <f>INDEX('DEFAULT DATA'!$BH$9:$BV$41,START!$C$3,2)</f>
        <v>3.065486564677593E-3</v>
      </c>
      <c r="AD57" s="401">
        <f>INDEX('DEFAULT DATA'!$BH$9:$BV$41,START!$C$3,2)</f>
        <v>3.065486564677593E-3</v>
      </c>
      <c r="AE57" s="401">
        <f>INDEX('DEFAULT DATA'!$BH$9:$BV$41,START!$C$3,2)</f>
        <v>3.065486564677593E-3</v>
      </c>
      <c r="AF57" s="401">
        <f>INDEX('DEFAULT DATA'!$BH$9:$BV$41,START!$C$3,2)</f>
        <v>3.065486564677593E-3</v>
      </c>
      <c r="AG57" s="401">
        <f>INDEX('DEFAULT DATA'!$BH$9:$BV$41,START!$C$3,2)</f>
        <v>3.065486564677593E-3</v>
      </c>
      <c r="AH57" s="401">
        <f>INDEX('DEFAULT DATA'!$BH$9:$BV$41,START!$C$3,2)</f>
        <v>3.065486564677593E-3</v>
      </c>
      <c r="AI57" s="401">
        <f>INDEX('DEFAULT DATA'!$BH$9:$BV$41,START!$C$3,2)</f>
        <v>3.065486564677593E-3</v>
      </c>
      <c r="AJ57" s="401">
        <f>INDEX('DEFAULT DATA'!$BH$9:$BV$41,START!$C$3,2)</f>
        <v>3.065486564677593E-3</v>
      </c>
      <c r="AK57" s="401">
        <f>INDEX('DEFAULT DATA'!$BH$9:$BV$41,START!$C$3,2)</f>
        <v>3.065486564677593E-3</v>
      </c>
      <c r="AL57" s="401">
        <f>INDEX('DEFAULT DATA'!$BH$9:$BV$41,START!$C$3,2)</f>
        <v>3.065486564677593E-3</v>
      </c>
      <c r="AM57" s="401">
        <f>INDEX('DEFAULT DATA'!$BH$9:$BV$41,START!$C$3,2)</f>
        <v>3.065486564677593E-3</v>
      </c>
      <c r="AN57" s="401">
        <f>INDEX('DEFAULT DATA'!$BH$9:$BV$41,START!$C$3,2)</f>
        <v>3.065486564677593E-3</v>
      </c>
      <c r="AO57" s="401">
        <f>INDEX('DEFAULT DATA'!$BH$9:$BV$41,START!$C$3,2)</f>
        <v>3.065486564677593E-3</v>
      </c>
      <c r="AP57" s="401">
        <f>INDEX('DEFAULT DATA'!$BH$9:$BV$41,START!$C$3,2)</f>
        <v>3.065486564677593E-3</v>
      </c>
      <c r="AQ57" s="401">
        <f>INDEX('DEFAULT DATA'!$BH$9:$BV$41,START!$C$3,2)</f>
        <v>3.065486564677593E-3</v>
      </c>
      <c r="AR57" s="401">
        <f>INDEX('DEFAULT DATA'!$BH$9:$BV$41,START!$C$3,2)</f>
        <v>3.065486564677593E-3</v>
      </c>
      <c r="AS57" s="401">
        <f>INDEX('DEFAULT DATA'!$BH$9:$BV$41,START!$C$3,2)</f>
        <v>3.065486564677593E-3</v>
      </c>
      <c r="AT57" s="401">
        <f>INDEX('DEFAULT DATA'!$BH$9:$BV$41,START!$C$3,2)</f>
        <v>3.065486564677593E-3</v>
      </c>
      <c r="AU57" s="401">
        <f>INDEX('DEFAULT DATA'!$BH$9:$BV$41,START!$C$3,2)</f>
        <v>3.065486564677593E-3</v>
      </c>
      <c r="AV57" s="401">
        <f>INDEX('DEFAULT DATA'!$BH$9:$BV$41,START!$C$3,2)</f>
        <v>3.065486564677593E-3</v>
      </c>
      <c r="AW57" s="401">
        <f>INDEX('DEFAULT DATA'!$BH$9:$BV$41,START!$C$3,2)</f>
        <v>3.065486564677593E-3</v>
      </c>
      <c r="AX57" s="401">
        <f>INDEX('DEFAULT DATA'!$BH$9:$BV$41,START!$C$3,2)</f>
        <v>3.065486564677593E-3</v>
      </c>
      <c r="AY57" s="401">
        <f>INDEX('DEFAULT DATA'!$BH$9:$BV$41,START!$C$3,2)</f>
        <v>3.065486564677593E-3</v>
      </c>
      <c r="AZ57" s="401">
        <f>INDEX('DEFAULT DATA'!$BH$9:$BV$41,START!$C$3,2)</f>
        <v>3.065486564677593E-3</v>
      </c>
      <c r="BA57" s="563">
        <f>INDEX('DEFAULT DATA'!$BH$9:$BV$41,START!$C$3,2)</f>
        <v>3.065486564677593E-3</v>
      </c>
      <c r="BB57" s="16"/>
      <c r="BC57" s="552" t="s">
        <v>1733</v>
      </c>
      <c r="BD57" s="383" t="s">
        <v>200</v>
      </c>
      <c r="BE57" s="553" t="s">
        <v>172</v>
      </c>
    </row>
    <row r="58" spans="1:57" ht="20.100000000000001" customHeight="1">
      <c r="A58" s="15"/>
      <c r="B58" s="668"/>
      <c r="C58" s="668"/>
      <c r="D58" s="668"/>
      <c r="E58" s="668"/>
      <c r="F58" s="668"/>
      <c r="G58" s="668"/>
      <c r="H58" s="668"/>
      <c r="I58" s="82" t="str">
        <f>INDEX('MENU OPTIONS'!$F$23:$AL$80,34,START!$C$3)</f>
        <v>-</v>
      </c>
      <c r="J58" s="668"/>
      <c r="K58" s="668"/>
      <c r="L58" s="445">
        <v>0</v>
      </c>
      <c r="M58" s="668"/>
      <c r="N58" s="668"/>
      <c r="O58" s="291"/>
      <c r="P58" s="668"/>
      <c r="Q58" s="668"/>
      <c r="R58" s="687"/>
      <c r="S58" s="542" t="s">
        <v>637</v>
      </c>
      <c r="T58" s="383" t="str">
        <f t="shared" si="71"/>
        <v>EFcar_road: CAR_COL41; EFcar_street: CAR_COL26; Share: CAR_COL11</v>
      </c>
      <c r="U58" s="882">
        <f t="shared" si="72"/>
        <v>46.550400000000003</v>
      </c>
      <c r="V58" s="115">
        <f>INDEX('DEFAULT DATA'!$CL$9:$CZ$41,START!$C$3,3)</f>
        <v>42.384</v>
      </c>
      <c r="W58" s="115">
        <f>INDEX('DEFAULT DATA'!$BW$9:$CK$41,START!$C$3,3)</f>
        <v>63.215999999999994</v>
      </c>
      <c r="X58" s="401">
        <f>INDEX('DEFAULT DATA'!$BH$9:$BV$41,START!$C$3,3)</f>
        <v>0.22152098217613855</v>
      </c>
      <c r="Y58" s="401">
        <f>INDEX('DEFAULT DATA'!$BH$9:$BV$41,START!$C$3,3)</f>
        <v>0.22152098217613855</v>
      </c>
      <c r="Z58" s="401">
        <f>INDEX('DEFAULT DATA'!$BH$9:$BV$41,START!$C$3,3)</f>
        <v>0.22152098217613855</v>
      </c>
      <c r="AA58" s="401">
        <f>INDEX('DEFAULT DATA'!$BH$9:$BV$41,START!$C$3,3)</f>
        <v>0.22152098217613855</v>
      </c>
      <c r="AB58" s="401">
        <f>INDEX('DEFAULT DATA'!$BH$9:$BV$41,START!$C$3,3)</f>
        <v>0.22152098217613855</v>
      </c>
      <c r="AC58" s="401">
        <f>INDEX('DEFAULT DATA'!$BH$9:$BV$41,START!$C$3,3)</f>
        <v>0.22152098217613855</v>
      </c>
      <c r="AD58" s="401">
        <f>INDEX('DEFAULT DATA'!$BH$9:$BV$41,START!$C$3,3)</f>
        <v>0.22152098217613855</v>
      </c>
      <c r="AE58" s="401">
        <f>INDEX('DEFAULT DATA'!$BH$9:$BV$41,START!$C$3,3)</f>
        <v>0.22152098217613855</v>
      </c>
      <c r="AF58" s="401">
        <f>INDEX('DEFAULT DATA'!$BH$9:$BV$41,START!$C$3,3)</f>
        <v>0.22152098217613855</v>
      </c>
      <c r="AG58" s="401">
        <f>INDEX('DEFAULT DATA'!$BH$9:$BV$41,START!$C$3,3)</f>
        <v>0.22152098217613855</v>
      </c>
      <c r="AH58" s="401">
        <f>INDEX('DEFAULT DATA'!$BH$9:$BV$41,START!$C$3,3)</f>
        <v>0.22152098217613855</v>
      </c>
      <c r="AI58" s="401">
        <f>INDEX('DEFAULT DATA'!$BH$9:$BV$41,START!$C$3,3)</f>
        <v>0.22152098217613855</v>
      </c>
      <c r="AJ58" s="401">
        <f>INDEX('DEFAULT DATA'!$BH$9:$BV$41,START!$C$3,3)</f>
        <v>0.22152098217613855</v>
      </c>
      <c r="AK58" s="401">
        <f>INDEX('DEFAULT DATA'!$BH$9:$BV$41,START!$C$3,3)</f>
        <v>0.22152098217613855</v>
      </c>
      <c r="AL58" s="401">
        <f>INDEX('DEFAULT DATA'!$BH$9:$BV$41,START!$C$3,3)</f>
        <v>0.22152098217613855</v>
      </c>
      <c r="AM58" s="401">
        <f>INDEX('DEFAULT DATA'!$BH$9:$BV$41,START!$C$3,3)</f>
        <v>0.22152098217613855</v>
      </c>
      <c r="AN58" s="401">
        <f>INDEX('DEFAULT DATA'!$BH$9:$BV$41,START!$C$3,3)</f>
        <v>0.22152098217613855</v>
      </c>
      <c r="AO58" s="401">
        <f>INDEX('DEFAULT DATA'!$BH$9:$BV$41,START!$C$3,3)</f>
        <v>0.22152098217613855</v>
      </c>
      <c r="AP58" s="401">
        <f>INDEX('DEFAULT DATA'!$BH$9:$BV$41,START!$C$3,3)</f>
        <v>0.22152098217613855</v>
      </c>
      <c r="AQ58" s="401">
        <f>INDEX('DEFAULT DATA'!$BH$9:$BV$41,START!$C$3,3)</f>
        <v>0.22152098217613855</v>
      </c>
      <c r="AR58" s="401">
        <f>INDEX('DEFAULT DATA'!$BH$9:$BV$41,START!$C$3,3)</f>
        <v>0.22152098217613855</v>
      </c>
      <c r="AS58" s="401">
        <f>INDEX('DEFAULT DATA'!$BH$9:$BV$41,START!$C$3,3)</f>
        <v>0.22152098217613855</v>
      </c>
      <c r="AT58" s="401">
        <f>INDEX('DEFAULT DATA'!$BH$9:$BV$41,START!$C$3,3)</f>
        <v>0.22152098217613855</v>
      </c>
      <c r="AU58" s="401">
        <f>INDEX('DEFAULT DATA'!$BH$9:$BV$41,START!$C$3,3)</f>
        <v>0.22152098217613855</v>
      </c>
      <c r="AV58" s="401">
        <f>INDEX('DEFAULT DATA'!$BH$9:$BV$41,START!$C$3,3)</f>
        <v>0.22152098217613855</v>
      </c>
      <c r="AW58" s="401">
        <f>INDEX('DEFAULT DATA'!$BH$9:$BV$41,START!$C$3,3)</f>
        <v>0.22152098217613855</v>
      </c>
      <c r="AX58" s="401">
        <f>INDEX('DEFAULT DATA'!$BH$9:$BV$41,START!$C$3,3)</f>
        <v>0.22152098217613855</v>
      </c>
      <c r="AY58" s="401">
        <f>INDEX('DEFAULT DATA'!$BH$9:$BV$41,START!$C$3,3)</f>
        <v>0.22152098217613855</v>
      </c>
      <c r="AZ58" s="401">
        <f>INDEX('DEFAULT DATA'!$BH$9:$BV$41,START!$C$3,3)</f>
        <v>0.22152098217613855</v>
      </c>
      <c r="BA58" s="563">
        <f>INDEX('DEFAULT DATA'!$BH$9:$BV$41,START!$C$3,3)</f>
        <v>0.22152098217613855</v>
      </c>
      <c r="BB58" s="16"/>
      <c r="BC58" s="552" t="s">
        <v>1734</v>
      </c>
      <c r="BD58" s="383" t="s">
        <v>201</v>
      </c>
      <c r="BE58" s="553" t="s">
        <v>173</v>
      </c>
    </row>
    <row r="59" spans="1:57" ht="20.100000000000001" customHeight="1">
      <c r="A59" s="15"/>
      <c r="B59" s="668"/>
      <c r="C59" s="668"/>
      <c r="D59" s="668"/>
      <c r="E59" s="668"/>
      <c r="F59" s="668"/>
      <c r="G59" s="668"/>
      <c r="H59" s="668"/>
      <c r="I59" s="82" t="str">
        <f>INDEX('MENU OPTIONS'!$F$23:$AL$80,35,START!$C$3)</f>
        <v>-</v>
      </c>
      <c r="J59" s="668"/>
      <c r="K59" s="668"/>
      <c r="L59" s="445">
        <v>0</v>
      </c>
      <c r="M59" s="668"/>
      <c r="N59" s="668"/>
      <c r="O59" s="291"/>
      <c r="P59" s="668"/>
      <c r="Q59" s="668"/>
      <c r="R59" s="687"/>
      <c r="S59" s="542" t="s">
        <v>623</v>
      </c>
      <c r="T59" s="383" t="str">
        <f t="shared" si="71"/>
        <v>EFcar_road: CAR_COL42; EFcar_street: CAR_COL27; Share: CAR_COL12</v>
      </c>
      <c r="U59" s="882">
        <f t="shared" si="72"/>
        <v>171.83905706996126</v>
      </c>
      <c r="V59" s="115">
        <f>INDEX('DEFAULT DATA'!$CL$9:$CZ$41,START!$C$3,4)</f>
        <v>156.45894761061641</v>
      </c>
      <c r="W59" s="115">
        <f>INDEX('DEFAULT DATA'!$BW$9:$CK$41,START!$C$3,4)</f>
        <v>233.35949490734063</v>
      </c>
      <c r="X59" s="401">
        <f>INDEX('DEFAULT DATA'!$BH$9:$BV$41,START!$C$3,4)</f>
        <v>52.250412545410221</v>
      </c>
      <c r="Y59" s="401">
        <f t="shared" ref="Y59:BA59" si="73">$X$59/($X$59+$X$62)*(100-(Y56+Y57+Y58+Y60+Y61+Y63+Y64+Y65+Y66+Y67+Y68+Y69+Y70))</f>
        <v>52.250412545410214</v>
      </c>
      <c r="Z59" s="401">
        <f t="shared" si="73"/>
        <v>52.250412545410214</v>
      </c>
      <c r="AA59" s="401">
        <f t="shared" si="73"/>
        <v>52.250412545410214</v>
      </c>
      <c r="AB59" s="401">
        <f t="shared" si="73"/>
        <v>52.250412545410214</v>
      </c>
      <c r="AC59" s="401">
        <f t="shared" si="73"/>
        <v>52.250412545410214</v>
      </c>
      <c r="AD59" s="401">
        <f t="shared" si="73"/>
        <v>52.250412545410214</v>
      </c>
      <c r="AE59" s="401">
        <f t="shared" si="73"/>
        <v>52.250412545410214</v>
      </c>
      <c r="AF59" s="401">
        <f t="shared" si="73"/>
        <v>52.250412545410214</v>
      </c>
      <c r="AG59" s="401">
        <f t="shared" si="73"/>
        <v>52.250412545410214</v>
      </c>
      <c r="AH59" s="401">
        <f t="shared" si="73"/>
        <v>52.250412545410214</v>
      </c>
      <c r="AI59" s="401">
        <f t="shared" si="73"/>
        <v>52.250412545410214</v>
      </c>
      <c r="AJ59" s="401">
        <f t="shared" si="73"/>
        <v>52.250412545410214</v>
      </c>
      <c r="AK59" s="401">
        <f t="shared" si="73"/>
        <v>52.250412545410214</v>
      </c>
      <c r="AL59" s="401">
        <f t="shared" si="73"/>
        <v>52.250412545410214</v>
      </c>
      <c r="AM59" s="401">
        <f t="shared" si="73"/>
        <v>52.250412545410214</v>
      </c>
      <c r="AN59" s="401">
        <f t="shared" si="73"/>
        <v>52.250412545410214</v>
      </c>
      <c r="AO59" s="401">
        <f t="shared" si="73"/>
        <v>52.250412545410214</v>
      </c>
      <c r="AP59" s="401">
        <f t="shared" si="73"/>
        <v>52.250412545410214</v>
      </c>
      <c r="AQ59" s="401">
        <f t="shared" si="73"/>
        <v>52.250412545410214</v>
      </c>
      <c r="AR59" s="401">
        <f t="shared" si="73"/>
        <v>52.250412545410214</v>
      </c>
      <c r="AS59" s="401">
        <f t="shared" si="73"/>
        <v>52.250412545410214</v>
      </c>
      <c r="AT59" s="401">
        <f t="shared" si="73"/>
        <v>52.250412545410214</v>
      </c>
      <c r="AU59" s="401">
        <f t="shared" si="73"/>
        <v>52.250412545410214</v>
      </c>
      <c r="AV59" s="401">
        <f t="shared" si="73"/>
        <v>52.250412545410214</v>
      </c>
      <c r="AW59" s="401">
        <f t="shared" si="73"/>
        <v>52.250412545410214</v>
      </c>
      <c r="AX59" s="401">
        <f t="shared" si="73"/>
        <v>52.250412545410214</v>
      </c>
      <c r="AY59" s="401">
        <f t="shared" si="73"/>
        <v>52.250412545410214</v>
      </c>
      <c r="AZ59" s="401">
        <f t="shared" si="73"/>
        <v>52.250412545410214</v>
      </c>
      <c r="BA59" s="563">
        <f t="shared" si="73"/>
        <v>52.250412545410214</v>
      </c>
      <c r="BB59" s="16"/>
      <c r="BC59" s="552" t="s">
        <v>1735</v>
      </c>
      <c r="BD59" s="383" t="s">
        <v>202</v>
      </c>
      <c r="BE59" s="553" t="s">
        <v>174</v>
      </c>
    </row>
    <row r="60" spans="1:57" ht="20.100000000000001" customHeight="1">
      <c r="A60" s="15"/>
      <c r="B60" s="668"/>
      <c r="C60" s="668"/>
      <c r="D60" s="668"/>
      <c r="E60" s="668"/>
      <c r="F60" s="668"/>
      <c r="G60" s="668"/>
      <c r="H60" s="668"/>
      <c r="I60" s="82" t="str">
        <f>INDEX('MENU OPTIONS'!$F$23:$AL$80,36,START!$C$3)</f>
        <v>-</v>
      </c>
      <c r="J60" s="668"/>
      <c r="K60" s="668"/>
      <c r="L60" s="445">
        <v>0</v>
      </c>
      <c r="M60" s="668"/>
      <c r="N60" s="668"/>
      <c r="O60" s="291"/>
      <c r="P60" s="668"/>
      <c r="Q60" s="668"/>
      <c r="R60" s="687"/>
      <c r="S60" s="542" t="s">
        <v>624</v>
      </c>
      <c r="T60" s="383" t="str">
        <f t="shared" si="71"/>
        <v>EFcar_road: CAR_COL43; EFcar_street: CAR_COL28; Share: CAR_COL13</v>
      </c>
      <c r="U60" s="882">
        <f t="shared" si="72"/>
        <v>115.91049599999999</v>
      </c>
      <c r="V60" s="115">
        <f>INDEX('DEFAULT DATA'!$CL$9:$CZ$41,START!$C$3,5)</f>
        <v>105.53616</v>
      </c>
      <c r="W60" s="115">
        <f>INDEX('DEFAULT DATA'!$BW$9:$CK$41,START!$C$3,5)</f>
        <v>157.40783999999999</v>
      </c>
      <c r="X60" s="401">
        <f>INDEX('DEFAULT DATA'!$BH$9:$BV$41,START!$C$3,5)</f>
        <v>0.33272762389099186</v>
      </c>
      <c r="Y60" s="401">
        <f>INDEX('DEFAULT DATA'!$BH$9:$BV$41,START!$C$3,5)</f>
        <v>0.33272762389099186</v>
      </c>
      <c r="Z60" s="401">
        <f>INDEX('DEFAULT DATA'!$BH$9:$BV$41,START!$C$3,5)</f>
        <v>0.33272762389099186</v>
      </c>
      <c r="AA60" s="401">
        <f>INDEX('DEFAULT DATA'!$BH$9:$BV$41,START!$C$3,5)</f>
        <v>0.33272762389099186</v>
      </c>
      <c r="AB60" s="401">
        <f>INDEX('DEFAULT DATA'!$BH$9:$BV$41,START!$C$3,5)</f>
        <v>0.33272762389099186</v>
      </c>
      <c r="AC60" s="401">
        <f>INDEX('DEFAULT DATA'!$BH$9:$BV$41,START!$C$3,5)</f>
        <v>0.33272762389099186</v>
      </c>
      <c r="AD60" s="401">
        <f>INDEX('DEFAULT DATA'!$BH$9:$BV$41,START!$C$3,5)</f>
        <v>0.33272762389099186</v>
      </c>
      <c r="AE60" s="401">
        <f>INDEX('DEFAULT DATA'!$BH$9:$BV$41,START!$C$3,5)</f>
        <v>0.33272762389099186</v>
      </c>
      <c r="AF60" s="401">
        <f>INDEX('DEFAULT DATA'!$BH$9:$BV$41,START!$C$3,5)</f>
        <v>0.33272762389099186</v>
      </c>
      <c r="AG60" s="401">
        <f>INDEX('DEFAULT DATA'!$BH$9:$BV$41,START!$C$3,5)</f>
        <v>0.33272762389099186</v>
      </c>
      <c r="AH60" s="401">
        <f>INDEX('DEFAULT DATA'!$BH$9:$BV$41,START!$C$3,5)</f>
        <v>0.33272762389099186</v>
      </c>
      <c r="AI60" s="401">
        <f>INDEX('DEFAULT DATA'!$BH$9:$BV$41,START!$C$3,5)</f>
        <v>0.33272762389099186</v>
      </c>
      <c r="AJ60" s="401">
        <f>INDEX('DEFAULT DATA'!$BH$9:$BV$41,START!$C$3,5)</f>
        <v>0.33272762389099186</v>
      </c>
      <c r="AK60" s="401">
        <f>INDEX('DEFAULT DATA'!$BH$9:$BV$41,START!$C$3,5)</f>
        <v>0.33272762389099186</v>
      </c>
      <c r="AL60" s="401">
        <f>INDEX('DEFAULT DATA'!$BH$9:$BV$41,START!$C$3,5)</f>
        <v>0.33272762389099186</v>
      </c>
      <c r="AM60" s="401">
        <f>INDEX('DEFAULT DATA'!$BH$9:$BV$41,START!$C$3,5)</f>
        <v>0.33272762389099186</v>
      </c>
      <c r="AN60" s="401">
        <f>INDEX('DEFAULT DATA'!$BH$9:$BV$41,START!$C$3,5)</f>
        <v>0.33272762389099186</v>
      </c>
      <c r="AO60" s="401">
        <f>INDEX('DEFAULT DATA'!$BH$9:$BV$41,START!$C$3,5)</f>
        <v>0.33272762389099186</v>
      </c>
      <c r="AP60" s="401">
        <f>INDEX('DEFAULT DATA'!$BH$9:$BV$41,START!$C$3,5)</f>
        <v>0.33272762389099186</v>
      </c>
      <c r="AQ60" s="401">
        <f>INDEX('DEFAULT DATA'!$BH$9:$BV$41,START!$C$3,5)</f>
        <v>0.33272762389099186</v>
      </c>
      <c r="AR60" s="401">
        <f>INDEX('DEFAULT DATA'!$BH$9:$BV$41,START!$C$3,5)</f>
        <v>0.33272762389099186</v>
      </c>
      <c r="AS60" s="401">
        <f>INDEX('DEFAULT DATA'!$BH$9:$BV$41,START!$C$3,5)</f>
        <v>0.33272762389099186</v>
      </c>
      <c r="AT60" s="401">
        <f>INDEX('DEFAULT DATA'!$BH$9:$BV$41,START!$C$3,5)</f>
        <v>0.33272762389099186</v>
      </c>
      <c r="AU60" s="401">
        <f>INDEX('DEFAULT DATA'!$BH$9:$BV$41,START!$C$3,5)</f>
        <v>0.33272762389099186</v>
      </c>
      <c r="AV60" s="401">
        <f>INDEX('DEFAULT DATA'!$BH$9:$BV$41,START!$C$3,5)</f>
        <v>0.33272762389099186</v>
      </c>
      <c r="AW60" s="401">
        <f>INDEX('DEFAULT DATA'!$BH$9:$BV$41,START!$C$3,5)</f>
        <v>0.33272762389099186</v>
      </c>
      <c r="AX60" s="401">
        <f>INDEX('DEFAULT DATA'!$BH$9:$BV$41,START!$C$3,5)</f>
        <v>0.33272762389099186</v>
      </c>
      <c r="AY60" s="401">
        <f>INDEX('DEFAULT DATA'!$BH$9:$BV$41,START!$C$3,5)</f>
        <v>0.33272762389099186</v>
      </c>
      <c r="AZ60" s="401">
        <f>INDEX('DEFAULT DATA'!$BH$9:$BV$41,START!$C$3,5)</f>
        <v>0.33272762389099186</v>
      </c>
      <c r="BA60" s="563">
        <f>INDEX('DEFAULT DATA'!$BH$9:$BV$41,START!$C$3,5)</f>
        <v>0.33272762389099186</v>
      </c>
      <c r="BB60" s="16"/>
      <c r="BC60" s="552" t="s">
        <v>1736</v>
      </c>
      <c r="BD60" s="383" t="s">
        <v>203</v>
      </c>
      <c r="BE60" s="553" t="s">
        <v>175</v>
      </c>
    </row>
    <row r="61" spans="1:57" ht="20.100000000000001" customHeight="1">
      <c r="A61" s="15"/>
      <c r="B61" s="668"/>
      <c r="C61" s="668"/>
      <c r="D61" s="668"/>
      <c r="E61" s="668"/>
      <c r="F61" s="668"/>
      <c r="G61" s="668"/>
      <c r="H61" s="668"/>
      <c r="I61" s="82" t="str">
        <f>INDEX('MENU OPTIONS'!$F$23:$AL$80,37,START!$C$3)</f>
        <v>-</v>
      </c>
      <c r="J61" s="668"/>
      <c r="K61" s="668"/>
      <c r="L61" s="445">
        <v>0</v>
      </c>
      <c r="M61" s="668"/>
      <c r="N61" s="668"/>
      <c r="O61" s="291"/>
      <c r="P61" s="668"/>
      <c r="Q61" s="668"/>
      <c r="R61" s="687"/>
      <c r="S61" s="542" t="s">
        <v>625</v>
      </c>
      <c r="T61" s="383" t="str">
        <f t="shared" si="71"/>
        <v>EFcar_road: CAR_COL44; EFcar_street: CAR_COL29; Share: CAR_COL14</v>
      </c>
      <c r="U61" s="882">
        <f t="shared" si="72"/>
        <v>0</v>
      </c>
      <c r="V61" s="115">
        <f>INDEX('DEFAULT DATA'!$CL$9:$CZ$41,START!$C$3,6)</f>
        <v>0</v>
      </c>
      <c r="W61" s="115">
        <f>INDEX('DEFAULT DATA'!$BW$9:$CK$41,START!$C$3,6)</f>
        <v>0</v>
      </c>
      <c r="X61" s="401">
        <f>INDEX('DEFAULT DATA'!$BH$9:$BV$41,START!$C$3,6)*0.5</f>
        <v>0</v>
      </c>
      <c r="Y61" s="401">
        <f>INDEX('DEFAULT DATA'!$BH$9:$BV$41,START!$C$3,6)*0.5</f>
        <v>0</v>
      </c>
      <c r="Z61" s="401">
        <f>INDEX('DEFAULT DATA'!$BH$9:$BV$41,START!$C$3,6)*0.5</f>
        <v>0</v>
      </c>
      <c r="AA61" s="401">
        <f>INDEX('DEFAULT DATA'!$BH$9:$BV$41,START!$C$3,6)*0.5</f>
        <v>0</v>
      </c>
      <c r="AB61" s="401">
        <f>INDEX('DEFAULT DATA'!$BH$9:$BV$41,START!$C$3,6)*0.5</f>
        <v>0</v>
      </c>
      <c r="AC61" s="401">
        <f>INDEX('DEFAULT DATA'!$BH$9:$BV$41,START!$C$3,6)*0.5</f>
        <v>0</v>
      </c>
      <c r="AD61" s="401">
        <f>INDEX('DEFAULT DATA'!$BH$9:$BV$41,START!$C$3,6)*0.5</f>
        <v>0</v>
      </c>
      <c r="AE61" s="401">
        <f>INDEX('DEFAULT DATA'!$BH$9:$BV$41,START!$C$3,6)*0.5</f>
        <v>0</v>
      </c>
      <c r="AF61" s="401">
        <f>INDEX('DEFAULT DATA'!$BH$9:$BV$41,START!$C$3,6)*0.5</f>
        <v>0</v>
      </c>
      <c r="AG61" s="401">
        <f>INDEX('DEFAULT DATA'!$BH$9:$BV$41,START!$C$3,6)*0.5</f>
        <v>0</v>
      </c>
      <c r="AH61" s="401">
        <f>INDEX('DEFAULT DATA'!$BH$9:$BV$41,START!$C$3,6)*0.5</f>
        <v>0</v>
      </c>
      <c r="AI61" s="401">
        <f>INDEX('DEFAULT DATA'!$BH$9:$BV$41,START!$C$3,6)*0.5</f>
        <v>0</v>
      </c>
      <c r="AJ61" s="401">
        <f>INDEX('DEFAULT DATA'!$BH$9:$BV$41,START!$C$3,6)*0.5</f>
        <v>0</v>
      </c>
      <c r="AK61" s="401">
        <f>INDEX('DEFAULT DATA'!$BH$9:$BV$41,START!$C$3,6)*0.5</f>
        <v>0</v>
      </c>
      <c r="AL61" s="401">
        <f>INDEX('DEFAULT DATA'!$BH$9:$BV$41,START!$C$3,6)*0.5</f>
        <v>0</v>
      </c>
      <c r="AM61" s="401">
        <f>INDEX('DEFAULT DATA'!$BH$9:$BV$41,START!$C$3,6)*0.5</f>
        <v>0</v>
      </c>
      <c r="AN61" s="401">
        <f>INDEX('DEFAULT DATA'!$BH$9:$BV$41,START!$C$3,6)*0.5</f>
        <v>0</v>
      </c>
      <c r="AO61" s="401">
        <f>INDEX('DEFAULT DATA'!$BH$9:$BV$41,START!$C$3,6)*0.5</f>
        <v>0</v>
      </c>
      <c r="AP61" s="401">
        <f>INDEX('DEFAULT DATA'!$BH$9:$BV$41,START!$C$3,6)*0.5</f>
        <v>0</v>
      </c>
      <c r="AQ61" s="401">
        <f>INDEX('DEFAULT DATA'!$BH$9:$BV$41,START!$C$3,6)*0.5</f>
        <v>0</v>
      </c>
      <c r="AR61" s="401">
        <f>INDEX('DEFAULT DATA'!$BH$9:$BV$41,START!$C$3,6)*0.5</f>
        <v>0</v>
      </c>
      <c r="AS61" s="401">
        <f>INDEX('DEFAULT DATA'!$BH$9:$BV$41,START!$C$3,6)*0.5</f>
        <v>0</v>
      </c>
      <c r="AT61" s="401">
        <f>INDEX('DEFAULT DATA'!$BH$9:$BV$41,START!$C$3,6)*0.5</f>
        <v>0</v>
      </c>
      <c r="AU61" s="401">
        <f>INDEX('DEFAULT DATA'!$BH$9:$BV$41,START!$C$3,6)*0.5</f>
        <v>0</v>
      </c>
      <c r="AV61" s="401">
        <f>INDEX('DEFAULT DATA'!$BH$9:$BV$41,START!$C$3,6)*0.5</f>
        <v>0</v>
      </c>
      <c r="AW61" s="401">
        <f>INDEX('DEFAULT DATA'!$BH$9:$BV$41,START!$C$3,6)*0.5</f>
        <v>0</v>
      </c>
      <c r="AX61" s="401">
        <f>INDEX('DEFAULT DATA'!$BH$9:$BV$41,START!$C$3,6)*0.5</f>
        <v>0</v>
      </c>
      <c r="AY61" s="401">
        <f>INDEX('DEFAULT DATA'!$BH$9:$BV$41,START!$C$3,6)*0.5</f>
        <v>0</v>
      </c>
      <c r="AZ61" s="401">
        <f>INDEX('DEFAULT DATA'!$BH$9:$BV$41,START!$C$3,6)*0.5</f>
        <v>0</v>
      </c>
      <c r="BA61" s="563">
        <f>INDEX('DEFAULT DATA'!$BH$9:$BV$41,START!$C$3,6)*0.5</f>
        <v>0</v>
      </c>
      <c r="BB61" s="16"/>
      <c r="BC61" s="552" t="s">
        <v>1737</v>
      </c>
      <c r="BD61" s="383" t="s">
        <v>204</v>
      </c>
      <c r="BE61" s="553" t="s">
        <v>176</v>
      </c>
    </row>
    <row r="62" spans="1:57" ht="20.100000000000001" customHeight="1">
      <c r="A62" s="15"/>
      <c r="B62" s="668"/>
      <c r="C62" s="668"/>
      <c r="D62" s="668"/>
      <c r="E62" s="668"/>
      <c r="F62" s="668"/>
      <c r="G62" s="668"/>
      <c r="H62" s="668"/>
      <c r="I62" s="82" t="str">
        <f>INDEX('MENU OPTIONS'!$F$23:$AL$80,38,START!$C$3)</f>
        <v>-</v>
      </c>
      <c r="J62" s="668"/>
      <c r="K62" s="668"/>
      <c r="L62" s="445">
        <v>0</v>
      </c>
      <c r="M62" s="668"/>
      <c r="N62" s="668"/>
      <c r="O62" s="291"/>
      <c r="P62" s="668"/>
      <c r="Q62" s="668"/>
      <c r="R62" s="687"/>
      <c r="S62" s="542" t="s">
        <v>577</v>
      </c>
      <c r="T62" s="383" t="str">
        <f t="shared" si="71"/>
        <v>EFcar_road: CAR_COL45; EFcar_street: CAR_COL30; Share: CAR_COL15</v>
      </c>
      <c r="U62" s="882">
        <f t="shared" si="72"/>
        <v>178.64117655678925</v>
      </c>
      <c r="V62" s="115">
        <f>INDEX('DEFAULT DATA'!$CL$9:$CZ$41,START!$C$3,7)</f>
        <v>159.24945066654416</v>
      </c>
      <c r="W62" s="115">
        <f>INDEX('DEFAULT DATA'!$BW$9:$CK$41,START!$C$3,7)</f>
        <v>256.20808011776955</v>
      </c>
      <c r="X62" s="401">
        <f>INDEX('DEFAULT DATA'!$BH$9:$BV$41,START!$C$3,7)</f>
        <v>46.494896756427373</v>
      </c>
      <c r="Y62" s="401">
        <f t="shared" ref="Y62:BA62" si="74">$X$62/($X$59+$X$62)*(100-(Y56+Y57+Y58+Y60+Y61+Y63+Y64+Y65+Y66+Y67+Y68+Y69+Y70))</f>
        <v>46.494896756427373</v>
      </c>
      <c r="Z62" s="401">
        <f t="shared" si="74"/>
        <v>46.494896756427373</v>
      </c>
      <c r="AA62" s="401">
        <f t="shared" si="74"/>
        <v>46.494896756427373</v>
      </c>
      <c r="AB62" s="401">
        <f t="shared" si="74"/>
        <v>46.494896756427373</v>
      </c>
      <c r="AC62" s="401">
        <f t="shared" si="74"/>
        <v>46.494896756427373</v>
      </c>
      <c r="AD62" s="401">
        <f t="shared" si="74"/>
        <v>46.494896756427373</v>
      </c>
      <c r="AE62" s="401">
        <f t="shared" si="74"/>
        <v>46.494896756427373</v>
      </c>
      <c r="AF62" s="401">
        <f t="shared" si="74"/>
        <v>46.494896756427373</v>
      </c>
      <c r="AG62" s="401">
        <f t="shared" si="74"/>
        <v>46.494896756427373</v>
      </c>
      <c r="AH62" s="401">
        <f t="shared" si="74"/>
        <v>46.494896756427373</v>
      </c>
      <c r="AI62" s="401">
        <f t="shared" si="74"/>
        <v>46.494896756427373</v>
      </c>
      <c r="AJ62" s="401">
        <f t="shared" si="74"/>
        <v>46.494896756427373</v>
      </c>
      <c r="AK62" s="401">
        <f t="shared" si="74"/>
        <v>46.494896756427373</v>
      </c>
      <c r="AL62" s="401">
        <f t="shared" si="74"/>
        <v>46.494896756427373</v>
      </c>
      <c r="AM62" s="401">
        <f t="shared" si="74"/>
        <v>46.494896756427373</v>
      </c>
      <c r="AN62" s="401">
        <f t="shared" si="74"/>
        <v>46.494896756427373</v>
      </c>
      <c r="AO62" s="401">
        <f t="shared" si="74"/>
        <v>46.494896756427373</v>
      </c>
      <c r="AP62" s="401">
        <f t="shared" si="74"/>
        <v>46.494896756427373</v>
      </c>
      <c r="AQ62" s="401">
        <f t="shared" si="74"/>
        <v>46.494896756427373</v>
      </c>
      <c r="AR62" s="401">
        <f t="shared" si="74"/>
        <v>46.494896756427373</v>
      </c>
      <c r="AS62" s="401">
        <f t="shared" si="74"/>
        <v>46.494896756427373</v>
      </c>
      <c r="AT62" s="401">
        <f t="shared" si="74"/>
        <v>46.494896756427373</v>
      </c>
      <c r="AU62" s="401">
        <f t="shared" si="74"/>
        <v>46.494896756427373</v>
      </c>
      <c r="AV62" s="401">
        <f t="shared" si="74"/>
        <v>46.494896756427373</v>
      </c>
      <c r="AW62" s="401">
        <f t="shared" si="74"/>
        <v>46.494896756427373</v>
      </c>
      <c r="AX62" s="401">
        <f t="shared" si="74"/>
        <v>46.494896756427373</v>
      </c>
      <c r="AY62" s="401">
        <f t="shared" si="74"/>
        <v>46.494896756427373</v>
      </c>
      <c r="AZ62" s="401">
        <f t="shared" si="74"/>
        <v>46.494896756427373</v>
      </c>
      <c r="BA62" s="563">
        <f t="shared" si="74"/>
        <v>46.494896756427373</v>
      </c>
      <c r="BB62" s="16"/>
      <c r="BC62" s="552" t="s">
        <v>1738</v>
      </c>
      <c r="BD62" s="383" t="s">
        <v>1723</v>
      </c>
      <c r="BE62" s="553" t="s">
        <v>177</v>
      </c>
    </row>
    <row r="63" spans="1:57" ht="20.100000000000001" customHeight="1">
      <c r="A63" s="15"/>
      <c r="B63" s="668"/>
      <c r="C63" s="668"/>
      <c r="D63" s="668"/>
      <c r="E63" s="668"/>
      <c r="F63" s="668"/>
      <c r="G63" s="668"/>
      <c r="H63" s="668"/>
      <c r="I63" s="82" t="str">
        <f>INDEX('MENU OPTIONS'!$F$23:$AL$80,39,START!$C$3)</f>
        <v>-</v>
      </c>
      <c r="J63" s="668"/>
      <c r="K63" s="668"/>
      <c r="L63" s="445">
        <v>0</v>
      </c>
      <c r="M63" s="668"/>
      <c r="N63" s="668"/>
      <c r="O63" s="291"/>
      <c r="P63" s="668"/>
      <c r="Q63" s="668"/>
      <c r="R63" s="687"/>
      <c r="S63" s="542" t="s">
        <v>626</v>
      </c>
      <c r="T63" s="383" t="str">
        <f t="shared" si="71"/>
        <v>EFcar_road: CAR_COL46; EFcar_street: CAR_COL31; Share: CAR_COL16</v>
      </c>
      <c r="U63" s="882">
        <f t="shared" si="72"/>
        <v>115.16947199999998</v>
      </c>
      <c r="V63" s="115">
        <f>INDEX('DEFAULT DATA'!$CL$9:$CZ$41,START!$C$3,8)</f>
        <v>102.66767999999999</v>
      </c>
      <c r="W63" s="115">
        <f>INDEX('DEFAULT DATA'!$BW$9:$CK$41,START!$C$3,8)</f>
        <v>165.17663999999999</v>
      </c>
      <c r="X63" s="401">
        <f>INDEX('DEFAULT DATA'!$BH$9:$BV$41,START!$C$3,8)</f>
        <v>0.47892110991913739</v>
      </c>
      <c r="Y63" s="401">
        <f>INDEX('DEFAULT DATA'!$BH$9:$BV$41,START!$C$3,8)</f>
        <v>0.47892110991913739</v>
      </c>
      <c r="Z63" s="401">
        <f>INDEX('DEFAULT DATA'!$BH$9:$BV$41,START!$C$3,8)</f>
        <v>0.47892110991913739</v>
      </c>
      <c r="AA63" s="401">
        <f>INDEX('DEFAULT DATA'!$BH$9:$BV$41,START!$C$3,8)</f>
        <v>0.47892110991913739</v>
      </c>
      <c r="AB63" s="401">
        <f>INDEX('DEFAULT DATA'!$BH$9:$BV$41,START!$C$3,8)</f>
        <v>0.47892110991913739</v>
      </c>
      <c r="AC63" s="401">
        <f>INDEX('DEFAULT DATA'!$BH$9:$BV$41,START!$C$3,8)</f>
        <v>0.47892110991913739</v>
      </c>
      <c r="AD63" s="401">
        <f>INDEX('DEFAULT DATA'!$BH$9:$BV$41,START!$C$3,8)</f>
        <v>0.47892110991913739</v>
      </c>
      <c r="AE63" s="401">
        <f>INDEX('DEFAULT DATA'!$BH$9:$BV$41,START!$C$3,8)</f>
        <v>0.47892110991913739</v>
      </c>
      <c r="AF63" s="401">
        <f>INDEX('DEFAULT DATA'!$BH$9:$BV$41,START!$C$3,8)</f>
        <v>0.47892110991913739</v>
      </c>
      <c r="AG63" s="401">
        <f>INDEX('DEFAULT DATA'!$BH$9:$BV$41,START!$C$3,8)</f>
        <v>0.47892110991913739</v>
      </c>
      <c r="AH63" s="401">
        <f>INDEX('DEFAULT DATA'!$BH$9:$BV$41,START!$C$3,8)</f>
        <v>0.47892110991913739</v>
      </c>
      <c r="AI63" s="401">
        <f>INDEX('DEFAULT DATA'!$BH$9:$BV$41,START!$C$3,8)</f>
        <v>0.47892110991913739</v>
      </c>
      <c r="AJ63" s="401">
        <f>INDEX('DEFAULT DATA'!$BH$9:$BV$41,START!$C$3,8)</f>
        <v>0.47892110991913739</v>
      </c>
      <c r="AK63" s="401">
        <f>INDEX('DEFAULT DATA'!$BH$9:$BV$41,START!$C$3,8)</f>
        <v>0.47892110991913739</v>
      </c>
      <c r="AL63" s="401">
        <f>INDEX('DEFAULT DATA'!$BH$9:$BV$41,START!$C$3,8)</f>
        <v>0.47892110991913739</v>
      </c>
      <c r="AM63" s="401">
        <f>INDEX('DEFAULT DATA'!$BH$9:$BV$41,START!$C$3,8)</f>
        <v>0.47892110991913739</v>
      </c>
      <c r="AN63" s="401">
        <f>INDEX('DEFAULT DATA'!$BH$9:$BV$41,START!$C$3,8)</f>
        <v>0.47892110991913739</v>
      </c>
      <c r="AO63" s="401">
        <f>INDEX('DEFAULT DATA'!$BH$9:$BV$41,START!$C$3,8)</f>
        <v>0.47892110991913739</v>
      </c>
      <c r="AP63" s="401">
        <f>INDEX('DEFAULT DATA'!$BH$9:$BV$41,START!$C$3,8)</f>
        <v>0.47892110991913739</v>
      </c>
      <c r="AQ63" s="401">
        <f>INDEX('DEFAULT DATA'!$BH$9:$BV$41,START!$C$3,8)</f>
        <v>0.47892110991913739</v>
      </c>
      <c r="AR63" s="401">
        <f>INDEX('DEFAULT DATA'!$BH$9:$BV$41,START!$C$3,8)</f>
        <v>0.47892110991913739</v>
      </c>
      <c r="AS63" s="401">
        <f>INDEX('DEFAULT DATA'!$BH$9:$BV$41,START!$C$3,8)</f>
        <v>0.47892110991913739</v>
      </c>
      <c r="AT63" s="401">
        <f>INDEX('DEFAULT DATA'!$BH$9:$BV$41,START!$C$3,8)</f>
        <v>0.47892110991913739</v>
      </c>
      <c r="AU63" s="401">
        <f>INDEX('DEFAULT DATA'!$BH$9:$BV$41,START!$C$3,8)</f>
        <v>0.47892110991913739</v>
      </c>
      <c r="AV63" s="401">
        <f>INDEX('DEFAULT DATA'!$BH$9:$BV$41,START!$C$3,8)</f>
        <v>0.47892110991913739</v>
      </c>
      <c r="AW63" s="401">
        <f>INDEX('DEFAULT DATA'!$BH$9:$BV$41,START!$C$3,8)</f>
        <v>0.47892110991913739</v>
      </c>
      <c r="AX63" s="401">
        <f>INDEX('DEFAULT DATA'!$BH$9:$BV$41,START!$C$3,8)</f>
        <v>0.47892110991913739</v>
      </c>
      <c r="AY63" s="401">
        <f>INDEX('DEFAULT DATA'!$BH$9:$BV$41,START!$C$3,8)</f>
        <v>0.47892110991913739</v>
      </c>
      <c r="AZ63" s="401">
        <f>INDEX('DEFAULT DATA'!$BH$9:$BV$41,START!$C$3,8)</f>
        <v>0.47892110991913739</v>
      </c>
      <c r="BA63" s="563">
        <f>INDEX('DEFAULT DATA'!$BH$9:$BV$41,START!$C$3,8)</f>
        <v>0.47892110991913739</v>
      </c>
      <c r="BB63" s="16"/>
      <c r="BC63" s="552" t="s">
        <v>1739</v>
      </c>
      <c r="BD63" s="383" t="s">
        <v>1724</v>
      </c>
      <c r="BE63" s="553" t="s">
        <v>178</v>
      </c>
    </row>
    <row r="64" spans="1:57" ht="20.100000000000001" customHeight="1">
      <c r="A64" s="15"/>
      <c r="B64" s="668"/>
      <c r="C64" s="668"/>
      <c r="D64" s="668"/>
      <c r="E64" s="668"/>
      <c r="F64" s="668"/>
      <c r="G64" s="668"/>
      <c r="H64" s="668"/>
      <c r="I64" s="82" t="str">
        <f>INDEX('MENU OPTIONS'!$F$23:$AL$80,40,START!$C$3)</f>
        <v>-</v>
      </c>
      <c r="J64" s="668"/>
      <c r="K64" s="668"/>
      <c r="L64" s="445">
        <v>0</v>
      </c>
      <c r="M64" s="668"/>
      <c r="N64" s="668"/>
      <c r="O64" s="291"/>
      <c r="P64" s="668"/>
      <c r="Q64" s="668"/>
      <c r="R64" s="687"/>
      <c r="S64" s="542" t="s">
        <v>627</v>
      </c>
      <c r="T64" s="383" t="str">
        <f t="shared" si="71"/>
        <v>EFcar_road: CAR_COL47; EFcar_street: CAR_COL32; Share: CAR_COL17</v>
      </c>
      <c r="U64" s="882">
        <f t="shared" si="72"/>
        <v>0</v>
      </c>
      <c r="V64" s="115">
        <f>INDEX('DEFAULT DATA'!$CL$9:$CZ$41,START!$C$3,9)</f>
        <v>0</v>
      </c>
      <c r="W64" s="115">
        <f>INDEX('DEFAULT DATA'!$BW$9:$CK$41,START!$C$3,9)</f>
        <v>0</v>
      </c>
      <c r="X64" s="401">
        <f>INDEX('DEFAULT DATA'!$BH$9:$BV$41,START!$C$3,9)*0.5</f>
        <v>0</v>
      </c>
      <c r="Y64" s="401">
        <f>INDEX('DEFAULT DATA'!$BH$9:$BV$41,START!$C$3,9)*0.5</f>
        <v>0</v>
      </c>
      <c r="Z64" s="401">
        <f>INDEX('DEFAULT DATA'!$BH$9:$BV$41,START!$C$3,9)*0.5</f>
        <v>0</v>
      </c>
      <c r="AA64" s="401">
        <f>INDEX('DEFAULT DATA'!$BH$9:$BV$41,START!$C$3,9)*0.5</f>
        <v>0</v>
      </c>
      <c r="AB64" s="401">
        <f>INDEX('DEFAULT DATA'!$BH$9:$BV$41,START!$C$3,9)*0.5</f>
        <v>0</v>
      </c>
      <c r="AC64" s="401">
        <f>INDEX('DEFAULT DATA'!$BH$9:$BV$41,START!$C$3,9)*0.5</f>
        <v>0</v>
      </c>
      <c r="AD64" s="401">
        <f>INDEX('DEFAULT DATA'!$BH$9:$BV$41,START!$C$3,9)*0.5</f>
        <v>0</v>
      </c>
      <c r="AE64" s="401">
        <f>INDEX('DEFAULT DATA'!$BH$9:$BV$41,START!$C$3,9)*0.5</f>
        <v>0</v>
      </c>
      <c r="AF64" s="401">
        <f>INDEX('DEFAULT DATA'!$BH$9:$BV$41,START!$C$3,9)*0.5</f>
        <v>0</v>
      </c>
      <c r="AG64" s="401">
        <f>INDEX('DEFAULT DATA'!$BH$9:$BV$41,START!$C$3,9)*0.5</f>
        <v>0</v>
      </c>
      <c r="AH64" s="401">
        <f>INDEX('DEFAULT DATA'!$BH$9:$BV$41,START!$C$3,9)*0.5</f>
        <v>0</v>
      </c>
      <c r="AI64" s="401">
        <f>INDEX('DEFAULT DATA'!$BH$9:$BV$41,START!$C$3,9)*0.5</f>
        <v>0</v>
      </c>
      <c r="AJ64" s="401">
        <f>INDEX('DEFAULT DATA'!$BH$9:$BV$41,START!$C$3,9)*0.5</f>
        <v>0</v>
      </c>
      <c r="AK64" s="401">
        <f>INDEX('DEFAULT DATA'!$BH$9:$BV$41,START!$C$3,9)*0.5</f>
        <v>0</v>
      </c>
      <c r="AL64" s="401">
        <f>INDEX('DEFAULT DATA'!$BH$9:$BV$41,START!$C$3,9)*0.5</f>
        <v>0</v>
      </c>
      <c r="AM64" s="401">
        <f>INDEX('DEFAULT DATA'!$BH$9:$BV$41,START!$C$3,9)*0.5</f>
        <v>0</v>
      </c>
      <c r="AN64" s="401">
        <f>INDEX('DEFAULT DATA'!$BH$9:$BV$41,START!$C$3,9)*0.5</f>
        <v>0</v>
      </c>
      <c r="AO64" s="401">
        <f>INDEX('DEFAULT DATA'!$BH$9:$BV$41,START!$C$3,9)*0.5</f>
        <v>0</v>
      </c>
      <c r="AP64" s="401">
        <f>INDEX('DEFAULT DATA'!$BH$9:$BV$41,START!$C$3,9)*0.5</f>
        <v>0</v>
      </c>
      <c r="AQ64" s="401">
        <f>INDEX('DEFAULT DATA'!$BH$9:$BV$41,START!$C$3,9)*0.5</f>
        <v>0</v>
      </c>
      <c r="AR64" s="401">
        <f>INDEX('DEFAULT DATA'!$BH$9:$BV$41,START!$C$3,9)*0.5</f>
        <v>0</v>
      </c>
      <c r="AS64" s="401">
        <f>INDEX('DEFAULT DATA'!$BH$9:$BV$41,START!$C$3,9)*0.5</f>
        <v>0</v>
      </c>
      <c r="AT64" s="401">
        <f>INDEX('DEFAULT DATA'!$BH$9:$BV$41,START!$C$3,9)*0.5</f>
        <v>0</v>
      </c>
      <c r="AU64" s="401">
        <f>INDEX('DEFAULT DATA'!$BH$9:$BV$41,START!$C$3,9)*0.5</f>
        <v>0</v>
      </c>
      <c r="AV64" s="401">
        <f>INDEX('DEFAULT DATA'!$BH$9:$BV$41,START!$C$3,9)*0.5</f>
        <v>0</v>
      </c>
      <c r="AW64" s="401">
        <f>INDEX('DEFAULT DATA'!$BH$9:$BV$41,START!$C$3,9)*0.5</f>
        <v>0</v>
      </c>
      <c r="AX64" s="401">
        <f>INDEX('DEFAULT DATA'!$BH$9:$BV$41,START!$C$3,9)*0.5</f>
        <v>0</v>
      </c>
      <c r="AY64" s="401">
        <f>INDEX('DEFAULT DATA'!$BH$9:$BV$41,START!$C$3,9)*0.5</f>
        <v>0</v>
      </c>
      <c r="AZ64" s="401">
        <f>INDEX('DEFAULT DATA'!$BH$9:$BV$41,START!$C$3,9)*0.5</f>
        <v>0</v>
      </c>
      <c r="BA64" s="563">
        <f>INDEX('DEFAULT DATA'!$BH$9:$BV$41,START!$C$3,9)*0.5</f>
        <v>0</v>
      </c>
      <c r="BB64" s="16"/>
      <c r="BC64" s="552" t="s">
        <v>1740</v>
      </c>
      <c r="BD64" s="383" t="s">
        <v>1725</v>
      </c>
      <c r="BE64" s="553" t="s">
        <v>179</v>
      </c>
    </row>
    <row r="65" spans="1:66" ht="20.100000000000001" customHeight="1">
      <c r="A65" s="15"/>
      <c r="B65" s="668"/>
      <c r="C65" s="668"/>
      <c r="D65" s="668"/>
      <c r="E65" s="668"/>
      <c r="F65" s="668"/>
      <c r="G65" s="668"/>
      <c r="H65" s="668"/>
      <c r="I65" s="82" t="str">
        <f>INDEX('MENU OPTIONS'!$F$23:$AL$80,41,START!$C$3)</f>
        <v>-</v>
      </c>
      <c r="J65" s="668"/>
      <c r="K65" s="668"/>
      <c r="L65" s="445">
        <v>0</v>
      </c>
      <c r="M65" s="668"/>
      <c r="N65" s="668"/>
      <c r="O65" s="291"/>
      <c r="P65" s="668"/>
      <c r="Q65" s="668"/>
      <c r="R65" s="687"/>
      <c r="S65" s="542" t="s">
        <v>628</v>
      </c>
      <c r="T65" s="383" t="str">
        <f t="shared" si="71"/>
        <v>EFcar_road: CAR_COL48; EFcar_street: CAR_COL33; Share: CAR_COL18</v>
      </c>
      <c r="U65" s="882">
        <f t="shared" si="72"/>
        <v>0</v>
      </c>
      <c r="V65" s="115">
        <f>INDEX('DEFAULT DATA'!$CL$9:$CZ$41,START!$C$3,10)</f>
        <v>0</v>
      </c>
      <c r="W65" s="115">
        <f>INDEX('DEFAULT DATA'!$BW$9:$CK$41,START!$C$3,10)</f>
        <v>0</v>
      </c>
      <c r="X65" s="401">
        <f>INDEX('DEFAULT DATA'!$BH$9:$BV$41,START!$C$3,10)</f>
        <v>0</v>
      </c>
      <c r="Y65" s="401">
        <f>INDEX('DEFAULT DATA'!$BH$9:$BV$41,START!$C$3,10)</f>
        <v>0</v>
      </c>
      <c r="Z65" s="401">
        <f>INDEX('DEFAULT DATA'!$BH$9:$BV$41,START!$C$3,10)</f>
        <v>0</v>
      </c>
      <c r="AA65" s="401">
        <f>INDEX('DEFAULT DATA'!$BH$9:$BV$41,START!$C$3,10)</f>
        <v>0</v>
      </c>
      <c r="AB65" s="401">
        <f>INDEX('DEFAULT DATA'!$BH$9:$BV$41,START!$C$3,10)</f>
        <v>0</v>
      </c>
      <c r="AC65" s="401">
        <f>INDEX('DEFAULT DATA'!$BH$9:$BV$41,START!$C$3,10)</f>
        <v>0</v>
      </c>
      <c r="AD65" s="401">
        <f>INDEX('DEFAULT DATA'!$BH$9:$BV$41,START!$C$3,10)</f>
        <v>0</v>
      </c>
      <c r="AE65" s="401">
        <f>INDEX('DEFAULT DATA'!$BH$9:$BV$41,START!$C$3,10)</f>
        <v>0</v>
      </c>
      <c r="AF65" s="401">
        <f>INDEX('DEFAULT DATA'!$BH$9:$BV$41,START!$C$3,10)</f>
        <v>0</v>
      </c>
      <c r="AG65" s="401">
        <f>INDEX('DEFAULT DATA'!$BH$9:$BV$41,START!$C$3,10)</f>
        <v>0</v>
      </c>
      <c r="AH65" s="401">
        <f>INDEX('DEFAULT DATA'!$BH$9:$BV$41,START!$C$3,10)</f>
        <v>0</v>
      </c>
      <c r="AI65" s="401">
        <f>INDEX('DEFAULT DATA'!$BH$9:$BV$41,START!$C$3,10)</f>
        <v>0</v>
      </c>
      <c r="AJ65" s="401">
        <f>INDEX('DEFAULT DATA'!$BH$9:$BV$41,START!$C$3,10)</f>
        <v>0</v>
      </c>
      <c r="AK65" s="401">
        <f>INDEX('DEFAULT DATA'!$BH$9:$BV$41,START!$C$3,10)</f>
        <v>0</v>
      </c>
      <c r="AL65" s="401">
        <f>INDEX('DEFAULT DATA'!$BH$9:$BV$41,START!$C$3,10)</f>
        <v>0</v>
      </c>
      <c r="AM65" s="401">
        <f>INDEX('DEFAULT DATA'!$BH$9:$BV$41,START!$C$3,10)</f>
        <v>0</v>
      </c>
      <c r="AN65" s="401">
        <f>INDEX('DEFAULT DATA'!$BH$9:$BV$41,START!$C$3,10)</f>
        <v>0</v>
      </c>
      <c r="AO65" s="401">
        <f>INDEX('DEFAULT DATA'!$BH$9:$BV$41,START!$C$3,10)</f>
        <v>0</v>
      </c>
      <c r="AP65" s="401">
        <f>INDEX('DEFAULT DATA'!$BH$9:$BV$41,START!$C$3,10)</f>
        <v>0</v>
      </c>
      <c r="AQ65" s="401">
        <f>INDEX('DEFAULT DATA'!$BH$9:$BV$41,START!$C$3,10)</f>
        <v>0</v>
      </c>
      <c r="AR65" s="401">
        <f>INDEX('DEFAULT DATA'!$BH$9:$BV$41,START!$C$3,10)</f>
        <v>0</v>
      </c>
      <c r="AS65" s="401">
        <f>INDEX('DEFAULT DATA'!$BH$9:$BV$41,START!$C$3,10)</f>
        <v>0</v>
      </c>
      <c r="AT65" s="401">
        <f>INDEX('DEFAULT DATA'!$BH$9:$BV$41,START!$C$3,10)</f>
        <v>0</v>
      </c>
      <c r="AU65" s="401">
        <f>INDEX('DEFAULT DATA'!$BH$9:$BV$41,START!$C$3,10)</f>
        <v>0</v>
      </c>
      <c r="AV65" s="401">
        <f>INDEX('DEFAULT DATA'!$BH$9:$BV$41,START!$C$3,10)</f>
        <v>0</v>
      </c>
      <c r="AW65" s="401">
        <f>INDEX('DEFAULT DATA'!$BH$9:$BV$41,START!$C$3,10)</f>
        <v>0</v>
      </c>
      <c r="AX65" s="401">
        <f>INDEX('DEFAULT DATA'!$BH$9:$BV$41,START!$C$3,10)</f>
        <v>0</v>
      </c>
      <c r="AY65" s="401">
        <f>INDEX('DEFAULT DATA'!$BH$9:$BV$41,START!$C$3,10)</f>
        <v>0</v>
      </c>
      <c r="AZ65" s="401">
        <f>INDEX('DEFAULT DATA'!$BH$9:$BV$41,START!$C$3,10)</f>
        <v>0</v>
      </c>
      <c r="BA65" s="563">
        <f>INDEX('DEFAULT DATA'!$BH$9:$BV$41,START!$C$3,10)</f>
        <v>0</v>
      </c>
      <c r="BB65" s="16"/>
      <c r="BC65" s="552" t="s">
        <v>1741</v>
      </c>
      <c r="BD65" s="383" t="s">
        <v>1726</v>
      </c>
      <c r="BE65" s="553" t="s">
        <v>180</v>
      </c>
    </row>
    <row r="66" spans="1:66" ht="20.100000000000001" customHeight="1">
      <c r="A66" s="15"/>
      <c r="B66" s="668"/>
      <c r="C66" s="668"/>
      <c r="D66" s="668"/>
      <c r="E66" s="668"/>
      <c r="F66" s="668"/>
      <c r="G66" s="668"/>
      <c r="H66" s="668"/>
      <c r="I66" s="82" t="str">
        <f>INDEX('MENU OPTIONS'!$F$23:$AL$80,42,START!$C$3)</f>
        <v>-</v>
      </c>
      <c r="J66" s="668"/>
      <c r="K66" s="668"/>
      <c r="L66" s="445">
        <v>0</v>
      </c>
      <c r="M66" s="668"/>
      <c r="N66" s="668"/>
      <c r="O66" s="291"/>
      <c r="P66" s="668"/>
      <c r="Q66" s="668"/>
      <c r="R66" s="687"/>
      <c r="S66" s="542" t="s">
        <v>629</v>
      </c>
      <c r="T66" s="383" t="str">
        <f t="shared" si="71"/>
        <v>EFcar_road: CAR_COL49; EFcar_street: CAR_COL34; Share: CAR_COL19</v>
      </c>
      <c r="U66" s="882">
        <f t="shared" si="72"/>
        <v>4.8490000000000002</v>
      </c>
      <c r="V66" s="115">
        <f>INDEX('DEFAULT DATA'!$CL$9:$CZ$41,START!$C$3,11)</f>
        <v>4.415</v>
      </c>
      <c r="W66" s="115">
        <f>INDEX('DEFAULT DATA'!$BW$9:$CK$41,START!$C$3,11)</f>
        <v>6.585</v>
      </c>
      <c r="X66" s="401">
        <f>INDEX('DEFAULT DATA'!$BH$9:$BV$41,START!$C$3,11)</f>
        <v>0</v>
      </c>
      <c r="Y66" s="401">
        <f>INDEX('DEFAULT DATA'!$BH$9:$BV$41,START!$C$3,11)</f>
        <v>0</v>
      </c>
      <c r="Z66" s="401">
        <f>INDEX('DEFAULT DATA'!$BH$9:$BV$41,START!$C$3,11)</f>
        <v>0</v>
      </c>
      <c r="AA66" s="401">
        <f>INDEX('DEFAULT DATA'!$BH$9:$BV$41,START!$C$3,11)</f>
        <v>0</v>
      </c>
      <c r="AB66" s="401">
        <f>INDEX('DEFAULT DATA'!$BH$9:$BV$41,START!$C$3,11)</f>
        <v>0</v>
      </c>
      <c r="AC66" s="401">
        <f>INDEX('DEFAULT DATA'!$BH$9:$BV$41,START!$C$3,11)</f>
        <v>0</v>
      </c>
      <c r="AD66" s="401">
        <f>INDEX('DEFAULT DATA'!$BH$9:$BV$41,START!$C$3,11)</f>
        <v>0</v>
      </c>
      <c r="AE66" s="401">
        <f>INDEX('DEFAULT DATA'!$BH$9:$BV$41,START!$C$3,11)</f>
        <v>0</v>
      </c>
      <c r="AF66" s="401">
        <f>INDEX('DEFAULT DATA'!$BH$9:$BV$41,START!$C$3,11)</f>
        <v>0</v>
      </c>
      <c r="AG66" s="401">
        <f>INDEX('DEFAULT DATA'!$BH$9:$BV$41,START!$C$3,11)</f>
        <v>0</v>
      </c>
      <c r="AH66" s="401">
        <f>INDEX('DEFAULT DATA'!$BH$9:$BV$41,START!$C$3,11)</f>
        <v>0</v>
      </c>
      <c r="AI66" s="401">
        <f>INDEX('DEFAULT DATA'!$BH$9:$BV$41,START!$C$3,11)</f>
        <v>0</v>
      </c>
      <c r="AJ66" s="401">
        <f>INDEX('DEFAULT DATA'!$BH$9:$BV$41,START!$C$3,11)</f>
        <v>0</v>
      </c>
      <c r="AK66" s="401">
        <f>INDEX('DEFAULT DATA'!$BH$9:$BV$41,START!$C$3,11)</f>
        <v>0</v>
      </c>
      <c r="AL66" s="401">
        <f>INDEX('DEFAULT DATA'!$BH$9:$BV$41,START!$C$3,11)</f>
        <v>0</v>
      </c>
      <c r="AM66" s="401">
        <f>INDEX('DEFAULT DATA'!$BH$9:$BV$41,START!$C$3,11)</f>
        <v>0</v>
      </c>
      <c r="AN66" s="401">
        <f>INDEX('DEFAULT DATA'!$BH$9:$BV$41,START!$C$3,11)</f>
        <v>0</v>
      </c>
      <c r="AO66" s="401">
        <f>INDEX('DEFAULT DATA'!$BH$9:$BV$41,START!$C$3,11)</f>
        <v>0</v>
      </c>
      <c r="AP66" s="401">
        <f>INDEX('DEFAULT DATA'!$BH$9:$BV$41,START!$C$3,11)</f>
        <v>0</v>
      </c>
      <c r="AQ66" s="401">
        <f>INDEX('DEFAULT DATA'!$BH$9:$BV$41,START!$C$3,11)</f>
        <v>0</v>
      </c>
      <c r="AR66" s="401">
        <f>INDEX('DEFAULT DATA'!$BH$9:$BV$41,START!$C$3,11)</f>
        <v>0</v>
      </c>
      <c r="AS66" s="401">
        <f>INDEX('DEFAULT DATA'!$BH$9:$BV$41,START!$C$3,11)</f>
        <v>0</v>
      </c>
      <c r="AT66" s="401">
        <f>INDEX('DEFAULT DATA'!$BH$9:$BV$41,START!$C$3,11)</f>
        <v>0</v>
      </c>
      <c r="AU66" s="401">
        <f>INDEX('DEFAULT DATA'!$BH$9:$BV$41,START!$C$3,11)</f>
        <v>0</v>
      </c>
      <c r="AV66" s="401">
        <f>INDEX('DEFAULT DATA'!$BH$9:$BV$41,START!$C$3,11)</f>
        <v>0</v>
      </c>
      <c r="AW66" s="401">
        <f>INDEX('DEFAULT DATA'!$BH$9:$BV$41,START!$C$3,11)</f>
        <v>0</v>
      </c>
      <c r="AX66" s="401">
        <f>INDEX('DEFAULT DATA'!$BH$9:$BV$41,START!$C$3,11)</f>
        <v>0</v>
      </c>
      <c r="AY66" s="401">
        <f>INDEX('DEFAULT DATA'!$BH$9:$BV$41,START!$C$3,11)</f>
        <v>0</v>
      </c>
      <c r="AZ66" s="401">
        <f>INDEX('DEFAULT DATA'!$BH$9:$BV$41,START!$C$3,11)</f>
        <v>0</v>
      </c>
      <c r="BA66" s="563">
        <f>INDEX('DEFAULT DATA'!$BH$9:$BV$41,START!$C$3,11)</f>
        <v>0</v>
      </c>
      <c r="BB66" s="16"/>
      <c r="BC66" s="552" t="s">
        <v>1742</v>
      </c>
      <c r="BD66" s="383" t="s">
        <v>1727</v>
      </c>
      <c r="BE66" s="553" t="s">
        <v>181</v>
      </c>
    </row>
    <row r="67" spans="1:66" ht="20.100000000000001" customHeight="1">
      <c r="A67" s="15"/>
      <c r="B67" s="668"/>
      <c r="C67" s="668"/>
      <c r="D67" s="668"/>
      <c r="E67" s="668"/>
      <c r="F67" s="668"/>
      <c r="G67" s="668"/>
      <c r="H67" s="668"/>
      <c r="I67" s="82" t="str">
        <f>INDEX('MENU OPTIONS'!$F$23:$AL$80,43,START!$C$3)</f>
        <v>-</v>
      </c>
      <c r="J67" s="668"/>
      <c r="K67" s="668"/>
      <c r="L67" s="445">
        <v>0</v>
      </c>
      <c r="M67" s="668"/>
      <c r="N67" s="668"/>
      <c r="O67" s="291"/>
      <c r="P67" s="668"/>
      <c r="Q67" s="668"/>
      <c r="R67" s="687"/>
      <c r="S67" s="542" t="s">
        <v>630</v>
      </c>
      <c r="T67" s="383" t="str">
        <f t="shared" si="71"/>
        <v>EFcar_road: CAR_COL50; EFcar_street: CAR_COL35; Share: CAR_COL20</v>
      </c>
      <c r="U67" s="882">
        <f t="shared" si="72"/>
        <v>0.9698</v>
      </c>
      <c r="V67" s="115">
        <f>INDEX('DEFAULT DATA'!$CL$9:$CZ$41,START!$C$3,12)</f>
        <v>0.88300000000000001</v>
      </c>
      <c r="W67" s="115">
        <f>INDEX('DEFAULT DATA'!$BW$9:$CK$41,START!$C$3,12)</f>
        <v>1.3169999999999999</v>
      </c>
      <c r="X67" s="401">
        <f>INDEX('DEFAULT DATA'!$BH$9:$BV$41,START!$C$3,12)</f>
        <v>0</v>
      </c>
      <c r="Y67" s="401">
        <f>INDEX('DEFAULT DATA'!$BH$9:$BV$41,START!$C$3,12)</f>
        <v>0</v>
      </c>
      <c r="Z67" s="401">
        <f>INDEX('DEFAULT DATA'!$BH$9:$BV$41,START!$C$3,12)</f>
        <v>0</v>
      </c>
      <c r="AA67" s="401">
        <f>INDEX('DEFAULT DATA'!$BH$9:$BV$41,START!$C$3,12)</f>
        <v>0</v>
      </c>
      <c r="AB67" s="401">
        <f>INDEX('DEFAULT DATA'!$BH$9:$BV$41,START!$C$3,12)</f>
        <v>0</v>
      </c>
      <c r="AC67" s="401">
        <f>INDEX('DEFAULT DATA'!$BH$9:$BV$41,START!$C$3,12)</f>
        <v>0</v>
      </c>
      <c r="AD67" s="401">
        <f>INDEX('DEFAULT DATA'!$BH$9:$BV$41,START!$C$3,12)</f>
        <v>0</v>
      </c>
      <c r="AE67" s="401">
        <f>INDEX('DEFAULT DATA'!$BH$9:$BV$41,START!$C$3,12)</f>
        <v>0</v>
      </c>
      <c r="AF67" s="401">
        <f>INDEX('DEFAULT DATA'!$BH$9:$BV$41,START!$C$3,12)</f>
        <v>0</v>
      </c>
      <c r="AG67" s="401">
        <f>INDEX('DEFAULT DATA'!$BH$9:$BV$41,START!$C$3,12)</f>
        <v>0</v>
      </c>
      <c r="AH67" s="401">
        <f>INDEX('DEFAULT DATA'!$BH$9:$BV$41,START!$C$3,12)</f>
        <v>0</v>
      </c>
      <c r="AI67" s="401">
        <f>INDEX('DEFAULT DATA'!$BH$9:$BV$41,START!$C$3,12)</f>
        <v>0</v>
      </c>
      <c r="AJ67" s="401">
        <f>INDEX('DEFAULT DATA'!$BH$9:$BV$41,START!$C$3,12)</f>
        <v>0</v>
      </c>
      <c r="AK67" s="401">
        <f>INDEX('DEFAULT DATA'!$BH$9:$BV$41,START!$C$3,12)</f>
        <v>0</v>
      </c>
      <c r="AL67" s="401">
        <f>INDEX('DEFAULT DATA'!$BH$9:$BV$41,START!$C$3,12)</f>
        <v>0</v>
      </c>
      <c r="AM67" s="401">
        <f>INDEX('DEFAULT DATA'!$BH$9:$BV$41,START!$C$3,12)</f>
        <v>0</v>
      </c>
      <c r="AN67" s="401">
        <f>INDEX('DEFAULT DATA'!$BH$9:$BV$41,START!$C$3,12)</f>
        <v>0</v>
      </c>
      <c r="AO67" s="401">
        <f>INDEX('DEFAULT DATA'!$BH$9:$BV$41,START!$C$3,12)</f>
        <v>0</v>
      </c>
      <c r="AP67" s="401">
        <f>INDEX('DEFAULT DATA'!$BH$9:$BV$41,START!$C$3,12)</f>
        <v>0</v>
      </c>
      <c r="AQ67" s="401">
        <f>INDEX('DEFAULT DATA'!$BH$9:$BV$41,START!$C$3,12)</f>
        <v>0</v>
      </c>
      <c r="AR67" s="401">
        <f>INDEX('DEFAULT DATA'!$BH$9:$BV$41,START!$C$3,12)</f>
        <v>0</v>
      </c>
      <c r="AS67" s="401">
        <f>INDEX('DEFAULT DATA'!$BH$9:$BV$41,START!$C$3,12)</f>
        <v>0</v>
      </c>
      <c r="AT67" s="401">
        <f>INDEX('DEFAULT DATA'!$BH$9:$BV$41,START!$C$3,12)</f>
        <v>0</v>
      </c>
      <c r="AU67" s="401">
        <f>INDEX('DEFAULT DATA'!$BH$9:$BV$41,START!$C$3,12)</f>
        <v>0</v>
      </c>
      <c r="AV67" s="401">
        <f>INDEX('DEFAULT DATA'!$BH$9:$BV$41,START!$C$3,12)</f>
        <v>0</v>
      </c>
      <c r="AW67" s="401">
        <f>INDEX('DEFAULT DATA'!$BH$9:$BV$41,START!$C$3,12)</f>
        <v>0</v>
      </c>
      <c r="AX67" s="401">
        <f>INDEX('DEFAULT DATA'!$BH$9:$BV$41,START!$C$3,12)</f>
        <v>0</v>
      </c>
      <c r="AY67" s="401">
        <f>INDEX('DEFAULT DATA'!$BH$9:$BV$41,START!$C$3,12)</f>
        <v>0</v>
      </c>
      <c r="AZ67" s="401">
        <f>INDEX('DEFAULT DATA'!$BH$9:$BV$41,START!$C$3,12)</f>
        <v>0</v>
      </c>
      <c r="BA67" s="563">
        <f>INDEX('DEFAULT DATA'!$BH$9:$BV$41,START!$C$3,12)</f>
        <v>0</v>
      </c>
      <c r="BB67" s="16"/>
      <c r="BC67" s="552" t="s">
        <v>1743</v>
      </c>
      <c r="BD67" s="383" t="s">
        <v>1728</v>
      </c>
      <c r="BE67" s="553" t="s">
        <v>182</v>
      </c>
    </row>
    <row r="68" spans="1:66" ht="20.100000000000001" customHeight="1">
      <c r="A68" s="15"/>
      <c r="B68" s="668"/>
      <c r="C68" s="668"/>
      <c r="D68" s="668"/>
      <c r="E68" s="668"/>
      <c r="F68" s="668"/>
      <c r="G68" s="668"/>
      <c r="H68" s="668"/>
      <c r="I68" s="82" t="str">
        <f>INDEX('MENU OPTIONS'!$F$23:$AL$80,44,START!$C$3)</f>
        <v>-</v>
      </c>
      <c r="J68" s="668"/>
      <c r="K68" s="668"/>
      <c r="L68" s="445">
        <v>0</v>
      </c>
      <c r="M68" s="668"/>
      <c r="N68" s="668"/>
      <c r="O68" s="291"/>
      <c r="P68" s="668"/>
      <c r="Q68" s="668"/>
      <c r="R68" s="687"/>
      <c r="S68" s="542" t="s">
        <v>2042</v>
      </c>
      <c r="T68" s="383" t="str">
        <f t="shared" si="71"/>
        <v>EFcar_road: CAR_COL51; EFcar_street: CAR_COL36; Share: CAR_COL21</v>
      </c>
      <c r="U68" s="882">
        <f t="shared" si="72"/>
        <v>29.200000000000003</v>
      </c>
      <c r="V68" s="115">
        <f>INDEX('DEFAULT DATA'!$CL$9:$CZ$41,START!$C$3,13)</f>
        <v>27</v>
      </c>
      <c r="W68" s="115">
        <f>INDEX('DEFAULT DATA'!$BW$9:$CK$41,START!$C$3,13)</f>
        <v>38</v>
      </c>
      <c r="X68" s="401">
        <f>INDEX('DEFAULT DATA'!$BH$9:$BV$41,START!$C$3,13)</f>
        <v>0.1778413966184085</v>
      </c>
      <c r="Y68" s="401">
        <f>INDEX('DEFAULT DATA'!$BH$9:$BV$41,START!$C$3,13)</f>
        <v>0.1778413966184085</v>
      </c>
      <c r="Z68" s="401">
        <f>INDEX('DEFAULT DATA'!$BH$9:$BV$41,START!$C$3,13)</f>
        <v>0.1778413966184085</v>
      </c>
      <c r="AA68" s="401">
        <f>INDEX('DEFAULT DATA'!$BH$9:$BV$41,START!$C$3,13)</f>
        <v>0.1778413966184085</v>
      </c>
      <c r="AB68" s="401">
        <f>INDEX('DEFAULT DATA'!$BH$9:$BV$41,START!$C$3,13)</f>
        <v>0.1778413966184085</v>
      </c>
      <c r="AC68" s="401">
        <f>INDEX('DEFAULT DATA'!$BH$9:$BV$41,START!$C$3,13)</f>
        <v>0.1778413966184085</v>
      </c>
      <c r="AD68" s="401">
        <f>INDEX('DEFAULT DATA'!$BH$9:$BV$41,START!$C$3,13)</f>
        <v>0.1778413966184085</v>
      </c>
      <c r="AE68" s="401">
        <f>INDEX('DEFAULT DATA'!$BH$9:$BV$41,START!$C$3,13)</f>
        <v>0.1778413966184085</v>
      </c>
      <c r="AF68" s="401">
        <f>INDEX('DEFAULT DATA'!$BH$9:$BV$41,START!$C$3,13)</f>
        <v>0.1778413966184085</v>
      </c>
      <c r="AG68" s="401">
        <f>INDEX('DEFAULT DATA'!$BH$9:$BV$41,START!$C$3,13)</f>
        <v>0.1778413966184085</v>
      </c>
      <c r="AH68" s="401">
        <f>INDEX('DEFAULT DATA'!$BH$9:$BV$41,START!$C$3,13)</f>
        <v>0.1778413966184085</v>
      </c>
      <c r="AI68" s="401">
        <f>INDEX('DEFAULT DATA'!$BH$9:$BV$41,START!$C$3,13)</f>
        <v>0.1778413966184085</v>
      </c>
      <c r="AJ68" s="401">
        <f>INDEX('DEFAULT DATA'!$BH$9:$BV$41,START!$C$3,13)</f>
        <v>0.1778413966184085</v>
      </c>
      <c r="AK68" s="401">
        <f>INDEX('DEFAULT DATA'!$BH$9:$BV$41,START!$C$3,13)</f>
        <v>0.1778413966184085</v>
      </c>
      <c r="AL68" s="401">
        <f>INDEX('DEFAULT DATA'!$BH$9:$BV$41,START!$C$3,13)</f>
        <v>0.1778413966184085</v>
      </c>
      <c r="AM68" s="401">
        <f>INDEX('DEFAULT DATA'!$BH$9:$BV$41,START!$C$3,13)</f>
        <v>0.1778413966184085</v>
      </c>
      <c r="AN68" s="401">
        <f>INDEX('DEFAULT DATA'!$BH$9:$BV$41,START!$C$3,13)</f>
        <v>0.1778413966184085</v>
      </c>
      <c r="AO68" s="401">
        <f>INDEX('DEFAULT DATA'!$BH$9:$BV$41,START!$C$3,13)</f>
        <v>0.1778413966184085</v>
      </c>
      <c r="AP68" s="401">
        <f>INDEX('DEFAULT DATA'!$BH$9:$BV$41,START!$C$3,13)</f>
        <v>0.1778413966184085</v>
      </c>
      <c r="AQ68" s="401">
        <f>INDEX('DEFAULT DATA'!$BH$9:$BV$41,START!$C$3,13)</f>
        <v>0.1778413966184085</v>
      </c>
      <c r="AR68" s="401">
        <f>INDEX('DEFAULT DATA'!$BH$9:$BV$41,START!$C$3,13)</f>
        <v>0.1778413966184085</v>
      </c>
      <c r="AS68" s="401">
        <f>INDEX('DEFAULT DATA'!$BH$9:$BV$41,START!$C$3,13)</f>
        <v>0.1778413966184085</v>
      </c>
      <c r="AT68" s="401">
        <f>INDEX('DEFAULT DATA'!$BH$9:$BV$41,START!$C$3,13)</f>
        <v>0.1778413966184085</v>
      </c>
      <c r="AU68" s="401">
        <f>INDEX('DEFAULT DATA'!$BH$9:$BV$41,START!$C$3,13)</f>
        <v>0.1778413966184085</v>
      </c>
      <c r="AV68" s="401">
        <f>INDEX('DEFAULT DATA'!$BH$9:$BV$41,START!$C$3,13)</f>
        <v>0.1778413966184085</v>
      </c>
      <c r="AW68" s="401">
        <f>INDEX('DEFAULT DATA'!$BH$9:$BV$41,START!$C$3,13)</f>
        <v>0.1778413966184085</v>
      </c>
      <c r="AX68" s="401">
        <f>INDEX('DEFAULT DATA'!$BH$9:$BV$41,START!$C$3,13)</f>
        <v>0.1778413966184085</v>
      </c>
      <c r="AY68" s="401">
        <f>INDEX('DEFAULT DATA'!$BH$9:$BV$41,START!$C$3,13)</f>
        <v>0.1778413966184085</v>
      </c>
      <c r="AZ68" s="401">
        <f>INDEX('DEFAULT DATA'!$BH$9:$BV$41,START!$C$3,13)</f>
        <v>0.1778413966184085</v>
      </c>
      <c r="BA68" s="563">
        <f>INDEX('DEFAULT DATA'!$BH$9:$BV$41,START!$C$3,13)</f>
        <v>0.1778413966184085</v>
      </c>
      <c r="BB68" s="16"/>
      <c r="BC68" s="552" t="s">
        <v>1744</v>
      </c>
      <c r="BD68" s="383" t="s">
        <v>1729</v>
      </c>
      <c r="BE68" s="553" t="s">
        <v>183</v>
      </c>
    </row>
    <row r="69" spans="1:66" ht="20.100000000000001" customHeight="1">
      <c r="A69" s="15"/>
      <c r="B69" s="668"/>
      <c r="C69" s="668"/>
      <c r="D69" s="668"/>
      <c r="E69" s="668"/>
      <c r="F69" s="668"/>
      <c r="G69" s="668"/>
      <c r="H69" s="668"/>
      <c r="I69" s="82" t="str">
        <f>INDEX('MENU OPTIONS'!$F$23:$AL$80,45,START!$C$3)</f>
        <v>-</v>
      </c>
      <c r="J69" s="668"/>
      <c r="K69" s="668"/>
      <c r="L69" s="445">
        <v>0</v>
      </c>
      <c r="M69" s="668"/>
      <c r="N69" s="668"/>
      <c r="O69" s="291"/>
      <c r="P69" s="668"/>
      <c r="Q69" s="668"/>
      <c r="R69" s="687"/>
      <c r="S69" s="542" t="s">
        <v>486</v>
      </c>
      <c r="T69" s="383" t="str">
        <f t="shared" si="71"/>
        <v>EFcar_road: CAR_COL52; EFcar_street: CAR_COL37; Share: CAR_COL22</v>
      </c>
      <c r="U69" s="882">
        <f t="shared" si="72"/>
        <v>166.30130399999999</v>
      </c>
      <c r="V69" s="115">
        <f>INDEX('DEFAULT DATA'!$CL$9:$CZ$41,START!$C$3,14)</f>
        <v>151.41683999999998</v>
      </c>
      <c r="W69" s="115">
        <f>INDEX('DEFAULT DATA'!$BW$9:$CK$41,START!$C$3,14)</f>
        <v>225.83915999999996</v>
      </c>
      <c r="X69" s="401">
        <f>INDEX('DEFAULT DATA'!$BH$9:$BV$41,START!$C$3,14)</f>
        <v>1.0074368991898192E-4</v>
      </c>
      <c r="Y69" s="401">
        <f>INDEX('DEFAULT DATA'!$BH$9:$BV$41,START!$C$3,14)</f>
        <v>1.0074368991898192E-4</v>
      </c>
      <c r="Z69" s="401">
        <f>INDEX('DEFAULT DATA'!$BH$9:$BV$41,START!$C$3,14)</f>
        <v>1.0074368991898192E-4</v>
      </c>
      <c r="AA69" s="401">
        <f>INDEX('DEFAULT DATA'!$BH$9:$BV$41,START!$C$3,14)</f>
        <v>1.0074368991898192E-4</v>
      </c>
      <c r="AB69" s="401">
        <f>INDEX('DEFAULT DATA'!$BH$9:$BV$41,START!$C$3,14)</f>
        <v>1.0074368991898192E-4</v>
      </c>
      <c r="AC69" s="401">
        <f>INDEX('DEFAULT DATA'!$BH$9:$BV$41,START!$C$3,14)</f>
        <v>1.0074368991898192E-4</v>
      </c>
      <c r="AD69" s="401">
        <f>INDEX('DEFAULT DATA'!$BH$9:$BV$41,START!$C$3,14)</f>
        <v>1.0074368991898192E-4</v>
      </c>
      <c r="AE69" s="401">
        <f>INDEX('DEFAULT DATA'!$BH$9:$BV$41,START!$C$3,14)</f>
        <v>1.0074368991898192E-4</v>
      </c>
      <c r="AF69" s="401">
        <f>INDEX('DEFAULT DATA'!$BH$9:$BV$41,START!$C$3,14)</f>
        <v>1.0074368991898192E-4</v>
      </c>
      <c r="AG69" s="401">
        <f>INDEX('DEFAULT DATA'!$BH$9:$BV$41,START!$C$3,14)</f>
        <v>1.0074368991898192E-4</v>
      </c>
      <c r="AH69" s="401">
        <f>INDEX('DEFAULT DATA'!$BH$9:$BV$41,START!$C$3,14)</f>
        <v>1.0074368991898192E-4</v>
      </c>
      <c r="AI69" s="401">
        <f>INDEX('DEFAULT DATA'!$BH$9:$BV$41,START!$C$3,14)</f>
        <v>1.0074368991898192E-4</v>
      </c>
      <c r="AJ69" s="401">
        <f>INDEX('DEFAULT DATA'!$BH$9:$BV$41,START!$C$3,14)</f>
        <v>1.0074368991898192E-4</v>
      </c>
      <c r="AK69" s="401">
        <f>INDEX('DEFAULT DATA'!$BH$9:$BV$41,START!$C$3,14)</f>
        <v>1.0074368991898192E-4</v>
      </c>
      <c r="AL69" s="401">
        <f>INDEX('DEFAULT DATA'!$BH$9:$BV$41,START!$C$3,14)</f>
        <v>1.0074368991898192E-4</v>
      </c>
      <c r="AM69" s="401">
        <f>INDEX('DEFAULT DATA'!$BH$9:$BV$41,START!$C$3,14)</f>
        <v>1.0074368991898192E-4</v>
      </c>
      <c r="AN69" s="401">
        <f>INDEX('DEFAULT DATA'!$BH$9:$BV$41,START!$C$3,14)</f>
        <v>1.0074368991898192E-4</v>
      </c>
      <c r="AO69" s="401">
        <f>INDEX('DEFAULT DATA'!$BH$9:$BV$41,START!$C$3,14)</f>
        <v>1.0074368991898192E-4</v>
      </c>
      <c r="AP69" s="401">
        <f>INDEX('DEFAULT DATA'!$BH$9:$BV$41,START!$C$3,14)</f>
        <v>1.0074368991898192E-4</v>
      </c>
      <c r="AQ69" s="401">
        <f>INDEX('DEFAULT DATA'!$BH$9:$BV$41,START!$C$3,14)</f>
        <v>1.0074368991898192E-4</v>
      </c>
      <c r="AR69" s="401">
        <f>INDEX('DEFAULT DATA'!$BH$9:$BV$41,START!$C$3,14)</f>
        <v>1.0074368991898192E-4</v>
      </c>
      <c r="AS69" s="401">
        <f>INDEX('DEFAULT DATA'!$BH$9:$BV$41,START!$C$3,14)</f>
        <v>1.0074368991898192E-4</v>
      </c>
      <c r="AT69" s="401">
        <f>INDEX('DEFAULT DATA'!$BH$9:$BV$41,START!$C$3,14)</f>
        <v>1.0074368991898192E-4</v>
      </c>
      <c r="AU69" s="401">
        <f>INDEX('DEFAULT DATA'!$BH$9:$BV$41,START!$C$3,14)</f>
        <v>1.0074368991898192E-4</v>
      </c>
      <c r="AV69" s="401">
        <f>INDEX('DEFAULT DATA'!$BH$9:$BV$41,START!$C$3,14)</f>
        <v>1.0074368991898192E-4</v>
      </c>
      <c r="AW69" s="401">
        <f>INDEX('DEFAULT DATA'!$BH$9:$BV$41,START!$C$3,14)</f>
        <v>1.0074368991898192E-4</v>
      </c>
      <c r="AX69" s="401">
        <f>INDEX('DEFAULT DATA'!$BH$9:$BV$41,START!$C$3,14)</f>
        <v>1.0074368991898192E-4</v>
      </c>
      <c r="AY69" s="401">
        <f>INDEX('DEFAULT DATA'!$BH$9:$BV$41,START!$C$3,14)</f>
        <v>1.0074368991898192E-4</v>
      </c>
      <c r="AZ69" s="401">
        <f>INDEX('DEFAULT DATA'!$BH$9:$BV$41,START!$C$3,14)</f>
        <v>1.0074368991898192E-4</v>
      </c>
      <c r="BA69" s="563">
        <f>INDEX('DEFAULT DATA'!$BH$9:$BV$41,START!$C$3,14)</f>
        <v>1.0074368991898192E-4</v>
      </c>
      <c r="BB69" s="16"/>
      <c r="BC69" s="552" t="s">
        <v>1745</v>
      </c>
      <c r="BD69" s="383" t="s">
        <v>1730</v>
      </c>
      <c r="BE69" s="553" t="s">
        <v>184</v>
      </c>
    </row>
    <row r="70" spans="1:66" ht="20.100000000000001" customHeight="1">
      <c r="A70" s="15"/>
      <c r="B70" s="668"/>
      <c r="C70" s="668"/>
      <c r="D70" s="668"/>
      <c r="E70" s="668"/>
      <c r="F70" s="668"/>
      <c r="G70" s="668"/>
      <c r="H70" s="668"/>
      <c r="I70" s="82" t="str">
        <f>INDEX('MENU OPTIONS'!$F$23:$AL$80,46,START!$C$3)</f>
        <v>-</v>
      </c>
      <c r="J70" s="668"/>
      <c r="K70" s="668"/>
      <c r="L70" s="445">
        <v>0</v>
      </c>
      <c r="M70" s="668"/>
      <c r="N70" s="668"/>
      <c r="O70" s="291"/>
      <c r="P70" s="668"/>
      <c r="Q70" s="668"/>
      <c r="R70" s="687"/>
      <c r="S70" s="542" t="s">
        <v>2630</v>
      </c>
      <c r="T70" s="383" t="str">
        <f t="shared" si="71"/>
        <v>EFcar_road: CAR_COL53; EFcar_street: CAR_COL38; Share: CAR_COL23</v>
      </c>
      <c r="U70" s="874">
        <f>0.8*V70+0.2*W70</f>
        <v>0.20000000000000004</v>
      </c>
      <c r="V70" s="432">
        <f>INDEX('DEFAULT DATA'!$CL$9:$CZ$41,START!$C$3,15)</f>
        <v>0.2</v>
      </c>
      <c r="W70" s="432">
        <f>INDEX('DEFAULT DATA'!$BW$9:$CK$41,START!$C$3,15)</f>
        <v>0.2</v>
      </c>
      <c r="X70" s="401">
        <f>INDEX('DEFAULT DATA'!$BH$9:$BV$41,START!$C$3,15)</f>
        <v>4.0268692056187341E-2</v>
      </c>
      <c r="Y70" s="401">
        <f>INDEX('DEFAULT DATA'!$BH$9:$BV$41,START!$C$3,15)</f>
        <v>4.0268692056187341E-2</v>
      </c>
      <c r="Z70" s="401">
        <f>INDEX('DEFAULT DATA'!$BH$9:$BV$41,START!$C$3,15)</f>
        <v>4.0268692056187341E-2</v>
      </c>
      <c r="AA70" s="401">
        <f>INDEX('DEFAULT DATA'!$BH$9:$BV$41,START!$C$3,15)</f>
        <v>4.0268692056187341E-2</v>
      </c>
      <c r="AB70" s="401">
        <f>INDEX('DEFAULT DATA'!$BH$9:$BV$41,START!$C$3,15)</f>
        <v>4.0268692056187341E-2</v>
      </c>
      <c r="AC70" s="401">
        <f>INDEX('DEFAULT DATA'!$BH$9:$BV$41,START!$C$3,15)</f>
        <v>4.0268692056187341E-2</v>
      </c>
      <c r="AD70" s="401">
        <f>INDEX('DEFAULT DATA'!$BH$9:$BV$41,START!$C$3,15)</f>
        <v>4.0268692056187341E-2</v>
      </c>
      <c r="AE70" s="401">
        <f>INDEX('DEFAULT DATA'!$BH$9:$BV$41,START!$C$3,15)</f>
        <v>4.0268692056187341E-2</v>
      </c>
      <c r="AF70" s="401">
        <f>INDEX('DEFAULT DATA'!$BH$9:$BV$41,START!$C$3,15)</f>
        <v>4.0268692056187341E-2</v>
      </c>
      <c r="AG70" s="401">
        <f>INDEX('DEFAULT DATA'!$BH$9:$BV$41,START!$C$3,15)</f>
        <v>4.0268692056187341E-2</v>
      </c>
      <c r="AH70" s="401">
        <f>INDEX('DEFAULT DATA'!$BH$9:$BV$41,START!$C$3,15)</f>
        <v>4.0268692056187341E-2</v>
      </c>
      <c r="AI70" s="401">
        <f>INDEX('DEFAULT DATA'!$BH$9:$BV$41,START!$C$3,15)</f>
        <v>4.0268692056187341E-2</v>
      </c>
      <c r="AJ70" s="401">
        <f>INDEX('DEFAULT DATA'!$BH$9:$BV$41,START!$C$3,15)</f>
        <v>4.0268692056187341E-2</v>
      </c>
      <c r="AK70" s="401">
        <f>INDEX('DEFAULT DATA'!$BH$9:$BV$41,START!$C$3,15)</f>
        <v>4.0268692056187341E-2</v>
      </c>
      <c r="AL70" s="401">
        <f>INDEX('DEFAULT DATA'!$BH$9:$BV$41,START!$C$3,15)</f>
        <v>4.0268692056187341E-2</v>
      </c>
      <c r="AM70" s="401">
        <f>INDEX('DEFAULT DATA'!$BH$9:$BV$41,START!$C$3,15)</f>
        <v>4.0268692056187341E-2</v>
      </c>
      <c r="AN70" s="401">
        <f>INDEX('DEFAULT DATA'!$BH$9:$BV$41,START!$C$3,15)</f>
        <v>4.0268692056187341E-2</v>
      </c>
      <c r="AO70" s="401">
        <f>INDEX('DEFAULT DATA'!$BH$9:$BV$41,START!$C$3,15)</f>
        <v>4.0268692056187341E-2</v>
      </c>
      <c r="AP70" s="401">
        <f>INDEX('DEFAULT DATA'!$BH$9:$BV$41,START!$C$3,15)</f>
        <v>4.0268692056187341E-2</v>
      </c>
      <c r="AQ70" s="401">
        <f>INDEX('DEFAULT DATA'!$BH$9:$BV$41,START!$C$3,15)</f>
        <v>4.0268692056187341E-2</v>
      </c>
      <c r="AR70" s="401">
        <f>INDEX('DEFAULT DATA'!$BH$9:$BV$41,START!$C$3,15)</f>
        <v>4.0268692056187341E-2</v>
      </c>
      <c r="AS70" s="401">
        <f>INDEX('DEFAULT DATA'!$BH$9:$BV$41,START!$C$3,15)</f>
        <v>4.0268692056187341E-2</v>
      </c>
      <c r="AT70" s="401">
        <f>INDEX('DEFAULT DATA'!$BH$9:$BV$41,START!$C$3,15)</f>
        <v>4.0268692056187341E-2</v>
      </c>
      <c r="AU70" s="401">
        <f>INDEX('DEFAULT DATA'!$BH$9:$BV$41,START!$C$3,15)</f>
        <v>4.0268692056187341E-2</v>
      </c>
      <c r="AV70" s="401">
        <f>INDEX('DEFAULT DATA'!$BH$9:$BV$41,START!$C$3,15)</f>
        <v>4.0268692056187341E-2</v>
      </c>
      <c r="AW70" s="401">
        <f>INDEX('DEFAULT DATA'!$BH$9:$BV$41,START!$C$3,15)</f>
        <v>4.0268692056187341E-2</v>
      </c>
      <c r="AX70" s="401">
        <f>INDEX('DEFAULT DATA'!$BH$9:$BV$41,START!$C$3,15)</f>
        <v>4.0268692056187341E-2</v>
      </c>
      <c r="AY70" s="401">
        <f>INDEX('DEFAULT DATA'!$BH$9:$BV$41,START!$C$3,15)</f>
        <v>4.0268692056187341E-2</v>
      </c>
      <c r="AZ70" s="401">
        <f>INDEX('DEFAULT DATA'!$BH$9:$BV$41,START!$C$3,15)</f>
        <v>4.0268692056187341E-2</v>
      </c>
      <c r="BA70" s="563">
        <f>INDEX('DEFAULT DATA'!$BH$9:$BV$41,START!$C$3,15)</f>
        <v>4.0268692056187341E-2</v>
      </c>
      <c r="BB70" s="16"/>
      <c r="BC70" s="552" t="s">
        <v>1746</v>
      </c>
      <c r="BD70" s="383" t="s">
        <v>1731</v>
      </c>
      <c r="BE70" s="553" t="s">
        <v>185</v>
      </c>
    </row>
    <row r="71" spans="1:66" ht="20.100000000000001" customHeight="1">
      <c r="A71" s="15"/>
      <c r="B71" s="668"/>
      <c r="C71" s="668"/>
      <c r="D71" s="668"/>
      <c r="E71" s="668"/>
      <c r="F71" s="668"/>
      <c r="G71" s="668"/>
      <c r="H71" s="668"/>
      <c r="I71" s="82" t="str">
        <f>INDEX('MENU OPTIONS'!$F$23:$AL$80,47,START!$C$3)</f>
        <v>-</v>
      </c>
      <c r="J71" s="668"/>
      <c r="K71" s="668"/>
      <c r="L71" s="445">
        <v>0</v>
      </c>
      <c r="M71" s="668"/>
      <c r="N71" s="668"/>
      <c r="O71" s="291"/>
      <c r="P71" s="668"/>
      <c r="Q71" s="668"/>
      <c r="R71" s="687"/>
      <c r="S71" s="101" t="s">
        <v>2631</v>
      </c>
      <c r="T71" s="383" t="str">
        <f t="shared" ref="T71:T72" si="75">CONCATENATE($BC$56,": ",BC72,"; ",$BD$56,": ",BD72,"; ",$BE$56,": ",BE72)</f>
        <v>EFcar_road: CAR_COL53; EFcar_street: CAR_COL38; Share: CAR_COL13</v>
      </c>
      <c r="U71" s="874">
        <f t="shared" ref="U71:U72" si="76">0.8*V71+0.2*W71</f>
        <v>0.20000000000000004</v>
      </c>
      <c r="V71" s="432">
        <f>INDEX('DEFAULT DATA'!$CL$9:$CZ$41,START!$C$3,15)</f>
        <v>0.2</v>
      </c>
      <c r="W71" s="432">
        <f>INDEX('DEFAULT DATA'!$BW$9:$CK$41,START!$C$3,15)</f>
        <v>0.2</v>
      </c>
      <c r="X71" s="162">
        <f>INDEX('DEFAULT DATA'!$BH$9:$BV$41,START!$C$3,6)*0.5</f>
        <v>0</v>
      </c>
      <c r="Y71" s="162">
        <f>INDEX('DEFAULT DATA'!$BH$9:$BV$41,START!$C$3,6)*0.5</f>
        <v>0</v>
      </c>
      <c r="Z71" s="162">
        <f>INDEX('DEFAULT DATA'!$BH$9:$BV$41,START!$C$3,6)*0.5</f>
        <v>0</v>
      </c>
      <c r="AA71" s="162">
        <f>INDEX('DEFAULT DATA'!$BH$9:$BV$41,START!$C$3,6)*0.5</f>
        <v>0</v>
      </c>
      <c r="AB71" s="162">
        <f>INDEX('DEFAULT DATA'!$BH$9:$BV$41,START!$C$3,6)*0.5</f>
        <v>0</v>
      </c>
      <c r="AC71" s="162">
        <f>INDEX('DEFAULT DATA'!$BH$9:$BV$41,START!$C$3,6)*0.5</f>
        <v>0</v>
      </c>
      <c r="AD71" s="162">
        <f>INDEX('DEFAULT DATA'!$BH$9:$BV$41,START!$C$3,6)*0.5</f>
        <v>0</v>
      </c>
      <c r="AE71" s="162">
        <f>INDEX('DEFAULT DATA'!$BH$9:$BV$41,START!$C$3,6)*0.5</f>
        <v>0</v>
      </c>
      <c r="AF71" s="162">
        <f>INDEX('DEFAULT DATA'!$BH$9:$BV$41,START!$C$3,6)*0.5</f>
        <v>0</v>
      </c>
      <c r="AG71" s="162">
        <f>INDEX('DEFAULT DATA'!$BH$9:$BV$41,START!$C$3,6)*0.5</f>
        <v>0</v>
      </c>
      <c r="AH71" s="162">
        <f>INDEX('DEFAULT DATA'!$BH$9:$BV$41,START!$C$3,6)*0.5</f>
        <v>0</v>
      </c>
      <c r="AI71" s="162">
        <f>INDEX('DEFAULT DATA'!$BH$9:$BV$41,START!$C$3,6)*0.5</f>
        <v>0</v>
      </c>
      <c r="AJ71" s="162">
        <f>INDEX('DEFAULT DATA'!$BH$9:$BV$41,START!$C$3,6)*0.5</f>
        <v>0</v>
      </c>
      <c r="AK71" s="162">
        <f>INDEX('DEFAULT DATA'!$BH$9:$BV$41,START!$C$3,6)*0.5</f>
        <v>0</v>
      </c>
      <c r="AL71" s="162">
        <f>INDEX('DEFAULT DATA'!$BH$9:$BV$41,START!$C$3,6)*0.5</f>
        <v>0</v>
      </c>
      <c r="AM71" s="162">
        <f>INDEX('DEFAULT DATA'!$BH$9:$BV$41,START!$C$3,6)*0.5</f>
        <v>0</v>
      </c>
      <c r="AN71" s="162">
        <f>INDEX('DEFAULT DATA'!$BH$9:$BV$41,START!$C$3,6)*0.5</f>
        <v>0</v>
      </c>
      <c r="AO71" s="162">
        <f>INDEX('DEFAULT DATA'!$BH$9:$BV$41,START!$C$3,6)*0.5</f>
        <v>0</v>
      </c>
      <c r="AP71" s="162">
        <f>INDEX('DEFAULT DATA'!$BH$9:$BV$41,START!$C$3,6)*0.5</f>
        <v>0</v>
      </c>
      <c r="AQ71" s="162">
        <f>INDEX('DEFAULT DATA'!$BH$9:$BV$41,START!$C$3,6)*0.5</f>
        <v>0</v>
      </c>
      <c r="AR71" s="162">
        <f>INDEX('DEFAULT DATA'!$BH$9:$BV$41,START!$C$3,6)*0.5</f>
        <v>0</v>
      </c>
      <c r="AS71" s="162">
        <f>INDEX('DEFAULT DATA'!$BH$9:$BV$41,START!$C$3,6)*0.5</f>
        <v>0</v>
      </c>
      <c r="AT71" s="162">
        <f>INDEX('DEFAULT DATA'!$BH$9:$BV$41,START!$C$3,6)*0.5</f>
        <v>0</v>
      </c>
      <c r="AU71" s="162">
        <f>INDEX('DEFAULT DATA'!$BH$9:$BV$41,START!$C$3,6)*0.5</f>
        <v>0</v>
      </c>
      <c r="AV71" s="162">
        <f>INDEX('DEFAULT DATA'!$BH$9:$BV$41,START!$C$3,6)*0.5</f>
        <v>0</v>
      </c>
      <c r="AW71" s="162">
        <f>INDEX('DEFAULT DATA'!$BH$9:$BV$41,START!$C$3,6)*0.5</f>
        <v>0</v>
      </c>
      <c r="AX71" s="162">
        <f>INDEX('DEFAULT DATA'!$BH$9:$BV$41,START!$C$3,6)*0.5</f>
        <v>0</v>
      </c>
      <c r="AY71" s="162">
        <f>INDEX('DEFAULT DATA'!$BH$9:$BV$41,START!$C$3,6)*0.5</f>
        <v>0</v>
      </c>
      <c r="AZ71" s="162">
        <f>INDEX('DEFAULT DATA'!$BH$9:$BV$41,START!$C$3,6)*0.5</f>
        <v>0</v>
      </c>
      <c r="BA71" s="546">
        <f>INDEX('DEFAULT DATA'!$BH$9:$BV$41,START!$C$3,6)*0.5</f>
        <v>0</v>
      </c>
      <c r="BB71" s="16"/>
      <c r="BC71" s="552" t="s">
        <v>1747</v>
      </c>
      <c r="BD71" s="383" t="s">
        <v>1732</v>
      </c>
      <c r="BE71" s="553" t="s">
        <v>186</v>
      </c>
    </row>
    <row r="72" spans="1:66" ht="20.100000000000001" customHeight="1" thickBot="1">
      <c r="A72" s="15"/>
      <c r="B72" s="668"/>
      <c r="C72" s="668"/>
      <c r="D72" s="668"/>
      <c r="E72" s="668"/>
      <c r="F72" s="668"/>
      <c r="G72" s="668"/>
      <c r="H72" s="668"/>
      <c r="I72" s="82" t="str">
        <f>INDEX('MENU OPTIONS'!$F$23:$AL$80,48,START!$C$3)</f>
        <v>-</v>
      </c>
      <c r="J72" s="668"/>
      <c r="K72" s="668"/>
      <c r="L72" s="445">
        <v>0</v>
      </c>
      <c r="M72" s="668"/>
      <c r="N72" s="668"/>
      <c r="O72" s="291"/>
      <c r="P72" s="668"/>
      <c r="Q72" s="668"/>
      <c r="R72" s="687"/>
      <c r="S72" s="301" t="s">
        <v>2632</v>
      </c>
      <c r="T72" s="448" t="str">
        <f t="shared" si="75"/>
        <v>EFcar_road: CAR_COL53; EFcar_street: CAR_COL38; Share: CAR_COL17</v>
      </c>
      <c r="U72" s="883">
        <f t="shared" si="76"/>
        <v>0.20000000000000004</v>
      </c>
      <c r="V72" s="451">
        <f>INDEX('DEFAULT DATA'!$CL$9:$CZ$41,START!$C$3,15)</f>
        <v>0.2</v>
      </c>
      <c r="W72" s="451">
        <f>INDEX('DEFAULT DATA'!$BW$9:$CK$41,START!$C$3,15)</f>
        <v>0.2</v>
      </c>
      <c r="X72" s="160">
        <f>INDEX('DEFAULT DATA'!$BH$9:$BV$41,START!$C$3,9)*0.5</f>
        <v>0</v>
      </c>
      <c r="Y72" s="160">
        <f>INDEX('DEFAULT DATA'!$BH$9:$BV$41,START!$C$3,9)*0.5</f>
        <v>0</v>
      </c>
      <c r="Z72" s="160">
        <f>INDEX('DEFAULT DATA'!$BH$9:$BV$41,START!$C$3,9)*0.5</f>
        <v>0</v>
      </c>
      <c r="AA72" s="160">
        <f>INDEX('DEFAULT DATA'!$BH$9:$BV$41,START!$C$3,9)*0.5</f>
        <v>0</v>
      </c>
      <c r="AB72" s="160">
        <f>INDEX('DEFAULT DATA'!$BH$9:$BV$41,START!$C$3,9)*0.5</f>
        <v>0</v>
      </c>
      <c r="AC72" s="160">
        <f>INDEX('DEFAULT DATA'!$BH$9:$BV$41,START!$C$3,9)*0.5</f>
        <v>0</v>
      </c>
      <c r="AD72" s="160">
        <f>INDEX('DEFAULT DATA'!$BH$9:$BV$41,START!$C$3,9)*0.5</f>
        <v>0</v>
      </c>
      <c r="AE72" s="160">
        <f>INDEX('DEFAULT DATA'!$BH$9:$BV$41,START!$C$3,9)*0.5</f>
        <v>0</v>
      </c>
      <c r="AF72" s="160">
        <f>INDEX('DEFAULT DATA'!$BH$9:$BV$41,START!$C$3,9)*0.5</f>
        <v>0</v>
      </c>
      <c r="AG72" s="160">
        <f>INDEX('DEFAULT DATA'!$BH$9:$BV$41,START!$C$3,9)*0.5</f>
        <v>0</v>
      </c>
      <c r="AH72" s="160">
        <f>INDEX('DEFAULT DATA'!$BH$9:$BV$41,START!$C$3,9)*0.5</f>
        <v>0</v>
      </c>
      <c r="AI72" s="160">
        <f>INDEX('DEFAULT DATA'!$BH$9:$BV$41,START!$C$3,9)*0.5</f>
        <v>0</v>
      </c>
      <c r="AJ72" s="160">
        <f>INDEX('DEFAULT DATA'!$BH$9:$BV$41,START!$C$3,9)*0.5</f>
        <v>0</v>
      </c>
      <c r="AK72" s="160">
        <f>INDEX('DEFAULT DATA'!$BH$9:$BV$41,START!$C$3,9)*0.5</f>
        <v>0</v>
      </c>
      <c r="AL72" s="160">
        <f>INDEX('DEFAULT DATA'!$BH$9:$BV$41,START!$C$3,9)*0.5</f>
        <v>0</v>
      </c>
      <c r="AM72" s="160">
        <f>INDEX('DEFAULT DATA'!$BH$9:$BV$41,START!$C$3,9)*0.5</f>
        <v>0</v>
      </c>
      <c r="AN72" s="160">
        <f>INDEX('DEFAULT DATA'!$BH$9:$BV$41,START!$C$3,9)*0.5</f>
        <v>0</v>
      </c>
      <c r="AO72" s="160">
        <f>INDEX('DEFAULT DATA'!$BH$9:$BV$41,START!$C$3,9)*0.5</f>
        <v>0</v>
      </c>
      <c r="AP72" s="160">
        <f>INDEX('DEFAULT DATA'!$BH$9:$BV$41,START!$C$3,9)*0.5</f>
        <v>0</v>
      </c>
      <c r="AQ72" s="160">
        <f>INDEX('DEFAULT DATA'!$BH$9:$BV$41,START!$C$3,9)*0.5</f>
        <v>0</v>
      </c>
      <c r="AR72" s="160">
        <f>INDEX('DEFAULT DATA'!$BH$9:$BV$41,START!$C$3,9)*0.5</f>
        <v>0</v>
      </c>
      <c r="AS72" s="160">
        <f>INDEX('DEFAULT DATA'!$BH$9:$BV$41,START!$C$3,9)*0.5</f>
        <v>0</v>
      </c>
      <c r="AT72" s="160">
        <f>INDEX('DEFAULT DATA'!$BH$9:$BV$41,START!$C$3,9)*0.5</f>
        <v>0</v>
      </c>
      <c r="AU72" s="160">
        <f>INDEX('DEFAULT DATA'!$BH$9:$BV$41,START!$C$3,9)*0.5</f>
        <v>0</v>
      </c>
      <c r="AV72" s="160">
        <f>INDEX('DEFAULT DATA'!$BH$9:$BV$41,START!$C$3,9)*0.5</f>
        <v>0</v>
      </c>
      <c r="AW72" s="160">
        <f>INDEX('DEFAULT DATA'!$BH$9:$BV$41,START!$C$3,9)*0.5</f>
        <v>0</v>
      </c>
      <c r="AX72" s="160">
        <f>INDEX('DEFAULT DATA'!$BH$9:$BV$41,START!$C$3,9)*0.5</f>
        <v>0</v>
      </c>
      <c r="AY72" s="160">
        <f>INDEX('DEFAULT DATA'!$BH$9:$BV$41,START!$C$3,9)*0.5</f>
        <v>0</v>
      </c>
      <c r="AZ72" s="160">
        <f>INDEX('DEFAULT DATA'!$BH$9:$BV$41,START!$C$3,9)*0.5</f>
        <v>0</v>
      </c>
      <c r="BA72" s="161">
        <f>INDEX('DEFAULT DATA'!$BH$9:$BV$41,START!$C$3,9)*0.5</f>
        <v>0</v>
      </c>
      <c r="BB72" s="16"/>
      <c r="BC72" s="552" t="s">
        <v>1747</v>
      </c>
      <c r="BD72" s="383" t="s">
        <v>1732</v>
      </c>
      <c r="BE72" s="553" t="s">
        <v>176</v>
      </c>
    </row>
    <row r="73" spans="1:66" ht="20.100000000000001" customHeight="1" thickBot="1">
      <c r="A73" s="15"/>
      <c r="B73" s="668"/>
      <c r="C73" s="668"/>
      <c r="D73" s="668"/>
      <c r="E73" s="668"/>
      <c r="F73" s="668"/>
      <c r="G73" s="668"/>
      <c r="H73" s="668"/>
      <c r="I73" s="82" t="str">
        <f>INDEX('MENU OPTIONS'!$F$23:$AL$80,49,START!$C$3)</f>
        <v>-</v>
      </c>
      <c r="J73" s="668"/>
      <c r="K73" s="668"/>
      <c r="L73" s="445">
        <v>0</v>
      </c>
      <c r="M73" s="668"/>
      <c r="N73" s="668"/>
      <c r="O73" s="291"/>
      <c r="P73" s="668"/>
      <c r="Q73" s="668"/>
      <c r="R73" s="687"/>
      <c r="S73" s="919" t="s">
        <v>2045</v>
      </c>
      <c r="T73" s="890" t="s">
        <v>116</v>
      </c>
      <c r="U73" s="920"/>
      <c r="V73" s="920"/>
      <c r="W73" s="920"/>
      <c r="X73" s="177">
        <f>(X56/100*$U$56)+(X57/100*$U$57)+(X58/100*$U$58)+(X59/100*$U$59)+(X60/100*$U$60)+(X61/100*$U$61)+(X62/100*$U$62)+(X63/100*$U$63)+(X64/100*$U$64)+(X65/100*$U$65)+(X66/100*$U$66)+(X67/100*$U$67)+(X68/100*$U$68)+(X69/100*$U$69)+(X70/100*$U$70*U5)+(X71/100*$U$71*U5)+(X72/100*$U$72*U5)</f>
        <v>173.94064346941383</v>
      </c>
      <c r="Y73" s="177">
        <f t="shared" ref="Y73:BA73" si="77">(Y56/100*$U$56)+(Y57/100*$U$57)+(Y58/100*$U$58)+(Y59/100*$U$59)+(Y60/100*$U$60)+(Y61/100*$U$61)+(Y62/100*$U$62)+(Y63/100*$U$63)+(Y64/100*$U$64)+(Y65/100*$U$65)+(Y66/100*$U$66)+(Y67/100*$U$67)+(Y68/100*$U$68)+(Y69/100*$U$69)+(Y70/100*$U$70*V5)+(Y71/100*$U$71*V5)+(Y72/100*$U$72*V5)</f>
        <v>173.94064346941383</v>
      </c>
      <c r="Z73" s="177">
        <f t="shared" si="77"/>
        <v>173.94064346941383</v>
      </c>
      <c r="AA73" s="177">
        <f t="shared" si="77"/>
        <v>173.96997672926014</v>
      </c>
      <c r="AB73" s="177">
        <f t="shared" si="77"/>
        <v>173.96774740151182</v>
      </c>
      <c r="AC73" s="177">
        <f t="shared" si="77"/>
        <v>173.96568750267235</v>
      </c>
      <c r="AD73" s="177">
        <f t="shared" si="77"/>
        <v>173.96378415614473</v>
      </c>
      <c r="AE73" s="177">
        <f t="shared" si="77"/>
        <v>173.96202546395315</v>
      </c>
      <c r="AF73" s="177">
        <f t="shared" si="77"/>
        <v>173.96040043236817</v>
      </c>
      <c r="AG73" s="177">
        <f t="shared" si="77"/>
        <v>173.95889890318364</v>
      </c>
      <c r="AH73" s="177">
        <f t="shared" si="77"/>
        <v>173.95751149021714</v>
      </c>
      <c r="AI73" s="177">
        <f t="shared" si="77"/>
        <v>173.9562295206361</v>
      </c>
      <c r="AJ73" s="177">
        <f t="shared" si="77"/>
        <v>173.9550449807432</v>
      </c>
      <c r="AK73" s="177">
        <f t="shared" si="77"/>
        <v>173.9541088825068</v>
      </c>
      <c r="AL73" s="177">
        <f t="shared" si="77"/>
        <v>173.95323363065575</v>
      </c>
      <c r="AM73" s="177">
        <f t="shared" si="77"/>
        <v>173.95241527017501</v>
      </c>
      <c r="AN73" s="177">
        <f t="shared" si="77"/>
        <v>173.95165010312553</v>
      </c>
      <c r="AO73" s="177">
        <f t="shared" si="77"/>
        <v>173.95093467193428</v>
      </c>
      <c r="AP73" s="177">
        <f t="shared" si="77"/>
        <v>173.95026574377044</v>
      </c>
      <c r="AQ73" s="177">
        <f t="shared" si="77"/>
        <v>173.94964029593729</v>
      </c>
      <c r="AR73" s="177">
        <f t="shared" si="77"/>
        <v>173.94905550221324</v>
      </c>
      <c r="AS73" s="177">
        <f t="shared" si="77"/>
        <v>173.94850872008129</v>
      </c>
      <c r="AT73" s="177">
        <f t="shared" si="77"/>
        <v>173.9479974787879</v>
      </c>
      <c r="AU73" s="177">
        <f t="shared" si="77"/>
        <v>173.9475194681786</v>
      </c>
      <c r="AV73" s="177">
        <f t="shared" si="77"/>
        <v>173.94707252825887</v>
      </c>
      <c r="AW73" s="177">
        <f t="shared" si="77"/>
        <v>173.94665463943394</v>
      </c>
      <c r="AX73" s="177">
        <f t="shared" si="77"/>
        <v>173.94626391338264</v>
      </c>
      <c r="AY73" s="177">
        <f t="shared" si="77"/>
        <v>173.94589858452466</v>
      </c>
      <c r="AZ73" s="177">
        <f t="shared" si="77"/>
        <v>173.94555700204248</v>
      </c>
      <c r="BA73" s="204">
        <f t="shared" si="77"/>
        <v>173.94523762242162</v>
      </c>
      <c r="BB73" s="16"/>
      <c r="BC73" s="554" t="s">
        <v>1747</v>
      </c>
      <c r="BD73" s="448" t="s">
        <v>1732</v>
      </c>
      <c r="BE73" s="555" t="s">
        <v>180</v>
      </c>
    </row>
    <row r="74" spans="1:66" ht="20.100000000000001" customHeight="1">
      <c r="A74" s="15"/>
      <c r="B74" s="668"/>
      <c r="C74" s="668"/>
      <c r="D74" s="668"/>
      <c r="E74" s="668"/>
      <c r="F74" s="668"/>
      <c r="G74" s="668"/>
      <c r="H74" s="668"/>
      <c r="I74" s="82" t="str">
        <f>INDEX('MENU OPTIONS'!$F$23:$AL$80,50,START!$C$3)</f>
        <v>-</v>
      </c>
      <c r="J74" s="668"/>
      <c r="K74" s="668"/>
      <c r="L74" s="445">
        <v>0</v>
      </c>
      <c r="M74" s="668"/>
      <c r="N74" s="668"/>
      <c r="O74" s="291"/>
      <c r="P74" s="668"/>
      <c r="Q74" s="668"/>
      <c r="R74" s="687"/>
      <c r="S74" s="101" t="s">
        <v>2046</v>
      </c>
      <c r="T74" s="383" t="s">
        <v>116</v>
      </c>
      <c r="U74" s="868"/>
      <c r="V74" s="393"/>
      <c r="W74" s="393"/>
      <c r="X74" s="123">
        <f>(X56/100*$V$56)+(X57/100*$V$57)+(X58/100*$V$58)+(X59/100*$V$59)+(X60/100*$V$60)+(X61/100*$V$61)+(X62/100*$V$62)+(X63/100*$V$63)+(X64/100*$V$64)+(X65/100*$V$65)+(X66/100*$V$66)+(X67/100*$V$67)+(X68/100*$V$68)+(X69/100*$V$69)+(X70/100*$V$70*U5)+(X71/100*$V$71*U5)+(X72/100*$V$72*U5)</f>
        <v>156.7804974998557</v>
      </c>
      <c r="Y74" s="123">
        <f t="shared" ref="Y74:BA74" si="78">(Y56/100*$V$56)+(Y57/100*$V$57)+(Y58/100*$V$58)+(Y59/100*$V$59)+(Y60/100*$V$60)+(Y61/100*$V$61)+(Y62/100*$V$62)+(Y63/100*$V$63)+(Y64/100*$V$64)+(Y65/100*$V$65)+(Y66/100*$V$66)+(Y67/100*$V$67)+(Y68/100*$V$68)+(Y69/100*$V$69)+(Y70/100*$V$70*V5)+(Y71/100*$V$71*V5)+(Y72/100*$V$72*V5)</f>
        <v>156.7804974998557</v>
      </c>
      <c r="Z74" s="123">
        <f t="shared" si="78"/>
        <v>156.7804974998557</v>
      </c>
      <c r="AA74" s="123">
        <f t="shared" si="78"/>
        <v>156.80983075970201</v>
      </c>
      <c r="AB74" s="123">
        <f t="shared" si="78"/>
        <v>156.80760143195369</v>
      </c>
      <c r="AC74" s="123">
        <f t="shared" si="78"/>
        <v>156.80554153311422</v>
      </c>
      <c r="AD74" s="123">
        <f t="shared" si="78"/>
        <v>156.8036381865866</v>
      </c>
      <c r="AE74" s="123">
        <f t="shared" si="78"/>
        <v>156.80187949439502</v>
      </c>
      <c r="AF74" s="123">
        <f t="shared" si="78"/>
        <v>156.80025446281005</v>
      </c>
      <c r="AG74" s="123">
        <f t="shared" si="78"/>
        <v>156.79875293362551</v>
      </c>
      <c r="AH74" s="123">
        <f t="shared" si="78"/>
        <v>156.79736552065901</v>
      </c>
      <c r="AI74" s="123">
        <f t="shared" si="78"/>
        <v>156.79608355107797</v>
      </c>
      <c r="AJ74" s="123">
        <f t="shared" si="78"/>
        <v>156.79489901118507</v>
      </c>
      <c r="AK74" s="123">
        <f t="shared" si="78"/>
        <v>156.79396291294867</v>
      </c>
      <c r="AL74" s="123">
        <f t="shared" si="78"/>
        <v>156.79308766109762</v>
      </c>
      <c r="AM74" s="123">
        <f t="shared" si="78"/>
        <v>156.79226930061688</v>
      </c>
      <c r="AN74" s="123">
        <f t="shared" si="78"/>
        <v>156.7915041335674</v>
      </c>
      <c r="AO74" s="123">
        <f t="shared" si="78"/>
        <v>156.79078870237615</v>
      </c>
      <c r="AP74" s="123">
        <f t="shared" si="78"/>
        <v>156.79011977421231</v>
      </c>
      <c r="AQ74" s="123">
        <f t="shared" si="78"/>
        <v>156.78949432637916</v>
      </c>
      <c r="AR74" s="123">
        <f t="shared" si="78"/>
        <v>156.78890953265511</v>
      </c>
      <c r="AS74" s="123">
        <f t="shared" si="78"/>
        <v>156.78836275052316</v>
      </c>
      <c r="AT74" s="123">
        <f t="shared" si="78"/>
        <v>156.78785150922977</v>
      </c>
      <c r="AU74" s="123">
        <f t="shared" si="78"/>
        <v>156.78737349862047</v>
      </c>
      <c r="AV74" s="123">
        <f t="shared" si="78"/>
        <v>156.78692655870074</v>
      </c>
      <c r="AW74" s="123">
        <f t="shared" si="78"/>
        <v>156.78650866987581</v>
      </c>
      <c r="AX74" s="123">
        <f t="shared" si="78"/>
        <v>156.78611794382451</v>
      </c>
      <c r="AY74" s="123">
        <f t="shared" si="78"/>
        <v>156.78575261496653</v>
      </c>
      <c r="AZ74" s="123">
        <f t="shared" si="78"/>
        <v>156.78541103248435</v>
      </c>
      <c r="BA74" s="159">
        <f t="shared" si="78"/>
        <v>156.78509165286349</v>
      </c>
      <c r="BB74" s="16"/>
      <c r="BC74" s="16"/>
      <c r="BD74" s="16"/>
    </row>
    <row r="75" spans="1:66" ht="20.100000000000001" customHeight="1" thickBot="1">
      <c r="A75" s="15"/>
      <c r="B75" s="668"/>
      <c r="C75" s="668"/>
      <c r="D75" s="668"/>
      <c r="E75" s="668"/>
      <c r="F75" s="668"/>
      <c r="G75" s="668"/>
      <c r="H75" s="668"/>
      <c r="I75" s="82" t="str">
        <f>INDEX('MENU OPTIONS'!$F$23:$AL$80,51,START!$C$3)</f>
        <v>-</v>
      </c>
      <c r="J75" s="668"/>
      <c r="K75" s="668"/>
      <c r="L75" s="445">
        <v>0</v>
      </c>
      <c r="M75" s="668"/>
      <c r="N75" s="668"/>
      <c r="O75" s="291"/>
      <c r="P75" s="668"/>
      <c r="Q75" s="668"/>
      <c r="R75" s="687"/>
      <c r="S75" s="301" t="s">
        <v>2047</v>
      </c>
      <c r="T75" s="448" t="s">
        <v>116</v>
      </c>
      <c r="U75" s="876"/>
      <c r="V75" s="549"/>
      <c r="W75" s="549"/>
      <c r="X75" s="160">
        <f>(X56/100*$W$56)+(X57/100*$W$57)+(X58/100*$W$58)+(X59/100*$W$59)+(X60/100*$W$60)+(X61/100*$W$61)+(X62/100*$W$62)+(X63/100*$W$63)+(X64/100*$W$64)+(X65/100*$W$65)+(X66/100*$W$66)+(X67/100*$W$67)+(X68/100*$W$68)+(X69/100*$W$69)+(X70/100*$W$70*U5)+(X71/100*$W$71*U5)+(X72/100*$W$72*U5)</f>
        <v>242.58122734764615</v>
      </c>
      <c r="Y75" s="160">
        <f t="shared" ref="Y75:BA75" si="79">(Y56/100*$W$56)+(Y57/100*$W$57)+(Y58/100*$W$58)+(Y59/100*$W$59)+(Y60/100*$W$60)+(Y61/100*$W$61)+(Y62/100*$W$62)+(Y63/100*$W$63)+(Y64/100*$W$64)+(Y65/100*$W$65)+(Y66/100*$W$66)+(Y67/100*$W$67)+(Y68/100*$W$68)+(Y69/100*$W$69)+(Y70/100*$W$70*V5)+(Y71/100*$W$71*V5)+(Y72/100*$W$72*V5)</f>
        <v>242.58122734764615</v>
      </c>
      <c r="Z75" s="160">
        <f t="shared" si="79"/>
        <v>242.58122734764615</v>
      </c>
      <c r="AA75" s="160">
        <f t="shared" si="79"/>
        <v>242.61056060749246</v>
      </c>
      <c r="AB75" s="160">
        <f t="shared" si="79"/>
        <v>242.60833127974414</v>
      </c>
      <c r="AC75" s="160">
        <f t="shared" si="79"/>
        <v>242.60627138090467</v>
      </c>
      <c r="AD75" s="160">
        <f t="shared" si="79"/>
        <v>242.60436803437705</v>
      </c>
      <c r="AE75" s="160">
        <f t="shared" si="79"/>
        <v>242.60260934218547</v>
      </c>
      <c r="AF75" s="160">
        <f t="shared" si="79"/>
        <v>242.6009843106005</v>
      </c>
      <c r="AG75" s="160">
        <f t="shared" si="79"/>
        <v>242.59948278141596</v>
      </c>
      <c r="AH75" s="160">
        <f t="shared" si="79"/>
        <v>242.59809536844946</v>
      </c>
      <c r="AI75" s="160">
        <f t="shared" si="79"/>
        <v>242.59681339886842</v>
      </c>
      <c r="AJ75" s="160">
        <f t="shared" si="79"/>
        <v>242.59562885897552</v>
      </c>
      <c r="AK75" s="160">
        <f t="shared" si="79"/>
        <v>242.59469276073912</v>
      </c>
      <c r="AL75" s="160">
        <f t="shared" si="79"/>
        <v>242.59381750888807</v>
      </c>
      <c r="AM75" s="160">
        <f t="shared" si="79"/>
        <v>242.59299914840733</v>
      </c>
      <c r="AN75" s="160">
        <f t="shared" si="79"/>
        <v>242.59223398135785</v>
      </c>
      <c r="AO75" s="160">
        <f t="shared" si="79"/>
        <v>242.5915185501666</v>
      </c>
      <c r="AP75" s="160">
        <f t="shared" si="79"/>
        <v>242.59084962200276</v>
      </c>
      <c r="AQ75" s="160">
        <f t="shared" si="79"/>
        <v>242.59022417416961</v>
      </c>
      <c r="AR75" s="160">
        <f t="shared" si="79"/>
        <v>242.58963938044556</v>
      </c>
      <c r="AS75" s="160">
        <f t="shared" si="79"/>
        <v>242.58909259831361</v>
      </c>
      <c r="AT75" s="160">
        <f t="shared" si="79"/>
        <v>242.58858135702022</v>
      </c>
      <c r="AU75" s="160">
        <f t="shared" si="79"/>
        <v>242.58810334641092</v>
      </c>
      <c r="AV75" s="160">
        <f t="shared" si="79"/>
        <v>242.58765640649119</v>
      </c>
      <c r="AW75" s="160">
        <f t="shared" si="79"/>
        <v>242.58723851766626</v>
      </c>
      <c r="AX75" s="160">
        <f t="shared" si="79"/>
        <v>242.58684779161496</v>
      </c>
      <c r="AY75" s="160">
        <f t="shared" si="79"/>
        <v>242.58648246275698</v>
      </c>
      <c r="AZ75" s="160">
        <f t="shared" si="79"/>
        <v>242.5861408802748</v>
      </c>
      <c r="BA75" s="161">
        <f t="shared" si="79"/>
        <v>242.58582150065394</v>
      </c>
      <c r="BB75" s="16"/>
      <c r="BC75" s="16"/>
      <c r="BD75" s="16"/>
    </row>
    <row r="76" spans="1:66" ht="20.100000000000001" customHeight="1" thickBot="1">
      <c r="A76" s="15"/>
      <c r="B76" s="668"/>
      <c r="C76" s="668"/>
      <c r="D76" s="668"/>
      <c r="E76" s="668"/>
      <c r="F76" s="668"/>
      <c r="G76" s="668"/>
      <c r="H76" s="668"/>
      <c r="I76" s="82" t="str">
        <f>INDEX('MENU OPTIONS'!$F$23:$AL$80,52,START!$C$3)</f>
        <v>-</v>
      </c>
      <c r="J76" s="668"/>
      <c r="K76" s="668"/>
      <c r="L76" s="445">
        <v>0</v>
      </c>
      <c r="M76" s="668"/>
      <c r="N76" s="668"/>
      <c r="O76" s="291"/>
      <c r="P76" s="668"/>
      <c r="Q76" s="668"/>
      <c r="R76" s="687"/>
      <c r="BB76" s="16"/>
      <c r="BC76" s="689"/>
      <c r="BD76" s="694" t="s">
        <v>2541</v>
      </c>
      <c r="BE76" s="695"/>
      <c r="BF76" s="695"/>
      <c r="BG76" s="695"/>
      <c r="BH76" s="695"/>
      <c r="BI76" s="696"/>
      <c r="BJ76" s="696"/>
      <c r="BK76" s="696"/>
      <c r="BL76" s="697"/>
      <c r="BM76" s="690"/>
      <c r="BN76" s="683"/>
    </row>
    <row r="77" spans="1:66" ht="20.100000000000001" customHeight="1">
      <c r="A77" s="15"/>
      <c r="B77" s="668"/>
      <c r="C77" s="668"/>
      <c r="D77" s="668"/>
      <c r="E77" s="668"/>
      <c r="F77" s="668"/>
      <c r="G77" s="668"/>
      <c r="H77" s="668"/>
      <c r="I77" s="82" t="str">
        <f>INDEX('MENU OPTIONS'!$F$23:$AL$80,53,START!$C$3)</f>
        <v>-</v>
      </c>
      <c r="J77" s="668"/>
      <c r="K77" s="668"/>
      <c r="L77" s="445">
        <v>0</v>
      </c>
      <c r="M77" s="668"/>
      <c r="N77" s="668"/>
      <c r="O77" s="291"/>
      <c r="P77" s="668"/>
      <c r="Q77" s="668"/>
      <c r="R77" s="687"/>
      <c r="S77" s="299" t="s">
        <v>2786</v>
      </c>
      <c r="T77" s="138"/>
      <c r="U77" s="762" t="s">
        <v>631</v>
      </c>
      <c r="V77" s="762"/>
      <c r="W77" s="762" t="s">
        <v>589</v>
      </c>
      <c r="X77" s="138"/>
      <c r="Y77" s="138"/>
      <c r="Z77" s="138"/>
      <c r="AA77" s="138"/>
      <c r="AB77" s="138"/>
      <c r="AC77" s="138"/>
      <c r="AD77" s="138"/>
      <c r="AE77" s="138"/>
      <c r="AF77" s="138"/>
      <c r="AG77" s="138"/>
      <c r="AH77" s="138"/>
      <c r="AI77" s="138"/>
      <c r="AJ77" s="138"/>
      <c r="AK77" s="138"/>
      <c r="AL77" s="138"/>
      <c r="AM77" s="138"/>
      <c r="AN77" s="138"/>
      <c r="AO77" s="138"/>
      <c r="AP77" s="138"/>
      <c r="AQ77" s="138"/>
      <c r="AR77" s="138"/>
      <c r="AS77" s="138"/>
      <c r="AT77" s="138"/>
      <c r="AU77" s="138"/>
      <c r="AV77" s="138"/>
      <c r="AW77" s="138"/>
      <c r="AX77" s="138"/>
      <c r="AY77" s="138"/>
      <c r="AZ77" s="138"/>
      <c r="BA77" s="556"/>
      <c r="BB77" s="16"/>
      <c r="BC77" s="691">
        <v>1</v>
      </c>
      <c r="BD77" s="680" t="str">
        <f>CONCATENATE("(F",BM77,"/100*INDEX('DEFAULT DATA'!$GI$9:$IN$41,START!$B$3,",BC77,")/INDEX('DEFAULT DATA'!$DX$9:$DX$41,START!$B$3,1))",BN77)</f>
        <v>(F24/100*INDEX('DEFAULT DATA'!$GI$9:$IN$41,START!$B$3,1)/INDEX('DEFAULT DATA'!$DX$9:$DX$41,START!$B$3,1))+</v>
      </c>
      <c r="BE77" s="693"/>
      <c r="BF77" s="693"/>
      <c r="BG77" s="693"/>
      <c r="BH77" s="693"/>
      <c r="BI77" s="637"/>
      <c r="BJ77" s="637"/>
      <c r="BK77" s="637"/>
      <c r="BL77" s="682"/>
      <c r="BM77" s="692">
        <v>24</v>
      </c>
      <c r="BN77" s="684" t="s">
        <v>2543</v>
      </c>
    </row>
    <row r="78" spans="1:66" ht="20.100000000000001" customHeight="1">
      <c r="A78" s="15"/>
      <c r="B78" s="668"/>
      <c r="C78" s="668"/>
      <c r="D78" s="668"/>
      <c r="E78" s="668"/>
      <c r="F78" s="668"/>
      <c r="G78" s="668"/>
      <c r="H78" s="668"/>
      <c r="I78" s="82" t="str">
        <f>INDEX('MENU OPTIONS'!$F$23:$AL$80,54,START!$C$3)</f>
        <v>-</v>
      </c>
      <c r="J78" s="668"/>
      <c r="K78" s="668"/>
      <c r="L78" s="445">
        <v>0</v>
      </c>
      <c r="M78" s="668"/>
      <c r="N78" s="668"/>
      <c r="O78" s="291"/>
      <c r="P78" s="668"/>
      <c r="Q78" s="668"/>
      <c r="R78" s="687"/>
      <c r="S78" s="101" t="s">
        <v>586</v>
      </c>
      <c r="T78" s="918" t="s">
        <v>2628</v>
      </c>
      <c r="U78" s="445" t="s">
        <v>581</v>
      </c>
      <c r="V78" s="445" t="s">
        <v>582</v>
      </c>
      <c r="W78" s="445" t="s">
        <v>588</v>
      </c>
      <c r="X78" s="115">
        <v>2021</v>
      </c>
      <c r="Y78" s="115">
        <f>X78+1</f>
        <v>2022</v>
      </c>
      <c r="Z78" s="115">
        <f t="shared" ref="Z78:BA78" si="80">Y78+1</f>
        <v>2023</v>
      </c>
      <c r="AA78" s="115">
        <f t="shared" si="80"/>
        <v>2024</v>
      </c>
      <c r="AB78" s="115">
        <f t="shared" si="80"/>
        <v>2025</v>
      </c>
      <c r="AC78" s="115">
        <f t="shared" si="80"/>
        <v>2026</v>
      </c>
      <c r="AD78" s="115">
        <f t="shared" si="80"/>
        <v>2027</v>
      </c>
      <c r="AE78" s="115">
        <f t="shared" si="80"/>
        <v>2028</v>
      </c>
      <c r="AF78" s="115">
        <f t="shared" si="80"/>
        <v>2029</v>
      </c>
      <c r="AG78" s="115">
        <f t="shared" si="80"/>
        <v>2030</v>
      </c>
      <c r="AH78" s="115">
        <f t="shared" si="80"/>
        <v>2031</v>
      </c>
      <c r="AI78" s="115">
        <f t="shared" si="80"/>
        <v>2032</v>
      </c>
      <c r="AJ78" s="115">
        <f t="shared" si="80"/>
        <v>2033</v>
      </c>
      <c r="AK78" s="115">
        <f t="shared" si="80"/>
        <v>2034</v>
      </c>
      <c r="AL78" s="115">
        <f t="shared" si="80"/>
        <v>2035</v>
      </c>
      <c r="AM78" s="115">
        <f t="shared" si="80"/>
        <v>2036</v>
      </c>
      <c r="AN78" s="115">
        <f t="shared" si="80"/>
        <v>2037</v>
      </c>
      <c r="AO78" s="115">
        <f t="shared" si="80"/>
        <v>2038</v>
      </c>
      <c r="AP78" s="115">
        <f t="shared" si="80"/>
        <v>2039</v>
      </c>
      <c r="AQ78" s="115">
        <f t="shared" si="80"/>
        <v>2040</v>
      </c>
      <c r="AR78" s="115">
        <f t="shared" si="80"/>
        <v>2041</v>
      </c>
      <c r="AS78" s="115">
        <f t="shared" si="80"/>
        <v>2042</v>
      </c>
      <c r="AT78" s="115">
        <f t="shared" si="80"/>
        <v>2043</v>
      </c>
      <c r="AU78" s="115">
        <f t="shared" si="80"/>
        <v>2044</v>
      </c>
      <c r="AV78" s="115">
        <f t="shared" si="80"/>
        <v>2045</v>
      </c>
      <c r="AW78" s="115">
        <f t="shared" si="80"/>
        <v>2046</v>
      </c>
      <c r="AX78" s="115">
        <f t="shared" si="80"/>
        <v>2047</v>
      </c>
      <c r="AY78" s="115">
        <f t="shared" si="80"/>
        <v>2048</v>
      </c>
      <c r="AZ78" s="115">
        <f t="shared" si="80"/>
        <v>2049</v>
      </c>
      <c r="BA78" s="323">
        <f t="shared" si="80"/>
        <v>2050</v>
      </c>
      <c r="BB78" s="16"/>
      <c r="BC78" s="677">
        <v>2</v>
      </c>
      <c r="BD78" s="680" t="str">
        <f t="shared" ref="BD78:BD134" si="81">CONCATENATE("(F",BM78,"/100*INDEX('DEFAULT DATA'!$GI$9:$IN$41,START!$B$3,",BC78,")/INDEX('DEFAULT DATA'!$DX$9:$DX$41,START!$B$3,1))",BN78)</f>
        <v>(F25/100*INDEX('DEFAULT DATA'!$GI$9:$IN$41,START!$B$3,2)/INDEX('DEFAULT DATA'!$DX$9:$DX$41,START!$B$3,1))+</v>
      </c>
      <c r="BE78" s="693"/>
      <c r="BF78" s="693"/>
      <c r="BG78" s="693"/>
      <c r="BH78" s="693"/>
      <c r="BI78" s="637"/>
      <c r="BJ78" s="637"/>
      <c r="BK78" s="637"/>
      <c r="BL78" s="682"/>
      <c r="BM78" s="367">
        <v>25</v>
      </c>
      <c r="BN78" s="684" t="s">
        <v>2543</v>
      </c>
    </row>
    <row r="79" spans="1:66" ht="20.100000000000001" customHeight="1">
      <c r="A79" s="15"/>
      <c r="B79" s="668"/>
      <c r="C79" s="668"/>
      <c r="D79" s="668"/>
      <c r="E79" s="668"/>
      <c r="F79" s="668"/>
      <c r="G79" s="668"/>
      <c r="H79" s="668"/>
      <c r="I79" s="82" t="str">
        <f>INDEX('MENU OPTIONS'!$F$23:$AL$80,55,START!$C$3)</f>
        <v>-</v>
      </c>
      <c r="J79" s="668"/>
      <c r="K79" s="668"/>
      <c r="L79" s="445">
        <v>0</v>
      </c>
      <c r="M79" s="668"/>
      <c r="N79" s="668"/>
      <c r="O79" s="291"/>
      <c r="P79" s="668"/>
      <c r="Q79" s="668"/>
      <c r="R79" s="687"/>
      <c r="S79" s="101" t="s">
        <v>60</v>
      </c>
      <c r="T79" s="383" t="s">
        <v>2055</v>
      </c>
      <c r="U79" s="389">
        <f>INDEX('DEFAULT DATA'!$DF$9:$DJ$41,START!$C$3,1)</f>
        <v>0</v>
      </c>
      <c r="V79" s="389">
        <f>100-U79</f>
        <v>100</v>
      </c>
      <c r="W79" s="133">
        <f>G8</f>
        <v>0</v>
      </c>
      <c r="X79" s="123">
        <f t="shared" ref="X79:AG83" si="82">($U79/100*X$74)+($V79/100*X$75)</f>
        <v>242.58122734764615</v>
      </c>
      <c r="Y79" s="123">
        <f t="shared" si="82"/>
        <v>242.58122734764615</v>
      </c>
      <c r="Z79" s="123">
        <f t="shared" si="82"/>
        <v>242.58122734764615</v>
      </c>
      <c r="AA79" s="123">
        <f t="shared" si="82"/>
        <v>242.61056060749246</v>
      </c>
      <c r="AB79" s="123">
        <f t="shared" si="82"/>
        <v>242.60833127974414</v>
      </c>
      <c r="AC79" s="123">
        <f t="shared" si="82"/>
        <v>242.60627138090467</v>
      </c>
      <c r="AD79" s="123">
        <f t="shared" si="82"/>
        <v>242.60436803437705</v>
      </c>
      <c r="AE79" s="123">
        <f t="shared" si="82"/>
        <v>242.60260934218547</v>
      </c>
      <c r="AF79" s="123">
        <f t="shared" si="82"/>
        <v>242.6009843106005</v>
      </c>
      <c r="AG79" s="123">
        <f t="shared" si="82"/>
        <v>242.59948278141596</v>
      </c>
      <c r="AH79" s="123">
        <f t="shared" ref="AH79:AQ83" si="83">($U79/100*AH$74)+($V79/100*AH$75)</f>
        <v>242.59809536844946</v>
      </c>
      <c r="AI79" s="123">
        <f t="shared" si="83"/>
        <v>242.59681339886842</v>
      </c>
      <c r="AJ79" s="123">
        <f t="shared" si="83"/>
        <v>242.59562885897552</v>
      </c>
      <c r="AK79" s="123">
        <f t="shared" si="83"/>
        <v>242.59469276073912</v>
      </c>
      <c r="AL79" s="123">
        <f t="shared" si="83"/>
        <v>242.59381750888807</v>
      </c>
      <c r="AM79" s="123">
        <f t="shared" si="83"/>
        <v>242.59299914840733</v>
      </c>
      <c r="AN79" s="123">
        <f t="shared" si="83"/>
        <v>242.59223398135785</v>
      </c>
      <c r="AO79" s="123">
        <f t="shared" si="83"/>
        <v>242.5915185501666</v>
      </c>
      <c r="AP79" s="123">
        <f t="shared" si="83"/>
        <v>242.59084962200276</v>
      </c>
      <c r="AQ79" s="123">
        <f t="shared" si="83"/>
        <v>242.59022417416961</v>
      </c>
      <c r="AR79" s="123">
        <f t="shared" ref="AR79:BA83" si="84">($U79/100*AR$74)+($V79/100*AR$75)</f>
        <v>242.58963938044556</v>
      </c>
      <c r="AS79" s="123">
        <f t="shared" si="84"/>
        <v>242.58909259831361</v>
      </c>
      <c r="AT79" s="123">
        <f t="shared" si="84"/>
        <v>242.58858135702022</v>
      </c>
      <c r="AU79" s="123">
        <f t="shared" si="84"/>
        <v>242.58810334641092</v>
      </c>
      <c r="AV79" s="123">
        <f t="shared" si="84"/>
        <v>242.58765640649119</v>
      </c>
      <c r="AW79" s="123">
        <f t="shared" si="84"/>
        <v>242.58723851766626</v>
      </c>
      <c r="AX79" s="123">
        <f t="shared" si="84"/>
        <v>242.58684779161496</v>
      </c>
      <c r="AY79" s="123">
        <f t="shared" si="84"/>
        <v>242.58648246275698</v>
      </c>
      <c r="AZ79" s="123">
        <f t="shared" si="84"/>
        <v>242.5861408802748</v>
      </c>
      <c r="BA79" s="159">
        <f t="shared" si="84"/>
        <v>242.58582150065394</v>
      </c>
      <c r="BB79" s="16"/>
      <c r="BC79" s="677">
        <v>3</v>
      </c>
      <c r="BD79" s="680" t="str">
        <f t="shared" si="81"/>
        <v>(F26/100*INDEX('DEFAULT DATA'!$GI$9:$IN$41,START!$B$3,3)/INDEX('DEFAULT DATA'!$DX$9:$DX$41,START!$B$3,1))+</v>
      </c>
      <c r="BE79" s="693"/>
      <c r="BF79" s="693"/>
      <c r="BG79" s="693"/>
      <c r="BH79" s="693"/>
      <c r="BI79" s="637"/>
      <c r="BJ79" s="637"/>
      <c r="BK79" s="637"/>
      <c r="BL79" s="682"/>
      <c r="BM79" s="367">
        <v>26</v>
      </c>
      <c r="BN79" s="684" t="s">
        <v>2543</v>
      </c>
    </row>
    <row r="80" spans="1:66" ht="20.100000000000001" customHeight="1">
      <c r="A80" s="15"/>
      <c r="B80" s="668"/>
      <c r="C80" s="668"/>
      <c r="D80" s="668"/>
      <c r="E80" s="668"/>
      <c r="F80" s="668"/>
      <c r="G80" s="668"/>
      <c r="H80" s="668"/>
      <c r="I80" s="82" t="str">
        <f>INDEX('MENU OPTIONS'!$F$23:$AL$80,56,START!$C$3)</f>
        <v>-</v>
      </c>
      <c r="J80" s="668"/>
      <c r="K80" s="668"/>
      <c r="L80" s="445">
        <v>0</v>
      </c>
      <c r="M80" s="668"/>
      <c r="N80" s="668"/>
      <c r="O80" s="291"/>
      <c r="P80" s="668"/>
      <c r="Q80" s="668"/>
      <c r="R80" s="687"/>
      <c r="S80" s="101" t="s">
        <v>61</v>
      </c>
      <c r="T80" s="383" t="s">
        <v>2055</v>
      </c>
      <c r="U80" s="389">
        <f>INDEX('DEFAULT DATA'!$DF$9:$DJ$41,START!$C$3,2)</f>
        <v>10</v>
      </c>
      <c r="V80" s="389">
        <f t="shared" ref="V80:V83" si="85">100-U80</f>
        <v>90</v>
      </c>
      <c r="W80" s="133">
        <f>G9</f>
        <v>50</v>
      </c>
      <c r="X80" s="123">
        <f t="shared" si="82"/>
        <v>234.00115436286711</v>
      </c>
      <c r="Y80" s="123">
        <f t="shared" si="82"/>
        <v>234.00115436286711</v>
      </c>
      <c r="Z80" s="123">
        <f t="shared" si="82"/>
        <v>234.00115436286711</v>
      </c>
      <c r="AA80" s="123">
        <f t="shared" si="82"/>
        <v>234.03048762271342</v>
      </c>
      <c r="AB80" s="123">
        <f t="shared" si="82"/>
        <v>234.02825829496507</v>
      </c>
      <c r="AC80" s="123">
        <f t="shared" si="82"/>
        <v>234.02619839612564</v>
      </c>
      <c r="AD80" s="123">
        <f t="shared" si="82"/>
        <v>234.02429504959801</v>
      </c>
      <c r="AE80" s="123">
        <f t="shared" si="82"/>
        <v>234.02253635740644</v>
      </c>
      <c r="AF80" s="123">
        <f t="shared" si="82"/>
        <v>234.02091132582146</v>
      </c>
      <c r="AG80" s="123">
        <f t="shared" si="82"/>
        <v>234.01940979663692</v>
      </c>
      <c r="AH80" s="123">
        <f t="shared" si="83"/>
        <v>234.0180223836704</v>
      </c>
      <c r="AI80" s="123">
        <f t="shared" si="83"/>
        <v>234.01674041408938</v>
      </c>
      <c r="AJ80" s="123">
        <f t="shared" si="83"/>
        <v>234.01555587419648</v>
      </c>
      <c r="AK80" s="123">
        <f t="shared" si="83"/>
        <v>234.01461977596009</v>
      </c>
      <c r="AL80" s="123">
        <f t="shared" si="83"/>
        <v>234.01374452410903</v>
      </c>
      <c r="AM80" s="123">
        <f t="shared" si="83"/>
        <v>234.01292616362826</v>
      </c>
      <c r="AN80" s="123">
        <f t="shared" si="83"/>
        <v>234.01216099657881</v>
      </c>
      <c r="AO80" s="123">
        <f t="shared" si="83"/>
        <v>234.01144556538756</v>
      </c>
      <c r="AP80" s="123">
        <f t="shared" si="83"/>
        <v>234.01077663722373</v>
      </c>
      <c r="AQ80" s="123">
        <f t="shared" si="83"/>
        <v>234.01015118939057</v>
      </c>
      <c r="AR80" s="123">
        <f t="shared" si="84"/>
        <v>234.00956639566652</v>
      </c>
      <c r="AS80" s="123">
        <f t="shared" si="84"/>
        <v>234.00901961353455</v>
      </c>
      <c r="AT80" s="123">
        <f t="shared" si="84"/>
        <v>234.00850837224118</v>
      </c>
      <c r="AU80" s="123">
        <f t="shared" si="84"/>
        <v>234.00803036163188</v>
      </c>
      <c r="AV80" s="123">
        <f t="shared" si="84"/>
        <v>234.00758342171216</v>
      </c>
      <c r="AW80" s="123">
        <f t="shared" si="84"/>
        <v>234.0071655328872</v>
      </c>
      <c r="AX80" s="123">
        <f t="shared" si="84"/>
        <v>234.00677480683592</v>
      </c>
      <c r="AY80" s="123">
        <f t="shared" si="84"/>
        <v>234.00640947797794</v>
      </c>
      <c r="AZ80" s="123">
        <f t="shared" si="84"/>
        <v>234.00606789549573</v>
      </c>
      <c r="BA80" s="159">
        <f t="shared" si="84"/>
        <v>234.0057485158749</v>
      </c>
      <c r="BB80" s="16"/>
      <c r="BC80" s="677">
        <v>4</v>
      </c>
      <c r="BD80" s="680" t="str">
        <f t="shared" si="81"/>
        <v>(F27/100*INDEX('DEFAULT DATA'!$GI$9:$IN$41,START!$B$3,4)/INDEX('DEFAULT DATA'!$DX$9:$DX$41,START!$B$3,1))+</v>
      </c>
      <c r="BE80" s="693"/>
      <c r="BF80" s="693"/>
      <c r="BG80" s="693"/>
      <c r="BH80" s="693"/>
      <c r="BI80" s="637"/>
      <c r="BJ80" s="637"/>
      <c r="BK80" s="637"/>
      <c r="BL80" s="682"/>
      <c r="BM80" s="367">
        <v>27</v>
      </c>
      <c r="BN80" s="684" t="s">
        <v>2543</v>
      </c>
    </row>
    <row r="81" spans="1:66" ht="20.100000000000001" customHeight="1">
      <c r="A81" s="15"/>
      <c r="B81" s="668"/>
      <c r="C81" s="668"/>
      <c r="D81" s="668"/>
      <c r="E81" s="668"/>
      <c r="F81" s="668"/>
      <c r="G81" s="668"/>
      <c r="H81" s="668"/>
      <c r="I81" s="82" t="str">
        <f>INDEX('MENU OPTIONS'!$F$23:$AL$80,57,START!$C$3)</f>
        <v>-</v>
      </c>
      <c r="J81" s="668"/>
      <c r="K81" s="668"/>
      <c r="L81" s="445">
        <v>0</v>
      </c>
      <c r="M81" s="668"/>
      <c r="N81" s="668"/>
      <c r="O81" s="291"/>
      <c r="P81" s="668"/>
      <c r="Q81" s="668"/>
      <c r="R81" s="687"/>
      <c r="S81" s="101" t="s">
        <v>62</v>
      </c>
      <c r="T81" s="383" t="s">
        <v>2055</v>
      </c>
      <c r="U81" s="389">
        <f>INDEX('DEFAULT DATA'!$DF$9:$DJ$41,START!$C$3,3)</f>
        <v>20</v>
      </c>
      <c r="V81" s="389">
        <f t="shared" si="85"/>
        <v>80</v>
      </c>
      <c r="W81" s="133">
        <f>G10</f>
        <v>50</v>
      </c>
      <c r="X81" s="123">
        <f t="shared" si="82"/>
        <v>225.42108137808808</v>
      </c>
      <c r="Y81" s="123">
        <f t="shared" si="82"/>
        <v>225.42108137808808</v>
      </c>
      <c r="Z81" s="123">
        <f t="shared" si="82"/>
        <v>225.42108137808808</v>
      </c>
      <c r="AA81" s="123">
        <f t="shared" si="82"/>
        <v>225.45041463793439</v>
      </c>
      <c r="AB81" s="123">
        <f t="shared" si="82"/>
        <v>225.44818531018606</v>
      </c>
      <c r="AC81" s="123">
        <f t="shared" si="82"/>
        <v>225.4461254113466</v>
      </c>
      <c r="AD81" s="123">
        <f t="shared" si="82"/>
        <v>225.44422206481897</v>
      </c>
      <c r="AE81" s="123">
        <f t="shared" si="82"/>
        <v>225.4424633726274</v>
      </c>
      <c r="AF81" s="123">
        <f t="shared" si="82"/>
        <v>225.44083834104242</v>
      </c>
      <c r="AG81" s="123">
        <f t="shared" si="82"/>
        <v>225.43933681185788</v>
      </c>
      <c r="AH81" s="123">
        <f t="shared" si="83"/>
        <v>225.43794939889139</v>
      </c>
      <c r="AI81" s="123">
        <f t="shared" si="83"/>
        <v>225.43666742931035</v>
      </c>
      <c r="AJ81" s="123">
        <f t="shared" si="83"/>
        <v>225.43548288941741</v>
      </c>
      <c r="AK81" s="123">
        <f t="shared" si="83"/>
        <v>225.43454679118105</v>
      </c>
      <c r="AL81" s="123">
        <f t="shared" si="83"/>
        <v>225.43367153932996</v>
      </c>
      <c r="AM81" s="123">
        <f t="shared" si="83"/>
        <v>225.43285317884926</v>
      </c>
      <c r="AN81" s="123">
        <f t="shared" si="83"/>
        <v>225.43208801179978</v>
      </c>
      <c r="AO81" s="123">
        <f t="shared" si="83"/>
        <v>225.43137258060852</v>
      </c>
      <c r="AP81" s="123">
        <f t="shared" si="83"/>
        <v>225.43070365244466</v>
      </c>
      <c r="AQ81" s="123">
        <f t="shared" si="83"/>
        <v>225.43007820461153</v>
      </c>
      <c r="AR81" s="123">
        <f t="shared" si="84"/>
        <v>225.42949341088749</v>
      </c>
      <c r="AS81" s="123">
        <f t="shared" si="84"/>
        <v>225.42894662875554</v>
      </c>
      <c r="AT81" s="123">
        <f t="shared" si="84"/>
        <v>225.42843538746214</v>
      </c>
      <c r="AU81" s="123">
        <f t="shared" si="84"/>
        <v>225.42795737685285</v>
      </c>
      <c r="AV81" s="123">
        <f t="shared" si="84"/>
        <v>225.42751043693312</v>
      </c>
      <c r="AW81" s="123">
        <f t="shared" si="84"/>
        <v>225.42709254810819</v>
      </c>
      <c r="AX81" s="123">
        <f t="shared" si="84"/>
        <v>225.42670182205688</v>
      </c>
      <c r="AY81" s="123">
        <f t="shared" si="84"/>
        <v>225.4263364931989</v>
      </c>
      <c r="AZ81" s="123">
        <f t="shared" si="84"/>
        <v>225.42599491071672</v>
      </c>
      <c r="BA81" s="159">
        <f t="shared" si="84"/>
        <v>225.42567553109586</v>
      </c>
      <c r="BB81" s="16"/>
      <c r="BC81" s="677">
        <v>5</v>
      </c>
      <c r="BD81" s="680" t="str">
        <f t="shared" si="81"/>
        <v>(F28/100*INDEX('DEFAULT DATA'!$GI$9:$IN$41,START!$B$3,5)/INDEX('DEFAULT DATA'!$DX$9:$DX$41,START!$B$3,1))+</v>
      </c>
      <c r="BE81" s="693"/>
      <c r="BF81" s="693"/>
      <c r="BG81" s="693"/>
      <c r="BH81" s="693"/>
      <c r="BI81" s="637"/>
      <c r="BJ81" s="637"/>
      <c r="BK81" s="637"/>
      <c r="BL81" s="682"/>
      <c r="BM81" s="367">
        <v>28</v>
      </c>
      <c r="BN81" s="684" t="s">
        <v>2543</v>
      </c>
    </row>
    <row r="82" spans="1:66" ht="20.100000000000001" customHeight="1">
      <c r="A82" s="15"/>
      <c r="B82" s="668"/>
      <c r="C82" s="668"/>
      <c r="D82" s="668"/>
      <c r="E82" s="668"/>
      <c r="F82" s="668"/>
      <c r="G82" s="668"/>
      <c r="H82" s="668"/>
      <c r="I82" s="82" t="str">
        <f>INDEX('MENU OPTIONS'!$F$23:$AL$80,58,START!$C$3)</f>
        <v>-</v>
      </c>
      <c r="J82" s="668"/>
      <c r="K82" s="668"/>
      <c r="L82" s="445">
        <v>0</v>
      </c>
      <c r="M82" s="668"/>
      <c r="N82" s="668"/>
      <c r="O82" s="291"/>
      <c r="P82" s="668"/>
      <c r="Q82" s="668"/>
      <c r="R82" s="687"/>
      <c r="S82" s="101" t="s">
        <v>63</v>
      </c>
      <c r="T82" s="383" t="s">
        <v>2055</v>
      </c>
      <c r="U82" s="389">
        <f>INDEX('DEFAULT DATA'!$DF$9:$DJ$41,START!$C$3,4)</f>
        <v>70</v>
      </c>
      <c r="V82" s="389">
        <f t="shared" si="85"/>
        <v>30</v>
      </c>
      <c r="W82" s="133">
        <f>G11</f>
        <v>0</v>
      </c>
      <c r="X82" s="123">
        <f t="shared" si="82"/>
        <v>182.52071645419284</v>
      </c>
      <c r="Y82" s="123">
        <f t="shared" si="82"/>
        <v>182.52071645419284</v>
      </c>
      <c r="Z82" s="123">
        <f t="shared" si="82"/>
        <v>182.52071645419284</v>
      </c>
      <c r="AA82" s="123">
        <f t="shared" si="82"/>
        <v>182.55004971403912</v>
      </c>
      <c r="AB82" s="123">
        <f t="shared" si="82"/>
        <v>182.54782038629082</v>
      </c>
      <c r="AC82" s="123">
        <f t="shared" si="82"/>
        <v>182.54576048745133</v>
      </c>
      <c r="AD82" s="123">
        <f t="shared" si="82"/>
        <v>182.54385714092371</v>
      </c>
      <c r="AE82" s="123">
        <f t="shared" si="82"/>
        <v>182.54209844873213</v>
      </c>
      <c r="AF82" s="123">
        <f t="shared" si="82"/>
        <v>182.54047341714715</v>
      </c>
      <c r="AG82" s="123">
        <f t="shared" si="82"/>
        <v>182.53897188796265</v>
      </c>
      <c r="AH82" s="123">
        <f t="shared" si="83"/>
        <v>182.53758447499615</v>
      </c>
      <c r="AI82" s="123">
        <f t="shared" si="83"/>
        <v>182.53630250541511</v>
      </c>
      <c r="AJ82" s="123">
        <f t="shared" si="83"/>
        <v>182.5351179655222</v>
      </c>
      <c r="AK82" s="123">
        <f t="shared" si="83"/>
        <v>182.53418186728578</v>
      </c>
      <c r="AL82" s="123">
        <f t="shared" si="83"/>
        <v>182.53330661543475</v>
      </c>
      <c r="AM82" s="123">
        <f t="shared" si="83"/>
        <v>182.53248825495402</v>
      </c>
      <c r="AN82" s="123">
        <f t="shared" si="83"/>
        <v>182.53172308790454</v>
      </c>
      <c r="AO82" s="123">
        <f t="shared" si="83"/>
        <v>182.53100765671326</v>
      </c>
      <c r="AP82" s="123">
        <f t="shared" si="83"/>
        <v>182.53033872854945</v>
      </c>
      <c r="AQ82" s="123">
        <f t="shared" si="83"/>
        <v>182.52971328071629</v>
      </c>
      <c r="AR82" s="123">
        <f t="shared" si="84"/>
        <v>182.52912848699225</v>
      </c>
      <c r="AS82" s="123">
        <f t="shared" si="84"/>
        <v>182.5285817048603</v>
      </c>
      <c r="AT82" s="123">
        <f t="shared" si="84"/>
        <v>182.52807046356691</v>
      </c>
      <c r="AU82" s="123">
        <f t="shared" si="84"/>
        <v>182.52759245295761</v>
      </c>
      <c r="AV82" s="123">
        <f t="shared" si="84"/>
        <v>182.52714551303785</v>
      </c>
      <c r="AW82" s="123">
        <f t="shared" si="84"/>
        <v>182.52672762421295</v>
      </c>
      <c r="AX82" s="123">
        <f t="shared" si="84"/>
        <v>182.52633689816162</v>
      </c>
      <c r="AY82" s="123">
        <f t="shared" si="84"/>
        <v>182.52597156930364</v>
      </c>
      <c r="AZ82" s="123">
        <f t="shared" si="84"/>
        <v>182.52562998682149</v>
      </c>
      <c r="BA82" s="159">
        <f t="shared" si="84"/>
        <v>182.52531060720059</v>
      </c>
      <c r="BB82" s="16"/>
      <c r="BC82" s="677">
        <v>6</v>
      </c>
      <c r="BD82" s="680" t="str">
        <f t="shared" si="81"/>
        <v>(F29/100*INDEX('DEFAULT DATA'!$GI$9:$IN$41,START!$B$3,6)/INDEX('DEFAULT DATA'!$DX$9:$DX$41,START!$B$3,1))+</v>
      </c>
      <c r="BE82" s="693"/>
      <c r="BF82" s="693"/>
      <c r="BG82" s="693"/>
      <c r="BH82" s="693"/>
      <c r="BI82" s="637"/>
      <c r="BJ82" s="637"/>
      <c r="BK82" s="637"/>
      <c r="BL82" s="682"/>
      <c r="BM82" s="367">
        <v>29</v>
      </c>
      <c r="BN82" s="684" t="s">
        <v>2543</v>
      </c>
    </row>
    <row r="83" spans="1:66" ht="20.100000000000001" customHeight="1" thickBot="1">
      <c r="A83" s="15"/>
      <c r="B83" s="668"/>
      <c r="C83" s="668"/>
      <c r="D83" s="668"/>
      <c r="E83" s="668"/>
      <c r="F83" s="668"/>
      <c r="G83" s="668"/>
      <c r="H83" s="668"/>
      <c r="I83" s="668"/>
      <c r="J83" s="668"/>
      <c r="K83" s="668"/>
      <c r="L83" s="668"/>
      <c r="M83" s="668"/>
      <c r="N83" s="668"/>
      <c r="O83" s="291"/>
      <c r="P83" s="668"/>
      <c r="Q83" s="668"/>
      <c r="R83" s="688"/>
      <c r="S83" s="101" t="s">
        <v>64</v>
      </c>
      <c r="T83" s="383" t="s">
        <v>2055</v>
      </c>
      <c r="U83" s="389">
        <f>INDEX('DEFAULT DATA'!$DF$9:$DJ$41,START!$C$3,5)</f>
        <v>100</v>
      </c>
      <c r="V83" s="389">
        <f t="shared" si="85"/>
        <v>0</v>
      </c>
      <c r="W83" s="133">
        <f>G12</f>
        <v>0</v>
      </c>
      <c r="X83" s="123">
        <f t="shared" si="82"/>
        <v>156.7804974998557</v>
      </c>
      <c r="Y83" s="123">
        <f t="shared" si="82"/>
        <v>156.7804974998557</v>
      </c>
      <c r="Z83" s="123">
        <f t="shared" si="82"/>
        <v>156.7804974998557</v>
      </c>
      <c r="AA83" s="123">
        <f t="shared" si="82"/>
        <v>156.80983075970201</v>
      </c>
      <c r="AB83" s="123">
        <f t="shared" si="82"/>
        <v>156.80760143195369</v>
      </c>
      <c r="AC83" s="123">
        <f t="shared" si="82"/>
        <v>156.80554153311422</v>
      </c>
      <c r="AD83" s="123">
        <f t="shared" si="82"/>
        <v>156.8036381865866</v>
      </c>
      <c r="AE83" s="123">
        <f t="shared" si="82"/>
        <v>156.80187949439502</v>
      </c>
      <c r="AF83" s="123">
        <f t="shared" si="82"/>
        <v>156.80025446281005</v>
      </c>
      <c r="AG83" s="123">
        <f t="shared" si="82"/>
        <v>156.79875293362551</v>
      </c>
      <c r="AH83" s="123">
        <f t="shared" si="83"/>
        <v>156.79736552065901</v>
      </c>
      <c r="AI83" s="123">
        <f t="shared" si="83"/>
        <v>156.79608355107797</v>
      </c>
      <c r="AJ83" s="123">
        <f t="shared" si="83"/>
        <v>156.79489901118507</v>
      </c>
      <c r="AK83" s="123">
        <f t="shared" si="83"/>
        <v>156.79396291294867</v>
      </c>
      <c r="AL83" s="123">
        <f t="shared" si="83"/>
        <v>156.79308766109762</v>
      </c>
      <c r="AM83" s="123">
        <f t="shared" si="83"/>
        <v>156.79226930061688</v>
      </c>
      <c r="AN83" s="123">
        <f t="shared" si="83"/>
        <v>156.7915041335674</v>
      </c>
      <c r="AO83" s="123">
        <f t="shared" si="83"/>
        <v>156.79078870237615</v>
      </c>
      <c r="AP83" s="123">
        <f t="shared" si="83"/>
        <v>156.79011977421231</v>
      </c>
      <c r="AQ83" s="123">
        <f t="shared" si="83"/>
        <v>156.78949432637916</v>
      </c>
      <c r="AR83" s="123">
        <f t="shared" si="84"/>
        <v>156.78890953265511</v>
      </c>
      <c r="AS83" s="123">
        <f t="shared" si="84"/>
        <v>156.78836275052316</v>
      </c>
      <c r="AT83" s="123">
        <f t="shared" si="84"/>
        <v>156.78785150922977</v>
      </c>
      <c r="AU83" s="123">
        <f t="shared" si="84"/>
        <v>156.78737349862047</v>
      </c>
      <c r="AV83" s="123">
        <f t="shared" si="84"/>
        <v>156.78692655870074</v>
      </c>
      <c r="AW83" s="123">
        <f t="shared" si="84"/>
        <v>156.78650866987581</v>
      </c>
      <c r="AX83" s="123">
        <f t="shared" si="84"/>
        <v>156.78611794382451</v>
      </c>
      <c r="AY83" s="123">
        <f t="shared" si="84"/>
        <v>156.78575261496653</v>
      </c>
      <c r="AZ83" s="123">
        <f t="shared" si="84"/>
        <v>156.78541103248435</v>
      </c>
      <c r="BA83" s="159">
        <f t="shared" si="84"/>
        <v>156.78509165286349</v>
      </c>
      <c r="BB83" s="16"/>
      <c r="BC83" s="677">
        <v>7</v>
      </c>
      <c r="BD83" s="680" t="str">
        <f t="shared" si="81"/>
        <v>(F30/100*INDEX('DEFAULT DATA'!$GI$9:$IN$41,START!$B$3,7)/INDEX('DEFAULT DATA'!$DX$9:$DX$41,START!$B$3,1))+</v>
      </c>
      <c r="BE83" s="693"/>
      <c r="BF83" s="693"/>
      <c r="BG83" s="693"/>
      <c r="BH83" s="693"/>
      <c r="BI83" s="637"/>
      <c r="BJ83" s="637"/>
      <c r="BK83" s="637"/>
      <c r="BL83" s="682"/>
      <c r="BM83" s="367">
        <v>30</v>
      </c>
      <c r="BN83" s="684" t="s">
        <v>2543</v>
      </c>
    </row>
    <row r="84" spans="1:66" ht="30" customHeight="1" thickBot="1">
      <c r="A84" s="55"/>
      <c r="B84" s="737" t="s">
        <v>164</v>
      </c>
      <c r="C84" s="737"/>
      <c r="D84" s="737"/>
      <c r="E84" s="737"/>
      <c r="F84" s="42"/>
      <c r="G84" s="43"/>
      <c r="H84" s="43"/>
      <c r="I84" s="69"/>
      <c r="J84" s="69"/>
      <c r="K84" s="69"/>
      <c r="L84" s="69"/>
      <c r="M84" s="69"/>
      <c r="N84" s="69"/>
      <c r="O84" s="70"/>
      <c r="P84" s="13"/>
      <c r="Q84" s="13"/>
      <c r="R84" s="13"/>
      <c r="S84" s="301" t="s">
        <v>634</v>
      </c>
      <c r="T84" s="448" t="s">
        <v>116</v>
      </c>
      <c r="U84" s="139"/>
      <c r="V84" s="139"/>
      <c r="W84" s="155" t="s">
        <v>845</v>
      </c>
      <c r="X84" s="160">
        <f t="shared" ref="X84:BA84" si="86">($W$79/100*X79)+($W$80/100*X80)+($W$81/100*X81)+($W$82/100*X82)+($W$83/100*X83)</f>
        <v>229.71111787047761</v>
      </c>
      <c r="Y84" s="160">
        <f>($W$79/100*Y79)+($W$80/100*Y80)+($W$81/100*Y81)+($W$82/100*Y82)+($W$83/100*Y83)</f>
        <v>229.71111787047761</v>
      </c>
      <c r="Z84" s="160">
        <f t="shared" si="86"/>
        <v>229.71111787047761</v>
      </c>
      <c r="AA84" s="160">
        <f t="shared" si="86"/>
        <v>229.74045113032389</v>
      </c>
      <c r="AB84" s="160">
        <f t="shared" si="86"/>
        <v>229.73822180257557</v>
      </c>
      <c r="AC84" s="160">
        <f t="shared" si="86"/>
        <v>229.7361619037361</v>
      </c>
      <c r="AD84" s="160">
        <f t="shared" si="86"/>
        <v>229.73425855720848</v>
      </c>
      <c r="AE84" s="160">
        <f t="shared" si="86"/>
        <v>229.73249986501691</v>
      </c>
      <c r="AF84" s="160">
        <f t="shared" si="86"/>
        <v>229.73087483343193</v>
      </c>
      <c r="AG84" s="160">
        <f t="shared" si="86"/>
        <v>229.72937330424742</v>
      </c>
      <c r="AH84" s="160">
        <f t="shared" si="86"/>
        <v>229.72798589128089</v>
      </c>
      <c r="AI84" s="160">
        <f t="shared" si="86"/>
        <v>229.72670392169988</v>
      </c>
      <c r="AJ84" s="160">
        <f t="shared" si="86"/>
        <v>229.72551938180695</v>
      </c>
      <c r="AK84" s="160">
        <f t="shared" si="86"/>
        <v>229.72458328357055</v>
      </c>
      <c r="AL84" s="160">
        <f t="shared" si="86"/>
        <v>229.7237080317195</v>
      </c>
      <c r="AM84" s="160">
        <f t="shared" si="86"/>
        <v>229.72288967123876</v>
      </c>
      <c r="AN84" s="160">
        <f t="shared" si="86"/>
        <v>229.72212450418931</v>
      </c>
      <c r="AO84" s="160">
        <f t="shared" si="86"/>
        <v>229.72140907299803</v>
      </c>
      <c r="AP84" s="160">
        <f t="shared" si="86"/>
        <v>229.7207401448342</v>
      </c>
      <c r="AQ84" s="160">
        <f t="shared" si="86"/>
        <v>229.72011469700107</v>
      </c>
      <c r="AR84" s="160">
        <f t="shared" si="86"/>
        <v>229.71952990327702</v>
      </c>
      <c r="AS84" s="160">
        <f t="shared" si="86"/>
        <v>229.71898312114504</v>
      </c>
      <c r="AT84" s="160">
        <f t="shared" si="86"/>
        <v>229.71847187985168</v>
      </c>
      <c r="AU84" s="160">
        <f t="shared" si="86"/>
        <v>229.71799386924238</v>
      </c>
      <c r="AV84" s="160">
        <f t="shared" si="86"/>
        <v>229.71754692932262</v>
      </c>
      <c r="AW84" s="160">
        <f t="shared" si="86"/>
        <v>229.7171290404977</v>
      </c>
      <c r="AX84" s="160">
        <f t="shared" si="86"/>
        <v>229.71673831444639</v>
      </c>
      <c r="AY84" s="160">
        <f t="shared" si="86"/>
        <v>229.71637298558841</v>
      </c>
      <c r="AZ84" s="160">
        <f t="shared" si="86"/>
        <v>229.71603140310623</v>
      </c>
      <c r="BA84" s="161">
        <f t="shared" si="86"/>
        <v>229.71571202348537</v>
      </c>
      <c r="BB84" s="16"/>
      <c r="BC84" s="677">
        <v>8</v>
      </c>
      <c r="BD84" s="680" t="str">
        <f t="shared" si="81"/>
        <v>(F31/100*INDEX('DEFAULT DATA'!$GI$9:$IN$41,START!$B$3,8)/INDEX('DEFAULT DATA'!$DX$9:$DX$41,START!$B$3,1))+</v>
      </c>
      <c r="BE84" s="693"/>
      <c r="BF84" s="693"/>
      <c r="BG84" s="693"/>
      <c r="BH84" s="693"/>
      <c r="BI84" s="637"/>
      <c r="BJ84" s="637"/>
      <c r="BK84" s="637"/>
      <c r="BL84" s="682"/>
      <c r="BM84" s="367">
        <v>31</v>
      </c>
      <c r="BN84" s="684" t="s">
        <v>2543</v>
      </c>
    </row>
    <row r="85" spans="1:66" ht="20.100000000000001" customHeight="1" thickBot="1">
      <c r="A85" s="27"/>
      <c r="B85" s="738">
        <f>INDEX('MENU OPTIONS'!A1:A29,START!C2,1)</f>
        <v>2022</v>
      </c>
      <c r="C85" s="738"/>
      <c r="D85" s="738"/>
      <c r="E85" s="738"/>
      <c r="F85" s="230"/>
      <c r="G85" s="21"/>
      <c r="H85" s="21"/>
      <c r="I85" s="30"/>
      <c r="J85" s="30"/>
      <c r="K85" s="30"/>
      <c r="L85" s="30"/>
      <c r="M85" s="30"/>
      <c r="N85" s="30"/>
      <c r="O85" s="22"/>
      <c r="P85" s="13"/>
      <c r="Q85" s="13"/>
      <c r="R85" s="13"/>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c r="AT85" s="82"/>
      <c r="AU85" s="82"/>
      <c r="AV85" s="82"/>
      <c r="AW85" s="82"/>
      <c r="AX85" s="82"/>
      <c r="AY85" s="82"/>
      <c r="AZ85" s="82"/>
      <c r="BA85" s="82"/>
      <c r="BB85" s="16"/>
      <c r="BC85" s="677">
        <v>9</v>
      </c>
      <c r="BD85" s="680" t="str">
        <f t="shared" si="81"/>
        <v>(F32/100*INDEX('DEFAULT DATA'!$GI$9:$IN$41,START!$B$3,9)/INDEX('DEFAULT DATA'!$DX$9:$DX$41,START!$B$3,1))+</v>
      </c>
      <c r="BE85" s="693"/>
      <c r="BF85" s="693"/>
      <c r="BG85" s="693"/>
      <c r="BH85" s="693"/>
      <c r="BI85" s="637"/>
      <c r="BJ85" s="637"/>
      <c r="BK85" s="637"/>
      <c r="BL85" s="682"/>
      <c r="BM85" s="367">
        <v>32</v>
      </c>
      <c r="BN85" s="684" t="s">
        <v>2543</v>
      </c>
    </row>
    <row r="86" spans="1:66" ht="20.100000000000001" customHeight="1">
      <c r="A86" s="27"/>
      <c r="B86" s="738" t="s">
        <v>35</v>
      </c>
      <c r="C86" s="738"/>
      <c r="D86" s="738"/>
      <c r="E86" s="738"/>
      <c r="F86" s="64" t="s">
        <v>844</v>
      </c>
      <c r="G86" s="21"/>
      <c r="H86" s="21"/>
      <c r="I86" s="64"/>
      <c r="J86" s="64"/>
      <c r="K86" s="64"/>
      <c r="L86" s="64"/>
      <c r="M86" s="64"/>
      <c r="N86" s="64"/>
      <c r="O86" s="23"/>
      <c r="P86" s="5"/>
      <c r="Q86" s="5"/>
      <c r="R86" s="5"/>
      <c r="S86" s="299" t="s">
        <v>619</v>
      </c>
      <c r="T86" s="719" t="s">
        <v>843</v>
      </c>
      <c r="U86" s="720"/>
      <c r="V86" s="762">
        <v>2019</v>
      </c>
      <c r="W86" s="762">
        <v>2020</v>
      </c>
      <c r="X86" s="762">
        <v>2021</v>
      </c>
      <c r="Y86" s="762">
        <f>X86+1</f>
        <v>2022</v>
      </c>
      <c r="Z86" s="762">
        <f t="shared" ref="Z86:BA86" si="87">Y86+1</f>
        <v>2023</v>
      </c>
      <c r="AA86" s="762">
        <f t="shared" si="87"/>
        <v>2024</v>
      </c>
      <c r="AB86" s="762">
        <f t="shared" si="87"/>
        <v>2025</v>
      </c>
      <c r="AC86" s="762">
        <f t="shared" si="87"/>
        <v>2026</v>
      </c>
      <c r="AD86" s="762">
        <f t="shared" si="87"/>
        <v>2027</v>
      </c>
      <c r="AE86" s="762">
        <f t="shared" si="87"/>
        <v>2028</v>
      </c>
      <c r="AF86" s="762">
        <f t="shared" si="87"/>
        <v>2029</v>
      </c>
      <c r="AG86" s="762">
        <f t="shared" si="87"/>
        <v>2030</v>
      </c>
      <c r="AH86" s="762">
        <f t="shared" si="87"/>
        <v>2031</v>
      </c>
      <c r="AI86" s="762">
        <f t="shared" si="87"/>
        <v>2032</v>
      </c>
      <c r="AJ86" s="762">
        <f t="shared" si="87"/>
        <v>2033</v>
      </c>
      <c r="AK86" s="762">
        <f t="shared" si="87"/>
        <v>2034</v>
      </c>
      <c r="AL86" s="762">
        <f t="shared" si="87"/>
        <v>2035</v>
      </c>
      <c r="AM86" s="762">
        <f t="shared" si="87"/>
        <v>2036</v>
      </c>
      <c r="AN86" s="762">
        <f t="shared" si="87"/>
        <v>2037</v>
      </c>
      <c r="AO86" s="762">
        <f t="shared" si="87"/>
        <v>2038</v>
      </c>
      <c r="AP86" s="762">
        <f t="shared" si="87"/>
        <v>2039</v>
      </c>
      <c r="AQ86" s="762">
        <f t="shared" si="87"/>
        <v>2040</v>
      </c>
      <c r="AR86" s="762">
        <f t="shared" si="87"/>
        <v>2041</v>
      </c>
      <c r="AS86" s="762">
        <f t="shared" si="87"/>
        <v>2042</v>
      </c>
      <c r="AT86" s="762">
        <f t="shared" si="87"/>
        <v>2043</v>
      </c>
      <c r="AU86" s="762">
        <f t="shared" si="87"/>
        <v>2044</v>
      </c>
      <c r="AV86" s="762">
        <f t="shared" si="87"/>
        <v>2045</v>
      </c>
      <c r="AW86" s="762">
        <f t="shared" si="87"/>
        <v>2046</v>
      </c>
      <c r="AX86" s="762">
        <f t="shared" si="87"/>
        <v>2047</v>
      </c>
      <c r="AY86" s="762">
        <f t="shared" si="87"/>
        <v>2048</v>
      </c>
      <c r="AZ86" s="762">
        <f t="shared" si="87"/>
        <v>2049</v>
      </c>
      <c r="BA86" s="153">
        <f t="shared" si="87"/>
        <v>2050</v>
      </c>
      <c r="BB86" s="16"/>
      <c r="BC86" s="677">
        <v>10</v>
      </c>
      <c r="BD86" s="680" t="str">
        <f t="shared" si="81"/>
        <v>(F33/100*INDEX('DEFAULT DATA'!$GI$9:$IN$41,START!$B$3,10)/INDEX('DEFAULT DATA'!$DX$9:$DX$41,START!$B$3,1))+</v>
      </c>
      <c r="BE86" s="693"/>
      <c r="BF86" s="693"/>
      <c r="BG86" s="693"/>
      <c r="BH86" s="693"/>
      <c r="BI86" s="637"/>
      <c r="BJ86" s="637"/>
      <c r="BK86" s="637"/>
      <c r="BL86" s="682"/>
      <c r="BM86" s="367">
        <v>33</v>
      </c>
      <c r="BN86" s="684" t="s">
        <v>2543</v>
      </c>
    </row>
    <row r="87" spans="1:66" ht="20.100000000000001" customHeight="1" thickBot="1">
      <c r="A87" s="754"/>
      <c r="B87" s="739" t="s">
        <v>107</v>
      </c>
      <c r="C87" s="739"/>
      <c r="D87" s="739"/>
      <c r="E87" s="739"/>
      <c r="F87" s="231"/>
      <c r="G87" s="78"/>
      <c r="H87" s="78"/>
      <c r="I87" s="79"/>
      <c r="J87" s="79"/>
      <c r="K87" s="79"/>
      <c r="L87" s="79"/>
      <c r="M87" s="79"/>
      <c r="N87" s="79"/>
      <c r="O87" s="80"/>
      <c r="P87" s="14"/>
      <c r="Q87" s="14"/>
      <c r="R87" s="14"/>
      <c r="S87" s="301" t="s">
        <v>635</v>
      </c>
      <c r="T87" s="448" t="s">
        <v>2054</v>
      </c>
      <c r="U87" s="722" t="s">
        <v>846</v>
      </c>
      <c r="V87" s="446"/>
      <c r="W87" s="446"/>
      <c r="X87" s="170">
        <f t="shared" ref="X87:BA87" si="88">X52*X84 /1000</f>
        <v>308.38409862685143</v>
      </c>
      <c r="Y87" s="170">
        <f t="shared" si="88"/>
        <v>314.55178059938839</v>
      </c>
      <c r="Z87" s="170">
        <f t="shared" si="88"/>
        <v>320.8428162113762</v>
      </c>
      <c r="AA87" s="170">
        <f t="shared" si="88"/>
        <v>327.30146238496189</v>
      </c>
      <c r="AB87" s="170">
        <f t="shared" si="88"/>
        <v>333.84425208353889</v>
      </c>
      <c r="AC87" s="170">
        <f t="shared" si="88"/>
        <v>340.51808391495291</v>
      </c>
      <c r="AD87" s="170">
        <f t="shared" si="88"/>
        <v>347.32556800364927</v>
      </c>
      <c r="AE87" s="170">
        <f t="shared" si="88"/>
        <v>354.2693672930734</v>
      </c>
      <c r="AF87" s="170">
        <f t="shared" si="88"/>
        <v>361.35219856658972</v>
      </c>
      <c r="AG87" s="170">
        <f t="shared" si="88"/>
        <v>368.57683349085778</v>
      </c>
      <c r="AH87" s="170">
        <f t="shared" si="88"/>
        <v>373.36607742927862</v>
      </c>
      <c r="AI87" s="170">
        <f t="shared" si="88"/>
        <v>378.21772582524579</v>
      </c>
      <c r="AJ87" s="170">
        <f t="shared" si="88"/>
        <v>383.13258070411223</v>
      </c>
      <c r="AK87" s="170">
        <f t="shared" si="88"/>
        <v>388.11172274773418</v>
      </c>
      <c r="AL87" s="170">
        <f t="shared" si="88"/>
        <v>393.15567721258287</v>
      </c>
      <c r="AM87" s="170">
        <f t="shared" si="88"/>
        <v>398.26528224363159</v>
      </c>
      <c r="AN87" s="170">
        <f t="shared" si="88"/>
        <v>403.44138711512818</v>
      </c>
      <c r="AO87" s="170">
        <f t="shared" si="88"/>
        <v>408.68485236294202</v>
      </c>
      <c r="AP87" s="170">
        <f t="shared" si="88"/>
        <v>413.99654991928406</v>
      </c>
      <c r="AQ87" s="170">
        <f t="shared" si="88"/>
        <v>419.37736324979431</v>
      </c>
      <c r="AR87" s="170">
        <f t="shared" si="88"/>
        <v>424.82818749299651</v>
      </c>
      <c r="AS87" s="170">
        <f t="shared" si="88"/>
        <v>430.34992960212054</v>
      </c>
      <c r="AT87" s="170">
        <f t="shared" si="88"/>
        <v>435.94350848929133</v>
      </c>
      <c r="AU87" s="170">
        <f t="shared" si="88"/>
        <v>441.6098551720907</v>
      </c>
      <c r="AV87" s="170">
        <f t="shared" si="88"/>
        <v>447.34991292249316</v>
      </c>
      <c r="AW87" s="170">
        <f t="shared" si="88"/>
        <v>453.16463741818649</v>
      </c>
      <c r="AX87" s="170">
        <f t="shared" si="88"/>
        <v>459.05499689627783</v>
      </c>
      <c r="AY87" s="170">
        <f t="shared" si="88"/>
        <v>465.02197230940129</v>
      </c>
      <c r="AZ87" s="170">
        <f t="shared" si="88"/>
        <v>471.06655748423185</v>
      </c>
      <c r="BA87" s="325">
        <f t="shared" si="88"/>
        <v>477.18975928241821</v>
      </c>
      <c r="BB87" s="16"/>
      <c r="BC87" s="677">
        <v>11</v>
      </c>
      <c r="BD87" s="680" t="str">
        <f t="shared" si="81"/>
        <v>(F34/100*INDEX('DEFAULT DATA'!$GI$9:$IN$41,START!$B$3,11)/INDEX('DEFAULT DATA'!$DX$9:$DX$41,START!$B$3,1))+</v>
      </c>
      <c r="BE87" s="693"/>
      <c r="BF87" s="693"/>
      <c r="BG87" s="693"/>
      <c r="BH87" s="693"/>
      <c r="BI87" s="637"/>
      <c r="BJ87" s="637"/>
      <c r="BK87" s="637"/>
      <c r="BL87" s="682"/>
      <c r="BM87" s="367">
        <v>34</v>
      </c>
      <c r="BN87" s="684" t="s">
        <v>2543</v>
      </c>
    </row>
    <row r="88" spans="1:66" ht="20.100000000000001" customHeight="1">
      <c r="A88" s="27"/>
      <c r="B88" s="30" t="s">
        <v>36</v>
      </c>
      <c r="C88" s="30"/>
      <c r="D88" s="30"/>
      <c r="E88" s="30"/>
      <c r="F88" s="24">
        <f>INDEX($Y$177:$BA$185,1,START!$C$2)</f>
        <v>22.834876055489818</v>
      </c>
      <c r="G88" s="21"/>
      <c r="H88" s="21"/>
      <c r="I88" s="24"/>
      <c r="J88" s="24"/>
      <c r="K88" s="24"/>
      <c r="L88" s="24"/>
      <c r="M88" s="24"/>
      <c r="N88" s="24"/>
      <c r="O88" s="25"/>
      <c r="P88" s="238"/>
      <c r="Q88" s="238"/>
      <c r="R88" s="238"/>
      <c r="BB88" s="16"/>
      <c r="BC88" s="677">
        <v>12</v>
      </c>
      <c r="BD88" s="680" t="str">
        <f t="shared" si="81"/>
        <v>(F35/100*INDEX('DEFAULT DATA'!$GI$9:$IN$41,START!$B$3,12)/INDEX('DEFAULT DATA'!$DX$9:$DX$41,START!$B$3,1))+</v>
      </c>
      <c r="BE88" s="693"/>
      <c r="BF88" s="693"/>
      <c r="BG88" s="693"/>
      <c r="BH88" s="693"/>
      <c r="BI88" s="637"/>
      <c r="BJ88" s="637"/>
      <c r="BK88" s="637"/>
      <c r="BL88" s="682"/>
      <c r="BM88" s="367">
        <v>35</v>
      </c>
      <c r="BN88" s="684" t="s">
        <v>2543</v>
      </c>
    </row>
    <row r="89" spans="1:66" ht="20.100000000000001" customHeight="1">
      <c r="A89" s="27"/>
      <c r="B89" s="30" t="s">
        <v>37</v>
      </c>
      <c r="C89" s="30"/>
      <c r="D89" s="30"/>
      <c r="E89" s="30"/>
      <c r="F89" s="24">
        <f>INDEX($Y$177:$BA$185,2,START!$C$2)</f>
        <v>314.55178059938839</v>
      </c>
      <c r="G89" s="21"/>
      <c r="H89" s="21"/>
      <c r="I89" s="24"/>
      <c r="J89" s="24"/>
      <c r="K89" s="24"/>
      <c r="L89" s="24"/>
      <c r="M89" s="24"/>
      <c r="N89" s="24"/>
      <c r="O89" s="25"/>
      <c r="P89" s="238"/>
      <c r="Q89" s="238"/>
      <c r="R89" s="238"/>
      <c r="BB89" s="16"/>
      <c r="BC89" s="677">
        <v>13</v>
      </c>
      <c r="BD89" s="680" t="str">
        <f t="shared" si="81"/>
        <v>(F36/100*INDEX('DEFAULT DATA'!$GI$9:$IN$41,START!$B$3,13)/INDEX('DEFAULT DATA'!$DX$9:$DX$41,START!$B$3,1))+</v>
      </c>
      <c r="BE89" s="693"/>
      <c r="BF89" s="693"/>
      <c r="BG89" s="693"/>
      <c r="BH89" s="693"/>
      <c r="BI89" s="637"/>
      <c r="BJ89" s="637"/>
      <c r="BK89" s="637"/>
      <c r="BL89" s="682"/>
      <c r="BM89" s="367">
        <v>36</v>
      </c>
      <c r="BN89" s="684" t="s">
        <v>2543</v>
      </c>
    </row>
    <row r="90" spans="1:66" ht="20.100000000000001" customHeight="1" thickBot="1">
      <c r="A90" s="27"/>
      <c r="B90" s="30" t="s">
        <v>38</v>
      </c>
      <c r="C90" s="30"/>
      <c r="D90" s="30"/>
      <c r="E90" s="30"/>
      <c r="F90" s="24">
        <f>INDEX($Y$177:$BA$185,3,START!$C$2)</f>
        <v>5.0843462960302963</v>
      </c>
      <c r="G90" s="21"/>
      <c r="H90" s="21"/>
      <c r="I90" s="24"/>
      <c r="J90" s="24"/>
      <c r="K90" s="24"/>
      <c r="L90" s="24"/>
      <c r="M90" s="24"/>
      <c r="N90" s="24"/>
      <c r="O90" s="25"/>
      <c r="P90" s="238"/>
      <c r="Q90" s="238"/>
      <c r="R90" s="238"/>
      <c r="S90" s="237" t="s">
        <v>638</v>
      </c>
      <c r="BB90" s="16"/>
      <c r="BC90" s="677">
        <v>14</v>
      </c>
      <c r="BD90" s="680" t="str">
        <f t="shared" si="81"/>
        <v>(F37/100*INDEX('DEFAULT DATA'!$GI$9:$IN$41,START!$B$3,14)/INDEX('DEFAULT DATA'!$DX$9:$DX$41,START!$B$3,1))+</v>
      </c>
      <c r="BE90" s="693"/>
      <c r="BF90" s="693"/>
      <c r="BG90" s="693"/>
      <c r="BH90" s="693"/>
      <c r="BI90" s="637"/>
      <c r="BJ90" s="637"/>
      <c r="BK90" s="637"/>
      <c r="BL90" s="682"/>
      <c r="BM90" s="367">
        <v>37</v>
      </c>
      <c r="BN90" s="684" t="s">
        <v>2543</v>
      </c>
    </row>
    <row r="91" spans="1:66" ht="20.100000000000001" customHeight="1">
      <c r="A91" s="27"/>
      <c r="B91" s="30" t="s">
        <v>39</v>
      </c>
      <c r="C91" s="30"/>
      <c r="D91" s="30"/>
      <c r="E91" s="30"/>
      <c r="F91" s="24">
        <f>INDEX($Y$177:$BA$185,4,START!$C$2)</f>
        <v>0.45024085594741248</v>
      </c>
      <c r="G91" s="21"/>
      <c r="H91" s="21"/>
      <c r="I91" s="24"/>
      <c r="J91" s="24"/>
      <c r="K91" s="24"/>
      <c r="L91" s="24"/>
      <c r="M91" s="24"/>
      <c r="N91" s="24"/>
      <c r="O91" s="25"/>
      <c r="P91" s="238"/>
      <c r="Q91" s="238"/>
      <c r="R91" s="238"/>
      <c r="S91" s="209" t="s">
        <v>850</v>
      </c>
      <c r="T91" s="717" t="s">
        <v>2579</v>
      </c>
      <c r="U91" s="718"/>
      <c r="V91" s="714">
        <v>2019</v>
      </c>
      <c r="W91" s="714">
        <v>2020</v>
      </c>
      <c r="X91" s="714">
        <v>2021</v>
      </c>
      <c r="Y91" s="714">
        <f>X91+1</f>
        <v>2022</v>
      </c>
      <c r="Z91" s="714">
        <f t="shared" ref="Z91:BA91" si="89">Y91+1</f>
        <v>2023</v>
      </c>
      <c r="AA91" s="714">
        <f t="shared" si="89"/>
        <v>2024</v>
      </c>
      <c r="AB91" s="714">
        <f t="shared" si="89"/>
        <v>2025</v>
      </c>
      <c r="AC91" s="714">
        <f t="shared" si="89"/>
        <v>2026</v>
      </c>
      <c r="AD91" s="714">
        <f t="shared" si="89"/>
        <v>2027</v>
      </c>
      <c r="AE91" s="714">
        <f t="shared" si="89"/>
        <v>2028</v>
      </c>
      <c r="AF91" s="714">
        <f t="shared" si="89"/>
        <v>2029</v>
      </c>
      <c r="AG91" s="714">
        <f t="shared" si="89"/>
        <v>2030</v>
      </c>
      <c r="AH91" s="714">
        <f t="shared" si="89"/>
        <v>2031</v>
      </c>
      <c r="AI91" s="714">
        <f t="shared" si="89"/>
        <v>2032</v>
      </c>
      <c r="AJ91" s="714">
        <f t="shared" si="89"/>
        <v>2033</v>
      </c>
      <c r="AK91" s="714">
        <f t="shared" si="89"/>
        <v>2034</v>
      </c>
      <c r="AL91" s="714">
        <f t="shared" si="89"/>
        <v>2035</v>
      </c>
      <c r="AM91" s="714">
        <f t="shared" si="89"/>
        <v>2036</v>
      </c>
      <c r="AN91" s="714">
        <f t="shared" si="89"/>
        <v>2037</v>
      </c>
      <c r="AO91" s="714">
        <f t="shared" si="89"/>
        <v>2038</v>
      </c>
      <c r="AP91" s="714">
        <f t="shared" si="89"/>
        <v>2039</v>
      </c>
      <c r="AQ91" s="714">
        <f t="shared" si="89"/>
        <v>2040</v>
      </c>
      <c r="AR91" s="714">
        <f t="shared" si="89"/>
        <v>2041</v>
      </c>
      <c r="AS91" s="714">
        <f t="shared" si="89"/>
        <v>2042</v>
      </c>
      <c r="AT91" s="714">
        <f t="shared" si="89"/>
        <v>2043</v>
      </c>
      <c r="AU91" s="714">
        <f t="shared" si="89"/>
        <v>2044</v>
      </c>
      <c r="AV91" s="714">
        <f t="shared" si="89"/>
        <v>2045</v>
      </c>
      <c r="AW91" s="714">
        <f t="shared" si="89"/>
        <v>2046</v>
      </c>
      <c r="AX91" s="714">
        <f t="shared" si="89"/>
        <v>2047</v>
      </c>
      <c r="AY91" s="714">
        <f t="shared" si="89"/>
        <v>2048</v>
      </c>
      <c r="AZ91" s="714">
        <f t="shared" si="89"/>
        <v>2049</v>
      </c>
      <c r="BA91" s="153">
        <f t="shared" si="89"/>
        <v>2050</v>
      </c>
      <c r="BC91" s="677">
        <v>15</v>
      </c>
      <c r="BD91" s="680" t="str">
        <f t="shared" si="81"/>
        <v>(F38/100*INDEX('DEFAULT DATA'!$GI$9:$IN$41,START!$B$3,15)/INDEX('DEFAULT DATA'!$DX$9:$DX$41,START!$B$3,1))+</v>
      </c>
      <c r="BE91" s="693"/>
      <c r="BF91" s="693"/>
      <c r="BG91" s="693"/>
      <c r="BH91" s="693"/>
      <c r="BI91" s="637"/>
      <c r="BJ91" s="637"/>
      <c r="BK91" s="637"/>
      <c r="BL91" s="682"/>
      <c r="BM91" s="367">
        <v>38</v>
      </c>
      <c r="BN91" s="684" t="s">
        <v>2543</v>
      </c>
    </row>
    <row r="92" spans="1:66" ht="20.100000000000001" customHeight="1" thickBot="1">
      <c r="A92" s="27"/>
      <c r="B92" s="30" t="s">
        <v>55</v>
      </c>
      <c r="C92" s="30"/>
      <c r="D92" s="30"/>
      <c r="E92" s="30"/>
      <c r="F92" s="24">
        <f>INDEX($Y$177:$BA$185,5,START!$C$2)</f>
        <v>6.2246745528425063</v>
      </c>
      <c r="G92" s="21"/>
      <c r="H92" s="21"/>
      <c r="I92" s="24"/>
      <c r="J92" s="24"/>
      <c r="K92" s="24"/>
      <c r="L92" s="24"/>
      <c r="M92" s="24"/>
      <c r="N92" s="24"/>
      <c r="O92" s="25"/>
      <c r="P92" s="238"/>
      <c r="Q92" s="238"/>
      <c r="R92" s="238"/>
      <c r="S92" s="565"/>
      <c r="T92" s="496" t="s">
        <v>2580</v>
      </c>
      <c r="U92" s="343" t="s">
        <v>2577</v>
      </c>
      <c r="V92" s="460"/>
      <c r="W92" s="203"/>
      <c r="X92" s="197">
        <f>(E25/100*INDEX('DEFAULT DATA'!$DX$9:$ED$41,START!$C$3,1)/INDEX('DEFAULT DATA'!$DL$9:$DL$41,START!$C$3,1))+(E26/100*INDEX('DEFAULT DATA'!$DX$9:$ED$41,START!$C$3,2)/INDEX('DEFAULT DATA'!$DL$9:$DL$41,START!$C$3,1))+(E27/100*INDEX('DEFAULT DATA'!$DX$9:$ED$41,START!$C$3,3)/INDEX('DEFAULT DATA'!$DL$9:$DL$41,START!$C$3,1))+(E28/100*INDEX('DEFAULT DATA'!$DX$9:$ED$41,START!$C$3,4)/INDEX('DEFAULT DATA'!$DL$9:$DL$41,START!$C$3,1))+(E29/100*INDEX('DEFAULT DATA'!$DX$9:$ED$41,START!$C$3,5)/INDEX('DEFAULT DATA'!$DL$9:$DL$41,START!$C$3,1))+(E30/100*INDEX('DEFAULT DATA'!$DX$9:$ED$41,START!$C$3,6)/INDEX('DEFAULT DATA'!$DL$9:$DL$41,START!$C$3,1))+(E31/100*INDEX('DEFAULT DATA'!$DX$9:$ED$41,START!$C$3,7)/INDEX('DEFAULT DATA'!$DL$9:$DL$41,START!$C$3,1))</f>
        <v>241.80121049111105</v>
      </c>
      <c r="Y92" s="197">
        <f>X92*(100+INDEX('DEFAULT DATA'!$DN$9:$DP$41,START!$C$3,1))/100</f>
        <v>245.4282286484777</v>
      </c>
      <c r="Z92" s="197">
        <f>Y92*(100+INDEX('DEFAULT DATA'!$DN$9:$DP$41,START!$C$3,1))/100</f>
        <v>249.10965207820485</v>
      </c>
      <c r="AA92" s="197">
        <f>Z92*(100+INDEX('DEFAULT DATA'!$DN$9:$DP$41,START!$C$3,1))/100</f>
        <v>252.8462968593779</v>
      </c>
      <c r="AB92" s="197">
        <f>AA92*(100+INDEX('DEFAULT DATA'!$DN$9:$DP$41,START!$C$3,1))/100</f>
        <v>256.63899131226856</v>
      </c>
      <c r="AC92" s="197">
        <f>AB92*(100+INDEX('DEFAULT DATA'!$DN$9:$DP$41,START!$C$3,1))/100</f>
        <v>260.48857618195257</v>
      </c>
      <c r="AD92" s="197">
        <f>AC92*(100+INDEX('DEFAULT DATA'!$DN$9:$DP$41,START!$C$3,1))/100</f>
        <v>264.39590482468185</v>
      </c>
      <c r="AE92" s="197">
        <f>AD92*(100+INDEX('DEFAULT DATA'!$DN$9:$DP$41,START!$C$3,1))/100</f>
        <v>268.3618433970521</v>
      </c>
      <c r="AF92" s="197">
        <f>AE92*(100+INDEX('DEFAULT DATA'!$DN$9:$DP$41,START!$C$3,1))/100</f>
        <v>272.3872710480079</v>
      </c>
      <c r="AG92" s="197">
        <f>AF92*(100+INDEX('DEFAULT DATA'!$DN$9:$DP$41,START!$C$3,1))/100</f>
        <v>276.47308011372803</v>
      </c>
      <c r="AH92" s="197">
        <f>AG92*(100+INDEX('DEFAULT DATA'!$DN$9:$DP$41,START!$C$3,1))/100</f>
        <v>280.62017631543398</v>
      </c>
      <c r="AI92" s="197">
        <f>AH92*(100+INDEX('DEFAULT DATA'!$DN$9:$DP$41,START!$C$3,1))/100</f>
        <v>284.82947896016549</v>
      </c>
      <c r="AJ92" s="197">
        <f>AI92*(100+INDEX('DEFAULT DATA'!$DN$9:$DP$41,START!$C$3,1))/100</f>
        <v>289.101921144568</v>
      </c>
      <c r="AK92" s="197">
        <f>AJ92*(100+INDEX('DEFAULT DATA'!$DN$9:$DP$41,START!$C$3,1))/100</f>
        <v>293.43844996173652</v>
      </c>
      <c r="AL92" s="197">
        <f>AK92*(100+INDEX('DEFAULT DATA'!$DN$9:$DP$41,START!$C$3,1))/100</f>
        <v>297.84002671116258</v>
      </c>
      <c r="AM92" s="197">
        <f>AL92*(100+INDEX('DEFAULT DATA'!$DN$9:$DP$41,START!$C$3,1))/100</f>
        <v>302.30762711183002</v>
      </c>
      <c r="AN92" s="197">
        <f>AM92*(100+INDEX('DEFAULT DATA'!$DN$9:$DP$41,START!$C$3,1))/100</f>
        <v>306.84224151850748</v>
      </c>
      <c r="AO92" s="197">
        <f>AN92*(100+INDEX('DEFAULT DATA'!$DN$9:$DP$41,START!$C$3,1))/100</f>
        <v>311.44487514128508</v>
      </c>
      <c r="AP92" s="197">
        <f>AO92*(100+INDEX('DEFAULT DATA'!$DN$9:$DP$41,START!$C$3,1))/100</f>
        <v>316.11654826840436</v>
      </c>
      <c r="AQ92" s="197">
        <f>AP92*(100+INDEX('DEFAULT DATA'!$DN$9:$DP$41,START!$C$3,1))/100</f>
        <v>320.85829649243044</v>
      </c>
      <c r="AR92" s="197">
        <f>AQ92*(100+INDEX('DEFAULT DATA'!$DN$9:$DP$41,START!$C$3,1))/100</f>
        <v>325.67117093981693</v>
      </c>
      <c r="AS92" s="197">
        <f>AR92*(100+INDEX('DEFAULT DATA'!$DN$9:$DP$41,START!$C$3,1))/100</f>
        <v>330.55623850391419</v>
      </c>
      <c r="AT92" s="197">
        <f>AS92*(100+INDEX('DEFAULT DATA'!$DN$9:$DP$41,START!$C$3,1))/100</f>
        <v>335.51458208147289</v>
      </c>
      <c r="AU92" s="197">
        <f>AT92*(100+INDEX('DEFAULT DATA'!$DN$9:$DP$41,START!$C$3,1))/100</f>
        <v>340.54730081269497</v>
      </c>
      <c r="AV92" s="197">
        <f>AU92*(100+INDEX('DEFAULT DATA'!$DN$9:$DP$41,START!$C$3,1))/100</f>
        <v>345.65551032488543</v>
      </c>
      <c r="AW92" s="197">
        <f>AV92*(100+INDEX('DEFAULT DATA'!$DN$9:$DP$41,START!$C$3,1))/100</f>
        <v>350.8403429797587</v>
      </c>
      <c r="AX92" s="197">
        <f>AW92*(100+INDEX('DEFAULT DATA'!$DN$9:$DP$41,START!$C$3,1))/100</f>
        <v>356.10294812445505</v>
      </c>
      <c r="AY92" s="197">
        <f>AX92*(100+INDEX('DEFAULT DATA'!$DN$9:$DP$41,START!$C$3,1))/100</f>
        <v>361.44449234632185</v>
      </c>
      <c r="AZ92" s="197">
        <f>AY92*(100+INDEX('DEFAULT DATA'!$DN$9:$DP$41,START!$C$3,1))/100</f>
        <v>366.86615973151669</v>
      </c>
      <c r="BA92" s="566">
        <f>AZ92*(100+INDEX('DEFAULT DATA'!$DN$9:$DP$41,START!$C$3,1))/100</f>
        <v>372.36915212748943</v>
      </c>
      <c r="BC92" s="677">
        <v>16</v>
      </c>
      <c r="BD92" s="680" t="str">
        <f t="shared" si="81"/>
        <v>(F39/100*INDEX('DEFAULT DATA'!$GI$9:$IN$41,START!$B$3,16)/INDEX('DEFAULT DATA'!$DX$9:$DX$41,START!$B$3,1))+</v>
      </c>
      <c r="BE92" s="693"/>
      <c r="BF92" s="693"/>
      <c r="BG92" s="693"/>
      <c r="BH92" s="693"/>
      <c r="BI92" s="637"/>
      <c r="BJ92" s="637"/>
      <c r="BK92" s="637"/>
      <c r="BL92" s="682"/>
      <c r="BM92" s="367">
        <v>39</v>
      </c>
      <c r="BN92" s="684" t="s">
        <v>2543</v>
      </c>
    </row>
    <row r="93" spans="1:66" ht="20.100000000000001" customHeight="1" thickBot="1">
      <c r="A93" s="27"/>
      <c r="B93" s="30" t="s">
        <v>56</v>
      </c>
      <c r="C93" s="30"/>
      <c r="D93" s="30"/>
      <c r="E93" s="30"/>
      <c r="F93" s="24">
        <f>INDEX($Y$177:$BA$185,6,START!$C$2)</f>
        <v>0</v>
      </c>
      <c r="G93" s="21"/>
      <c r="H93" s="21"/>
      <c r="I93" s="24"/>
      <c r="J93" s="24"/>
      <c r="K93" s="24"/>
      <c r="L93" s="24"/>
      <c r="M93" s="24"/>
      <c r="N93" s="24"/>
      <c r="O93" s="25"/>
      <c r="P93" s="238"/>
      <c r="Q93" s="238"/>
      <c r="R93" s="238"/>
      <c r="S93" s="708"/>
      <c r="T93" s="708"/>
      <c r="U93" s="708"/>
      <c r="V93" s="708"/>
      <c r="W93" s="708"/>
      <c r="X93" s="708"/>
      <c r="Y93" s="708"/>
      <c r="Z93" s="708"/>
      <c r="AA93" s="708"/>
      <c r="AB93" s="708"/>
      <c r="AC93" s="708"/>
      <c r="AD93" s="708"/>
      <c r="AE93" s="708"/>
      <c r="AF93" s="708"/>
      <c r="AG93" s="708"/>
      <c r="AH93" s="708"/>
      <c r="AI93" s="708"/>
      <c r="AJ93" s="708"/>
      <c r="AK93" s="708"/>
      <c r="AL93" s="708"/>
      <c r="AM93" s="708"/>
      <c r="AN93" s="708"/>
      <c r="AO93" s="708"/>
      <c r="AP93" s="708"/>
      <c r="AQ93" s="708"/>
      <c r="AR93" s="708"/>
      <c r="AS93" s="708"/>
      <c r="AT93" s="708"/>
      <c r="AU93" s="708"/>
      <c r="AV93" s="708"/>
      <c r="AW93" s="708"/>
      <c r="AX93" s="708"/>
      <c r="AY93" s="708"/>
      <c r="AZ93" s="708"/>
      <c r="BA93" s="708"/>
      <c r="BC93" s="677">
        <v>17</v>
      </c>
      <c r="BD93" s="680" t="str">
        <f t="shared" si="81"/>
        <v>(F40/100*INDEX('DEFAULT DATA'!$GI$9:$IN$41,START!$B$3,17)/INDEX('DEFAULT DATA'!$DX$9:$DX$41,START!$B$3,1))+</v>
      </c>
      <c r="BE93" s="693"/>
      <c r="BF93" s="693"/>
      <c r="BG93" s="693"/>
      <c r="BH93" s="693"/>
      <c r="BI93" s="637"/>
      <c r="BJ93" s="637"/>
      <c r="BK93" s="637"/>
      <c r="BL93" s="682"/>
      <c r="BM93" s="367">
        <v>40</v>
      </c>
      <c r="BN93" s="684" t="s">
        <v>2543</v>
      </c>
    </row>
    <row r="94" spans="1:66" ht="20.100000000000001" customHeight="1">
      <c r="A94" s="27"/>
      <c r="B94" s="30" t="s">
        <v>57</v>
      </c>
      <c r="C94" s="30"/>
      <c r="D94" s="30"/>
      <c r="E94" s="30"/>
      <c r="F94" s="24">
        <f>INDEX($Y$177:$BA$185,7,START!$C$2)</f>
        <v>29.641957853139782</v>
      </c>
      <c r="G94" s="21"/>
      <c r="H94" s="21"/>
      <c r="I94" s="24"/>
      <c r="J94" s="24"/>
      <c r="K94" s="24"/>
      <c r="L94" s="24"/>
      <c r="M94" s="24"/>
      <c r="N94" s="24"/>
      <c r="O94" s="25"/>
      <c r="P94" s="238"/>
      <c r="Q94" s="238"/>
      <c r="R94" s="238"/>
      <c r="S94" s="299" t="s">
        <v>2050</v>
      </c>
      <c r="T94" s="748"/>
      <c r="U94" s="706"/>
      <c r="V94" s="714">
        <v>2019</v>
      </c>
      <c r="W94" s="714">
        <v>2020</v>
      </c>
      <c r="X94" s="714">
        <v>2021</v>
      </c>
      <c r="Y94" s="714">
        <f>X94+1</f>
        <v>2022</v>
      </c>
      <c r="Z94" s="714">
        <f t="shared" ref="Z94:BA94" si="90">Y94+1</f>
        <v>2023</v>
      </c>
      <c r="AA94" s="714">
        <f t="shared" si="90"/>
        <v>2024</v>
      </c>
      <c r="AB94" s="714">
        <f t="shared" si="90"/>
        <v>2025</v>
      </c>
      <c r="AC94" s="714">
        <f t="shared" si="90"/>
        <v>2026</v>
      </c>
      <c r="AD94" s="714">
        <f t="shared" si="90"/>
        <v>2027</v>
      </c>
      <c r="AE94" s="714">
        <f t="shared" si="90"/>
        <v>2028</v>
      </c>
      <c r="AF94" s="714">
        <f t="shared" si="90"/>
        <v>2029</v>
      </c>
      <c r="AG94" s="714">
        <f t="shared" si="90"/>
        <v>2030</v>
      </c>
      <c r="AH94" s="714">
        <f t="shared" si="90"/>
        <v>2031</v>
      </c>
      <c r="AI94" s="714">
        <f t="shared" si="90"/>
        <v>2032</v>
      </c>
      <c r="AJ94" s="714">
        <f t="shared" si="90"/>
        <v>2033</v>
      </c>
      <c r="AK94" s="714">
        <f t="shared" si="90"/>
        <v>2034</v>
      </c>
      <c r="AL94" s="714">
        <f t="shared" si="90"/>
        <v>2035</v>
      </c>
      <c r="AM94" s="714">
        <f t="shared" si="90"/>
        <v>2036</v>
      </c>
      <c r="AN94" s="714">
        <f t="shared" si="90"/>
        <v>2037</v>
      </c>
      <c r="AO94" s="714">
        <f t="shared" si="90"/>
        <v>2038</v>
      </c>
      <c r="AP94" s="714">
        <f t="shared" si="90"/>
        <v>2039</v>
      </c>
      <c r="AQ94" s="714">
        <f t="shared" si="90"/>
        <v>2040</v>
      </c>
      <c r="AR94" s="714">
        <f t="shared" si="90"/>
        <v>2041</v>
      </c>
      <c r="AS94" s="714">
        <f t="shared" si="90"/>
        <v>2042</v>
      </c>
      <c r="AT94" s="714">
        <f t="shared" si="90"/>
        <v>2043</v>
      </c>
      <c r="AU94" s="714">
        <f t="shared" si="90"/>
        <v>2044</v>
      </c>
      <c r="AV94" s="714">
        <f t="shared" si="90"/>
        <v>2045</v>
      </c>
      <c r="AW94" s="714">
        <f t="shared" si="90"/>
        <v>2046</v>
      </c>
      <c r="AX94" s="714">
        <f t="shared" si="90"/>
        <v>2047</v>
      </c>
      <c r="AY94" s="714">
        <f t="shared" si="90"/>
        <v>2048</v>
      </c>
      <c r="AZ94" s="714">
        <f t="shared" si="90"/>
        <v>2049</v>
      </c>
      <c r="BA94" s="153">
        <f t="shared" si="90"/>
        <v>2050</v>
      </c>
      <c r="BC94" s="677">
        <v>18</v>
      </c>
      <c r="BD94" s="680" t="str">
        <f t="shared" si="81"/>
        <v>(F41/100*INDEX('DEFAULT DATA'!$GI$9:$IN$41,START!$B$3,18)/INDEX('DEFAULT DATA'!$DX$9:$DX$41,START!$B$3,1))+</v>
      </c>
      <c r="BE94" s="693"/>
      <c r="BF94" s="693"/>
      <c r="BG94" s="693"/>
      <c r="BH94" s="693"/>
      <c r="BI94" s="637"/>
      <c r="BJ94" s="637"/>
      <c r="BK94" s="637"/>
      <c r="BL94" s="682"/>
      <c r="BM94" s="367">
        <v>41</v>
      </c>
      <c r="BN94" s="684" t="s">
        <v>2543</v>
      </c>
    </row>
    <row r="95" spans="1:66" ht="20.100000000000001" customHeight="1" thickBot="1">
      <c r="A95" s="27"/>
      <c r="B95" s="739" t="s">
        <v>58</v>
      </c>
      <c r="C95" s="739"/>
      <c r="D95" s="739"/>
      <c r="E95" s="739"/>
      <c r="F95" s="894">
        <f>INDEX($Y$177:$BA$185,8,START!$C$2)</f>
        <v>0</v>
      </c>
      <c r="G95" s="21"/>
      <c r="H95" s="21"/>
      <c r="I95" s="24"/>
      <c r="J95" s="24"/>
      <c r="K95" s="24"/>
      <c r="L95" s="24"/>
      <c r="M95" s="24"/>
      <c r="N95" s="24"/>
      <c r="O95" s="25"/>
      <c r="P95" s="238"/>
      <c r="Q95" s="238"/>
      <c r="R95" s="238"/>
      <c r="S95" s="301"/>
      <c r="T95" s="749" t="s">
        <v>2057</v>
      </c>
      <c r="U95" s="343" t="s">
        <v>845</v>
      </c>
      <c r="V95" s="203"/>
      <c r="W95" s="203"/>
      <c r="X95" s="160">
        <f>INDEX('DEFAULT DATA'!$DM$9:$DM$41,START!$C$3,1)*X5</f>
        <v>4370.6301369863013</v>
      </c>
      <c r="Y95" s="160">
        <f>INDEX('DEFAULT DATA'!$DM$9:$DM$41,START!$C$3,1)*Y5</f>
        <v>4038.4622465753428</v>
      </c>
      <c r="Z95" s="160">
        <f>INDEX('DEFAULT DATA'!$DM$9:$DM$41,START!$C$3,1)*Z5</f>
        <v>3731.5391158356169</v>
      </c>
      <c r="AA95" s="160">
        <f>INDEX('DEFAULT DATA'!$DM$9:$DM$41,START!$C$3,1)*AA5</f>
        <v>3447.9421430321104</v>
      </c>
      <c r="AB95" s="160">
        <f>INDEX('DEFAULT DATA'!$DM$9:$DM$41,START!$C$3,1)*AB5</f>
        <v>3185.8985401616701</v>
      </c>
      <c r="AC95" s="160">
        <f>INDEX('DEFAULT DATA'!$DM$9:$DM$41,START!$C$3,1)*AC5</f>
        <v>2943.770251109383</v>
      </c>
      <c r="AD95" s="160">
        <f>INDEX('DEFAULT DATA'!$DM$9:$DM$41,START!$C$3,1)*AD5</f>
        <v>2720.0437120250704</v>
      </c>
      <c r="AE95" s="160">
        <f>INDEX('DEFAULT DATA'!$DM$9:$DM$41,START!$C$3,1)*AE5</f>
        <v>2513.320389911165</v>
      </c>
      <c r="AF95" s="160">
        <f>INDEX('DEFAULT DATA'!$DM$9:$DM$41,START!$C$3,1)*AF5</f>
        <v>2322.3080402779165</v>
      </c>
      <c r="AG95" s="160">
        <f>INDEX('DEFAULT DATA'!$DM$9:$DM$41,START!$C$3,1)*AG5</f>
        <v>2145.8126292167949</v>
      </c>
      <c r="AH95" s="160">
        <f>INDEX('DEFAULT DATA'!$DM$9:$DM$41,START!$C$3,1)*AH5</f>
        <v>2006.3348083177034</v>
      </c>
      <c r="AI95" s="160">
        <f>INDEX('DEFAULT DATA'!$DM$9:$DM$41,START!$C$3,1)*AI5</f>
        <v>1875.9230457770527</v>
      </c>
      <c r="AJ95" s="160">
        <f>INDEX('DEFAULT DATA'!$DM$9:$DM$41,START!$C$3,1)*AJ5</f>
        <v>1753.9880478015443</v>
      </c>
      <c r="AK95" s="160">
        <f>INDEX('DEFAULT DATA'!$DM$9:$DM$41,START!$C$3,1)*AK5</f>
        <v>1639.978824694444</v>
      </c>
      <c r="AL95" s="160">
        <f>INDEX('DEFAULT DATA'!$DM$9:$DM$41,START!$C$3,1)*AL5</f>
        <v>1533.3802010893053</v>
      </c>
      <c r="AM95" s="160">
        <f>INDEX('DEFAULT DATA'!$DM$9:$DM$41,START!$C$3,1)*AM5</f>
        <v>1433.7104880185007</v>
      </c>
      <c r="AN95" s="160">
        <f>INDEX('DEFAULT DATA'!$DM$9:$DM$41,START!$C$3,1)*AN5</f>
        <v>1340.519306297298</v>
      </c>
      <c r="AO95" s="160">
        <f>INDEX('DEFAULT DATA'!$DM$9:$DM$41,START!$C$3,1)*AO5</f>
        <v>1253.3855513879739</v>
      </c>
      <c r="AP95" s="160">
        <f>INDEX('DEFAULT DATA'!$DM$9:$DM$41,START!$C$3,1)*AP5</f>
        <v>1171.9154905477558</v>
      </c>
      <c r="AQ95" s="160">
        <f>INDEX('DEFAULT DATA'!$DM$9:$DM$41,START!$C$3,1)*AQ5</f>
        <v>1095.7409836621516</v>
      </c>
      <c r="AR95" s="160">
        <f>INDEX('DEFAULT DATA'!$DM$9:$DM$41,START!$C$3,1)*AR5</f>
        <v>1024.5178197241119</v>
      </c>
      <c r="AS95" s="160">
        <f>INDEX('DEFAULT DATA'!$DM$9:$DM$41,START!$C$3,1)*AS5</f>
        <v>957.92416144204469</v>
      </c>
      <c r="AT95" s="160">
        <f>INDEX('DEFAULT DATA'!$DM$9:$DM$41,START!$C$3,1)*AT5</f>
        <v>895.65909094831181</v>
      </c>
      <c r="AU95" s="160">
        <f>INDEX('DEFAULT DATA'!$DM$9:$DM$41,START!$C$3,1)*AU5</f>
        <v>837.4412500366717</v>
      </c>
      <c r="AV95" s="160">
        <f>INDEX('DEFAULT DATA'!$DM$9:$DM$41,START!$C$3,1)*AV5</f>
        <v>783.00756878428808</v>
      </c>
      <c r="AW95" s="160">
        <f>INDEX('DEFAULT DATA'!$DM$9:$DM$41,START!$C$3,1)*AW5</f>
        <v>732.11207681330939</v>
      </c>
      <c r="AX95" s="160">
        <f>INDEX('DEFAULT DATA'!$DM$9:$DM$41,START!$C$3,1)*AX5</f>
        <v>684.52479182044431</v>
      </c>
      <c r="AY95" s="160">
        <f>INDEX('DEFAULT DATA'!$DM$9:$DM$41,START!$C$3,1)*AY5</f>
        <v>640.0306803521155</v>
      </c>
      <c r="AZ95" s="160">
        <f>INDEX('DEFAULT DATA'!$DM$9:$DM$41,START!$C$3,1)*AZ5</f>
        <v>598.42868612922803</v>
      </c>
      <c r="BA95" s="161">
        <f>INDEX('DEFAULT DATA'!$DM$9:$DM$41,START!$C$3,1)*BA5</f>
        <v>559.53082153082812</v>
      </c>
      <c r="BC95" s="677">
        <v>19</v>
      </c>
      <c r="BD95" s="680" t="str">
        <f t="shared" si="81"/>
        <v>(F42/100*INDEX('DEFAULT DATA'!$GI$9:$IN$41,START!$B$3,19)/INDEX('DEFAULT DATA'!$DX$9:$DX$41,START!$B$3,1))+</v>
      </c>
      <c r="BE95" s="693"/>
      <c r="BF95" s="693"/>
      <c r="BG95" s="693"/>
      <c r="BH95" s="693"/>
      <c r="BI95" s="637"/>
      <c r="BJ95" s="637"/>
      <c r="BK95" s="637"/>
      <c r="BL95" s="682"/>
      <c r="BM95" s="367">
        <v>42</v>
      </c>
      <c r="BN95" s="684" t="s">
        <v>2543</v>
      </c>
    </row>
    <row r="96" spans="1:66" ht="20.100000000000001" customHeight="1" thickBot="1">
      <c r="A96" s="27"/>
      <c r="B96" s="30" t="s">
        <v>59</v>
      </c>
      <c r="C96" s="30"/>
      <c r="D96" s="30"/>
      <c r="E96" s="30"/>
      <c r="F96" s="26">
        <f>SUM(F88:F95)</f>
        <v>378.78787621283817</v>
      </c>
      <c r="G96" s="21"/>
      <c r="H96" s="21"/>
      <c r="I96" s="24"/>
      <c r="J96" s="24"/>
      <c r="K96" s="24"/>
      <c r="L96" s="24"/>
      <c r="M96" s="24"/>
      <c r="N96" s="24"/>
      <c r="O96" s="25"/>
      <c r="P96" s="238"/>
      <c r="Q96" s="238"/>
      <c r="R96" s="238"/>
      <c r="S96" s="708"/>
      <c r="T96" s="708"/>
      <c r="U96" s="708"/>
      <c r="V96" s="708"/>
      <c r="W96" s="708"/>
      <c r="X96" s="708"/>
      <c r="Y96" s="708"/>
      <c r="Z96" s="708"/>
      <c r="AA96" s="708"/>
      <c r="AB96" s="708"/>
      <c r="AC96" s="708"/>
      <c r="AD96" s="708"/>
      <c r="AE96" s="708"/>
      <c r="AF96" s="708"/>
      <c r="AG96" s="708"/>
      <c r="AH96" s="708"/>
      <c r="AI96" s="708"/>
      <c r="AJ96" s="708"/>
      <c r="AK96" s="708"/>
      <c r="AL96" s="708"/>
      <c r="AM96" s="708"/>
      <c r="AN96" s="708"/>
      <c r="AO96" s="708"/>
      <c r="AP96" s="708"/>
      <c r="AQ96" s="708"/>
      <c r="AR96" s="708"/>
      <c r="AS96" s="708"/>
      <c r="AT96" s="708"/>
      <c r="AU96" s="708"/>
      <c r="AV96" s="708"/>
      <c r="AW96" s="708"/>
      <c r="AX96" s="708"/>
      <c r="AY96" s="708"/>
      <c r="AZ96" s="708"/>
      <c r="BA96" s="708"/>
      <c r="BC96" s="677">
        <v>20</v>
      </c>
      <c r="BD96" s="680" t="str">
        <f t="shared" si="81"/>
        <v>(F43/100*INDEX('DEFAULT DATA'!$GI$9:$IN$41,START!$B$3,20)/INDEX('DEFAULT DATA'!$DX$9:$DX$41,START!$B$3,1))+</v>
      </c>
      <c r="BE96" s="693"/>
      <c r="BF96" s="693"/>
      <c r="BG96" s="693"/>
      <c r="BH96" s="693"/>
      <c r="BI96" s="637"/>
      <c r="BJ96" s="637"/>
      <c r="BK96" s="637"/>
      <c r="BL96" s="682"/>
      <c r="BM96" s="367">
        <v>43</v>
      </c>
      <c r="BN96" s="684" t="s">
        <v>2543</v>
      </c>
    </row>
    <row r="97" spans="1:66" ht="20.100000000000001" customHeight="1">
      <c r="A97" s="27"/>
      <c r="B97" s="21"/>
      <c r="C97" s="21"/>
      <c r="D97" s="21"/>
      <c r="E97" s="21"/>
      <c r="F97" s="21"/>
      <c r="G97" s="21"/>
      <c r="H97" s="21"/>
      <c r="I97" s="21"/>
      <c r="J97" s="21"/>
      <c r="K97" s="21"/>
      <c r="L97" s="24"/>
      <c r="M97" s="21"/>
      <c r="N97" s="21"/>
      <c r="O97" s="28"/>
      <c r="P97" s="708"/>
      <c r="Q97" s="708"/>
      <c r="R97" s="16"/>
      <c r="S97" s="299" t="s">
        <v>619</v>
      </c>
      <c r="T97" s="719" t="s">
        <v>843</v>
      </c>
      <c r="U97" s="720"/>
      <c r="V97" s="714">
        <v>2019</v>
      </c>
      <c r="W97" s="714">
        <v>2020</v>
      </c>
      <c r="X97" s="714">
        <v>2021</v>
      </c>
      <c r="Y97" s="714">
        <f>X97+1</f>
        <v>2022</v>
      </c>
      <c r="Z97" s="714">
        <f t="shared" ref="Z97:BA97" si="91">Y97+1</f>
        <v>2023</v>
      </c>
      <c r="AA97" s="714">
        <f t="shared" si="91"/>
        <v>2024</v>
      </c>
      <c r="AB97" s="714">
        <f t="shared" si="91"/>
        <v>2025</v>
      </c>
      <c r="AC97" s="714">
        <f t="shared" si="91"/>
        <v>2026</v>
      </c>
      <c r="AD97" s="714">
        <f t="shared" si="91"/>
        <v>2027</v>
      </c>
      <c r="AE97" s="714">
        <f t="shared" si="91"/>
        <v>2028</v>
      </c>
      <c r="AF97" s="714">
        <f t="shared" si="91"/>
        <v>2029</v>
      </c>
      <c r="AG97" s="714">
        <f t="shared" si="91"/>
        <v>2030</v>
      </c>
      <c r="AH97" s="714">
        <f t="shared" si="91"/>
        <v>2031</v>
      </c>
      <c r="AI97" s="714">
        <f t="shared" si="91"/>
        <v>2032</v>
      </c>
      <c r="AJ97" s="714">
        <f t="shared" si="91"/>
        <v>2033</v>
      </c>
      <c r="AK97" s="714">
        <f t="shared" si="91"/>
        <v>2034</v>
      </c>
      <c r="AL97" s="714">
        <f t="shared" si="91"/>
        <v>2035</v>
      </c>
      <c r="AM97" s="714">
        <f t="shared" si="91"/>
        <v>2036</v>
      </c>
      <c r="AN97" s="714">
        <f t="shared" si="91"/>
        <v>2037</v>
      </c>
      <c r="AO97" s="714">
        <f t="shared" si="91"/>
        <v>2038</v>
      </c>
      <c r="AP97" s="714">
        <f t="shared" si="91"/>
        <v>2039</v>
      </c>
      <c r="AQ97" s="714">
        <f t="shared" si="91"/>
        <v>2040</v>
      </c>
      <c r="AR97" s="714">
        <f t="shared" si="91"/>
        <v>2041</v>
      </c>
      <c r="AS97" s="714">
        <f t="shared" si="91"/>
        <v>2042</v>
      </c>
      <c r="AT97" s="714">
        <f t="shared" si="91"/>
        <v>2043</v>
      </c>
      <c r="AU97" s="714">
        <f t="shared" si="91"/>
        <v>2044</v>
      </c>
      <c r="AV97" s="714">
        <f t="shared" si="91"/>
        <v>2045</v>
      </c>
      <c r="AW97" s="714">
        <f t="shared" si="91"/>
        <v>2046</v>
      </c>
      <c r="AX97" s="714">
        <f t="shared" si="91"/>
        <v>2047</v>
      </c>
      <c r="AY97" s="714">
        <f t="shared" si="91"/>
        <v>2048</v>
      </c>
      <c r="AZ97" s="714">
        <f t="shared" si="91"/>
        <v>2049</v>
      </c>
      <c r="BA97" s="153">
        <f t="shared" si="91"/>
        <v>2050</v>
      </c>
      <c r="BC97" s="677">
        <v>21</v>
      </c>
      <c r="BD97" s="680" t="str">
        <f t="shared" si="81"/>
        <v>(F44/100*INDEX('DEFAULT DATA'!$GI$9:$IN$41,START!$B$3,21)/INDEX('DEFAULT DATA'!$DX$9:$DX$41,START!$B$3,1))+</v>
      </c>
      <c r="BE97" s="693"/>
      <c r="BF97" s="693"/>
      <c r="BG97" s="693"/>
      <c r="BH97" s="693"/>
      <c r="BI97" s="637"/>
      <c r="BJ97" s="637"/>
      <c r="BK97" s="637"/>
      <c r="BL97" s="682"/>
      <c r="BM97" s="367">
        <v>44</v>
      </c>
      <c r="BN97" s="684" t="s">
        <v>2543</v>
      </c>
    </row>
    <row r="98" spans="1:66" ht="20.100000000000001" customHeight="1" thickBot="1">
      <c r="A98" s="27"/>
      <c r="B98" s="21"/>
      <c r="C98" s="21"/>
      <c r="D98" s="21"/>
      <c r="E98" s="21"/>
      <c r="F98" s="21"/>
      <c r="G98" s="21"/>
      <c r="H98" s="21"/>
      <c r="I98" s="21"/>
      <c r="J98" s="21"/>
      <c r="K98" s="21"/>
      <c r="L98" s="24"/>
      <c r="M98" s="21"/>
      <c r="N98" s="21"/>
      <c r="O98" s="28"/>
      <c r="P98" s="708"/>
      <c r="Q98" s="708"/>
      <c r="R98" s="16"/>
      <c r="S98" s="301" t="s">
        <v>847</v>
      </c>
      <c r="T98" s="448" t="s">
        <v>2581</v>
      </c>
      <c r="U98" s="343" t="s">
        <v>2578</v>
      </c>
      <c r="V98" s="203"/>
      <c r="W98" s="203"/>
      <c r="X98" s="197">
        <f>X92*X95/1000</f>
        <v>1056.8236577322182</v>
      </c>
      <c r="Y98" s="197">
        <f>Y92*Y95/1000</f>
        <v>991.15263564073814</v>
      </c>
      <c r="Z98" s="197">
        <f t="shared" ref="Z98:BA98" si="92">Z92*Z95/1000</f>
        <v>929.56241086202272</v>
      </c>
      <c r="AA98" s="197">
        <f t="shared" si="92"/>
        <v>871.79940265105665</v>
      </c>
      <c r="AB98" s="197">
        <f t="shared" si="92"/>
        <v>817.62578777032002</v>
      </c>
      <c r="AC98" s="197">
        <f t="shared" si="92"/>
        <v>766.81852131827213</v>
      </c>
      <c r="AD98" s="197">
        <f t="shared" si="92"/>
        <v>719.16841840355482</v>
      </c>
      <c r="AE98" s="197">
        <f t="shared" si="92"/>
        <v>674.47929288395801</v>
      </c>
      <c r="AF98" s="197">
        <f t="shared" si="92"/>
        <v>632.5671496241489</v>
      </c>
      <c r="AG98" s="197">
        <f t="shared" si="92"/>
        <v>593.25942694650428</v>
      </c>
      <c r="AH98" s="197">
        <f t="shared" si="92"/>
        <v>563.01802765790637</v>
      </c>
      <c r="AI98" s="197">
        <f t="shared" si="92"/>
        <v>534.31818369804466</v>
      </c>
      <c r="AJ98" s="197">
        <f t="shared" si="92"/>
        <v>507.08131428403681</v>
      </c>
      <c r="AK98" s="197">
        <f t="shared" si="92"/>
        <v>481.2328442884081</v>
      </c>
      <c r="AL98" s="197">
        <f t="shared" si="92"/>
        <v>456.70200005080653</v>
      </c>
      <c r="AM98" s="197">
        <f t="shared" si="92"/>
        <v>433.4216155982167</v>
      </c>
      <c r="AN98" s="197">
        <f t="shared" si="92"/>
        <v>411.32794874309758</v>
      </c>
      <c r="AO98" s="197">
        <f t="shared" si="92"/>
        <v>390.36050655591833</v>
      </c>
      <c r="AP98" s="197">
        <f t="shared" si="92"/>
        <v>370.46187973423042</v>
      </c>
      <c r="AQ98" s="197">
        <f t="shared" si="92"/>
        <v>351.57758541477801</v>
      </c>
      <c r="AR98" s="197">
        <f t="shared" si="92"/>
        <v>333.65591799825978</v>
      </c>
      <c r="AS98" s="197">
        <f t="shared" si="92"/>
        <v>316.64780757829851</v>
      </c>
      <c r="AT98" s="197">
        <f t="shared" si="92"/>
        <v>300.50668558699476</v>
      </c>
      <c r="AU98" s="197">
        <f t="shared" si="92"/>
        <v>285.18835728919771</v>
      </c>
      <c r="AV98" s="197">
        <f t="shared" si="92"/>
        <v>270.65088077638097</v>
      </c>
      <c r="AW98" s="197">
        <f t="shared" si="92"/>
        <v>256.85445212880489</v>
      </c>
      <c r="AX98" s="197">
        <f t="shared" si="92"/>
        <v>243.76129643153908</v>
      </c>
      <c r="AY98" s="197">
        <f t="shared" si="92"/>
        <v>231.33556434594138</v>
      </c>
      <c r="AZ98" s="197">
        <f t="shared" si="92"/>
        <v>219.54323395340703</v>
      </c>
      <c r="BA98" s="566">
        <f t="shared" si="92"/>
        <v>208.35201760263209</v>
      </c>
      <c r="BC98" s="677">
        <v>22</v>
      </c>
      <c r="BD98" s="680" t="str">
        <f t="shared" si="81"/>
        <v>(F45/100*INDEX('DEFAULT DATA'!$GI$9:$IN$41,START!$B$3,22)/INDEX('DEFAULT DATA'!$DX$9:$DX$41,START!$B$3,1))+</v>
      </c>
      <c r="BE98" s="693"/>
      <c r="BF98" s="693"/>
      <c r="BG98" s="693"/>
      <c r="BH98" s="693"/>
      <c r="BI98" s="637"/>
      <c r="BJ98" s="637"/>
      <c r="BK98" s="637"/>
      <c r="BL98" s="682"/>
      <c r="BM98" s="367">
        <v>45</v>
      </c>
      <c r="BN98" s="684" t="s">
        <v>2543</v>
      </c>
    </row>
    <row r="99" spans="1:66" ht="20.100000000000001" customHeight="1">
      <c r="A99" s="27"/>
      <c r="B99" s="29"/>
      <c r="C99" s="29"/>
      <c r="D99" s="29"/>
      <c r="E99" s="29"/>
      <c r="F99" s="29"/>
      <c r="G99" s="21"/>
      <c r="H99" s="21"/>
      <c r="I99" s="21"/>
      <c r="J99" s="21"/>
      <c r="K99" s="21"/>
      <c r="L99" s="24"/>
      <c r="M99" s="21"/>
      <c r="N99" s="21"/>
      <c r="O99" s="28"/>
      <c r="P99" s="708"/>
      <c r="Q99" s="708"/>
      <c r="R99" s="16"/>
      <c r="BC99" s="677">
        <v>23</v>
      </c>
      <c r="BD99" s="680" t="str">
        <f t="shared" si="81"/>
        <v>(F46/100*INDEX('DEFAULT DATA'!$GI$9:$IN$41,START!$B$3,23)/INDEX('DEFAULT DATA'!$DX$9:$DX$41,START!$B$3,1))+</v>
      </c>
      <c r="BE99" s="693"/>
      <c r="BF99" s="693"/>
      <c r="BG99" s="693"/>
      <c r="BH99" s="693"/>
      <c r="BI99" s="637"/>
      <c r="BJ99" s="637"/>
      <c r="BK99" s="637"/>
      <c r="BL99" s="682"/>
      <c r="BM99" s="367">
        <v>46</v>
      </c>
      <c r="BN99" s="684" t="s">
        <v>2543</v>
      </c>
    </row>
    <row r="100" spans="1:66" ht="20.100000000000001" customHeight="1" thickBot="1">
      <c r="A100" s="27"/>
      <c r="B100" s="21"/>
      <c r="C100" s="21"/>
      <c r="D100" s="21"/>
      <c r="E100" s="21"/>
      <c r="F100" s="30"/>
      <c r="G100" s="21"/>
      <c r="H100" s="21"/>
      <c r="I100" s="67"/>
      <c r="J100" s="67"/>
      <c r="K100" s="67"/>
      <c r="L100" s="24"/>
      <c r="M100" s="67"/>
      <c r="N100" s="67"/>
      <c r="O100" s="31"/>
      <c r="P100" s="239"/>
      <c r="Q100" s="239"/>
      <c r="R100" s="239"/>
      <c r="S100" s="237" t="s">
        <v>848</v>
      </c>
      <c r="BC100" s="677">
        <v>24</v>
      </c>
      <c r="BD100" s="680" t="str">
        <f t="shared" si="81"/>
        <v>(F47/100*INDEX('DEFAULT DATA'!$GI$9:$IN$41,START!$B$3,24)/INDEX('DEFAULT DATA'!$DX$9:$DX$41,START!$B$3,1))+</v>
      </c>
      <c r="BE100" s="693"/>
      <c r="BF100" s="693"/>
      <c r="BG100" s="693"/>
      <c r="BH100" s="693"/>
      <c r="BI100" s="637"/>
      <c r="BJ100" s="637"/>
      <c r="BK100" s="637"/>
      <c r="BL100" s="682"/>
      <c r="BM100" s="367">
        <v>47</v>
      </c>
      <c r="BN100" s="684" t="s">
        <v>2543</v>
      </c>
    </row>
    <row r="101" spans="1:66" ht="20.100000000000001" customHeight="1">
      <c r="A101" s="27"/>
      <c r="B101" s="21"/>
      <c r="C101" s="21"/>
      <c r="D101" s="21"/>
      <c r="E101" s="21"/>
      <c r="F101" s="30"/>
      <c r="G101" s="21"/>
      <c r="H101" s="21"/>
      <c r="I101" s="67"/>
      <c r="J101" s="67"/>
      <c r="K101" s="67"/>
      <c r="L101" s="24"/>
      <c r="M101" s="67"/>
      <c r="N101" s="67"/>
      <c r="O101" s="31"/>
      <c r="P101" s="239"/>
      <c r="Q101" s="239"/>
      <c r="R101" s="239"/>
      <c r="S101" s="209" t="s">
        <v>851</v>
      </c>
      <c r="T101" s="724" t="s">
        <v>2582</v>
      </c>
      <c r="U101" s="725"/>
      <c r="V101" s="714">
        <v>2019</v>
      </c>
      <c r="W101" s="714">
        <v>2020</v>
      </c>
      <c r="X101" s="714">
        <v>2021</v>
      </c>
      <c r="Y101" s="714">
        <f>X101+1</f>
        <v>2022</v>
      </c>
      <c r="Z101" s="714">
        <f t="shared" ref="Z101:BA101" si="93">Y101+1</f>
        <v>2023</v>
      </c>
      <c r="AA101" s="714">
        <f t="shared" si="93"/>
        <v>2024</v>
      </c>
      <c r="AB101" s="714">
        <f t="shared" si="93"/>
        <v>2025</v>
      </c>
      <c r="AC101" s="714">
        <f t="shared" si="93"/>
        <v>2026</v>
      </c>
      <c r="AD101" s="714">
        <f t="shared" si="93"/>
        <v>2027</v>
      </c>
      <c r="AE101" s="714">
        <f t="shared" si="93"/>
        <v>2028</v>
      </c>
      <c r="AF101" s="714">
        <f t="shared" si="93"/>
        <v>2029</v>
      </c>
      <c r="AG101" s="714">
        <f t="shared" si="93"/>
        <v>2030</v>
      </c>
      <c r="AH101" s="714">
        <f t="shared" si="93"/>
        <v>2031</v>
      </c>
      <c r="AI101" s="714">
        <f t="shared" si="93"/>
        <v>2032</v>
      </c>
      <c r="AJ101" s="714">
        <f t="shared" si="93"/>
        <v>2033</v>
      </c>
      <c r="AK101" s="714">
        <f t="shared" si="93"/>
        <v>2034</v>
      </c>
      <c r="AL101" s="714">
        <f t="shared" si="93"/>
        <v>2035</v>
      </c>
      <c r="AM101" s="714">
        <f t="shared" si="93"/>
        <v>2036</v>
      </c>
      <c r="AN101" s="714">
        <f t="shared" si="93"/>
        <v>2037</v>
      </c>
      <c r="AO101" s="714">
        <f t="shared" si="93"/>
        <v>2038</v>
      </c>
      <c r="AP101" s="714">
        <f t="shared" si="93"/>
        <v>2039</v>
      </c>
      <c r="AQ101" s="714">
        <f t="shared" si="93"/>
        <v>2040</v>
      </c>
      <c r="AR101" s="714">
        <f t="shared" si="93"/>
        <v>2041</v>
      </c>
      <c r="AS101" s="714">
        <f t="shared" si="93"/>
        <v>2042</v>
      </c>
      <c r="AT101" s="714">
        <f t="shared" si="93"/>
        <v>2043</v>
      </c>
      <c r="AU101" s="714">
        <f t="shared" si="93"/>
        <v>2044</v>
      </c>
      <c r="AV101" s="714">
        <f t="shared" si="93"/>
        <v>2045</v>
      </c>
      <c r="AW101" s="714">
        <f t="shared" si="93"/>
        <v>2046</v>
      </c>
      <c r="AX101" s="714">
        <f t="shared" si="93"/>
        <v>2047</v>
      </c>
      <c r="AY101" s="714">
        <f t="shared" si="93"/>
        <v>2048</v>
      </c>
      <c r="AZ101" s="714">
        <f t="shared" si="93"/>
        <v>2049</v>
      </c>
      <c r="BA101" s="153">
        <f t="shared" si="93"/>
        <v>2050</v>
      </c>
      <c r="BC101" s="677">
        <v>25</v>
      </c>
      <c r="BD101" s="680" t="str">
        <f t="shared" si="81"/>
        <v>(F48/100*INDEX('DEFAULT DATA'!$GI$9:$IN$41,START!$B$3,25)/INDEX('DEFAULT DATA'!$DX$9:$DX$41,START!$B$3,1))+</v>
      </c>
      <c r="BE101" s="693"/>
      <c r="BF101" s="693"/>
      <c r="BG101" s="693"/>
      <c r="BH101" s="693"/>
      <c r="BI101" s="637"/>
      <c r="BJ101" s="637"/>
      <c r="BK101" s="637"/>
      <c r="BL101" s="682"/>
      <c r="BM101" s="367">
        <v>48</v>
      </c>
      <c r="BN101" s="684" t="s">
        <v>2543</v>
      </c>
    </row>
    <row r="102" spans="1:66" ht="20.100000000000001" customHeight="1" thickBot="1">
      <c r="A102" s="27"/>
      <c r="B102" s="21"/>
      <c r="C102" s="21"/>
      <c r="D102" s="21"/>
      <c r="E102" s="21"/>
      <c r="F102" s="30"/>
      <c r="G102" s="21"/>
      <c r="H102" s="21"/>
      <c r="I102" s="67"/>
      <c r="J102" s="67"/>
      <c r="K102" s="67"/>
      <c r="L102" s="24"/>
      <c r="M102" s="67"/>
      <c r="N102" s="67"/>
      <c r="O102" s="31"/>
      <c r="P102" s="239"/>
      <c r="Q102" s="239"/>
      <c r="R102" s="239"/>
      <c r="S102" s="565" t="s">
        <v>842</v>
      </c>
      <c r="T102" s="448" t="s">
        <v>2583</v>
      </c>
      <c r="U102" s="139" t="s">
        <v>2577</v>
      </c>
      <c r="V102" s="460"/>
      <c r="W102" s="155"/>
      <c r="X102" s="197">
        <f>(L25/100*INDEX('DEFAULT DATA'!$GQ$9:$IV$41,START!$C$3,1)/INDEX('DEFAULT DATA'!$EF$9:$EF$41,START!$C$3,1))+(L26/100*INDEX('DEFAULT DATA'!$GQ$9:$IV$41,START!$C$3,2)/INDEX('DEFAULT DATA'!$EF$9:$EF$41,START!$C$3,1))+(L27/100*INDEX('DEFAULT DATA'!$GQ$9:$IV$41,START!$C$3,3)/INDEX('DEFAULT DATA'!$EF$9:$EF$41,START!$C$3,1))+(L28/100*INDEX('DEFAULT DATA'!$GQ$9:$IV$41,START!$C$3,4)/INDEX('DEFAULT DATA'!$EF$9:$EF$41,START!$C$3,1))+(L29/100*INDEX('DEFAULT DATA'!$GQ$9:$IV$41,START!$C$3,5)/INDEX('DEFAULT DATA'!$EF$9:$EF$41,START!$C$3,1))+(L30/100*INDEX('DEFAULT DATA'!$GQ$9:$IV$41,START!$C$3,6)/INDEX('DEFAULT DATA'!$EF$9:$EF$41,START!$C$3,1))+(L31/100*INDEX('DEFAULT DATA'!$GQ$9:$IV$41,START!$C$3,7)/INDEX('DEFAULT DATA'!$EF$9:$EF$41,START!$C$3,1))+(L32/100*INDEX('DEFAULT DATA'!$GQ$9:$IV$41,START!$C$3,8)/INDEX('DEFAULT DATA'!$EF$9:$EF$41,START!$C$3,1))+(L33/100*INDEX('DEFAULT DATA'!$GQ$9:$IV$41,START!$C$3,9)/INDEX('DEFAULT DATA'!$EF$9:$EF$41,START!$C$3,1))+(L34/100*INDEX('DEFAULT DATA'!$GQ$9:$IV$41,START!$C$3,10)/INDEX('DEFAULT DATA'!$EF$9:$EF$41,START!$C$3,1))+(L35/100*INDEX('DEFAULT DATA'!$GQ$9:$IV$41,START!$C$3,11)/INDEX('DEFAULT DATA'!$EF$9:$EF$41,START!$C$3,1))+(L36/100*INDEX('DEFAULT DATA'!$GQ$9:$IV$41,START!$C$3,12)/INDEX('DEFAULT DATA'!$EF$9:$EF$41,START!$C$3,1))+(L37/100*INDEX('DEFAULT DATA'!$GQ$9:$IV$41,START!$C$3,13)/INDEX('DEFAULT DATA'!$EF$9:$EF$41,START!$C$3,1))+(L38/100*INDEX('DEFAULT DATA'!$GQ$9:$IV$41,START!$C$3,14)/INDEX('DEFAULT DATA'!$EF$9:$EF$41,START!$C$3,1))+(L39/100*INDEX('DEFAULT DATA'!$GQ$9:$IV$41,START!$C$3,15)/INDEX('DEFAULT DATA'!$EF$9:$EF$41,START!$C$3,1))+(L40/100*INDEX('DEFAULT DATA'!$GQ$9:$IV$41,START!$C$3,16)/INDEX('DEFAULT DATA'!$EF$9:$EF$41,START!$C$3,1))+(L41/100*INDEX('DEFAULT DATA'!$GQ$9:$IV$41,START!$C$3,17)/INDEX('DEFAULT DATA'!$EF$9:$EF$41,START!$C$3,1))+(L42/100*INDEX('DEFAULT DATA'!$GQ$9:$IV$41,START!$C$3,18)/INDEX('DEFAULT DATA'!$EF$9:$EF$41,START!$C$3,1))+(L43/100*INDEX('DEFAULT DATA'!$GQ$9:$IV$41,START!$C$3,19)/INDEX('DEFAULT DATA'!$EF$9:$EF$41,START!$C$3,1))+(L44/100*INDEX('DEFAULT DATA'!$GQ$9:$IV$41,START!$C$3,20)/INDEX('DEFAULT DATA'!$EF$9:$EF$41,START!$C$3,1))+(L45/100*INDEX('DEFAULT DATA'!$GQ$9:$IV$41,START!$C$3,21)/INDEX('DEFAULT DATA'!$EF$9:$EF$41,START!$C$3,1))+(L46/100*INDEX('DEFAULT DATA'!$GQ$9:$IV$41,START!$C$3,22)/INDEX('DEFAULT DATA'!$EF$9:$EF$41,START!$C$3,1))+(L47/100*INDEX('DEFAULT DATA'!$GQ$9:$IV$41,START!$C$3,23)/INDEX('DEFAULT DATA'!$EF$9:$EF$41,START!$C$3,1))+(L48/100*INDEX('DEFAULT DATA'!$GQ$9:$IV$41,START!$C$3,24)/INDEX('DEFAULT DATA'!$EF$9:$EF$41,START!$C$3,1))+(L49/100*INDEX('DEFAULT DATA'!$GQ$9:$IV$41,START!$C$3,25)/INDEX('DEFAULT DATA'!$EF$9:$EF$41,START!$C$3,1))+(L50/100*INDEX('DEFAULT DATA'!$GQ$9:$IV$41,START!$C$3,26)/INDEX('DEFAULT DATA'!$EF$9:$EF$41,START!$C$3,1))+(L51/100*INDEX('DEFAULT DATA'!$GQ$9:$IV$41,START!$C$3,27)/INDEX('DEFAULT DATA'!$EF$9:$EF$41,START!$C$3,1))+(L52/100*INDEX('DEFAULT DATA'!$GQ$9:$IV$41,START!$C$3,28)/INDEX('DEFAULT DATA'!$EF$9:$EF$41,START!$C$3,1))+(L53/100*INDEX('DEFAULT DATA'!$GQ$9:$IV$41,START!$C$3,29)/INDEX('DEFAULT DATA'!$EF$9:$EF$41,START!$C$3,1))+(L54/100*INDEX('DEFAULT DATA'!$GQ$9:$IV$41,START!$C$3,30)/INDEX('DEFAULT DATA'!$EF$9:$EF$41,START!$C$3,1))+(L55/100*INDEX('DEFAULT DATA'!$GQ$9:$IV$41,START!$C$3,31)/INDEX('DEFAULT DATA'!$EF$9:$EF$41,START!$C$3,1))+(L56/100*INDEX('DEFAULT DATA'!$GQ$9:$IV$41,START!$C$3,32)/INDEX('DEFAULT DATA'!$EF$9:$EF$41,START!$C$3,1))+(L57/100*INDEX('DEFAULT DATA'!$GQ$9:$IV$41,START!$C$3,33)/INDEX('DEFAULT DATA'!$EF$9:$EF$41,START!$C$3,1))+(L58/100*INDEX('DEFAULT DATA'!$GQ$9:$IV$41,START!$C$3,34)/INDEX('DEFAULT DATA'!$EF$9:$EF$41,START!$C$3,1))+(L59/100*INDEX('DEFAULT DATA'!$GQ$9:$IV$41,START!$C$3,35)/INDEX('DEFAULT DATA'!$EF$9:$EF$41,START!$C$3,1))+(L60/100*INDEX('DEFAULT DATA'!$GQ$9:$IV$41,START!$C$3,36)/INDEX('DEFAULT DATA'!$EF$9:$EF$41,START!$C$3,1))+(L61/100*INDEX('DEFAULT DATA'!$GQ$9:$IV$41,START!$C$3,37)/INDEX('DEFAULT DATA'!$EF$9:$EF$41,START!$C$3,1))+(L62/100*INDEX('DEFAULT DATA'!$GQ$9:$IV$41,START!$C$3,38)/INDEX('DEFAULT DATA'!$EF$9:$EF$41,START!$C$3,1))+(L63/100*INDEX('DEFAULT DATA'!$GQ$9:$IV$41,START!$C$3,39)/INDEX('DEFAULT DATA'!$EF$9:$EF$41,START!$C$3,1))+(L64/100*INDEX('DEFAULT DATA'!$GQ$9:$IV$41,START!$C$3,40)/INDEX('DEFAULT DATA'!$EF$9:$EF$41,START!$C$3,1))+(L65/100*INDEX('DEFAULT DATA'!$GQ$9:$IV$41,START!$C$3,41)/INDEX('DEFAULT DATA'!$EF$9:$EF$41,START!$C$3,1))+(L66/100*INDEX('DEFAULT DATA'!$GQ$9:$IV$41,START!$C$3,42)/INDEX('DEFAULT DATA'!$EF$9:$EF$41,START!$C$3,1))+(L67/100*INDEX('DEFAULT DATA'!$GQ$9:$IV$41,START!$C$3,43)/INDEX('DEFAULT DATA'!$EF$9:$EF$41,START!$C$3,1))+(L68/100*INDEX('DEFAULT DATA'!$GQ$9:$IV$41,START!$C$3,44)/INDEX('DEFAULT DATA'!$EF$9:$EF$41,START!$C$3,1))+(L69/100*INDEX('DEFAULT DATA'!$GQ$9:$IV$41,START!$C$3,45)/INDEX('DEFAULT DATA'!$EF$9:$EF$41,START!$C$3,1))+(L70/100*INDEX('DEFAULT DATA'!$GQ$9:$IV$41,START!$C$3,46)/INDEX('DEFAULT DATA'!$EF$9:$EF$41,START!$C$3,1))+(L71/100*INDEX('DEFAULT DATA'!$GQ$9:$IV$41,START!$C$3,47)/INDEX('DEFAULT DATA'!$EF$9:$EF$41,START!$C$3,1))+(L72/100*INDEX('DEFAULT DATA'!$GQ$9:$IV$41,START!$C$3,48)/INDEX('DEFAULT DATA'!$EF$9:$EF$41,START!$C$3,1))+(L73/100*INDEX('DEFAULT DATA'!$GQ$9:$IV$41,START!$C$3,49)/INDEX('DEFAULT DATA'!$EF$9:$EF$41,START!$C$3,1))+(L74/100*INDEX('DEFAULT DATA'!$GQ$9:$IV$41,START!$C$3,50)/INDEX('DEFAULT DATA'!$EF$9:$EF$41,START!$C$3,1))+(L75/100*INDEX('DEFAULT DATA'!$GQ$9:$IV$41,START!$C$3,51)/INDEX('DEFAULT DATA'!$EF$9:$EF$41,START!$C$3,1))+(L76/100*INDEX('DEFAULT DATA'!$GQ$9:$IV$41,START!$C$3,52)/INDEX('DEFAULT DATA'!$EF$9:$EF$41,START!$C$3,1))+(L77/100*INDEX('DEFAULT DATA'!$GQ$9:$IV$41,START!$C$3,53)/INDEX('DEFAULT DATA'!$EF$9:$EF$41,START!$C$3,1))+(L78/100*INDEX('DEFAULT DATA'!$GQ$9:$IV$41,START!$C$3,54)/INDEX('DEFAULT DATA'!$EF$9:$EF$41,START!$C$3,1))+(L79/100*INDEX('DEFAULT DATA'!$GQ$9:$IV$41,START!$C$3,55)/INDEX('DEFAULT DATA'!$EF$9:$EF$41,START!$C$3,1))+(L80/100*INDEX('DEFAULT DATA'!$GQ$9:$IV$41,START!$C$3,56)/INDEX('DEFAULT DATA'!$EF$9:$EF$41,START!$C$3,1))+(L81/100*INDEX('DEFAULT DATA'!$GQ$9:$IV$41,START!$C$3,57)/INDEX('DEFAULT DATA'!$EF$9:$EF$41,START!$C$3,1))+(L82/100*INDEX('DEFAULT DATA'!$GQ$9:$IV$41,START!$C$3,58)/INDEX('DEFAULT DATA'!$EF$9:$EF$41,START!$C$3,1))</f>
        <v>51.390103336890199</v>
      </c>
      <c r="Y102" s="197">
        <f>X102*(100+INDEX('DEFAULT DATA'!$EH$9:$EJ$41,START!$C$3,1))/100</f>
        <v>52.160954886943557</v>
      </c>
      <c r="Z102" s="197">
        <f>Y102*(100+INDEX('DEFAULT DATA'!$EH$9:$EJ$41,START!$C$3,1))/100</f>
        <v>52.94336921024771</v>
      </c>
      <c r="AA102" s="197">
        <f>Z102*(100+INDEX('DEFAULT DATA'!$EH$9:$EJ$41,START!$C$3,1))/100</f>
        <v>53.737519748401425</v>
      </c>
      <c r="AB102" s="197">
        <f>AA102*(100+INDEX('DEFAULT DATA'!$EH$9:$EJ$41,START!$C$3,1))/100</f>
        <v>54.543582544627441</v>
      </c>
      <c r="AC102" s="197">
        <f>AB102*(100+INDEX('DEFAULT DATA'!$EH$9:$EJ$41,START!$C$3,1))/100</f>
        <v>55.361736282796855</v>
      </c>
      <c r="AD102" s="197">
        <f>AC102*(100+INDEX('DEFAULT DATA'!$EH$9:$EJ$41,START!$C$3,1))/100</f>
        <v>56.192162327038801</v>
      </c>
      <c r="AE102" s="197">
        <f>AD102*(100+INDEX('DEFAULT DATA'!$EH$9:$EJ$41,START!$C$3,1))/100</f>
        <v>57.035044761944384</v>
      </c>
      <c r="AF102" s="197">
        <f>AE102*(100+INDEX('DEFAULT DATA'!$EH$9:$EJ$41,START!$C$3,1))/100</f>
        <v>57.890570433373547</v>
      </c>
      <c r="AG102" s="197">
        <f>AF102*(100+INDEX('DEFAULT DATA'!$EH$9:$EJ$41,START!$C$3,1))/100</f>
        <v>58.75892898987415</v>
      </c>
      <c r="AH102" s="197">
        <f>AG102*(100+INDEX('DEFAULT DATA'!$EH$9:$EJ$41,START!$C$3,2))/100</f>
        <v>59.581553995732392</v>
      </c>
      <c r="AI102" s="197">
        <f>AH102*(100+INDEX('DEFAULT DATA'!$EH$9:$EJ$41,START!$C$3,2))/100</f>
        <v>60.415695751672644</v>
      </c>
      <c r="AJ102" s="197">
        <f>AI102*(100+INDEX('DEFAULT DATA'!$EH$9:$EJ$41,START!$C$3,2))/100</f>
        <v>61.261515492196068</v>
      </c>
      <c r="AK102" s="197">
        <f>AJ102*(100+INDEX('DEFAULT DATA'!$EH$9:$EJ$41,START!$C$3,2))/100</f>
        <v>62.119176709086815</v>
      </c>
      <c r="AL102" s="197">
        <f>AK102*(100+INDEX('DEFAULT DATA'!$EH$9:$EJ$41,START!$C$3,2))/100</f>
        <v>62.988845183014035</v>
      </c>
      <c r="AM102" s="197">
        <f>AL102*(100+INDEX('DEFAULT DATA'!$EH$9:$EJ$41,START!$C$3,2))/100</f>
        <v>63.870689015576232</v>
      </c>
      <c r="AN102" s="197">
        <f>AM102*(100+INDEX('DEFAULT DATA'!$EH$9:$EJ$41,START!$C$3,2))/100</f>
        <v>64.764878661794299</v>
      </c>
      <c r="AO102" s="197">
        <f>AN102*(100+INDEX('DEFAULT DATA'!$EH$9:$EJ$41,START!$C$3,2))/100</f>
        <v>65.671586963059426</v>
      </c>
      <c r="AP102" s="197">
        <f>AO102*(100+INDEX('DEFAULT DATA'!$EH$9:$EJ$41,START!$C$3,2))/100</f>
        <v>66.590989180542266</v>
      </c>
      <c r="AQ102" s="197">
        <f>AP102*(100+INDEX('DEFAULT DATA'!$EH$9:$EJ$41,START!$C$3,2))/100</f>
        <v>67.523263029069852</v>
      </c>
      <c r="AR102" s="197">
        <f>AQ102*(100+INDEX('DEFAULT DATA'!$EH$9:$EJ$41,START!$C$3,3))/100</f>
        <v>68.468588711476826</v>
      </c>
      <c r="AS102" s="197">
        <f>AR102*(100+INDEX('DEFAULT DATA'!$EH$9:$EJ$41,START!$C$3,3))/100</f>
        <v>69.427148953437509</v>
      </c>
      <c r="AT102" s="197">
        <f>AS102*(100+INDEX('DEFAULT DATA'!$EH$9:$EJ$41,START!$C$3,3))/100</f>
        <v>70.399129038785645</v>
      </c>
      <c r="AU102" s="197">
        <f>AT102*(100+INDEX('DEFAULT DATA'!$EH$9:$EJ$41,START!$C$3,3))/100</f>
        <v>71.384716845328654</v>
      </c>
      <c r="AV102" s="197">
        <f>AU102*(100+INDEX('DEFAULT DATA'!$EH$9:$EJ$41,START!$C$3,3))/100</f>
        <v>72.384102881163258</v>
      </c>
      <c r="AW102" s="197">
        <f>AV102*(100+INDEX('DEFAULT DATA'!$EH$9:$EJ$41,START!$C$3,3))/100</f>
        <v>73.397480321499557</v>
      </c>
      <c r="AX102" s="197">
        <f>AW102*(100+INDEX('DEFAULT DATA'!$EH$9:$EJ$41,START!$C$3,3))/100</f>
        <v>74.425045046000562</v>
      </c>
      <c r="AY102" s="197">
        <f>AX102*(100+INDEX('DEFAULT DATA'!$EH$9:$EJ$41,START!$C$3,3))/100</f>
        <v>75.466995676644572</v>
      </c>
      <c r="AZ102" s="197">
        <f>AY102*(100+INDEX('DEFAULT DATA'!$EH$9:$EJ$41,START!$C$3,3))/100</f>
        <v>76.523533616117604</v>
      </c>
      <c r="BA102" s="566">
        <f>AZ102*(100+INDEX('DEFAULT DATA'!$EH$9:$EJ$41,START!$C$3,3))/100</f>
        <v>77.59486308674326</v>
      </c>
      <c r="BC102" s="677">
        <v>26</v>
      </c>
      <c r="BD102" s="680" t="str">
        <f t="shared" si="81"/>
        <v>(F49/100*INDEX('DEFAULT DATA'!$GI$9:$IN$41,START!$B$3,26)/INDEX('DEFAULT DATA'!$DX$9:$DX$41,START!$B$3,1))+</v>
      </c>
      <c r="BE102" s="693"/>
      <c r="BF102" s="693"/>
      <c r="BG102" s="693"/>
      <c r="BH102" s="693"/>
      <c r="BI102" s="637"/>
      <c r="BJ102" s="637"/>
      <c r="BK102" s="637"/>
      <c r="BL102" s="682"/>
      <c r="BM102" s="367">
        <v>49</v>
      </c>
      <c r="BN102" s="684" t="s">
        <v>2543</v>
      </c>
    </row>
    <row r="103" spans="1:66" ht="20.100000000000001" customHeight="1" thickBot="1">
      <c r="A103" s="27"/>
      <c r="B103" s="21"/>
      <c r="C103" s="21"/>
      <c r="D103" s="21"/>
      <c r="E103" s="21"/>
      <c r="F103" s="30"/>
      <c r="G103" s="21"/>
      <c r="H103" s="21"/>
      <c r="I103" s="67"/>
      <c r="J103" s="67"/>
      <c r="K103" s="67"/>
      <c r="L103" s="24"/>
      <c r="M103" s="67"/>
      <c r="N103" s="67"/>
      <c r="O103" s="31"/>
      <c r="P103" s="239"/>
      <c r="Q103" s="239"/>
      <c r="R103" s="239"/>
      <c r="S103" s="708"/>
      <c r="T103" s="708"/>
      <c r="U103" s="708"/>
      <c r="V103" s="708"/>
      <c r="W103" s="708"/>
      <c r="X103" s="708"/>
      <c r="Y103" s="708"/>
      <c r="Z103" s="708"/>
      <c r="AA103" s="708"/>
      <c r="AB103" s="708"/>
      <c r="AC103" s="708"/>
      <c r="AD103" s="708"/>
      <c r="AE103" s="708"/>
      <c r="AF103" s="708"/>
      <c r="AG103" s="708"/>
      <c r="AH103" s="708"/>
      <c r="AI103" s="708"/>
      <c r="AJ103" s="708"/>
      <c r="AK103" s="708"/>
      <c r="AL103" s="708"/>
      <c r="AM103" s="708"/>
      <c r="AN103" s="708"/>
      <c r="AO103" s="708"/>
      <c r="AP103" s="708"/>
      <c r="AQ103" s="708"/>
      <c r="AR103" s="708"/>
      <c r="AS103" s="708"/>
      <c r="AT103" s="708"/>
      <c r="AU103" s="708"/>
      <c r="AV103" s="708"/>
      <c r="AW103" s="708"/>
      <c r="AX103" s="708"/>
      <c r="AY103" s="708"/>
      <c r="AZ103" s="708"/>
      <c r="BA103" s="708"/>
      <c r="BC103" s="677">
        <v>27</v>
      </c>
      <c r="BD103" s="680" t="str">
        <f t="shared" si="81"/>
        <v>(F50/100*INDEX('DEFAULT DATA'!$GI$9:$IN$41,START!$B$3,27)/INDEX('DEFAULT DATA'!$DX$9:$DX$41,START!$B$3,1))+</v>
      </c>
      <c r="BE103" s="693"/>
      <c r="BF103" s="693"/>
      <c r="BG103" s="693"/>
      <c r="BH103" s="693"/>
      <c r="BI103" s="637"/>
      <c r="BJ103" s="637"/>
      <c r="BK103" s="637"/>
      <c r="BL103" s="682"/>
      <c r="BM103" s="367">
        <v>50</v>
      </c>
      <c r="BN103" s="684" t="s">
        <v>2543</v>
      </c>
    </row>
    <row r="104" spans="1:66" ht="20.100000000000001" customHeight="1">
      <c r="A104" s="27"/>
      <c r="B104" s="21"/>
      <c r="C104" s="21"/>
      <c r="D104" s="21"/>
      <c r="E104" s="21"/>
      <c r="F104" s="21"/>
      <c r="G104" s="21"/>
      <c r="H104" s="21"/>
      <c r="I104" s="67"/>
      <c r="J104" s="67"/>
      <c r="K104" s="67"/>
      <c r="L104" s="24"/>
      <c r="M104" s="67"/>
      <c r="N104" s="67"/>
      <c r="O104" s="31"/>
      <c r="P104" s="239"/>
      <c r="Q104" s="239"/>
      <c r="R104" s="239"/>
      <c r="S104" s="299" t="s">
        <v>2051</v>
      </c>
      <c r="T104" s="662"/>
      <c r="U104" s="721"/>
      <c r="V104" s="714">
        <v>2019</v>
      </c>
      <c r="W104" s="714">
        <v>2020</v>
      </c>
      <c r="X104" s="714">
        <v>2021</v>
      </c>
      <c r="Y104" s="714">
        <f>X104+1</f>
        <v>2022</v>
      </c>
      <c r="Z104" s="714">
        <f t="shared" ref="Z104:BA104" si="94">Y104+1</f>
        <v>2023</v>
      </c>
      <c r="AA104" s="714">
        <f t="shared" si="94"/>
        <v>2024</v>
      </c>
      <c r="AB104" s="714">
        <f t="shared" si="94"/>
        <v>2025</v>
      </c>
      <c r="AC104" s="714">
        <f t="shared" si="94"/>
        <v>2026</v>
      </c>
      <c r="AD104" s="714">
        <f t="shared" si="94"/>
        <v>2027</v>
      </c>
      <c r="AE104" s="714">
        <f t="shared" si="94"/>
        <v>2028</v>
      </c>
      <c r="AF104" s="714">
        <f t="shared" si="94"/>
        <v>2029</v>
      </c>
      <c r="AG104" s="714">
        <f t="shared" si="94"/>
        <v>2030</v>
      </c>
      <c r="AH104" s="714">
        <f t="shared" si="94"/>
        <v>2031</v>
      </c>
      <c r="AI104" s="714">
        <f t="shared" si="94"/>
        <v>2032</v>
      </c>
      <c r="AJ104" s="714">
        <f t="shared" si="94"/>
        <v>2033</v>
      </c>
      <c r="AK104" s="714">
        <f t="shared" si="94"/>
        <v>2034</v>
      </c>
      <c r="AL104" s="714">
        <f t="shared" si="94"/>
        <v>2035</v>
      </c>
      <c r="AM104" s="714">
        <f t="shared" si="94"/>
        <v>2036</v>
      </c>
      <c r="AN104" s="714">
        <f t="shared" si="94"/>
        <v>2037</v>
      </c>
      <c r="AO104" s="714">
        <f t="shared" si="94"/>
        <v>2038</v>
      </c>
      <c r="AP104" s="714">
        <f t="shared" si="94"/>
        <v>2039</v>
      </c>
      <c r="AQ104" s="714">
        <f t="shared" si="94"/>
        <v>2040</v>
      </c>
      <c r="AR104" s="714">
        <f t="shared" si="94"/>
        <v>2041</v>
      </c>
      <c r="AS104" s="714">
        <f t="shared" si="94"/>
        <v>2042</v>
      </c>
      <c r="AT104" s="714">
        <f t="shared" si="94"/>
        <v>2043</v>
      </c>
      <c r="AU104" s="714">
        <f t="shared" si="94"/>
        <v>2044</v>
      </c>
      <c r="AV104" s="714">
        <f t="shared" si="94"/>
        <v>2045</v>
      </c>
      <c r="AW104" s="714">
        <f t="shared" si="94"/>
        <v>2046</v>
      </c>
      <c r="AX104" s="714">
        <f t="shared" si="94"/>
        <v>2047</v>
      </c>
      <c r="AY104" s="714">
        <f t="shared" si="94"/>
        <v>2048</v>
      </c>
      <c r="AZ104" s="714">
        <f t="shared" si="94"/>
        <v>2049</v>
      </c>
      <c r="BA104" s="153">
        <f t="shared" si="94"/>
        <v>2050</v>
      </c>
      <c r="BC104" s="677">
        <v>28</v>
      </c>
      <c r="BD104" s="680" t="str">
        <f t="shared" si="81"/>
        <v>(F51/100*INDEX('DEFAULT DATA'!$GI$9:$IN$41,START!$B$3,28)/INDEX('DEFAULT DATA'!$DX$9:$DX$41,START!$B$3,1))+</v>
      </c>
      <c r="BE104" s="693"/>
      <c r="BF104" s="693"/>
      <c r="BG104" s="693"/>
      <c r="BH104" s="693"/>
      <c r="BI104" s="637"/>
      <c r="BJ104" s="637"/>
      <c r="BK104" s="637"/>
      <c r="BL104" s="682"/>
      <c r="BM104" s="367">
        <v>51</v>
      </c>
      <c r="BN104" s="684" t="s">
        <v>2543</v>
      </c>
    </row>
    <row r="105" spans="1:66" ht="20.100000000000001" customHeight="1" thickBot="1">
      <c r="A105" s="27"/>
      <c r="B105" s="21"/>
      <c r="C105" s="21"/>
      <c r="D105" s="21"/>
      <c r="E105" s="21"/>
      <c r="F105" s="30"/>
      <c r="G105" s="21"/>
      <c r="H105" s="21"/>
      <c r="I105" s="67"/>
      <c r="J105" s="67"/>
      <c r="K105" s="67"/>
      <c r="L105" s="24"/>
      <c r="M105" s="67"/>
      <c r="N105" s="67"/>
      <c r="O105" s="31"/>
      <c r="P105" s="239"/>
      <c r="Q105" s="239"/>
      <c r="R105" s="239"/>
      <c r="S105" s="301"/>
      <c r="T105" s="676" t="s">
        <v>2058</v>
      </c>
      <c r="U105" s="343" t="s">
        <v>845</v>
      </c>
      <c r="V105" s="203"/>
      <c r="W105" s="203"/>
      <c r="X105" s="160">
        <f>INDEX('DEFAULT DATA'!$EG$9:$EG$41,START!$C$3,1)*X5</f>
        <v>1821.0958904109589</v>
      </c>
      <c r="Y105" s="160">
        <f>INDEX('DEFAULT DATA'!$EG$9:$EG$41,START!$C$3,1)*Y5</f>
        <v>1682.692602739726</v>
      </c>
      <c r="Z105" s="160">
        <f>INDEX('DEFAULT DATA'!$EG$9:$EG$41,START!$C$3,1)*Z5</f>
        <v>1554.8079649315071</v>
      </c>
      <c r="AA105" s="160">
        <f>INDEX('DEFAULT DATA'!$EG$9:$EG$41,START!$C$3,1)*AA5</f>
        <v>1436.6425595967125</v>
      </c>
      <c r="AB105" s="160">
        <f>INDEX('DEFAULT DATA'!$EG$9:$EG$41,START!$C$3,1)*AB5</f>
        <v>1327.4577250673624</v>
      </c>
      <c r="AC105" s="160">
        <f>INDEX('DEFAULT DATA'!$EG$9:$EG$41,START!$C$3,1)*AC5</f>
        <v>1226.5709379622431</v>
      </c>
      <c r="AD105" s="160">
        <f>INDEX('DEFAULT DATA'!$EG$9:$EG$41,START!$C$3,1)*AD5</f>
        <v>1133.3515466771128</v>
      </c>
      <c r="AE105" s="160">
        <f>INDEX('DEFAULT DATA'!$EG$9:$EG$41,START!$C$3,1)*AE5</f>
        <v>1047.2168291296521</v>
      </c>
      <c r="AF105" s="160">
        <f>INDEX('DEFAULT DATA'!$EG$9:$EG$41,START!$C$3,1)*AF5</f>
        <v>967.62835011579853</v>
      </c>
      <c r="AG105" s="160">
        <f>INDEX('DEFAULT DATA'!$EG$9:$EG$41,START!$C$3,1)*AG5</f>
        <v>894.08859550699788</v>
      </c>
      <c r="AH105" s="160">
        <f>INDEX('DEFAULT DATA'!$EG$9:$EG$41,START!$C$3,1)*AH5</f>
        <v>835.97283679904308</v>
      </c>
      <c r="AI105" s="160">
        <f>INDEX('DEFAULT DATA'!$EG$9:$EG$41,START!$C$3,1)*AI5</f>
        <v>781.63460240710538</v>
      </c>
      <c r="AJ105" s="160">
        <f>INDEX('DEFAULT DATA'!$EG$9:$EG$41,START!$C$3,1)*AJ5</f>
        <v>730.82835325064354</v>
      </c>
      <c r="AK105" s="160">
        <f>INDEX('DEFAULT DATA'!$EG$9:$EG$41,START!$C$3,1)*AK5</f>
        <v>683.32451028935168</v>
      </c>
      <c r="AL105" s="160">
        <f>INDEX('DEFAULT DATA'!$EG$9:$EG$41,START!$C$3,1)*AL5</f>
        <v>638.90841712054385</v>
      </c>
      <c r="AM105" s="160">
        <f>INDEX('DEFAULT DATA'!$EG$9:$EG$41,START!$C$3,1)*AM5</f>
        <v>597.37937000770853</v>
      </c>
      <c r="AN105" s="160">
        <f>INDEX('DEFAULT DATA'!$EG$9:$EG$41,START!$C$3,1)*AN5</f>
        <v>558.54971095720759</v>
      </c>
      <c r="AO105" s="160">
        <f>INDEX('DEFAULT DATA'!$EG$9:$EG$41,START!$C$3,1)*AO5</f>
        <v>522.24397974498913</v>
      </c>
      <c r="AP105" s="160">
        <f>INDEX('DEFAULT DATA'!$EG$9:$EG$41,START!$C$3,1)*AP5</f>
        <v>488.29812106156487</v>
      </c>
      <c r="AQ105" s="160">
        <f>INDEX('DEFAULT DATA'!$EG$9:$EG$41,START!$C$3,1)*AQ5</f>
        <v>456.55874319256321</v>
      </c>
      <c r="AR105" s="160">
        <f>INDEX('DEFAULT DATA'!$EG$9:$EG$41,START!$C$3,1)*AR5</f>
        <v>426.88242488504665</v>
      </c>
      <c r="AS105" s="160">
        <f>INDEX('DEFAULT DATA'!$EG$9:$EG$41,START!$C$3,1)*AS5</f>
        <v>399.13506726751859</v>
      </c>
      <c r="AT105" s="160">
        <f>INDEX('DEFAULT DATA'!$EG$9:$EG$41,START!$C$3,1)*AT5</f>
        <v>373.19128789512996</v>
      </c>
      <c r="AU105" s="160">
        <f>INDEX('DEFAULT DATA'!$EG$9:$EG$41,START!$C$3,1)*AU5</f>
        <v>348.93385418194657</v>
      </c>
      <c r="AV105" s="160">
        <f>INDEX('DEFAULT DATA'!$EG$9:$EG$41,START!$C$3,1)*AV5</f>
        <v>326.25315366012001</v>
      </c>
      <c r="AW105" s="160">
        <f>INDEX('DEFAULT DATA'!$EG$9:$EG$41,START!$C$3,1)*AW5</f>
        <v>305.04669867221224</v>
      </c>
      <c r="AX105" s="160">
        <f>INDEX('DEFAULT DATA'!$EG$9:$EG$41,START!$C$3,1)*AX5</f>
        <v>285.21866325851846</v>
      </c>
      <c r="AY105" s="160">
        <f>INDEX('DEFAULT DATA'!$EG$9:$EG$41,START!$C$3,1)*AY5</f>
        <v>266.67945014671477</v>
      </c>
      <c r="AZ105" s="160">
        <f>INDEX('DEFAULT DATA'!$EG$9:$EG$41,START!$C$3,1)*AZ5</f>
        <v>249.34528588717831</v>
      </c>
      <c r="BA105" s="160">
        <f>INDEX('DEFAULT DATA'!$EG$9:$EG$41,START!$C$3,1)*BA5</f>
        <v>233.13784230451174</v>
      </c>
      <c r="BC105" s="677">
        <v>29</v>
      </c>
      <c r="BD105" s="680" t="str">
        <f t="shared" si="81"/>
        <v>(F52/100*INDEX('DEFAULT DATA'!$GI$9:$IN$41,START!$B$3,29)/INDEX('DEFAULT DATA'!$DX$9:$DX$41,START!$B$3,1))+</v>
      </c>
      <c r="BE105" s="693"/>
      <c r="BF105" s="693"/>
      <c r="BG105" s="693"/>
      <c r="BH105" s="693"/>
      <c r="BI105" s="637"/>
      <c r="BJ105" s="637"/>
      <c r="BK105" s="637"/>
      <c r="BL105" s="682"/>
      <c r="BM105" s="367">
        <v>52</v>
      </c>
      <c r="BN105" s="684" t="s">
        <v>2543</v>
      </c>
    </row>
    <row r="106" spans="1:66" ht="20.100000000000001" customHeight="1" thickBot="1">
      <c r="A106" s="27"/>
      <c r="B106" s="21"/>
      <c r="C106" s="21"/>
      <c r="D106" s="21"/>
      <c r="E106" s="21"/>
      <c r="F106" s="30"/>
      <c r="G106" s="21"/>
      <c r="H106" s="21"/>
      <c r="I106" s="68"/>
      <c r="J106" s="68"/>
      <c r="K106" s="68"/>
      <c r="L106" s="24"/>
      <c r="M106" s="68"/>
      <c r="N106" s="68"/>
      <c r="O106" s="32"/>
      <c r="P106" s="240"/>
      <c r="Q106" s="240"/>
      <c r="R106" s="240"/>
      <c r="S106" s="708"/>
      <c r="T106" s="708"/>
      <c r="U106" s="708"/>
      <c r="V106" s="708"/>
      <c r="W106" s="708"/>
      <c r="X106" s="708"/>
      <c r="Y106" s="708"/>
      <c r="Z106" s="708"/>
      <c r="AA106" s="708"/>
      <c r="AB106" s="708"/>
      <c r="AC106" s="708"/>
      <c r="AD106" s="708"/>
      <c r="AE106" s="708"/>
      <c r="AF106" s="708"/>
      <c r="AG106" s="708"/>
      <c r="AH106" s="708"/>
      <c r="AI106" s="708"/>
      <c r="AJ106" s="708"/>
      <c r="AK106" s="708"/>
      <c r="AL106" s="708"/>
      <c r="AM106" s="708"/>
      <c r="AN106" s="708"/>
      <c r="AO106" s="708"/>
      <c r="AP106" s="708"/>
      <c r="AQ106" s="708"/>
      <c r="AR106" s="708"/>
      <c r="AS106" s="708"/>
      <c r="AT106" s="708"/>
      <c r="AU106" s="708"/>
      <c r="AV106" s="708"/>
      <c r="AW106" s="708"/>
      <c r="AX106" s="708"/>
      <c r="AY106" s="708"/>
      <c r="AZ106" s="708"/>
      <c r="BA106" s="708"/>
      <c r="BC106" s="677">
        <v>30</v>
      </c>
      <c r="BD106" s="680" t="str">
        <f t="shared" si="81"/>
        <v>(F53/100*INDEX('DEFAULT DATA'!$GI$9:$IN$41,START!$B$3,30)/INDEX('DEFAULT DATA'!$DX$9:$DX$41,START!$B$3,1))+</v>
      </c>
      <c r="BE106" s="693"/>
      <c r="BF106" s="693"/>
      <c r="BG106" s="693"/>
      <c r="BH106" s="693"/>
      <c r="BI106" s="637"/>
      <c r="BJ106" s="637"/>
      <c r="BK106" s="637"/>
      <c r="BL106" s="682"/>
      <c r="BM106" s="367">
        <v>53</v>
      </c>
      <c r="BN106" s="684" t="s">
        <v>2543</v>
      </c>
    </row>
    <row r="107" spans="1:66" ht="20.100000000000001" customHeight="1">
      <c r="A107" s="27"/>
      <c r="B107" s="21"/>
      <c r="C107" s="21"/>
      <c r="D107" s="21"/>
      <c r="E107" s="21"/>
      <c r="F107" s="30"/>
      <c r="G107" s="21"/>
      <c r="H107" s="21"/>
      <c r="I107" s="67"/>
      <c r="J107" s="67"/>
      <c r="K107" s="67"/>
      <c r="L107" s="24"/>
      <c r="M107" s="67"/>
      <c r="N107" s="67"/>
      <c r="O107" s="31"/>
      <c r="P107" s="239"/>
      <c r="Q107" s="239"/>
      <c r="R107" s="239"/>
      <c r="S107" s="299" t="s">
        <v>619</v>
      </c>
      <c r="T107" s="719" t="s">
        <v>843</v>
      </c>
      <c r="U107" s="569"/>
      <c r="V107" s="714">
        <v>2019</v>
      </c>
      <c r="W107" s="714">
        <v>2020</v>
      </c>
      <c r="X107" s="714">
        <v>2021</v>
      </c>
      <c r="Y107" s="714">
        <f>X107+1</f>
        <v>2022</v>
      </c>
      <c r="Z107" s="714">
        <f t="shared" ref="Z107:BA107" si="95">Y107+1</f>
        <v>2023</v>
      </c>
      <c r="AA107" s="714">
        <f t="shared" si="95"/>
        <v>2024</v>
      </c>
      <c r="AB107" s="714">
        <f t="shared" si="95"/>
        <v>2025</v>
      </c>
      <c r="AC107" s="714">
        <f t="shared" si="95"/>
        <v>2026</v>
      </c>
      <c r="AD107" s="714">
        <f t="shared" si="95"/>
        <v>2027</v>
      </c>
      <c r="AE107" s="714">
        <f t="shared" si="95"/>
        <v>2028</v>
      </c>
      <c r="AF107" s="714">
        <f t="shared" si="95"/>
        <v>2029</v>
      </c>
      <c r="AG107" s="714">
        <f t="shared" si="95"/>
        <v>2030</v>
      </c>
      <c r="AH107" s="714">
        <f t="shared" si="95"/>
        <v>2031</v>
      </c>
      <c r="AI107" s="714">
        <f t="shared" si="95"/>
        <v>2032</v>
      </c>
      <c r="AJ107" s="714">
        <f t="shared" si="95"/>
        <v>2033</v>
      </c>
      <c r="AK107" s="714">
        <f t="shared" si="95"/>
        <v>2034</v>
      </c>
      <c r="AL107" s="714">
        <f t="shared" si="95"/>
        <v>2035</v>
      </c>
      <c r="AM107" s="714">
        <f t="shared" si="95"/>
        <v>2036</v>
      </c>
      <c r="AN107" s="714">
        <f t="shared" si="95"/>
        <v>2037</v>
      </c>
      <c r="AO107" s="714">
        <f t="shared" si="95"/>
        <v>2038</v>
      </c>
      <c r="AP107" s="714">
        <f t="shared" si="95"/>
        <v>2039</v>
      </c>
      <c r="AQ107" s="714">
        <f t="shared" si="95"/>
        <v>2040</v>
      </c>
      <c r="AR107" s="714">
        <f t="shared" si="95"/>
        <v>2041</v>
      </c>
      <c r="AS107" s="714">
        <f t="shared" si="95"/>
        <v>2042</v>
      </c>
      <c r="AT107" s="714">
        <f t="shared" si="95"/>
        <v>2043</v>
      </c>
      <c r="AU107" s="714">
        <f t="shared" si="95"/>
        <v>2044</v>
      </c>
      <c r="AV107" s="714">
        <f t="shared" si="95"/>
        <v>2045</v>
      </c>
      <c r="AW107" s="714">
        <f t="shared" si="95"/>
        <v>2046</v>
      </c>
      <c r="AX107" s="714">
        <f t="shared" si="95"/>
        <v>2047</v>
      </c>
      <c r="AY107" s="714">
        <f t="shared" si="95"/>
        <v>2048</v>
      </c>
      <c r="AZ107" s="714">
        <f t="shared" si="95"/>
        <v>2049</v>
      </c>
      <c r="BA107" s="153">
        <f t="shared" si="95"/>
        <v>2050</v>
      </c>
      <c r="BC107" s="677">
        <v>31</v>
      </c>
      <c r="BD107" s="680" t="str">
        <f t="shared" si="81"/>
        <v>(F54/100*INDEX('DEFAULT DATA'!$GI$9:$IN$41,START!$B$3,31)/INDEX('DEFAULT DATA'!$DX$9:$DX$41,START!$B$3,1))+</v>
      </c>
      <c r="BE107" s="693"/>
      <c r="BF107" s="693"/>
      <c r="BG107" s="693"/>
      <c r="BH107" s="693"/>
      <c r="BI107" s="637"/>
      <c r="BJ107" s="637"/>
      <c r="BK107" s="637"/>
      <c r="BL107" s="682"/>
      <c r="BM107" s="367">
        <v>54</v>
      </c>
      <c r="BN107" s="684" t="s">
        <v>2543</v>
      </c>
    </row>
    <row r="108" spans="1:66" ht="20.100000000000001" customHeight="1" thickBot="1">
      <c r="A108" s="27"/>
      <c r="B108" s="21"/>
      <c r="C108" s="21"/>
      <c r="D108" s="21"/>
      <c r="E108" s="21"/>
      <c r="F108" s="30"/>
      <c r="G108" s="21"/>
      <c r="H108" s="21"/>
      <c r="I108" s="68"/>
      <c r="J108" s="68"/>
      <c r="K108" s="68"/>
      <c r="L108" s="24"/>
      <c r="M108" s="68"/>
      <c r="N108" s="68"/>
      <c r="O108" s="32"/>
      <c r="P108" s="240"/>
      <c r="Q108" s="240"/>
      <c r="R108" s="240"/>
      <c r="S108" s="301" t="s">
        <v>852</v>
      </c>
      <c r="T108" s="570" t="s">
        <v>2584</v>
      </c>
      <c r="U108" s="343" t="s">
        <v>2578</v>
      </c>
      <c r="V108" s="343"/>
      <c r="W108" s="203"/>
      <c r="X108" s="160">
        <f t="shared" ref="X108:BA108" si="96">X102*X105/1000</f>
        <v>93.586305994605254</v>
      </c>
      <c r="Y108" s="197">
        <f t="shared" si="96"/>
        <v>87.770852940100482</v>
      </c>
      <c r="Z108" s="197">
        <f t="shared" si="96"/>
        <v>82.316772138402655</v>
      </c>
      <c r="AA108" s="197">
        <f t="shared" si="96"/>
        <v>77.201607917722313</v>
      </c>
      <c r="AB108" s="197">
        <f t="shared" si="96"/>
        <v>72.404300001715029</v>
      </c>
      <c r="AC108" s="197">
        <f t="shared" si="96"/>
        <v>67.905096799608486</v>
      </c>
      <c r="AD108" s="197">
        <f t="shared" si="96"/>
        <v>63.685474084480809</v>
      </c>
      <c r="AE108" s="197">
        <f t="shared" si="96"/>
        <v>59.728058724871168</v>
      </c>
      <c r="AF108" s="197">
        <f t="shared" si="96"/>
        <v>56.016557155707673</v>
      </c>
      <c r="AG108" s="197">
        <f t="shared" si="96"/>
        <v>52.535688294052001</v>
      </c>
      <c r="AH108" s="197">
        <f t="shared" si="96"/>
        <v>49.808560714707767</v>
      </c>
      <c r="AI108" s="197">
        <f t="shared" si="96"/>
        <v>47.222998328007293</v>
      </c>
      <c r="AJ108" s="197">
        <f t="shared" si="96"/>
        <v>44.771652484800441</v>
      </c>
      <c r="AK108" s="197">
        <f t="shared" si="96"/>
        <v>42.44755600431445</v>
      </c>
      <c r="AL108" s="197">
        <f t="shared" si="96"/>
        <v>40.244103372130489</v>
      </c>
      <c r="AM108" s="197">
        <f t="shared" si="96"/>
        <v>38.155031966083193</v>
      </c>
      <c r="AN108" s="197">
        <f t="shared" si="96"/>
        <v>36.174404256723825</v>
      </c>
      <c r="AO108" s="197">
        <f t="shared" si="96"/>
        <v>34.296590931757301</v>
      </c>
      <c r="AP108" s="197">
        <f t="shared" si="96"/>
        <v>32.516254896489784</v>
      </c>
      <c r="AQ108" s="197">
        <f t="shared" si="96"/>
        <v>30.828336104812998</v>
      </c>
      <c r="AR108" s="197">
        <f t="shared" si="96"/>
        <v>29.228037177612158</v>
      </c>
      <c r="AS108" s="197">
        <f t="shared" si="96"/>
        <v>27.710809767722314</v>
      </c>
      <c r="AT108" s="197">
        <f t="shared" si="96"/>
        <v>26.272341632679858</v>
      </c>
      <c r="AU108" s="197">
        <f t="shared" si="96"/>
        <v>24.908544378527456</v>
      </c>
      <c r="AV108" s="197">
        <f t="shared" si="96"/>
        <v>23.615541839838095</v>
      </c>
      <c r="AW108" s="197">
        <f t="shared" si="96"/>
        <v>22.389659062932104</v>
      </c>
      <c r="AX108" s="197">
        <f t="shared" si="96"/>
        <v>21.227411860975302</v>
      </c>
      <c r="AY108" s="197">
        <f t="shared" si="96"/>
        <v>20.125496911272077</v>
      </c>
      <c r="AZ108" s="197">
        <f t="shared" si="96"/>
        <v>19.080782366607941</v>
      </c>
      <c r="BA108" s="566">
        <f t="shared" si="96"/>
        <v>18.09029895395733</v>
      </c>
      <c r="BC108" s="677">
        <v>32</v>
      </c>
      <c r="BD108" s="680" t="str">
        <f t="shared" si="81"/>
        <v>(F55/100*INDEX('DEFAULT DATA'!$GI$9:$IN$41,START!$B$3,32)/INDEX('DEFAULT DATA'!$DX$9:$DX$41,START!$B$3,1))+</v>
      </c>
      <c r="BE108" s="693"/>
      <c r="BF108" s="693"/>
      <c r="BG108" s="693"/>
      <c r="BH108" s="693"/>
      <c r="BI108" s="637"/>
      <c r="BJ108" s="637"/>
      <c r="BK108" s="637"/>
      <c r="BL108" s="682"/>
      <c r="BM108" s="367">
        <v>55</v>
      </c>
      <c r="BN108" s="684" t="s">
        <v>2543</v>
      </c>
    </row>
    <row r="109" spans="1:66" ht="20.100000000000001" customHeight="1">
      <c r="A109" s="27"/>
      <c r="B109" s="21"/>
      <c r="C109" s="21"/>
      <c r="D109" s="21"/>
      <c r="E109" s="21"/>
      <c r="F109" s="30"/>
      <c r="G109" s="21"/>
      <c r="H109" s="21"/>
      <c r="I109" s="67"/>
      <c r="J109" s="67"/>
      <c r="K109" s="67"/>
      <c r="L109" s="24"/>
      <c r="M109" s="67"/>
      <c r="N109" s="67"/>
      <c r="O109" s="31"/>
      <c r="P109" s="239"/>
      <c r="Q109" s="239"/>
      <c r="R109" s="239"/>
      <c r="BC109" s="677">
        <v>33</v>
      </c>
      <c r="BD109" s="680" t="str">
        <f t="shared" si="81"/>
        <v>(F56/100*INDEX('DEFAULT DATA'!$GI$9:$IN$41,START!$B$3,33)/INDEX('DEFAULT DATA'!$DX$9:$DX$41,START!$B$3,1))+</v>
      </c>
      <c r="BE109" s="693"/>
      <c r="BF109" s="693"/>
      <c r="BG109" s="693"/>
      <c r="BH109" s="693"/>
      <c r="BI109" s="637"/>
      <c r="BJ109" s="637"/>
      <c r="BK109" s="637"/>
      <c r="BL109" s="682"/>
      <c r="BM109" s="367">
        <v>56</v>
      </c>
      <c r="BN109" s="684" t="s">
        <v>2543</v>
      </c>
    </row>
    <row r="110" spans="1:66" ht="20.100000000000001" customHeight="1" thickBot="1">
      <c r="A110" s="27"/>
      <c r="B110" s="21"/>
      <c r="C110" s="21"/>
      <c r="D110" s="21"/>
      <c r="E110" s="21"/>
      <c r="F110" s="30"/>
      <c r="G110" s="21"/>
      <c r="H110" s="21"/>
      <c r="I110" s="68"/>
      <c r="J110" s="68"/>
      <c r="K110" s="68"/>
      <c r="L110" s="24"/>
      <c r="M110" s="68"/>
      <c r="N110" s="68"/>
      <c r="O110" s="32"/>
      <c r="P110" s="240"/>
      <c r="Q110" s="240"/>
      <c r="R110" s="240"/>
      <c r="S110" s="237" t="s">
        <v>853</v>
      </c>
      <c r="BC110" s="677">
        <v>34</v>
      </c>
      <c r="BD110" s="680" t="str">
        <f t="shared" si="81"/>
        <v>(F57/100*INDEX('DEFAULT DATA'!$GI$9:$IN$41,START!$B$3,34)/INDEX('DEFAULT DATA'!$DX$9:$DX$41,START!$B$3,1))+</v>
      </c>
      <c r="BE110" s="693"/>
      <c r="BF110" s="693"/>
      <c r="BG110" s="693"/>
      <c r="BH110" s="693"/>
      <c r="BI110" s="637"/>
      <c r="BJ110" s="637"/>
      <c r="BK110" s="637"/>
      <c r="BL110" s="682"/>
      <c r="BM110" s="367">
        <v>57</v>
      </c>
      <c r="BN110" s="684" t="s">
        <v>2543</v>
      </c>
    </row>
    <row r="111" spans="1:66" ht="20.100000000000001" customHeight="1">
      <c r="A111" s="27"/>
      <c r="B111" s="21"/>
      <c r="C111" s="21"/>
      <c r="D111" s="21"/>
      <c r="E111" s="21"/>
      <c r="F111" s="30"/>
      <c r="G111" s="21"/>
      <c r="H111" s="21"/>
      <c r="I111" s="67"/>
      <c r="J111" s="67"/>
      <c r="K111" s="67"/>
      <c r="L111" s="24"/>
      <c r="M111" s="67"/>
      <c r="N111" s="67"/>
      <c r="O111" s="31"/>
      <c r="P111" s="239"/>
      <c r="Q111" s="239"/>
      <c r="R111" s="239"/>
      <c r="S111" s="715" t="s">
        <v>854</v>
      </c>
      <c r="T111" s="711" t="s">
        <v>855</v>
      </c>
      <c r="U111" s="712"/>
      <c r="V111" s="727">
        <v>2019</v>
      </c>
      <c r="W111" s="727">
        <v>2020</v>
      </c>
      <c r="X111" s="727">
        <v>2021</v>
      </c>
      <c r="Y111" s="727">
        <f>X111+1</f>
        <v>2022</v>
      </c>
      <c r="Z111" s="727">
        <f t="shared" ref="Z111:BA111" si="97">Y111+1</f>
        <v>2023</v>
      </c>
      <c r="AA111" s="727">
        <f t="shared" si="97"/>
        <v>2024</v>
      </c>
      <c r="AB111" s="727">
        <f t="shared" si="97"/>
        <v>2025</v>
      </c>
      <c r="AC111" s="727">
        <f t="shared" si="97"/>
        <v>2026</v>
      </c>
      <c r="AD111" s="727">
        <f t="shared" si="97"/>
        <v>2027</v>
      </c>
      <c r="AE111" s="727">
        <f t="shared" si="97"/>
        <v>2028</v>
      </c>
      <c r="AF111" s="727">
        <f t="shared" si="97"/>
        <v>2029</v>
      </c>
      <c r="AG111" s="727">
        <f t="shared" si="97"/>
        <v>2030</v>
      </c>
      <c r="AH111" s="727">
        <f t="shared" si="97"/>
        <v>2031</v>
      </c>
      <c r="AI111" s="727">
        <f t="shared" si="97"/>
        <v>2032</v>
      </c>
      <c r="AJ111" s="727">
        <f t="shared" si="97"/>
        <v>2033</v>
      </c>
      <c r="AK111" s="727">
        <f t="shared" si="97"/>
        <v>2034</v>
      </c>
      <c r="AL111" s="727">
        <f t="shared" si="97"/>
        <v>2035</v>
      </c>
      <c r="AM111" s="727">
        <f t="shared" si="97"/>
        <v>2036</v>
      </c>
      <c r="AN111" s="727">
        <f t="shared" si="97"/>
        <v>2037</v>
      </c>
      <c r="AO111" s="727">
        <f t="shared" si="97"/>
        <v>2038</v>
      </c>
      <c r="AP111" s="727">
        <f t="shared" si="97"/>
        <v>2039</v>
      </c>
      <c r="AQ111" s="727">
        <f t="shared" si="97"/>
        <v>2040</v>
      </c>
      <c r="AR111" s="727">
        <f t="shared" si="97"/>
        <v>2041</v>
      </c>
      <c r="AS111" s="727">
        <f t="shared" si="97"/>
        <v>2042</v>
      </c>
      <c r="AT111" s="727">
        <f t="shared" si="97"/>
        <v>2043</v>
      </c>
      <c r="AU111" s="727">
        <f t="shared" si="97"/>
        <v>2044</v>
      </c>
      <c r="AV111" s="727">
        <f t="shared" si="97"/>
        <v>2045</v>
      </c>
      <c r="AW111" s="727">
        <f t="shared" si="97"/>
        <v>2046</v>
      </c>
      <c r="AX111" s="727">
        <f t="shared" si="97"/>
        <v>2047</v>
      </c>
      <c r="AY111" s="727">
        <f t="shared" si="97"/>
        <v>2048</v>
      </c>
      <c r="AZ111" s="727">
        <f t="shared" si="97"/>
        <v>2049</v>
      </c>
      <c r="BA111" s="153">
        <f t="shared" si="97"/>
        <v>2050</v>
      </c>
      <c r="BC111" s="677">
        <v>35</v>
      </c>
      <c r="BD111" s="680" t="str">
        <f t="shared" si="81"/>
        <v>(F58/100*INDEX('DEFAULT DATA'!$GI$9:$IN$41,START!$B$3,35)/INDEX('DEFAULT DATA'!$DX$9:$DX$41,START!$B$3,1))+</v>
      </c>
      <c r="BE111" s="693"/>
      <c r="BF111" s="693"/>
      <c r="BG111" s="693"/>
      <c r="BH111" s="693"/>
      <c r="BI111" s="637"/>
      <c r="BJ111" s="637"/>
      <c r="BK111" s="637"/>
      <c r="BL111" s="682"/>
      <c r="BM111" s="367">
        <v>58</v>
      </c>
      <c r="BN111" s="684" t="s">
        <v>2543</v>
      </c>
    </row>
    <row r="112" spans="1:66" ht="20.100000000000001" customHeight="1" thickBot="1">
      <c r="A112" s="27"/>
      <c r="B112" s="21"/>
      <c r="C112" s="21"/>
      <c r="D112" s="21"/>
      <c r="E112" s="21"/>
      <c r="F112" s="30"/>
      <c r="G112" s="21"/>
      <c r="H112" s="21"/>
      <c r="I112" s="68"/>
      <c r="J112" s="68"/>
      <c r="K112" s="68"/>
      <c r="L112" s="24"/>
      <c r="M112" s="68"/>
      <c r="N112" s="68"/>
      <c r="O112" s="32"/>
      <c r="P112" s="240"/>
      <c r="Q112" s="240"/>
      <c r="R112" s="240"/>
      <c r="S112" s="716"/>
      <c r="T112" s="571" t="s">
        <v>2589</v>
      </c>
      <c r="U112" s="540"/>
      <c r="V112" s="540"/>
      <c r="W112" s="540"/>
      <c r="X112" s="197">
        <f>INDEX('DEFAULT DATA'!$IW$9:$IW$41,START!$C$3,1)/INDEX('DEFAULT DATA'!IX9:IX41,START!C3,1)*TRANSPORT!Z21</f>
        <v>1.7773508914456806</v>
      </c>
      <c r="Y112" s="197">
        <f>X112*(100+INDEX('DEFAULT DATA'!$JB$9:$JD$41,START!$C$3,1))/100</f>
        <v>1.8040111548173658</v>
      </c>
      <c r="Z112" s="197">
        <f>Y112*(100+INDEX('DEFAULT DATA'!$JB$9:$JD$41,START!$C$3,1))/100</f>
        <v>1.8310713221396264</v>
      </c>
      <c r="AA112" s="197">
        <f>Z112*(100+INDEX('DEFAULT DATA'!$JB$9:$JD$41,START!$C$3,1))/100</f>
        <v>1.8585373919717207</v>
      </c>
      <c r="AB112" s="197">
        <f>AA112*(100+INDEX('DEFAULT DATA'!$JB$9:$JD$41,START!$C$3,1))/100</f>
        <v>1.8864154528512966</v>
      </c>
      <c r="AC112" s="197">
        <f>AB112*(100+INDEX('DEFAULT DATA'!$JB$9:$JD$41,START!$C$3,1))/100</f>
        <v>1.9147116846440662</v>
      </c>
      <c r="AD112" s="197">
        <f>AC112*(100+INDEX('DEFAULT DATA'!$JB$9:$JD$41,START!$C$3,1))/100</f>
        <v>1.9434323599137273</v>
      </c>
      <c r="AE112" s="197">
        <f>AD112*(100+INDEX('DEFAULT DATA'!$JB$9:$JD$41,START!$C$3,1))/100</f>
        <v>1.9725838453124331</v>
      </c>
      <c r="AF112" s="197">
        <f>AE112*(100+INDEX('DEFAULT DATA'!$JB$9:$JD$41,START!$C$3,1))/100</f>
        <v>2.0021726029921196</v>
      </c>
      <c r="AG112" s="197">
        <f>AF112*(100+INDEX('DEFAULT DATA'!$JB$9:$JD$41,START!$C$3,1))/100</f>
        <v>2.0322051920370017</v>
      </c>
      <c r="AH112" s="197">
        <f>AG112*(100+INDEX('DEFAULT DATA'!$JB$9:$JD$41,START!$C$3,2))/100</f>
        <v>2.0606560647255199</v>
      </c>
      <c r="AI112" s="197">
        <f>AH112*(100+INDEX('DEFAULT DATA'!$JB$9:$JD$41,START!$C$3,2))/100</f>
        <v>2.0895052496316775</v>
      </c>
      <c r="AJ112" s="197">
        <f>AI112*(100+INDEX('DEFAULT DATA'!$JB$9:$JD$41,START!$C$3,2))/100</f>
        <v>2.1187583231265212</v>
      </c>
      <c r="AK112" s="197">
        <f>AJ112*(100+INDEX('DEFAULT DATA'!$JB$9:$JD$41,START!$C$3,2))/100</f>
        <v>2.1484209396502929</v>
      </c>
      <c r="AL112" s="197">
        <f>AK112*(100+INDEX('DEFAULT DATA'!$JB$9:$JD$41,START!$C$3,2))/100</f>
        <v>2.1784988328053969</v>
      </c>
      <c r="AM112" s="197">
        <f>AL112*(100+INDEX('DEFAULT DATA'!$JB$9:$JD$41,START!$C$3,2))/100</f>
        <v>2.2089978164646724</v>
      </c>
      <c r="AN112" s="197">
        <f>AM112*(100+INDEX('DEFAULT DATA'!$JB$9:$JD$41,START!$C$3,2))/100</f>
        <v>2.2399237858951779</v>
      </c>
      <c r="AO112" s="197">
        <f>AN112*(100+INDEX('DEFAULT DATA'!$JB$9:$JD$41,START!$C$3,2))/100</f>
        <v>2.2712827188977105</v>
      </c>
      <c r="AP112" s="197">
        <f>AO112*(100+INDEX('DEFAULT DATA'!$JB$9:$JD$41,START!$C$3,2))/100</f>
        <v>2.3030806769622787</v>
      </c>
      <c r="AQ112" s="197">
        <f>AP112*(100+INDEX('DEFAULT DATA'!$JB$9:$JD$41,START!$C$3,2))/100</f>
        <v>2.3353238064397508</v>
      </c>
      <c r="AR112" s="197">
        <f>AQ112*(100+INDEX('DEFAULT DATA'!$JB$9:$JD$41,START!$C$3,3))/100</f>
        <v>2.3680183397299075</v>
      </c>
      <c r="AS112" s="197">
        <f>AR112*(100+INDEX('DEFAULT DATA'!$JB$9:$JD$41,START!$C$3,3))/100</f>
        <v>2.4011705964861263</v>
      </c>
      <c r="AT112" s="197">
        <f>AS112*(100+INDEX('DEFAULT DATA'!$JB$9:$JD$41,START!$C$3,3))/100</f>
        <v>2.4347869848369323</v>
      </c>
      <c r="AU112" s="197">
        <f>AT112*(100+INDEX('DEFAULT DATA'!$JB$9:$JD$41,START!$C$3,3))/100</f>
        <v>2.4688740026246494</v>
      </c>
      <c r="AV112" s="197">
        <f>AU112*(100+INDEX('DEFAULT DATA'!$JB$9:$JD$41,START!$C$3,3))/100</f>
        <v>2.5034382386613947</v>
      </c>
      <c r="AW112" s="197">
        <f>AV112*(100+INDEX('DEFAULT DATA'!$JB$9:$JD$41,START!$C$3,3))/100</f>
        <v>2.5384863740026544</v>
      </c>
      <c r="AX112" s="197">
        <f>AW112*(100+INDEX('DEFAULT DATA'!$JB$9:$JD$41,START!$C$3,3))/100</f>
        <v>2.5740251832386916</v>
      </c>
      <c r="AY112" s="197">
        <f>AX112*(100+INDEX('DEFAULT DATA'!$JB$9:$JD$41,START!$C$3,3))/100</f>
        <v>2.6100615358040336</v>
      </c>
      <c r="AZ112" s="197">
        <f>AY112*(100+INDEX('DEFAULT DATA'!$JB$9:$JD$41,START!$C$3,3))/100</f>
        <v>2.6466023973052906</v>
      </c>
      <c r="BA112" s="566">
        <f>AZ112*(100+INDEX('DEFAULT DATA'!$JB$9:$JD$41,START!$C$3,3))/100</f>
        <v>2.6836548308675647</v>
      </c>
      <c r="BC112" s="677">
        <v>36</v>
      </c>
      <c r="BD112" s="680" t="str">
        <f t="shared" si="81"/>
        <v>(F59/100*INDEX('DEFAULT DATA'!$GI$9:$IN$41,START!$B$3,36)/INDEX('DEFAULT DATA'!$DX$9:$DX$41,START!$B$3,1))+</v>
      </c>
      <c r="BE112" s="693"/>
      <c r="BF112" s="693"/>
      <c r="BG112" s="693"/>
      <c r="BH112" s="693"/>
      <c r="BI112" s="637"/>
      <c r="BJ112" s="637"/>
      <c r="BK112" s="637"/>
      <c r="BL112" s="682"/>
      <c r="BM112" s="367">
        <v>59</v>
      </c>
      <c r="BN112" s="684" t="s">
        <v>2543</v>
      </c>
    </row>
    <row r="113" spans="1:66" ht="20.100000000000001" customHeight="1" thickBot="1">
      <c r="A113" s="27"/>
      <c r="B113" s="21"/>
      <c r="C113" s="21"/>
      <c r="D113" s="21"/>
      <c r="E113" s="21"/>
      <c r="F113" s="30"/>
      <c r="G113" s="21"/>
      <c r="H113" s="21"/>
      <c r="I113" s="67"/>
      <c r="J113" s="67"/>
      <c r="K113" s="67"/>
      <c r="L113" s="24"/>
      <c r="M113" s="67"/>
      <c r="N113" s="67"/>
      <c r="O113" s="31"/>
      <c r="P113" s="239"/>
      <c r="Q113" s="239"/>
      <c r="R113" s="239"/>
      <c r="S113" s="708"/>
      <c r="T113" s="708"/>
      <c r="U113" s="708"/>
      <c r="V113" s="708"/>
      <c r="W113" s="708"/>
      <c r="X113" s="708"/>
      <c r="Y113" s="708"/>
      <c r="Z113" s="708"/>
      <c r="AA113" s="708"/>
      <c r="AB113" s="708"/>
      <c r="AC113" s="708"/>
      <c r="AD113" s="708"/>
      <c r="AE113" s="708"/>
      <c r="AF113" s="708"/>
      <c r="AG113" s="708"/>
      <c r="AH113" s="708"/>
      <c r="AI113" s="708"/>
      <c r="AJ113" s="708"/>
      <c r="AK113" s="708"/>
      <c r="AL113" s="708"/>
      <c r="AM113" s="708"/>
      <c r="AN113" s="708"/>
      <c r="AO113" s="708"/>
      <c r="AP113" s="708"/>
      <c r="AQ113" s="708"/>
      <c r="AR113" s="708"/>
      <c r="AS113" s="708"/>
      <c r="AT113" s="708"/>
      <c r="AU113" s="708"/>
      <c r="AV113" s="708"/>
      <c r="AW113" s="708"/>
      <c r="AX113" s="708"/>
      <c r="AY113" s="708"/>
      <c r="AZ113" s="708"/>
      <c r="BA113" s="708"/>
      <c r="BC113" s="677">
        <v>37</v>
      </c>
      <c r="BD113" s="680" t="str">
        <f t="shared" si="81"/>
        <v>(F60/100*INDEX('DEFAULT DATA'!$GI$9:$IN$41,START!$B$3,37)/INDEX('DEFAULT DATA'!$DX$9:$DX$41,START!$B$3,1))+</v>
      </c>
      <c r="BE113" s="693"/>
      <c r="BF113" s="693"/>
      <c r="BG113" s="693"/>
      <c r="BH113" s="693"/>
      <c r="BI113" s="637"/>
      <c r="BJ113" s="637"/>
      <c r="BK113" s="637"/>
      <c r="BL113" s="682"/>
      <c r="BM113" s="367">
        <v>60</v>
      </c>
      <c r="BN113" s="684" t="s">
        <v>2543</v>
      </c>
    </row>
    <row r="114" spans="1:66" ht="20.100000000000001" customHeight="1">
      <c r="A114" s="27"/>
      <c r="B114" s="21"/>
      <c r="C114" s="21"/>
      <c r="D114" s="21"/>
      <c r="E114" s="21"/>
      <c r="F114" s="30"/>
      <c r="G114" s="21"/>
      <c r="H114" s="21"/>
      <c r="I114" s="68"/>
      <c r="J114" s="68"/>
      <c r="K114" s="68"/>
      <c r="L114" s="24"/>
      <c r="M114" s="68"/>
      <c r="N114" s="68"/>
      <c r="O114" s="32"/>
      <c r="P114" s="240"/>
      <c r="Q114" s="240"/>
      <c r="R114" s="240"/>
      <c r="S114" s="299" t="s">
        <v>2052</v>
      </c>
      <c r="T114" s="709" t="s">
        <v>2592</v>
      </c>
      <c r="U114" s="710"/>
      <c r="V114" s="727">
        <v>2019</v>
      </c>
      <c r="W114" s="727">
        <v>2020</v>
      </c>
      <c r="X114" s="727">
        <v>2021</v>
      </c>
      <c r="Y114" s="727">
        <f>X114+1</f>
        <v>2022</v>
      </c>
      <c r="Z114" s="727">
        <f t="shared" ref="Z114:BA114" si="98">Y114+1</f>
        <v>2023</v>
      </c>
      <c r="AA114" s="727">
        <f t="shared" si="98"/>
        <v>2024</v>
      </c>
      <c r="AB114" s="727">
        <f t="shared" si="98"/>
        <v>2025</v>
      </c>
      <c r="AC114" s="727">
        <f t="shared" si="98"/>
        <v>2026</v>
      </c>
      <c r="AD114" s="727">
        <f t="shared" si="98"/>
        <v>2027</v>
      </c>
      <c r="AE114" s="727">
        <f t="shared" si="98"/>
        <v>2028</v>
      </c>
      <c r="AF114" s="727">
        <f t="shared" si="98"/>
        <v>2029</v>
      </c>
      <c r="AG114" s="727">
        <f t="shared" si="98"/>
        <v>2030</v>
      </c>
      <c r="AH114" s="727">
        <f t="shared" si="98"/>
        <v>2031</v>
      </c>
      <c r="AI114" s="727">
        <f t="shared" si="98"/>
        <v>2032</v>
      </c>
      <c r="AJ114" s="727">
        <f t="shared" si="98"/>
        <v>2033</v>
      </c>
      <c r="AK114" s="727">
        <f t="shared" si="98"/>
        <v>2034</v>
      </c>
      <c r="AL114" s="727">
        <f t="shared" si="98"/>
        <v>2035</v>
      </c>
      <c r="AM114" s="727">
        <f t="shared" si="98"/>
        <v>2036</v>
      </c>
      <c r="AN114" s="727">
        <f t="shared" si="98"/>
        <v>2037</v>
      </c>
      <c r="AO114" s="727">
        <f t="shared" si="98"/>
        <v>2038</v>
      </c>
      <c r="AP114" s="727">
        <f t="shared" si="98"/>
        <v>2039</v>
      </c>
      <c r="AQ114" s="727">
        <f t="shared" si="98"/>
        <v>2040</v>
      </c>
      <c r="AR114" s="727">
        <f t="shared" si="98"/>
        <v>2041</v>
      </c>
      <c r="AS114" s="727">
        <f t="shared" si="98"/>
        <v>2042</v>
      </c>
      <c r="AT114" s="727">
        <f t="shared" si="98"/>
        <v>2043</v>
      </c>
      <c r="AU114" s="727">
        <f t="shared" si="98"/>
        <v>2044</v>
      </c>
      <c r="AV114" s="727">
        <f t="shared" si="98"/>
        <v>2045</v>
      </c>
      <c r="AW114" s="727">
        <f t="shared" si="98"/>
        <v>2046</v>
      </c>
      <c r="AX114" s="727">
        <f t="shared" si="98"/>
        <v>2047</v>
      </c>
      <c r="AY114" s="727">
        <f t="shared" si="98"/>
        <v>2048</v>
      </c>
      <c r="AZ114" s="727">
        <f t="shared" si="98"/>
        <v>2049</v>
      </c>
      <c r="BA114" s="153">
        <f t="shared" si="98"/>
        <v>2050</v>
      </c>
      <c r="BC114" s="677">
        <v>38</v>
      </c>
      <c r="BD114" s="680" t="str">
        <f t="shared" si="81"/>
        <v>(F61/100*INDEX('DEFAULT DATA'!$GI$9:$IN$41,START!$B$3,38)/INDEX('DEFAULT DATA'!$DX$9:$DX$41,START!$B$3,1))+</v>
      </c>
      <c r="BE114" s="693"/>
      <c r="BF114" s="693"/>
      <c r="BG114" s="693"/>
      <c r="BH114" s="693"/>
      <c r="BI114" s="637"/>
      <c r="BJ114" s="637"/>
      <c r="BK114" s="637"/>
      <c r="BL114" s="682"/>
      <c r="BM114" s="367">
        <v>61</v>
      </c>
      <c r="BN114" s="684" t="s">
        <v>2543</v>
      </c>
    </row>
    <row r="115" spans="1:66" ht="20.100000000000001" customHeight="1">
      <c r="A115" s="27"/>
      <c r="B115" s="21"/>
      <c r="C115" s="21"/>
      <c r="D115" s="21"/>
      <c r="E115" s="21"/>
      <c r="F115" s="21"/>
      <c r="G115" s="21"/>
      <c r="H115" s="21"/>
      <c r="I115" s="21"/>
      <c r="J115" s="21"/>
      <c r="K115" s="21"/>
      <c r="L115" s="24"/>
      <c r="M115" s="67"/>
      <c r="N115" s="67"/>
      <c r="O115" s="31"/>
      <c r="P115" s="239"/>
      <c r="Q115" s="239"/>
      <c r="R115" s="239"/>
      <c r="S115" s="101" t="s">
        <v>2342</v>
      </c>
      <c r="T115" s="1496" t="s">
        <v>2540</v>
      </c>
      <c r="U115" s="1497"/>
      <c r="V115" s="764"/>
      <c r="W115" s="765"/>
      <c r="X115" s="750">
        <f>(INDEX('DEFAULT DATA'!$JA$9:$JA$41,START!$C$3,1)/100*X5*INDEX('DEFAULT DATA'!$IZ$9:$IZ$41,START!$C$3,1))</f>
        <v>2301.865205479452</v>
      </c>
      <c r="Y115" s="750">
        <f>(INDEX('DEFAULT DATA'!$JA$9:$JA$41,START!$C$3,1)/100*Y5*INDEX('DEFAULT DATA'!$IZ$9:$IZ$41,START!$C$3,1))</f>
        <v>2126.923449863014</v>
      </c>
      <c r="Z115" s="750">
        <f>(INDEX('DEFAULT DATA'!$JA$9:$JA$41,START!$C$3,1)/100*Z5*INDEX('DEFAULT DATA'!$IZ$9:$IZ$41,START!$C$3,1))</f>
        <v>1965.2772676734251</v>
      </c>
      <c r="AA115" s="750">
        <f>(INDEX('DEFAULT DATA'!$JA$9:$JA$41,START!$C$3,1)/100*AA5*INDEX('DEFAULT DATA'!$IZ$9:$IZ$41,START!$C$3,1))</f>
        <v>1815.9161953302448</v>
      </c>
      <c r="AB115" s="750">
        <f>(INDEX('DEFAULT DATA'!$JA$9:$JA$41,START!$C$3,1)/100*AB5*INDEX('DEFAULT DATA'!$IZ$9:$IZ$41,START!$C$3,1))</f>
        <v>1677.9065644851462</v>
      </c>
      <c r="AC115" s="750">
        <f>(INDEX('DEFAULT DATA'!$JA$9:$JA$41,START!$C$3,1)/100*AC5*INDEX('DEFAULT DATA'!$IZ$9:$IZ$41,START!$C$3,1))</f>
        <v>1550.3856655842753</v>
      </c>
      <c r="AD115" s="750">
        <f>(INDEX('DEFAULT DATA'!$JA$9:$JA$41,START!$C$3,1)/100*AD5*INDEX('DEFAULT DATA'!$IZ$9:$IZ$41,START!$C$3,1))</f>
        <v>1432.5563549998706</v>
      </c>
      <c r="AE115" s="750">
        <f>(INDEX('DEFAULT DATA'!$JA$9:$JA$41,START!$C$3,1)/100*AE5*INDEX('DEFAULT DATA'!$IZ$9:$IZ$41,START!$C$3,1))</f>
        <v>1323.6820720198803</v>
      </c>
      <c r="AF115" s="750">
        <f>(INDEX('DEFAULT DATA'!$JA$9:$JA$41,START!$C$3,1)/100*AF5*INDEX('DEFAULT DATA'!$IZ$9:$IZ$41,START!$C$3,1))</f>
        <v>1223.0822345463694</v>
      </c>
      <c r="AG115" s="750">
        <f>(INDEX('DEFAULT DATA'!$JA$9:$JA$41,START!$C$3,1)/100*AG5*INDEX('DEFAULT DATA'!$IZ$9:$IZ$41,START!$C$3,1))</f>
        <v>1130.1279847208455</v>
      </c>
      <c r="AH115" s="750">
        <f>(INDEX('DEFAULT DATA'!$JA$9:$JA$41,START!$C$3,1)/100*AH5*INDEX('DEFAULT DATA'!$IZ$9:$IZ$41,START!$C$3,1))</f>
        <v>1056.6696657139905</v>
      </c>
      <c r="AI115" s="750">
        <f>(INDEX('DEFAULT DATA'!$JA$9:$JA$41,START!$C$3,1)/100*AI5*INDEX('DEFAULT DATA'!$IZ$9:$IZ$41,START!$C$3,1))</f>
        <v>987.98613744258125</v>
      </c>
      <c r="AJ115" s="750">
        <f>(INDEX('DEFAULT DATA'!$JA$9:$JA$41,START!$C$3,1)/100*AJ5*INDEX('DEFAULT DATA'!$IZ$9:$IZ$41,START!$C$3,1))</f>
        <v>923.76703850881347</v>
      </c>
      <c r="AK115" s="750">
        <f>(INDEX('DEFAULT DATA'!$JA$9:$JA$41,START!$C$3,1)/100*AK5*INDEX('DEFAULT DATA'!$IZ$9:$IZ$41,START!$C$3,1))</f>
        <v>863.72218100574059</v>
      </c>
      <c r="AL115" s="750">
        <f>(INDEX('DEFAULT DATA'!$JA$9:$JA$41,START!$C$3,1)/100*AL5*INDEX('DEFAULT DATA'!$IZ$9:$IZ$41,START!$C$3,1))</f>
        <v>807.58023924036752</v>
      </c>
      <c r="AM115" s="750">
        <f>(INDEX('DEFAULT DATA'!$JA$9:$JA$41,START!$C$3,1)/100*AM5*INDEX('DEFAULT DATA'!$IZ$9:$IZ$41,START!$C$3,1))</f>
        <v>755.08752368974365</v>
      </c>
      <c r="AN115" s="750">
        <f>(INDEX('DEFAULT DATA'!$JA$9:$JA$41,START!$C$3,1)/100*AN5*INDEX('DEFAULT DATA'!$IZ$9:$IZ$41,START!$C$3,1))</f>
        <v>706.00683464991039</v>
      </c>
      <c r="AO115" s="750">
        <f>(INDEX('DEFAULT DATA'!$JA$9:$JA$41,START!$C$3,1)/100*AO5*INDEX('DEFAULT DATA'!$IZ$9:$IZ$41,START!$C$3,1))</f>
        <v>660.11639039766635</v>
      </c>
      <c r="AP115" s="750">
        <f>(INDEX('DEFAULT DATA'!$JA$9:$JA$41,START!$C$3,1)/100*AP5*INDEX('DEFAULT DATA'!$IZ$9:$IZ$41,START!$C$3,1))</f>
        <v>617.20882502181803</v>
      </c>
      <c r="AQ115" s="750">
        <f>(INDEX('DEFAULT DATA'!$JA$9:$JA$41,START!$C$3,1)/100*AQ5*INDEX('DEFAULT DATA'!$IZ$9:$IZ$41,START!$C$3,1))</f>
        <v>577.09025139539995</v>
      </c>
      <c r="AR115" s="750">
        <f>(INDEX('DEFAULT DATA'!$JA$9:$JA$41,START!$C$3,1)/100*AR5*INDEX('DEFAULT DATA'!$IZ$9:$IZ$41,START!$C$3,1))</f>
        <v>539.57938505469895</v>
      </c>
      <c r="AS115" s="750">
        <f>(INDEX('DEFAULT DATA'!$JA$9:$JA$41,START!$C$3,1)/100*AS5*INDEX('DEFAULT DATA'!$IZ$9:$IZ$41,START!$C$3,1))</f>
        <v>504.50672502614356</v>
      </c>
      <c r="AT115" s="750">
        <f>(INDEX('DEFAULT DATA'!$JA$9:$JA$41,START!$C$3,1)/100*AT5*INDEX('DEFAULT DATA'!$IZ$9:$IZ$41,START!$C$3,1))</f>
        <v>471.7137878994443</v>
      </c>
      <c r="AU115" s="750">
        <f>(INDEX('DEFAULT DATA'!$JA$9:$JA$41,START!$C$3,1)/100*AU5*INDEX('DEFAULT DATA'!$IZ$9:$IZ$41,START!$C$3,1))</f>
        <v>441.05239168598047</v>
      </c>
      <c r="AV115" s="750">
        <f>(INDEX('DEFAULT DATA'!$JA$9:$JA$41,START!$C$3,1)/100*AV5*INDEX('DEFAULT DATA'!$IZ$9:$IZ$41,START!$C$3,1))</f>
        <v>412.38398622639176</v>
      </c>
      <c r="AW115" s="750">
        <f>(INDEX('DEFAULT DATA'!$JA$9:$JA$41,START!$C$3,1)/100*AW5*INDEX('DEFAULT DATA'!$IZ$9:$IZ$41,START!$C$3,1))</f>
        <v>385.57902712167629</v>
      </c>
      <c r="AX115" s="750">
        <f>(INDEX('DEFAULT DATA'!$JA$9:$JA$41,START!$C$3,1)/100*AX5*INDEX('DEFAULT DATA'!$IZ$9:$IZ$41,START!$C$3,1))</f>
        <v>360.51639035876735</v>
      </c>
      <c r="AY115" s="750">
        <f>(INDEX('DEFAULT DATA'!$JA$9:$JA$41,START!$C$3,1)/100*AY5*INDEX('DEFAULT DATA'!$IZ$9:$IZ$41,START!$C$3,1))</f>
        <v>337.08282498544747</v>
      </c>
      <c r="AZ115" s="750">
        <f>(INDEX('DEFAULT DATA'!$JA$9:$JA$41,START!$C$3,1)/100*AZ5*INDEX('DEFAULT DATA'!$IZ$9:$IZ$41,START!$C$3,1))</f>
        <v>315.1724413613934</v>
      </c>
      <c r="BA115" s="766">
        <f>(INDEX('DEFAULT DATA'!$JA$9:$JA$41,START!$C$3,1)/100*BA5*INDEX('DEFAULT DATA'!$IZ$9:$IZ$41,START!$C$3,1))</f>
        <v>294.68623267290286</v>
      </c>
      <c r="BC115" s="677">
        <v>39</v>
      </c>
      <c r="BD115" s="680" t="str">
        <f t="shared" si="81"/>
        <v>(F62/100*INDEX('DEFAULT DATA'!$GI$9:$IN$41,START!$B$3,39)/INDEX('DEFAULT DATA'!$DX$9:$DX$41,START!$B$3,1))+</v>
      </c>
      <c r="BE115" s="693"/>
      <c r="BF115" s="693"/>
      <c r="BG115" s="693"/>
      <c r="BH115" s="693"/>
      <c r="BI115" s="637"/>
      <c r="BJ115" s="637"/>
      <c r="BK115" s="637"/>
      <c r="BL115" s="682"/>
      <c r="BM115" s="367">
        <v>62</v>
      </c>
      <c r="BN115" s="684" t="s">
        <v>2543</v>
      </c>
    </row>
    <row r="116" spans="1:66" ht="20.100000000000001" customHeight="1">
      <c r="A116" s="27"/>
      <c r="B116" s="21"/>
      <c r="C116" s="21"/>
      <c r="D116" s="21"/>
      <c r="E116" s="21"/>
      <c r="F116" s="21"/>
      <c r="G116" s="21"/>
      <c r="H116" s="21"/>
      <c r="I116" s="21"/>
      <c r="J116" s="21"/>
      <c r="K116" s="21"/>
      <c r="L116" s="24"/>
      <c r="M116" s="68"/>
      <c r="N116" s="68"/>
      <c r="O116" s="32"/>
      <c r="P116" s="240"/>
      <c r="Q116" s="240"/>
      <c r="R116" s="240"/>
      <c r="S116" s="101" t="s">
        <v>2341</v>
      </c>
      <c r="T116" s="1496" t="s">
        <v>2870</v>
      </c>
      <c r="U116" s="1497"/>
      <c r="V116" s="201"/>
      <c r="W116" s="201"/>
      <c r="X116" s="123">
        <f>(100-INDEX('DEFAULT DATA'!$JA$9:$JA$41,START!$C$3,1))/100*INDEX('DEFAULT DATA'!$IY$9:$IY$41,START!$C$3,1)</f>
        <v>1323.54000000001</v>
      </c>
      <c r="Y116" s="123">
        <f>(100-INDEX('DEFAULT DATA'!$JA$9:$JA$41,START!$C$3,1))/100*INDEX('DEFAULT DATA'!$IY$9:$IY$41,START!$C$3,1)</f>
        <v>1323.54000000001</v>
      </c>
      <c r="Z116" s="123">
        <f>(100-INDEX('DEFAULT DATA'!$JA$9:$JA$41,START!$C$3,1))/100*INDEX('DEFAULT DATA'!$IY$9:$IY$41,START!$C$3,1)</f>
        <v>1323.54000000001</v>
      </c>
      <c r="AA116" s="123">
        <f>(100-INDEX('DEFAULT DATA'!$JA$9:$JA$41,START!$C$3,1))/100*INDEX('DEFAULT DATA'!$IY$9:$IY$41,START!$C$3,1)</f>
        <v>1323.54000000001</v>
      </c>
      <c r="AB116" s="123">
        <f>(100-INDEX('DEFAULT DATA'!$JA$9:$JA$41,START!$C$3,1))/100*INDEX('DEFAULT DATA'!$IY$9:$IY$41,START!$C$3,1)</f>
        <v>1323.54000000001</v>
      </c>
      <c r="AC116" s="123">
        <f>(100-INDEX('DEFAULT DATA'!$JA$9:$JA$41,START!$C$3,1))/100*INDEX('DEFAULT DATA'!$IY$9:$IY$41,START!$C$3,1)</f>
        <v>1323.54000000001</v>
      </c>
      <c r="AD116" s="123">
        <f>(100-INDEX('DEFAULT DATA'!$JA$9:$JA$41,START!$C$3,1))/100*INDEX('DEFAULT DATA'!$IY$9:$IY$41,START!$C$3,1)</f>
        <v>1323.54000000001</v>
      </c>
      <c r="AE116" s="123">
        <f>(100-INDEX('DEFAULT DATA'!$JA$9:$JA$41,START!$C$3,1))/100*INDEX('DEFAULT DATA'!$IY$9:$IY$41,START!$C$3,1)</f>
        <v>1323.54000000001</v>
      </c>
      <c r="AF116" s="123">
        <f>(100-INDEX('DEFAULT DATA'!$JA$9:$JA$41,START!$C$3,1))/100*INDEX('DEFAULT DATA'!$IY$9:$IY$41,START!$C$3,1)</f>
        <v>1323.54000000001</v>
      </c>
      <c r="AG116" s="123">
        <f>(100-INDEX('DEFAULT DATA'!$JA$9:$JA$41,START!$C$3,1))/100*INDEX('DEFAULT DATA'!$IY$9:$IY$41,START!$C$3,1)</f>
        <v>1323.54000000001</v>
      </c>
      <c r="AH116" s="123">
        <f>(100-INDEX('DEFAULT DATA'!$JA$9:$JA$41,START!$C$3,1))/100*INDEX('DEFAULT DATA'!$IY$9:$IY$41,START!$C$3,1)</f>
        <v>1323.54000000001</v>
      </c>
      <c r="AI116" s="123">
        <f>(100-INDEX('DEFAULT DATA'!$JA$9:$JA$41,START!$C$3,1))/100*INDEX('DEFAULT DATA'!$IY$9:$IY$41,START!$C$3,1)</f>
        <v>1323.54000000001</v>
      </c>
      <c r="AJ116" s="123">
        <f>(100-INDEX('DEFAULT DATA'!$JA$9:$JA$41,START!$C$3,1))/100*INDEX('DEFAULT DATA'!$IY$9:$IY$41,START!$C$3,1)</f>
        <v>1323.54000000001</v>
      </c>
      <c r="AK116" s="123">
        <f>(100-INDEX('DEFAULT DATA'!$JA$9:$JA$41,START!$C$3,1))/100*INDEX('DEFAULT DATA'!$IY$9:$IY$41,START!$C$3,1)</f>
        <v>1323.54000000001</v>
      </c>
      <c r="AL116" s="123">
        <f>(100-INDEX('DEFAULT DATA'!$JA$9:$JA$41,START!$C$3,1))/100*INDEX('DEFAULT DATA'!$IY$9:$IY$41,START!$C$3,1)</f>
        <v>1323.54000000001</v>
      </c>
      <c r="AM116" s="123">
        <f>(100-INDEX('DEFAULT DATA'!$JA$9:$JA$41,START!$C$3,1))/100*INDEX('DEFAULT DATA'!$IY$9:$IY$41,START!$C$3,1)</f>
        <v>1323.54000000001</v>
      </c>
      <c r="AN116" s="123">
        <f>(100-INDEX('DEFAULT DATA'!$JA$9:$JA$41,START!$C$3,1))/100*INDEX('DEFAULT DATA'!$IY$9:$IY$41,START!$C$3,1)</f>
        <v>1323.54000000001</v>
      </c>
      <c r="AO116" s="123">
        <f>(100-INDEX('DEFAULT DATA'!$JA$9:$JA$41,START!$C$3,1))/100*INDEX('DEFAULT DATA'!$IY$9:$IY$41,START!$C$3,1)</f>
        <v>1323.54000000001</v>
      </c>
      <c r="AP116" s="123">
        <f>(100-INDEX('DEFAULT DATA'!$JA$9:$JA$41,START!$C$3,1))/100*INDEX('DEFAULT DATA'!$IY$9:$IY$41,START!$C$3,1)</f>
        <v>1323.54000000001</v>
      </c>
      <c r="AQ116" s="123">
        <f>(100-INDEX('DEFAULT DATA'!$JA$9:$JA$41,START!$C$3,1))/100*INDEX('DEFAULT DATA'!$IY$9:$IY$41,START!$C$3,1)</f>
        <v>1323.54000000001</v>
      </c>
      <c r="AR116" s="123">
        <f>(100-INDEX('DEFAULT DATA'!$JA$9:$JA$41,START!$C$3,1))/100*INDEX('DEFAULT DATA'!$IY$9:$IY$41,START!$C$3,1)</f>
        <v>1323.54000000001</v>
      </c>
      <c r="AS116" s="123">
        <f>(100-INDEX('DEFAULT DATA'!$JA$9:$JA$41,START!$C$3,1))/100*INDEX('DEFAULT DATA'!$IY$9:$IY$41,START!$C$3,1)</f>
        <v>1323.54000000001</v>
      </c>
      <c r="AT116" s="123">
        <f>(100-INDEX('DEFAULT DATA'!$JA$9:$JA$41,START!$C$3,1))/100*INDEX('DEFAULT DATA'!$IY$9:$IY$41,START!$C$3,1)</f>
        <v>1323.54000000001</v>
      </c>
      <c r="AU116" s="123">
        <f>(100-INDEX('DEFAULT DATA'!$JA$9:$JA$41,START!$C$3,1))/100*INDEX('DEFAULT DATA'!$IY$9:$IY$41,START!$C$3,1)</f>
        <v>1323.54000000001</v>
      </c>
      <c r="AV116" s="123">
        <f>(100-INDEX('DEFAULT DATA'!$JA$9:$JA$41,START!$C$3,1))/100*INDEX('DEFAULT DATA'!$IY$9:$IY$41,START!$C$3,1)</f>
        <v>1323.54000000001</v>
      </c>
      <c r="AW116" s="123">
        <f>(100-INDEX('DEFAULT DATA'!$JA$9:$JA$41,START!$C$3,1))/100*INDEX('DEFAULT DATA'!$IY$9:$IY$41,START!$C$3,1)</f>
        <v>1323.54000000001</v>
      </c>
      <c r="AX116" s="123">
        <f>(100-INDEX('DEFAULT DATA'!$JA$9:$JA$41,START!$C$3,1))/100*INDEX('DEFAULT DATA'!$IY$9:$IY$41,START!$C$3,1)</f>
        <v>1323.54000000001</v>
      </c>
      <c r="AY116" s="123">
        <f>(100-INDEX('DEFAULT DATA'!$JA$9:$JA$41,START!$C$3,1))/100*INDEX('DEFAULT DATA'!$IY$9:$IY$41,START!$C$3,1)</f>
        <v>1323.54000000001</v>
      </c>
      <c r="AZ116" s="123">
        <f>(100-INDEX('DEFAULT DATA'!$JA$9:$JA$41,START!$C$3,1))/100*INDEX('DEFAULT DATA'!$IY$9:$IY$41,START!$C$3,1)</f>
        <v>1323.54000000001</v>
      </c>
      <c r="BA116" s="159">
        <f>(100-INDEX('DEFAULT DATA'!$JA$9:$JA$41,START!$C$3,1))/100*INDEX('DEFAULT DATA'!$IY$9:$IY$41,START!$C$3,1)</f>
        <v>1323.54000000001</v>
      </c>
      <c r="BC116" s="677">
        <v>40</v>
      </c>
      <c r="BD116" s="680" t="str">
        <f t="shared" si="81"/>
        <v>(F63/100*INDEX('DEFAULT DATA'!$GI$9:$IN$41,START!$B$3,40)/INDEX('DEFAULT DATA'!$DX$9:$DX$41,START!$B$3,1))+</v>
      </c>
      <c r="BE116" s="693"/>
      <c r="BF116" s="693"/>
      <c r="BG116" s="693"/>
      <c r="BH116" s="693"/>
      <c r="BI116" s="637"/>
      <c r="BJ116" s="637"/>
      <c r="BK116" s="637"/>
      <c r="BL116" s="682"/>
      <c r="BM116" s="367">
        <v>63</v>
      </c>
      <c r="BN116" s="684" t="s">
        <v>2543</v>
      </c>
    </row>
    <row r="117" spans="1:66" ht="20.100000000000001" customHeight="1" thickBot="1">
      <c r="A117" s="27"/>
      <c r="B117" s="21"/>
      <c r="C117" s="21"/>
      <c r="D117" s="21"/>
      <c r="E117" s="21"/>
      <c r="F117" s="21"/>
      <c r="G117" s="21"/>
      <c r="H117" s="21"/>
      <c r="I117" s="21"/>
      <c r="J117" s="21"/>
      <c r="K117" s="21"/>
      <c r="L117" s="24"/>
      <c r="M117" s="67"/>
      <c r="N117" s="67"/>
      <c r="O117" s="31"/>
      <c r="P117" s="239"/>
      <c r="Q117" s="239"/>
      <c r="R117" s="239"/>
      <c r="S117" s="301" t="s">
        <v>2343</v>
      </c>
      <c r="T117" s="1498" t="s">
        <v>2872</v>
      </c>
      <c r="U117" s="1499"/>
      <c r="V117" s="203"/>
      <c r="W117" s="203"/>
      <c r="X117" s="160">
        <f>SUM(X115:X116)</f>
        <v>3625.405205479462</v>
      </c>
      <c r="Y117" s="160">
        <f t="shared" ref="Y117:BA117" si="99">SUM(Y115:Y116)</f>
        <v>3450.4634498630239</v>
      </c>
      <c r="Z117" s="160">
        <f t="shared" si="99"/>
        <v>3288.8172676734348</v>
      </c>
      <c r="AA117" s="160">
        <f t="shared" si="99"/>
        <v>3139.4561953302546</v>
      </c>
      <c r="AB117" s="160">
        <f t="shared" si="99"/>
        <v>3001.4465644851562</v>
      </c>
      <c r="AC117" s="160">
        <f t="shared" si="99"/>
        <v>2873.9256655842855</v>
      </c>
      <c r="AD117" s="160">
        <f t="shared" si="99"/>
        <v>2756.0963549998805</v>
      </c>
      <c r="AE117" s="160">
        <f t="shared" si="99"/>
        <v>2647.2220720198902</v>
      </c>
      <c r="AF117" s="160">
        <f t="shared" si="99"/>
        <v>2546.6222345463793</v>
      </c>
      <c r="AG117" s="160">
        <f t="shared" si="99"/>
        <v>2453.6679847208552</v>
      </c>
      <c r="AH117" s="160">
        <f t="shared" si="99"/>
        <v>2380.2096657140005</v>
      </c>
      <c r="AI117" s="160">
        <f t="shared" si="99"/>
        <v>2311.5261374425913</v>
      </c>
      <c r="AJ117" s="160">
        <f t="shared" si="99"/>
        <v>2247.3070385088236</v>
      </c>
      <c r="AK117" s="160">
        <f t="shared" si="99"/>
        <v>2187.2621810057508</v>
      </c>
      <c r="AL117" s="160">
        <f t="shared" si="99"/>
        <v>2131.1202392403775</v>
      </c>
      <c r="AM117" s="160">
        <f t="shared" si="99"/>
        <v>2078.6275236897536</v>
      </c>
      <c r="AN117" s="160">
        <f t="shared" si="99"/>
        <v>2029.5468346499204</v>
      </c>
      <c r="AO117" s="160">
        <f t="shared" si="99"/>
        <v>1983.6563903976762</v>
      </c>
      <c r="AP117" s="160">
        <f t="shared" si="99"/>
        <v>1940.748825021828</v>
      </c>
      <c r="AQ117" s="160">
        <f t="shared" si="99"/>
        <v>1900.6302513954099</v>
      </c>
      <c r="AR117" s="160">
        <f t="shared" si="99"/>
        <v>1863.1193850547088</v>
      </c>
      <c r="AS117" s="160">
        <f t="shared" si="99"/>
        <v>1828.0467250261536</v>
      </c>
      <c r="AT117" s="160">
        <f t="shared" si="99"/>
        <v>1795.2537878994542</v>
      </c>
      <c r="AU117" s="160">
        <f t="shared" si="99"/>
        <v>1764.5923916859904</v>
      </c>
      <c r="AV117" s="160">
        <f t="shared" si="99"/>
        <v>1735.9239862264017</v>
      </c>
      <c r="AW117" s="160">
        <f t="shared" si="99"/>
        <v>1709.1190271216863</v>
      </c>
      <c r="AX117" s="160">
        <f t="shared" si="99"/>
        <v>1684.0563903587772</v>
      </c>
      <c r="AY117" s="160">
        <f t="shared" si="99"/>
        <v>1660.6228249854576</v>
      </c>
      <c r="AZ117" s="160">
        <f t="shared" si="99"/>
        <v>1638.7124413614033</v>
      </c>
      <c r="BA117" s="161">
        <f t="shared" si="99"/>
        <v>1618.2262326729128</v>
      </c>
      <c r="BC117" s="677">
        <v>41</v>
      </c>
      <c r="BD117" s="680" t="str">
        <f t="shared" si="81"/>
        <v>(F64/100*INDEX('DEFAULT DATA'!$GI$9:$IN$41,START!$B$3,41)/INDEX('DEFAULT DATA'!$DX$9:$DX$41,START!$B$3,1))+</v>
      </c>
      <c r="BE117" s="693"/>
      <c r="BF117" s="693"/>
      <c r="BG117" s="693"/>
      <c r="BH117" s="693"/>
      <c r="BI117" s="637"/>
      <c r="BJ117" s="637"/>
      <c r="BK117" s="637"/>
      <c r="BL117" s="682"/>
      <c r="BM117" s="367">
        <v>64</v>
      </c>
      <c r="BN117" s="684" t="s">
        <v>2543</v>
      </c>
    </row>
    <row r="118" spans="1:66" ht="20.100000000000001" customHeight="1" thickBot="1">
      <c r="A118" s="27"/>
      <c r="B118" s="21"/>
      <c r="C118" s="21"/>
      <c r="D118" s="21"/>
      <c r="E118" s="21"/>
      <c r="F118" s="21"/>
      <c r="G118" s="21"/>
      <c r="H118" s="21"/>
      <c r="I118" s="21"/>
      <c r="J118" s="21"/>
      <c r="K118" s="21"/>
      <c r="L118" s="24"/>
      <c r="M118" s="67"/>
      <c r="N118" s="67"/>
      <c r="O118" s="31"/>
      <c r="P118" s="239"/>
      <c r="Q118" s="239"/>
      <c r="R118" s="239"/>
      <c r="BC118" s="677">
        <v>42</v>
      </c>
      <c r="BD118" s="680" t="str">
        <f t="shared" si="81"/>
        <v>(F65/100*INDEX('DEFAULT DATA'!$GI$9:$IN$41,START!$B$3,42)/INDEX('DEFAULT DATA'!$DX$9:$DX$41,START!$B$3,1))+</v>
      </c>
      <c r="BE118" s="693"/>
      <c r="BF118" s="693"/>
      <c r="BG118" s="693"/>
      <c r="BH118" s="693"/>
      <c r="BI118" s="637"/>
      <c r="BJ118" s="637"/>
      <c r="BK118" s="637"/>
      <c r="BL118" s="682"/>
      <c r="BM118" s="367">
        <v>65</v>
      </c>
      <c r="BN118" s="684" t="s">
        <v>2543</v>
      </c>
    </row>
    <row r="119" spans="1:66" ht="20.100000000000001" customHeight="1">
      <c r="A119" s="27"/>
      <c r="B119" s="21"/>
      <c r="C119" s="21"/>
      <c r="D119" s="21"/>
      <c r="E119" s="21"/>
      <c r="F119" s="21"/>
      <c r="G119" s="21"/>
      <c r="H119" s="21"/>
      <c r="I119" s="21"/>
      <c r="J119" s="21"/>
      <c r="K119" s="21"/>
      <c r="L119" s="24"/>
      <c r="M119" s="67"/>
      <c r="N119" s="67"/>
      <c r="O119" s="31"/>
      <c r="P119" s="239"/>
      <c r="Q119" s="239"/>
      <c r="R119" s="239"/>
      <c r="S119" s="299" t="s">
        <v>619</v>
      </c>
      <c r="T119" s="1502" t="s">
        <v>843</v>
      </c>
      <c r="U119" s="1503"/>
      <c r="V119" s="727">
        <v>2019</v>
      </c>
      <c r="W119" s="727">
        <v>2020</v>
      </c>
      <c r="X119" s="727">
        <v>2021</v>
      </c>
      <c r="Y119" s="727">
        <f>X119+1</f>
        <v>2022</v>
      </c>
      <c r="Z119" s="727">
        <f t="shared" ref="Z119:BA119" si="100">Y119+1</f>
        <v>2023</v>
      </c>
      <c r="AA119" s="727">
        <f t="shared" si="100"/>
        <v>2024</v>
      </c>
      <c r="AB119" s="727">
        <f t="shared" si="100"/>
        <v>2025</v>
      </c>
      <c r="AC119" s="727">
        <f t="shared" si="100"/>
        <v>2026</v>
      </c>
      <c r="AD119" s="727">
        <f t="shared" si="100"/>
        <v>2027</v>
      </c>
      <c r="AE119" s="727">
        <f t="shared" si="100"/>
        <v>2028</v>
      </c>
      <c r="AF119" s="727">
        <f t="shared" si="100"/>
        <v>2029</v>
      </c>
      <c r="AG119" s="727">
        <f t="shared" si="100"/>
        <v>2030</v>
      </c>
      <c r="AH119" s="727">
        <f t="shared" si="100"/>
        <v>2031</v>
      </c>
      <c r="AI119" s="727">
        <f t="shared" si="100"/>
        <v>2032</v>
      </c>
      <c r="AJ119" s="727">
        <f t="shared" si="100"/>
        <v>2033</v>
      </c>
      <c r="AK119" s="727">
        <f t="shared" si="100"/>
        <v>2034</v>
      </c>
      <c r="AL119" s="727">
        <f t="shared" si="100"/>
        <v>2035</v>
      </c>
      <c r="AM119" s="727">
        <f t="shared" si="100"/>
        <v>2036</v>
      </c>
      <c r="AN119" s="727">
        <f t="shared" si="100"/>
        <v>2037</v>
      </c>
      <c r="AO119" s="727">
        <f t="shared" si="100"/>
        <v>2038</v>
      </c>
      <c r="AP119" s="727">
        <f t="shared" si="100"/>
        <v>2039</v>
      </c>
      <c r="AQ119" s="727">
        <f t="shared" si="100"/>
        <v>2040</v>
      </c>
      <c r="AR119" s="727">
        <f t="shared" si="100"/>
        <v>2041</v>
      </c>
      <c r="AS119" s="727">
        <f t="shared" si="100"/>
        <v>2042</v>
      </c>
      <c r="AT119" s="727">
        <f t="shared" si="100"/>
        <v>2043</v>
      </c>
      <c r="AU119" s="727">
        <f t="shared" si="100"/>
        <v>2044</v>
      </c>
      <c r="AV119" s="727">
        <f t="shared" si="100"/>
        <v>2045</v>
      </c>
      <c r="AW119" s="727">
        <f t="shared" si="100"/>
        <v>2046</v>
      </c>
      <c r="AX119" s="727">
        <f t="shared" si="100"/>
        <v>2047</v>
      </c>
      <c r="AY119" s="727">
        <f t="shared" si="100"/>
        <v>2048</v>
      </c>
      <c r="AZ119" s="727">
        <f t="shared" si="100"/>
        <v>2049</v>
      </c>
      <c r="BA119" s="153">
        <f t="shared" si="100"/>
        <v>2050</v>
      </c>
      <c r="BC119" s="677">
        <v>43</v>
      </c>
      <c r="BD119" s="680" t="str">
        <f t="shared" si="81"/>
        <v>(F66/100*INDEX('DEFAULT DATA'!$GI$9:$IN$41,START!$B$3,43)/INDEX('DEFAULT DATA'!$DX$9:$DX$41,START!$B$3,1))+</v>
      </c>
      <c r="BE119" s="693"/>
      <c r="BF119" s="693"/>
      <c r="BG119" s="693"/>
      <c r="BH119" s="693"/>
      <c r="BI119" s="637"/>
      <c r="BJ119" s="637"/>
      <c r="BK119" s="637"/>
      <c r="BL119" s="682"/>
      <c r="BM119" s="367">
        <v>66</v>
      </c>
      <c r="BN119" s="684" t="s">
        <v>2543</v>
      </c>
    </row>
    <row r="120" spans="1:66" ht="20.100000000000001" customHeight="1" thickBot="1">
      <c r="A120" s="27"/>
      <c r="B120" s="394"/>
      <c r="C120" s="394"/>
      <c r="D120" s="394"/>
      <c r="E120" s="394"/>
      <c r="F120" s="394"/>
      <c r="G120" s="394"/>
      <c r="H120" s="394"/>
      <c r="I120" s="394"/>
      <c r="J120" s="394"/>
      <c r="K120" s="394"/>
      <c r="L120" s="24"/>
      <c r="M120" s="67"/>
      <c r="N120" s="67"/>
      <c r="O120" s="31"/>
      <c r="P120" s="239"/>
      <c r="Q120" s="239"/>
      <c r="R120" s="239"/>
      <c r="S120" s="301" t="s">
        <v>857</v>
      </c>
      <c r="T120" s="448" t="s">
        <v>2053</v>
      </c>
      <c r="U120" s="139" t="s">
        <v>846</v>
      </c>
      <c r="V120" s="139"/>
      <c r="W120" s="139"/>
      <c r="X120" s="197">
        <f>X112*X117/1000</f>
        <v>6.4436171738107326</v>
      </c>
      <c r="Y120" s="197">
        <f t="shared" ref="Y120:BA120" si="101">Y112*Y117/1000</f>
        <v>6.2246745528425063</v>
      </c>
      <c r="Z120" s="197">
        <f t="shared" si="101"/>
        <v>6.0220589825944302</v>
      </c>
      <c r="AA120" s="197">
        <f t="shared" si="101"/>
        <v>5.8347967294785521</v>
      </c>
      <c r="AB120" s="197">
        <f t="shared" si="101"/>
        <v>5.6619751801522344</v>
      </c>
      <c r="AC120" s="197">
        <f t="shared" si="101"/>
        <v>5.5027390526927062</v>
      </c>
      <c r="AD120" s="197">
        <f t="shared" si="101"/>
        <v>5.3562868433470392</v>
      </c>
      <c r="AE120" s="197">
        <f t="shared" si="101"/>
        <v>5.221867494220942</v>
      </c>
      <c r="AF120" s="197">
        <f t="shared" si="101"/>
        <v>5.0987772681793322</v>
      </c>
      <c r="AG120" s="197">
        <f t="shared" si="101"/>
        <v>4.9863568180846887</v>
      </c>
      <c r="AH120" s="197">
        <f t="shared" si="101"/>
        <v>4.9047934829718569</v>
      </c>
      <c r="AI120" s="197">
        <f t="shared" si="101"/>
        <v>4.8299459988471289</v>
      </c>
      <c r="AJ120" s="197">
        <f t="shared" si="101"/>
        <v>4.7615004924613835</v>
      </c>
      <c r="AK120" s="197">
        <f t="shared" si="101"/>
        <v>4.6991598701779242</v>
      </c>
      <c r="AL120" s="197">
        <f t="shared" si="101"/>
        <v>4.6426429537531204</v>
      </c>
      <c r="AM120" s="197">
        <f t="shared" si="101"/>
        <v>4.5916836610740344</v>
      </c>
      <c r="AN120" s="197">
        <f t="shared" si="101"/>
        <v>4.5460302295206247</v>
      </c>
      <c r="AO120" s="197">
        <f t="shared" si="101"/>
        <v>4.5054444797412527</v>
      </c>
      <c r="AP120" s="197">
        <f t="shared" si="101"/>
        <v>4.4697011177450188</v>
      </c>
      <c r="AQ120" s="197">
        <f t="shared" si="101"/>
        <v>4.4385870733232693</v>
      </c>
      <c r="AR120" s="197">
        <f t="shared" si="101"/>
        <v>4.411900872915858</v>
      </c>
      <c r="AS120" s="197">
        <f t="shared" si="101"/>
        <v>4.3894520451355596</v>
      </c>
      <c r="AT120" s="197">
        <f t="shared" si="101"/>
        <v>4.3710605572567935</v>
      </c>
      <c r="AU120" s="197">
        <f t="shared" si="101"/>
        <v>4.3565562810627947</v>
      </c>
      <c r="AV120" s="197">
        <f t="shared" si="101"/>
        <v>4.3457784865286904</v>
      </c>
      <c r="AW120" s="197">
        <f t="shared" si="101"/>
        <v>4.3385753618970737</v>
      </c>
      <c r="AX120" s="197">
        <f t="shared" si="101"/>
        <v>4.3348035587775415</v>
      </c>
      <c r="AY120" s="197">
        <f t="shared" si="101"/>
        <v>4.3343277609727764</v>
      </c>
      <c r="AZ120" s="197">
        <f t="shared" si="101"/>
        <v>4.3370202758010956</v>
      </c>
      <c r="BA120" s="566">
        <f t="shared" si="101"/>
        <v>4.3427606467492827</v>
      </c>
      <c r="BC120" s="677">
        <v>44</v>
      </c>
      <c r="BD120" s="680" t="str">
        <f t="shared" si="81"/>
        <v>(F67/100*INDEX('DEFAULT DATA'!$GI$9:$IN$41,START!$B$3,44)/INDEX('DEFAULT DATA'!$DX$9:$DX$41,START!$B$3,1))+</v>
      </c>
      <c r="BE120" s="693"/>
      <c r="BF120" s="693"/>
      <c r="BG120" s="693"/>
      <c r="BH120" s="693"/>
      <c r="BI120" s="637"/>
      <c r="BJ120" s="637"/>
      <c r="BK120" s="637"/>
      <c r="BL120" s="682"/>
      <c r="BM120" s="367">
        <v>67</v>
      </c>
      <c r="BN120" s="684" t="s">
        <v>2543</v>
      </c>
    </row>
    <row r="121" spans="1:66" ht="20.100000000000001" customHeight="1">
      <c r="A121" s="27"/>
      <c r="B121" s="30"/>
      <c r="C121" s="30"/>
      <c r="D121" s="30"/>
      <c r="E121" s="30"/>
      <c r="F121" s="30"/>
      <c r="G121" s="30"/>
      <c r="H121" s="30"/>
      <c r="I121" s="30"/>
      <c r="J121" s="30"/>
      <c r="K121" s="30"/>
      <c r="L121" s="24"/>
      <c r="M121" s="728"/>
      <c r="N121" s="728"/>
      <c r="O121" s="33"/>
      <c r="P121" s="242"/>
      <c r="Q121" s="242"/>
      <c r="R121" s="242"/>
      <c r="BC121" s="677">
        <v>45</v>
      </c>
      <c r="BD121" s="680" t="str">
        <f t="shared" si="81"/>
        <v>(F68/100*INDEX('DEFAULT DATA'!$GI$9:$IN$41,START!$B$3,45)/INDEX('DEFAULT DATA'!$DX$9:$DX$41,START!$B$3,1))+</v>
      </c>
      <c r="BE121" s="693"/>
      <c r="BF121" s="693"/>
      <c r="BG121" s="693"/>
      <c r="BH121" s="693"/>
      <c r="BI121" s="637"/>
      <c r="BJ121" s="637"/>
      <c r="BK121" s="637"/>
      <c r="BL121" s="682"/>
      <c r="BM121" s="367">
        <v>68</v>
      </c>
      <c r="BN121" s="684" t="s">
        <v>2543</v>
      </c>
    </row>
    <row r="122" spans="1:66" ht="20.100000000000001" customHeight="1" thickBot="1">
      <c r="A122" s="27"/>
      <c r="B122" s="21"/>
      <c r="C122" s="21"/>
      <c r="D122" s="21"/>
      <c r="E122" s="21"/>
      <c r="F122" s="21"/>
      <c r="G122" s="21"/>
      <c r="H122" s="21"/>
      <c r="I122" s="21"/>
      <c r="J122" s="21"/>
      <c r="K122" s="21"/>
      <c r="L122" s="24"/>
      <c r="M122" s="728"/>
      <c r="N122" s="728"/>
      <c r="O122" s="33"/>
      <c r="P122" s="242"/>
      <c r="Q122" s="242"/>
      <c r="R122" s="242"/>
      <c r="S122" s="283" t="s">
        <v>2563</v>
      </c>
      <c r="T122" s="250"/>
      <c r="U122" s="250"/>
      <c r="BC122" s="677">
        <v>46</v>
      </c>
      <c r="BD122" s="680" t="str">
        <f t="shared" si="81"/>
        <v>(F69/100*INDEX('DEFAULT DATA'!$GI$9:$IN$41,START!$B$3,46)/INDEX('DEFAULT DATA'!$DX$9:$DX$41,START!$B$3,1))+</v>
      </c>
      <c r="BE122" s="693"/>
      <c r="BF122" s="693"/>
      <c r="BG122" s="693"/>
      <c r="BH122" s="693"/>
      <c r="BI122" s="637"/>
      <c r="BJ122" s="637"/>
      <c r="BK122" s="637"/>
      <c r="BL122" s="682"/>
      <c r="BM122" s="367">
        <v>69</v>
      </c>
      <c r="BN122" s="684" t="s">
        <v>2543</v>
      </c>
    </row>
    <row r="123" spans="1:66" ht="20.100000000000001" customHeight="1" thickBot="1">
      <c r="A123" s="45"/>
      <c r="B123" s="46"/>
      <c r="C123" s="46"/>
      <c r="D123" s="46"/>
      <c r="E123" s="46"/>
      <c r="F123" s="46"/>
      <c r="G123" s="46"/>
      <c r="H123" s="46"/>
      <c r="I123" s="46"/>
      <c r="J123" s="46"/>
      <c r="K123" s="46"/>
      <c r="L123" s="71"/>
      <c r="M123" s="733"/>
      <c r="N123" s="733"/>
      <c r="O123" s="34"/>
      <c r="P123" s="239"/>
      <c r="Q123" s="239"/>
      <c r="R123" s="239"/>
      <c r="S123" s="567" t="s">
        <v>2064</v>
      </c>
      <c r="T123" s="1073" t="s">
        <v>2945</v>
      </c>
      <c r="U123" s="706"/>
      <c r="V123" s="727">
        <v>2019</v>
      </c>
      <c r="W123" s="727">
        <v>2020</v>
      </c>
      <c r="X123" s="727">
        <v>2021</v>
      </c>
      <c r="Y123" s="727">
        <f>X123+1</f>
        <v>2022</v>
      </c>
      <c r="Z123" s="727">
        <f t="shared" ref="Z123" si="102">Y123+1</f>
        <v>2023</v>
      </c>
      <c r="AA123" s="727">
        <f t="shared" ref="AA123" si="103">Z123+1</f>
        <v>2024</v>
      </c>
      <c r="AB123" s="727">
        <f t="shared" ref="AB123" si="104">AA123+1</f>
        <v>2025</v>
      </c>
      <c r="AC123" s="727">
        <f t="shared" ref="AC123" si="105">AB123+1</f>
        <v>2026</v>
      </c>
      <c r="AD123" s="727">
        <f t="shared" ref="AD123" si="106">AC123+1</f>
        <v>2027</v>
      </c>
      <c r="AE123" s="727">
        <f t="shared" ref="AE123" si="107">AD123+1</f>
        <v>2028</v>
      </c>
      <c r="AF123" s="727">
        <f t="shared" ref="AF123" si="108">AE123+1</f>
        <v>2029</v>
      </c>
      <c r="AG123" s="727">
        <f t="shared" ref="AG123" si="109">AF123+1</f>
        <v>2030</v>
      </c>
      <c r="AH123" s="727">
        <f t="shared" ref="AH123" si="110">AG123+1</f>
        <v>2031</v>
      </c>
      <c r="AI123" s="727">
        <f t="shared" ref="AI123" si="111">AH123+1</f>
        <v>2032</v>
      </c>
      <c r="AJ123" s="727">
        <f t="shared" ref="AJ123" si="112">AI123+1</f>
        <v>2033</v>
      </c>
      <c r="AK123" s="727">
        <f t="shared" ref="AK123" si="113">AJ123+1</f>
        <v>2034</v>
      </c>
      <c r="AL123" s="727">
        <f t="shared" ref="AL123" si="114">AK123+1</f>
        <v>2035</v>
      </c>
      <c r="AM123" s="727">
        <f t="shared" ref="AM123" si="115">AL123+1</f>
        <v>2036</v>
      </c>
      <c r="AN123" s="727">
        <f t="shared" ref="AN123" si="116">AM123+1</f>
        <v>2037</v>
      </c>
      <c r="AO123" s="727">
        <f t="shared" ref="AO123" si="117">AN123+1</f>
        <v>2038</v>
      </c>
      <c r="AP123" s="727">
        <f t="shared" ref="AP123" si="118">AO123+1</f>
        <v>2039</v>
      </c>
      <c r="AQ123" s="727">
        <f t="shared" ref="AQ123" si="119">AP123+1</f>
        <v>2040</v>
      </c>
      <c r="AR123" s="727">
        <f t="shared" ref="AR123" si="120">AQ123+1</f>
        <v>2041</v>
      </c>
      <c r="AS123" s="727">
        <f t="shared" ref="AS123" si="121">AR123+1</f>
        <v>2042</v>
      </c>
      <c r="AT123" s="727">
        <f t="shared" ref="AT123" si="122">AS123+1</f>
        <v>2043</v>
      </c>
      <c r="AU123" s="727">
        <f t="shared" ref="AU123" si="123">AT123+1</f>
        <v>2044</v>
      </c>
      <c r="AV123" s="727">
        <f t="shared" ref="AV123" si="124">AU123+1</f>
        <v>2045</v>
      </c>
      <c r="AW123" s="727">
        <f t="shared" ref="AW123" si="125">AV123+1</f>
        <v>2046</v>
      </c>
      <c r="AX123" s="727">
        <f t="shared" ref="AX123" si="126">AW123+1</f>
        <v>2047</v>
      </c>
      <c r="AY123" s="727">
        <f t="shared" ref="AY123" si="127">AX123+1</f>
        <v>2048</v>
      </c>
      <c r="AZ123" s="727">
        <f t="shared" ref="AZ123" si="128">AY123+1</f>
        <v>2049</v>
      </c>
      <c r="BA123" s="153">
        <f t="shared" ref="BA123" si="129">AZ123+1</f>
        <v>2050</v>
      </c>
      <c r="BC123" s="677">
        <v>47</v>
      </c>
      <c r="BD123" s="680" t="str">
        <f t="shared" si="81"/>
        <v>(F70/100*INDEX('DEFAULT DATA'!$GI$9:$IN$41,START!$B$3,47)/INDEX('DEFAULT DATA'!$DX$9:$DX$41,START!$B$3,1))+</v>
      </c>
      <c r="BE123" s="693"/>
      <c r="BF123" s="693"/>
      <c r="BG123" s="693"/>
      <c r="BH123" s="693"/>
      <c r="BI123" s="637"/>
      <c r="BJ123" s="637"/>
      <c r="BK123" s="637"/>
      <c r="BL123" s="682"/>
      <c r="BM123" s="367">
        <v>70</v>
      </c>
      <c r="BN123" s="684" t="s">
        <v>2543</v>
      </c>
    </row>
    <row r="124" spans="1:66" ht="30" customHeight="1" thickBot="1">
      <c r="A124" s="753"/>
      <c r="B124" s="1483" t="s">
        <v>103</v>
      </c>
      <c r="C124" s="1483"/>
      <c r="D124" s="1483"/>
      <c r="E124" s="1483"/>
      <c r="F124" s="1483"/>
      <c r="G124" s="1483"/>
      <c r="H124" s="1483"/>
      <c r="I124" s="1483"/>
      <c r="J124" s="1483"/>
      <c r="K124" s="1483"/>
      <c r="L124" s="1483"/>
      <c r="M124" s="1483"/>
      <c r="N124" s="1483"/>
      <c r="O124" s="1484"/>
      <c r="P124" s="243"/>
      <c r="Q124" s="243"/>
      <c r="R124" s="243"/>
      <c r="S124" s="568"/>
      <c r="T124" s="1500" t="s">
        <v>2593</v>
      </c>
      <c r="U124" s="1501"/>
      <c r="V124" s="540"/>
      <c r="W124" s="540"/>
      <c r="X124" s="197">
        <f>INDEX('DEFAULT DATA'!JJ9:JJ41,START!C3,1)*TRANSPORT!AA21*INDEX('DEFAULT DATA'!$MM$9:$MP$41,START!$C$3,G21)</f>
        <v>0</v>
      </c>
      <c r="Y124" s="197">
        <f>X124*(100+INDEX('DEFAULT DATA'!$JN$9:$JP$41,START!$C$3,1))/100</f>
        <v>0</v>
      </c>
      <c r="Z124" s="197">
        <f>Y124*(100+INDEX('DEFAULT DATA'!$JN$9:$JP$41,START!$C$3,1))/100</f>
        <v>0</v>
      </c>
      <c r="AA124" s="197">
        <f>Z124*(100+INDEX('DEFAULT DATA'!$JN$9:$JP$41,START!$C$3,1))/100</f>
        <v>0</v>
      </c>
      <c r="AB124" s="197">
        <f>AA124*(100+INDEX('DEFAULT DATA'!$JN$9:$JP$41,START!$C$3,1))/100</f>
        <v>0</v>
      </c>
      <c r="AC124" s="197">
        <f>AB124*(100+INDEX('DEFAULT DATA'!$JN$9:$JP$41,START!$C$3,1))/100</f>
        <v>0</v>
      </c>
      <c r="AD124" s="197">
        <f>AC124*(100+INDEX('DEFAULT DATA'!$JN$9:$JP$41,START!$C$3,1))/100</f>
        <v>0</v>
      </c>
      <c r="AE124" s="197">
        <f>AD124*(100+INDEX('DEFAULT DATA'!$JN$9:$JP$41,START!$C$3,1))/100</f>
        <v>0</v>
      </c>
      <c r="AF124" s="197">
        <f>AE124*(100+INDEX('DEFAULT DATA'!$JN$9:$JP$41,START!$C$3,1))/100</f>
        <v>0</v>
      </c>
      <c r="AG124" s="197">
        <f>AF124*(100+INDEX('DEFAULT DATA'!$JN$9:$JP$41,START!$C$3,1))/100</f>
        <v>0</v>
      </c>
      <c r="AH124" s="197">
        <f>AG124*(100+INDEX('DEFAULT DATA'!$JN$9:$JP$41,START!$C$3,2))/100</f>
        <v>0</v>
      </c>
      <c r="AI124" s="197">
        <f>AH124*(100+INDEX('DEFAULT DATA'!$JN$9:$JP$41,START!$C$3,2))/100</f>
        <v>0</v>
      </c>
      <c r="AJ124" s="197">
        <f>AI124*(100+INDEX('DEFAULT DATA'!$JN$9:$JP$41,START!$C$3,2))/100</f>
        <v>0</v>
      </c>
      <c r="AK124" s="197">
        <f>AJ124*(100+INDEX('DEFAULT DATA'!$JN$9:$JP$41,START!$C$3,2))/100</f>
        <v>0</v>
      </c>
      <c r="AL124" s="197">
        <f>AK124*(100+INDEX('DEFAULT DATA'!$JN$9:$JP$41,START!$C$3,2))/100</f>
        <v>0</v>
      </c>
      <c r="AM124" s="197">
        <f>AL124*(100+INDEX('DEFAULT DATA'!$JN$9:$JP$41,START!$C$3,2))/100</f>
        <v>0</v>
      </c>
      <c r="AN124" s="197">
        <f>AM124*(100+INDEX('DEFAULT DATA'!$JN$9:$JP$41,START!$C$3,2))/100</f>
        <v>0</v>
      </c>
      <c r="AO124" s="197">
        <f>AN124*(100+INDEX('DEFAULT DATA'!$JN$9:$JP$41,START!$C$3,2))/100</f>
        <v>0</v>
      </c>
      <c r="AP124" s="197">
        <f>AO124*(100+INDEX('DEFAULT DATA'!$JN$9:$JP$41,START!$C$3,2))/100</f>
        <v>0</v>
      </c>
      <c r="AQ124" s="197">
        <f>AP124*(100+INDEX('DEFAULT DATA'!$JN$9:$JP$41,START!$C$3,2))/100</f>
        <v>0</v>
      </c>
      <c r="AR124" s="197">
        <f>AQ124*(100+INDEX('DEFAULT DATA'!$JN$9:$JP$41,START!$C$3,3))/100</f>
        <v>0</v>
      </c>
      <c r="AS124" s="197">
        <f>AR124*(100+INDEX('DEFAULT DATA'!$JN$9:$JP$41,START!$C$3,3))/100</f>
        <v>0</v>
      </c>
      <c r="AT124" s="197">
        <f>AS124*(100+INDEX('DEFAULT DATA'!$JN$9:$JP$41,START!$C$3,3))/100</f>
        <v>0</v>
      </c>
      <c r="AU124" s="197">
        <f>AT124*(100+INDEX('DEFAULT DATA'!$JN$9:$JP$41,START!$C$3,3))/100</f>
        <v>0</v>
      </c>
      <c r="AV124" s="197">
        <f>AU124*(100+INDEX('DEFAULT DATA'!$JN$9:$JP$41,START!$C$3,3))/100</f>
        <v>0</v>
      </c>
      <c r="AW124" s="197">
        <f>AV124*(100+INDEX('DEFAULT DATA'!$JN$9:$JP$41,START!$C$3,3))/100</f>
        <v>0</v>
      </c>
      <c r="AX124" s="197">
        <f>AW124*(100+INDEX('DEFAULT DATA'!$JN$9:$JP$41,START!$C$3,3))/100</f>
        <v>0</v>
      </c>
      <c r="AY124" s="197">
        <f>AX124*(100+INDEX('DEFAULT DATA'!$JN$9:$JP$41,START!$C$3,3))/100</f>
        <v>0</v>
      </c>
      <c r="AZ124" s="197">
        <f>AY124*(100+INDEX('DEFAULT DATA'!$JN$9:$JP$41,START!$C$3,3))/100</f>
        <v>0</v>
      </c>
      <c r="BA124" s="566">
        <f>AZ124*(100+INDEX('DEFAULT DATA'!$JN$9:$JP$41,START!$C$3,3))/100</f>
        <v>0</v>
      </c>
      <c r="BB124" s="669"/>
      <c r="BC124" s="677">
        <v>48</v>
      </c>
      <c r="BD124" s="680" t="str">
        <f t="shared" si="81"/>
        <v>(F71/100*INDEX('DEFAULT DATA'!$GI$9:$IN$41,START!$B$3,48)/INDEX('DEFAULT DATA'!$DX$9:$DX$41,START!$B$3,1))+</v>
      </c>
      <c r="BE124" s="693"/>
      <c r="BF124" s="693"/>
      <c r="BG124" s="693"/>
      <c r="BH124" s="693"/>
      <c r="BI124" s="637"/>
      <c r="BJ124" s="637"/>
      <c r="BK124" s="637"/>
      <c r="BL124" s="682"/>
      <c r="BM124" s="367">
        <v>71</v>
      </c>
      <c r="BN124" s="684" t="s">
        <v>2543</v>
      </c>
    </row>
    <row r="125" spans="1:66" ht="20.100000000000001" customHeight="1" thickBot="1">
      <c r="A125" s="708"/>
      <c r="B125" s="668"/>
      <c r="C125" s="668"/>
      <c r="D125" s="668"/>
      <c r="E125" s="668"/>
      <c r="F125" s="668"/>
      <c r="G125" s="668"/>
      <c r="H125" s="668"/>
      <c r="I125" s="668"/>
      <c r="J125" s="668"/>
      <c r="K125" s="668"/>
      <c r="L125" s="668"/>
      <c r="M125" s="668"/>
      <c r="N125" s="668"/>
      <c r="O125" s="291"/>
      <c r="P125" s="668"/>
      <c r="Q125" s="668"/>
      <c r="R125" s="16"/>
      <c r="S125" s="669"/>
      <c r="T125" s="669"/>
      <c r="U125" s="669"/>
      <c r="V125" s="669"/>
      <c r="W125" s="669"/>
      <c r="X125" s="669"/>
      <c r="Y125" s="669"/>
      <c r="Z125" s="669"/>
      <c r="AA125" s="669"/>
      <c r="AB125" s="669"/>
      <c r="AC125" s="669"/>
      <c r="AD125" s="669"/>
      <c r="AE125" s="669"/>
      <c r="AF125" s="669"/>
      <c r="AG125" s="669"/>
      <c r="AH125" s="669"/>
      <c r="AI125" s="669"/>
      <c r="AJ125" s="669"/>
      <c r="AK125" s="669"/>
      <c r="AL125" s="669"/>
      <c r="AM125" s="669"/>
      <c r="AN125" s="669"/>
      <c r="AO125" s="669"/>
      <c r="AP125" s="669"/>
      <c r="AQ125" s="669"/>
      <c r="AR125" s="669"/>
      <c r="AS125" s="669"/>
      <c r="AT125" s="669"/>
      <c r="AU125" s="669"/>
      <c r="AV125" s="669"/>
      <c r="AW125" s="669"/>
      <c r="AX125" s="669"/>
      <c r="AY125" s="669"/>
      <c r="AZ125" s="669"/>
      <c r="BA125" s="669"/>
      <c r="BB125" s="669"/>
      <c r="BC125" s="677">
        <v>49</v>
      </c>
      <c r="BD125" s="680" t="str">
        <f t="shared" si="81"/>
        <v>(F72/100*INDEX('DEFAULT DATA'!$GI$9:$IN$41,START!$B$3,49)/INDEX('DEFAULT DATA'!$DX$9:$DX$41,START!$B$3,1))+</v>
      </c>
      <c r="BE125" s="693"/>
      <c r="BF125" s="693"/>
      <c r="BG125" s="693"/>
      <c r="BH125" s="693"/>
      <c r="BI125" s="637"/>
      <c r="BJ125" s="637"/>
      <c r="BK125" s="637"/>
      <c r="BL125" s="682"/>
      <c r="BM125" s="367">
        <v>72</v>
      </c>
      <c r="BN125" s="684" t="s">
        <v>2543</v>
      </c>
    </row>
    <row r="126" spans="1:66" ht="20.100000000000001" customHeight="1">
      <c r="A126" s="17"/>
      <c r="B126" s="414" t="s">
        <v>108</v>
      </c>
      <c r="C126" s="125"/>
      <c r="D126" s="125"/>
      <c r="E126" s="125"/>
      <c r="F126" s="262"/>
      <c r="G126" s="415"/>
      <c r="H126" s="262"/>
      <c r="I126" s="262"/>
      <c r="J126" s="262"/>
      <c r="K126" s="262"/>
      <c r="L126" s="262"/>
      <c r="M126" s="262"/>
      <c r="N126" s="262"/>
      <c r="O126" s="412"/>
      <c r="P126" s="668"/>
      <c r="Q126" s="668"/>
      <c r="R126" s="16"/>
      <c r="S126" s="299" t="s">
        <v>2059</v>
      </c>
      <c r="T126" s="709" t="s">
        <v>2592</v>
      </c>
      <c r="U126" s="710"/>
      <c r="V126" s="727">
        <v>2019</v>
      </c>
      <c r="W126" s="727">
        <v>2020</v>
      </c>
      <c r="X126" s="727">
        <v>2021</v>
      </c>
      <c r="Y126" s="727">
        <f>X126+1</f>
        <v>2022</v>
      </c>
      <c r="Z126" s="727">
        <f t="shared" ref="Z126" si="130">Y126+1</f>
        <v>2023</v>
      </c>
      <c r="AA126" s="727">
        <f t="shared" ref="AA126" si="131">Z126+1</f>
        <v>2024</v>
      </c>
      <c r="AB126" s="727">
        <f t="shared" ref="AB126" si="132">AA126+1</f>
        <v>2025</v>
      </c>
      <c r="AC126" s="727">
        <f t="shared" ref="AC126" si="133">AB126+1</f>
        <v>2026</v>
      </c>
      <c r="AD126" s="727">
        <f t="shared" ref="AD126" si="134">AC126+1</f>
        <v>2027</v>
      </c>
      <c r="AE126" s="727">
        <f t="shared" ref="AE126" si="135">AD126+1</f>
        <v>2028</v>
      </c>
      <c r="AF126" s="727">
        <f t="shared" ref="AF126" si="136">AE126+1</f>
        <v>2029</v>
      </c>
      <c r="AG126" s="727">
        <f t="shared" ref="AG126" si="137">AF126+1</f>
        <v>2030</v>
      </c>
      <c r="AH126" s="727">
        <f t="shared" ref="AH126" si="138">AG126+1</f>
        <v>2031</v>
      </c>
      <c r="AI126" s="727">
        <f t="shared" ref="AI126" si="139">AH126+1</f>
        <v>2032</v>
      </c>
      <c r="AJ126" s="727">
        <f t="shared" ref="AJ126" si="140">AI126+1</f>
        <v>2033</v>
      </c>
      <c r="AK126" s="727">
        <f t="shared" ref="AK126" si="141">AJ126+1</f>
        <v>2034</v>
      </c>
      <c r="AL126" s="727">
        <f t="shared" ref="AL126" si="142">AK126+1</f>
        <v>2035</v>
      </c>
      <c r="AM126" s="727">
        <f t="shared" ref="AM126" si="143">AL126+1</f>
        <v>2036</v>
      </c>
      <c r="AN126" s="727">
        <f t="shared" ref="AN126" si="144">AM126+1</f>
        <v>2037</v>
      </c>
      <c r="AO126" s="727">
        <f t="shared" ref="AO126" si="145">AN126+1</f>
        <v>2038</v>
      </c>
      <c r="AP126" s="727">
        <f t="shared" ref="AP126" si="146">AO126+1</f>
        <v>2039</v>
      </c>
      <c r="AQ126" s="727">
        <f t="shared" ref="AQ126" si="147">AP126+1</f>
        <v>2040</v>
      </c>
      <c r="AR126" s="727">
        <f t="shared" ref="AR126" si="148">AQ126+1</f>
        <v>2041</v>
      </c>
      <c r="AS126" s="727">
        <f t="shared" ref="AS126" si="149">AR126+1</f>
        <v>2042</v>
      </c>
      <c r="AT126" s="727">
        <f t="shared" ref="AT126" si="150">AS126+1</f>
        <v>2043</v>
      </c>
      <c r="AU126" s="727">
        <f t="shared" ref="AU126" si="151">AT126+1</f>
        <v>2044</v>
      </c>
      <c r="AV126" s="727">
        <f t="shared" ref="AV126" si="152">AU126+1</f>
        <v>2045</v>
      </c>
      <c r="AW126" s="727">
        <f t="shared" ref="AW126" si="153">AV126+1</f>
        <v>2046</v>
      </c>
      <c r="AX126" s="727">
        <f t="shared" ref="AX126" si="154">AW126+1</f>
        <v>2047</v>
      </c>
      <c r="AY126" s="727">
        <f t="shared" ref="AY126" si="155">AX126+1</f>
        <v>2048</v>
      </c>
      <c r="AZ126" s="727">
        <f t="shared" ref="AZ126" si="156">AY126+1</f>
        <v>2049</v>
      </c>
      <c r="BA126" s="153">
        <f t="shared" ref="BA126" si="157">AZ126+1</f>
        <v>2050</v>
      </c>
      <c r="BC126" s="677">
        <v>50</v>
      </c>
      <c r="BD126" s="680" t="str">
        <f t="shared" si="81"/>
        <v>(F73/100*INDEX('DEFAULT DATA'!$GI$9:$IN$41,START!$B$3,50)/INDEX('DEFAULT DATA'!$DX$9:$DX$41,START!$B$3,1))+</v>
      </c>
      <c r="BE126" s="693"/>
      <c r="BF126" s="693"/>
      <c r="BG126" s="693"/>
      <c r="BH126" s="693"/>
      <c r="BI126" s="637"/>
      <c r="BJ126" s="637"/>
      <c r="BK126" s="637"/>
      <c r="BL126" s="682"/>
      <c r="BM126" s="367">
        <v>73</v>
      </c>
      <c r="BN126" s="684" t="s">
        <v>2543</v>
      </c>
    </row>
    <row r="127" spans="1:66" ht="20.100000000000001" customHeight="1">
      <c r="A127" s="708"/>
      <c r="B127" s="112" t="s">
        <v>109</v>
      </c>
      <c r="C127" s="388"/>
      <c r="D127" s="388"/>
      <c r="E127" s="388"/>
      <c r="F127" s="668"/>
      <c r="G127" s="326">
        <v>0</v>
      </c>
      <c r="H127" s="668"/>
      <c r="I127" s="408" t="s">
        <v>114</v>
      </c>
      <c r="J127" s="408"/>
      <c r="K127" s="408"/>
      <c r="L127" s="408"/>
      <c r="M127" s="408"/>
      <c r="N127" s="408"/>
      <c r="O127" s="416"/>
      <c r="P127" s="408"/>
      <c r="Q127" s="408"/>
      <c r="R127" s="37"/>
      <c r="S127" s="101" t="s">
        <v>2342</v>
      </c>
      <c r="T127" s="1496" t="s">
        <v>2887</v>
      </c>
      <c r="U127" s="1497"/>
      <c r="V127" s="764"/>
      <c r="W127" s="765"/>
      <c r="X127" s="750">
        <f>(INDEX('DEFAULT DATA'!$JM$9:$JM$41,START!$C$3,1)/100*X5*INDEX('DEFAULT DATA'!$JL$9:$JL$41,START!$C$3,1))</f>
        <v>2301.865205479452</v>
      </c>
      <c r="Y127" s="750">
        <f>(INDEX('DEFAULT DATA'!$JM$9:$JM$41,START!$C$3,1)/100*Y5*INDEX('DEFAULT DATA'!$JL$9:$JL$41,START!$C$3,1))</f>
        <v>2126.923449863014</v>
      </c>
      <c r="Z127" s="750">
        <f>(INDEX('DEFAULT DATA'!$JM$9:$JM$41,START!$C$3,1)/100*Z5*INDEX('DEFAULT DATA'!$JL$9:$JL$41,START!$C$3,1))</f>
        <v>1965.2772676734251</v>
      </c>
      <c r="AA127" s="750">
        <f>(INDEX('DEFAULT DATA'!$JM$9:$JM$41,START!$C$3,1)/100*AA5*INDEX('DEFAULT DATA'!$JL$9:$JL$41,START!$C$3,1))</f>
        <v>1815.9161953302448</v>
      </c>
      <c r="AB127" s="750">
        <f>(INDEX('DEFAULT DATA'!$JM$9:$JM$41,START!$C$3,1)/100*AB5*INDEX('DEFAULT DATA'!$JL$9:$JL$41,START!$C$3,1))</f>
        <v>1677.9065644851462</v>
      </c>
      <c r="AC127" s="750">
        <f>(INDEX('DEFAULT DATA'!$JM$9:$JM$41,START!$C$3,1)/100*AC5*INDEX('DEFAULT DATA'!$JL$9:$JL$41,START!$C$3,1))</f>
        <v>1550.3856655842753</v>
      </c>
      <c r="AD127" s="750">
        <f>(INDEX('DEFAULT DATA'!$JM$9:$JM$41,START!$C$3,1)/100*AD5*INDEX('DEFAULT DATA'!$JL$9:$JL$41,START!$C$3,1))</f>
        <v>1432.5563549998706</v>
      </c>
      <c r="AE127" s="750">
        <f>(INDEX('DEFAULT DATA'!$JM$9:$JM$41,START!$C$3,1)/100*AE5*INDEX('DEFAULT DATA'!$JL$9:$JL$41,START!$C$3,1))</f>
        <v>1323.6820720198803</v>
      </c>
      <c r="AF127" s="750">
        <f>(INDEX('DEFAULT DATA'!$JM$9:$JM$41,START!$C$3,1)/100*AF5*INDEX('DEFAULT DATA'!$JL$9:$JL$41,START!$C$3,1))</f>
        <v>1223.0822345463694</v>
      </c>
      <c r="AG127" s="750">
        <f>(INDEX('DEFAULT DATA'!$JM$9:$JM$41,START!$C$3,1)/100*AG5*INDEX('DEFAULT DATA'!$JL$9:$JL$41,START!$C$3,1))</f>
        <v>1130.1279847208455</v>
      </c>
      <c r="AH127" s="750">
        <f>(INDEX('DEFAULT DATA'!$JM$9:$JM$41,START!$C$3,1)/100*AH5*INDEX('DEFAULT DATA'!$JL$9:$JL$41,START!$C$3,1))</f>
        <v>1056.6696657139905</v>
      </c>
      <c r="AI127" s="750">
        <f>(INDEX('DEFAULT DATA'!$JM$9:$JM$41,START!$C$3,1)/100*AI5*INDEX('DEFAULT DATA'!$JL$9:$JL$41,START!$C$3,1))</f>
        <v>987.98613744258125</v>
      </c>
      <c r="AJ127" s="750">
        <f>(INDEX('DEFAULT DATA'!$JM$9:$JM$41,START!$C$3,1)/100*AJ5*INDEX('DEFAULT DATA'!$JL$9:$JL$41,START!$C$3,1))</f>
        <v>923.76703850881347</v>
      </c>
      <c r="AK127" s="750">
        <f>(INDEX('DEFAULT DATA'!$JM$9:$JM$41,START!$C$3,1)/100*AK5*INDEX('DEFAULT DATA'!$JL$9:$JL$41,START!$C$3,1))</f>
        <v>863.72218100574059</v>
      </c>
      <c r="AL127" s="750">
        <f>(INDEX('DEFAULT DATA'!$JM$9:$JM$41,START!$C$3,1)/100*AL5*INDEX('DEFAULT DATA'!$JL$9:$JL$41,START!$C$3,1))</f>
        <v>807.58023924036752</v>
      </c>
      <c r="AM127" s="750">
        <f>(INDEX('DEFAULT DATA'!$JM$9:$JM$41,START!$C$3,1)/100*AM5*INDEX('DEFAULT DATA'!$JL$9:$JL$41,START!$C$3,1))</f>
        <v>755.08752368974365</v>
      </c>
      <c r="AN127" s="750">
        <f>(INDEX('DEFAULT DATA'!$JM$9:$JM$41,START!$C$3,1)/100*AN5*INDEX('DEFAULT DATA'!$JL$9:$JL$41,START!$C$3,1))</f>
        <v>706.00683464991039</v>
      </c>
      <c r="AO127" s="750">
        <f>(INDEX('DEFAULT DATA'!$JM$9:$JM$41,START!$C$3,1)/100*AO5*INDEX('DEFAULT DATA'!$JL$9:$JL$41,START!$C$3,1))</f>
        <v>660.11639039766635</v>
      </c>
      <c r="AP127" s="750">
        <f>(INDEX('DEFAULT DATA'!$JM$9:$JM$41,START!$C$3,1)/100*AP5*INDEX('DEFAULT DATA'!$JL$9:$JL$41,START!$C$3,1))</f>
        <v>617.20882502181803</v>
      </c>
      <c r="AQ127" s="750">
        <f>(INDEX('DEFAULT DATA'!$JM$9:$JM$41,START!$C$3,1)/100*AQ5*INDEX('DEFAULT DATA'!$JL$9:$JL$41,START!$C$3,1))</f>
        <v>577.09025139539995</v>
      </c>
      <c r="AR127" s="750">
        <f>(INDEX('DEFAULT DATA'!$JM$9:$JM$41,START!$C$3,1)/100*AR5*INDEX('DEFAULT DATA'!$JL$9:$JL$41,START!$C$3,1))</f>
        <v>539.57938505469895</v>
      </c>
      <c r="AS127" s="750">
        <f>(INDEX('DEFAULT DATA'!$JM$9:$JM$41,START!$C$3,1)/100*AS5*INDEX('DEFAULT DATA'!$JL$9:$JL$41,START!$C$3,1))</f>
        <v>504.50672502614356</v>
      </c>
      <c r="AT127" s="750">
        <f>(INDEX('DEFAULT DATA'!$JM$9:$JM$41,START!$C$3,1)/100*AT5*INDEX('DEFAULT DATA'!$JL$9:$JL$41,START!$C$3,1))</f>
        <v>471.7137878994443</v>
      </c>
      <c r="AU127" s="750">
        <f>(INDEX('DEFAULT DATA'!$JM$9:$JM$41,START!$C$3,1)/100*AU5*INDEX('DEFAULT DATA'!$JL$9:$JL$41,START!$C$3,1))</f>
        <v>441.05239168598047</v>
      </c>
      <c r="AV127" s="750">
        <f>(INDEX('DEFAULT DATA'!$JM$9:$JM$41,START!$C$3,1)/100*AV5*INDEX('DEFAULT DATA'!$JL$9:$JL$41,START!$C$3,1))</f>
        <v>412.38398622639176</v>
      </c>
      <c r="AW127" s="750">
        <f>(INDEX('DEFAULT DATA'!$JM$9:$JM$41,START!$C$3,1)/100*AW5*INDEX('DEFAULT DATA'!$JL$9:$JL$41,START!$C$3,1))</f>
        <v>385.57902712167629</v>
      </c>
      <c r="AX127" s="750">
        <f>(INDEX('DEFAULT DATA'!$JM$9:$JM$41,START!$C$3,1)/100*AX5*INDEX('DEFAULT DATA'!$JL$9:$JL$41,START!$C$3,1))</f>
        <v>360.51639035876735</v>
      </c>
      <c r="AY127" s="750">
        <f>(INDEX('DEFAULT DATA'!$JM$9:$JM$41,START!$C$3,1)/100*AY5*INDEX('DEFAULT DATA'!$JL$9:$JL$41,START!$C$3,1))</f>
        <v>337.08282498544747</v>
      </c>
      <c r="AZ127" s="750">
        <f>(INDEX('DEFAULT DATA'!$JM$9:$JM$41,START!$C$3,1)/100*AZ5*INDEX('DEFAULT DATA'!$JL$9:$JL$41,START!$C$3,1))</f>
        <v>315.1724413613934</v>
      </c>
      <c r="BA127" s="766">
        <f>(INDEX('DEFAULT DATA'!$JM$9:$JM$41,START!$C$3,1)/100*BA5*INDEX('DEFAULT DATA'!$JL$9:$JL$41,START!$C$3,1))</f>
        <v>294.68623267290286</v>
      </c>
      <c r="BC127" s="677">
        <v>51</v>
      </c>
      <c r="BD127" s="680" t="str">
        <f t="shared" si="81"/>
        <v>(F74/100*INDEX('DEFAULT DATA'!$GI$9:$IN$41,START!$B$3,51)/INDEX('DEFAULT DATA'!$DX$9:$DX$41,START!$B$3,1))+</v>
      </c>
      <c r="BE127" s="693"/>
      <c r="BF127" s="693"/>
      <c r="BG127" s="693"/>
      <c r="BH127" s="693"/>
      <c r="BI127" s="637"/>
      <c r="BJ127" s="637"/>
      <c r="BK127" s="637"/>
      <c r="BL127" s="682"/>
      <c r="BM127" s="367">
        <v>74</v>
      </c>
      <c r="BN127" s="684" t="s">
        <v>2543</v>
      </c>
    </row>
    <row r="128" spans="1:66" ht="20.100000000000001" customHeight="1">
      <c r="A128" s="708"/>
      <c r="B128" s="112" t="s">
        <v>104</v>
      </c>
      <c r="C128" s="388"/>
      <c r="D128" s="388"/>
      <c r="E128" s="388"/>
      <c r="F128" s="723" t="s">
        <v>105</v>
      </c>
      <c r="G128" s="723" t="s">
        <v>106</v>
      </c>
      <c r="H128" s="668"/>
      <c r="I128" s="668"/>
      <c r="J128" s="668"/>
      <c r="K128" s="668"/>
      <c r="L128" s="668"/>
      <c r="M128" s="668"/>
      <c r="N128" s="668"/>
      <c r="O128" s="291"/>
      <c r="P128" s="668"/>
      <c r="Q128" s="668"/>
      <c r="R128" s="16"/>
      <c r="S128" s="101" t="s">
        <v>2341</v>
      </c>
      <c r="T128" s="1496" t="s">
        <v>2888</v>
      </c>
      <c r="U128" s="1497"/>
      <c r="V128" s="201"/>
      <c r="W128" s="201"/>
      <c r="X128" s="123">
        <f>(100-INDEX('DEFAULT DATA'!$JM$9:$JM$41,START!$C$3,1))/100*INDEX('DEFAULT DATA'!$JK$9:$JK$41,START!$C$3,1)</f>
        <v>1323.54000000001</v>
      </c>
      <c r="Y128" s="123">
        <f>(100-INDEX('DEFAULT DATA'!$JM$9:$JM$41,START!$C$3,1))/100*INDEX('DEFAULT DATA'!$JK$9:$JK$41,START!$C$3,1)</f>
        <v>1323.54000000001</v>
      </c>
      <c r="Z128" s="123">
        <f>(100-INDEX('DEFAULT DATA'!$JM$9:$JM$41,START!$C$3,1))/100*INDEX('DEFAULT DATA'!$JK$9:$JK$41,START!$C$3,1)</f>
        <v>1323.54000000001</v>
      </c>
      <c r="AA128" s="123">
        <f>(100-INDEX('DEFAULT DATA'!$JM$9:$JM$41,START!$C$3,1))/100*INDEX('DEFAULT DATA'!$JK$9:$JK$41,START!$C$3,1)</f>
        <v>1323.54000000001</v>
      </c>
      <c r="AB128" s="123">
        <f>(100-INDEX('DEFAULT DATA'!$JM$9:$JM$41,START!$C$3,1))/100*INDEX('DEFAULT DATA'!$JK$9:$JK$41,START!$C$3,1)</f>
        <v>1323.54000000001</v>
      </c>
      <c r="AC128" s="123">
        <f>(100-INDEX('DEFAULT DATA'!$JM$9:$JM$41,START!$C$3,1))/100*INDEX('DEFAULT DATA'!$JK$9:$JK$41,START!$C$3,1)</f>
        <v>1323.54000000001</v>
      </c>
      <c r="AD128" s="123">
        <f>(100-INDEX('DEFAULT DATA'!$JM$9:$JM$41,START!$C$3,1))/100*INDEX('DEFAULT DATA'!$JK$9:$JK$41,START!$C$3,1)</f>
        <v>1323.54000000001</v>
      </c>
      <c r="AE128" s="123">
        <f>(100-INDEX('DEFAULT DATA'!$JM$9:$JM$41,START!$C$3,1))/100*INDEX('DEFAULT DATA'!$JK$9:$JK$41,START!$C$3,1)</f>
        <v>1323.54000000001</v>
      </c>
      <c r="AF128" s="123">
        <f>(100-INDEX('DEFAULT DATA'!$JM$9:$JM$41,START!$C$3,1))/100*INDEX('DEFAULT DATA'!$JK$9:$JK$41,START!$C$3,1)</f>
        <v>1323.54000000001</v>
      </c>
      <c r="AG128" s="123">
        <f>(100-INDEX('DEFAULT DATA'!$JM$9:$JM$41,START!$C$3,1))/100*INDEX('DEFAULT DATA'!$JK$9:$JK$41,START!$C$3,1)</f>
        <v>1323.54000000001</v>
      </c>
      <c r="AH128" s="123">
        <f>(100-INDEX('DEFAULT DATA'!$JM$9:$JM$41,START!$C$3,1))/100*INDEX('DEFAULT DATA'!$JK$9:$JK$41,START!$C$3,1)</f>
        <v>1323.54000000001</v>
      </c>
      <c r="AI128" s="123">
        <f>(100-INDEX('DEFAULT DATA'!$JM$9:$JM$41,START!$C$3,1))/100*INDEX('DEFAULT DATA'!$JK$9:$JK$41,START!$C$3,1)</f>
        <v>1323.54000000001</v>
      </c>
      <c r="AJ128" s="123">
        <f>(100-INDEX('DEFAULT DATA'!$JM$9:$JM$41,START!$C$3,1))/100*INDEX('DEFAULT DATA'!$JK$9:$JK$41,START!$C$3,1)</f>
        <v>1323.54000000001</v>
      </c>
      <c r="AK128" s="123">
        <f>(100-INDEX('DEFAULT DATA'!$JM$9:$JM$41,START!$C$3,1))/100*INDEX('DEFAULT DATA'!$JK$9:$JK$41,START!$C$3,1)</f>
        <v>1323.54000000001</v>
      </c>
      <c r="AL128" s="123">
        <f>(100-INDEX('DEFAULT DATA'!$JM$9:$JM$41,START!$C$3,1))/100*INDEX('DEFAULT DATA'!$JK$9:$JK$41,START!$C$3,1)</f>
        <v>1323.54000000001</v>
      </c>
      <c r="AM128" s="123">
        <f>(100-INDEX('DEFAULT DATA'!$JM$9:$JM$41,START!$C$3,1))/100*INDEX('DEFAULT DATA'!$JK$9:$JK$41,START!$C$3,1)</f>
        <v>1323.54000000001</v>
      </c>
      <c r="AN128" s="123">
        <f>(100-INDEX('DEFAULT DATA'!$JM$9:$JM$41,START!$C$3,1))/100*INDEX('DEFAULT DATA'!$JK$9:$JK$41,START!$C$3,1)</f>
        <v>1323.54000000001</v>
      </c>
      <c r="AO128" s="123">
        <f>(100-INDEX('DEFAULT DATA'!$JM$9:$JM$41,START!$C$3,1))/100*INDEX('DEFAULT DATA'!$JK$9:$JK$41,START!$C$3,1)</f>
        <v>1323.54000000001</v>
      </c>
      <c r="AP128" s="123">
        <f>(100-INDEX('DEFAULT DATA'!$JM$9:$JM$41,START!$C$3,1))/100*INDEX('DEFAULT DATA'!$JK$9:$JK$41,START!$C$3,1)</f>
        <v>1323.54000000001</v>
      </c>
      <c r="AQ128" s="123">
        <f>(100-INDEX('DEFAULT DATA'!$JM$9:$JM$41,START!$C$3,1))/100*INDEX('DEFAULT DATA'!$JK$9:$JK$41,START!$C$3,1)</f>
        <v>1323.54000000001</v>
      </c>
      <c r="AR128" s="123">
        <f>(100-INDEX('DEFAULT DATA'!$JM$9:$JM$41,START!$C$3,1))/100*INDEX('DEFAULT DATA'!$JK$9:$JK$41,START!$C$3,1)</f>
        <v>1323.54000000001</v>
      </c>
      <c r="AS128" s="123">
        <f>(100-INDEX('DEFAULT DATA'!$JM$9:$JM$41,START!$C$3,1))/100*INDEX('DEFAULT DATA'!$JK$9:$JK$41,START!$C$3,1)</f>
        <v>1323.54000000001</v>
      </c>
      <c r="AT128" s="123">
        <f>(100-INDEX('DEFAULT DATA'!$JM$9:$JM$41,START!$C$3,1))/100*INDEX('DEFAULT DATA'!$JK$9:$JK$41,START!$C$3,1)</f>
        <v>1323.54000000001</v>
      </c>
      <c r="AU128" s="123">
        <f>(100-INDEX('DEFAULT DATA'!$JM$9:$JM$41,START!$C$3,1))/100*INDEX('DEFAULT DATA'!$JK$9:$JK$41,START!$C$3,1)</f>
        <v>1323.54000000001</v>
      </c>
      <c r="AV128" s="123">
        <f>(100-INDEX('DEFAULT DATA'!$JM$9:$JM$41,START!$C$3,1))/100*INDEX('DEFAULT DATA'!$JK$9:$JK$41,START!$C$3,1)</f>
        <v>1323.54000000001</v>
      </c>
      <c r="AW128" s="123">
        <f>(100-INDEX('DEFAULT DATA'!$JM$9:$JM$41,START!$C$3,1))/100*INDEX('DEFAULT DATA'!$JK$9:$JK$41,START!$C$3,1)</f>
        <v>1323.54000000001</v>
      </c>
      <c r="AX128" s="123">
        <f>(100-INDEX('DEFAULT DATA'!$JM$9:$JM$41,START!$C$3,1))/100*INDEX('DEFAULT DATA'!$JK$9:$JK$41,START!$C$3,1)</f>
        <v>1323.54000000001</v>
      </c>
      <c r="AY128" s="123">
        <f>(100-INDEX('DEFAULT DATA'!$JM$9:$JM$41,START!$C$3,1))/100*INDEX('DEFAULT DATA'!$JK$9:$JK$41,START!$C$3,1)</f>
        <v>1323.54000000001</v>
      </c>
      <c r="AZ128" s="123">
        <f>(100-INDEX('DEFAULT DATA'!$JM$9:$JM$41,START!$C$3,1))/100*INDEX('DEFAULT DATA'!$JK$9:$JK$41,START!$C$3,1)</f>
        <v>1323.54000000001</v>
      </c>
      <c r="BA128" s="159">
        <f>(100-INDEX('DEFAULT DATA'!$JM$9:$JM$41,START!$C$3,1))/100*INDEX('DEFAULT DATA'!$JK$9:$JK$41,START!$C$3,1)</f>
        <v>1323.54000000001</v>
      </c>
      <c r="BC128" s="677">
        <v>52</v>
      </c>
      <c r="BD128" s="680" t="str">
        <f t="shared" si="81"/>
        <v>(F75/100*INDEX('DEFAULT DATA'!$GI$9:$IN$41,START!$B$3,52)/INDEX('DEFAULT DATA'!$DX$9:$DX$41,START!$B$3,1))+</v>
      </c>
      <c r="BE128" s="693"/>
      <c r="BF128" s="693"/>
      <c r="BG128" s="693"/>
      <c r="BH128" s="693"/>
      <c r="BI128" s="637"/>
      <c r="BJ128" s="637"/>
      <c r="BK128" s="637"/>
      <c r="BL128" s="682"/>
      <c r="BM128" s="367">
        <v>75</v>
      </c>
      <c r="BN128" s="684" t="s">
        <v>2543</v>
      </c>
    </row>
    <row r="129" spans="1:66" ht="20.100000000000001" customHeight="1" thickBot="1">
      <c r="A129" s="708"/>
      <c r="B129" s="668"/>
      <c r="C129" s="668"/>
      <c r="D129" s="668"/>
      <c r="E129" s="668"/>
      <c r="F129" s="668">
        <v>1</v>
      </c>
      <c r="G129" s="668">
        <v>1</v>
      </c>
      <c r="H129" s="668"/>
      <c r="I129" s="668"/>
      <c r="J129" s="668"/>
      <c r="K129" s="668"/>
      <c r="L129" s="668"/>
      <c r="M129" s="668"/>
      <c r="N129" s="668"/>
      <c r="O129" s="291"/>
      <c r="P129" s="668"/>
      <c r="Q129" s="668"/>
      <c r="R129" s="16"/>
      <c r="S129" s="467" t="s">
        <v>2343</v>
      </c>
      <c r="T129" s="1504" t="s">
        <v>2889</v>
      </c>
      <c r="U129" s="1505"/>
      <c r="V129" s="203"/>
      <c r="W129" s="203"/>
      <c r="X129" s="160">
        <f>SUM(X127:X128)</f>
        <v>3625.405205479462</v>
      </c>
      <c r="Y129" s="160">
        <f t="shared" ref="Y129:BA129" si="158">SUM(Y127:Y128)</f>
        <v>3450.4634498630239</v>
      </c>
      <c r="Z129" s="160">
        <f t="shared" si="158"/>
        <v>3288.8172676734348</v>
      </c>
      <c r="AA129" s="160">
        <f t="shared" si="158"/>
        <v>3139.4561953302546</v>
      </c>
      <c r="AB129" s="160">
        <f t="shared" si="158"/>
        <v>3001.4465644851562</v>
      </c>
      <c r="AC129" s="160">
        <f t="shared" si="158"/>
        <v>2873.9256655842855</v>
      </c>
      <c r="AD129" s="160">
        <f t="shared" si="158"/>
        <v>2756.0963549998805</v>
      </c>
      <c r="AE129" s="160">
        <f t="shared" si="158"/>
        <v>2647.2220720198902</v>
      </c>
      <c r="AF129" s="160">
        <f t="shared" si="158"/>
        <v>2546.6222345463793</v>
      </c>
      <c r="AG129" s="160">
        <f t="shared" si="158"/>
        <v>2453.6679847208552</v>
      </c>
      <c r="AH129" s="160">
        <f t="shared" si="158"/>
        <v>2380.2096657140005</v>
      </c>
      <c r="AI129" s="160">
        <f t="shared" si="158"/>
        <v>2311.5261374425913</v>
      </c>
      <c r="AJ129" s="160">
        <f t="shared" si="158"/>
        <v>2247.3070385088236</v>
      </c>
      <c r="AK129" s="160">
        <f t="shared" si="158"/>
        <v>2187.2621810057508</v>
      </c>
      <c r="AL129" s="160">
        <f t="shared" si="158"/>
        <v>2131.1202392403775</v>
      </c>
      <c r="AM129" s="160">
        <f t="shared" si="158"/>
        <v>2078.6275236897536</v>
      </c>
      <c r="AN129" s="160">
        <f t="shared" si="158"/>
        <v>2029.5468346499204</v>
      </c>
      <c r="AO129" s="160">
        <f t="shared" si="158"/>
        <v>1983.6563903976762</v>
      </c>
      <c r="AP129" s="160">
        <f t="shared" si="158"/>
        <v>1940.748825021828</v>
      </c>
      <c r="AQ129" s="160">
        <f t="shared" si="158"/>
        <v>1900.6302513954099</v>
      </c>
      <c r="AR129" s="160">
        <f t="shared" si="158"/>
        <v>1863.1193850547088</v>
      </c>
      <c r="AS129" s="160">
        <f t="shared" si="158"/>
        <v>1828.0467250261536</v>
      </c>
      <c r="AT129" s="160">
        <f t="shared" si="158"/>
        <v>1795.2537878994542</v>
      </c>
      <c r="AU129" s="160">
        <f t="shared" si="158"/>
        <v>1764.5923916859904</v>
      </c>
      <c r="AV129" s="160">
        <f t="shared" si="158"/>
        <v>1735.9239862264017</v>
      </c>
      <c r="AW129" s="160">
        <f t="shared" si="158"/>
        <v>1709.1190271216863</v>
      </c>
      <c r="AX129" s="160">
        <f t="shared" si="158"/>
        <v>1684.0563903587772</v>
      </c>
      <c r="AY129" s="160">
        <f t="shared" si="158"/>
        <v>1660.6228249854576</v>
      </c>
      <c r="AZ129" s="160">
        <f t="shared" si="158"/>
        <v>1638.7124413614033</v>
      </c>
      <c r="BA129" s="161">
        <f t="shared" si="158"/>
        <v>1618.2262326729128</v>
      </c>
      <c r="BC129" s="677">
        <v>53</v>
      </c>
      <c r="BD129" s="680" t="str">
        <f t="shared" si="81"/>
        <v>(F76/100*INDEX('DEFAULT DATA'!$GI$9:$IN$41,START!$B$3,53)/INDEX('DEFAULT DATA'!$DX$9:$DX$41,START!$B$3,1))+</v>
      </c>
      <c r="BE129" s="693"/>
      <c r="BF129" s="693"/>
      <c r="BG129" s="693"/>
      <c r="BH129" s="693"/>
      <c r="BI129" s="637"/>
      <c r="BJ129" s="637"/>
      <c r="BK129" s="637"/>
      <c r="BL129" s="682"/>
      <c r="BM129" s="367">
        <v>76</v>
      </c>
      <c r="BN129" s="684" t="s">
        <v>2543</v>
      </c>
    </row>
    <row r="130" spans="1:66" ht="20.100000000000001" customHeight="1" thickBot="1">
      <c r="A130" s="708"/>
      <c r="B130" s="417" t="str">
        <f>IF(G129&lt;F129,"! end year has to be after start year!","")</f>
        <v/>
      </c>
      <c r="C130" s="417"/>
      <c r="D130" s="417"/>
      <c r="E130" s="417"/>
      <c r="F130" s="417"/>
      <c r="G130" s="417"/>
      <c r="H130" s="668"/>
      <c r="I130" s="668"/>
      <c r="J130" s="668"/>
      <c r="K130" s="668"/>
      <c r="L130" s="668"/>
      <c r="M130" s="668"/>
      <c r="N130" s="668"/>
      <c r="O130" s="291"/>
      <c r="P130" s="668"/>
      <c r="Q130" s="668"/>
      <c r="R130" s="16"/>
      <c r="BC130" s="677">
        <v>54</v>
      </c>
      <c r="BD130" s="680" t="str">
        <f t="shared" si="81"/>
        <v>(F77/100*INDEX('DEFAULT DATA'!$GI$9:$IN$41,START!$B$3,54)/INDEX('DEFAULT DATA'!$DX$9:$DX$41,START!$B$3,1))+</v>
      </c>
      <c r="BE130" s="693"/>
      <c r="BF130" s="693"/>
      <c r="BG130" s="693"/>
      <c r="BH130" s="693"/>
      <c r="BI130" s="637"/>
      <c r="BJ130" s="637"/>
      <c r="BK130" s="637"/>
      <c r="BL130" s="682"/>
      <c r="BM130" s="367">
        <v>77</v>
      </c>
      <c r="BN130" s="684" t="s">
        <v>2543</v>
      </c>
    </row>
    <row r="131" spans="1:66" ht="20.100000000000001" customHeight="1">
      <c r="A131" s="708"/>
      <c r="B131" s="417" t="str">
        <f>IF(F129&lt;START!C2,"!  New residents scheduled starting year for the study","")</f>
        <v/>
      </c>
      <c r="C131" s="417"/>
      <c r="D131" s="417"/>
      <c r="E131" s="417"/>
      <c r="F131" s="112"/>
      <c r="G131" s="112"/>
      <c r="H131" s="668"/>
      <c r="I131" s="668"/>
      <c r="J131" s="668"/>
      <c r="K131" s="668"/>
      <c r="L131" s="668"/>
      <c r="M131" s="668"/>
      <c r="N131" s="668"/>
      <c r="O131" s="291"/>
      <c r="P131" s="668"/>
      <c r="Q131" s="668"/>
      <c r="R131" s="16"/>
      <c r="S131" s="299" t="s">
        <v>619</v>
      </c>
      <c r="T131" s="1502" t="s">
        <v>843</v>
      </c>
      <c r="U131" s="1503"/>
      <c r="V131" s="727">
        <v>2019</v>
      </c>
      <c r="W131" s="727">
        <v>2020</v>
      </c>
      <c r="X131" s="727">
        <v>2021</v>
      </c>
      <c r="Y131" s="727">
        <f>X131+1</f>
        <v>2022</v>
      </c>
      <c r="Z131" s="727">
        <f t="shared" ref="Z131" si="159">Y131+1</f>
        <v>2023</v>
      </c>
      <c r="AA131" s="727">
        <f t="shared" ref="AA131" si="160">Z131+1</f>
        <v>2024</v>
      </c>
      <c r="AB131" s="727">
        <f t="shared" ref="AB131" si="161">AA131+1</f>
        <v>2025</v>
      </c>
      <c r="AC131" s="727">
        <f t="shared" ref="AC131" si="162">AB131+1</f>
        <v>2026</v>
      </c>
      <c r="AD131" s="727">
        <f t="shared" ref="AD131" si="163">AC131+1</f>
        <v>2027</v>
      </c>
      <c r="AE131" s="727">
        <f t="shared" ref="AE131" si="164">AD131+1</f>
        <v>2028</v>
      </c>
      <c r="AF131" s="727">
        <f t="shared" ref="AF131" si="165">AE131+1</f>
        <v>2029</v>
      </c>
      <c r="AG131" s="727">
        <f t="shared" ref="AG131" si="166">AF131+1</f>
        <v>2030</v>
      </c>
      <c r="AH131" s="727">
        <f t="shared" ref="AH131" si="167">AG131+1</f>
        <v>2031</v>
      </c>
      <c r="AI131" s="727">
        <f t="shared" ref="AI131" si="168">AH131+1</f>
        <v>2032</v>
      </c>
      <c r="AJ131" s="727">
        <f t="shared" ref="AJ131" si="169">AI131+1</f>
        <v>2033</v>
      </c>
      <c r="AK131" s="727">
        <f t="shared" ref="AK131" si="170">AJ131+1</f>
        <v>2034</v>
      </c>
      <c r="AL131" s="727">
        <f t="shared" ref="AL131" si="171">AK131+1</f>
        <v>2035</v>
      </c>
      <c r="AM131" s="727">
        <f t="shared" ref="AM131" si="172">AL131+1</f>
        <v>2036</v>
      </c>
      <c r="AN131" s="727">
        <f t="shared" ref="AN131" si="173">AM131+1</f>
        <v>2037</v>
      </c>
      <c r="AO131" s="727">
        <f t="shared" ref="AO131" si="174">AN131+1</f>
        <v>2038</v>
      </c>
      <c r="AP131" s="727">
        <f t="shared" ref="AP131" si="175">AO131+1</f>
        <v>2039</v>
      </c>
      <c r="AQ131" s="727">
        <f t="shared" ref="AQ131" si="176">AP131+1</f>
        <v>2040</v>
      </c>
      <c r="AR131" s="727">
        <f t="shared" ref="AR131" si="177">AQ131+1</f>
        <v>2041</v>
      </c>
      <c r="AS131" s="727">
        <f t="shared" ref="AS131" si="178">AR131+1</f>
        <v>2042</v>
      </c>
      <c r="AT131" s="727">
        <f t="shared" ref="AT131" si="179">AS131+1</f>
        <v>2043</v>
      </c>
      <c r="AU131" s="727">
        <f t="shared" ref="AU131" si="180">AT131+1</f>
        <v>2044</v>
      </c>
      <c r="AV131" s="727">
        <f t="shared" ref="AV131" si="181">AU131+1</f>
        <v>2045</v>
      </c>
      <c r="AW131" s="727">
        <f t="shared" ref="AW131" si="182">AV131+1</f>
        <v>2046</v>
      </c>
      <c r="AX131" s="727">
        <f t="shared" ref="AX131" si="183">AW131+1</f>
        <v>2047</v>
      </c>
      <c r="AY131" s="727">
        <f t="shared" ref="AY131" si="184">AX131+1</f>
        <v>2048</v>
      </c>
      <c r="AZ131" s="727">
        <f t="shared" ref="AZ131" si="185">AY131+1</f>
        <v>2049</v>
      </c>
      <c r="BA131" s="153">
        <f t="shared" ref="BA131" si="186">AZ131+1</f>
        <v>2050</v>
      </c>
      <c r="BC131" s="677">
        <v>55</v>
      </c>
      <c r="BD131" s="680" t="str">
        <f t="shared" si="81"/>
        <v>(F78/100*INDEX('DEFAULT DATA'!$GI$9:$IN$41,START!$B$3,55)/INDEX('DEFAULT DATA'!$DX$9:$DX$41,START!$B$3,1))+</v>
      </c>
      <c r="BE131" s="693"/>
      <c r="BF131" s="693"/>
      <c r="BG131" s="693"/>
      <c r="BH131" s="693"/>
      <c r="BI131" s="637"/>
      <c r="BJ131" s="637"/>
      <c r="BK131" s="637"/>
      <c r="BL131" s="682"/>
      <c r="BM131" s="367">
        <v>78</v>
      </c>
      <c r="BN131" s="684" t="s">
        <v>2543</v>
      </c>
    </row>
    <row r="132" spans="1:66" ht="20.100000000000001" customHeight="1" thickBot="1">
      <c r="A132" s="708"/>
      <c r="B132" s="668"/>
      <c r="C132" s="668"/>
      <c r="D132" s="668"/>
      <c r="E132" s="668"/>
      <c r="F132" s="723"/>
      <c r="G132" s="723"/>
      <c r="H132" s="668"/>
      <c r="I132" s="668"/>
      <c r="J132" s="668"/>
      <c r="K132" s="668"/>
      <c r="L132" s="668"/>
      <c r="M132" s="668"/>
      <c r="N132" s="668"/>
      <c r="O132" s="291"/>
      <c r="P132" s="668"/>
      <c r="Q132" s="668"/>
      <c r="R132" s="16"/>
      <c r="S132" s="301" t="s">
        <v>2065</v>
      </c>
      <c r="T132" s="448" t="s">
        <v>2066</v>
      </c>
      <c r="U132" s="139" t="s">
        <v>846</v>
      </c>
      <c r="V132" s="540"/>
      <c r="W132" s="540"/>
      <c r="X132" s="197">
        <f>X124*X129/1000</f>
        <v>0</v>
      </c>
      <c r="Y132" s="197">
        <f t="shared" ref="Y132:BA132" si="187">Y124*Y129/1000</f>
        <v>0</v>
      </c>
      <c r="Z132" s="197">
        <f t="shared" si="187"/>
        <v>0</v>
      </c>
      <c r="AA132" s="197">
        <f t="shared" si="187"/>
        <v>0</v>
      </c>
      <c r="AB132" s="197">
        <f t="shared" si="187"/>
        <v>0</v>
      </c>
      <c r="AC132" s="197">
        <f t="shared" si="187"/>
        <v>0</v>
      </c>
      <c r="AD132" s="197">
        <f t="shared" si="187"/>
        <v>0</v>
      </c>
      <c r="AE132" s="197">
        <f t="shared" si="187"/>
        <v>0</v>
      </c>
      <c r="AF132" s="197">
        <f t="shared" si="187"/>
        <v>0</v>
      </c>
      <c r="AG132" s="197">
        <f t="shared" si="187"/>
        <v>0</v>
      </c>
      <c r="AH132" s="197">
        <f t="shared" si="187"/>
        <v>0</v>
      </c>
      <c r="AI132" s="197">
        <f t="shared" si="187"/>
        <v>0</v>
      </c>
      <c r="AJ132" s="197">
        <f t="shared" si="187"/>
        <v>0</v>
      </c>
      <c r="AK132" s="197">
        <f t="shared" si="187"/>
        <v>0</v>
      </c>
      <c r="AL132" s="197">
        <f t="shared" si="187"/>
        <v>0</v>
      </c>
      <c r="AM132" s="197">
        <f t="shared" si="187"/>
        <v>0</v>
      </c>
      <c r="AN132" s="197">
        <f t="shared" si="187"/>
        <v>0</v>
      </c>
      <c r="AO132" s="197">
        <f t="shared" si="187"/>
        <v>0</v>
      </c>
      <c r="AP132" s="197">
        <f t="shared" si="187"/>
        <v>0</v>
      </c>
      <c r="AQ132" s="197">
        <f t="shared" si="187"/>
        <v>0</v>
      </c>
      <c r="AR132" s="197">
        <f t="shared" si="187"/>
        <v>0</v>
      </c>
      <c r="AS132" s="197">
        <f t="shared" si="187"/>
        <v>0</v>
      </c>
      <c r="AT132" s="197">
        <f t="shared" si="187"/>
        <v>0</v>
      </c>
      <c r="AU132" s="197">
        <f t="shared" si="187"/>
        <v>0</v>
      </c>
      <c r="AV132" s="197">
        <f t="shared" si="187"/>
        <v>0</v>
      </c>
      <c r="AW132" s="197">
        <f t="shared" si="187"/>
        <v>0</v>
      </c>
      <c r="AX132" s="197">
        <f t="shared" si="187"/>
        <v>0</v>
      </c>
      <c r="AY132" s="197">
        <f t="shared" si="187"/>
        <v>0</v>
      </c>
      <c r="AZ132" s="197">
        <f t="shared" si="187"/>
        <v>0</v>
      </c>
      <c r="BA132" s="566">
        <f t="shared" si="187"/>
        <v>0</v>
      </c>
      <c r="BC132" s="677">
        <v>56</v>
      </c>
      <c r="BD132" s="680" t="str">
        <f t="shared" si="81"/>
        <v>(F79/100*INDEX('DEFAULT DATA'!$GI$9:$IN$41,START!$B$3,56)/INDEX('DEFAULT DATA'!$DX$9:$DX$41,START!$B$3,1))+</v>
      </c>
      <c r="BE132" s="693"/>
      <c r="BF132" s="693"/>
      <c r="BG132" s="693"/>
      <c r="BH132" s="693"/>
      <c r="BI132" s="637"/>
      <c r="BJ132" s="637"/>
      <c r="BK132" s="637"/>
      <c r="BL132" s="682"/>
      <c r="BM132" s="367">
        <v>79</v>
      </c>
      <c r="BN132" s="684" t="s">
        <v>2543</v>
      </c>
    </row>
    <row r="133" spans="1:66" ht="20.100000000000001" customHeight="1">
      <c r="A133" s="708"/>
      <c r="B133" s="668"/>
      <c r="C133" s="668"/>
      <c r="D133" s="668"/>
      <c r="E133" s="668"/>
      <c r="F133" s="723"/>
      <c r="G133" s="723"/>
      <c r="H133" s="668"/>
      <c r="I133" s="668"/>
      <c r="J133" s="668"/>
      <c r="K133" s="668"/>
      <c r="L133" s="668"/>
      <c r="M133" s="668"/>
      <c r="N133" s="668"/>
      <c r="O133" s="291"/>
      <c r="P133" s="668"/>
      <c r="Q133" s="668"/>
      <c r="R133" s="16"/>
      <c r="BC133" s="677">
        <v>57</v>
      </c>
      <c r="BD133" s="680" t="str">
        <f t="shared" si="81"/>
        <v>(F80/100*INDEX('DEFAULT DATA'!$GI$9:$IN$41,START!$B$3,57)/INDEX('DEFAULT DATA'!$DX$9:$DX$41,START!$B$3,1))+</v>
      </c>
      <c r="BE133" s="693"/>
      <c r="BF133" s="693"/>
      <c r="BG133" s="693"/>
      <c r="BH133" s="693"/>
      <c r="BI133" s="637"/>
      <c r="BJ133" s="637"/>
      <c r="BK133" s="637"/>
      <c r="BL133" s="682"/>
      <c r="BM133" s="367">
        <v>80</v>
      </c>
      <c r="BN133" s="684" t="s">
        <v>2543</v>
      </c>
    </row>
    <row r="134" spans="1:66" ht="20.100000000000001" customHeight="1" thickBot="1">
      <c r="A134" s="708"/>
      <c r="B134" s="668"/>
      <c r="C134" s="668"/>
      <c r="D134" s="668"/>
      <c r="E134" s="668"/>
      <c r="F134" s="723"/>
      <c r="G134" s="723"/>
      <c r="H134" s="668"/>
      <c r="I134" s="668"/>
      <c r="J134" s="668"/>
      <c r="K134" s="668"/>
      <c r="L134" s="668"/>
      <c r="M134" s="668"/>
      <c r="N134" s="668"/>
      <c r="O134" s="291"/>
      <c r="P134" s="668"/>
      <c r="Q134" s="668"/>
      <c r="R134" s="16"/>
      <c r="S134" s="283" t="s">
        <v>2564</v>
      </c>
      <c r="T134" s="250"/>
      <c r="U134" s="250"/>
      <c r="BC134" s="677">
        <v>58</v>
      </c>
      <c r="BD134" s="680" t="str">
        <f t="shared" si="81"/>
        <v>(F81/100*INDEX('DEFAULT DATA'!$GI$9:$IN$41,START!$B$3,58)/INDEX('DEFAULT DATA'!$DX$9:$DX$41,START!$B$3,1))</v>
      </c>
      <c r="BE134" s="693"/>
      <c r="BF134" s="693"/>
      <c r="BG134" s="693"/>
      <c r="BH134" s="693"/>
      <c r="BI134" s="637"/>
      <c r="BJ134" s="637"/>
      <c r="BK134" s="637"/>
      <c r="BL134" s="682"/>
      <c r="BM134" s="367">
        <v>81</v>
      </c>
      <c r="BN134" s="685"/>
    </row>
    <row r="135" spans="1:66" ht="20.100000000000001" customHeight="1" thickBot="1">
      <c r="A135" s="708"/>
      <c r="B135" s="668"/>
      <c r="C135" s="668"/>
      <c r="D135" s="668"/>
      <c r="E135" s="668"/>
      <c r="F135" s="723"/>
      <c r="G135" s="723"/>
      <c r="H135" s="668"/>
      <c r="I135" s="668"/>
      <c r="J135" s="668"/>
      <c r="K135" s="668"/>
      <c r="L135" s="668"/>
      <c r="M135" s="668"/>
      <c r="N135" s="668"/>
      <c r="O135" s="291"/>
      <c r="P135" s="668"/>
      <c r="Q135" s="668"/>
      <c r="R135" s="16"/>
      <c r="S135" s="567" t="s">
        <v>2338</v>
      </c>
      <c r="T135" s="1506" t="s">
        <v>2946</v>
      </c>
      <c r="U135" s="1507"/>
      <c r="V135" s="667">
        <v>2019</v>
      </c>
      <c r="W135" s="667">
        <v>2020</v>
      </c>
      <c r="X135" s="667">
        <v>2021</v>
      </c>
      <c r="Y135" s="667">
        <f>X135+1</f>
        <v>2022</v>
      </c>
      <c r="Z135" s="667">
        <f t="shared" ref="Z135" si="188">Y135+1</f>
        <v>2023</v>
      </c>
      <c r="AA135" s="667">
        <f t="shared" ref="AA135" si="189">Z135+1</f>
        <v>2024</v>
      </c>
      <c r="AB135" s="667">
        <f t="shared" ref="AB135" si="190">AA135+1</f>
        <v>2025</v>
      </c>
      <c r="AC135" s="667">
        <f t="shared" ref="AC135" si="191">AB135+1</f>
        <v>2026</v>
      </c>
      <c r="AD135" s="667">
        <f t="shared" ref="AD135" si="192">AC135+1</f>
        <v>2027</v>
      </c>
      <c r="AE135" s="667">
        <f t="shared" ref="AE135" si="193">AD135+1</f>
        <v>2028</v>
      </c>
      <c r="AF135" s="667">
        <f t="shared" ref="AF135" si="194">AE135+1</f>
        <v>2029</v>
      </c>
      <c r="AG135" s="667">
        <f t="shared" ref="AG135" si="195">AF135+1</f>
        <v>2030</v>
      </c>
      <c r="AH135" s="667">
        <f t="shared" ref="AH135" si="196">AG135+1</f>
        <v>2031</v>
      </c>
      <c r="AI135" s="667">
        <f t="shared" ref="AI135" si="197">AH135+1</f>
        <v>2032</v>
      </c>
      <c r="AJ135" s="667">
        <f t="shared" ref="AJ135" si="198">AI135+1</f>
        <v>2033</v>
      </c>
      <c r="AK135" s="667">
        <f t="shared" ref="AK135" si="199">AJ135+1</f>
        <v>2034</v>
      </c>
      <c r="AL135" s="667">
        <f t="shared" ref="AL135" si="200">AK135+1</f>
        <v>2035</v>
      </c>
      <c r="AM135" s="667">
        <f t="shared" ref="AM135" si="201">AL135+1</f>
        <v>2036</v>
      </c>
      <c r="AN135" s="667">
        <f t="shared" ref="AN135" si="202">AM135+1</f>
        <v>2037</v>
      </c>
      <c r="AO135" s="667">
        <f t="shared" ref="AO135" si="203">AN135+1</f>
        <v>2038</v>
      </c>
      <c r="AP135" s="667">
        <f t="shared" ref="AP135" si="204">AO135+1</f>
        <v>2039</v>
      </c>
      <c r="AQ135" s="667">
        <f t="shared" ref="AQ135" si="205">AP135+1</f>
        <v>2040</v>
      </c>
      <c r="AR135" s="667">
        <f t="shared" ref="AR135" si="206">AQ135+1</f>
        <v>2041</v>
      </c>
      <c r="AS135" s="667">
        <f t="shared" ref="AS135" si="207">AR135+1</f>
        <v>2042</v>
      </c>
      <c r="AT135" s="667">
        <f t="shared" ref="AT135" si="208">AS135+1</f>
        <v>2043</v>
      </c>
      <c r="AU135" s="667">
        <f t="shared" ref="AU135" si="209">AT135+1</f>
        <v>2044</v>
      </c>
      <c r="AV135" s="667">
        <f t="shared" ref="AV135" si="210">AU135+1</f>
        <v>2045</v>
      </c>
      <c r="AW135" s="667">
        <f t="shared" ref="AW135" si="211">AV135+1</f>
        <v>2046</v>
      </c>
      <c r="AX135" s="667">
        <f t="shared" ref="AX135" si="212">AW135+1</f>
        <v>2047</v>
      </c>
      <c r="AY135" s="667">
        <f t="shared" ref="AY135" si="213">AX135+1</f>
        <v>2048</v>
      </c>
      <c r="AZ135" s="667">
        <f t="shared" ref="AZ135" si="214">AY135+1</f>
        <v>2049</v>
      </c>
      <c r="BA135" s="153">
        <f t="shared" ref="BA135" si="215">AZ135+1</f>
        <v>2050</v>
      </c>
      <c r="BC135" s="679" t="s">
        <v>2542</v>
      </c>
      <c r="BD135" s="678" t="str">
        <f>CONCATENATE("=",BD77,BD78,BD79,BD80,BD81,BD82,BD83,BD84,BD85,BD86,BD87,BD88,BD89,BD90,BD91,BD92,BD93,BD94,BD95,BD96,BD97,BD98,BD99,BD100,BD101,BD102,BD103,BD104,BD105,BD106,BD107,BD108,BD109,BD110,BD111,BD112,BD113,BD114,BD115,BD116,BD117,BD118,BD119,BD120,BD121,BD122,BD123,BD124,BD125,BD126,BD127,BD128,BD129,BD130,BD131,BD132,BD133,BD134)</f>
        <v>=(F24/100*INDEX('DEFAULT DATA'!$GI$9:$IN$41,START!$B$3,1)/INDEX('DEFAULT DATA'!$DX$9:$DX$41,START!$B$3,1))+(F25/100*INDEX('DEFAULT DATA'!$GI$9:$IN$41,START!$B$3,2)/INDEX('DEFAULT DATA'!$DX$9:$DX$41,START!$B$3,1))+(F26/100*INDEX('DEFAULT DATA'!$GI$9:$IN$41,START!$B$3,3)/INDEX('DEFAULT DATA'!$DX$9:$DX$41,START!$B$3,1))+(F27/100*INDEX('DEFAULT DATA'!$GI$9:$IN$41,START!$B$3,4)/INDEX('DEFAULT DATA'!$DX$9:$DX$41,START!$B$3,1))+(F28/100*INDEX('DEFAULT DATA'!$GI$9:$IN$41,START!$B$3,5)/INDEX('DEFAULT DATA'!$DX$9:$DX$41,START!$B$3,1))+(F29/100*INDEX('DEFAULT DATA'!$GI$9:$IN$41,START!$B$3,6)/INDEX('DEFAULT DATA'!$DX$9:$DX$41,START!$B$3,1))+(F30/100*INDEX('DEFAULT DATA'!$GI$9:$IN$41,START!$B$3,7)/INDEX('DEFAULT DATA'!$DX$9:$DX$41,START!$B$3,1))+(F31/100*INDEX('DEFAULT DATA'!$GI$9:$IN$41,START!$B$3,8)/INDEX('DEFAULT DATA'!$DX$9:$DX$41,START!$B$3,1))+(F32/100*INDEX('DEFAULT DATA'!$GI$9:$IN$41,START!$B$3,9)/INDEX('DEFAULT DATA'!$DX$9:$DX$41,START!$B$3,1))+(F33/100*INDEX('DEFAULT DATA'!$GI$9:$IN$41,START!$B$3,10)/INDEX('DEFAULT DATA'!$DX$9:$DX$41,START!$B$3,1))+(F34/100*INDEX('DEFAULT DATA'!$GI$9:$IN$41,START!$B$3,11)/INDEX('DEFAULT DATA'!$DX$9:$DX$41,START!$B$3,1))+(F35/100*INDEX('DEFAULT DATA'!$GI$9:$IN$41,START!$B$3,12)/INDEX('DEFAULT DATA'!$DX$9:$DX$41,START!$B$3,1))+(F36/100*INDEX('DEFAULT DATA'!$GI$9:$IN$41,START!$B$3,13)/INDEX('DEFAULT DATA'!$DX$9:$DX$41,START!$B$3,1))+(F37/100*INDEX('DEFAULT DATA'!$GI$9:$IN$41,START!$B$3,14)/INDEX('DEFAULT DATA'!$DX$9:$DX$41,START!$B$3,1))+(F38/100*INDEX('DEFAULT DATA'!$GI$9:$IN$41,START!$B$3,15)/INDEX('DEFAULT DATA'!$DX$9:$DX$41,START!$B$3,1))+(F39/100*INDEX('DEFAULT DATA'!$GI$9:$IN$41,START!$B$3,16)/INDEX('DEFAULT DATA'!$DX$9:$DX$41,START!$B$3,1))+(F40/100*INDEX('DEFAULT DATA'!$GI$9:$IN$41,START!$B$3,17)/INDEX('DEFAULT DATA'!$DX$9:$DX$41,START!$B$3,1))+(F41/100*INDEX('DEFAULT DATA'!$GI$9:$IN$41,START!$B$3,18)/INDEX('DEFAULT DATA'!$DX$9:$DX$41,START!$B$3,1))+(F42/100*INDEX('DEFAULT DATA'!$GI$9:$IN$41,START!$B$3,19)/INDEX('DEFAULT DATA'!$DX$9:$DX$41,START!$B$3,1))+(F43/100*INDEX('DEFAULT DATA'!$GI$9:$IN$41,START!$B$3,20)/INDEX('DEFAULT DATA'!$DX$9:$DX$41,START!$B$3,1))+(F44/100*INDEX('DEFAULT DATA'!$GI$9:$IN$41,START!$B$3,21)/INDEX('DEFAULT DATA'!$DX$9:$DX$41,START!$B$3,1))+(F45/100*INDEX('DEFAULT DATA'!$GI$9:$IN$41,START!$B$3,22)/INDEX('DEFAULT DATA'!$DX$9:$DX$41,START!$B$3,1))+(F46/100*INDEX('DEFAULT DATA'!$GI$9:$IN$41,START!$B$3,23)/INDEX('DEFAULT DATA'!$DX$9:$DX$41,START!$B$3,1))+(F47/100*INDEX('DEFAULT DATA'!$GI$9:$IN$41,START!$B$3,24)/INDEX('DEFAULT DATA'!$DX$9:$DX$41,START!$B$3,1))+(F48/100*INDEX('DEFAULT DATA'!$GI$9:$IN$41,START!$B$3,25)/INDEX('DEFAULT DATA'!$DX$9:$DX$41,START!$B$3,1))+(F49/100*INDEX('DEFAULT DATA'!$GI$9:$IN$41,START!$B$3,26)/INDEX('DEFAULT DATA'!$DX$9:$DX$41,START!$B$3,1))+(F50/100*INDEX('DEFAULT DATA'!$GI$9:$IN$41,START!$B$3,27)/INDEX('DEFAULT DATA'!$DX$9:$DX$41,START!$B$3,1))+(F51/100*INDEX('DEFAULT DATA'!$GI$9:$IN$41,START!$B$3,28)/INDEX('DEFAULT DATA'!$DX$9:$DX$41,START!$B$3,1))+(F52/100*INDEX('DEFAULT DATA'!$GI$9:$IN$41,START!$B$3,29)/INDEX('DEFAULT DATA'!$DX$9:$DX$41,START!$B$3,1))+(F53/100*INDEX('DEFAULT DATA'!$GI$9:$IN$41,START!$B$3,30)/INDEX('DEFAULT DATA'!$DX$9:$DX$41,START!$B$3,1))+(F54/100*INDEX('DEFAULT DATA'!$GI$9:$IN$41,START!$B$3,31)/INDEX('DEFAULT DATA'!$DX$9:$DX$41,START!$B$3,1))+(F55/100*INDEX('DEFAULT DATA'!$GI$9:$IN$41,START!$B$3,32)/INDEX('DEFAULT DATA'!$DX$9:$DX$41,START!$B$3,1))+(F56/100*INDEX('DEFAULT DATA'!$GI$9:$IN$41,START!$B$3,33)/INDEX('DEFAULT DATA'!$DX$9:$DX$41,START!$B$3,1))+(F57/100*INDEX('DEFAULT DATA'!$GI$9:$IN$41,START!$B$3,34)/INDEX('DEFAULT DATA'!$DX$9:$DX$41,START!$B$3,1))+(F58/100*INDEX('DEFAULT DATA'!$GI$9:$IN$41,START!$B$3,35)/INDEX('DEFAULT DATA'!$DX$9:$DX$41,START!$B$3,1))+(F59/100*INDEX('DEFAULT DATA'!$GI$9:$IN$41,START!$B$3,36)/INDEX('DEFAULT DATA'!$DX$9:$DX$41,START!$B$3,1))+(F60/100*INDEX('DEFAULT DATA'!$GI$9:$IN$41,START!$B$3,37)/INDEX('DEFAULT DATA'!$DX$9:$DX$41,START!$B$3,1))+(F61/100*INDEX('DEFAULT DATA'!$GI$9:$IN$41,START!$B$3,38)/INDEX('DEFAULT DATA'!$DX$9:$DX$41,START!$B$3,1))+(F62/100*INDEX('DEFAULT DATA'!$GI$9:$IN$41,START!$B$3,39)/INDEX('DEFAULT DATA'!$DX$9:$DX$41,START!$B$3,1))+(F63/100*INDEX('DEFAULT DATA'!$GI$9:$IN$41,START!$B$3,40)/INDEX('DEFAULT DATA'!$DX$9:$DX$41,START!$B$3,1))+(F64/100*INDEX('DEFAULT DATA'!$GI$9:$IN$41,START!$B$3,41)/INDEX('DEFAULT DATA'!$DX$9:$DX$41,START!$B$3,1))+(F65/100*INDEX('DEFAULT DATA'!$GI$9:$IN$41,START!$B$3,42)/INDEX('DEFAULT DATA'!$DX$9:$DX$41,START!$B$3,1))+(F66/100*INDEX('DEFAULT DATA'!$GI$9:$IN$41,START!$B$3,43)/INDEX('DEFAULT DATA'!$DX$9:$DX$41,START!$B$3,1))+(F67/100*INDEX('DEFAULT DATA'!$GI$9:$IN$41,START!$B$3,44)/INDEX('DEFAULT DATA'!$DX$9:$DX$41,START!$B$3,1))+(F68/100*INDEX('DEFAULT DATA'!$GI$9:$IN$41,START!$B$3,45)/INDEX('DEFAULT DATA'!$DX$9:$DX$41,START!$B$3,1))+(F69/100*INDEX('DEFAULT DATA'!$GI$9:$IN$41,START!$B$3,46)/INDEX('DEFAULT DATA'!$DX$9:$DX$41,START!$B$3,1))+(F70/100*INDEX('DEFAULT DATA'!$GI$9:$IN$41,START!$B$3,47)/INDEX('DEFAULT DATA'!$DX$9:$DX$41,START!$B$3,1))+(F71/100*INDEX('DEFAULT DATA'!$GI$9:$IN$41,START!$B$3,48)/INDEX('DEFAULT DATA'!$DX$9:$DX$41,START!$B$3,1))+(F72/100*INDEX('DEFAULT DATA'!$GI$9:$IN$41,START!$B$3,49)/INDEX('DEFAULT DATA'!$DX$9:$DX$41,START!$B$3,1))+(F73/100*INDEX('DEFAULT DATA'!$GI$9:$IN$41,START!$B$3,50)/INDEX('DEFAULT DATA'!$DX$9:$DX$41,START!$B$3,1))+(F74/100*INDEX('DEFAULT DATA'!$GI$9:$IN$41,START!$B$3,51)/INDEX('DEFAULT DATA'!$DX$9:$DX$41,START!$B$3,1))+(F75/100*INDEX('DEFAULT DATA'!$GI$9:$IN$41,START!$B$3,52)/INDEX('DEFAULT DATA'!$DX$9:$DX$41,START!$B$3,1))+(F76/100*INDEX('DEFAULT DATA'!$GI$9:$IN$41,START!$B$3,53)/INDEX('DEFAULT DATA'!$DX$9:$DX$41,START!$B$3,1))+(F77/100*INDEX('DEFAULT DATA'!$GI$9:$IN$41,START!$B$3,54)/INDEX('DEFAULT DATA'!$DX$9:$DX$41,START!$B$3,1))+(F78/100*INDEX('DEFAULT DATA'!$GI$9:$IN$41,START!$B$3,55)/INDEX('DEFAULT DATA'!$DX$9:$DX$41,START!$B$3,1))+(F79/100*INDEX('DEFAULT DATA'!$GI$9:$IN$41,START!$B$3,56)/INDEX('DEFAULT DATA'!$DX$9:$DX$41,START!$B$3,1))+(F80/100*INDEX('DEFAULT DATA'!$GI$9:$IN$41,START!$B$3,57)/INDEX('DEFAULT DATA'!$DX$9:$DX$41,START!$B$3,1))+(F81/100*INDEX('DEFAULT DATA'!$GI$9:$IN$41,START!$B$3,58)/INDEX('DEFAULT DATA'!$DX$9:$DX$41,START!$B$3,1))</v>
      </c>
      <c r="BE135" s="678"/>
      <c r="BF135" s="678"/>
      <c r="BG135" s="678"/>
      <c r="BH135" s="678"/>
      <c r="BI135" s="681"/>
      <c r="BJ135" s="686"/>
      <c r="BK135" s="698"/>
      <c r="BL135" s="698"/>
      <c r="BM135" s="698"/>
      <c r="BN135" s="699"/>
    </row>
    <row r="136" spans="1:66" ht="20.100000000000001" customHeight="1" thickBot="1">
      <c r="A136" s="708"/>
      <c r="B136" s="740"/>
      <c r="C136" s="740"/>
      <c r="D136" s="740"/>
      <c r="E136" s="740"/>
      <c r="F136" s="408"/>
      <c r="G136" s="409"/>
      <c r="H136" s="409"/>
      <c r="I136" s="668"/>
      <c r="J136" s="668"/>
      <c r="K136" s="668"/>
      <c r="L136" s="668"/>
      <c r="M136" s="668"/>
      <c r="N136" s="668"/>
      <c r="O136" s="291"/>
      <c r="P136" s="668"/>
      <c r="Q136" s="668"/>
      <c r="R136" s="16"/>
      <c r="S136" s="568"/>
      <c r="T136" s="1500" t="s">
        <v>2340</v>
      </c>
      <c r="U136" s="1501"/>
      <c r="V136" s="540"/>
      <c r="W136" s="540"/>
      <c r="X136" s="197">
        <f>INDEX('DEFAULT DATA'!$JW$9:$JW$41,START!$C$3,1)*AB21*INDEX('DEFAULT DATA'!$MI$9:$ML$41,START!$C$3,G20)</f>
        <v>52.731963195840592</v>
      </c>
      <c r="Y136" s="197">
        <f>X136*(100+INDEX('DEFAULT DATA'!$JY$9:$KA$41,START!$C$3,1))/100</f>
        <v>54.050262275736607</v>
      </c>
      <c r="Z136" s="197">
        <f>Y136*(100+INDEX('DEFAULT DATA'!$JY$9:$KA$41,START!$C$3,1))/100</f>
        <v>55.401518832630018</v>
      </c>
      <c r="AA136" s="197">
        <f>Z136*(100+INDEX('DEFAULT DATA'!$JY$9:$KA$41,START!$C$3,1))/100</f>
        <v>56.786556803445762</v>
      </c>
      <c r="AB136" s="197">
        <f>AA136*(100+INDEX('DEFAULT DATA'!$JY$9:$KA$41,START!$C$3,1))/100</f>
        <v>58.206220723531906</v>
      </c>
      <c r="AC136" s="197">
        <f>AB136*(100+INDEX('DEFAULT DATA'!$JY$9:$KA$41,START!$C$3,1))/100</f>
        <v>59.661376241620204</v>
      </c>
      <c r="AD136" s="197">
        <f>AC136*(100+INDEX('DEFAULT DATA'!$JY$9:$KA$41,START!$C$3,1))/100</f>
        <v>61.152910647660711</v>
      </c>
      <c r="AE136" s="197">
        <f>AD136*(100+INDEX('DEFAULT DATA'!$JY$9:$KA$41,START!$C$3,1))/100</f>
        <v>62.681733413852228</v>
      </c>
      <c r="AF136" s="197">
        <f>AE136*(100+INDEX('DEFAULT DATA'!$JY$9:$KA$41,START!$C$3,1))/100</f>
        <v>64.248776749198527</v>
      </c>
      <c r="AG136" s="197">
        <f>AF136*(100+INDEX('DEFAULT DATA'!$JY$9:$KA$41,START!$C$3,1))/100</f>
        <v>65.854996167928491</v>
      </c>
      <c r="AH136" s="197">
        <f>AG136*(100+INDEX('DEFAULT DATA'!$JY$9:$KA$41,START!$C$3,2))/100</f>
        <v>66.71111111811156</v>
      </c>
      <c r="AI136" s="197">
        <f>AH136*(100+INDEX('DEFAULT DATA'!$JY$9:$KA$41,START!$C$3,2))/100</f>
        <v>67.578355562647005</v>
      </c>
      <c r="AJ136" s="197">
        <f>AI136*(100+INDEX('DEFAULT DATA'!$JY$9:$KA$41,START!$C$3,2))/100</f>
        <v>68.456874184961421</v>
      </c>
      <c r="AK136" s="197">
        <f>AJ136*(100+INDEX('DEFAULT DATA'!$JY$9:$KA$41,START!$C$3,2))/100</f>
        <v>69.346813549365919</v>
      </c>
      <c r="AL136" s="197">
        <f>AK136*(100+INDEX('DEFAULT DATA'!$JY$9:$KA$41,START!$C$3,2))/100</f>
        <v>70.24832212550767</v>
      </c>
      <c r="AM136" s="197">
        <f>AL136*(100+INDEX('DEFAULT DATA'!$JY$9:$KA$41,START!$C$3,2))/100</f>
        <v>71.161550313139273</v>
      </c>
      <c r="AN136" s="197">
        <f>AM136*(100+INDEX('DEFAULT DATA'!$JY$9:$KA$41,START!$C$3,2))/100</f>
        <v>72.086650467210077</v>
      </c>
      <c r="AO136" s="197">
        <f>AN136*(100+INDEX('DEFAULT DATA'!$JY$9:$KA$41,START!$C$3,2))/100</f>
        <v>73.023776923283805</v>
      </c>
      <c r="AP136" s="197">
        <f>AO136*(100+INDEX('DEFAULT DATA'!$JY$9:$KA$41,START!$C$3,2))/100</f>
        <v>73.973086023286498</v>
      </c>
      <c r="AQ136" s="197">
        <f>AP136*(100+INDEX('DEFAULT DATA'!$JY$9:$KA$41,START!$C$3,2))/100</f>
        <v>74.934736141589212</v>
      </c>
      <c r="AR136" s="197">
        <f>AQ136*(100+INDEX('DEFAULT DATA'!$JY$9:$KA$41,START!$C$3,3))/100</f>
        <v>75.90888771142987</v>
      </c>
      <c r="AS136" s="197">
        <f>AR136*(100+INDEX('DEFAULT DATA'!$JY$9:$KA$41,START!$C$3,3))/100</f>
        <v>76.895703251678455</v>
      </c>
      <c r="AT136" s="197">
        <f>AS136*(100+INDEX('DEFAULT DATA'!$JY$9:$KA$41,START!$C$3,3))/100</f>
        <v>77.895347393950274</v>
      </c>
      <c r="AU136" s="197">
        <f>AT136*(100+INDEX('DEFAULT DATA'!$JY$9:$KA$41,START!$C$3,3))/100</f>
        <v>78.907986910071628</v>
      </c>
      <c r="AV136" s="197">
        <f>AU136*(100+INDEX('DEFAULT DATA'!$JY$9:$KA$41,START!$C$3,3))/100</f>
        <v>79.933790739902562</v>
      </c>
      <c r="AW136" s="197">
        <f>AV136*(100+INDEX('DEFAULT DATA'!$JY$9:$KA$41,START!$C$3,3))/100</f>
        <v>80.972930019521286</v>
      </c>
      <c r="AX136" s="197">
        <f>AW136*(100+INDEX('DEFAULT DATA'!$JY$9:$KA$41,START!$C$3,3))/100</f>
        <v>82.025578109775054</v>
      </c>
      <c r="AY136" s="197">
        <f>AX136*(100+INDEX('DEFAULT DATA'!$JY$9:$KA$41,START!$C$3,3))/100</f>
        <v>83.091910625202132</v>
      </c>
      <c r="AZ136" s="197">
        <f>AY136*(100+INDEX('DEFAULT DATA'!$JY$9:$KA$41,START!$C$3,3))/100</f>
        <v>84.172105463329757</v>
      </c>
      <c r="BA136" s="566">
        <f>AZ136*(100+INDEX('DEFAULT DATA'!$JY$9:$KA$41,START!$C$3,3))/100</f>
        <v>85.26634283435304</v>
      </c>
    </row>
    <row r="137" spans="1:66" ht="20.100000000000001" customHeight="1" thickBot="1">
      <c r="A137" s="17"/>
      <c r="B137" s="418" t="s">
        <v>102</v>
      </c>
      <c r="C137" s="741"/>
      <c r="D137" s="741"/>
      <c r="E137" s="741"/>
      <c r="F137" s="418"/>
      <c r="G137" s="419" t="s">
        <v>65</v>
      </c>
      <c r="H137" s="411"/>
      <c r="I137" s="262"/>
      <c r="J137" s="262"/>
      <c r="K137" s="262"/>
      <c r="L137" s="262"/>
      <c r="M137" s="262"/>
      <c r="N137" s="262"/>
      <c r="O137" s="412"/>
      <c r="P137" s="668"/>
      <c r="Q137" s="668"/>
      <c r="R137" s="16"/>
      <c r="BC137" s="700" t="s">
        <v>2553</v>
      </c>
      <c r="BD137" s="696"/>
      <c r="BE137" s="696"/>
      <c r="BF137" s="696"/>
      <c r="BG137" s="696"/>
      <c r="BH137" s="696"/>
      <c r="BI137" s="696"/>
      <c r="BJ137" s="696"/>
      <c r="BK137" s="696"/>
      <c r="BL137" s="696"/>
      <c r="BM137" s="696"/>
      <c r="BN137" s="701"/>
    </row>
    <row r="138" spans="1:66" ht="20.100000000000001" customHeight="1">
      <c r="A138" s="708"/>
      <c r="B138" s="1480" t="s">
        <v>60</v>
      </c>
      <c r="C138" s="1481"/>
      <c r="D138" s="1481"/>
      <c r="E138" s="1481"/>
      <c r="F138" s="1482"/>
      <c r="G138" s="326">
        <v>100</v>
      </c>
      <c r="H138" s="413"/>
      <c r="I138" s="668"/>
      <c r="J138" s="668"/>
      <c r="K138" s="668"/>
      <c r="L138" s="668"/>
      <c r="M138" s="668"/>
      <c r="N138" s="668"/>
      <c r="O138" s="291"/>
      <c r="P138" s="668"/>
      <c r="Q138" s="668"/>
      <c r="R138" s="708"/>
      <c r="S138" s="1508" t="s">
        <v>2595</v>
      </c>
      <c r="T138" s="1509"/>
      <c r="U138" s="1489" t="s">
        <v>849</v>
      </c>
      <c r="V138" s="1489"/>
      <c r="W138" s="1489"/>
      <c r="X138" s="1513" t="s">
        <v>633</v>
      </c>
      <c r="Y138" s="1514"/>
      <c r="Z138" s="1514"/>
      <c r="AA138" s="1514"/>
      <c r="AB138" s="1514"/>
      <c r="AC138" s="1514"/>
      <c r="AD138" s="1514"/>
      <c r="AE138" s="1514"/>
      <c r="AF138" s="1514"/>
      <c r="AG138" s="1514"/>
      <c r="AH138" s="1514"/>
      <c r="AI138" s="1514"/>
      <c r="AJ138" s="1514"/>
      <c r="AK138" s="1514"/>
      <c r="AL138" s="1514"/>
      <c r="AM138" s="1514"/>
      <c r="AN138" s="1514"/>
      <c r="AO138" s="1514"/>
      <c r="AP138" s="1514"/>
      <c r="AQ138" s="1514"/>
      <c r="AR138" s="1514"/>
      <c r="AS138" s="1514"/>
      <c r="AT138" s="1514"/>
      <c r="AU138" s="1514"/>
      <c r="AV138" s="1514"/>
      <c r="AW138" s="1514"/>
      <c r="AX138" s="1514"/>
      <c r="AY138" s="1514"/>
      <c r="AZ138" s="1514"/>
      <c r="BA138" s="1515"/>
      <c r="BC138" s="702" t="s">
        <v>2546</v>
      </c>
      <c r="BD138" s="362" t="s">
        <v>2548</v>
      </c>
      <c r="BE138" s="586" t="s">
        <v>2547</v>
      </c>
      <c r="BF138" s="362"/>
      <c r="BG138" s="362"/>
      <c r="BH138" s="362"/>
      <c r="BI138" s="362"/>
      <c r="BJ138" s="362"/>
      <c r="BK138" s="362"/>
      <c r="BL138" s="362"/>
      <c r="BM138" s="362"/>
      <c r="BN138" s="703"/>
    </row>
    <row r="139" spans="1:66" ht="20.100000000000001" customHeight="1">
      <c r="A139" s="708"/>
      <c r="B139" s="1480" t="s">
        <v>61</v>
      </c>
      <c r="C139" s="1481"/>
      <c r="D139" s="1481"/>
      <c r="E139" s="1481"/>
      <c r="F139" s="1482"/>
      <c r="G139" s="133">
        <v>0</v>
      </c>
      <c r="H139" s="413"/>
      <c r="I139" s="668"/>
      <c r="J139" s="668"/>
      <c r="K139" s="668"/>
      <c r="L139" s="668"/>
      <c r="M139" s="668"/>
      <c r="N139" s="668"/>
      <c r="O139" s="291"/>
      <c r="P139" s="668"/>
      <c r="Q139" s="668"/>
      <c r="R139" s="708"/>
      <c r="S139" s="542" t="s">
        <v>579</v>
      </c>
      <c r="T139" s="383"/>
      <c r="U139" s="777" t="s">
        <v>580</v>
      </c>
      <c r="V139" s="389" t="s">
        <v>581</v>
      </c>
      <c r="W139" s="389" t="s">
        <v>582</v>
      </c>
      <c r="X139" s="445">
        <v>2021</v>
      </c>
      <c r="Y139" s="445">
        <f>X139+1</f>
        <v>2022</v>
      </c>
      <c r="Z139" s="445">
        <f t="shared" ref="Z139" si="216">Y139+1</f>
        <v>2023</v>
      </c>
      <c r="AA139" s="445">
        <f t="shared" ref="AA139" si="217">Z139+1</f>
        <v>2024</v>
      </c>
      <c r="AB139" s="445">
        <f t="shared" ref="AB139" si="218">AA139+1</f>
        <v>2025</v>
      </c>
      <c r="AC139" s="445">
        <f t="shared" ref="AC139" si="219">AB139+1</f>
        <v>2026</v>
      </c>
      <c r="AD139" s="445">
        <f t="shared" ref="AD139" si="220">AC139+1</f>
        <v>2027</v>
      </c>
      <c r="AE139" s="445">
        <f t="shared" ref="AE139" si="221">AD139+1</f>
        <v>2028</v>
      </c>
      <c r="AF139" s="445">
        <f t="shared" ref="AF139" si="222">AE139+1</f>
        <v>2029</v>
      </c>
      <c r="AG139" s="445">
        <f t="shared" ref="AG139" si="223">AF139+1</f>
        <v>2030</v>
      </c>
      <c r="AH139" s="445">
        <f t="shared" ref="AH139" si="224">AG139+1</f>
        <v>2031</v>
      </c>
      <c r="AI139" s="445">
        <f t="shared" ref="AI139" si="225">AH139+1</f>
        <v>2032</v>
      </c>
      <c r="AJ139" s="445">
        <f t="shared" ref="AJ139" si="226">AI139+1</f>
        <v>2033</v>
      </c>
      <c r="AK139" s="445">
        <f t="shared" ref="AK139" si="227">AJ139+1</f>
        <v>2034</v>
      </c>
      <c r="AL139" s="445">
        <f t="shared" ref="AL139" si="228">AK139+1</f>
        <v>2035</v>
      </c>
      <c r="AM139" s="445">
        <f t="shared" ref="AM139" si="229">AL139+1</f>
        <v>2036</v>
      </c>
      <c r="AN139" s="445">
        <f t="shared" ref="AN139" si="230">AM139+1</f>
        <v>2037</v>
      </c>
      <c r="AO139" s="445">
        <f t="shared" ref="AO139" si="231">AN139+1</f>
        <v>2038</v>
      </c>
      <c r="AP139" s="445">
        <f t="shared" ref="AP139" si="232">AO139+1</f>
        <v>2039</v>
      </c>
      <c r="AQ139" s="445">
        <f t="shared" ref="AQ139" si="233">AP139+1</f>
        <v>2040</v>
      </c>
      <c r="AR139" s="445">
        <f t="shared" ref="AR139" si="234">AQ139+1</f>
        <v>2041</v>
      </c>
      <c r="AS139" s="445">
        <f t="shared" ref="AS139" si="235">AR139+1</f>
        <v>2042</v>
      </c>
      <c r="AT139" s="445">
        <f t="shared" ref="AT139" si="236">AS139+1</f>
        <v>2043</v>
      </c>
      <c r="AU139" s="445">
        <f t="shared" ref="AU139" si="237">AT139+1</f>
        <v>2044</v>
      </c>
      <c r="AV139" s="445">
        <f t="shared" ref="AV139" si="238">AU139+1</f>
        <v>2045</v>
      </c>
      <c r="AW139" s="445">
        <f t="shared" ref="AW139" si="239">AV139+1</f>
        <v>2046</v>
      </c>
      <c r="AX139" s="445">
        <f t="shared" ref="AX139" si="240">AW139+1</f>
        <v>2047</v>
      </c>
      <c r="AY139" s="445">
        <f t="shared" ref="AY139" si="241">AX139+1</f>
        <v>2048</v>
      </c>
      <c r="AZ139" s="445">
        <f t="shared" ref="AZ139" si="242">AY139+1</f>
        <v>2049</v>
      </c>
      <c r="BA139" s="154">
        <f t="shared" ref="BA139" si="243">AZ139+1</f>
        <v>2050</v>
      </c>
      <c r="BC139" s="702"/>
      <c r="BD139" s="362" t="s">
        <v>2554</v>
      </c>
      <c r="BE139" s="704" t="s">
        <v>2555</v>
      </c>
      <c r="BF139" s="362"/>
      <c r="BG139" s="362"/>
      <c r="BH139" s="362"/>
      <c r="BI139" s="362"/>
      <c r="BJ139" s="362"/>
      <c r="BK139" s="362"/>
      <c r="BL139" s="362"/>
      <c r="BM139" s="362"/>
      <c r="BN139" s="703"/>
    </row>
    <row r="140" spans="1:66" ht="20.100000000000001" customHeight="1">
      <c r="A140" s="708"/>
      <c r="B140" s="1480" t="s">
        <v>62</v>
      </c>
      <c r="C140" s="1481"/>
      <c r="D140" s="1481"/>
      <c r="E140" s="1481"/>
      <c r="F140" s="1482"/>
      <c r="G140" s="133">
        <v>0</v>
      </c>
      <c r="H140" s="413"/>
      <c r="I140" s="668"/>
      <c r="J140" s="668"/>
      <c r="K140" s="668"/>
      <c r="L140" s="668"/>
      <c r="M140" s="668"/>
      <c r="N140" s="668"/>
      <c r="O140" s="291"/>
      <c r="P140" s="668"/>
      <c r="Q140" s="668"/>
      <c r="R140" s="708"/>
      <c r="S140" s="786" t="s">
        <v>2633</v>
      </c>
      <c r="T140" s="767"/>
      <c r="U140" s="778">
        <f>0.8*V140+0.2*W140</f>
        <v>412</v>
      </c>
      <c r="V140" s="115">
        <f>INDEX('DEFAULT DATA'!$KY$9:$LG$41,START!$C$3,1)</f>
        <v>370</v>
      </c>
      <c r="W140" s="115">
        <f>INDEX('DEFAULT DATA'!$KP$9:$KX$41,START!$C$3,1)</f>
        <v>580</v>
      </c>
      <c r="X140" s="768">
        <f>INDEX('DEFAULT DATA'!$KG$9:$KO$41,START!$C$3,1)</f>
        <v>14.055497509598489</v>
      </c>
      <c r="Y140" s="401">
        <f>($X$140/($X$140+$X$142))*(100-(Y141+Y143+Y144+Y145+Y146+Y147+Y148))</f>
        <v>14.055497509598492</v>
      </c>
      <c r="Z140" s="401">
        <f t="shared" ref="Z140:BA140" si="244">($X$140/($X$140+$X$142))*(100-(Z141+Z143+Z144+Z145+Z146+Z147+Z148))</f>
        <v>14.055497509598492</v>
      </c>
      <c r="AA140" s="401">
        <f t="shared" si="244"/>
        <v>14.055497509598492</v>
      </c>
      <c r="AB140" s="401">
        <f t="shared" si="244"/>
        <v>14.055497509598492</v>
      </c>
      <c r="AC140" s="401">
        <f t="shared" si="244"/>
        <v>14.055497509598492</v>
      </c>
      <c r="AD140" s="401">
        <f t="shared" si="244"/>
        <v>14.055497509598492</v>
      </c>
      <c r="AE140" s="401">
        <f t="shared" si="244"/>
        <v>14.055497509598492</v>
      </c>
      <c r="AF140" s="401">
        <f t="shared" si="244"/>
        <v>14.055497509598492</v>
      </c>
      <c r="AG140" s="401">
        <f t="shared" si="244"/>
        <v>14.055497509598492</v>
      </c>
      <c r="AH140" s="401">
        <f t="shared" si="244"/>
        <v>14.055497509598492</v>
      </c>
      <c r="AI140" s="401">
        <f t="shared" si="244"/>
        <v>14.055497509598492</v>
      </c>
      <c r="AJ140" s="401">
        <f t="shared" si="244"/>
        <v>14.055497509598492</v>
      </c>
      <c r="AK140" s="401">
        <f t="shared" si="244"/>
        <v>14.055497509598492</v>
      </c>
      <c r="AL140" s="401">
        <f t="shared" si="244"/>
        <v>14.055497509598492</v>
      </c>
      <c r="AM140" s="401">
        <f t="shared" si="244"/>
        <v>14.055497509598492</v>
      </c>
      <c r="AN140" s="401">
        <f t="shared" si="244"/>
        <v>14.055497509598492</v>
      </c>
      <c r="AO140" s="401">
        <f t="shared" si="244"/>
        <v>14.055497509598492</v>
      </c>
      <c r="AP140" s="401">
        <f t="shared" si="244"/>
        <v>14.055497509598492</v>
      </c>
      <c r="AQ140" s="401">
        <f t="shared" si="244"/>
        <v>14.055497509598492</v>
      </c>
      <c r="AR140" s="401">
        <f t="shared" si="244"/>
        <v>14.055497509598492</v>
      </c>
      <c r="AS140" s="401">
        <f t="shared" si="244"/>
        <v>14.055497509598492</v>
      </c>
      <c r="AT140" s="401">
        <f t="shared" si="244"/>
        <v>14.055497509598492</v>
      </c>
      <c r="AU140" s="401">
        <f t="shared" si="244"/>
        <v>14.055497509598492</v>
      </c>
      <c r="AV140" s="401">
        <f t="shared" si="244"/>
        <v>14.055497509598492</v>
      </c>
      <c r="AW140" s="401">
        <f t="shared" si="244"/>
        <v>14.055497509598492</v>
      </c>
      <c r="AX140" s="401">
        <f t="shared" si="244"/>
        <v>14.055497509598492</v>
      </c>
      <c r="AY140" s="401">
        <f t="shared" si="244"/>
        <v>14.055497509598492</v>
      </c>
      <c r="AZ140" s="401">
        <f t="shared" si="244"/>
        <v>14.055497509598492</v>
      </c>
      <c r="BA140" s="563">
        <f t="shared" si="244"/>
        <v>14.055497509598492</v>
      </c>
      <c r="BC140" s="702"/>
      <c r="BD140" s="362"/>
      <c r="BE140" s="362" t="s">
        <v>2549</v>
      </c>
      <c r="BF140" s="362"/>
      <c r="BG140" s="362"/>
      <c r="BH140" s="362" t="s">
        <v>2550</v>
      </c>
      <c r="BI140" s="362"/>
      <c r="BJ140" s="362"/>
      <c r="BK140" s="362"/>
      <c r="BL140" s="362"/>
      <c r="BM140" s="362"/>
      <c r="BN140" s="703"/>
    </row>
    <row r="141" spans="1:66" ht="20.100000000000001" customHeight="1">
      <c r="A141" s="708"/>
      <c r="B141" s="1480" t="s">
        <v>63</v>
      </c>
      <c r="C141" s="1481"/>
      <c r="D141" s="1481"/>
      <c r="E141" s="1481"/>
      <c r="F141" s="1482"/>
      <c r="G141" s="133">
        <v>0</v>
      </c>
      <c r="H141" s="413"/>
      <c r="I141" s="668"/>
      <c r="J141" s="668"/>
      <c r="K141" s="668"/>
      <c r="L141" s="668"/>
      <c r="M141" s="668"/>
      <c r="N141" s="668"/>
      <c r="O141" s="291"/>
      <c r="P141" s="668"/>
      <c r="Q141" s="668"/>
      <c r="R141" s="708"/>
      <c r="S141" s="786" t="s">
        <v>2596</v>
      </c>
      <c r="T141" s="767"/>
      <c r="U141" s="778">
        <f t="shared" ref="U141:U148" si="245">0.8*V141+0.2*W141</f>
        <v>412</v>
      </c>
      <c r="V141" s="115">
        <f>INDEX('DEFAULT DATA'!$KY$9:$LG$41,START!$C$3,2)</f>
        <v>370</v>
      </c>
      <c r="W141" s="115">
        <f>INDEX('DEFAULT DATA'!$KP$9:$KX$41,START!$C$3,2)</f>
        <v>580</v>
      </c>
      <c r="X141" s="768">
        <f>INDEX('DEFAULT DATA'!$KG$9:$KO$41,START!$C$3,2)</f>
        <v>2.5085887808383954E-4</v>
      </c>
      <c r="Y141" s="768">
        <f>INDEX('DEFAULT DATA'!$KG$9:$KO$41,START!$C$3,2)</f>
        <v>2.5085887808383954E-4</v>
      </c>
      <c r="Z141" s="768">
        <f>INDEX('DEFAULT DATA'!$KG$9:$KO$41,START!$C$3,2)</f>
        <v>2.5085887808383954E-4</v>
      </c>
      <c r="AA141" s="768">
        <f>INDEX('DEFAULT DATA'!$KG$9:$KO$41,START!$C$3,2)</f>
        <v>2.5085887808383954E-4</v>
      </c>
      <c r="AB141" s="768">
        <f>INDEX('DEFAULT DATA'!$KG$9:$KO$41,START!$C$3,2)</f>
        <v>2.5085887808383954E-4</v>
      </c>
      <c r="AC141" s="768">
        <f>INDEX('DEFAULT DATA'!$KG$9:$KO$41,START!$C$3,2)</f>
        <v>2.5085887808383954E-4</v>
      </c>
      <c r="AD141" s="768">
        <f>INDEX('DEFAULT DATA'!$KG$9:$KO$41,START!$C$3,2)</f>
        <v>2.5085887808383954E-4</v>
      </c>
      <c r="AE141" s="768">
        <f>INDEX('DEFAULT DATA'!$KG$9:$KO$41,START!$C$3,2)</f>
        <v>2.5085887808383954E-4</v>
      </c>
      <c r="AF141" s="768">
        <f>INDEX('DEFAULT DATA'!$KG$9:$KO$41,START!$C$3,2)</f>
        <v>2.5085887808383954E-4</v>
      </c>
      <c r="AG141" s="768">
        <f>INDEX('DEFAULT DATA'!$KG$9:$KO$41,START!$C$3,2)</f>
        <v>2.5085887808383954E-4</v>
      </c>
      <c r="AH141" s="768">
        <f>INDEX('DEFAULT DATA'!$KG$9:$KO$41,START!$C$3,2)</f>
        <v>2.5085887808383954E-4</v>
      </c>
      <c r="AI141" s="768">
        <f>INDEX('DEFAULT DATA'!$KG$9:$KO$41,START!$C$3,2)</f>
        <v>2.5085887808383954E-4</v>
      </c>
      <c r="AJ141" s="768">
        <f>INDEX('DEFAULT DATA'!$KG$9:$KO$41,START!$C$3,2)</f>
        <v>2.5085887808383954E-4</v>
      </c>
      <c r="AK141" s="768">
        <f>INDEX('DEFAULT DATA'!$KG$9:$KO$41,START!$C$3,2)</f>
        <v>2.5085887808383954E-4</v>
      </c>
      <c r="AL141" s="768">
        <f>INDEX('DEFAULT DATA'!$KG$9:$KO$41,START!$C$3,2)</f>
        <v>2.5085887808383954E-4</v>
      </c>
      <c r="AM141" s="768">
        <f>INDEX('DEFAULT DATA'!$KG$9:$KO$41,START!$C$3,2)</f>
        <v>2.5085887808383954E-4</v>
      </c>
      <c r="AN141" s="768">
        <f>INDEX('DEFAULT DATA'!$KG$9:$KO$41,START!$C$3,2)</f>
        <v>2.5085887808383954E-4</v>
      </c>
      <c r="AO141" s="768">
        <f>INDEX('DEFAULT DATA'!$KG$9:$KO$41,START!$C$3,2)</f>
        <v>2.5085887808383954E-4</v>
      </c>
      <c r="AP141" s="768">
        <f>INDEX('DEFAULT DATA'!$KG$9:$KO$41,START!$C$3,2)</f>
        <v>2.5085887808383954E-4</v>
      </c>
      <c r="AQ141" s="768">
        <f>INDEX('DEFAULT DATA'!$KG$9:$KO$41,START!$C$3,2)</f>
        <v>2.5085887808383954E-4</v>
      </c>
      <c r="AR141" s="768">
        <f>INDEX('DEFAULT DATA'!$KG$9:$KO$41,START!$C$3,2)</f>
        <v>2.5085887808383954E-4</v>
      </c>
      <c r="AS141" s="768">
        <f>INDEX('DEFAULT DATA'!$KG$9:$KO$41,START!$C$3,2)</f>
        <v>2.5085887808383954E-4</v>
      </c>
      <c r="AT141" s="768">
        <f>INDEX('DEFAULT DATA'!$KG$9:$KO$41,START!$C$3,2)</f>
        <v>2.5085887808383954E-4</v>
      </c>
      <c r="AU141" s="768">
        <f>INDEX('DEFAULT DATA'!$KG$9:$KO$41,START!$C$3,2)</f>
        <v>2.5085887808383954E-4</v>
      </c>
      <c r="AV141" s="768">
        <f>INDEX('DEFAULT DATA'!$KG$9:$KO$41,START!$C$3,2)</f>
        <v>2.5085887808383954E-4</v>
      </c>
      <c r="AW141" s="768">
        <f>INDEX('DEFAULT DATA'!$KG$9:$KO$41,START!$C$3,2)</f>
        <v>2.5085887808383954E-4</v>
      </c>
      <c r="AX141" s="768">
        <f>INDEX('DEFAULT DATA'!$KG$9:$KO$41,START!$C$3,2)</f>
        <v>2.5085887808383954E-4</v>
      </c>
      <c r="AY141" s="768">
        <f>INDEX('DEFAULT DATA'!$KG$9:$KO$41,START!$C$3,2)</f>
        <v>2.5085887808383954E-4</v>
      </c>
      <c r="AZ141" s="768">
        <f>INDEX('DEFAULT DATA'!$KG$9:$KO$41,START!$C$3,2)</f>
        <v>2.5085887808383954E-4</v>
      </c>
      <c r="BA141" s="790">
        <f>INDEX('DEFAULT DATA'!$KG$9:$KO$41,START!$C$3,2)</f>
        <v>2.5085887808383954E-4</v>
      </c>
      <c r="BC141" s="702"/>
      <c r="BD141" s="362"/>
      <c r="BE141" s="362" t="s">
        <v>2551</v>
      </c>
      <c r="BF141" s="362"/>
      <c r="BG141" s="362"/>
      <c r="BH141" s="362" t="s">
        <v>2552</v>
      </c>
      <c r="BI141" s="362"/>
      <c r="BJ141" s="362"/>
      <c r="BK141" s="362"/>
      <c r="BL141" s="362"/>
      <c r="BM141" s="362"/>
      <c r="BN141" s="703"/>
    </row>
    <row r="142" spans="1:66" ht="20.100000000000001" customHeight="1">
      <c r="A142" s="708"/>
      <c r="B142" s="1480" t="s">
        <v>64</v>
      </c>
      <c r="C142" s="1481"/>
      <c r="D142" s="1481"/>
      <c r="E142" s="1481"/>
      <c r="F142" s="1482"/>
      <c r="G142" s="133"/>
      <c r="H142" s="413"/>
      <c r="I142" s="668"/>
      <c r="J142" s="668"/>
      <c r="K142" s="668"/>
      <c r="L142" s="668"/>
      <c r="M142" s="668"/>
      <c r="N142" s="668"/>
      <c r="O142" s="291"/>
      <c r="P142" s="668"/>
      <c r="Q142" s="668"/>
      <c r="R142" s="708"/>
      <c r="S142" s="786" t="s">
        <v>2634</v>
      </c>
      <c r="T142" s="767"/>
      <c r="U142" s="778">
        <f t="shared" si="245"/>
        <v>412</v>
      </c>
      <c r="V142" s="115">
        <f>INDEX('DEFAULT DATA'!$KY$9:$LG$41,START!$C$3,3)</f>
        <v>370</v>
      </c>
      <c r="W142" s="115">
        <f>INDEX('DEFAULT DATA'!$KP$9:$KX$41,START!$C$3,3)</f>
        <v>580</v>
      </c>
      <c r="X142" s="768">
        <f>INDEX('DEFAULT DATA'!$KG$9:$KO$41,START!$C$3,3)</f>
        <v>85.865105655487966</v>
      </c>
      <c r="Y142" s="401">
        <f>($X$142/($X$140+$X$142))*(100-(Y141+Y143+Y144+Y145+Y146+Y147+Y148))</f>
        <v>85.865105655487966</v>
      </c>
      <c r="Z142" s="401">
        <f t="shared" ref="Z142:BA142" si="246">($X$142/($X$140+$X$142))*(100-(Z141+Z143+Z144+Z145+Z146+Z147+Z148))</f>
        <v>85.865105655487966</v>
      </c>
      <c r="AA142" s="401">
        <f t="shared" si="246"/>
        <v>85.865105655487966</v>
      </c>
      <c r="AB142" s="401">
        <f t="shared" si="246"/>
        <v>85.865105655487966</v>
      </c>
      <c r="AC142" s="401">
        <f t="shared" si="246"/>
        <v>85.865105655487966</v>
      </c>
      <c r="AD142" s="401">
        <f t="shared" si="246"/>
        <v>85.865105655487966</v>
      </c>
      <c r="AE142" s="401">
        <f t="shared" si="246"/>
        <v>85.865105655487966</v>
      </c>
      <c r="AF142" s="401">
        <f t="shared" si="246"/>
        <v>85.865105655487966</v>
      </c>
      <c r="AG142" s="401">
        <f t="shared" si="246"/>
        <v>85.865105655487966</v>
      </c>
      <c r="AH142" s="401">
        <f t="shared" si="246"/>
        <v>85.865105655487966</v>
      </c>
      <c r="AI142" s="401">
        <f t="shared" si="246"/>
        <v>85.865105655487966</v>
      </c>
      <c r="AJ142" s="401">
        <f t="shared" si="246"/>
        <v>85.865105655487966</v>
      </c>
      <c r="AK142" s="401">
        <f t="shared" si="246"/>
        <v>85.865105655487966</v>
      </c>
      <c r="AL142" s="401">
        <f t="shared" si="246"/>
        <v>85.865105655487966</v>
      </c>
      <c r="AM142" s="401">
        <f t="shared" si="246"/>
        <v>85.865105655487966</v>
      </c>
      <c r="AN142" s="401">
        <f t="shared" si="246"/>
        <v>85.865105655487966</v>
      </c>
      <c r="AO142" s="401">
        <f t="shared" si="246"/>
        <v>85.865105655487966</v>
      </c>
      <c r="AP142" s="401">
        <f t="shared" si="246"/>
        <v>85.865105655487966</v>
      </c>
      <c r="AQ142" s="401">
        <f t="shared" si="246"/>
        <v>85.865105655487966</v>
      </c>
      <c r="AR142" s="401">
        <f t="shared" si="246"/>
        <v>85.865105655487966</v>
      </c>
      <c r="AS142" s="401">
        <f t="shared" si="246"/>
        <v>85.865105655487966</v>
      </c>
      <c r="AT142" s="401">
        <f t="shared" si="246"/>
        <v>85.865105655487966</v>
      </c>
      <c r="AU142" s="401">
        <f t="shared" si="246"/>
        <v>85.865105655487966</v>
      </c>
      <c r="AV142" s="401">
        <f t="shared" si="246"/>
        <v>85.865105655487966</v>
      </c>
      <c r="AW142" s="401">
        <f t="shared" si="246"/>
        <v>85.865105655487966</v>
      </c>
      <c r="AX142" s="401">
        <f t="shared" si="246"/>
        <v>85.865105655487966</v>
      </c>
      <c r="AY142" s="401">
        <f t="shared" si="246"/>
        <v>85.865105655487966</v>
      </c>
      <c r="AZ142" s="401">
        <f t="shared" si="246"/>
        <v>85.865105655487966</v>
      </c>
      <c r="BA142" s="563">
        <f t="shared" si="246"/>
        <v>85.865105655487966</v>
      </c>
      <c r="BC142" s="702"/>
      <c r="BD142" s="362" t="s">
        <v>2556</v>
      </c>
      <c r="BE142" s="362" t="s">
        <v>2557</v>
      </c>
      <c r="BF142" s="362"/>
      <c r="BG142" s="362"/>
      <c r="BH142" s="362"/>
      <c r="BI142" s="362"/>
      <c r="BJ142" s="362"/>
      <c r="BK142" s="362"/>
      <c r="BL142" s="362"/>
      <c r="BM142" s="362"/>
      <c r="BN142" s="703"/>
    </row>
    <row r="143" spans="1:66" ht="20.100000000000001" customHeight="1" thickBot="1">
      <c r="A143" s="708"/>
      <c r="B143" s="82"/>
      <c r="C143" s="82"/>
      <c r="D143" s="82"/>
      <c r="E143" s="82"/>
      <c r="F143" s="82"/>
      <c r="G143" s="413">
        <f>SUM(G138:G142)</f>
        <v>100</v>
      </c>
      <c r="H143" s="413"/>
      <c r="I143" s="668"/>
      <c r="J143" s="668"/>
      <c r="K143" s="668"/>
      <c r="L143" s="668"/>
      <c r="M143" s="668"/>
      <c r="N143" s="668"/>
      <c r="O143" s="291"/>
      <c r="P143" s="668"/>
      <c r="Q143" s="668"/>
      <c r="R143" s="708"/>
      <c r="S143" s="786" t="s">
        <v>2597</v>
      </c>
      <c r="T143" s="767"/>
      <c r="U143" s="778">
        <f t="shared" si="245"/>
        <v>412</v>
      </c>
      <c r="V143" s="115">
        <f>INDEX('DEFAULT DATA'!$KY$9:$LG$41,START!$C$3,4)</f>
        <v>370</v>
      </c>
      <c r="W143" s="115">
        <f>INDEX('DEFAULT DATA'!$KP$9:$KX$41,START!$C$3,4)</f>
        <v>580</v>
      </c>
      <c r="X143" s="768">
        <f>INDEX('DEFAULT DATA'!$KG$9:$KO$41,START!$C$3,4)</f>
        <v>0</v>
      </c>
      <c r="Y143" s="768">
        <f>INDEX('DEFAULT DATA'!$KG$9:$KO$41,START!$C$3,4)</f>
        <v>0</v>
      </c>
      <c r="Z143" s="768">
        <f>INDEX('DEFAULT DATA'!$KG$9:$KO$41,START!$C$3,4)</f>
        <v>0</v>
      </c>
      <c r="AA143" s="768">
        <f>INDEX('DEFAULT DATA'!$KG$9:$KO$41,START!$C$3,4)</f>
        <v>0</v>
      </c>
      <c r="AB143" s="768">
        <f>INDEX('DEFAULT DATA'!$KG$9:$KO$41,START!$C$3,4)</f>
        <v>0</v>
      </c>
      <c r="AC143" s="768">
        <f>INDEX('DEFAULT DATA'!$KG$9:$KO$41,START!$C$3,4)</f>
        <v>0</v>
      </c>
      <c r="AD143" s="768">
        <f>INDEX('DEFAULT DATA'!$KG$9:$KO$41,START!$C$3,4)</f>
        <v>0</v>
      </c>
      <c r="AE143" s="768">
        <f>INDEX('DEFAULT DATA'!$KG$9:$KO$41,START!$C$3,4)</f>
        <v>0</v>
      </c>
      <c r="AF143" s="768">
        <f>INDEX('DEFAULT DATA'!$KG$9:$KO$41,START!$C$3,4)</f>
        <v>0</v>
      </c>
      <c r="AG143" s="768">
        <f>INDEX('DEFAULT DATA'!$KG$9:$KO$41,START!$C$3,4)</f>
        <v>0</v>
      </c>
      <c r="AH143" s="768">
        <f>INDEX('DEFAULT DATA'!$KG$9:$KO$41,START!$C$3,4)</f>
        <v>0</v>
      </c>
      <c r="AI143" s="768">
        <f>INDEX('DEFAULT DATA'!$KG$9:$KO$41,START!$C$3,4)</f>
        <v>0</v>
      </c>
      <c r="AJ143" s="768">
        <f>INDEX('DEFAULT DATA'!$KG$9:$KO$41,START!$C$3,4)</f>
        <v>0</v>
      </c>
      <c r="AK143" s="768">
        <f>INDEX('DEFAULT DATA'!$KG$9:$KO$41,START!$C$3,4)</f>
        <v>0</v>
      </c>
      <c r="AL143" s="768">
        <f>INDEX('DEFAULT DATA'!$KG$9:$KO$41,START!$C$3,4)</f>
        <v>0</v>
      </c>
      <c r="AM143" s="768">
        <f>INDEX('DEFAULT DATA'!$KG$9:$KO$41,START!$C$3,4)</f>
        <v>0</v>
      </c>
      <c r="AN143" s="768">
        <f>INDEX('DEFAULT DATA'!$KG$9:$KO$41,START!$C$3,4)</f>
        <v>0</v>
      </c>
      <c r="AO143" s="768">
        <f>INDEX('DEFAULT DATA'!$KG$9:$KO$41,START!$C$3,4)</f>
        <v>0</v>
      </c>
      <c r="AP143" s="768">
        <f>INDEX('DEFAULT DATA'!$KG$9:$KO$41,START!$C$3,4)</f>
        <v>0</v>
      </c>
      <c r="AQ143" s="768">
        <f>INDEX('DEFAULT DATA'!$KG$9:$KO$41,START!$C$3,4)</f>
        <v>0</v>
      </c>
      <c r="AR143" s="768">
        <f>INDEX('DEFAULT DATA'!$KG$9:$KO$41,START!$C$3,4)</f>
        <v>0</v>
      </c>
      <c r="AS143" s="768">
        <f>INDEX('DEFAULT DATA'!$KG$9:$KO$41,START!$C$3,4)</f>
        <v>0</v>
      </c>
      <c r="AT143" s="768">
        <f>INDEX('DEFAULT DATA'!$KG$9:$KO$41,START!$C$3,4)</f>
        <v>0</v>
      </c>
      <c r="AU143" s="768">
        <f>INDEX('DEFAULT DATA'!$KG$9:$KO$41,START!$C$3,4)</f>
        <v>0</v>
      </c>
      <c r="AV143" s="768">
        <f>INDEX('DEFAULT DATA'!$KG$9:$KO$41,START!$C$3,4)</f>
        <v>0</v>
      </c>
      <c r="AW143" s="768">
        <f>INDEX('DEFAULT DATA'!$KG$9:$KO$41,START!$C$3,4)</f>
        <v>0</v>
      </c>
      <c r="AX143" s="768">
        <f>INDEX('DEFAULT DATA'!$KG$9:$KO$41,START!$C$3,4)</f>
        <v>0</v>
      </c>
      <c r="AY143" s="768">
        <f>INDEX('DEFAULT DATA'!$KG$9:$KO$41,START!$C$3,4)</f>
        <v>0</v>
      </c>
      <c r="AZ143" s="768">
        <f>INDEX('DEFAULT DATA'!$KG$9:$KO$41,START!$C$3,4)</f>
        <v>0</v>
      </c>
      <c r="BA143" s="790">
        <f>INDEX('DEFAULT DATA'!$KG$9:$KO$41,START!$C$3,4)</f>
        <v>0</v>
      </c>
      <c r="BC143" s="705"/>
      <c r="BD143" s="698" t="s">
        <v>2545</v>
      </c>
      <c r="BE143" s="698"/>
      <c r="BF143" s="698"/>
      <c r="BG143" s="698"/>
      <c r="BH143" s="698"/>
      <c r="BI143" s="698"/>
      <c r="BJ143" s="698"/>
      <c r="BK143" s="698"/>
      <c r="BL143" s="698"/>
      <c r="BM143" s="698"/>
      <c r="BN143" s="699"/>
    </row>
    <row r="144" spans="1:66" ht="20.100000000000001" customHeight="1">
      <c r="A144" s="708"/>
      <c r="B144" s="742" t="str">
        <f>IF(G143=100,"","The sum is not 100%")</f>
        <v/>
      </c>
      <c r="C144" s="742"/>
      <c r="D144" s="742"/>
      <c r="E144" s="742"/>
      <c r="F144" s="668"/>
      <c r="G144" s="668"/>
      <c r="H144" s="668"/>
      <c r="I144" s="668"/>
      <c r="J144" s="668"/>
      <c r="K144" s="668"/>
      <c r="L144" s="668"/>
      <c r="M144" s="668"/>
      <c r="N144" s="668"/>
      <c r="O144" s="291"/>
      <c r="P144" s="668"/>
      <c r="Q144" s="668"/>
      <c r="R144" s="708"/>
      <c r="S144" s="786" t="s">
        <v>578</v>
      </c>
      <c r="T144" s="767"/>
      <c r="U144" s="778">
        <f t="shared" si="245"/>
        <v>0</v>
      </c>
      <c r="V144" s="115">
        <f>INDEX('DEFAULT DATA'!$KY$9:$LG$41,START!$C$3,5)</f>
        <v>0</v>
      </c>
      <c r="W144" s="115">
        <f>INDEX('DEFAULT DATA'!$KP$9:$KX$41,START!$C$3,5)</f>
        <v>0</v>
      </c>
      <c r="X144" s="768">
        <f>INDEX('DEFAULT DATA'!$KG$9:$KO$41,START!$C$3,5)</f>
        <v>1.5553250441198053E-2</v>
      </c>
      <c r="Y144" s="768">
        <f>INDEX('DEFAULT DATA'!$KG$9:$KO$41,START!$C$3,5)</f>
        <v>1.5553250441198053E-2</v>
      </c>
      <c r="Z144" s="768">
        <f>INDEX('DEFAULT DATA'!$KG$9:$KO$41,START!$C$3,5)</f>
        <v>1.5553250441198053E-2</v>
      </c>
      <c r="AA144" s="768">
        <f>INDEX('DEFAULT DATA'!$KG$9:$KO$41,START!$C$3,5)</f>
        <v>1.5553250441198053E-2</v>
      </c>
      <c r="AB144" s="768">
        <f>INDEX('DEFAULT DATA'!$KG$9:$KO$41,START!$C$3,5)</f>
        <v>1.5553250441198053E-2</v>
      </c>
      <c r="AC144" s="768">
        <f>INDEX('DEFAULT DATA'!$KG$9:$KO$41,START!$C$3,5)</f>
        <v>1.5553250441198053E-2</v>
      </c>
      <c r="AD144" s="768">
        <f>INDEX('DEFAULT DATA'!$KG$9:$KO$41,START!$C$3,5)</f>
        <v>1.5553250441198053E-2</v>
      </c>
      <c r="AE144" s="768">
        <f>INDEX('DEFAULT DATA'!$KG$9:$KO$41,START!$C$3,5)</f>
        <v>1.5553250441198053E-2</v>
      </c>
      <c r="AF144" s="768">
        <f>INDEX('DEFAULT DATA'!$KG$9:$KO$41,START!$C$3,5)</f>
        <v>1.5553250441198053E-2</v>
      </c>
      <c r="AG144" s="768">
        <f>INDEX('DEFAULT DATA'!$KG$9:$KO$41,START!$C$3,5)</f>
        <v>1.5553250441198053E-2</v>
      </c>
      <c r="AH144" s="768">
        <f>INDEX('DEFAULT DATA'!$KG$9:$KO$41,START!$C$3,5)</f>
        <v>1.5553250441198053E-2</v>
      </c>
      <c r="AI144" s="768">
        <f>INDEX('DEFAULT DATA'!$KG$9:$KO$41,START!$C$3,5)</f>
        <v>1.5553250441198053E-2</v>
      </c>
      <c r="AJ144" s="768">
        <f>INDEX('DEFAULT DATA'!$KG$9:$KO$41,START!$C$3,5)</f>
        <v>1.5553250441198053E-2</v>
      </c>
      <c r="AK144" s="768">
        <f>INDEX('DEFAULT DATA'!$KG$9:$KO$41,START!$C$3,5)</f>
        <v>1.5553250441198053E-2</v>
      </c>
      <c r="AL144" s="768">
        <f>INDEX('DEFAULT DATA'!$KG$9:$KO$41,START!$C$3,5)</f>
        <v>1.5553250441198053E-2</v>
      </c>
      <c r="AM144" s="768">
        <f>INDEX('DEFAULT DATA'!$KG$9:$KO$41,START!$C$3,5)</f>
        <v>1.5553250441198053E-2</v>
      </c>
      <c r="AN144" s="768">
        <f>INDEX('DEFAULT DATA'!$KG$9:$KO$41,START!$C$3,5)</f>
        <v>1.5553250441198053E-2</v>
      </c>
      <c r="AO144" s="768">
        <f>INDEX('DEFAULT DATA'!$KG$9:$KO$41,START!$C$3,5)</f>
        <v>1.5553250441198053E-2</v>
      </c>
      <c r="AP144" s="768">
        <f>INDEX('DEFAULT DATA'!$KG$9:$KO$41,START!$C$3,5)</f>
        <v>1.5553250441198053E-2</v>
      </c>
      <c r="AQ144" s="768">
        <f>INDEX('DEFAULT DATA'!$KG$9:$KO$41,START!$C$3,5)</f>
        <v>1.5553250441198053E-2</v>
      </c>
      <c r="AR144" s="768">
        <f>INDEX('DEFAULT DATA'!$KG$9:$KO$41,START!$C$3,5)</f>
        <v>1.5553250441198053E-2</v>
      </c>
      <c r="AS144" s="768">
        <f>INDEX('DEFAULT DATA'!$KG$9:$KO$41,START!$C$3,5)</f>
        <v>1.5553250441198053E-2</v>
      </c>
      <c r="AT144" s="768">
        <f>INDEX('DEFAULT DATA'!$KG$9:$KO$41,START!$C$3,5)</f>
        <v>1.5553250441198053E-2</v>
      </c>
      <c r="AU144" s="768">
        <f>INDEX('DEFAULT DATA'!$KG$9:$KO$41,START!$C$3,5)</f>
        <v>1.5553250441198053E-2</v>
      </c>
      <c r="AV144" s="768">
        <f>INDEX('DEFAULT DATA'!$KG$9:$KO$41,START!$C$3,5)</f>
        <v>1.5553250441198053E-2</v>
      </c>
      <c r="AW144" s="768">
        <f>INDEX('DEFAULT DATA'!$KG$9:$KO$41,START!$C$3,5)</f>
        <v>1.5553250441198053E-2</v>
      </c>
      <c r="AX144" s="768">
        <f>INDEX('DEFAULT DATA'!$KG$9:$KO$41,START!$C$3,5)</f>
        <v>1.5553250441198053E-2</v>
      </c>
      <c r="AY144" s="768">
        <f>INDEX('DEFAULT DATA'!$KG$9:$KO$41,START!$C$3,5)</f>
        <v>1.5553250441198053E-2</v>
      </c>
      <c r="AZ144" s="768">
        <f>INDEX('DEFAULT DATA'!$KG$9:$KO$41,START!$C$3,5)</f>
        <v>1.5553250441198053E-2</v>
      </c>
      <c r="BA144" s="790">
        <f>INDEX('DEFAULT DATA'!$KG$9:$KO$41,START!$C$3,5)</f>
        <v>1.5553250441198053E-2</v>
      </c>
    </row>
    <row r="145" spans="1:54" ht="20.100000000000001" customHeight="1" thickBot="1">
      <c r="A145" s="708"/>
      <c r="B145" s="668"/>
      <c r="C145" s="668"/>
      <c r="D145" s="668"/>
      <c r="E145" s="668"/>
      <c r="F145" s="668"/>
      <c r="G145" s="668"/>
      <c r="H145" s="668"/>
      <c r="I145" s="668"/>
      <c r="J145" s="668"/>
      <c r="K145" s="668"/>
      <c r="L145" s="668"/>
      <c r="M145" s="668"/>
      <c r="N145" s="668"/>
      <c r="O145" s="291"/>
      <c r="P145" s="668"/>
      <c r="Q145" s="668"/>
      <c r="R145" s="708"/>
      <c r="S145" s="786" t="s">
        <v>2598</v>
      </c>
      <c r="T145" s="767"/>
      <c r="U145" s="778">
        <f t="shared" si="245"/>
        <v>412</v>
      </c>
      <c r="V145" s="115">
        <f>INDEX('DEFAULT DATA'!$KY$9:$LG$41,START!$C$3,6)</f>
        <v>370</v>
      </c>
      <c r="W145" s="115">
        <f>INDEX('DEFAULT DATA'!$KP$9:$KX$41,START!$C$3,6)</f>
        <v>580</v>
      </c>
      <c r="X145" s="768">
        <f>INDEX('DEFAULT DATA'!$KG$9:$KO$41,START!$C$3,6)</f>
        <v>6.3592725594253316E-2</v>
      </c>
      <c r="Y145" s="768">
        <f>INDEX('DEFAULT DATA'!$KG$9:$KO$41,START!$C$3,6)</f>
        <v>6.3592725594253316E-2</v>
      </c>
      <c r="Z145" s="768">
        <f>INDEX('DEFAULT DATA'!$KG$9:$KO$41,START!$C$3,6)</f>
        <v>6.3592725594253316E-2</v>
      </c>
      <c r="AA145" s="768">
        <f>INDEX('DEFAULT DATA'!$KG$9:$KO$41,START!$C$3,6)</f>
        <v>6.3592725594253316E-2</v>
      </c>
      <c r="AB145" s="768">
        <f>INDEX('DEFAULT DATA'!$KG$9:$KO$41,START!$C$3,6)</f>
        <v>6.3592725594253316E-2</v>
      </c>
      <c r="AC145" s="768">
        <f>INDEX('DEFAULT DATA'!$KG$9:$KO$41,START!$C$3,6)</f>
        <v>6.3592725594253316E-2</v>
      </c>
      <c r="AD145" s="768">
        <f>INDEX('DEFAULT DATA'!$KG$9:$KO$41,START!$C$3,6)</f>
        <v>6.3592725594253316E-2</v>
      </c>
      <c r="AE145" s="768">
        <f>INDEX('DEFAULT DATA'!$KG$9:$KO$41,START!$C$3,6)</f>
        <v>6.3592725594253316E-2</v>
      </c>
      <c r="AF145" s="768">
        <f>INDEX('DEFAULT DATA'!$KG$9:$KO$41,START!$C$3,6)</f>
        <v>6.3592725594253316E-2</v>
      </c>
      <c r="AG145" s="768">
        <f>INDEX('DEFAULT DATA'!$KG$9:$KO$41,START!$C$3,6)</f>
        <v>6.3592725594253316E-2</v>
      </c>
      <c r="AH145" s="768">
        <f>INDEX('DEFAULT DATA'!$KG$9:$KO$41,START!$C$3,6)</f>
        <v>6.3592725594253316E-2</v>
      </c>
      <c r="AI145" s="768">
        <f>INDEX('DEFAULT DATA'!$KG$9:$KO$41,START!$C$3,6)</f>
        <v>6.3592725594253316E-2</v>
      </c>
      <c r="AJ145" s="768">
        <f>INDEX('DEFAULT DATA'!$KG$9:$KO$41,START!$C$3,6)</f>
        <v>6.3592725594253316E-2</v>
      </c>
      <c r="AK145" s="768">
        <f>INDEX('DEFAULT DATA'!$KG$9:$KO$41,START!$C$3,6)</f>
        <v>6.3592725594253316E-2</v>
      </c>
      <c r="AL145" s="768">
        <f>INDEX('DEFAULT DATA'!$KG$9:$KO$41,START!$C$3,6)</f>
        <v>6.3592725594253316E-2</v>
      </c>
      <c r="AM145" s="768">
        <f>INDEX('DEFAULT DATA'!$KG$9:$KO$41,START!$C$3,6)</f>
        <v>6.3592725594253316E-2</v>
      </c>
      <c r="AN145" s="768">
        <f>INDEX('DEFAULT DATA'!$KG$9:$KO$41,START!$C$3,6)</f>
        <v>6.3592725594253316E-2</v>
      </c>
      <c r="AO145" s="768">
        <f>INDEX('DEFAULT DATA'!$KG$9:$KO$41,START!$C$3,6)</f>
        <v>6.3592725594253316E-2</v>
      </c>
      <c r="AP145" s="768">
        <f>INDEX('DEFAULT DATA'!$KG$9:$KO$41,START!$C$3,6)</f>
        <v>6.3592725594253316E-2</v>
      </c>
      <c r="AQ145" s="768">
        <f>INDEX('DEFAULT DATA'!$KG$9:$KO$41,START!$C$3,6)</f>
        <v>6.3592725594253316E-2</v>
      </c>
      <c r="AR145" s="768">
        <f>INDEX('DEFAULT DATA'!$KG$9:$KO$41,START!$C$3,6)</f>
        <v>6.3592725594253316E-2</v>
      </c>
      <c r="AS145" s="768">
        <f>INDEX('DEFAULT DATA'!$KG$9:$KO$41,START!$C$3,6)</f>
        <v>6.3592725594253316E-2</v>
      </c>
      <c r="AT145" s="768">
        <f>INDEX('DEFAULT DATA'!$KG$9:$KO$41,START!$C$3,6)</f>
        <v>6.3592725594253316E-2</v>
      </c>
      <c r="AU145" s="768">
        <f>INDEX('DEFAULT DATA'!$KG$9:$KO$41,START!$C$3,6)</f>
        <v>6.3592725594253316E-2</v>
      </c>
      <c r="AV145" s="768">
        <f>INDEX('DEFAULT DATA'!$KG$9:$KO$41,START!$C$3,6)</f>
        <v>6.3592725594253316E-2</v>
      </c>
      <c r="AW145" s="768">
        <f>INDEX('DEFAULT DATA'!$KG$9:$KO$41,START!$C$3,6)</f>
        <v>6.3592725594253316E-2</v>
      </c>
      <c r="AX145" s="768">
        <f>INDEX('DEFAULT DATA'!$KG$9:$KO$41,START!$C$3,6)</f>
        <v>6.3592725594253316E-2</v>
      </c>
      <c r="AY145" s="768">
        <f>INDEX('DEFAULT DATA'!$KG$9:$KO$41,START!$C$3,6)</f>
        <v>6.3592725594253316E-2</v>
      </c>
      <c r="AZ145" s="768">
        <f>INDEX('DEFAULT DATA'!$KG$9:$KO$41,START!$C$3,6)</f>
        <v>6.3592725594253316E-2</v>
      </c>
      <c r="BA145" s="790">
        <f>INDEX('DEFAULT DATA'!$KG$9:$KO$41,START!$C$3,6)</f>
        <v>6.3592725594253316E-2</v>
      </c>
    </row>
    <row r="146" spans="1:54" ht="20.100000000000001" customHeight="1" thickBot="1">
      <c r="A146" s="753"/>
      <c r="B146" s="852" t="s">
        <v>115</v>
      </c>
      <c r="C146" s="852"/>
      <c r="D146" s="852"/>
      <c r="E146" s="852"/>
      <c r="F146" s="852"/>
      <c r="G146" s="852"/>
      <c r="H146" s="852"/>
      <c r="I146" s="852"/>
      <c r="J146" s="852"/>
      <c r="K146" s="852"/>
      <c r="L146" s="852"/>
      <c r="M146" s="852"/>
      <c r="N146" s="852"/>
      <c r="O146" s="853"/>
      <c r="P146" s="243"/>
      <c r="Q146" s="243"/>
      <c r="R146" s="708"/>
      <c r="S146" s="786" t="s">
        <v>629</v>
      </c>
      <c r="T146" s="767"/>
      <c r="U146" s="778">
        <f t="shared" si="245"/>
        <v>412</v>
      </c>
      <c r="V146" s="115">
        <f>INDEX('DEFAULT DATA'!$KY$9:$LG$41,START!$C$3,7)</f>
        <v>370</v>
      </c>
      <c r="W146" s="115">
        <f>INDEX('DEFAULT DATA'!$KP$9:$KX$41,START!$C$3,7)</f>
        <v>580</v>
      </c>
      <c r="X146" s="768">
        <f>INDEX('DEFAULT DATA'!$KG$9:$KO$41,START!$C$3,7)</f>
        <v>0</v>
      </c>
      <c r="Y146" s="768">
        <f>INDEX('DEFAULT DATA'!$KG$9:$KO$41,START!$C$3,7)</f>
        <v>0</v>
      </c>
      <c r="Z146" s="768">
        <f>INDEX('DEFAULT DATA'!$KG$9:$KO$41,START!$C$3,7)</f>
        <v>0</v>
      </c>
      <c r="AA146" s="768">
        <f>INDEX('DEFAULT DATA'!$KG$9:$KO$41,START!$C$3,7)</f>
        <v>0</v>
      </c>
      <c r="AB146" s="768">
        <f>INDEX('DEFAULT DATA'!$KG$9:$KO$41,START!$C$3,7)</f>
        <v>0</v>
      </c>
      <c r="AC146" s="768">
        <f>INDEX('DEFAULT DATA'!$KG$9:$KO$41,START!$C$3,7)</f>
        <v>0</v>
      </c>
      <c r="AD146" s="768">
        <f>INDEX('DEFAULT DATA'!$KG$9:$KO$41,START!$C$3,7)</f>
        <v>0</v>
      </c>
      <c r="AE146" s="768">
        <f>INDEX('DEFAULT DATA'!$KG$9:$KO$41,START!$C$3,7)</f>
        <v>0</v>
      </c>
      <c r="AF146" s="768">
        <f>INDEX('DEFAULT DATA'!$KG$9:$KO$41,START!$C$3,7)</f>
        <v>0</v>
      </c>
      <c r="AG146" s="768">
        <f>INDEX('DEFAULT DATA'!$KG$9:$KO$41,START!$C$3,7)</f>
        <v>0</v>
      </c>
      <c r="AH146" s="768">
        <f>INDEX('DEFAULT DATA'!$KG$9:$KO$41,START!$C$3,7)</f>
        <v>0</v>
      </c>
      <c r="AI146" s="768">
        <f>INDEX('DEFAULT DATA'!$KG$9:$KO$41,START!$C$3,7)</f>
        <v>0</v>
      </c>
      <c r="AJ146" s="768">
        <f>INDEX('DEFAULT DATA'!$KG$9:$KO$41,START!$C$3,7)</f>
        <v>0</v>
      </c>
      <c r="AK146" s="768">
        <f>INDEX('DEFAULT DATA'!$KG$9:$KO$41,START!$C$3,7)</f>
        <v>0</v>
      </c>
      <c r="AL146" s="768">
        <f>INDEX('DEFAULT DATA'!$KG$9:$KO$41,START!$C$3,7)</f>
        <v>0</v>
      </c>
      <c r="AM146" s="768">
        <f>INDEX('DEFAULT DATA'!$KG$9:$KO$41,START!$C$3,7)</f>
        <v>0</v>
      </c>
      <c r="AN146" s="768">
        <f>INDEX('DEFAULT DATA'!$KG$9:$KO$41,START!$C$3,7)</f>
        <v>0</v>
      </c>
      <c r="AO146" s="768">
        <f>INDEX('DEFAULT DATA'!$KG$9:$KO$41,START!$C$3,7)</f>
        <v>0</v>
      </c>
      <c r="AP146" s="768">
        <f>INDEX('DEFAULT DATA'!$KG$9:$KO$41,START!$C$3,7)</f>
        <v>0</v>
      </c>
      <c r="AQ146" s="768">
        <f>INDEX('DEFAULT DATA'!$KG$9:$KO$41,START!$C$3,7)</f>
        <v>0</v>
      </c>
      <c r="AR146" s="768">
        <f>INDEX('DEFAULT DATA'!$KG$9:$KO$41,START!$C$3,7)</f>
        <v>0</v>
      </c>
      <c r="AS146" s="768">
        <f>INDEX('DEFAULT DATA'!$KG$9:$KO$41,START!$C$3,7)</f>
        <v>0</v>
      </c>
      <c r="AT146" s="768">
        <f>INDEX('DEFAULT DATA'!$KG$9:$KO$41,START!$C$3,7)</f>
        <v>0</v>
      </c>
      <c r="AU146" s="768">
        <f>INDEX('DEFAULT DATA'!$KG$9:$KO$41,START!$C$3,7)</f>
        <v>0</v>
      </c>
      <c r="AV146" s="768">
        <f>INDEX('DEFAULT DATA'!$KG$9:$KO$41,START!$C$3,7)</f>
        <v>0</v>
      </c>
      <c r="AW146" s="768">
        <f>INDEX('DEFAULT DATA'!$KG$9:$KO$41,START!$C$3,7)</f>
        <v>0</v>
      </c>
      <c r="AX146" s="768">
        <f>INDEX('DEFAULT DATA'!$KG$9:$KO$41,START!$C$3,7)</f>
        <v>0</v>
      </c>
      <c r="AY146" s="768">
        <f>INDEX('DEFAULT DATA'!$KG$9:$KO$41,START!$C$3,7)</f>
        <v>0</v>
      </c>
      <c r="AZ146" s="768">
        <f>INDEX('DEFAULT DATA'!$KG$9:$KO$41,START!$C$3,7)</f>
        <v>0</v>
      </c>
      <c r="BA146" s="790">
        <f>INDEX('DEFAULT DATA'!$KG$9:$KO$41,START!$C$3,7)</f>
        <v>0</v>
      </c>
      <c r="BB146" s="669"/>
    </row>
    <row r="147" spans="1:54" ht="20.100000000000001" customHeight="1">
      <c r="A147" s="35"/>
      <c r="B147" s="743" t="s">
        <v>113</v>
      </c>
      <c r="C147" s="743"/>
      <c r="D147" s="743"/>
      <c r="E147" s="743"/>
      <c r="F147" s="1473" t="s">
        <v>118</v>
      </c>
      <c r="G147" s="1473" t="s">
        <v>119</v>
      </c>
      <c r="H147" s="218"/>
      <c r="I147" s="218"/>
      <c r="J147" s="218"/>
      <c r="K147" s="218"/>
      <c r="L147" s="218"/>
      <c r="M147" s="218"/>
      <c r="N147" s="218"/>
      <c r="O147" s="266"/>
      <c r="P147" s="668"/>
      <c r="Q147" s="668"/>
      <c r="R147" s="708"/>
      <c r="S147" s="786" t="s">
        <v>630</v>
      </c>
      <c r="T147" s="767"/>
      <c r="U147" s="778">
        <f t="shared" si="245"/>
        <v>412</v>
      </c>
      <c r="V147" s="115">
        <f>INDEX('DEFAULT DATA'!$KY$9:$LG$41,START!$C$3,8)</f>
        <v>370</v>
      </c>
      <c r="W147" s="115">
        <f>INDEX('DEFAULT DATA'!$KP$9:$KX$41,START!$C$3,8)</f>
        <v>580</v>
      </c>
      <c r="X147" s="768">
        <f>INDEX('DEFAULT DATA'!$KG$9:$KO$41,START!$C$3,8)</f>
        <v>0</v>
      </c>
      <c r="Y147" s="768">
        <f>INDEX('DEFAULT DATA'!$KG$9:$KO$41,START!$C$3,8)</f>
        <v>0</v>
      </c>
      <c r="Z147" s="768">
        <f>INDEX('DEFAULT DATA'!$KG$9:$KO$41,START!$C$3,8)</f>
        <v>0</v>
      </c>
      <c r="AA147" s="768">
        <f>INDEX('DEFAULT DATA'!$KG$9:$KO$41,START!$C$3,8)</f>
        <v>0</v>
      </c>
      <c r="AB147" s="768">
        <f>INDEX('DEFAULT DATA'!$KG$9:$KO$41,START!$C$3,8)</f>
        <v>0</v>
      </c>
      <c r="AC147" s="768">
        <f>INDEX('DEFAULT DATA'!$KG$9:$KO$41,START!$C$3,8)</f>
        <v>0</v>
      </c>
      <c r="AD147" s="768">
        <f>INDEX('DEFAULT DATA'!$KG$9:$KO$41,START!$C$3,8)</f>
        <v>0</v>
      </c>
      <c r="AE147" s="768">
        <f>INDEX('DEFAULT DATA'!$KG$9:$KO$41,START!$C$3,8)</f>
        <v>0</v>
      </c>
      <c r="AF147" s="768">
        <f>INDEX('DEFAULT DATA'!$KG$9:$KO$41,START!$C$3,8)</f>
        <v>0</v>
      </c>
      <c r="AG147" s="768">
        <f>INDEX('DEFAULT DATA'!$KG$9:$KO$41,START!$C$3,8)</f>
        <v>0</v>
      </c>
      <c r="AH147" s="768">
        <f>INDEX('DEFAULT DATA'!$KG$9:$KO$41,START!$C$3,8)</f>
        <v>0</v>
      </c>
      <c r="AI147" s="768">
        <f>INDEX('DEFAULT DATA'!$KG$9:$KO$41,START!$C$3,8)</f>
        <v>0</v>
      </c>
      <c r="AJ147" s="768">
        <f>INDEX('DEFAULT DATA'!$KG$9:$KO$41,START!$C$3,8)</f>
        <v>0</v>
      </c>
      <c r="AK147" s="768">
        <f>INDEX('DEFAULT DATA'!$KG$9:$KO$41,START!$C$3,8)</f>
        <v>0</v>
      </c>
      <c r="AL147" s="768">
        <f>INDEX('DEFAULT DATA'!$KG$9:$KO$41,START!$C$3,8)</f>
        <v>0</v>
      </c>
      <c r="AM147" s="768">
        <f>INDEX('DEFAULT DATA'!$KG$9:$KO$41,START!$C$3,8)</f>
        <v>0</v>
      </c>
      <c r="AN147" s="768">
        <f>INDEX('DEFAULT DATA'!$KG$9:$KO$41,START!$C$3,8)</f>
        <v>0</v>
      </c>
      <c r="AO147" s="768">
        <f>INDEX('DEFAULT DATA'!$KG$9:$KO$41,START!$C$3,8)</f>
        <v>0</v>
      </c>
      <c r="AP147" s="768">
        <f>INDEX('DEFAULT DATA'!$KG$9:$KO$41,START!$C$3,8)</f>
        <v>0</v>
      </c>
      <c r="AQ147" s="768">
        <f>INDEX('DEFAULT DATA'!$KG$9:$KO$41,START!$C$3,8)</f>
        <v>0</v>
      </c>
      <c r="AR147" s="768">
        <f>INDEX('DEFAULT DATA'!$KG$9:$KO$41,START!$C$3,8)</f>
        <v>0</v>
      </c>
      <c r="AS147" s="768">
        <f>INDEX('DEFAULT DATA'!$KG$9:$KO$41,START!$C$3,8)</f>
        <v>0</v>
      </c>
      <c r="AT147" s="768">
        <f>INDEX('DEFAULT DATA'!$KG$9:$KO$41,START!$C$3,8)</f>
        <v>0</v>
      </c>
      <c r="AU147" s="768">
        <f>INDEX('DEFAULT DATA'!$KG$9:$KO$41,START!$C$3,8)</f>
        <v>0</v>
      </c>
      <c r="AV147" s="768">
        <f>INDEX('DEFAULT DATA'!$KG$9:$KO$41,START!$C$3,8)</f>
        <v>0</v>
      </c>
      <c r="AW147" s="768">
        <f>INDEX('DEFAULT DATA'!$KG$9:$KO$41,START!$C$3,8)</f>
        <v>0</v>
      </c>
      <c r="AX147" s="768">
        <f>INDEX('DEFAULT DATA'!$KG$9:$KO$41,START!$C$3,8)</f>
        <v>0</v>
      </c>
      <c r="AY147" s="768">
        <f>INDEX('DEFAULT DATA'!$KG$9:$KO$41,START!$C$3,8)</f>
        <v>0</v>
      </c>
      <c r="AZ147" s="768">
        <f>INDEX('DEFAULT DATA'!$KG$9:$KO$41,START!$C$3,8)</f>
        <v>0</v>
      </c>
      <c r="BA147" s="790">
        <f>INDEX('DEFAULT DATA'!$KG$9:$KO$41,START!$C$3,8)</f>
        <v>0</v>
      </c>
    </row>
    <row r="148" spans="1:54" ht="20.100000000000001" customHeight="1" thickBot="1">
      <c r="A148" s="752"/>
      <c r="B148" s="414" t="s">
        <v>121</v>
      </c>
      <c r="C148" s="125"/>
      <c r="D148" s="125"/>
      <c r="E148" s="125"/>
      <c r="F148" s="1474"/>
      <c r="G148" s="1474"/>
      <c r="H148" s="262"/>
      <c r="I148" s="262"/>
      <c r="J148" s="262"/>
      <c r="K148" s="262"/>
      <c r="L148" s="262"/>
      <c r="M148" s="262"/>
      <c r="N148" s="262"/>
      <c r="O148" s="412"/>
      <c r="P148" s="668"/>
      <c r="Q148" s="668"/>
      <c r="R148" s="708"/>
      <c r="S148" s="787" t="s">
        <v>2599</v>
      </c>
      <c r="T148" s="788"/>
      <c r="U148" s="789">
        <f t="shared" si="245"/>
        <v>412</v>
      </c>
      <c r="V148" s="170">
        <f>INDEX('DEFAULT DATA'!$KY$9:$LG$41,START!$C$3,9)</f>
        <v>370</v>
      </c>
      <c r="W148" s="170">
        <f>INDEX('DEFAULT DATA'!$KP$9:$KX$41,START!$C$3,9)</f>
        <v>580</v>
      </c>
      <c r="X148" s="402">
        <f>INDEX('DEFAULT DATA'!$KG$9:$KO$41,START!$C$3,9)</f>
        <v>0</v>
      </c>
      <c r="Y148" s="402">
        <f>INDEX('DEFAULT DATA'!$KG$9:$KO$41,START!$C$3,9)</f>
        <v>0</v>
      </c>
      <c r="Z148" s="402">
        <f>INDEX('DEFAULT DATA'!$KG$9:$KO$41,START!$C$3,9)</f>
        <v>0</v>
      </c>
      <c r="AA148" s="402">
        <f>INDEX('DEFAULT DATA'!$KG$9:$KO$41,START!$C$3,9)</f>
        <v>0</v>
      </c>
      <c r="AB148" s="402">
        <f>INDEX('DEFAULT DATA'!$KG$9:$KO$41,START!$C$3,9)</f>
        <v>0</v>
      </c>
      <c r="AC148" s="402">
        <f>INDEX('DEFAULT DATA'!$KG$9:$KO$41,START!$C$3,9)</f>
        <v>0</v>
      </c>
      <c r="AD148" s="402">
        <f>INDEX('DEFAULT DATA'!$KG$9:$KO$41,START!$C$3,9)</f>
        <v>0</v>
      </c>
      <c r="AE148" s="402">
        <f>INDEX('DEFAULT DATA'!$KG$9:$KO$41,START!$C$3,9)</f>
        <v>0</v>
      </c>
      <c r="AF148" s="402">
        <f>INDEX('DEFAULT DATA'!$KG$9:$KO$41,START!$C$3,9)</f>
        <v>0</v>
      </c>
      <c r="AG148" s="402">
        <f>INDEX('DEFAULT DATA'!$KG$9:$KO$41,START!$C$3,9)</f>
        <v>0</v>
      </c>
      <c r="AH148" s="402">
        <f>INDEX('DEFAULT DATA'!$KG$9:$KO$41,START!$C$3,9)</f>
        <v>0</v>
      </c>
      <c r="AI148" s="402">
        <f>INDEX('DEFAULT DATA'!$KG$9:$KO$41,START!$C$3,9)</f>
        <v>0</v>
      </c>
      <c r="AJ148" s="402">
        <f>INDEX('DEFAULT DATA'!$KG$9:$KO$41,START!$C$3,9)</f>
        <v>0</v>
      </c>
      <c r="AK148" s="402">
        <f>INDEX('DEFAULT DATA'!$KG$9:$KO$41,START!$C$3,9)</f>
        <v>0</v>
      </c>
      <c r="AL148" s="402">
        <f>INDEX('DEFAULT DATA'!$KG$9:$KO$41,START!$C$3,9)</f>
        <v>0</v>
      </c>
      <c r="AM148" s="402">
        <f>INDEX('DEFAULT DATA'!$KG$9:$KO$41,START!$C$3,9)</f>
        <v>0</v>
      </c>
      <c r="AN148" s="402">
        <f>INDEX('DEFAULT DATA'!$KG$9:$KO$41,START!$C$3,9)</f>
        <v>0</v>
      </c>
      <c r="AO148" s="402">
        <f>INDEX('DEFAULT DATA'!$KG$9:$KO$41,START!$C$3,9)</f>
        <v>0</v>
      </c>
      <c r="AP148" s="402">
        <f>INDEX('DEFAULT DATA'!$KG$9:$KO$41,START!$C$3,9)</f>
        <v>0</v>
      </c>
      <c r="AQ148" s="402">
        <f>INDEX('DEFAULT DATA'!$KG$9:$KO$41,START!$C$3,9)</f>
        <v>0</v>
      </c>
      <c r="AR148" s="402">
        <f>INDEX('DEFAULT DATA'!$KG$9:$KO$41,START!$C$3,9)</f>
        <v>0</v>
      </c>
      <c r="AS148" s="402">
        <f>INDEX('DEFAULT DATA'!$KG$9:$KO$41,START!$C$3,9)</f>
        <v>0</v>
      </c>
      <c r="AT148" s="402">
        <f>INDEX('DEFAULT DATA'!$KG$9:$KO$41,START!$C$3,9)</f>
        <v>0</v>
      </c>
      <c r="AU148" s="402">
        <f>INDEX('DEFAULT DATA'!$KG$9:$KO$41,START!$C$3,9)</f>
        <v>0</v>
      </c>
      <c r="AV148" s="402">
        <f>INDEX('DEFAULT DATA'!$KG$9:$KO$41,START!$C$3,9)</f>
        <v>0</v>
      </c>
      <c r="AW148" s="402">
        <f>INDEX('DEFAULT DATA'!$KG$9:$KO$41,START!$C$3,9)</f>
        <v>0</v>
      </c>
      <c r="AX148" s="402">
        <f>INDEX('DEFAULT DATA'!$KG$9:$KO$41,START!$C$3,9)</f>
        <v>0</v>
      </c>
      <c r="AY148" s="402">
        <f>INDEX('DEFAULT DATA'!$KG$9:$KO$41,START!$C$3,9)</f>
        <v>0</v>
      </c>
      <c r="AZ148" s="402">
        <f>INDEX('DEFAULT DATA'!$KG$9:$KO$41,START!$C$3,9)</f>
        <v>0</v>
      </c>
      <c r="BA148" s="564">
        <f>INDEX('DEFAULT DATA'!$KG$9:$KO$41,START!$C$3,9)</f>
        <v>0</v>
      </c>
    </row>
    <row r="149" spans="1:54" ht="20.100000000000001" customHeight="1">
      <c r="A149" s="15"/>
      <c r="B149" s="112" t="s">
        <v>120</v>
      </c>
      <c r="C149" s="388"/>
      <c r="D149" s="388"/>
      <c r="E149" s="388"/>
      <c r="F149" s="420">
        <v>100</v>
      </c>
      <c r="G149" s="420">
        <v>0</v>
      </c>
      <c r="H149" s="668"/>
      <c r="I149" s="421"/>
      <c r="J149" s="421"/>
      <c r="K149" s="421"/>
      <c r="L149" s="421"/>
      <c r="M149" s="421"/>
      <c r="N149" s="421"/>
      <c r="O149" s="434"/>
      <c r="P149" s="421"/>
      <c r="Q149" s="421"/>
      <c r="R149" s="708"/>
      <c r="S149" s="919" t="s">
        <v>2045</v>
      </c>
      <c r="T149" s="890" t="s">
        <v>116</v>
      </c>
      <c r="U149" s="965"/>
      <c r="V149" s="965"/>
      <c r="W149" s="965"/>
      <c r="X149" s="966">
        <f>(X140/100*$U$140)+(X141/100*$U$141)+(X142/100*$U$142)+(X143/100*$U$143)+(X144/100*$U$144*X5)+(X145/100*$U$145)+(X146/100*$U$146)+(X147/100*$U$147)+(X148/100*$U$148)</f>
        <v>411.93592060818213</v>
      </c>
      <c r="Y149" s="966">
        <f t="shared" ref="Y149:BA149" si="247">(Y140/100*$U$140)+(Y141/100*$U$141)+(Y142/100*$U$142)+(Y143/100*$U$143)+(Y144/100*$U$144*Y5)+(Y145/100*$U$145)+(Y146/100*$U$146)+(Y147/100*$U$147)+(Y148/100*$U$148)</f>
        <v>411.93592060818219</v>
      </c>
      <c r="Z149" s="966">
        <f t="shared" si="247"/>
        <v>411.93592060818219</v>
      </c>
      <c r="AA149" s="966">
        <f t="shared" si="247"/>
        <v>411.93592060818219</v>
      </c>
      <c r="AB149" s="966">
        <f t="shared" si="247"/>
        <v>411.93592060818219</v>
      </c>
      <c r="AC149" s="966">
        <f t="shared" si="247"/>
        <v>411.93592060818219</v>
      </c>
      <c r="AD149" s="966">
        <f t="shared" si="247"/>
        <v>411.93592060818219</v>
      </c>
      <c r="AE149" s="966">
        <f t="shared" si="247"/>
        <v>411.93592060818219</v>
      </c>
      <c r="AF149" s="966">
        <f t="shared" si="247"/>
        <v>411.93592060818219</v>
      </c>
      <c r="AG149" s="966">
        <f t="shared" si="247"/>
        <v>411.93592060818219</v>
      </c>
      <c r="AH149" s="966">
        <f t="shared" si="247"/>
        <v>411.93592060818219</v>
      </c>
      <c r="AI149" s="966">
        <f t="shared" si="247"/>
        <v>411.93592060818219</v>
      </c>
      <c r="AJ149" s="966">
        <f t="shared" si="247"/>
        <v>411.93592060818219</v>
      </c>
      <c r="AK149" s="966">
        <f t="shared" si="247"/>
        <v>411.93592060818219</v>
      </c>
      <c r="AL149" s="966">
        <f t="shared" si="247"/>
        <v>411.93592060818219</v>
      </c>
      <c r="AM149" s="966">
        <f t="shared" si="247"/>
        <v>411.93592060818219</v>
      </c>
      <c r="AN149" s="966">
        <f t="shared" si="247"/>
        <v>411.93592060818219</v>
      </c>
      <c r="AO149" s="966">
        <f t="shared" si="247"/>
        <v>411.93592060818219</v>
      </c>
      <c r="AP149" s="966">
        <f t="shared" si="247"/>
        <v>411.93592060818219</v>
      </c>
      <c r="AQ149" s="966">
        <f t="shared" si="247"/>
        <v>411.93592060818219</v>
      </c>
      <c r="AR149" s="966">
        <f t="shared" si="247"/>
        <v>411.93592060818219</v>
      </c>
      <c r="AS149" s="966">
        <f t="shared" si="247"/>
        <v>411.93592060818219</v>
      </c>
      <c r="AT149" s="966">
        <f t="shared" si="247"/>
        <v>411.93592060818219</v>
      </c>
      <c r="AU149" s="966">
        <f t="shared" si="247"/>
        <v>411.93592060818219</v>
      </c>
      <c r="AV149" s="966">
        <f t="shared" si="247"/>
        <v>411.93592060818219</v>
      </c>
      <c r="AW149" s="966">
        <f t="shared" si="247"/>
        <v>411.93592060818219</v>
      </c>
      <c r="AX149" s="966">
        <f t="shared" si="247"/>
        <v>411.93592060818219</v>
      </c>
      <c r="AY149" s="966">
        <f t="shared" si="247"/>
        <v>411.93592060818219</v>
      </c>
      <c r="AZ149" s="966">
        <f t="shared" si="247"/>
        <v>411.93592060818219</v>
      </c>
      <c r="BA149" s="967">
        <f t="shared" si="247"/>
        <v>411.93592060818219</v>
      </c>
    </row>
    <row r="150" spans="1:54" ht="20.100000000000001" customHeight="1">
      <c r="A150" s="15"/>
      <c r="B150" s="112" t="s">
        <v>117</v>
      </c>
      <c r="C150" s="388"/>
      <c r="D150" s="388"/>
      <c r="E150" s="388"/>
      <c r="F150" s="859" t="s">
        <v>105</v>
      </c>
      <c r="G150" s="859" t="s">
        <v>106</v>
      </c>
      <c r="H150" s="668"/>
      <c r="I150" s="421"/>
      <c r="J150" s="421"/>
      <c r="K150" s="421"/>
      <c r="L150" s="421"/>
      <c r="M150" s="421"/>
      <c r="N150" s="421"/>
      <c r="O150" s="434"/>
      <c r="P150" s="421"/>
      <c r="Q150" s="421"/>
      <c r="R150" s="708"/>
      <c r="S150" s="101" t="s">
        <v>2600</v>
      </c>
      <c r="T150" s="383" t="s">
        <v>116</v>
      </c>
      <c r="U150" s="779"/>
      <c r="V150" s="393"/>
      <c r="W150" s="393"/>
      <c r="X150" s="123">
        <f>(X140/100*$V$140)+(X141/100*$V$141)+(X142/100*$V$142)+(X143/100*$V$143)+(X144/100*$V$144*X5)+(X145/100*$V$145)+(X146/100*$V$146)+(X147/100*$V$147)+(X148/100*$V$148)</f>
        <v>369.94245297336749</v>
      </c>
      <c r="Y150" s="123">
        <f t="shared" ref="Y150:BA150" si="248">(Y140/100*$V$140)+(Y141/100*$V$141)+(Y142/100*$V$142)+(Y143/100*$V$143)+(Y144/100*$V$144*Y5)+(Y145/100*$V$145)+(Y146/100*$V$146)+(Y147/100*$V$147)+(Y148/100*$V$148)</f>
        <v>369.94245297336749</v>
      </c>
      <c r="Z150" s="123">
        <f t="shared" si="248"/>
        <v>369.94245297336749</v>
      </c>
      <c r="AA150" s="123">
        <f t="shared" si="248"/>
        <v>369.94245297336749</v>
      </c>
      <c r="AB150" s="123">
        <f t="shared" si="248"/>
        <v>369.94245297336749</v>
      </c>
      <c r="AC150" s="123">
        <f t="shared" si="248"/>
        <v>369.94245297336749</v>
      </c>
      <c r="AD150" s="123">
        <f t="shared" si="248"/>
        <v>369.94245297336749</v>
      </c>
      <c r="AE150" s="123">
        <f t="shared" si="248"/>
        <v>369.94245297336749</v>
      </c>
      <c r="AF150" s="123">
        <f t="shared" si="248"/>
        <v>369.94245297336749</v>
      </c>
      <c r="AG150" s="123">
        <f t="shared" si="248"/>
        <v>369.94245297336749</v>
      </c>
      <c r="AH150" s="123">
        <f t="shared" si="248"/>
        <v>369.94245297336749</v>
      </c>
      <c r="AI150" s="123">
        <f t="shared" si="248"/>
        <v>369.94245297336749</v>
      </c>
      <c r="AJ150" s="123">
        <f t="shared" si="248"/>
        <v>369.94245297336749</v>
      </c>
      <c r="AK150" s="123">
        <f t="shared" si="248"/>
        <v>369.94245297336749</v>
      </c>
      <c r="AL150" s="123">
        <f t="shared" si="248"/>
        <v>369.94245297336749</v>
      </c>
      <c r="AM150" s="123">
        <f t="shared" si="248"/>
        <v>369.94245297336749</v>
      </c>
      <c r="AN150" s="123">
        <f t="shared" si="248"/>
        <v>369.94245297336749</v>
      </c>
      <c r="AO150" s="123">
        <f t="shared" si="248"/>
        <v>369.94245297336749</v>
      </c>
      <c r="AP150" s="123">
        <f t="shared" si="248"/>
        <v>369.94245297336749</v>
      </c>
      <c r="AQ150" s="123">
        <f t="shared" si="248"/>
        <v>369.94245297336749</v>
      </c>
      <c r="AR150" s="123">
        <f t="shared" si="248"/>
        <v>369.94245297336749</v>
      </c>
      <c r="AS150" s="123">
        <f t="shared" si="248"/>
        <v>369.94245297336749</v>
      </c>
      <c r="AT150" s="123">
        <f t="shared" si="248"/>
        <v>369.94245297336749</v>
      </c>
      <c r="AU150" s="123">
        <f t="shared" si="248"/>
        <v>369.94245297336749</v>
      </c>
      <c r="AV150" s="123">
        <f t="shared" si="248"/>
        <v>369.94245297336749</v>
      </c>
      <c r="AW150" s="123">
        <f t="shared" si="248"/>
        <v>369.94245297336749</v>
      </c>
      <c r="AX150" s="123">
        <f t="shared" si="248"/>
        <v>369.94245297336749</v>
      </c>
      <c r="AY150" s="123">
        <f t="shared" si="248"/>
        <v>369.94245297336749</v>
      </c>
      <c r="AZ150" s="123">
        <f t="shared" si="248"/>
        <v>369.94245297336749</v>
      </c>
      <c r="BA150" s="159">
        <f t="shared" si="248"/>
        <v>369.94245297336749</v>
      </c>
    </row>
    <row r="151" spans="1:54" ht="20.100000000000001" customHeight="1" thickBot="1">
      <c r="A151" s="15"/>
      <c r="B151" s="668"/>
      <c r="C151" s="668"/>
      <c r="D151" s="668"/>
      <c r="E151" s="668"/>
      <c r="F151" s="668">
        <v>14</v>
      </c>
      <c r="G151" s="668">
        <v>19</v>
      </c>
      <c r="H151" s="668"/>
      <c r="I151" s="421"/>
      <c r="J151" s="421"/>
      <c r="K151" s="421"/>
      <c r="L151" s="421"/>
      <c r="M151" s="421"/>
      <c r="N151" s="421"/>
      <c r="O151" s="434"/>
      <c r="P151" s="421"/>
      <c r="Q151" s="421"/>
      <c r="R151" s="708"/>
      <c r="S151" s="301" t="s">
        <v>2601</v>
      </c>
      <c r="T151" s="448" t="s">
        <v>116</v>
      </c>
      <c r="U151" s="780"/>
      <c r="V151" s="549"/>
      <c r="W151" s="549"/>
      <c r="X151" s="160">
        <f>(X140/100*$W$140)+(X141/100*$W$141)+(X142/100*$W$142)+(X143/100*$W$143)+(X144/100*$W$144*X5)+(X145/100*$W$145)+(X146/100*$W$146)+(X147/100*$W$147)+(X148/100*$W$148)</f>
        <v>579.90979114744096</v>
      </c>
      <c r="Y151" s="160">
        <f t="shared" ref="Y151:BA151" si="249">(Y140/100*$W$140)+(Y141/100*$W$141)+(Y142/100*$W$142)+(Y143/100*$W$143)+(Y144/100*$W$144*Y5)+(Y145/100*$W$145)+(Y146/100*$W$146)+(Y147/100*$W$147)+(Y148/100*$W$148)</f>
        <v>579.90979114744096</v>
      </c>
      <c r="Z151" s="160">
        <f t="shared" si="249"/>
        <v>579.90979114744096</v>
      </c>
      <c r="AA151" s="160">
        <f t="shared" si="249"/>
        <v>579.90979114744096</v>
      </c>
      <c r="AB151" s="160">
        <f t="shared" si="249"/>
        <v>579.90979114744096</v>
      </c>
      <c r="AC151" s="160">
        <f t="shared" si="249"/>
        <v>579.90979114744096</v>
      </c>
      <c r="AD151" s="160">
        <f t="shared" si="249"/>
        <v>579.90979114744096</v>
      </c>
      <c r="AE151" s="160">
        <f t="shared" si="249"/>
        <v>579.90979114744096</v>
      </c>
      <c r="AF151" s="160">
        <f t="shared" si="249"/>
        <v>579.90979114744096</v>
      </c>
      <c r="AG151" s="160">
        <f t="shared" si="249"/>
        <v>579.90979114744096</v>
      </c>
      <c r="AH151" s="160">
        <f t="shared" si="249"/>
        <v>579.90979114744096</v>
      </c>
      <c r="AI151" s="160">
        <f t="shared" si="249"/>
        <v>579.90979114744096</v>
      </c>
      <c r="AJ151" s="160">
        <f t="shared" si="249"/>
        <v>579.90979114744096</v>
      </c>
      <c r="AK151" s="160">
        <f t="shared" si="249"/>
        <v>579.90979114744096</v>
      </c>
      <c r="AL151" s="160">
        <f t="shared" si="249"/>
        <v>579.90979114744096</v>
      </c>
      <c r="AM151" s="160">
        <f t="shared" si="249"/>
        <v>579.90979114744096</v>
      </c>
      <c r="AN151" s="160">
        <f t="shared" si="249"/>
        <v>579.90979114744096</v>
      </c>
      <c r="AO151" s="160">
        <f t="shared" si="249"/>
        <v>579.90979114744096</v>
      </c>
      <c r="AP151" s="160">
        <f t="shared" si="249"/>
        <v>579.90979114744096</v>
      </c>
      <c r="AQ151" s="160">
        <f t="shared" si="249"/>
        <v>579.90979114744096</v>
      </c>
      <c r="AR151" s="160">
        <f t="shared" si="249"/>
        <v>579.90979114744096</v>
      </c>
      <c r="AS151" s="160">
        <f t="shared" si="249"/>
        <v>579.90979114744096</v>
      </c>
      <c r="AT151" s="160">
        <f t="shared" si="249"/>
        <v>579.90979114744096</v>
      </c>
      <c r="AU151" s="160">
        <f t="shared" si="249"/>
        <v>579.90979114744096</v>
      </c>
      <c r="AV151" s="160">
        <f t="shared" si="249"/>
        <v>579.90979114744096</v>
      </c>
      <c r="AW151" s="160">
        <f t="shared" si="249"/>
        <v>579.90979114744096</v>
      </c>
      <c r="AX151" s="160">
        <f t="shared" si="249"/>
        <v>579.90979114744096</v>
      </c>
      <c r="AY151" s="160">
        <f t="shared" si="249"/>
        <v>579.90979114744096</v>
      </c>
      <c r="AZ151" s="160">
        <f t="shared" si="249"/>
        <v>579.90979114744096</v>
      </c>
      <c r="BA151" s="161">
        <f t="shared" si="249"/>
        <v>579.90979114744096</v>
      </c>
    </row>
    <row r="152" spans="1:54" ht="20.100000000000001" customHeight="1" thickBot="1">
      <c r="A152" s="15"/>
      <c r="B152" s="422" t="str">
        <f>IF(G151&lt;F151,"! end year has to be after start year!","")</f>
        <v/>
      </c>
      <c r="C152" s="422"/>
      <c r="D152" s="422"/>
      <c r="E152" s="422"/>
      <c r="F152" s="422"/>
      <c r="G152" s="422"/>
      <c r="H152" s="668"/>
      <c r="I152" s="668"/>
      <c r="J152" s="668"/>
      <c r="K152" s="668"/>
      <c r="L152" s="668"/>
      <c r="M152" s="668"/>
      <c r="N152" s="668"/>
      <c r="O152" s="291"/>
      <c r="P152" s="668"/>
      <c r="Q152" s="668"/>
      <c r="R152" s="708"/>
      <c r="S152" s="58"/>
      <c r="T152" s="58"/>
      <c r="U152" s="58"/>
      <c r="V152" s="58"/>
      <c r="W152" s="58"/>
      <c r="X152" s="791"/>
      <c r="Y152" s="58"/>
      <c r="Z152" s="58"/>
      <c r="AA152" s="58"/>
      <c r="AB152" s="58"/>
      <c r="AC152" s="58"/>
      <c r="AD152" s="58"/>
      <c r="AE152" s="58"/>
      <c r="AF152" s="58"/>
      <c r="AG152" s="58"/>
      <c r="AH152" s="58"/>
      <c r="AI152" s="58"/>
      <c r="AJ152" s="58"/>
      <c r="AK152" s="58"/>
      <c r="AL152" s="58"/>
      <c r="AM152" s="58"/>
      <c r="AN152" s="58"/>
      <c r="AO152" s="58"/>
      <c r="AP152" s="58"/>
      <c r="AQ152" s="58"/>
      <c r="AR152" s="58"/>
      <c r="AS152" s="58"/>
      <c r="AT152" s="58"/>
      <c r="AU152" s="58"/>
      <c r="AV152" s="58"/>
      <c r="AW152" s="58"/>
      <c r="AX152" s="58"/>
      <c r="AY152" s="58"/>
      <c r="AZ152" s="58"/>
      <c r="BA152" s="58"/>
    </row>
    <row r="153" spans="1:54" ht="20.100000000000001" customHeight="1">
      <c r="A153" s="15"/>
      <c r="B153" s="422" t="str">
        <f>IF(F151&lt;START!$C$2,"Policy period starts before the starting year for the study","")</f>
        <v/>
      </c>
      <c r="C153" s="422"/>
      <c r="D153" s="422"/>
      <c r="E153" s="422"/>
      <c r="F153" s="422"/>
      <c r="G153" s="422"/>
      <c r="H153" s="668"/>
      <c r="I153" s="668"/>
      <c r="J153" s="668"/>
      <c r="K153" s="668"/>
      <c r="L153" s="668"/>
      <c r="M153" s="668"/>
      <c r="N153" s="668"/>
      <c r="O153" s="291"/>
      <c r="P153" s="668"/>
      <c r="Q153" s="668"/>
      <c r="R153" s="708"/>
      <c r="S153" s="299" t="s">
        <v>2602</v>
      </c>
      <c r="T153" s="138"/>
      <c r="U153" s="762" t="s">
        <v>631</v>
      </c>
      <c r="V153" s="762"/>
      <c r="W153" s="762" t="s">
        <v>589</v>
      </c>
      <c r="X153" s="138"/>
      <c r="Y153" s="138"/>
      <c r="Z153" s="138"/>
      <c r="AA153" s="138"/>
      <c r="AB153" s="138"/>
      <c r="AC153" s="138"/>
      <c r="AD153" s="138"/>
      <c r="AE153" s="138"/>
      <c r="AF153" s="138"/>
      <c r="AG153" s="138"/>
      <c r="AH153" s="138"/>
      <c r="AI153" s="138"/>
      <c r="AJ153" s="138"/>
      <c r="AK153" s="138"/>
      <c r="AL153" s="138"/>
      <c r="AM153" s="138"/>
      <c r="AN153" s="138"/>
      <c r="AO153" s="138"/>
      <c r="AP153" s="138"/>
      <c r="AQ153" s="138"/>
      <c r="AR153" s="138"/>
      <c r="AS153" s="138"/>
      <c r="AT153" s="138"/>
      <c r="AU153" s="138"/>
      <c r="AV153" s="138"/>
      <c r="AW153" s="138"/>
      <c r="AX153" s="138"/>
      <c r="AY153" s="138"/>
      <c r="AZ153" s="138"/>
      <c r="BA153" s="556"/>
    </row>
    <row r="154" spans="1:54" ht="20.100000000000001" customHeight="1">
      <c r="A154" s="15"/>
      <c r="B154" s="422"/>
      <c r="C154" s="422"/>
      <c r="D154" s="422"/>
      <c r="E154" s="422"/>
      <c r="F154" s="422"/>
      <c r="G154" s="422"/>
      <c r="H154" s="668"/>
      <c r="I154" s="668"/>
      <c r="J154" s="668"/>
      <c r="K154" s="668"/>
      <c r="L154" s="668"/>
      <c r="M154" s="668"/>
      <c r="N154" s="668"/>
      <c r="O154" s="291"/>
      <c r="P154" s="668"/>
      <c r="Q154" s="668"/>
      <c r="R154" s="708"/>
      <c r="S154" s="101" t="s">
        <v>586</v>
      </c>
      <c r="T154" s="918" t="s">
        <v>2655</v>
      </c>
      <c r="U154" s="445" t="s">
        <v>581</v>
      </c>
      <c r="V154" s="445" t="s">
        <v>582</v>
      </c>
      <c r="W154" s="445" t="s">
        <v>588</v>
      </c>
      <c r="X154" s="115">
        <v>2021</v>
      </c>
      <c r="Y154" s="115">
        <f>X154+1</f>
        <v>2022</v>
      </c>
      <c r="Z154" s="115">
        <f t="shared" ref="Z154" si="250">Y154+1</f>
        <v>2023</v>
      </c>
      <c r="AA154" s="115">
        <f t="shared" ref="AA154" si="251">Z154+1</f>
        <v>2024</v>
      </c>
      <c r="AB154" s="115">
        <f t="shared" ref="AB154" si="252">AA154+1</f>
        <v>2025</v>
      </c>
      <c r="AC154" s="115">
        <f t="shared" ref="AC154" si="253">AB154+1</f>
        <v>2026</v>
      </c>
      <c r="AD154" s="115">
        <f t="shared" ref="AD154" si="254">AC154+1</f>
        <v>2027</v>
      </c>
      <c r="AE154" s="115">
        <f t="shared" ref="AE154" si="255">AD154+1</f>
        <v>2028</v>
      </c>
      <c r="AF154" s="115">
        <f t="shared" ref="AF154" si="256">AE154+1</f>
        <v>2029</v>
      </c>
      <c r="AG154" s="115">
        <f t="shared" ref="AG154" si="257">AF154+1</f>
        <v>2030</v>
      </c>
      <c r="AH154" s="115">
        <f t="shared" ref="AH154" si="258">AG154+1</f>
        <v>2031</v>
      </c>
      <c r="AI154" s="115">
        <f t="shared" ref="AI154" si="259">AH154+1</f>
        <v>2032</v>
      </c>
      <c r="AJ154" s="115">
        <f t="shared" ref="AJ154" si="260">AI154+1</f>
        <v>2033</v>
      </c>
      <c r="AK154" s="115">
        <f t="shared" ref="AK154" si="261">AJ154+1</f>
        <v>2034</v>
      </c>
      <c r="AL154" s="115">
        <f t="shared" ref="AL154" si="262">AK154+1</f>
        <v>2035</v>
      </c>
      <c r="AM154" s="115">
        <f t="shared" ref="AM154" si="263">AL154+1</f>
        <v>2036</v>
      </c>
      <c r="AN154" s="115">
        <f t="shared" ref="AN154" si="264">AM154+1</f>
        <v>2037</v>
      </c>
      <c r="AO154" s="115">
        <f t="shared" ref="AO154" si="265">AN154+1</f>
        <v>2038</v>
      </c>
      <c r="AP154" s="115">
        <f t="shared" ref="AP154" si="266">AO154+1</f>
        <v>2039</v>
      </c>
      <c r="AQ154" s="115">
        <f t="shared" ref="AQ154" si="267">AP154+1</f>
        <v>2040</v>
      </c>
      <c r="AR154" s="115">
        <f t="shared" ref="AR154" si="268">AQ154+1</f>
        <v>2041</v>
      </c>
      <c r="AS154" s="115">
        <f t="shared" ref="AS154" si="269">AR154+1</f>
        <v>2042</v>
      </c>
      <c r="AT154" s="115">
        <f t="shared" ref="AT154" si="270">AS154+1</f>
        <v>2043</v>
      </c>
      <c r="AU154" s="115">
        <f t="shared" ref="AU154" si="271">AT154+1</f>
        <v>2044</v>
      </c>
      <c r="AV154" s="115">
        <f t="shared" ref="AV154" si="272">AU154+1</f>
        <v>2045</v>
      </c>
      <c r="AW154" s="115">
        <f t="shared" ref="AW154" si="273">AV154+1</f>
        <v>2046</v>
      </c>
      <c r="AX154" s="115">
        <f t="shared" ref="AX154" si="274">AW154+1</f>
        <v>2047</v>
      </c>
      <c r="AY154" s="115">
        <f t="shared" ref="AY154" si="275">AX154+1</f>
        <v>2048</v>
      </c>
      <c r="AZ154" s="115">
        <f t="shared" ref="AZ154" si="276">AY154+1</f>
        <v>2049</v>
      </c>
      <c r="BA154" s="323">
        <f t="shared" ref="BA154" si="277">AZ154+1</f>
        <v>2050</v>
      </c>
    </row>
    <row r="155" spans="1:54" ht="20.100000000000001" customHeight="1">
      <c r="A155" s="15"/>
      <c r="B155" s="668"/>
      <c r="C155" s="668"/>
      <c r="D155" s="668"/>
      <c r="E155" s="668"/>
      <c r="F155" s="668"/>
      <c r="G155" s="668"/>
      <c r="H155" s="668"/>
      <c r="I155" s="668"/>
      <c r="J155" s="668"/>
      <c r="K155" s="668"/>
      <c r="L155" s="668"/>
      <c r="M155" s="668"/>
      <c r="N155" s="668"/>
      <c r="O155" s="291"/>
      <c r="P155" s="668"/>
      <c r="Q155" s="668"/>
      <c r="R155" s="708"/>
      <c r="S155" s="101" t="s">
        <v>60</v>
      </c>
      <c r="T155" s="383" t="s">
        <v>2055</v>
      </c>
      <c r="U155" s="389">
        <f>INDEX('DEFAULT DATA'!$LH$9:$LL$41,START!$C$3,1)</f>
        <v>0</v>
      </c>
      <c r="V155" s="389">
        <f>100-U155</f>
        <v>100</v>
      </c>
      <c r="W155" s="133">
        <f>G8</f>
        <v>0</v>
      </c>
      <c r="X155" s="123">
        <f>($U155/100*X$150)+($V155/100*X$151)</f>
        <v>579.90979114744096</v>
      </c>
      <c r="Y155" s="123">
        <f>($U155/100*Y$150)+($V155/100*Y$151)</f>
        <v>579.90979114744096</v>
      </c>
      <c r="Z155" s="123">
        <f t="shared" ref="Z155:BA159" si="278">($U155/100*Z$150)+($V155/100*Z$151)</f>
        <v>579.90979114744096</v>
      </c>
      <c r="AA155" s="123">
        <f t="shared" si="278"/>
        <v>579.90979114744096</v>
      </c>
      <c r="AB155" s="123">
        <f t="shared" si="278"/>
        <v>579.90979114744096</v>
      </c>
      <c r="AC155" s="123">
        <f t="shared" si="278"/>
        <v>579.90979114744096</v>
      </c>
      <c r="AD155" s="123">
        <f t="shared" si="278"/>
        <v>579.90979114744096</v>
      </c>
      <c r="AE155" s="123">
        <f t="shared" si="278"/>
        <v>579.90979114744096</v>
      </c>
      <c r="AF155" s="123">
        <f t="shared" si="278"/>
        <v>579.90979114744096</v>
      </c>
      <c r="AG155" s="123">
        <f t="shared" si="278"/>
        <v>579.90979114744096</v>
      </c>
      <c r="AH155" s="123">
        <f t="shared" si="278"/>
        <v>579.90979114744096</v>
      </c>
      <c r="AI155" s="123">
        <f t="shared" si="278"/>
        <v>579.90979114744096</v>
      </c>
      <c r="AJ155" s="123">
        <f t="shared" si="278"/>
        <v>579.90979114744096</v>
      </c>
      <c r="AK155" s="123">
        <f t="shared" si="278"/>
        <v>579.90979114744096</v>
      </c>
      <c r="AL155" s="123">
        <f t="shared" si="278"/>
        <v>579.90979114744096</v>
      </c>
      <c r="AM155" s="123">
        <f t="shared" si="278"/>
        <v>579.90979114744096</v>
      </c>
      <c r="AN155" s="123">
        <f t="shared" si="278"/>
        <v>579.90979114744096</v>
      </c>
      <c r="AO155" s="123">
        <f t="shared" si="278"/>
        <v>579.90979114744096</v>
      </c>
      <c r="AP155" s="123">
        <f t="shared" si="278"/>
        <v>579.90979114744096</v>
      </c>
      <c r="AQ155" s="123">
        <f t="shared" si="278"/>
        <v>579.90979114744096</v>
      </c>
      <c r="AR155" s="123">
        <f t="shared" si="278"/>
        <v>579.90979114744096</v>
      </c>
      <c r="AS155" s="123">
        <f t="shared" si="278"/>
        <v>579.90979114744096</v>
      </c>
      <c r="AT155" s="123">
        <f t="shared" si="278"/>
        <v>579.90979114744096</v>
      </c>
      <c r="AU155" s="123">
        <f t="shared" si="278"/>
        <v>579.90979114744096</v>
      </c>
      <c r="AV155" s="123">
        <f t="shared" si="278"/>
        <v>579.90979114744096</v>
      </c>
      <c r="AW155" s="123">
        <f t="shared" si="278"/>
        <v>579.90979114744096</v>
      </c>
      <c r="AX155" s="123">
        <f t="shared" si="278"/>
        <v>579.90979114744096</v>
      </c>
      <c r="AY155" s="123">
        <f t="shared" si="278"/>
        <v>579.90979114744096</v>
      </c>
      <c r="AZ155" s="123">
        <f t="shared" si="278"/>
        <v>579.90979114744096</v>
      </c>
      <c r="BA155" s="159">
        <f t="shared" si="278"/>
        <v>579.90979114744096</v>
      </c>
    </row>
    <row r="156" spans="1:54" ht="20.100000000000001" customHeight="1">
      <c r="A156" s="15"/>
      <c r="B156" s="422"/>
      <c r="C156" s="422"/>
      <c r="D156" s="422"/>
      <c r="E156" s="422"/>
      <c r="F156" s="1472" t="s">
        <v>135</v>
      </c>
      <c r="G156" s="422"/>
      <c r="H156" s="668"/>
      <c r="I156" s="668"/>
      <c r="J156" s="668"/>
      <c r="K156" s="668"/>
      <c r="L156" s="668"/>
      <c r="M156" s="668"/>
      <c r="N156" s="668"/>
      <c r="O156" s="291"/>
      <c r="P156" s="668"/>
      <c r="Q156" s="668"/>
      <c r="R156" s="708"/>
      <c r="S156" s="101" t="s">
        <v>61</v>
      </c>
      <c r="T156" s="383" t="s">
        <v>2055</v>
      </c>
      <c r="U156" s="389">
        <f>INDEX('DEFAULT DATA'!$LH$9:$LL$41,START!$C$3,2)</f>
        <v>10</v>
      </c>
      <c r="V156" s="389">
        <f t="shared" ref="V156:V159" si="279">100-U156</f>
        <v>90</v>
      </c>
      <c r="W156" s="133">
        <f t="shared" ref="W156:W159" si="280">G9</f>
        <v>50</v>
      </c>
      <c r="X156" s="123">
        <f t="shared" ref="X156:AM159" si="281">($U156/100*X$150)+($V156/100*X$151)</f>
        <v>558.91305733003367</v>
      </c>
      <c r="Y156" s="123">
        <f t="shared" si="281"/>
        <v>558.91305733003367</v>
      </c>
      <c r="Z156" s="123">
        <f t="shared" si="281"/>
        <v>558.91305733003367</v>
      </c>
      <c r="AA156" s="123">
        <f t="shared" si="281"/>
        <v>558.91305733003367</v>
      </c>
      <c r="AB156" s="123">
        <f t="shared" si="281"/>
        <v>558.91305733003367</v>
      </c>
      <c r="AC156" s="123">
        <f t="shared" si="281"/>
        <v>558.91305733003367</v>
      </c>
      <c r="AD156" s="123">
        <f t="shared" si="281"/>
        <v>558.91305733003367</v>
      </c>
      <c r="AE156" s="123">
        <f t="shared" si="281"/>
        <v>558.91305733003367</v>
      </c>
      <c r="AF156" s="123">
        <f t="shared" si="281"/>
        <v>558.91305733003367</v>
      </c>
      <c r="AG156" s="123">
        <f t="shared" si="281"/>
        <v>558.91305733003367</v>
      </c>
      <c r="AH156" s="123">
        <f t="shared" si="281"/>
        <v>558.91305733003367</v>
      </c>
      <c r="AI156" s="123">
        <f t="shared" si="281"/>
        <v>558.91305733003367</v>
      </c>
      <c r="AJ156" s="123">
        <f t="shared" si="281"/>
        <v>558.91305733003367</v>
      </c>
      <c r="AK156" s="123">
        <f t="shared" si="281"/>
        <v>558.91305733003367</v>
      </c>
      <c r="AL156" s="123">
        <f t="shared" si="281"/>
        <v>558.91305733003367</v>
      </c>
      <c r="AM156" s="123">
        <f t="shared" si="281"/>
        <v>558.91305733003367</v>
      </c>
      <c r="AN156" s="123">
        <f t="shared" si="278"/>
        <v>558.91305733003367</v>
      </c>
      <c r="AO156" s="123">
        <f t="shared" si="278"/>
        <v>558.91305733003367</v>
      </c>
      <c r="AP156" s="123">
        <f t="shared" si="278"/>
        <v>558.91305733003367</v>
      </c>
      <c r="AQ156" s="123">
        <f t="shared" si="278"/>
        <v>558.91305733003367</v>
      </c>
      <c r="AR156" s="123">
        <f t="shared" si="278"/>
        <v>558.91305733003367</v>
      </c>
      <c r="AS156" s="123">
        <f t="shared" si="278"/>
        <v>558.91305733003367</v>
      </c>
      <c r="AT156" s="123">
        <f t="shared" si="278"/>
        <v>558.91305733003367</v>
      </c>
      <c r="AU156" s="123">
        <f t="shared" si="278"/>
        <v>558.91305733003367</v>
      </c>
      <c r="AV156" s="123">
        <f t="shared" si="278"/>
        <v>558.91305733003367</v>
      </c>
      <c r="AW156" s="123">
        <f t="shared" si="278"/>
        <v>558.91305733003367</v>
      </c>
      <c r="AX156" s="123">
        <f t="shared" si="278"/>
        <v>558.91305733003367</v>
      </c>
      <c r="AY156" s="123">
        <f t="shared" si="278"/>
        <v>558.91305733003367</v>
      </c>
      <c r="AZ156" s="123">
        <f t="shared" si="278"/>
        <v>558.91305733003367</v>
      </c>
      <c r="BA156" s="159">
        <f t="shared" si="278"/>
        <v>558.91305733003367</v>
      </c>
    </row>
    <row r="157" spans="1:54" ht="20.100000000000001" customHeight="1">
      <c r="A157" s="752"/>
      <c r="B157" s="414" t="s">
        <v>137</v>
      </c>
      <c r="C157" s="125"/>
      <c r="D157" s="125"/>
      <c r="E157" s="125"/>
      <c r="F157" s="1477"/>
      <c r="G157" s="241"/>
      <c r="H157" s="262"/>
      <c r="I157" s="262"/>
      <c r="J157" s="262"/>
      <c r="K157" s="262"/>
      <c r="L157" s="262"/>
      <c r="M157" s="262"/>
      <c r="N157" s="262"/>
      <c r="O157" s="412"/>
      <c r="P157" s="668"/>
      <c r="Q157" s="668"/>
      <c r="R157" s="708"/>
      <c r="S157" s="101" t="s">
        <v>62</v>
      </c>
      <c r="T157" s="383" t="s">
        <v>2055</v>
      </c>
      <c r="U157" s="389">
        <f>INDEX('DEFAULT DATA'!$LH$9:$LL$41,START!$C$3,3)</f>
        <v>20</v>
      </c>
      <c r="V157" s="389">
        <f t="shared" si="279"/>
        <v>80</v>
      </c>
      <c r="W157" s="133">
        <f t="shared" si="280"/>
        <v>50</v>
      </c>
      <c r="X157" s="123">
        <f t="shared" si="281"/>
        <v>537.91632351262626</v>
      </c>
      <c r="Y157" s="123">
        <f t="shared" si="281"/>
        <v>537.91632351262626</v>
      </c>
      <c r="Z157" s="123">
        <f t="shared" si="278"/>
        <v>537.91632351262626</v>
      </c>
      <c r="AA157" s="123">
        <f t="shared" si="278"/>
        <v>537.91632351262626</v>
      </c>
      <c r="AB157" s="123">
        <f t="shared" si="278"/>
        <v>537.91632351262626</v>
      </c>
      <c r="AC157" s="123">
        <f t="shared" si="278"/>
        <v>537.91632351262626</v>
      </c>
      <c r="AD157" s="123">
        <f t="shared" si="278"/>
        <v>537.91632351262626</v>
      </c>
      <c r="AE157" s="123">
        <f t="shared" si="278"/>
        <v>537.91632351262626</v>
      </c>
      <c r="AF157" s="123">
        <f t="shared" si="278"/>
        <v>537.91632351262626</v>
      </c>
      <c r="AG157" s="123">
        <f t="shared" si="278"/>
        <v>537.91632351262626</v>
      </c>
      <c r="AH157" s="123">
        <f t="shared" si="278"/>
        <v>537.91632351262626</v>
      </c>
      <c r="AI157" s="123">
        <f t="shared" si="278"/>
        <v>537.91632351262626</v>
      </c>
      <c r="AJ157" s="123">
        <f t="shared" si="278"/>
        <v>537.91632351262626</v>
      </c>
      <c r="AK157" s="123">
        <f t="shared" si="278"/>
        <v>537.91632351262626</v>
      </c>
      <c r="AL157" s="123">
        <f t="shared" si="278"/>
        <v>537.91632351262626</v>
      </c>
      <c r="AM157" s="123">
        <f t="shared" si="278"/>
        <v>537.91632351262626</v>
      </c>
      <c r="AN157" s="123">
        <f t="shared" si="278"/>
        <v>537.91632351262626</v>
      </c>
      <c r="AO157" s="123">
        <f t="shared" si="278"/>
        <v>537.91632351262626</v>
      </c>
      <c r="AP157" s="123">
        <f t="shared" si="278"/>
        <v>537.91632351262626</v>
      </c>
      <c r="AQ157" s="123">
        <f t="shared" si="278"/>
        <v>537.91632351262626</v>
      </c>
      <c r="AR157" s="123">
        <f t="shared" si="278"/>
        <v>537.91632351262626</v>
      </c>
      <c r="AS157" s="123">
        <f t="shared" si="278"/>
        <v>537.91632351262626</v>
      </c>
      <c r="AT157" s="123">
        <f t="shared" si="278"/>
        <v>537.91632351262626</v>
      </c>
      <c r="AU157" s="123">
        <f t="shared" si="278"/>
        <v>537.91632351262626</v>
      </c>
      <c r="AV157" s="123">
        <f t="shared" si="278"/>
        <v>537.91632351262626</v>
      </c>
      <c r="AW157" s="123">
        <f t="shared" si="278"/>
        <v>537.91632351262626</v>
      </c>
      <c r="AX157" s="123">
        <f t="shared" si="278"/>
        <v>537.91632351262626</v>
      </c>
      <c r="AY157" s="123">
        <f t="shared" si="278"/>
        <v>537.91632351262626</v>
      </c>
      <c r="AZ157" s="123">
        <f t="shared" si="278"/>
        <v>537.91632351262626</v>
      </c>
      <c r="BA157" s="159">
        <f t="shared" si="278"/>
        <v>537.91632351262626</v>
      </c>
    </row>
    <row r="158" spans="1:54" ht="20.100000000000001" customHeight="1">
      <c r="A158" s="15"/>
      <c r="B158" s="112" t="s">
        <v>136</v>
      </c>
      <c r="C158" s="388"/>
      <c r="D158" s="388"/>
      <c r="E158" s="388"/>
      <c r="F158" s="423">
        <v>0</v>
      </c>
      <c r="G158" s="424"/>
      <c r="H158" s="668"/>
      <c r="I158" s="668"/>
      <c r="J158" s="668"/>
      <c r="K158" s="668"/>
      <c r="L158" s="668"/>
      <c r="M158" s="668"/>
      <c r="N158" s="668"/>
      <c r="O158" s="291"/>
      <c r="P158" s="668"/>
      <c r="Q158" s="668"/>
      <c r="R158" s="708"/>
      <c r="S158" s="101" t="s">
        <v>63</v>
      </c>
      <c r="T158" s="383" t="s">
        <v>2055</v>
      </c>
      <c r="U158" s="389">
        <f>INDEX('DEFAULT DATA'!$LH$9:$LL$41,START!$C$3,4)</f>
        <v>70</v>
      </c>
      <c r="V158" s="389">
        <f t="shared" si="279"/>
        <v>30</v>
      </c>
      <c r="W158" s="133">
        <f t="shared" si="280"/>
        <v>0</v>
      </c>
      <c r="X158" s="123">
        <f t="shared" si="281"/>
        <v>432.93265442558948</v>
      </c>
      <c r="Y158" s="123">
        <f t="shared" si="281"/>
        <v>432.93265442558948</v>
      </c>
      <c r="Z158" s="123">
        <f t="shared" si="278"/>
        <v>432.93265442558948</v>
      </c>
      <c r="AA158" s="123">
        <f t="shared" si="278"/>
        <v>432.93265442558948</v>
      </c>
      <c r="AB158" s="123">
        <f t="shared" si="278"/>
        <v>432.93265442558948</v>
      </c>
      <c r="AC158" s="123">
        <f t="shared" si="278"/>
        <v>432.93265442558948</v>
      </c>
      <c r="AD158" s="123">
        <f t="shared" si="278"/>
        <v>432.93265442558948</v>
      </c>
      <c r="AE158" s="123">
        <f t="shared" si="278"/>
        <v>432.93265442558948</v>
      </c>
      <c r="AF158" s="123">
        <f t="shared" si="278"/>
        <v>432.93265442558948</v>
      </c>
      <c r="AG158" s="123">
        <f t="shared" si="278"/>
        <v>432.93265442558948</v>
      </c>
      <c r="AH158" s="123">
        <f t="shared" si="278"/>
        <v>432.93265442558948</v>
      </c>
      <c r="AI158" s="123">
        <f t="shared" si="278"/>
        <v>432.93265442558948</v>
      </c>
      <c r="AJ158" s="123">
        <f t="shared" si="278"/>
        <v>432.93265442558948</v>
      </c>
      <c r="AK158" s="123">
        <f t="shared" si="278"/>
        <v>432.93265442558948</v>
      </c>
      <c r="AL158" s="123">
        <f t="shared" si="278"/>
        <v>432.93265442558948</v>
      </c>
      <c r="AM158" s="123">
        <f t="shared" si="278"/>
        <v>432.93265442558948</v>
      </c>
      <c r="AN158" s="123">
        <f t="shared" si="278"/>
        <v>432.93265442558948</v>
      </c>
      <c r="AO158" s="123">
        <f t="shared" si="278"/>
        <v>432.93265442558948</v>
      </c>
      <c r="AP158" s="123">
        <f t="shared" si="278"/>
        <v>432.93265442558948</v>
      </c>
      <c r="AQ158" s="123">
        <f t="shared" si="278"/>
        <v>432.93265442558948</v>
      </c>
      <c r="AR158" s="123">
        <f t="shared" si="278"/>
        <v>432.93265442558948</v>
      </c>
      <c r="AS158" s="123">
        <f t="shared" si="278"/>
        <v>432.93265442558948</v>
      </c>
      <c r="AT158" s="123">
        <f t="shared" si="278"/>
        <v>432.93265442558948</v>
      </c>
      <c r="AU158" s="123">
        <f t="shared" si="278"/>
        <v>432.93265442558948</v>
      </c>
      <c r="AV158" s="123">
        <f t="shared" si="278"/>
        <v>432.93265442558948</v>
      </c>
      <c r="AW158" s="123">
        <f t="shared" si="278"/>
        <v>432.93265442558948</v>
      </c>
      <c r="AX158" s="123">
        <f t="shared" si="278"/>
        <v>432.93265442558948</v>
      </c>
      <c r="AY158" s="123">
        <f t="shared" si="278"/>
        <v>432.93265442558948</v>
      </c>
      <c r="AZ158" s="123">
        <f t="shared" si="278"/>
        <v>432.93265442558948</v>
      </c>
      <c r="BA158" s="159">
        <f t="shared" si="278"/>
        <v>432.93265442558948</v>
      </c>
    </row>
    <row r="159" spans="1:54" ht="20.100000000000001" customHeight="1">
      <c r="A159" s="15"/>
      <c r="B159" s="112" t="s">
        <v>117</v>
      </c>
      <c r="C159" s="388"/>
      <c r="D159" s="388"/>
      <c r="E159" s="388"/>
      <c r="F159" s="859" t="s">
        <v>105</v>
      </c>
      <c r="G159" s="859" t="s">
        <v>106</v>
      </c>
      <c r="H159" s="668"/>
      <c r="I159" s="668"/>
      <c r="J159" s="668"/>
      <c r="K159" s="668"/>
      <c r="L159" s="668"/>
      <c r="M159" s="668"/>
      <c r="N159" s="668"/>
      <c r="O159" s="291"/>
      <c r="P159" s="668"/>
      <c r="Q159" s="668"/>
      <c r="R159" s="708"/>
      <c r="S159" s="101" t="s">
        <v>64</v>
      </c>
      <c r="T159" s="383" t="s">
        <v>2055</v>
      </c>
      <c r="U159" s="389">
        <f>INDEX('DEFAULT DATA'!$LH$9:$LL$41,START!$C$3,5)</f>
        <v>100</v>
      </c>
      <c r="V159" s="389">
        <f t="shared" si="279"/>
        <v>0</v>
      </c>
      <c r="W159" s="133">
        <f t="shared" si="280"/>
        <v>0</v>
      </c>
      <c r="X159" s="123">
        <f t="shared" si="281"/>
        <v>369.94245297336749</v>
      </c>
      <c r="Y159" s="123">
        <f t="shared" si="281"/>
        <v>369.94245297336749</v>
      </c>
      <c r="Z159" s="123">
        <f t="shared" si="278"/>
        <v>369.94245297336749</v>
      </c>
      <c r="AA159" s="123">
        <f t="shared" si="278"/>
        <v>369.94245297336749</v>
      </c>
      <c r="AB159" s="123">
        <f t="shared" si="278"/>
        <v>369.94245297336749</v>
      </c>
      <c r="AC159" s="123">
        <f t="shared" si="278"/>
        <v>369.94245297336749</v>
      </c>
      <c r="AD159" s="123">
        <f t="shared" si="278"/>
        <v>369.94245297336749</v>
      </c>
      <c r="AE159" s="123">
        <f t="shared" si="278"/>
        <v>369.94245297336749</v>
      </c>
      <c r="AF159" s="123">
        <f t="shared" si="278"/>
        <v>369.94245297336749</v>
      </c>
      <c r="AG159" s="123">
        <f t="shared" si="278"/>
        <v>369.94245297336749</v>
      </c>
      <c r="AH159" s="123">
        <f t="shared" si="278"/>
        <v>369.94245297336749</v>
      </c>
      <c r="AI159" s="123">
        <f t="shared" si="278"/>
        <v>369.94245297336749</v>
      </c>
      <c r="AJ159" s="123">
        <f t="shared" si="278"/>
        <v>369.94245297336749</v>
      </c>
      <c r="AK159" s="123">
        <f t="shared" si="278"/>
        <v>369.94245297336749</v>
      </c>
      <c r="AL159" s="123">
        <f t="shared" si="278"/>
        <v>369.94245297336749</v>
      </c>
      <c r="AM159" s="123">
        <f t="shared" si="278"/>
        <v>369.94245297336749</v>
      </c>
      <c r="AN159" s="123">
        <f t="shared" si="278"/>
        <v>369.94245297336749</v>
      </c>
      <c r="AO159" s="123">
        <f t="shared" si="278"/>
        <v>369.94245297336749</v>
      </c>
      <c r="AP159" s="123">
        <f t="shared" si="278"/>
        <v>369.94245297336749</v>
      </c>
      <c r="AQ159" s="123">
        <f t="shared" si="278"/>
        <v>369.94245297336749</v>
      </c>
      <c r="AR159" s="123">
        <f t="shared" si="278"/>
        <v>369.94245297336749</v>
      </c>
      <c r="AS159" s="123">
        <f t="shared" si="278"/>
        <v>369.94245297336749</v>
      </c>
      <c r="AT159" s="123">
        <f t="shared" si="278"/>
        <v>369.94245297336749</v>
      </c>
      <c r="AU159" s="123">
        <f t="shared" si="278"/>
        <v>369.94245297336749</v>
      </c>
      <c r="AV159" s="123">
        <f t="shared" si="278"/>
        <v>369.94245297336749</v>
      </c>
      <c r="AW159" s="123">
        <f t="shared" si="278"/>
        <v>369.94245297336749</v>
      </c>
      <c r="AX159" s="123">
        <f t="shared" si="278"/>
        <v>369.94245297336749</v>
      </c>
      <c r="AY159" s="123">
        <f t="shared" si="278"/>
        <v>369.94245297336749</v>
      </c>
      <c r="AZ159" s="123">
        <f t="shared" si="278"/>
        <v>369.94245297336749</v>
      </c>
      <c r="BA159" s="159">
        <f t="shared" si="278"/>
        <v>369.94245297336749</v>
      </c>
    </row>
    <row r="160" spans="1:54" ht="20.100000000000001" customHeight="1" thickBot="1">
      <c r="A160" s="15"/>
      <c r="B160" s="668"/>
      <c r="C160" s="668"/>
      <c r="D160" s="668"/>
      <c r="E160" s="668"/>
      <c r="F160" s="668">
        <v>4</v>
      </c>
      <c r="G160" s="668">
        <v>9</v>
      </c>
      <c r="H160" s="668"/>
      <c r="I160" s="668"/>
      <c r="J160" s="668"/>
      <c r="K160" s="668"/>
      <c r="L160" s="668"/>
      <c r="M160" s="668"/>
      <c r="N160" s="668"/>
      <c r="O160" s="291"/>
      <c r="P160" s="668"/>
      <c r="Q160" s="668"/>
      <c r="R160" s="708"/>
      <c r="S160" s="301" t="s">
        <v>2603</v>
      </c>
      <c r="T160" s="448" t="s">
        <v>116</v>
      </c>
      <c r="U160" s="139"/>
      <c r="V160" s="139"/>
      <c r="W160" s="155" t="s">
        <v>845</v>
      </c>
      <c r="X160" s="160">
        <f>($W$155/100*X155)+($W$156/100*X156)+($W$157/100*X157)+($W$158/100*X158)+($W$159/100*X159)</f>
        <v>548.41469042132996</v>
      </c>
      <c r="Y160" s="160">
        <f>($W$155/100*Y155)+($W$156/100*Y156)+($W$157/100*Y157)+($W$158/100*Y158)+($W$159/100*Y159)</f>
        <v>548.41469042132996</v>
      </c>
      <c r="Z160" s="160">
        <f t="shared" ref="Z160:BA160" si="282">($W$155/100*Z155)+($W$156/100*Z156)+($W$157/100*Z157)+($W$158/100*Z158)+($W$159/100*Z159)</f>
        <v>548.41469042132996</v>
      </c>
      <c r="AA160" s="160">
        <f t="shared" si="282"/>
        <v>548.41469042132996</v>
      </c>
      <c r="AB160" s="160">
        <f t="shared" si="282"/>
        <v>548.41469042132996</v>
      </c>
      <c r="AC160" s="160">
        <f t="shared" si="282"/>
        <v>548.41469042132996</v>
      </c>
      <c r="AD160" s="160">
        <f t="shared" si="282"/>
        <v>548.41469042132996</v>
      </c>
      <c r="AE160" s="160">
        <f t="shared" si="282"/>
        <v>548.41469042132996</v>
      </c>
      <c r="AF160" s="160">
        <f t="shared" si="282"/>
        <v>548.41469042132996</v>
      </c>
      <c r="AG160" s="160">
        <f t="shared" si="282"/>
        <v>548.41469042132996</v>
      </c>
      <c r="AH160" s="160">
        <f t="shared" si="282"/>
        <v>548.41469042132996</v>
      </c>
      <c r="AI160" s="160">
        <f t="shared" si="282"/>
        <v>548.41469042132996</v>
      </c>
      <c r="AJ160" s="160">
        <f t="shared" si="282"/>
        <v>548.41469042132996</v>
      </c>
      <c r="AK160" s="160">
        <f t="shared" si="282"/>
        <v>548.41469042132996</v>
      </c>
      <c r="AL160" s="160">
        <f t="shared" si="282"/>
        <v>548.41469042132996</v>
      </c>
      <c r="AM160" s="160">
        <f t="shared" si="282"/>
        <v>548.41469042132996</v>
      </c>
      <c r="AN160" s="160">
        <f t="shared" si="282"/>
        <v>548.41469042132996</v>
      </c>
      <c r="AO160" s="160">
        <f t="shared" si="282"/>
        <v>548.41469042132996</v>
      </c>
      <c r="AP160" s="160">
        <f t="shared" si="282"/>
        <v>548.41469042132996</v>
      </c>
      <c r="AQ160" s="160">
        <f t="shared" si="282"/>
        <v>548.41469042132996</v>
      </c>
      <c r="AR160" s="160">
        <f t="shared" si="282"/>
        <v>548.41469042132996</v>
      </c>
      <c r="AS160" s="160">
        <f t="shared" si="282"/>
        <v>548.41469042132996</v>
      </c>
      <c r="AT160" s="160">
        <f t="shared" si="282"/>
        <v>548.41469042132996</v>
      </c>
      <c r="AU160" s="160">
        <f t="shared" si="282"/>
        <v>548.41469042132996</v>
      </c>
      <c r="AV160" s="160">
        <f t="shared" si="282"/>
        <v>548.41469042132996</v>
      </c>
      <c r="AW160" s="160">
        <f t="shared" si="282"/>
        <v>548.41469042132996</v>
      </c>
      <c r="AX160" s="160">
        <f t="shared" si="282"/>
        <v>548.41469042132996</v>
      </c>
      <c r="AY160" s="160">
        <f t="shared" si="282"/>
        <v>548.41469042132996</v>
      </c>
      <c r="AZ160" s="160">
        <f t="shared" si="282"/>
        <v>548.41469042132996</v>
      </c>
      <c r="BA160" s="161">
        <f t="shared" si="282"/>
        <v>548.41469042132996</v>
      </c>
    </row>
    <row r="161" spans="1:54" ht="20.100000000000001" customHeight="1" thickBot="1">
      <c r="A161" s="15"/>
      <c r="B161" s="744" t="str">
        <f>IF(G160&lt;F160,"! end year has to be after start year!","")</f>
        <v/>
      </c>
      <c r="C161" s="744"/>
      <c r="D161" s="744"/>
      <c r="E161" s="744"/>
      <c r="F161" s="422"/>
      <c r="G161" s="422"/>
      <c r="H161" s="668"/>
      <c r="I161" s="668"/>
      <c r="J161" s="668"/>
      <c r="K161" s="668"/>
      <c r="L161" s="668"/>
      <c r="M161" s="668"/>
      <c r="N161" s="668"/>
      <c r="O161" s="291"/>
      <c r="P161" s="668"/>
      <c r="Q161" s="668"/>
      <c r="R161" s="708"/>
    </row>
    <row r="162" spans="1:54" ht="20.100000000000001" customHeight="1">
      <c r="A162" s="15"/>
      <c r="B162" s="422" t="str">
        <f>IF(F160&lt;START!$C$2,"Policy period starts before the starting year for the study","")</f>
        <v/>
      </c>
      <c r="C162" s="422"/>
      <c r="D162" s="422"/>
      <c r="E162" s="422"/>
      <c r="F162" s="668"/>
      <c r="G162" s="668"/>
      <c r="H162" s="668"/>
      <c r="I162" s="668"/>
      <c r="J162" s="668"/>
      <c r="K162" s="668"/>
      <c r="L162" s="668"/>
      <c r="M162" s="668"/>
      <c r="N162" s="668"/>
      <c r="O162" s="291"/>
      <c r="P162" s="668"/>
      <c r="Q162" s="668"/>
      <c r="R162" s="708"/>
      <c r="S162" s="299" t="s">
        <v>619</v>
      </c>
      <c r="T162" s="755" t="s">
        <v>843</v>
      </c>
      <c r="U162" s="756"/>
      <c r="V162" s="762">
        <v>2019</v>
      </c>
      <c r="W162" s="762">
        <v>2020</v>
      </c>
      <c r="X162" s="762">
        <v>2021</v>
      </c>
      <c r="Y162" s="762">
        <f>X162+1</f>
        <v>2022</v>
      </c>
      <c r="Z162" s="762">
        <f t="shared" ref="Z162" si="283">Y162+1</f>
        <v>2023</v>
      </c>
      <c r="AA162" s="762">
        <f t="shared" ref="AA162" si="284">Z162+1</f>
        <v>2024</v>
      </c>
      <c r="AB162" s="762">
        <f t="shared" ref="AB162" si="285">AA162+1</f>
        <v>2025</v>
      </c>
      <c r="AC162" s="762">
        <f t="shared" ref="AC162" si="286">AB162+1</f>
        <v>2026</v>
      </c>
      <c r="AD162" s="762">
        <f t="shared" ref="AD162" si="287">AC162+1</f>
        <v>2027</v>
      </c>
      <c r="AE162" s="762">
        <f t="shared" ref="AE162" si="288">AD162+1</f>
        <v>2028</v>
      </c>
      <c r="AF162" s="762">
        <f t="shared" ref="AF162" si="289">AE162+1</f>
        <v>2029</v>
      </c>
      <c r="AG162" s="762">
        <f t="shared" ref="AG162" si="290">AF162+1</f>
        <v>2030</v>
      </c>
      <c r="AH162" s="762">
        <f t="shared" ref="AH162" si="291">AG162+1</f>
        <v>2031</v>
      </c>
      <c r="AI162" s="762">
        <f t="shared" ref="AI162" si="292">AH162+1</f>
        <v>2032</v>
      </c>
      <c r="AJ162" s="762">
        <f t="shared" ref="AJ162" si="293">AI162+1</f>
        <v>2033</v>
      </c>
      <c r="AK162" s="762">
        <f t="shared" ref="AK162" si="294">AJ162+1</f>
        <v>2034</v>
      </c>
      <c r="AL162" s="762">
        <f t="shared" ref="AL162" si="295">AK162+1</f>
        <v>2035</v>
      </c>
      <c r="AM162" s="762">
        <f t="shared" ref="AM162" si="296">AL162+1</f>
        <v>2036</v>
      </c>
      <c r="AN162" s="762">
        <f t="shared" ref="AN162" si="297">AM162+1</f>
        <v>2037</v>
      </c>
      <c r="AO162" s="762">
        <f t="shared" ref="AO162" si="298">AN162+1</f>
        <v>2038</v>
      </c>
      <c r="AP162" s="762">
        <f t="shared" ref="AP162" si="299">AO162+1</f>
        <v>2039</v>
      </c>
      <c r="AQ162" s="762">
        <f t="shared" ref="AQ162" si="300">AP162+1</f>
        <v>2040</v>
      </c>
      <c r="AR162" s="762">
        <f t="shared" ref="AR162" si="301">AQ162+1</f>
        <v>2041</v>
      </c>
      <c r="AS162" s="762">
        <f t="shared" ref="AS162" si="302">AR162+1</f>
        <v>2042</v>
      </c>
      <c r="AT162" s="762">
        <f t="shared" ref="AT162" si="303">AS162+1</f>
        <v>2043</v>
      </c>
      <c r="AU162" s="762">
        <f t="shared" ref="AU162" si="304">AT162+1</f>
        <v>2044</v>
      </c>
      <c r="AV162" s="762">
        <f t="shared" ref="AV162" si="305">AU162+1</f>
        <v>2045</v>
      </c>
      <c r="AW162" s="762">
        <f t="shared" ref="AW162" si="306">AV162+1</f>
        <v>2046</v>
      </c>
      <c r="AX162" s="762">
        <f t="shared" ref="AX162" si="307">AW162+1</f>
        <v>2047</v>
      </c>
      <c r="AY162" s="762">
        <f t="shared" ref="AY162" si="308">AX162+1</f>
        <v>2048</v>
      </c>
      <c r="AZ162" s="762">
        <f t="shared" ref="AZ162" si="309">AY162+1</f>
        <v>2049</v>
      </c>
      <c r="BA162" s="153">
        <f t="shared" ref="BA162" si="310">AZ162+1</f>
        <v>2050</v>
      </c>
    </row>
    <row r="163" spans="1:54" ht="20.100000000000001" customHeight="1" thickBot="1">
      <c r="A163" s="15"/>
      <c r="B163" s="422" t="str">
        <f>IF(F151&lt;START!C2,"!  New residents moving in before starting year for the study","")</f>
        <v/>
      </c>
      <c r="C163" s="422"/>
      <c r="D163" s="422"/>
      <c r="E163" s="422"/>
      <c r="F163" s="422"/>
      <c r="G163" s="422"/>
      <c r="H163" s="668"/>
      <c r="I163" s="668"/>
      <c r="J163" s="668"/>
      <c r="K163" s="668"/>
      <c r="L163" s="668"/>
      <c r="M163" s="668"/>
      <c r="N163" s="668"/>
      <c r="O163" s="291"/>
      <c r="P163" s="668"/>
      <c r="Q163" s="668"/>
      <c r="R163" s="708"/>
      <c r="S163" s="301" t="s">
        <v>2317</v>
      </c>
      <c r="T163" s="448" t="s">
        <v>2339</v>
      </c>
      <c r="U163" s="139" t="s">
        <v>846</v>
      </c>
      <c r="V163" s="139"/>
      <c r="W163" s="139"/>
      <c r="X163" s="197">
        <f t="shared" ref="X163:BA163" si="311">X136*X160/1000</f>
        <v>28.918983271355884</v>
      </c>
      <c r="Y163" s="197">
        <f t="shared" si="311"/>
        <v>29.641957853139782</v>
      </c>
      <c r="Z163" s="197">
        <f t="shared" si="311"/>
        <v>30.383006799468273</v>
      </c>
      <c r="AA163" s="197">
        <f t="shared" si="311"/>
        <v>31.142581969454977</v>
      </c>
      <c r="AB163" s="197">
        <f t="shared" si="311"/>
        <v>31.921146518691351</v>
      </c>
      <c r="AC163" s="197">
        <f t="shared" si="311"/>
        <v>32.719175181658635</v>
      </c>
      <c r="AD163" s="197">
        <f t="shared" si="311"/>
        <v>33.537154561200097</v>
      </c>
      <c r="AE163" s="197">
        <f t="shared" si="311"/>
        <v>34.375583425230104</v>
      </c>
      <c r="AF163" s="197">
        <f t="shared" si="311"/>
        <v>35.234973010860848</v>
      </c>
      <c r="AG163" s="197">
        <f t="shared" si="311"/>
        <v>36.115847336132376</v>
      </c>
      <c r="AH163" s="197">
        <f t="shared" si="311"/>
        <v>36.5853533515021</v>
      </c>
      <c r="AI163" s="197">
        <f t="shared" si="311"/>
        <v>37.060962945071616</v>
      </c>
      <c r="AJ163" s="197">
        <f t="shared" si="311"/>
        <v>37.542755463357558</v>
      </c>
      <c r="AK163" s="197">
        <f t="shared" si="311"/>
        <v>38.030811284381201</v>
      </c>
      <c r="AL163" s="197">
        <f t="shared" si="311"/>
        <v>38.525211831078153</v>
      </c>
      <c r="AM163" s="197">
        <f t="shared" si="311"/>
        <v>39.02603958488217</v>
      </c>
      <c r="AN163" s="197">
        <f t="shared" si="311"/>
        <v>39.533378099485638</v>
      </c>
      <c r="AO163" s="197">
        <f t="shared" si="311"/>
        <v>40.047312014778946</v>
      </c>
      <c r="AP163" s="197">
        <f t="shared" si="311"/>
        <v>40.567927070971074</v>
      </c>
      <c r="AQ163" s="197">
        <f t="shared" si="311"/>
        <v>41.095310122893693</v>
      </c>
      <c r="AR163" s="197">
        <f t="shared" si="311"/>
        <v>41.629549154491308</v>
      </c>
      <c r="AS163" s="197">
        <f t="shared" si="311"/>
        <v>42.170733293499694</v>
      </c>
      <c r="AT163" s="197">
        <f t="shared" si="311"/>
        <v>42.718952826315196</v>
      </c>
      <c r="AU163" s="197">
        <f t="shared" si="311"/>
        <v>43.27429921305729</v>
      </c>
      <c r="AV163" s="197">
        <f t="shared" si="311"/>
        <v>43.836865102827034</v>
      </c>
      <c r="AW163" s="197">
        <f t="shared" si="311"/>
        <v>44.40674434916378</v>
      </c>
      <c r="AX163" s="197">
        <f t="shared" si="311"/>
        <v>44.984032025702909</v>
      </c>
      <c r="AY163" s="197">
        <f t="shared" si="311"/>
        <v>45.568824442037048</v>
      </c>
      <c r="AZ163" s="197">
        <f t="shared" si="311"/>
        <v>46.161219159783528</v>
      </c>
      <c r="BA163" s="197">
        <f t="shared" si="311"/>
        <v>46.761315008860706</v>
      </c>
    </row>
    <row r="164" spans="1:54" ht="20.100000000000001" customHeight="1">
      <c r="A164" s="15"/>
      <c r="B164" s="668"/>
      <c r="C164" s="668"/>
      <c r="D164" s="668"/>
      <c r="E164" s="668"/>
      <c r="F164" s="112"/>
      <c r="G164" s="112"/>
      <c r="H164" s="668"/>
      <c r="I164" s="668"/>
      <c r="J164" s="668"/>
      <c r="K164" s="668"/>
      <c r="L164" s="668"/>
      <c r="M164" s="668"/>
      <c r="N164" s="668"/>
      <c r="O164" s="291"/>
      <c r="P164" s="668"/>
      <c r="Q164" s="668"/>
      <c r="R164" s="708"/>
    </row>
    <row r="165" spans="1:54" ht="20.100000000000001" customHeight="1" thickBot="1">
      <c r="A165" s="15"/>
      <c r="B165" s="668"/>
      <c r="C165" s="668"/>
      <c r="D165" s="668"/>
      <c r="E165" s="668"/>
      <c r="F165" s="668"/>
      <c r="G165" s="668"/>
      <c r="H165" s="668"/>
      <c r="I165" s="668"/>
      <c r="J165" s="668"/>
      <c r="K165" s="668"/>
      <c r="L165" s="668"/>
      <c r="M165" s="668"/>
      <c r="N165" s="668"/>
      <c r="O165" s="291"/>
      <c r="P165" s="668"/>
      <c r="Q165" s="668"/>
      <c r="R165" s="708"/>
      <c r="S165" s="283" t="s">
        <v>2565</v>
      </c>
      <c r="T165" s="250"/>
      <c r="U165" s="250"/>
    </row>
    <row r="166" spans="1:54" ht="20.100000000000001" customHeight="1">
      <c r="A166" s="15"/>
      <c r="B166" s="668"/>
      <c r="C166" s="668"/>
      <c r="D166" s="668"/>
      <c r="E166" s="668"/>
      <c r="F166" s="112" t="s">
        <v>125</v>
      </c>
      <c r="G166" s="112"/>
      <c r="H166" s="280"/>
      <c r="I166" s="668"/>
      <c r="J166" s="668"/>
      <c r="K166" s="668"/>
      <c r="L166" s="668"/>
      <c r="M166" s="668"/>
      <c r="N166" s="668"/>
      <c r="O166" s="291"/>
      <c r="P166" s="668"/>
      <c r="Q166" s="668"/>
      <c r="R166" s="708"/>
      <c r="S166" s="567" t="s">
        <v>2830</v>
      </c>
      <c r="T166" s="1073" t="s">
        <v>2947</v>
      </c>
      <c r="U166" s="796"/>
      <c r="V166" s="762">
        <v>2019</v>
      </c>
      <c r="W166" s="762">
        <v>2020</v>
      </c>
      <c r="X166" s="762">
        <v>2021</v>
      </c>
      <c r="Y166" s="762">
        <f>X166+1</f>
        <v>2022</v>
      </c>
      <c r="Z166" s="762">
        <f t="shared" ref="Z166" si="312">Y166+1</f>
        <v>2023</v>
      </c>
      <c r="AA166" s="762">
        <f t="shared" ref="AA166" si="313">Z166+1</f>
        <v>2024</v>
      </c>
      <c r="AB166" s="762">
        <f t="shared" ref="AB166" si="314">AA166+1</f>
        <v>2025</v>
      </c>
      <c r="AC166" s="762">
        <f t="shared" ref="AC166" si="315">AB166+1</f>
        <v>2026</v>
      </c>
      <c r="AD166" s="762">
        <f t="shared" ref="AD166" si="316">AC166+1</f>
        <v>2027</v>
      </c>
      <c r="AE166" s="762">
        <f t="shared" ref="AE166" si="317">AD166+1</f>
        <v>2028</v>
      </c>
      <c r="AF166" s="762">
        <f t="shared" ref="AF166" si="318">AE166+1</f>
        <v>2029</v>
      </c>
      <c r="AG166" s="762">
        <f t="shared" ref="AG166" si="319">AF166+1</f>
        <v>2030</v>
      </c>
      <c r="AH166" s="762">
        <f t="shared" ref="AH166" si="320">AG166+1</f>
        <v>2031</v>
      </c>
      <c r="AI166" s="762">
        <f t="shared" ref="AI166" si="321">AH166+1</f>
        <v>2032</v>
      </c>
      <c r="AJ166" s="762">
        <f t="shared" ref="AJ166" si="322">AI166+1</f>
        <v>2033</v>
      </c>
      <c r="AK166" s="762">
        <f t="shared" ref="AK166" si="323">AJ166+1</f>
        <v>2034</v>
      </c>
      <c r="AL166" s="762">
        <f t="shared" ref="AL166" si="324">AK166+1</f>
        <v>2035</v>
      </c>
      <c r="AM166" s="762">
        <f t="shared" ref="AM166" si="325">AL166+1</f>
        <v>2036</v>
      </c>
      <c r="AN166" s="762">
        <f t="shared" ref="AN166" si="326">AM166+1</f>
        <v>2037</v>
      </c>
      <c r="AO166" s="762">
        <f t="shared" ref="AO166" si="327">AN166+1</f>
        <v>2038</v>
      </c>
      <c r="AP166" s="762">
        <f t="shared" ref="AP166" si="328">AO166+1</f>
        <v>2039</v>
      </c>
      <c r="AQ166" s="762">
        <f t="shared" ref="AQ166" si="329">AP166+1</f>
        <v>2040</v>
      </c>
      <c r="AR166" s="762">
        <f t="shared" ref="AR166" si="330">AQ166+1</f>
        <v>2041</v>
      </c>
      <c r="AS166" s="762">
        <f t="shared" ref="AS166" si="331">AR166+1</f>
        <v>2042</v>
      </c>
      <c r="AT166" s="762">
        <f t="shared" ref="AT166" si="332">AS166+1</f>
        <v>2043</v>
      </c>
      <c r="AU166" s="762">
        <f t="shared" ref="AU166" si="333">AT166+1</f>
        <v>2044</v>
      </c>
      <c r="AV166" s="762">
        <f t="shared" ref="AV166" si="334">AU166+1</f>
        <v>2045</v>
      </c>
      <c r="AW166" s="762">
        <f t="shared" ref="AW166" si="335">AV166+1</f>
        <v>2046</v>
      </c>
      <c r="AX166" s="762">
        <f t="shared" ref="AX166" si="336">AW166+1</f>
        <v>2047</v>
      </c>
      <c r="AY166" s="762">
        <f t="shared" ref="AY166" si="337">AX166+1</f>
        <v>2048</v>
      </c>
      <c r="AZ166" s="762">
        <f t="shared" ref="AZ166" si="338">AY166+1</f>
        <v>2049</v>
      </c>
      <c r="BA166" s="153">
        <f t="shared" ref="BA166" si="339">AZ166+1</f>
        <v>2050</v>
      </c>
    </row>
    <row r="167" spans="1:54" ht="20.100000000000001" customHeight="1" thickBot="1">
      <c r="A167" s="15"/>
      <c r="B167" s="668"/>
      <c r="C167" s="668"/>
      <c r="D167" s="668"/>
      <c r="E167" s="668"/>
      <c r="F167" s="1472" t="s">
        <v>126</v>
      </c>
      <c r="G167" s="1472" t="s">
        <v>1779</v>
      </c>
      <c r="H167" s="1478" t="s">
        <v>119</v>
      </c>
      <c r="I167" s="668"/>
      <c r="J167" s="668"/>
      <c r="K167" s="668"/>
      <c r="L167" s="668"/>
      <c r="M167" s="668"/>
      <c r="N167" s="668"/>
      <c r="O167" s="291"/>
      <c r="P167" s="668"/>
      <c r="Q167" s="668"/>
      <c r="R167" s="708"/>
      <c r="S167" s="568"/>
      <c r="T167" s="938" t="s">
        <v>2832</v>
      </c>
      <c r="U167" s="792"/>
      <c r="V167" s="538"/>
      <c r="W167" s="538"/>
      <c r="X167" s="197">
        <f>INDEX('DEFAULT DATA'!$LN$9:$LN$41,START!$C$3,1)*AC21*INDEX('DEFAULT DATA'!$MQ$9:$MT$41,START!$C$3,G22)</f>
        <v>0</v>
      </c>
      <c r="Y167" s="197">
        <f>X167*((100+INDEX('DEFAULT DATA'!$LP$9:$LR$41,START!$C$3,1))/100)</f>
        <v>0</v>
      </c>
      <c r="Z167" s="197">
        <f>Y167*((100+INDEX('DEFAULT DATA'!$LP$9:$LR$41,START!$C$3,1))/100)</f>
        <v>0</v>
      </c>
      <c r="AA167" s="197">
        <f>Z167*((100+INDEX('DEFAULT DATA'!$LP$9:$LR$41,START!$C$3,1))/100)</f>
        <v>0</v>
      </c>
      <c r="AB167" s="197">
        <f>AA167*((100+INDEX('DEFAULT DATA'!$LP$9:$LR$41,START!$C$3,1))/100)</f>
        <v>0</v>
      </c>
      <c r="AC167" s="197">
        <f>AB167*((100+INDEX('DEFAULT DATA'!$LP$9:$LR$41,START!$C$3,1))/100)</f>
        <v>0</v>
      </c>
      <c r="AD167" s="197">
        <f>AC167*((100+INDEX('DEFAULT DATA'!$LP$9:$LR$41,START!$C$3,1))/100)</f>
        <v>0</v>
      </c>
      <c r="AE167" s="197">
        <f>AD167*((100+INDEX('DEFAULT DATA'!$LP$9:$LR$41,START!$C$3,1))/100)</f>
        <v>0</v>
      </c>
      <c r="AF167" s="197">
        <f>AE167*((100+INDEX('DEFAULT DATA'!$LP$9:$LR$41,START!$C$3,1))/100)</f>
        <v>0</v>
      </c>
      <c r="AG167" s="197">
        <f>AF167*((100+INDEX('DEFAULT DATA'!$LP$9:$LR$41,START!$C$3,1))/100)</f>
        <v>0</v>
      </c>
      <c r="AH167" s="197">
        <f>AG167*((100+INDEX('DEFAULT DATA'!$LP$9:$LR$41,START!$C$3,2))/100)</f>
        <v>0</v>
      </c>
      <c r="AI167" s="197">
        <f>AH167*((100+INDEX('DEFAULT DATA'!$LP$9:$LR$41,START!$C$3,2))/100)</f>
        <v>0</v>
      </c>
      <c r="AJ167" s="197">
        <f>AI167*((100+INDEX('DEFAULT DATA'!$LP$9:$LR$41,START!$C$3,2))/100)</f>
        <v>0</v>
      </c>
      <c r="AK167" s="197">
        <f>AJ167*((100+INDEX('DEFAULT DATA'!$LP$9:$LR$41,START!$C$3,2))/100)</f>
        <v>0</v>
      </c>
      <c r="AL167" s="197">
        <f>AK167*((100+INDEX('DEFAULT DATA'!$LP$9:$LR$41,START!$C$3,2))/100)</f>
        <v>0</v>
      </c>
      <c r="AM167" s="197">
        <f>AL167*((100+INDEX('DEFAULT DATA'!$LP$9:$LR$41,START!$C$3,2))/100)</f>
        <v>0</v>
      </c>
      <c r="AN167" s="197">
        <f>AM167*((100+INDEX('DEFAULT DATA'!$LP$9:$LR$41,START!$C$3,2))/100)</f>
        <v>0</v>
      </c>
      <c r="AO167" s="197">
        <f>AN167*((100+INDEX('DEFAULT DATA'!$LP$9:$LR$41,START!$C$3,2))/100)</f>
        <v>0</v>
      </c>
      <c r="AP167" s="197">
        <f>AO167*((100+INDEX('DEFAULT DATA'!$LP$9:$LR$41,START!$C$3,2))/100)</f>
        <v>0</v>
      </c>
      <c r="AQ167" s="197">
        <f>AP167*((100+INDEX('DEFAULT DATA'!$LP$9:$LR$41,START!$C$3,2))/100)</f>
        <v>0</v>
      </c>
      <c r="AR167" s="197">
        <f>AQ167*((100+INDEX('DEFAULT DATA'!$LP$9:$LR$41,START!$C$3,3))/100)</f>
        <v>0</v>
      </c>
      <c r="AS167" s="197">
        <f>AR167*((100+INDEX('DEFAULT DATA'!$LP$9:$LR$41,START!$C$3,3))/100)</f>
        <v>0</v>
      </c>
      <c r="AT167" s="197">
        <f>AS167*((100+INDEX('DEFAULT DATA'!$LP$9:$LR$41,START!$C$3,3))/100)</f>
        <v>0</v>
      </c>
      <c r="AU167" s="197">
        <f>AT167*((100+INDEX('DEFAULT DATA'!$LP$9:$LR$41,START!$C$3,3))/100)</f>
        <v>0</v>
      </c>
      <c r="AV167" s="197">
        <f>AU167*((100+INDEX('DEFAULT DATA'!$LP$9:$LR$41,START!$C$3,3))/100)</f>
        <v>0</v>
      </c>
      <c r="AW167" s="197">
        <f>AV167*((100+INDEX('DEFAULT DATA'!$LP$9:$LR$41,START!$C$3,3))/100)</f>
        <v>0</v>
      </c>
      <c r="AX167" s="197">
        <f>AW167*((100+INDEX('DEFAULT DATA'!$LP$9:$LR$41,START!$C$3,3))/100)</f>
        <v>0</v>
      </c>
      <c r="AY167" s="197">
        <f>AX167*((100+INDEX('DEFAULT DATA'!$LP$9:$LR$41,START!$C$3,3))/100)</f>
        <v>0</v>
      </c>
      <c r="AZ167" s="197">
        <f>AY167*((100+INDEX('DEFAULT DATA'!$LP$9:$LR$41,START!$C$3,3))/100)</f>
        <v>0</v>
      </c>
      <c r="BA167" s="566">
        <f>AZ167*((100+INDEX('DEFAULT DATA'!$LP$9:$LR$41,START!$C$3,3))/100)</f>
        <v>0</v>
      </c>
    </row>
    <row r="168" spans="1:54" ht="20.100000000000001" customHeight="1" thickBot="1">
      <c r="A168" s="15"/>
      <c r="B168" s="668"/>
      <c r="C168" s="668"/>
      <c r="D168" s="668"/>
      <c r="E168" s="668"/>
      <c r="F168" s="1472"/>
      <c r="G168" s="1472"/>
      <c r="H168" s="1478"/>
      <c r="I168" s="668"/>
      <c r="J168" s="668"/>
      <c r="K168" s="668"/>
      <c r="L168" s="668"/>
      <c r="M168" s="668"/>
      <c r="N168" s="668"/>
      <c r="O168" s="291"/>
      <c r="P168" s="668"/>
      <c r="Q168" s="668"/>
      <c r="R168" s="708"/>
      <c r="S168" s="708"/>
      <c r="T168" s="516"/>
      <c r="U168" s="516"/>
      <c r="V168" s="516"/>
      <c r="W168" s="516"/>
      <c r="X168" s="708"/>
      <c r="Y168" s="708"/>
      <c r="Z168" s="708"/>
      <c r="AA168" s="708"/>
      <c r="AB168" s="708"/>
      <c r="AC168" s="708"/>
      <c r="AD168" s="708"/>
      <c r="AE168" s="708"/>
      <c r="AF168" s="708"/>
      <c r="AG168" s="708"/>
      <c r="AH168" s="708"/>
      <c r="AI168" s="708"/>
      <c r="AJ168" s="708"/>
      <c r="AK168" s="708"/>
      <c r="AL168" s="708"/>
      <c r="AM168" s="708"/>
      <c r="AN168" s="708"/>
      <c r="AO168" s="708"/>
      <c r="AP168" s="708"/>
      <c r="AQ168" s="708"/>
      <c r="AR168" s="708"/>
      <c r="AS168" s="708"/>
      <c r="AT168" s="708"/>
      <c r="AU168" s="708"/>
      <c r="AV168" s="708"/>
      <c r="AW168" s="708"/>
      <c r="AX168" s="708"/>
      <c r="AY168" s="708"/>
      <c r="AZ168" s="708"/>
      <c r="BA168" s="708"/>
    </row>
    <row r="169" spans="1:54" ht="20.100000000000001" customHeight="1">
      <c r="A169" s="752"/>
      <c r="B169" s="414" t="s">
        <v>123</v>
      </c>
      <c r="C169" s="125"/>
      <c r="D169" s="125"/>
      <c r="E169" s="125"/>
      <c r="F169" s="241">
        <f>2021+G177</f>
        <v>2030</v>
      </c>
      <c r="G169" s="859">
        <f>2021+G177</f>
        <v>2030</v>
      </c>
      <c r="H169" s="1479"/>
      <c r="I169" s="262"/>
      <c r="J169" s="262"/>
      <c r="K169" s="262"/>
      <c r="L169" s="262"/>
      <c r="M169" s="262"/>
      <c r="N169" s="262"/>
      <c r="O169" s="412"/>
      <c r="P169" s="668"/>
      <c r="Q169" s="668"/>
      <c r="R169" s="708"/>
      <c r="S169" s="299" t="s">
        <v>2831</v>
      </c>
      <c r="T169" s="798"/>
      <c r="U169" s="799"/>
      <c r="V169" s="762">
        <v>2019</v>
      </c>
      <c r="W169" s="762">
        <v>2020</v>
      </c>
      <c r="X169" s="762">
        <v>2021</v>
      </c>
      <c r="Y169" s="762">
        <f>X169+1</f>
        <v>2022</v>
      </c>
      <c r="Z169" s="762">
        <f t="shared" ref="Z169" si="340">Y169+1</f>
        <v>2023</v>
      </c>
      <c r="AA169" s="762">
        <f t="shared" ref="AA169" si="341">Z169+1</f>
        <v>2024</v>
      </c>
      <c r="AB169" s="762">
        <f t="shared" ref="AB169" si="342">AA169+1</f>
        <v>2025</v>
      </c>
      <c r="AC169" s="762">
        <f t="shared" ref="AC169" si="343">AB169+1</f>
        <v>2026</v>
      </c>
      <c r="AD169" s="762">
        <f t="shared" ref="AD169" si="344">AC169+1</f>
        <v>2027</v>
      </c>
      <c r="AE169" s="762">
        <f t="shared" ref="AE169" si="345">AD169+1</f>
        <v>2028</v>
      </c>
      <c r="AF169" s="762">
        <f t="shared" ref="AF169" si="346">AE169+1</f>
        <v>2029</v>
      </c>
      <c r="AG169" s="762">
        <f t="shared" ref="AG169" si="347">AF169+1</f>
        <v>2030</v>
      </c>
      <c r="AH169" s="762">
        <f t="shared" ref="AH169" si="348">AG169+1</f>
        <v>2031</v>
      </c>
      <c r="AI169" s="762">
        <f t="shared" ref="AI169" si="349">AH169+1</f>
        <v>2032</v>
      </c>
      <c r="AJ169" s="762">
        <f t="shared" ref="AJ169" si="350">AI169+1</f>
        <v>2033</v>
      </c>
      <c r="AK169" s="762">
        <f t="shared" ref="AK169" si="351">AJ169+1</f>
        <v>2034</v>
      </c>
      <c r="AL169" s="762">
        <f t="shared" ref="AL169" si="352">AK169+1</f>
        <v>2035</v>
      </c>
      <c r="AM169" s="762">
        <f t="shared" ref="AM169" si="353">AL169+1</f>
        <v>2036</v>
      </c>
      <c r="AN169" s="762">
        <f t="shared" ref="AN169" si="354">AM169+1</f>
        <v>2037</v>
      </c>
      <c r="AO169" s="762">
        <f t="shared" ref="AO169" si="355">AN169+1</f>
        <v>2038</v>
      </c>
      <c r="AP169" s="762">
        <f t="shared" ref="AP169" si="356">AO169+1</f>
        <v>2039</v>
      </c>
      <c r="AQ169" s="762">
        <f t="shared" ref="AQ169" si="357">AP169+1</f>
        <v>2040</v>
      </c>
      <c r="AR169" s="762">
        <f t="shared" ref="AR169" si="358">AQ169+1</f>
        <v>2041</v>
      </c>
      <c r="AS169" s="762">
        <f t="shared" ref="AS169" si="359">AR169+1</f>
        <v>2042</v>
      </c>
      <c r="AT169" s="762">
        <f t="shared" ref="AT169" si="360">AS169+1</f>
        <v>2043</v>
      </c>
      <c r="AU169" s="762">
        <f t="shared" ref="AU169" si="361">AT169+1</f>
        <v>2044</v>
      </c>
      <c r="AV169" s="762">
        <f t="shared" ref="AV169" si="362">AU169+1</f>
        <v>2045</v>
      </c>
      <c r="AW169" s="762">
        <f t="shared" ref="AW169" si="363">AV169+1</f>
        <v>2046</v>
      </c>
      <c r="AX169" s="762">
        <f t="shared" ref="AX169" si="364">AW169+1</f>
        <v>2047</v>
      </c>
      <c r="AY169" s="762">
        <f t="shared" ref="AY169" si="365">AX169+1</f>
        <v>2048</v>
      </c>
      <c r="AZ169" s="762">
        <f t="shared" ref="AZ169" si="366">AY169+1</f>
        <v>2049</v>
      </c>
      <c r="BA169" s="153">
        <f t="shared" ref="BA169" si="367">AZ169+1</f>
        <v>2050</v>
      </c>
    </row>
    <row r="170" spans="1:54" ht="20.100000000000001" customHeight="1" thickBot="1">
      <c r="A170" s="15"/>
      <c r="B170" s="388" t="s">
        <v>36</v>
      </c>
      <c r="C170" s="388"/>
      <c r="D170" s="388"/>
      <c r="E170" s="388"/>
      <c r="F170" s="425">
        <f>INDEX($Y$354:$BA$358,1,$G$177)</f>
        <v>6.9569192263802773</v>
      </c>
      <c r="G170" s="123">
        <v>90</v>
      </c>
      <c r="H170" s="445">
        <v>0</v>
      </c>
      <c r="I170" s="668"/>
      <c r="J170" s="668"/>
      <c r="K170" s="668"/>
      <c r="L170" s="668"/>
      <c r="M170" s="668"/>
      <c r="N170" s="668"/>
      <c r="O170" s="291"/>
      <c r="P170" s="668"/>
      <c r="Q170" s="668"/>
      <c r="R170" s="708"/>
      <c r="S170" s="568"/>
      <c r="T170" s="939" t="s">
        <v>2833</v>
      </c>
      <c r="U170" s="795"/>
      <c r="V170" s="512"/>
      <c r="W170" s="512"/>
      <c r="X170" s="663">
        <f>INDEX('DEFAULT DATA'!LO9:LO41,START!C3,1)</f>
        <v>29</v>
      </c>
      <c r="Y170" s="663">
        <f>X170</f>
        <v>29</v>
      </c>
      <c r="Z170" s="663">
        <f t="shared" ref="Z170:BA170" si="368">Y170</f>
        <v>29</v>
      </c>
      <c r="AA170" s="663">
        <f t="shared" si="368"/>
        <v>29</v>
      </c>
      <c r="AB170" s="663">
        <f t="shared" si="368"/>
        <v>29</v>
      </c>
      <c r="AC170" s="663">
        <f t="shared" si="368"/>
        <v>29</v>
      </c>
      <c r="AD170" s="663">
        <f t="shared" si="368"/>
        <v>29</v>
      </c>
      <c r="AE170" s="663">
        <f t="shared" si="368"/>
        <v>29</v>
      </c>
      <c r="AF170" s="663">
        <f t="shared" si="368"/>
        <v>29</v>
      </c>
      <c r="AG170" s="663">
        <f t="shared" si="368"/>
        <v>29</v>
      </c>
      <c r="AH170" s="663">
        <f t="shared" si="368"/>
        <v>29</v>
      </c>
      <c r="AI170" s="663">
        <f t="shared" si="368"/>
        <v>29</v>
      </c>
      <c r="AJ170" s="663">
        <f t="shared" si="368"/>
        <v>29</v>
      </c>
      <c r="AK170" s="663">
        <f t="shared" si="368"/>
        <v>29</v>
      </c>
      <c r="AL170" s="663">
        <f t="shared" si="368"/>
        <v>29</v>
      </c>
      <c r="AM170" s="663">
        <f t="shared" si="368"/>
        <v>29</v>
      </c>
      <c r="AN170" s="663">
        <f t="shared" si="368"/>
        <v>29</v>
      </c>
      <c r="AO170" s="663">
        <f t="shared" si="368"/>
        <v>29</v>
      </c>
      <c r="AP170" s="663">
        <f t="shared" si="368"/>
        <v>29</v>
      </c>
      <c r="AQ170" s="663">
        <f t="shared" si="368"/>
        <v>29</v>
      </c>
      <c r="AR170" s="663">
        <f t="shared" si="368"/>
        <v>29</v>
      </c>
      <c r="AS170" s="663">
        <f t="shared" si="368"/>
        <v>29</v>
      </c>
      <c r="AT170" s="663">
        <f t="shared" si="368"/>
        <v>29</v>
      </c>
      <c r="AU170" s="663">
        <f t="shared" si="368"/>
        <v>29</v>
      </c>
      <c r="AV170" s="663">
        <f t="shared" si="368"/>
        <v>29</v>
      </c>
      <c r="AW170" s="663">
        <f t="shared" si="368"/>
        <v>29</v>
      </c>
      <c r="AX170" s="663">
        <f t="shared" si="368"/>
        <v>29</v>
      </c>
      <c r="AY170" s="663">
        <f t="shared" si="368"/>
        <v>29</v>
      </c>
      <c r="AZ170" s="663">
        <f t="shared" si="368"/>
        <v>29</v>
      </c>
      <c r="BA170" s="664">
        <f t="shared" si="368"/>
        <v>29</v>
      </c>
      <c r="BB170" s="708"/>
    </row>
    <row r="171" spans="1:54" ht="20.100000000000001" customHeight="1" thickBot="1">
      <c r="A171" s="15"/>
      <c r="B171" s="388" t="s">
        <v>38</v>
      </c>
      <c r="C171" s="388"/>
      <c r="D171" s="388"/>
      <c r="E171" s="388"/>
      <c r="F171" s="425">
        <f>INDEX($Y$354:$BA$358,2,$G$177)</f>
        <v>48.35081814394826</v>
      </c>
      <c r="G171" s="123">
        <v>0</v>
      </c>
      <c r="H171" s="859"/>
      <c r="I171" s="668"/>
      <c r="J171" s="668"/>
      <c r="K171" s="668"/>
      <c r="L171" s="668"/>
      <c r="M171" s="668"/>
      <c r="N171" s="668"/>
      <c r="O171" s="291"/>
      <c r="P171" s="668"/>
      <c r="Q171" s="668"/>
      <c r="R171" s="708"/>
      <c r="S171" s="708"/>
      <c r="T171" s="708"/>
      <c r="U171" s="708"/>
      <c r="V171" s="708"/>
      <c r="W171" s="708"/>
      <c r="X171" s="708"/>
      <c r="Y171" s="708"/>
      <c r="Z171" s="708"/>
      <c r="AA171" s="708"/>
      <c r="AB171" s="708"/>
      <c r="AC171" s="708"/>
      <c r="AD171" s="708"/>
      <c r="AE171" s="708"/>
      <c r="AF171" s="708"/>
      <c r="AG171" s="708"/>
      <c r="AH171" s="708"/>
      <c r="AI171" s="708"/>
      <c r="AJ171" s="708"/>
      <c r="AK171" s="708"/>
      <c r="AL171" s="708"/>
      <c r="AM171" s="708"/>
      <c r="AN171" s="708"/>
      <c r="AO171" s="708"/>
      <c r="AP171" s="708"/>
      <c r="AQ171" s="708"/>
      <c r="AR171" s="708"/>
      <c r="AS171" s="708"/>
      <c r="AT171" s="708"/>
      <c r="AU171" s="708"/>
      <c r="AV171" s="708"/>
      <c r="AW171" s="708"/>
      <c r="AX171" s="708"/>
      <c r="AY171" s="708"/>
      <c r="AZ171" s="708"/>
      <c r="BA171" s="708"/>
      <c r="BB171" s="708"/>
    </row>
    <row r="172" spans="1:54" ht="20.100000000000001" customHeight="1">
      <c r="A172" s="15"/>
      <c r="B172" s="388" t="s">
        <v>39</v>
      </c>
      <c r="C172" s="388"/>
      <c r="D172" s="388"/>
      <c r="E172" s="388"/>
      <c r="F172" s="425">
        <f>INDEX($Y$354:$BA$358,3,$G$177)</f>
        <v>10.276017790787815</v>
      </c>
      <c r="G172" s="123">
        <v>0</v>
      </c>
      <c r="H172" s="426"/>
      <c r="I172" s="668"/>
      <c r="J172" s="668"/>
      <c r="K172" s="668"/>
      <c r="L172" s="668"/>
      <c r="M172" s="668"/>
      <c r="N172" s="668"/>
      <c r="O172" s="291"/>
      <c r="P172" s="668"/>
      <c r="Q172" s="668"/>
      <c r="R172" s="16"/>
      <c r="S172" s="299" t="s">
        <v>619</v>
      </c>
      <c r="T172" s="793" t="s">
        <v>843</v>
      </c>
      <c r="U172" s="794"/>
      <c r="V172" s="762">
        <v>2019</v>
      </c>
      <c r="W172" s="762">
        <v>2020</v>
      </c>
      <c r="X172" s="762">
        <v>2021</v>
      </c>
      <c r="Y172" s="762">
        <f>X172+1</f>
        <v>2022</v>
      </c>
      <c r="Z172" s="762">
        <f t="shared" ref="Z172" si="369">Y172+1</f>
        <v>2023</v>
      </c>
      <c r="AA172" s="762">
        <f t="shared" ref="AA172" si="370">Z172+1</f>
        <v>2024</v>
      </c>
      <c r="AB172" s="762">
        <f t="shared" ref="AB172" si="371">AA172+1</f>
        <v>2025</v>
      </c>
      <c r="AC172" s="762">
        <f t="shared" ref="AC172" si="372">AB172+1</f>
        <v>2026</v>
      </c>
      <c r="AD172" s="762">
        <f t="shared" ref="AD172" si="373">AC172+1</f>
        <v>2027</v>
      </c>
      <c r="AE172" s="762">
        <f t="shared" ref="AE172" si="374">AD172+1</f>
        <v>2028</v>
      </c>
      <c r="AF172" s="762">
        <f t="shared" ref="AF172" si="375">AE172+1</f>
        <v>2029</v>
      </c>
      <c r="AG172" s="762">
        <f t="shared" ref="AG172" si="376">AF172+1</f>
        <v>2030</v>
      </c>
      <c r="AH172" s="762">
        <f t="shared" ref="AH172" si="377">AG172+1</f>
        <v>2031</v>
      </c>
      <c r="AI172" s="762">
        <f t="shared" ref="AI172" si="378">AH172+1</f>
        <v>2032</v>
      </c>
      <c r="AJ172" s="762">
        <f t="shared" ref="AJ172" si="379">AI172+1</f>
        <v>2033</v>
      </c>
      <c r="AK172" s="762">
        <f t="shared" ref="AK172" si="380">AJ172+1</f>
        <v>2034</v>
      </c>
      <c r="AL172" s="762">
        <f t="shared" ref="AL172" si="381">AK172+1</f>
        <v>2035</v>
      </c>
      <c r="AM172" s="762">
        <f t="shared" ref="AM172" si="382">AL172+1</f>
        <v>2036</v>
      </c>
      <c r="AN172" s="762">
        <f t="shared" ref="AN172" si="383">AM172+1</f>
        <v>2037</v>
      </c>
      <c r="AO172" s="762">
        <f t="shared" ref="AO172" si="384">AN172+1</f>
        <v>2038</v>
      </c>
      <c r="AP172" s="762">
        <f t="shared" ref="AP172" si="385">AO172+1</f>
        <v>2039</v>
      </c>
      <c r="AQ172" s="762">
        <f t="shared" ref="AQ172" si="386">AP172+1</f>
        <v>2040</v>
      </c>
      <c r="AR172" s="762">
        <f t="shared" ref="AR172" si="387">AQ172+1</f>
        <v>2041</v>
      </c>
      <c r="AS172" s="762">
        <f t="shared" ref="AS172" si="388">AR172+1</f>
        <v>2042</v>
      </c>
      <c r="AT172" s="762">
        <f t="shared" ref="AT172" si="389">AS172+1</f>
        <v>2043</v>
      </c>
      <c r="AU172" s="762">
        <f t="shared" ref="AU172" si="390">AT172+1</f>
        <v>2044</v>
      </c>
      <c r="AV172" s="762">
        <f t="shared" ref="AV172" si="391">AU172+1</f>
        <v>2045</v>
      </c>
      <c r="AW172" s="762">
        <f t="shared" ref="AW172" si="392">AV172+1</f>
        <v>2046</v>
      </c>
      <c r="AX172" s="762">
        <f t="shared" ref="AX172" si="393">AW172+1</f>
        <v>2047</v>
      </c>
      <c r="AY172" s="762">
        <f t="shared" ref="AY172" si="394">AX172+1</f>
        <v>2048</v>
      </c>
      <c r="AZ172" s="762">
        <f t="shared" ref="AZ172" si="395">AY172+1</f>
        <v>2049</v>
      </c>
      <c r="BA172" s="153">
        <f t="shared" ref="BA172" si="396">AZ172+1</f>
        <v>2050</v>
      </c>
    </row>
    <row r="173" spans="1:54" ht="20.100000000000001" customHeight="1" thickBot="1">
      <c r="A173" s="15"/>
      <c r="B173" s="388" t="s">
        <v>2726</v>
      </c>
      <c r="C173" s="388"/>
      <c r="D173" s="388"/>
      <c r="E173" s="388"/>
      <c r="F173" s="425">
        <f>INDEX($Y$354:$BA$358,4,$G$177)</f>
        <v>3.5520346291154699</v>
      </c>
      <c r="G173" s="123">
        <v>0</v>
      </c>
      <c r="H173" s="426"/>
      <c r="I173" s="668"/>
      <c r="J173" s="668"/>
      <c r="K173" s="668"/>
      <c r="L173" s="668"/>
      <c r="M173" s="668"/>
      <c r="N173" s="668"/>
      <c r="O173" s="291"/>
      <c r="P173" s="668"/>
      <c r="Q173" s="668"/>
      <c r="R173" s="16"/>
      <c r="S173" s="301" t="s">
        <v>2829</v>
      </c>
      <c r="T173" s="448" t="s">
        <v>2828</v>
      </c>
      <c r="U173" s="139" t="s">
        <v>846</v>
      </c>
      <c r="V173" s="139"/>
      <c r="W173" s="139"/>
      <c r="X173" s="197">
        <f>X167*X170/1000</f>
        <v>0</v>
      </c>
      <c r="Y173" s="197">
        <f t="shared" ref="Y173:BA173" si="397">Y167*Y170/1000</f>
        <v>0</v>
      </c>
      <c r="Z173" s="197">
        <f t="shared" si="397"/>
        <v>0</v>
      </c>
      <c r="AA173" s="197">
        <f t="shared" si="397"/>
        <v>0</v>
      </c>
      <c r="AB173" s="197">
        <f t="shared" si="397"/>
        <v>0</v>
      </c>
      <c r="AC173" s="197">
        <f t="shared" si="397"/>
        <v>0</v>
      </c>
      <c r="AD173" s="197">
        <f t="shared" si="397"/>
        <v>0</v>
      </c>
      <c r="AE173" s="197">
        <f t="shared" si="397"/>
        <v>0</v>
      </c>
      <c r="AF173" s="197">
        <f t="shared" si="397"/>
        <v>0</v>
      </c>
      <c r="AG173" s="197">
        <f t="shared" si="397"/>
        <v>0</v>
      </c>
      <c r="AH173" s="197">
        <f t="shared" si="397"/>
        <v>0</v>
      </c>
      <c r="AI173" s="197">
        <f t="shared" si="397"/>
        <v>0</v>
      </c>
      <c r="AJ173" s="197">
        <f t="shared" si="397"/>
        <v>0</v>
      </c>
      <c r="AK173" s="197">
        <f t="shared" si="397"/>
        <v>0</v>
      </c>
      <c r="AL173" s="197">
        <f t="shared" si="397"/>
        <v>0</v>
      </c>
      <c r="AM173" s="197">
        <f t="shared" si="397"/>
        <v>0</v>
      </c>
      <c r="AN173" s="197">
        <f t="shared" si="397"/>
        <v>0</v>
      </c>
      <c r="AO173" s="197">
        <f t="shared" si="397"/>
        <v>0</v>
      </c>
      <c r="AP173" s="197">
        <f t="shared" si="397"/>
        <v>0</v>
      </c>
      <c r="AQ173" s="197">
        <f t="shared" si="397"/>
        <v>0</v>
      </c>
      <c r="AR173" s="197">
        <f t="shared" si="397"/>
        <v>0</v>
      </c>
      <c r="AS173" s="197">
        <f t="shared" si="397"/>
        <v>0</v>
      </c>
      <c r="AT173" s="197">
        <f t="shared" si="397"/>
        <v>0</v>
      </c>
      <c r="AU173" s="197">
        <f t="shared" si="397"/>
        <v>0</v>
      </c>
      <c r="AV173" s="197">
        <f t="shared" si="397"/>
        <v>0</v>
      </c>
      <c r="AW173" s="197">
        <f t="shared" si="397"/>
        <v>0</v>
      </c>
      <c r="AX173" s="197">
        <f t="shared" si="397"/>
        <v>0</v>
      </c>
      <c r="AY173" s="197">
        <f t="shared" si="397"/>
        <v>0</v>
      </c>
      <c r="AZ173" s="197">
        <f t="shared" si="397"/>
        <v>0</v>
      </c>
      <c r="BA173" s="566">
        <f t="shared" si="397"/>
        <v>0</v>
      </c>
    </row>
    <row r="174" spans="1:54" ht="20.100000000000001" customHeight="1">
      <c r="A174" s="15"/>
      <c r="B174" s="745" t="s">
        <v>605</v>
      </c>
      <c r="C174" s="745"/>
      <c r="D174" s="745"/>
      <c r="E174" s="745"/>
      <c r="F174" s="427">
        <f>INDEX($Y$354:$BA$358,5,$G$177)</f>
        <v>30.864210209768174</v>
      </c>
      <c r="G174" s="427">
        <f>100-(SUM(G170:G173))</f>
        <v>10</v>
      </c>
      <c r="H174" s="426"/>
      <c r="I174" s="668"/>
      <c r="J174" s="668"/>
      <c r="K174" s="668"/>
      <c r="L174" s="668"/>
      <c r="M174" s="668"/>
      <c r="N174" s="668"/>
      <c r="O174" s="291"/>
      <c r="P174" s="668"/>
      <c r="Q174" s="668"/>
      <c r="R174" s="16"/>
    </row>
    <row r="175" spans="1:54" ht="20.100000000000001" customHeight="1" thickBot="1">
      <c r="A175" s="15"/>
      <c r="B175" s="388" t="s">
        <v>122</v>
      </c>
      <c r="C175" s="388"/>
      <c r="D175" s="388"/>
      <c r="E175" s="388"/>
      <c r="F175" s="425">
        <f>SUM(F170:F174)</f>
        <v>100</v>
      </c>
      <c r="G175" s="428">
        <v>100</v>
      </c>
      <c r="H175" s="426"/>
      <c r="I175" s="668"/>
      <c r="J175" s="668"/>
      <c r="K175" s="668"/>
      <c r="L175" s="668"/>
      <c r="M175" s="668"/>
      <c r="N175" s="668"/>
      <c r="O175" s="291"/>
      <c r="P175" s="668"/>
      <c r="Q175" s="668"/>
      <c r="R175" s="16"/>
    </row>
    <row r="176" spans="1:54" ht="20.100000000000001" customHeight="1">
      <c r="A176" s="15"/>
      <c r="B176" s="388" t="s">
        <v>117</v>
      </c>
      <c r="C176" s="388"/>
      <c r="D176" s="388"/>
      <c r="E176" s="388"/>
      <c r="F176" s="859" t="s">
        <v>105</v>
      </c>
      <c r="G176" s="859" t="s">
        <v>106</v>
      </c>
      <c r="H176" s="668"/>
      <c r="I176" s="668"/>
      <c r="J176" s="668"/>
      <c r="K176" s="668"/>
      <c r="L176" s="668"/>
      <c r="M176" s="668"/>
      <c r="N176" s="668"/>
      <c r="O176" s="291"/>
      <c r="P176" s="668"/>
      <c r="Q176" s="668"/>
      <c r="R176" s="16"/>
      <c r="S176" s="299" t="s">
        <v>2567</v>
      </c>
      <c r="T176" s="138"/>
      <c r="U176" s="202"/>
      <c r="V176" s="830">
        <v>2019</v>
      </c>
      <c r="W176" s="830">
        <v>2020</v>
      </c>
      <c r="X176" s="830">
        <v>2021</v>
      </c>
      <c r="Y176" s="830">
        <f>X176+1</f>
        <v>2022</v>
      </c>
      <c r="Z176" s="830">
        <f t="shared" ref="Z176" si="398">Y176+1</f>
        <v>2023</v>
      </c>
      <c r="AA176" s="830">
        <f t="shared" ref="AA176" si="399">Z176+1</f>
        <v>2024</v>
      </c>
      <c r="AB176" s="830">
        <f t="shared" ref="AB176" si="400">AA176+1</f>
        <v>2025</v>
      </c>
      <c r="AC176" s="830">
        <f t="shared" ref="AC176" si="401">AB176+1</f>
        <v>2026</v>
      </c>
      <c r="AD176" s="830">
        <f t="shared" ref="AD176" si="402">AC176+1</f>
        <v>2027</v>
      </c>
      <c r="AE176" s="830">
        <f t="shared" ref="AE176" si="403">AD176+1</f>
        <v>2028</v>
      </c>
      <c r="AF176" s="830">
        <f t="shared" ref="AF176" si="404">AE176+1</f>
        <v>2029</v>
      </c>
      <c r="AG176" s="830">
        <f t="shared" ref="AG176" si="405">AF176+1</f>
        <v>2030</v>
      </c>
      <c r="AH176" s="830">
        <f t="shared" ref="AH176" si="406">AG176+1</f>
        <v>2031</v>
      </c>
      <c r="AI176" s="830">
        <f t="shared" ref="AI176" si="407">AH176+1</f>
        <v>2032</v>
      </c>
      <c r="AJ176" s="830">
        <f t="shared" ref="AJ176" si="408">AI176+1</f>
        <v>2033</v>
      </c>
      <c r="AK176" s="830">
        <f t="shared" ref="AK176" si="409">AJ176+1</f>
        <v>2034</v>
      </c>
      <c r="AL176" s="830">
        <f t="shared" ref="AL176" si="410">AK176+1</f>
        <v>2035</v>
      </c>
      <c r="AM176" s="830">
        <f t="shared" ref="AM176" si="411">AL176+1</f>
        <v>2036</v>
      </c>
      <c r="AN176" s="830">
        <f t="shared" ref="AN176" si="412">AM176+1</f>
        <v>2037</v>
      </c>
      <c r="AO176" s="830">
        <f t="shared" ref="AO176" si="413">AN176+1</f>
        <v>2038</v>
      </c>
      <c r="AP176" s="830">
        <f t="shared" ref="AP176" si="414">AO176+1</f>
        <v>2039</v>
      </c>
      <c r="AQ176" s="830">
        <f t="shared" ref="AQ176" si="415">AP176+1</f>
        <v>2040</v>
      </c>
      <c r="AR176" s="830">
        <f t="shared" ref="AR176" si="416">AQ176+1</f>
        <v>2041</v>
      </c>
      <c r="AS176" s="830">
        <f t="shared" ref="AS176" si="417">AR176+1</f>
        <v>2042</v>
      </c>
      <c r="AT176" s="830">
        <f t="shared" ref="AT176" si="418">AS176+1</f>
        <v>2043</v>
      </c>
      <c r="AU176" s="830">
        <f t="shared" ref="AU176" si="419">AT176+1</f>
        <v>2044</v>
      </c>
      <c r="AV176" s="830">
        <f t="shared" ref="AV176" si="420">AU176+1</f>
        <v>2045</v>
      </c>
      <c r="AW176" s="830">
        <f t="shared" ref="AW176" si="421">AV176+1</f>
        <v>2046</v>
      </c>
      <c r="AX176" s="830">
        <f t="shared" ref="AX176" si="422">AW176+1</f>
        <v>2047</v>
      </c>
      <c r="AY176" s="830">
        <f t="shared" ref="AY176" si="423">AX176+1</f>
        <v>2048</v>
      </c>
      <c r="AZ176" s="830">
        <f t="shared" ref="AZ176" si="424">AY176+1</f>
        <v>2049</v>
      </c>
      <c r="BA176" s="153">
        <f t="shared" ref="BA176" si="425">AZ176+1</f>
        <v>2050</v>
      </c>
    </row>
    <row r="177" spans="1:65" ht="20.100000000000001" customHeight="1">
      <c r="A177" s="15"/>
      <c r="B177" s="668"/>
      <c r="C177" s="668"/>
      <c r="D177" s="668"/>
      <c r="E177" s="668"/>
      <c r="F177" s="668">
        <v>4</v>
      </c>
      <c r="G177" s="668">
        <v>9</v>
      </c>
      <c r="H177" s="668"/>
      <c r="I177" s="668"/>
      <c r="J177" s="668"/>
      <c r="K177" s="668"/>
      <c r="L177" s="668"/>
      <c r="M177" s="668"/>
      <c r="N177" s="668"/>
      <c r="O177" s="291"/>
      <c r="P177" s="668"/>
      <c r="Q177" s="668"/>
      <c r="R177" s="16"/>
      <c r="S177" s="101" t="s">
        <v>2558</v>
      </c>
      <c r="T177" s="383" t="s">
        <v>2572</v>
      </c>
      <c r="U177" s="201"/>
      <c r="V177" s="195">
        <f>IF(V176&lt;START!$C$2+2021,0,V48)</f>
        <v>0</v>
      </c>
      <c r="W177" s="195">
        <f>IF(W176&lt;START!$C$2+2021,0,W48)</f>
        <v>0</v>
      </c>
      <c r="X177" s="195">
        <f>IF(X176&lt;START!$C$2+2021,0,X48)</f>
        <v>0</v>
      </c>
      <c r="Y177" s="195">
        <f>IF(Y176&lt;START!$C$2+2021,0,Y48)</f>
        <v>22.834876055489818</v>
      </c>
      <c r="Z177" s="195">
        <f>IF(Z176&lt;START!$C$2+2021,0,Z48)</f>
        <v>23.015428153567143</v>
      </c>
      <c r="AA177" s="195">
        <f>IF(AA176&lt;START!$C$2+2021,0,AA48)</f>
        <v>23.196991199469142</v>
      </c>
      <c r="AB177" s="195">
        <f>IF(AB176&lt;START!$C$2+2021,0,AB48)</f>
        <v>23.379615766568435</v>
      </c>
      <c r="AC177" s="195">
        <f>IF(AC176&lt;START!$C$2+2021,0,AC48)</f>
        <v>23.561029081636899</v>
      </c>
      <c r="AD177" s="195">
        <f>IF(AD176&lt;START!$C$2+2021,0,AD48)</f>
        <v>23.743190824943646</v>
      </c>
      <c r="AE177" s="195">
        <f>IF(AE176&lt;START!$C$2+2021,0,AE48)</f>
        <v>23.926174584952381</v>
      </c>
      <c r="AF177" s="195">
        <f>IF(AF176&lt;START!$C$2+2021,0,AF48)</f>
        <v>24.11004812885297</v>
      </c>
      <c r="AG177" s="195">
        <f>IF(AG176&lt;START!$C$2+2021,0,AG48)</f>
        <v>24.294873913801055</v>
      </c>
      <c r="AH177" s="195">
        <f>IF(AH176&lt;START!$C$2+2021,0,AH48)</f>
        <v>24.45676224506683</v>
      </c>
      <c r="AI177" s="195">
        <f>IF(AI176&lt;START!$C$2+2021,0,AI48)</f>
        <v>24.619398367866726</v>
      </c>
      <c r="AJ177" s="195">
        <f>IF(AJ176&lt;START!$C$2+2021,0,AJ48)</f>
        <v>24.782818532040448</v>
      </c>
      <c r="AK177" s="195">
        <f>IF(AK176&lt;START!$C$2+2021,0,AK48)</f>
        <v>24.947056638305824</v>
      </c>
      <c r="AL177" s="195">
        <f>IF(AL176&lt;START!$C$2+2021,0,AL48)</f>
        <v>25.112144418080547</v>
      </c>
      <c r="AM177" s="195">
        <f>IF(AM176&lt;START!$C$2+2021,0,AM48)</f>
        <v>25.274292932162897</v>
      </c>
      <c r="AN177" s="195">
        <f>IF(AN176&lt;START!$C$2+2021,0,AN48)</f>
        <v>25.437131026973475</v>
      </c>
      <c r="AO177" s="195">
        <f>IF(AO176&lt;START!$C$2+2021,0,AO48)</f>
        <v>25.600696996552397</v>
      </c>
      <c r="AP177" s="195">
        <f>IF(AP176&lt;START!$C$2+2021,0,AP48)</f>
        <v>25.765026556049694</v>
      </c>
      <c r="AQ177" s="195">
        <f>IF(AQ176&lt;START!$C$2+2021,0,AQ48)</f>
        <v>25.930153038958462</v>
      </c>
      <c r="AR177" s="195">
        <f>IF(AR176&lt;START!$C$2+2021,0,AR48)</f>
        <v>26.096107580265212</v>
      </c>
      <c r="AS177" s="195">
        <f>IF(AS176&lt;START!$C$2+2021,0,AS48)</f>
        <v>26.262919286490934</v>
      </c>
      <c r="AT177" s="195">
        <f>IF(AT176&lt;START!$C$2+2021,0,AT48)</f>
        <v>26.430615393530644</v>
      </c>
      <c r="AU177" s="195">
        <f>IF(AU176&lt;START!$C$2+2021,0,AU48)</f>
        <v>26.599221413137872</v>
      </c>
      <c r="AV177" s="195">
        <f>IF(AV176&lt;START!$C$2+2021,0,AV48)</f>
        <v>26.768761268843267</v>
      </c>
      <c r="AW177" s="195">
        <f>IF(AW176&lt;START!$C$2+2021,0,AW48)</f>
        <v>26.944010292656621</v>
      </c>
      <c r="AX177" s="195">
        <f>IF(AX176&lt;START!$C$2+2021,0,AX48)</f>
        <v>27.120393198651819</v>
      </c>
      <c r="AY177" s="195">
        <f>IF(AY176&lt;START!$C$2+2021,0,AY48)</f>
        <v>27.297923624065266</v>
      </c>
      <c r="AZ177" s="195">
        <f>IF(AZ176&lt;START!$C$2+2021,0,AZ48)</f>
        <v>27.476614626218939</v>
      </c>
      <c r="BA177" s="707">
        <f>IF(BA176&lt;START!$C$2+2021,0,BA48)</f>
        <v>27.656478735658052</v>
      </c>
    </row>
    <row r="178" spans="1:65" ht="20.100000000000001" customHeight="1">
      <c r="A178" s="15"/>
      <c r="B178" s="422" t="str">
        <f>IF(G177&lt;F177,"! end year has to be after start year!","")</f>
        <v/>
      </c>
      <c r="C178" s="422"/>
      <c r="D178" s="422"/>
      <c r="E178" s="422"/>
      <c r="F178" s="422"/>
      <c r="G178" s="422"/>
      <c r="H178" s="426"/>
      <c r="I178" s="668"/>
      <c r="J178" s="668"/>
      <c r="K178" s="668"/>
      <c r="L178" s="668"/>
      <c r="M178" s="668"/>
      <c r="N178" s="668"/>
      <c r="O178" s="291"/>
      <c r="P178" s="668"/>
      <c r="Q178" s="668"/>
      <c r="R178" s="16"/>
      <c r="S178" s="101" t="s">
        <v>2559</v>
      </c>
      <c r="T178" s="383" t="s">
        <v>2572</v>
      </c>
      <c r="U178" s="201"/>
      <c r="V178" s="195">
        <f>IF(V176&lt;START!$C$2+2021,0,V87)</f>
        <v>0</v>
      </c>
      <c r="W178" s="195">
        <f>IF(W176&lt;START!$C$2+2021,0,W87)</f>
        <v>0</v>
      </c>
      <c r="X178" s="195">
        <f>IF(X176&lt;START!$C$2+2021,0,X87)</f>
        <v>0</v>
      </c>
      <c r="Y178" s="195">
        <f>IF(Y176&lt;START!$C$2+2021,0,Y87)</f>
        <v>314.55178059938839</v>
      </c>
      <c r="Z178" s="195">
        <f>IF(Z176&lt;START!$C$2+2021,0,Z87)</f>
        <v>320.8428162113762</v>
      </c>
      <c r="AA178" s="195">
        <f>IF(AA176&lt;START!$C$2+2021,0,AA87)</f>
        <v>327.30146238496189</v>
      </c>
      <c r="AB178" s="195">
        <f>IF(AB176&lt;START!$C$2+2021,0,AB87)</f>
        <v>333.84425208353889</v>
      </c>
      <c r="AC178" s="195">
        <f>IF(AC176&lt;START!$C$2+2021,0,AC87)</f>
        <v>340.51808391495291</v>
      </c>
      <c r="AD178" s="195">
        <f>IF(AD176&lt;START!$C$2+2021,0,AD87)</f>
        <v>347.32556800364927</v>
      </c>
      <c r="AE178" s="195">
        <f>IF(AE176&lt;START!$C$2+2021,0,AE87)</f>
        <v>354.2693672930734</v>
      </c>
      <c r="AF178" s="195">
        <f>IF(AF176&lt;START!$C$2+2021,0,AF87)</f>
        <v>361.35219856658972</v>
      </c>
      <c r="AG178" s="195">
        <f>IF(AG176&lt;START!$C$2+2021,0,AG87)</f>
        <v>368.57683349085778</v>
      </c>
      <c r="AH178" s="195">
        <f>IF(AH176&lt;START!$C$2+2021,0,AH87)</f>
        <v>373.36607742927862</v>
      </c>
      <c r="AI178" s="195">
        <f>IF(AI176&lt;START!$C$2+2021,0,AI87)</f>
        <v>378.21772582524579</v>
      </c>
      <c r="AJ178" s="195">
        <f>IF(AJ176&lt;START!$C$2+2021,0,AJ87)</f>
        <v>383.13258070411223</v>
      </c>
      <c r="AK178" s="195">
        <f>IF(AK176&lt;START!$C$2+2021,0,AK87)</f>
        <v>388.11172274773418</v>
      </c>
      <c r="AL178" s="195">
        <f>IF(AL176&lt;START!$C$2+2021,0,AL87)</f>
        <v>393.15567721258287</v>
      </c>
      <c r="AM178" s="195">
        <f>IF(AM176&lt;START!$C$2+2021,0,AM87)</f>
        <v>398.26528224363159</v>
      </c>
      <c r="AN178" s="195">
        <f>IF(AN176&lt;START!$C$2+2021,0,AN87)</f>
        <v>403.44138711512818</v>
      </c>
      <c r="AO178" s="195">
        <f>IF(AO176&lt;START!$C$2+2021,0,AO87)</f>
        <v>408.68485236294202</v>
      </c>
      <c r="AP178" s="195">
        <f>IF(AP176&lt;START!$C$2+2021,0,AP87)</f>
        <v>413.99654991928406</v>
      </c>
      <c r="AQ178" s="195">
        <f>IF(AQ176&lt;START!$C$2+2021,0,AQ87)</f>
        <v>419.37736324979431</v>
      </c>
      <c r="AR178" s="195">
        <f>IF(AR176&lt;START!$C$2+2021,0,AR87)</f>
        <v>424.82818749299651</v>
      </c>
      <c r="AS178" s="195">
        <f>IF(AS176&lt;START!$C$2+2021,0,AS87)</f>
        <v>430.34992960212054</v>
      </c>
      <c r="AT178" s="195">
        <f>IF(AT176&lt;START!$C$2+2021,0,AT87)</f>
        <v>435.94350848929133</v>
      </c>
      <c r="AU178" s="195">
        <f>IF(AU176&lt;START!$C$2+2021,0,AU87)</f>
        <v>441.6098551720907</v>
      </c>
      <c r="AV178" s="195">
        <f>IF(AV176&lt;START!$C$2+2021,0,AV87)</f>
        <v>447.34991292249316</v>
      </c>
      <c r="AW178" s="195">
        <f>IF(AW176&lt;START!$C$2+2021,0,AW87)</f>
        <v>453.16463741818649</v>
      </c>
      <c r="AX178" s="195">
        <f>IF(AX176&lt;START!$C$2+2021,0,AX87)</f>
        <v>459.05499689627783</v>
      </c>
      <c r="AY178" s="195">
        <f>IF(AY176&lt;START!$C$2+2021,0,AY87)</f>
        <v>465.02197230940129</v>
      </c>
      <c r="AZ178" s="195">
        <f>IF(AZ176&lt;START!$C$2+2021,0,AZ87)</f>
        <v>471.06655748423185</v>
      </c>
      <c r="BA178" s="707">
        <f>IF(BA176&lt;START!$C$2+2021,0,BA87)</f>
        <v>477.18975928241821</v>
      </c>
    </row>
    <row r="179" spans="1:65" ht="20.100000000000001" customHeight="1">
      <c r="A179" s="15"/>
      <c r="B179" s="422" t="str">
        <f>IF(F177&lt;START!$C$2,"Policy period starts before the starting year for the study","")</f>
        <v/>
      </c>
      <c r="C179" s="422"/>
      <c r="D179" s="422"/>
      <c r="E179" s="422"/>
      <c r="F179" s="1472" t="s">
        <v>571</v>
      </c>
      <c r="G179" s="1472" t="s">
        <v>1782</v>
      </c>
      <c r="H179" s="668"/>
      <c r="I179" s="668"/>
      <c r="J179" s="668"/>
      <c r="K179" s="668"/>
      <c r="L179" s="668"/>
      <c r="M179" s="668"/>
      <c r="N179" s="668"/>
      <c r="O179" s="291"/>
      <c r="P179" s="668"/>
      <c r="Q179" s="668"/>
      <c r="R179" s="16"/>
      <c r="S179" s="101" t="s">
        <v>2344</v>
      </c>
      <c r="T179" s="383" t="s">
        <v>2571</v>
      </c>
      <c r="U179" s="201"/>
      <c r="V179" s="195">
        <f>IF(V176&lt;START!$C$2+2021,0,V98/V8*1000)</f>
        <v>0</v>
      </c>
      <c r="W179" s="195">
        <f>IF(W176&lt;START!$C$2+2021,0,W98/W8*1000)</f>
        <v>0</v>
      </c>
      <c r="X179" s="195">
        <f>IF(X176&lt;START!$C$2+2021,0,X98/X8*1000)</f>
        <v>0</v>
      </c>
      <c r="Y179" s="195">
        <f>IF(Y176&lt;START!$C$2+2021,0,Y98/Y8*1000)</f>
        <v>5.0843462960302963</v>
      </c>
      <c r="Z179" s="195">
        <f>IF(Z176&lt;START!$C$2+2021,0,Z98/Z8*1000)</f>
        <v>4.7875363012624588</v>
      </c>
      <c r="AA179" s="195">
        <f>IF(AA176&lt;START!$C$2+2021,0,AA98/AA8*1000)</f>
        <v>4.5080558809591995</v>
      </c>
      <c r="AB179" s="195">
        <f>IF(AB176&lt;START!$C$2+2021,0,AB98/AB8*1000)</f>
        <v>4.2448928311042806</v>
      </c>
      <c r="AC179" s="195">
        <f>IF(AC176&lt;START!$C$2+2021,0,AC98/AC8*1000)</f>
        <v>3.9970941041589634</v>
      </c>
      <c r="AD179" s="195">
        <f>IF(AD176&lt;START!$C$2+2021,0,AD98/AD8*1000)</f>
        <v>3.7637623492286085</v>
      </c>
      <c r="AE179" s="195">
        <f>IF(AE176&lt;START!$C$2+2021,0,AE98/AE8*1000)</f>
        <v>3.5440526547527389</v>
      </c>
      <c r="AF179" s="195">
        <f>IF(AF176&lt;START!$C$2+2021,0,AF98/AF8*1000)</f>
        <v>3.3371694818527309</v>
      </c>
      <c r="AG179" s="195">
        <f>IF(AG176&lt;START!$C$2+2021,0,AG98/AG8*1000)</f>
        <v>3.1423637771671995</v>
      </c>
      <c r="AH179" s="195">
        <f>IF(AH176&lt;START!$C$2+2021,0,AH98/AH8*1000)</f>
        <v>2.9911491789633122</v>
      </c>
      <c r="AI179" s="195">
        <f>IF(AI176&lt;START!$C$2+2021,0,AI98/AI8*1000)</f>
        <v>2.8472066229966568</v>
      </c>
      <c r="AJ179" s="195">
        <f>IF(AJ176&lt;START!$C$2+2021,0,AJ98/AJ8*1000)</f>
        <v>2.7101864987228184</v>
      </c>
      <c r="AK179" s="195">
        <f>IF(AK176&lt;START!$C$2+2021,0,AK98/AK8*1000)</f>
        <v>2.5797698323071501</v>
      </c>
      <c r="AL179" s="195">
        <f>IF(AL176&lt;START!$C$2+2021,0,AL98/AL8*1000)</f>
        <v>2.4556247381510392</v>
      </c>
      <c r="AM179" s="195">
        <f>IF(AM176&lt;START!$C$2+2021,0,AM98/AM8*1000)</f>
        <v>2.3374497268341199</v>
      </c>
      <c r="AN179" s="195">
        <f>IF(AN176&lt;START!$C$2+2021,0,AN98/AN8*1000)</f>
        <v>2.2249698367119288</v>
      </c>
      <c r="AO179" s="195">
        <f>IF(AO176&lt;START!$C$2+2021,0,AO98/AO8*1000)</f>
        <v>2.1178987415886841</v>
      </c>
      <c r="AP179" s="195">
        <f>IF(AP176&lt;START!$C$2+2021,0,AP98/AP8*1000)</f>
        <v>2.0159764464785099</v>
      </c>
      <c r="AQ179" s="195">
        <f>IF(AQ176&lt;START!$C$2+2021,0,AQ98/AQ8*1000)</f>
        <v>1.9189659269850119</v>
      </c>
      <c r="AR179" s="195">
        <f>IF(AR176&lt;START!$C$2+2021,0,AR98/AR8*1000)</f>
        <v>1.8266201584243102</v>
      </c>
      <c r="AS179" s="195">
        <f>IF(AS176&lt;START!$C$2+2021,0,AS98/AS8*1000)</f>
        <v>1.7387149266308206</v>
      </c>
      <c r="AT179" s="195">
        <f>IF(AT176&lt;START!$C$2+2021,0,AT98/AT8*1000)</f>
        <v>1.6550459083934281</v>
      </c>
      <c r="AU179" s="195">
        <f>IF(AU176&lt;START!$C$2+2021,0,AU98/AU8*1000)</f>
        <v>1.5753999828157155</v>
      </c>
      <c r="AV179" s="195">
        <f>IF(AV176&lt;START!$C$2+2021,0,AV98/AV8*1000)</f>
        <v>1.4995920988479854</v>
      </c>
      <c r="AW179" s="195">
        <f>IF(AW176&lt;START!$C$2+2021,0,AW98/AW8*1000)</f>
        <v>1.4274291278790103</v>
      </c>
      <c r="AX179" s="195">
        <f>IF(AX176&lt;START!$C$2+2021,0,AX98/AX8*1000)</f>
        <v>1.3587358986836289</v>
      </c>
      <c r="AY179" s="195">
        <f>IF(AY176&lt;START!$C$2+2021,0,AY98/AY8*1000)</f>
        <v>1.293352888189089</v>
      </c>
      <c r="AZ179" s="195">
        <f>IF(AZ176&lt;START!$C$2+2021,0,AZ98/AZ8*1000)</f>
        <v>1.2311134697856603</v>
      </c>
      <c r="BA179" s="707">
        <f>IF(BA176&lt;START!$C$2+2021,0,BA98/BA8*1000)</f>
        <v>1.1718665744404066</v>
      </c>
    </row>
    <row r="180" spans="1:65" ht="20.100000000000001" customHeight="1">
      <c r="A180" s="15"/>
      <c r="B180" s="668"/>
      <c r="C180" s="668"/>
      <c r="D180" s="668"/>
      <c r="E180" s="668"/>
      <c r="F180" s="1472"/>
      <c r="G180" s="1472"/>
      <c r="H180" s="1472" t="s">
        <v>1780</v>
      </c>
      <c r="I180" s="668"/>
      <c r="J180" s="668"/>
      <c r="K180" s="668"/>
      <c r="L180" s="668"/>
      <c r="M180" s="668"/>
      <c r="N180" s="668"/>
      <c r="O180" s="291"/>
      <c r="P180" s="668"/>
      <c r="Q180" s="668"/>
      <c r="R180" s="16"/>
      <c r="S180" s="101" t="s">
        <v>2480</v>
      </c>
      <c r="T180" s="383" t="s">
        <v>2571</v>
      </c>
      <c r="U180" s="201"/>
      <c r="V180" s="195">
        <f>IF(V176&lt;START!$C$2+2021,0,V108/V8*1000)</f>
        <v>0</v>
      </c>
      <c r="W180" s="195">
        <f>IF(W176&lt;START!$C$2+2021,0,W108/W8*1000)</f>
        <v>0</v>
      </c>
      <c r="X180" s="195">
        <f>IF(X176&lt;START!$C$2+2021,0,X108/X8*1000)</f>
        <v>0</v>
      </c>
      <c r="Y180" s="195">
        <f>IF(Y176&lt;START!$C$2+2021,0,Y108/Y8*1000)</f>
        <v>0.45024085594741248</v>
      </c>
      <c r="Z180" s="195">
        <f>IF(Z176&lt;START!$C$2+2021,0,Z108/Z8*1000)</f>
        <v>0.42395704711197629</v>
      </c>
      <c r="AA180" s="195">
        <f>IF(AA176&lt;START!$C$2+2021,0,AA108/AA8*1000)</f>
        <v>0.39920784705136492</v>
      </c>
      <c r="AB180" s="195">
        <f>IF(AB176&lt;START!$C$2+2021,0,AB108/AB8*1000)</f>
        <v>0.37590362072183242</v>
      </c>
      <c r="AC180" s="195">
        <f>IF(AC176&lt;START!$C$2+2021,0,AC108/AC8*1000)</f>
        <v>0.35395997164158632</v>
      </c>
      <c r="AD180" s="195">
        <f>IF(AD176&lt;START!$C$2+2021,0,AD108/AD8*1000)</f>
        <v>0.33329743550757446</v>
      </c>
      <c r="AE180" s="195">
        <f>IF(AE176&lt;START!$C$2+2021,0,AE108/AE8*1000)</f>
        <v>0.31384119174660252</v>
      </c>
      <c r="AF180" s="195">
        <f>IF(AF176&lt;START!$C$2+2021,0,AF108/AF8*1000)</f>
        <v>0.29552079195000674</v>
      </c>
      <c r="AG180" s="195">
        <f>IF(AG176&lt;START!$C$2+2021,0,AG108/AG8*1000)</f>
        <v>0.27826990420273945</v>
      </c>
      <c r="AH180" s="195">
        <f>IF(AH176&lt;START!$C$2+2021,0,AH108/AH8*1000)</f>
        <v>0.26461823275340424</v>
      </c>
      <c r="AI180" s="195">
        <f>IF(AI176&lt;START!$C$2+2021,0,AI108/AI8*1000)</f>
        <v>0.25163589355447658</v>
      </c>
      <c r="AJ180" s="195">
        <f>IF(AJ176&lt;START!$C$2+2021,0,AJ108/AJ8*1000)</f>
        <v>0.23929007966136354</v>
      </c>
      <c r="AK180" s="195">
        <f>IF(AK176&lt;START!$C$2+2021,0,AK108/AK8*1000)</f>
        <v>0.22755081190898757</v>
      </c>
      <c r="AL180" s="195">
        <f>IF(AL176&lt;START!$C$2+2021,0,AL108/AL8*1000)</f>
        <v>0.21638708784791263</v>
      </c>
      <c r="AM180" s="195">
        <f>IF(AM176&lt;START!$C$2+2021,0,AM108/AM8*1000)</f>
        <v>0.20577069956091784</v>
      </c>
      <c r="AN180" s="195">
        <f>IF(AN176&lt;START!$C$2+2021,0,AN108/AN8*1000)</f>
        <v>0.19567587998379296</v>
      </c>
      <c r="AO180" s="195">
        <f>IF(AO176&lt;START!$C$2+2021,0,AO108/AO8*1000)</f>
        <v>0.1860759619768185</v>
      </c>
      <c r="AP180" s="195">
        <f>IF(AP176&lt;START!$C$2+2021,0,AP108/AP8*1000)</f>
        <v>0.1769466916435288</v>
      </c>
      <c r="AQ180" s="195">
        <f>IF(AQ176&lt;START!$C$2+2021,0,AQ108/AQ8*1000)</f>
        <v>0.16826592201827936</v>
      </c>
      <c r="AR180" s="195">
        <f>IF(AR176&lt;START!$C$2+2021,0,AR108/AR8*1000)</f>
        <v>0.16001071469105488</v>
      </c>
      <c r="AS180" s="195">
        <f>IF(AS176&lt;START!$C$2+2021,0,AS108/AS8*1000)</f>
        <v>0.15216021528982798</v>
      </c>
      <c r="AT180" s="195">
        <f>IF(AT176&lt;START!$C$2+2021,0,AT108/AT8*1000)</f>
        <v>0.14469538818461122</v>
      </c>
      <c r="AU180" s="195">
        <f>IF(AU176&lt;START!$C$2+2021,0,AU108/AU8*1000)</f>
        <v>0.13759650204129492</v>
      </c>
      <c r="AV180" s="195">
        <f>IF(AV176&lt;START!$C$2+2021,0,AV108/AV8*1000)</f>
        <v>0.13084635029248237</v>
      </c>
      <c r="AW180" s="195">
        <f>IF(AW176&lt;START!$C$2+2021,0,AW108/AW8*1000)</f>
        <v>0.12442708796685657</v>
      </c>
      <c r="AX180" s="195">
        <f>IF(AX176&lt;START!$C$2+2021,0,AX108/AX8*1000)</f>
        <v>0.11832250219324818</v>
      </c>
      <c r="AY180" s="195">
        <f>IF(AY176&lt;START!$C$2+2021,0,AY108/AY8*1000)</f>
        <v>0.11251780343427768</v>
      </c>
      <c r="AZ180" s="195">
        <f>IF(AZ176&lt;START!$C$2+2021,0,AZ108/AZ8*1000)</f>
        <v>0.10699764125076651</v>
      </c>
      <c r="BA180" s="707">
        <f>IF(BA176&lt;START!$C$2+2021,0,BA108/BA8*1000)</f>
        <v>0.10174807477126652</v>
      </c>
    </row>
    <row r="181" spans="1:65" ht="20.100000000000001" customHeight="1">
      <c r="A181" s="752"/>
      <c r="B181" s="414" t="s">
        <v>573</v>
      </c>
      <c r="C181" s="414"/>
      <c r="D181" s="414"/>
      <c r="E181" s="414"/>
      <c r="F181" s="241">
        <f>2021+G187</f>
        <v>2026</v>
      </c>
      <c r="G181" s="859">
        <f>2021+G187</f>
        <v>2026</v>
      </c>
      <c r="H181" s="1477"/>
      <c r="I181" s="262"/>
      <c r="J181" s="262"/>
      <c r="K181" s="262"/>
      <c r="L181" s="262"/>
      <c r="M181" s="262"/>
      <c r="N181" s="262"/>
      <c r="O181" s="412"/>
      <c r="P181" s="668"/>
      <c r="Q181" s="668"/>
      <c r="R181" s="16"/>
      <c r="S181" s="101" t="s">
        <v>2560</v>
      </c>
      <c r="T181" s="383" t="s">
        <v>2572</v>
      </c>
      <c r="U181" s="201"/>
      <c r="V181" s="195">
        <f>IF(V176&lt;(START!$C$2+2021),0,V120)</f>
        <v>0</v>
      </c>
      <c r="W181" s="195">
        <f>IF(W176&lt;(START!$C$2+2021),0,W120)</f>
        <v>0</v>
      </c>
      <c r="X181" s="195">
        <f>IF(X176&lt;(START!$C$2+2021),0,X120)</f>
        <v>0</v>
      </c>
      <c r="Y181" s="195">
        <f>IF(Y176&lt;(START!$C$2+2021),0,Y120)</f>
        <v>6.2246745528425063</v>
      </c>
      <c r="Z181" s="195">
        <f>IF(Z176&lt;(START!$C$2+2021),0,Z120)</f>
        <v>6.0220589825944302</v>
      </c>
      <c r="AA181" s="195">
        <f>IF(AA176&lt;(START!$C$2+2021),0,AA120)</f>
        <v>5.8347967294785521</v>
      </c>
      <c r="AB181" s="195">
        <f>IF(AB176&lt;(START!$C$2+2021),0,AB120)</f>
        <v>5.6619751801522344</v>
      </c>
      <c r="AC181" s="195">
        <f>IF(AC176&lt;(START!$C$2+2021),0,AC120)</f>
        <v>5.5027390526927062</v>
      </c>
      <c r="AD181" s="195">
        <f>IF(AD176&lt;(START!$C$2+2021),0,AD120)</f>
        <v>5.3562868433470392</v>
      </c>
      <c r="AE181" s="195">
        <f>IF(AE176&lt;(START!$C$2+2021),0,AE120)</f>
        <v>5.221867494220942</v>
      </c>
      <c r="AF181" s="195">
        <f>IF(AF176&lt;(START!$C$2+2021),0,AF120)</f>
        <v>5.0987772681793322</v>
      </c>
      <c r="AG181" s="195">
        <f>IF(AG176&lt;(START!$C$2+2021),0,AG120)</f>
        <v>4.9863568180846887</v>
      </c>
      <c r="AH181" s="195">
        <f>IF(AH176&lt;(START!$C$2+2021),0,AH120)</f>
        <v>4.9047934829718569</v>
      </c>
      <c r="AI181" s="195">
        <f>IF(AI176&lt;(START!$C$2+2021),0,AI120)</f>
        <v>4.8299459988471289</v>
      </c>
      <c r="AJ181" s="195">
        <f>IF(AJ176&lt;(START!$C$2+2021),0,AJ120)</f>
        <v>4.7615004924613835</v>
      </c>
      <c r="AK181" s="195">
        <f>IF(AK176&lt;(START!$C$2+2021),0,AK120)</f>
        <v>4.6991598701779242</v>
      </c>
      <c r="AL181" s="195">
        <f>IF(AL176&lt;(START!$C$2+2021),0,AL120)</f>
        <v>4.6426429537531204</v>
      </c>
      <c r="AM181" s="195">
        <f>IF(AM176&lt;(START!$C$2+2021),0,AM120)</f>
        <v>4.5916836610740344</v>
      </c>
      <c r="AN181" s="195">
        <f>IF(AN176&lt;(START!$C$2+2021),0,AN120)</f>
        <v>4.5460302295206247</v>
      </c>
      <c r="AO181" s="195">
        <f>IF(AO176&lt;(START!$C$2+2021),0,AO120)</f>
        <v>4.5054444797412527</v>
      </c>
      <c r="AP181" s="195">
        <f>IF(AP176&lt;(START!$C$2+2021),0,AP120)</f>
        <v>4.4697011177450188</v>
      </c>
      <c r="AQ181" s="195">
        <f>IF(AQ176&lt;(START!$C$2+2021),0,AQ120)</f>
        <v>4.4385870733232693</v>
      </c>
      <c r="AR181" s="195">
        <f>IF(AR176&lt;(START!$C$2+2021),0,AR120)</f>
        <v>4.411900872915858</v>
      </c>
      <c r="AS181" s="195">
        <f>IF(AS176&lt;(START!$C$2+2021),0,AS120)</f>
        <v>4.3894520451355596</v>
      </c>
      <c r="AT181" s="195">
        <f>IF(AT176&lt;(START!$C$2+2021),0,AT120)</f>
        <v>4.3710605572567935</v>
      </c>
      <c r="AU181" s="195">
        <f>IF(AU176&lt;(START!$C$2+2021),0,AU120)</f>
        <v>4.3565562810627947</v>
      </c>
      <c r="AV181" s="195">
        <f>IF(AV176&lt;(START!$C$2+2021),0,AV120)</f>
        <v>4.3457784865286904</v>
      </c>
      <c r="AW181" s="195">
        <f>IF(AW176&lt;(START!$C$2+2021),0,AW120)</f>
        <v>4.3385753618970737</v>
      </c>
      <c r="AX181" s="195">
        <f>IF(AX176&lt;(START!$C$2+2021),0,AX120)</f>
        <v>4.3348035587775415</v>
      </c>
      <c r="AY181" s="195">
        <f>IF(AY176&lt;(START!$C$2+2021),0,AY120)</f>
        <v>4.3343277609727764</v>
      </c>
      <c r="AZ181" s="195">
        <f>IF(AZ176&lt;(START!$C$2+2021),0,AZ120)</f>
        <v>4.3370202758010956</v>
      </c>
      <c r="BA181" s="707">
        <f>IF(BA176&lt;(START!$C$2+2021),0,BA120)</f>
        <v>4.3427606467492827</v>
      </c>
    </row>
    <row r="182" spans="1:65" ht="20.100000000000001" customHeight="1">
      <c r="A182" s="15"/>
      <c r="B182" s="388" t="s">
        <v>2727</v>
      </c>
      <c r="C182" s="388"/>
      <c r="D182" s="388"/>
      <c r="E182" s="388"/>
      <c r="F182" s="425">
        <f>INDEX($Y$286:$BA$288,1,$G$187)</f>
        <v>0</v>
      </c>
      <c r="G182" s="429">
        <v>58.6</v>
      </c>
      <c r="H182" s="859"/>
      <c r="I182" s="668"/>
      <c r="J182" s="668"/>
      <c r="K182" s="668"/>
      <c r="L182" s="668"/>
      <c r="M182" s="668"/>
      <c r="N182" s="668"/>
      <c r="O182" s="291"/>
      <c r="P182" s="668"/>
      <c r="Q182" s="668"/>
      <c r="R182" s="243"/>
      <c r="S182" s="101" t="s">
        <v>2561</v>
      </c>
      <c r="T182" s="383" t="s">
        <v>2572</v>
      </c>
      <c r="U182" s="201"/>
      <c r="V182" s="195">
        <f>IF(V176&lt;START!$C$2+2021,0,V132)</f>
        <v>0</v>
      </c>
      <c r="W182" s="195">
        <f>IF(W176&lt;START!$C$2+2021,0,W132)</f>
        <v>0</v>
      </c>
      <c r="X182" s="195">
        <f>IF(X176&lt;START!$C$2+2021,0,X132)</f>
        <v>0</v>
      </c>
      <c r="Y182" s="195">
        <f>IF(Y176&lt;START!$C$2+2021,0,Y132)</f>
        <v>0</v>
      </c>
      <c r="Z182" s="195">
        <f>IF(Z176&lt;START!$C$2+2021,0,Z132)</f>
        <v>0</v>
      </c>
      <c r="AA182" s="195">
        <f>IF(AA176&lt;START!$C$2+2021,0,AA132)</f>
        <v>0</v>
      </c>
      <c r="AB182" s="195">
        <f>IF(AB176&lt;START!$C$2+2021,0,AB132)</f>
        <v>0</v>
      </c>
      <c r="AC182" s="195">
        <f>IF(AC176&lt;START!$C$2+2021,0,AC132)</f>
        <v>0</v>
      </c>
      <c r="AD182" s="195">
        <f>IF(AD176&lt;START!$C$2+2021,0,AD132)</f>
        <v>0</v>
      </c>
      <c r="AE182" s="195">
        <f>IF(AE176&lt;START!$C$2+2021,0,AE132)</f>
        <v>0</v>
      </c>
      <c r="AF182" s="195">
        <f>IF(AF176&lt;START!$C$2+2021,0,AF132)</f>
        <v>0</v>
      </c>
      <c r="AG182" s="195">
        <f>IF(AG176&lt;START!$C$2+2021,0,AG132)</f>
        <v>0</v>
      </c>
      <c r="AH182" s="195">
        <f>IF(AH176&lt;START!$C$2+2021,0,AH132)</f>
        <v>0</v>
      </c>
      <c r="AI182" s="195">
        <f>IF(AI176&lt;START!$C$2+2021,0,AI132)</f>
        <v>0</v>
      </c>
      <c r="AJ182" s="195">
        <f>IF(AJ176&lt;START!$C$2+2021,0,AJ132)</f>
        <v>0</v>
      </c>
      <c r="AK182" s="195">
        <f>IF(AK176&lt;START!$C$2+2021,0,AK132)</f>
        <v>0</v>
      </c>
      <c r="AL182" s="195">
        <f>IF(AL176&lt;START!$C$2+2021,0,AL132)</f>
        <v>0</v>
      </c>
      <c r="AM182" s="195">
        <f>IF(AM176&lt;START!$C$2+2021,0,AM132)</f>
        <v>0</v>
      </c>
      <c r="AN182" s="195">
        <f>IF(AN176&lt;START!$C$2+2021,0,AN132)</f>
        <v>0</v>
      </c>
      <c r="AO182" s="195">
        <f>IF(AO176&lt;START!$C$2+2021,0,AO132)</f>
        <v>0</v>
      </c>
      <c r="AP182" s="195">
        <f>IF(AP176&lt;START!$C$2+2021,0,AP132)</f>
        <v>0</v>
      </c>
      <c r="AQ182" s="195">
        <f>IF(AQ176&lt;START!$C$2+2021,0,AQ132)</f>
        <v>0</v>
      </c>
      <c r="AR182" s="195">
        <f>IF(AR176&lt;START!$C$2+2021,0,AR132)</f>
        <v>0</v>
      </c>
      <c r="AS182" s="195">
        <f>IF(AS176&lt;START!$C$2+2021,0,AS132)</f>
        <v>0</v>
      </c>
      <c r="AT182" s="195">
        <f>IF(AT176&lt;START!$C$2+2021,0,AT132)</f>
        <v>0</v>
      </c>
      <c r="AU182" s="195">
        <f>IF(AU176&lt;START!$C$2+2021,0,AU132)</f>
        <v>0</v>
      </c>
      <c r="AV182" s="195">
        <f>IF(AV176&lt;START!$C$2+2021,0,AV132)</f>
        <v>0</v>
      </c>
      <c r="AW182" s="195">
        <f>IF(AW176&lt;START!$C$2+2021,0,AW132)</f>
        <v>0</v>
      </c>
      <c r="AX182" s="195">
        <f>IF(AX176&lt;START!$C$2+2021,0,AX132)</f>
        <v>0</v>
      </c>
      <c r="AY182" s="195">
        <f>IF(AY176&lt;START!$C$2+2021,0,AY132)</f>
        <v>0</v>
      </c>
      <c r="AZ182" s="195">
        <f>IF(AZ176&lt;START!$C$2+2021,0,AZ132)</f>
        <v>0</v>
      </c>
      <c r="BA182" s="707">
        <f>IF(BA176&lt;START!$C$2+2021,0,BA132)</f>
        <v>0</v>
      </c>
    </row>
    <row r="183" spans="1:65" ht="20.100000000000001" customHeight="1">
      <c r="A183" s="15"/>
      <c r="B183" s="388" t="s">
        <v>2728</v>
      </c>
      <c r="C183" s="388"/>
      <c r="D183" s="388"/>
      <c r="E183" s="388"/>
      <c r="F183" s="425">
        <f>INDEX($Y$286:$BA$288,3,$G$187)</f>
        <v>0</v>
      </c>
      <c r="G183" s="429">
        <v>0</v>
      </c>
      <c r="H183" s="426"/>
      <c r="I183" s="668"/>
      <c r="J183" s="668"/>
      <c r="K183" s="668"/>
      <c r="L183" s="668"/>
      <c r="M183" s="668"/>
      <c r="N183" s="668"/>
      <c r="O183" s="291"/>
      <c r="P183" s="668"/>
      <c r="Q183" s="668"/>
      <c r="R183" s="243"/>
      <c r="S183" s="101" t="s">
        <v>2562</v>
      </c>
      <c r="T183" s="383" t="s">
        <v>2572</v>
      </c>
      <c r="U183" s="201"/>
      <c r="V183" s="195">
        <f>IF(V176&lt;START!$C$2+2021,0,V163)</f>
        <v>0</v>
      </c>
      <c r="W183" s="195">
        <f>IF(W176&lt;START!$C$2+2021,0,W163)</f>
        <v>0</v>
      </c>
      <c r="X183" s="195">
        <f>IF(X176&lt;START!$C$2+2021,0,X163)</f>
        <v>0</v>
      </c>
      <c r="Y183" s="195">
        <f>IF(Y176&lt;START!$C$2+2021,0,Y163)</f>
        <v>29.641957853139782</v>
      </c>
      <c r="Z183" s="195">
        <f>IF(Z176&lt;START!$C$2+2021,0,Z163)</f>
        <v>30.383006799468273</v>
      </c>
      <c r="AA183" s="195">
        <f>IF(AA176&lt;START!$C$2+2021,0,AA163)</f>
        <v>31.142581969454977</v>
      </c>
      <c r="AB183" s="195">
        <f>IF(AB176&lt;START!$C$2+2021,0,AB163)</f>
        <v>31.921146518691351</v>
      </c>
      <c r="AC183" s="195">
        <f>IF(AC176&lt;START!$C$2+2021,0,AC163)</f>
        <v>32.719175181658635</v>
      </c>
      <c r="AD183" s="195">
        <f>IF(AD176&lt;START!$C$2+2021,0,AD163)</f>
        <v>33.537154561200097</v>
      </c>
      <c r="AE183" s="195">
        <f>IF(AE176&lt;START!$C$2+2021,0,AE163)</f>
        <v>34.375583425230104</v>
      </c>
      <c r="AF183" s="195">
        <f>IF(AF176&lt;START!$C$2+2021,0,AF163)</f>
        <v>35.234973010860848</v>
      </c>
      <c r="AG183" s="195">
        <f>IF(AG176&lt;START!$C$2+2021,0,AG163)</f>
        <v>36.115847336132376</v>
      </c>
      <c r="AH183" s="195">
        <f>IF(AH176&lt;START!$C$2+2021,0,AH163)</f>
        <v>36.5853533515021</v>
      </c>
      <c r="AI183" s="195">
        <f>IF(AI176&lt;START!$C$2+2021,0,AI163)</f>
        <v>37.060962945071616</v>
      </c>
      <c r="AJ183" s="195">
        <f>IF(AJ176&lt;START!$C$2+2021,0,AJ163)</f>
        <v>37.542755463357558</v>
      </c>
      <c r="AK183" s="195">
        <f>IF(AK176&lt;START!$C$2+2021,0,AK163)</f>
        <v>38.030811284381201</v>
      </c>
      <c r="AL183" s="195">
        <f>IF(AL176&lt;START!$C$2+2021,0,AL163)</f>
        <v>38.525211831078153</v>
      </c>
      <c r="AM183" s="195">
        <f>IF(AM176&lt;START!$C$2+2021,0,AM163)</f>
        <v>39.02603958488217</v>
      </c>
      <c r="AN183" s="195">
        <f>IF(AN176&lt;START!$C$2+2021,0,AN163)</f>
        <v>39.533378099485638</v>
      </c>
      <c r="AO183" s="195">
        <f>IF(AO176&lt;START!$C$2+2021,0,AO163)</f>
        <v>40.047312014778946</v>
      </c>
      <c r="AP183" s="195">
        <f>IF(AP176&lt;START!$C$2+2021,0,AP163)</f>
        <v>40.567927070971074</v>
      </c>
      <c r="AQ183" s="195">
        <f>IF(AQ176&lt;START!$C$2+2021,0,AQ163)</f>
        <v>41.095310122893693</v>
      </c>
      <c r="AR183" s="195">
        <f>IF(AR176&lt;START!$C$2+2021,0,AR163)</f>
        <v>41.629549154491308</v>
      </c>
      <c r="AS183" s="195">
        <f>IF(AS176&lt;START!$C$2+2021,0,AS163)</f>
        <v>42.170733293499694</v>
      </c>
      <c r="AT183" s="195">
        <f>IF(AT176&lt;START!$C$2+2021,0,AT163)</f>
        <v>42.718952826315196</v>
      </c>
      <c r="AU183" s="195">
        <f>IF(AU176&lt;START!$C$2+2021,0,AU163)</f>
        <v>43.27429921305729</v>
      </c>
      <c r="AV183" s="195">
        <f>IF(AV176&lt;START!$C$2+2021,0,AV163)</f>
        <v>43.836865102827034</v>
      </c>
      <c r="AW183" s="195">
        <f>IF(AW176&lt;START!$C$2+2021,0,AW163)</f>
        <v>44.40674434916378</v>
      </c>
      <c r="AX183" s="195">
        <f>IF(AX176&lt;START!$C$2+2021,0,AX163)</f>
        <v>44.984032025702909</v>
      </c>
      <c r="AY183" s="195">
        <f>IF(AY176&lt;START!$C$2+2021,0,AY163)</f>
        <v>45.568824442037048</v>
      </c>
      <c r="AZ183" s="195">
        <f>IF(AZ176&lt;START!$C$2+2021,0,AZ163)</f>
        <v>46.161219159783528</v>
      </c>
      <c r="BA183" s="707">
        <f>IF(BA176&lt;START!$C$2+2021,0,BA163)</f>
        <v>46.761315008860706</v>
      </c>
    </row>
    <row r="184" spans="1:65" ht="20.100000000000001" customHeight="1">
      <c r="A184" s="15"/>
      <c r="B184" s="745" t="s">
        <v>581</v>
      </c>
      <c r="C184" s="745"/>
      <c r="D184" s="745"/>
      <c r="E184" s="745"/>
      <c r="F184" s="427">
        <f>INDEX($Y$286:$BA$288,2,$G$187)</f>
        <v>100</v>
      </c>
      <c r="G184" s="430">
        <f>100-(G182+G183)</f>
        <v>41.4</v>
      </c>
      <c r="H184" s="426"/>
      <c r="I184" s="668"/>
      <c r="J184" s="668"/>
      <c r="K184" s="668"/>
      <c r="L184" s="668"/>
      <c r="M184" s="668"/>
      <c r="N184" s="668"/>
      <c r="O184" s="291"/>
      <c r="P184" s="668"/>
      <c r="Q184" s="668"/>
      <c r="R184" s="243"/>
      <c r="S184" s="101" t="s">
        <v>2566</v>
      </c>
      <c r="T184" s="383" t="s">
        <v>2572</v>
      </c>
      <c r="U184" s="201"/>
      <c r="V184" s="195">
        <f>IF(V176&lt;START!$C$2+2021,0,V173)</f>
        <v>0</v>
      </c>
      <c r="W184" s="195">
        <f>IF(W176&lt;START!$C$2+2021,0,W173)</f>
        <v>0</v>
      </c>
      <c r="X184" s="195">
        <f>IF(X176&lt;START!$C$2+2021,0,X173)</f>
        <v>0</v>
      </c>
      <c r="Y184" s="195">
        <f>IF(Y176&lt;START!$C$2+2021,0,Y173)</f>
        <v>0</v>
      </c>
      <c r="Z184" s="195">
        <f>IF(Z176&lt;START!$C$2+2021,0,Z173)</f>
        <v>0</v>
      </c>
      <c r="AA184" s="195">
        <f>IF(AA176&lt;START!$C$2+2021,0,AA173)</f>
        <v>0</v>
      </c>
      <c r="AB184" s="195">
        <f>IF(AB176&lt;START!$C$2+2021,0,AB173)</f>
        <v>0</v>
      </c>
      <c r="AC184" s="195">
        <f>IF(AC176&lt;START!$C$2+2021,0,AC173)</f>
        <v>0</v>
      </c>
      <c r="AD184" s="195">
        <f>IF(AD176&lt;START!$C$2+2021,0,AD173)</f>
        <v>0</v>
      </c>
      <c r="AE184" s="195">
        <f>IF(AE176&lt;START!$C$2+2021,0,AE173)</f>
        <v>0</v>
      </c>
      <c r="AF184" s="195">
        <f>IF(AF176&lt;START!$C$2+2021,0,AF173)</f>
        <v>0</v>
      </c>
      <c r="AG184" s="195">
        <f>IF(AG176&lt;START!$C$2+2021,0,AG173)</f>
        <v>0</v>
      </c>
      <c r="AH184" s="195">
        <f>IF(AH176&lt;START!$C$2+2021,0,AH173)</f>
        <v>0</v>
      </c>
      <c r="AI184" s="195">
        <f>IF(AI176&lt;START!$C$2+2021,0,AI173)</f>
        <v>0</v>
      </c>
      <c r="AJ184" s="195">
        <f>IF(AJ176&lt;START!$C$2+2021,0,AJ173)</f>
        <v>0</v>
      </c>
      <c r="AK184" s="195">
        <f>IF(AK176&lt;START!$C$2+2021,0,AK173)</f>
        <v>0</v>
      </c>
      <c r="AL184" s="195">
        <f>IF(AL176&lt;START!$C$2+2021,0,AL173)</f>
        <v>0</v>
      </c>
      <c r="AM184" s="195">
        <f>IF(AM176&lt;START!$C$2+2021,0,AM173)</f>
        <v>0</v>
      </c>
      <c r="AN184" s="195">
        <f>IF(AN176&lt;START!$C$2+2021,0,AN173)</f>
        <v>0</v>
      </c>
      <c r="AO184" s="195">
        <f>IF(AO176&lt;START!$C$2+2021,0,AO173)</f>
        <v>0</v>
      </c>
      <c r="AP184" s="195">
        <f>IF(AP176&lt;START!$C$2+2021,0,AP173)</f>
        <v>0</v>
      </c>
      <c r="AQ184" s="195">
        <f>IF(AQ176&lt;START!$C$2+2021,0,AQ173)</f>
        <v>0</v>
      </c>
      <c r="AR184" s="195">
        <f>IF(AR176&lt;START!$C$2+2021,0,AR173)</f>
        <v>0</v>
      </c>
      <c r="AS184" s="195">
        <f>IF(AS176&lt;START!$C$2+2021,0,AS173)</f>
        <v>0</v>
      </c>
      <c r="AT184" s="195">
        <f>IF(AT176&lt;START!$C$2+2021,0,AT173)</f>
        <v>0</v>
      </c>
      <c r="AU184" s="195">
        <f>IF(AU176&lt;START!$C$2+2021,0,AU173)</f>
        <v>0</v>
      </c>
      <c r="AV184" s="195">
        <f>IF(AV176&lt;START!$C$2+2021,0,AV173)</f>
        <v>0</v>
      </c>
      <c r="AW184" s="195">
        <f>IF(AW176&lt;START!$C$2+2021,0,AW173)</f>
        <v>0</v>
      </c>
      <c r="AX184" s="195">
        <f>IF(AX176&lt;START!$C$2+2021,0,AX173)</f>
        <v>0</v>
      </c>
      <c r="AY184" s="195">
        <f>IF(AY176&lt;START!$C$2+2021,0,AY173)</f>
        <v>0</v>
      </c>
      <c r="AZ184" s="195">
        <f>IF(AZ176&lt;START!$C$2+2021,0,AZ173)</f>
        <v>0</v>
      </c>
      <c r="BA184" s="707">
        <f>IF(BA176&lt;START!$C$2+2021,0,BA173)</f>
        <v>0</v>
      </c>
    </row>
    <row r="185" spans="1:65" ht="20.100000000000001" customHeight="1" thickBot="1">
      <c r="A185" s="15"/>
      <c r="B185" s="388" t="s">
        <v>122</v>
      </c>
      <c r="C185" s="388"/>
      <c r="D185" s="388"/>
      <c r="E185" s="388"/>
      <c r="F185" s="425">
        <f>SUM(F182:F184)</f>
        <v>100</v>
      </c>
      <c r="G185" s="428">
        <v>100</v>
      </c>
      <c r="H185" s="426"/>
      <c r="I185" s="668"/>
      <c r="J185" s="668"/>
      <c r="K185" s="668"/>
      <c r="L185" s="668"/>
      <c r="M185" s="668"/>
      <c r="N185" s="668"/>
      <c r="O185" s="291"/>
      <c r="P185" s="668"/>
      <c r="Q185" s="668"/>
      <c r="R185" s="243"/>
      <c r="S185" s="301" t="s">
        <v>2569</v>
      </c>
      <c r="T185" s="448"/>
      <c r="U185" s="203"/>
      <c r="V185" s="197">
        <f>SUM(V177:V184)</f>
        <v>0</v>
      </c>
      <c r="W185" s="197">
        <f t="shared" ref="W185:BA185" si="426">SUM(W177:W184)</f>
        <v>0</v>
      </c>
      <c r="X185" s="197">
        <f t="shared" si="426"/>
        <v>0</v>
      </c>
      <c r="Y185" s="197">
        <f t="shared" si="426"/>
        <v>378.78787621283817</v>
      </c>
      <c r="Z185" s="197">
        <f t="shared" si="426"/>
        <v>385.47480349538046</v>
      </c>
      <c r="AA185" s="197">
        <f t="shared" si="426"/>
        <v>392.38309601137513</v>
      </c>
      <c r="AB185" s="197">
        <f t="shared" si="426"/>
        <v>399.42778600077702</v>
      </c>
      <c r="AC185" s="197">
        <f t="shared" si="426"/>
        <v>406.65208130674171</v>
      </c>
      <c r="AD185" s="197">
        <f t="shared" si="426"/>
        <v>414.05926001787628</v>
      </c>
      <c r="AE185" s="197">
        <f t="shared" si="426"/>
        <v>421.65088664397615</v>
      </c>
      <c r="AF185" s="197">
        <f t="shared" si="426"/>
        <v>429.42868724828566</v>
      </c>
      <c r="AG185" s="197">
        <f t="shared" si="426"/>
        <v>437.3945452402458</v>
      </c>
      <c r="AH185" s="197">
        <f t="shared" si="426"/>
        <v>442.5687539205361</v>
      </c>
      <c r="AI185" s="197">
        <f t="shared" si="426"/>
        <v>447.82687565358236</v>
      </c>
      <c r="AJ185" s="197">
        <f t="shared" si="426"/>
        <v>453.16913177035576</v>
      </c>
      <c r="AK185" s="197">
        <f t="shared" si="426"/>
        <v>458.59607118481529</v>
      </c>
      <c r="AL185" s="197">
        <f t="shared" si="426"/>
        <v>464.10768824149363</v>
      </c>
      <c r="AM185" s="197">
        <f t="shared" si="426"/>
        <v>469.70051884814575</v>
      </c>
      <c r="AN185" s="197">
        <f t="shared" si="426"/>
        <v>475.37857218780363</v>
      </c>
      <c r="AO185" s="197">
        <f t="shared" si="426"/>
        <v>481.14228055758014</v>
      </c>
      <c r="AP185" s="197">
        <f t="shared" si="426"/>
        <v>486.99212780217192</v>
      </c>
      <c r="AQ185" s="197">
        <f t="shared" si="426"/>
        <v>492.92864533397307</v>
      </c>
      <c r="AR185" s="197">
        <f t="shared" si="426"/>
        <v>498.95237597378423</v>
      </c>
      <c r="AS185" s="197">
        <f t="shared" si="426"/>
        <v>505.06390936916739</v>
      </c>
      <c r="AT185" s="197">
        <f t="shared" si="426"/>
        <v>511.26387856297208</v>
      </c>
      <c r="AU185" s="197">
        <f t="shared" si="426"/>
        <v>517.55292856420567</v>
      </c>
      <c r="AV185" s="197">
        <f t="shared" si="426"/>
        <v>523.93175622983256</v>
      </c>
      <c r="AW185" s="197">
        <f t="shared" si="426"/>
        <v>530.4058236377499</v>
      </c>
      <c r="AX185" s="197">
        <f t="shared" si="426"/>
        <v>536.97128408028698</v>
      </c>
      <c r="AY185" s="197">
        <f t="shared" si="426"/>
        <v>543.6289188280997</v>
      </c>
      <c r="AZ185" s="197">
        <f t="shared" si="426"/>
        <v>550.37952265707179</v>
      </c>
      <c r="BA185" s="566">
        <f t="shared" si="426"/>
        <v>557.2239283228979</v>
      </c>
      <c r="BB185" s="243"/>
      <c r="BC185" s="243"/>
      <c r="BD185" s="243"/>
      <c r="BE185" s="243"/>
      <c r="BF185" s="243"/>
      <c r="BG185" s="243"/>
      <c r="BH185" s="243"/>
      <c r="BI185" s="243"/>
      <c r="BJ185" s="243"/>
      <c r="BK185" s="243"/>
      <c r="BL185" s="243"/>
      <c r="BM185" s="243"/>
    </row>
    <row r="186" spans="1:65" ht="20.100000000000001" customHeight="1" thickBot="1">
      <c r="A186" s="15"/>
      <c r="B186" s="388" t="s">
        <v>117</v>
      </c>
      <c r="C186" s="388"/>
      <c r="D186" s="388"/>
      <c r="E186" s="388"/>
      <c r="F186" s="859" t="s">
        <v>105</v>
      </c>
      <c r="G186" s="859" t="s">
        <v>106</v>
      </c>
      <c r="H186" s="668"/>
      <c r="I186" s="668"/>
      <c r="J186" s="668"/>
      <c r="K186" s="668"/>
      <c r="L186" s="668"/>
      <c r="M186" s="668"/>
      <c r="N186" s="668"/>
      <c r="O186" s="291"/>
      <c r="P186" s="668"/>
      <c r="Q186" s="668"/>
      <c r="R186" s="243"/>
      <c r="BB186" s="243"/>
      <c r="BC186" s="243"/>
      <c r="BD186" s="243"/>
      <c r="BE186" s="243"/>
      <c r="BF186" s="243"/>
      <c r="BG186" s="243"/>
      <c r="BH186" s="243"/>
      <c r="BI186" s="243"/>
      <c r="BJ186" s="243"/>
      <c r="BK186" s="243"/>
      <c r="BL186" s="243"/>
      <c r="BM186" s="243"/>
    </row>
    <row r="187" spans="1:65" ht="20.100000000000001" customHeight="1">
      <c r="A187" s="15"/>
      <c r="B187" s="668"/>
      <c r="C187" s="668"/>
      <c r="D187" s="668"/>
      <c r="E187" s="668"/>
      <c r="F187" s="668">
        <v>4</v>
      </c>
      <c r="G187" s="668">
        <v>5</v>
      </c>
      <c r="H187" s="668"/>
      <c r="I187" s="668"/>
      <c r="J187" s="668"/>
      <c r="K187" s="668"/>
      <c r="L187" s="668"/>
      <c r="M187" s="668"/>
      <c r="N187" s="668"/>
      <c r="O187" s="291"/>
      <c r="P187" s="668"/>
      <c r="Q187" s="668"/>
      <c r="R187" s="243"/>
      <c r="S187" s="299" t="s">
        <v>2568</v>
      </c>
      <c r="T187" s="138"/>
      <c r="U187" s="202"/>
      <c r="V187" s="830">
        <v>2019</v>
      </c>
      <c r="W187" s="830">
        <v>2020</v>
      </c>
      <c r="X187" s="830">
        <v>2021</v>
      </c>
      <c r="Y187" s="830">
        <f>X187+1</f>
        <v>2022</v>
      </c>
      <c r="Z187" s="830">
        <f t="shared" ref="Z187" si="427">Y187+1</f>
        <v>2023</v>
      </c>
      <c r="AA187" s="830">
        <f t="shared" ref="AA187" si="428">Z187+1</f>
        <v>2024</v>
      </c>
      <c r="AB187" s="830">
        <f t="shared" ref="AB187" si="429">AA187+1</f>
        <v>2025</v>
      </c>
      <c r="AC187" s="830">
        <f t="shared" ref="AC187" si="430">AB187+1</f>
        <v>2026</v>
      </c>
      <c r="AD187" s="830">
        <f t="shared" ref="AD187" si="431">AC187+1</f>
        <v>2027</v>
      </c>
      <c r="AE187" s="830">
        <f t="shared" ref="AE187" si="432">AD187+1</f>
        <v>2028</v>
      </c>
      <c r="AF187" s="830">
        <f t="shared" ref="AF187" si="433">AE187+1</f>
        <v>2029</v>
      </c>
      <c r="AG187" s="830">
        <f t="shared" ref="AG187" si="434">AF187+1</f>
        <v>2030</v>
      </c>
      <c r="AH187" s="830">
        <f t="shared" ref="AH187" si="435">AG187+1</f>
        <v>2031</v>
      </c>
      <c r="AI187" s="830">
        <f t="shared" ref="AI187" si="436">AH187+1</f>
        <v>2032</v>
      </c>
      <c r="AJ187" s="830">
        <f t="shared" ref="AJ187" si="437">AI187+1</f>
        <v>2033</v>
      </c>
      <c r="AK187" s="830">
        <f t="shared" ref="AK187" si="438">AJ187+1</f>
        <v>2034</v>
      </c>
      <c r="AL187" s="830">
        <f t="shared" ref="AL187" si="439">AK187+1</f>
        <v>2035</v>
      </c>
      <c r="AM187" s="830">
        <f t="shared" ref="AM187" si="440">AL187+1</f>
        <v>2036</v>
      </c>
      <c r="AN187" s="830">
        <f t="shared" ref="AN187" si="441">AM187+1</f>
        <v>2037</v>
      </c>
      <c r="AO187" s="830">
        <f t="shared" ref="AO187" si="442">AN187+1</f>
        <v>2038</v>
      </c>
      <c r="AP187" s="830">
        <f t="shared" ref="AP187" si="443">AO187+1</f>
        <v>2039</v>
      </c>
      <c r="AQ187" s="830">
        <f t="shared" ref="AQ187" si="444">AP187+1</f>
        <v>2040</v>
      </c>
      <c r="AR187" s="830">
        <f t="shared" ref="AR187" si="445">AQ187+1</f>
        <v>2041</v>
      </c>
      <c r="AS187" s="830">
        <f t="shared" ref="AS187" si="446">AR187+1</f>
        <v>2042</v>
      </c>
      <c r="AT187" s="830">
        <f t="shared" ref="AT187" si="447">AS187+1</f>
        <v>2043</v>
      </c>
      <c r="AU187" s="830">
        <f t="shared" ref="AU187" si="448">AT187+1</f>
        <v>2044</v>
      </c>
      <c r="AV187" s="830">
        <f t="shared" ref="AV187" si="449">AU187+1</f>
        <v>2045</v>
      </c>
      <c r="AW187" s="830">
        <f t="shared" ref="AW187" si="450">AV187+1</f>
        <v>2046</v>
      </c>
      <c r="AX187" s="830">
        <f t="shared" ref="AX187" si="451">AW187+1</f>
        <v>2047</v>
      </c>
      <c r="AY187" s="830">
        <f t="shared" ref="AY187" si="452">AX187+1</f>
        <v>2048</v>
      </c>
      <c r="AZ187" s="830">
        <f t="shared" ref="AZ187" si="453">AY187+1</f>
        <v>2049</v>
      </c>
      <c r="BA187" s="153">
        <f t="shared" ref="BA187" si="454">AZ187+1</f>
        <v>2050</v>
      </c>
      <c r="BB187" s="243"/>
      <c r="BC187" s="243"/>
      <c r="BD187" s="243"/>
      <c r="BE187" s="243"/>
      <c r="BF187" s="243"/>
      <c r="BG187" s="243"/>
      <c r="BH187" s="243"/>
      <c r="BI187" s="243"/>
      <c r="BJ187" s="243"/>
      <c r="BK187" s="243"/>
      <c r="BL187" s="243"/>
      <c r="BM187" s="243"/>
    </row>
    <row r="188" spans="1:65" ht="20.100000000000001" customHeight="1">
      <c r="A188" s="15"/>
      <c r="B188" s="422" t="str">
        <f>IF(G187&lt;F187,"! end year has to be after start year!","")</f>
        <v/>
      </c>
      <c r="C188" s="422"/>
      <c r="D188" s="422"/>
      <c r="E188" s="422"/>
      <c r="F188" s="1472" t="s">
        <v>1783</v>
      </c>
      <c r="G188" s="1472" t="s">
        <v>572</v>
      </c>
      <c r="H188" s="426"/>
      <c r="I188" s="668"/>
      <c r="J188" s="668"/>
      <c r="K188" s="668"/>
      <c r="L188" s="668"/>
      <c r="M188" s="668"/>
      <c r="N188" s="668"/>
      <c r="O188" s="291"/>
      <c r="P188" s="668"/>
      <c r="Q188" s="668"/>
      <c r="R188" s="243"/>
      <c r="S188" s="101" t="s">
        <v>2558</v>
      </c>
      <c r="T188" s="383" t="s">
        <v>2573</v>
      </c>
      <c r="U188" s="201"/>
      <c r="V188" s="195">
        <f>IF(V187&lt;START!$C$2+2021,0,V48*V8/1000)</f>
        <v>0</v>
      </c>
      <c r="W188" s="195">
        <f>IF(W176&lt;START!$C$2+2021,0,W48*W8/1000)</f>
        <v>0</v>
      </c>
      <c r="X188" s="195">
        <f>IF(X176&lt;START!$C$2+2021,0,X48*X8/1000)</f>
        <v>0</v>
      </c>
      <c r="Y188" s="195">
        <f>IF(Y176&lt;START!$C$2+2021,0,Y48*Y8/1000)</f>
        <v>4451.4764080092964</v>
      </c>
      <c r="Z188" s="195">
        <f>IF(Z176&lt;START!$C$2+2021,0,Z48*Z8/1000)</f>
        <v>4468.7445765810571</v>
      </c>
      <c r="AA188" s="195">
        <f>IF(AA176&lt;START!$C$2+2021,0,AA48*AA8/1000)</f>
        <v>4485.9965370917389</v>
      </c>
      <c r="AB188" s="195">
        <f>IF(AB176&lt;START!$C$2+2021,0,AB48*AB8/1000)</f>
        <v>4503.2413112618124</v>
      </c>
      <c r="AC188" s="195">
        <f>IF(AC176&lt;START!$C$2+2021,0,AC48*AC8/1000)</f>
        <v>4520.0420631375491</v>
      </c>
      <c r="AD188" s="195">
        <f>IF(AD176&lt;START!$C$2+2021,0,AD48*AD8/1000)</f>
        <v>4536.7776732577568</v>
      </c>
      <c r="AE188" s="195">
        <f>IF(AE176&lt;START!$C$2+2021,0,AE48*AE8/1000)</f>
        <v>4553.4620637860426</v>
      </c>
      <c r="AF188" s="195">
        <f>IF(AF176&lt;START!$C$2+2021,0,AF48*AF8/1000)</f>
        <v>4570.107842920338</v>
      </c>
      <c r="AG188" s="195">
        <f>IF(AG176&lt;START!$C$2+2021,0,AG48*AG8/1000)</f>
        <v>4586.7264256821563</v>
      </c>
      <c r="AH188" s="195">
        <f>IF(AH176&lt;START!$C$2+2021,0,AH48*AH8/1000)</f>
        <v>4603.4474438644393</v>
      </c>
      <c r="AI188" s="195">
        <f>IF(AI176&lt;START!$C$2+2021,0,AI48*AI8/1000)</f>
        <v>4620.1747753073414</v>
      </c>
      <c r="AJ188" s="195">
        <f>IF(AJ176&lt;START!$C$2+2021,0,AJ48*AJ8/1000)</f>
        <v>4636.9149129818315</v>
      </c>
      <c r="AK188" s="195">
        <f>IF(AK176&lt;START!$C$2+2021,0,AK48*AK8/1000)</f>
        <v>4653.6488923662064</v>
      </c>
      <c r="AL188" s="195">
        <f>IF(AL176&lt;START!$C$2+2021,0,AL48*AL8/1000)</f>
        <v>4670.406843163456</v>
      </c>
      <c r="AM188" s="195">
        <f>IF(AM176&lt;START!$C$2+2021,0,AM48*AM8/1000)</f>
        <v>4686.4857669463054</v>
      </c>
      <c r="AN188" s="195">
        <f>IF(AN176&lt;START!$C$2+2021,0,AN48*AN8/1000)</f>
        <v>4702.5369758255592</v>
      </c>
      <c r="AO188" s="195">
        <f>IF(AO176&lt;START!$C$2+2021,0,AO48*AO8/1000)</f>
        <v>4718.5924669195556</v>
      </c>
      <c r="AP188" s="195">
        <f>IF(AP176&lt;START!$C$2+2021,0,AP48*AP8/1000)</f>
        <v>4734.6585750193599</v>
      </c>
      <c r="AQ188" s="195">
        <f>IF(AQ176&lt;START!$C$2+2021,0,AQ48*AQ8/1000)</f>
        <v>4750.7151985736573</v>
      </c>
      <c r="AR188" s="195">
        <f>IF(AR176&lt;START!$C$2+2021,0,AR48*AR8/1000)</f>
        <v>4766.7932989339843</v>
      </c>
      <c r="AS188" s="195">
        <f>IF(AS176&lt;START!$C$2+2021,0,AS48*AS8/1000)</f>
        <v>4782.8978087785827</v>
      </c>
      <c r="AT188" s="195">
        <f>IF(AT176&lt;START!$C$2+2021,0,AT48*AT8/1000)</f>
        <v>4799.0068370033587</v>
      </c>
      <c r="AU188" s="195">
        <f>IF(AU176&lt;START!$C$2+2021,0,AU48*AU8/1000)</f>
        <v>4815.1506555346969</v>
      </c>
      <c r="AV188" s="195">
        <f>IF(AV176&lt;START!$C$2+2021,0,AV48*AV8/1000)</f>
        <v>4831.3063400846395</v>
      </c>
      <c r="AW188" s="195">
        <f>IF(AW176&lt;START!$C$2+2021,0,AW48*AW8/1000)</f>
        <v>4848.3591000812175</v>
      </c>
      <c r="AX188" s="195">
        <f>IF(AX176&lt;START!$C$2+2021,0,AX48*AX8/1000)</f>
        <v>4865.4799010177321</v>
      </c>
      <c r="AY188" s="195">
        <f>IF(AY176&lt;START!$C$2+2021,0,AY48*AY8/1000)</f>
        <v>4882.6431090184342</v>
      </c>
      <c r="AZ188" s="195">
        <f>IF(AZ176&lt;START!$C$2+2021,0,AZ48*AZ8/1000)</f>
        <v>4899.8772096789971</v>
      </c>
      <c r="BA188" s="707">
        <f>IF(BA176&lt;START!$C$2+2021,0,BA48*BA8/1000)</f>
        <v>4917.1836368063232</v>
      </c>
      <c r="BB188" s="243"/>
      <c r="BC188" s="243"/>
      <c r="BD188" s="243"/>
      <c r="BE188" s="243"/>
      <c r="BF188" s="243"/>
      <c r="BG188" s="243"/>
      <c r="BH188" s="243"/>
      <c r="BI188" s="243"/>
      <c r="BJ188" s="243"/>
      <c r="BK188" s="243"/>
      <c r="BL188" s="243"/>
      <c r="BM188" s="243"/>
    </row>
    <row r="189" spans="1:65" ht="20.100000000000001" customHeight="1">
      <c r="A189" s="15"/>
      <c r="B189" s="246" t="str">
        <f>IF(F187&lt;START!$C$2,"Policy period starts before the starting year for the study","")</f>
        <v/>
      </c>
      <c r="C189" s="246"/>
      <c r="D189" s="246"/>
      <c r="E189" s="246"/>
      <c r="F189" s="1472"/>
      <c r="G189" s="1472"/>
      <c r="H189" s="859" t="s">
        <v>575</v>
      </c>
      <c r="I189" s="668"/>
      <c r="J189" s="668"/>
      <c r="K189" s="668"/>
      <c r="L189" s="668"/>
      <c r="M189" s="668"/>
      <c r="N189" s="668"/>
      <c r="O189" s="291"/>
      <c r="P189" s="668"/>
      <c r="Q189" s="668"/>
      <c r="R189" s="243"/>
      <c r="S189" s="101" t="s">
        <v>2559</v>
      </c>
      <c r="T189" s="383" t="s">
        <v>2573</v>
      </c>
      <c r="U189" s="201"/>
      <c r="V189" s="195">
        <f>IF(V187&lt;START!$C$2+2021,0,V87*V8/1000)</f>
        <v>0</v>
      </c>
      <c r="W189" s="195">
        <f>IF(W187&lt;START!$C$2+2021,0,W87*W8/1000)</f>
        <v>0</v>
      </c>
      <c r="X189" s="195">
        <f>IF(X187&lt;START!$C$2+2021,0,X87*X8/1000)</f>
        <v>0</v>
      </c>
      <c r="Y189" s="195">
        <f>IF(Y187&lt;START!$C$2+2021,0,Y87*Y8/1000)</f>
        <v>61319.353213605973</v>
      </c>
      <c r="Z189" s="195">
        <f>IF(Z187&lt;START!$C$2+2021,0,Z87*Z8/1000)</f>
        <v>62295.80372404943</v>
      </c>
      <c r="AA189" s="195">
        <f>IF(AA187&lt;START!$C$2+2021,0,AA87*AA8/1000)</f>
        <v>63295.847906240626</v>
      </c>
      <c r="AB189" s="195">
        <f>IF(AB187&lt;START!$C$2+2021,0,AB87*AB8/1000)</f>
        <v>64303.076770818763</v>
      </c>
      <c r="AC189" s="195">
        <f>IF(AC187&lt;START!$C$2+2021,0,AC87*AC8/1000)</f>
        <v>65326.351290580227</v>
      </c>
      <c r="AD189" s="195">
        <f>IF(AD187&lt;START!$C$2+2021,0,AD87*AD8/1000)</f>
        <v>66365.927557433286</v>
      </c>
      <c r="AE189" s="195">
        <f>IF(AE187&lt;START!$C$2+2021,0,AE87*AE8/1000)</f>
        <v>67422.06609764669</v>
      </c>
      <c r="AF189" s="195">
        <f>IF(AF187&lt;START!$C$2+2021,0,AF87*AF8/1000)</f>
        <v>68495.031942694215</v>
      </c>
      <c r="AG189" s="195">
        <f>IF(AG187&lt;START!$C$2+2021,0,AG87*AG8/1000)</f>
        <v>69585.094702073009</v>
      </c>
      <c r="AH189" s="195">
        <f>IF(AH187&lt;START!$C$2+2021,0,AH87*AH8/1000)</f>
        <v>70277.950022358258</v>
      </c>
      <c r="AI189" s="195">
        <f>IF(AI187&lt;START!$C$2+2021,0,AI87*AI8/1000)</f>
        <v>70977.851299268936</v>
      </c>
      <c r="AJ189" s="195">
        <f>IF(AJ187&lt;START!$C$2+2021,0,AJ87*AJ8/1000)</f>
        <v>71684.87211490082</v>
      </c>
      <c r="AK189" s="195">
        <f>IF(AK187&lt;START!$C$2+2021,0,AK87*AK8/1000)</f>
        <v>72398.748873085075</v>
      </c>
      <c r="AL189" s="195">
        <f>IF(AL187&lt;START!$C$2+2021,0,AL87*AL8/1000)</f>
        <v>73119.879159350588</v>
      </c>
      <c r="AM189" s="195">
        <f>IF(AM187&lt;START!$C$2+2021,0,AM87*AM8/1000)</f>
        <v>73848.339960025391</v>
      </c>
      <c r="AN189" s="195">
        <f>IF(AN187&lt;START!$C$2+2021,0,AN87*AN8/1000)</f>
        <v>74583.805794586631</v>
      </c>
      <c r="AO189" s="195">
        <f>IF(AO187&lt;START!$C$2+2021,0,AO87*AO8/1000)</f>
        <v>75326.748563275658</v>
      </c>
      <c r="AP189" s="195">
        <f>IF(AP187&lt;START!$C$2+2021,0,AP87*AP8/1000)</f>
        <v>76077.248002817389</v>
      </c>
      <c r="AQ189" s="195">
        <f>IF(AQ187&lt;START!$C$2+2021,0,AQ87*AQ8/1000)</f>
        <v>76834.965475721314</v>
      </c>
      <c r="AR189" s="195">
        <f>IF(AR187&lt;START!$C$2+2021,0,AR87*AR8/1000)</f>
        <v>77600.391212033224</v>
      </c>
      <c r="AS189" s="195">
        <f>IF(AS187&lt;START!$C$2+2021,0,AS87*AS8/1000)</f>
        <v>78373.607779419777</v>
      </c>
      <c r="AT189" s="195">
        <f>IF(AT187&lt;START!$C$2+2021,0,AT87*AT8/1000)</f>
        <v>79154.262836400623</v>
      </c>
      <c r="AU189" s="195">
        <f>IF(AU187&lt;START!$C$2+2021,0,AU87*AU8/1000)</f>
        <v>79942.865642382894</v>
      </c>
      <c r="AV189" s="195">
        <f>IF(AV187&lt;START!$C$2+2021,0,AV87*AV8/1000)</f>
        <v>80739.054333990338</v>
      </c>
      <c r="AW189" s="195">
        <f>IF(AW187&lt;START!$C$2+2021,0,AW87*AW8/1000)</f>
        <v>81543.35118630332</v>
      </c>
      <c r="AX189" s="195">
        <f>IF(AX187&lt;START!$C$2+2021,0,AX87*AX8/1000)</f>
        <v>82355.843608182942</v>
      </c>
      <c r="AY189" s="195">
        <f>IF(AY187&lt;START!$C$2+2021,0,AY87*AY8/1000)</f>
        <v>83176.15507712106</v>
      </c>
      <c r="AZ189" s="195">
        <f>IF(AZ187&lt;START!$C$2+2021,0,AZ87*AZ8/1000)</f>
        <v>84004.828129605579</v>
      </c>
      <c r="BA189" s="707">
        <f>IF(BA187&lt;START!$C$2+2021,0,BA87*BA8/1000)</f>
        <v>84841.953251617553</v>
      </c>
    </row>
    <row r="190" spans="1:65" ht="20.100000000000001" customHeight="1">
      <c r="A190" s="752"/>
      <c r="B190" s="414" t="s">
        <v>576</v>
      </c>
      <c r="C190" s="414"/>
      <c r="D190" s="414"/>
      <c r="E190" s="414"/>
      <c r="F190" s="431">
        <f>2021+G198</f>
        <v>2034</v>
      </c>
      <c r="G190" s="859">
        <f>2021+G198</f>
        <v>2034</v>
      </c>
      <c r="H190" s="859" t="s">
        <v>574</v>
      </c>
      <c r="I190" s="262"/>
      <c r="J190" s="262"/>
      <c r="K190" s="262"/>
      <c r="L190" s="262"/>
      <c r="M190" s="262"/>
      <c r="N190" s="262"/>
      <c r="O190" s="412"/>
      <c r="P190" s="668"/>
      <c r="Q190" s="668"/>
      <c r="R190" s="243"/>
      <c r="S190" s="101" t="s">
        <v>2344</v>
      </c>
      <c r="T190" s="383" t="s">
        <v>2574</v>
      </c>
      <c r="U190" s="201"/>
      <c r="V190" s="195">
        <f>IF(V187&lt;START!$C$2+2021,0,V98)</f>
        <v>0</v>
      </c>
      <c r="W190" s="195">
        <f>IF(W187&lt;START!$C$2+2021,0,W98)</f>
        <v>0</v>
      </c>
      <c r="X190" s="195">
        <f>IF(X187&lt;START!$C$2+2021,0,X98)</f>
        <v>0</v>
      </c>
      <c r="Y190" s="195">
        <f>IF(Y187&lt;START!$C$2+2021,0,Y98)</f>
        <v>991.15263564073814</v>
      </c>
      <c r="Z190" s="195">
        <f>IF(Z187&lt;START!$C$2+2021,0,Z98)</f>
        <v>929.56241086202272</v>
      </c>
      <c r="AA190" s="195">
        <f>IF(AA187&lt;START!$C$2+2021,0,AA98)</f>
        <v>871.79940265105665</v>
      </c>
      <c r="AB190" s="195">
        <f>IF(AB187&lt;START!$C$2+2021,0,AB98)</f>
        <v>817.62578777032002</v>
      </c>
      <c r="AC190" s="195">
        <f>IF(AC187&lt;START!$C$2+2021,0,AC98)</f>
        <v>766.81852131827213</v>
      </c>
      <c r="AD190" s="195">
        <f>IF(AD187&lt;START!$C$2+2021,0,AD98)</f>
        <v>719.16841840355482</v>
      </c>
      <c r="AE190" s="195">
        <f>IF(AE187&lt;START!$C$2+2021,0,AE98)</f>
        <v>674.47929288395801</v>
      </c>
      <c r="AF190" s="195">
        <f>IF(AF187&lt;START!$C$2+2021,0,AF98)</f>
        <v>632.5671496241489</v>
      </c>
      <c r="AG190" s="195">
        <f>IF(AG187&lt;START!$C$2+2021,0,AG98)</f>
        <v>593.25942694650428</v>
      </c>
      <c r="AH190" s="195">
        <f>IF(AH187&lt;START!$C$2+2021,0,AH98)</f>
        <v>563.01802765790637</v>
      </c>
      <c r="AI190" s="195">
        <f>IF(AI187&lt;START!$C$2+2021,0,AI98)</f>
        <v>534.31818369804466</v>
      </c>
      <c r="AJ190" s="195">
        <f>IF(AJ187&lt;START!$C$2+2021,0,AJ98)</f>
        <v>507.08131428403681</v>
      </c>
      <c r="AK190" s="195">
        <f>IF(AK187&lt;START!$C$2+2021,0,AK98)</f>
        <v>481.2328442884081</v>
      </c>
      <c r="AL190" s="195">
        <f>IF(AL187&lt;START!$C$2+2021,0,AL98)</f>
        <v>456.70200005080653</v>
      </c>
      <c r="AM190" s="195">
        <f>IF(AM187&lt;START!$C$2+2021,0,AM98)</f>
        <v>433.4216155982167</v>
      </c>
      <c r="AN190" s="195">
        <f>IF(AN187&lt;START!$C$2+2021,0,AN98)</f>
        <v>411.32794874309758</v>
      </c>
      <c r="AO190" s="195">
        <f>IF(AO187&lt;START!$C$2+2021,0,AO98)</f>
        <v>390.36050655591833</v>
      </c>
      <c r="AP190" s="195">
        <f>IF(AP187&lt;START!$C$2+2021,0,AP98)</f>
        <v>370.46187973423042</v>
      </c>
      <c r="AQ190" s="195">
        <f>IF(AQ187&lt;START!$C$2+2021,0,AQ98)</f>
        <v>351.57758541477801</v>
      </c>
      <c r="AR190" s="195">
        <f>IF(AR187&lt;START!$C$2+2021,0,AR98)</f>
        <v>333.65591799825978</v>
      </c>
      <c r="AS190" s="195">
        <f>IF(AS187&lt;START!$C$2+2021,0,AS98)</f>
        <v>316.64780757829851</v>
      </c>
      <c r="AT190" s="195">
        <f>IF(AT187&lt;START!$C$2+2021,0,AT98)</f>
        <v>300.50668558699476</v>
      </c>
      <c r="AU190" s="195">
        <f>IF(AU187&lt;START!$C$2+2021,0,AU98)</f>
        <v>285.18835728919771</v>
      </c>
      <c r="AV190" s="195">
        <f>IF(AV187&lt;START!$C$2+2021,0,AV98)</f>
        <v>270.65088077638097</v>
      </c>
      <c r="AW190" s="195">
        <f>IF(AW187&lt;START!$C$2+2021,0,AW98)</f>
        <v>256.85445212880489</v>
      </c>
      <c r="AX190" s="195">
        <f>IF(AX187&lt;START!$C$2+2021,0,AX98)</f>
        <v>243.76129643153908</v>
      </c>
      <c r="AY190" s="195">
        <f>IF(AY187&lt;START!$C$2+2021,0,AY98)</f>
        <v>231.33556434594138</v>
      </c>
      <c r="AZ190" s="195">
        <f>IF(AZ187&lt;START!$C$2+2021,0,AZ98)</f>
        <v>219.54323395340703</v>
      </c>
      <c r="BA190" s="707">
        <f>IF(BA187&lt;START!$C$2+2021,0,BA98)</f>
        <v>208.35201760263209</v>
      </c>
    </row>
    <row r="191" spans="1:65" ht="20.100000000000001" customHeight="1">
      <c r="A191" s="15"/>
      <c r="B191" s="112" t="s">
        <v>583</v>
      </c>
      <c r="C191" s="388"/>
      <c r="D191" s="388"/>
      <c r="E191" s="388"/>
      <c r="F191" s="425">
        <f>INDEX($X$430:$BA$430,1,$G$198)</f>
        <v>0.2</v>
      </c>
      <c r="G191" s="123">
        <v>0</v>
      </c>
      <c r="H191" s="445">
        <v>0</v>
      </c>
      <c r="I191" s="668"/>
      <c r="J191" s="668"/>
      <c r="K191" s="668"/>
      <c r="L191" s="668"/>
      <c r="M191" s="668"/>
      <c r="N191" s="668"/>
      <c r="O191" s="291"/>
      <c r="P191" s="668"/>
      <c r="Q191" s="668"/>
      <c r="R191" s="243"/>
      <c r="S191" s="101" t="s">
        <v>2480</v>
      </c>
      <c r="T191" s="383" t="s">
        <v>2574</v>
      </c>
      <c r="U191" s="201"/>
      <c r="V191" s="195">
        <f>IF(V187&lt;START!$C$2+2021,0,V108)</f>
        <v>0</v>
      </c>
      <c r="W191" s="195">
        <f>IF(W187&lt;START!$C$2+2021,0,W108)</f>
        <v>0</v>
      </c>
      <c r="X191" s="195">
        <f>IF(X187&lt;START!$C$2+2021,0,X108)</f>
        <v>0</v>
      </c>
      <c r="Y191" s="195">
        <f>IF(Y187&lt;START!$C$2+2021,0,Y108)</f>
        <v>87.770852940100482</v>
      </c>
      <c r="Z191" s="195">
        <f>IF(Z187&lt;START!$C$2+2021,0,Z108)</f>
        <v>82.316772138402655</v>
      </c>
      <c r="AA191" s="195">
        <f>IF(AA187&lt;START!$C$2+2021,0,AA108)</f>
        <v>77.201607917722313</v>
      </c>
      <c r="AB191" s="195">
        <f>IF(AB187&lt;START!$C$2+2021,0,AB108)</f>
        <v>72.404300001715029</v>
      </c>
      <c r="AC191" s="195">
        <f>IF(AC187&lt;START!$C$2+2021,0,AC108)</f>
        <v>67.905096799608486</v>
      </c>
      <c r="AD191" s="195">
        <f>IF(AD187&lt;START!$C$2+2021,0,AD108)</f>
        <v>63.685474084480809</v>
      </c>
      <c r="AE191" s="195">
        <f>IF(AE187&lt;START!$C$2+2021,0,AE108)</f>
        <v>59.728058724871168</v>
      </c>
      <c r="AF191" s="195">
        <f>IF(AF187&lt;START!$C$2+2021,0,AF108)</f>
        <v>56.016557155707673</v>
      </c>
      <c r="AG191" s="195">
        <f>IF(AG187&lt;START!$C$2+2021,0,AG108)</f>
        <v>52.535688294052001</v>
      </c>
      <c r="AH191" s="195">
        <f>IF(AH187&lt;START!$C$2+2021,0,AH108)</f>
        <v>49.808560714707767</v>
      </c>
      <c r="AI191" s="195">
        <f>IF(AI187&lt;START!$C$2+2021,0,AI108)</f>
        <v>47.222998328007293</v>
      </c>
      <c r="AJ191" s="195">
        <f>IF(AJ187&lt;START!$C$2+2021,0,AJ108)</f>
        <v>44.771652484800441</v>
      </c>
      <c r="AK191" s="195">
        <f>IF(AK187&lt;START!$C$2+2021,0,AK108)</f>
        <v>42.44755600431445</v>
      </c>
      <c r="AL191" s="195">
        <f>IF(AL187&lt;START!$C$2+2021,0,AL108)</f>
        <v>40.244103372130489</v>
      </c>
      <c r="AM191" s="195">
        <f>IF(AM187&lt;START!$C$2+2021,0,AM108)</f>
        <v>38.155031966083193</v>
      </c>
      <c r="AN191" s="195">
        <f>IF(AN187&lt;START!$C$2+2021,0,AN108)</f>
        <v>36.174404256723825</v>
      </c>
      <c r="AO191" s="195">
        <f>IF(AO187&lt;START!$C$2+2021,0,AO108)</f>
        <v>34.296590931757301</v>
      </c>
      <c r="AP191" s="195">
        <f>IF(AP187&lt;START!$C$2+2021,0,AP108)</f>
        <v>32.516254896489784</v>
      </c>
      <c r="AQ191" s="195">
        <f>IF(AQ187&lt;START!$C$2+2021,0,AQ108)</f>
        <v>30.828336104812998</v>
      </c>
      <c r="AR191" s="195">
        <f>IF(AR187&lt;START!$C$2+2021,0,AR108)</f>
        <v>29.228037177612158</v>
      </c>
      <c r="AS191" s="195">
        <f>IF(AS187&lt;START!$C$2+2021,0,AS108)</f>
        <v>27.710809767722314</v>
      </c>
      <c r="AT191" s="195">
        <f>IF(AT187&lt;START!$C$2+2021,0,AT108)</f>
        <v>26.272341632679858</v>
      </c>
      <c r="AU191" s="195">
        <f>IF(AU187&lt;START!$C$2+2021,0,AU108)</f>
        <v>24.908544378527456</v>
      </c>
      <c r="AV191" s="195">
        <f>IF(AV187&lt;START!$C$2+2021,0,AV108)</f>
        <v>23.615541839838095</v>
      </c>
      <c r="AW191" s="195">
        <f>IF(AW187&lt;START!$C$2+2021,0,AW108)</f>
        <v>22.389659062932104</v>
      </c>
      <c r="AX191" s="195">
        <f>IF(AX187&lt;START!$C$2+2021,0,AX108)</f>
        <v>21.227411860975302</v>
      </c>
      <c r="AY191" s="195">
        <f>IF(AY187&lt;START!$C$2+2021,0,AY108)</f>
        <v>20.125496911272077</v>
      </c>
      <c r="AZ191" s="195">
        <f>IF(AZ187&lt;START!$C$2+2021,0,AZ108)</f>
        <v>19.080782366607941</v>
      </c>
      <c r="BA191" s="707">
        <f>IF(BA187&lt;START!$C$2+2021,0,BA108)</f>
        <v>18.09029895395733</v>
      </c>
    </row>
    <row r="192" spans="1:65" ht="20.100000000000001" customHeight="1">
      <c r="A192" s="15"/>
      <c r="B192" s="112" t="s">
        <v>1693</v>
      </c>
      <c r="C192" s="388"/>
      <c r="D192" s="388"/>
      <c r="E192" s="388"/>
      <c r="F192" s="425">
        <f>INDEX($X$433:$BA$433,1,$G$198)</f>
        <v>0.1</v>
      </c>
      <c r="G192" s="123">
        <v>0</v>
      </c>
      <c r="H192" s="426"/>
      <c r="I192" s="668"/>
      <c r="J192" s="668"/>
      <c r="K192" s="668"/>
      <c r="L192" s="668"/>
      <c r="M192" s="668"/>
      <c r="N192" s="668"/>
      <c r="O192" s="291"/>
      <c r="P192" s="668"/>
      <c r="Q192" s="668"/>
      <c r="R192" s="243"/>
      <c r="S192" s="101" t="s">
        <v>2560</v>
      </c>
      <c r="T192" s="383" t="s">
        <v>2573</v>
      </c>
      <c r="U192" s="201"/>
      <c r="V192" s="195">
        <f>IF(V187&lt;START!$C$2+2021,0,V120*V8/1000)</f>
        <v>0</v>
      </c>
      <c r="W192" s="195">
        <f>IF(W187&lt;START!$C$2+2021,0,W120*W8/1000)</f>
        <v>0</v>
      </c>
      <c r="X192" s="195">
        <f>IF(X187&lt;START!$C$2+2021,0,X120*X8/1000)</f>
        <v>0</v>
      </c>
      <c r="Y192" s="195">
        <f>IF(Y187&lt;START!$C$2+2021,0,Y120*Y8/1000)</f>
        <v>1213.450506680224</v>
      </c>
      <c r="Z192" s="195">
        <f>IF(Z187&lt;START!$C$2+2021,0,Z120*Z8/1000)</f>
        <v>1169.2610382374824</v>
      </c>
      <c r="AA192" s="195">
        <f>IF(AA187&lt;START!$C$2+2021,0,AA120*AA8/1000)</f>
        <v>1128.3738351236686</v>
      </c>
      <c r="AB192" s="195">
        <f>IF(AB187&lt;START!$C$2+2021,0,AB120*AB8/1000)</f>
        <v>1090.5756873498424</v>
      </c>
      <c r="AC192" s="195">
        <f>IF(AC187&lt;START!$C$2+2021,0,AC120*AC8/1000)</f>
        <v>1055.6674708247795</v>
      </c>
      <c r="AD192" s="195">
        <f>IF(AD187&lt;START!$C$2+2021,0,AD120*AD8/1000)</f>
        <v>1023.4632211662222</v>
      </c>
      <c r="AE192" s="195">
        <f>IF(AE187&lt;START!$C$2+2021,0,AE120*AE8/1000)</f>
        <v>993.78926842767009</v>
      </c>
      <c r="AF192" s="195">
        <f>IF(AF187&lt;START!$C$2+2021,0,AF120*AF8/1000)</f>
        <v>966.48342873792876</v>
      </c>
      <c r="AG192" s="195">
        <f>IF(AG187&lt;START!$C$2+2021,0,AG120*AG8/1000)</f>
        <v>941.39424911348067</v>
      </c>
      <c r="AH192" s="195">
        <f>IF(AH187&lt;START!$C$2+2021,0,AH120*AH8/1000)</f>
        <v>923.21946771282671</v>
      </c>
      <c r="AI192" s="195">
        <f>IF(AI187&lt;START!$C$2+2021,0,AI120*AI8/1000)</f>
        <v>906.40698592764761</v>
      </c>
      <c r="AJ192" s="195">
        <f>IF(AJ187&lt;START!$C$2+2021,0,AJ120*AJ8/1000)</f>
        <v>890.88626514050986</v>
      </c>
      <c r="AK192" s="195">
        <f>IF(AK187&lt;START!$C$2+2021,0,AK120*AK8/1000)</f>
        <v>876.58598134286012</v>
      </c>
      <c r="AL192" s="195">
        <f>IF(AL187&lt;START!$C$2+2021,0,AL120*AL8/1000)</f>
        <v>863.44802182491287</v>
      </c>
      <c r="AM192" s="195">
        <f>IF(AM187&lt;START!$C$2+2021,0,AM120*AM8/1000)</f>
        <v>851.41294285465278</v>
      </c>
      <c r="AN192" s="195">
        <f>IF(AN187&lt;START!$C$2+2021,0,AN120*AN8/1000)</f>
        <v>840.42006250124837</v>
      </c>
      <c r="AO192" s="195">
        <f>IF(AO187&lt;START!$C$2+2021,0,AO120*AO8/1000)</f>
        <v>830.42099928350899</v>
      </c>
      <c r="AP192" s="195">
        <f>IF(AP187&lt;START!$C$2+2021,0,AP120*AP8/1000)</f>
        <v>821.36568650017784</v>
      </c>
      <c r="AQ192" s="195">
        <f>IF(AQ187&lt;START!$C$2+2021,0,AQ120*AQ8/1000)</f>
        <v>813.20241487770284</v>
      </c>
      <c r="AR192" s="195">
        <f>IF(AR187&lt;START!$C$2+2021,0,AR120*AR8/1000)</f>
        <v>805.89104914942936</v>
      </c>
      <c r="AS192" s="195">
        <f>IF(AS187&lt;START!$C$2+2021,0,AS120*AS8/1000)</f>
        <v>799.38944865190763</v>
      </c>
      <c r="AT192" s="195">
        <f>IF(AT187&lt;START!$C$2+2021,0,AT120*AT8/1000)</f>
        <v>793.65346538111601</v>
      </c>
      <c r="AU192" s="195">
        <f>IF(AU187&lt;START!$C$2+2021,0,AU120*AU8/1000)</f>
        <v>788.64995733567355</v>
      </c>
      <c r="AV192" s="195">
        <f>IF(AV187&lt;START!$C$2+2021,0,AV120*AV8/1000)</f>
        <v>784.33913858415758</v>
      </c>
      <c r="AW192" s="195">
        <f>IF(AW187&lt;START!$C$2+2021,0,AW120*AW8/1000)</f>
        <v>780.69192777048318</v>
      </c>
      <c r="AX192" s="195">
        <f>IF(AX187&lt;START!$C$2+2021,0,AX120*AX8/1000)</f>
        <v>777.67676285536731</v>
      </c>
      <c r="AY192" s="195">
        <f>IF(AY187&lt;START!$C$2+2021,0,AY120*AY8/1000)</f>
        <v>775.25953496639568</v>
      </c>
      <c r="AZ192" s="195">
        <f>IF(AZ187&lt;START!$C$2+2021,0,AZ120*AZ8/1000)</f>
        <v>773.41648876333352</v>
      </c>
      <c r="BA192" s="195">
        <f>IF(BA187&lt;START!$C$2+2021,0,BA120*BA8/1000)</f>
        <v>772.1211291887887</v>
      </c>
    </row>
    <row r="193" spans="1:53" ht="20.100000000000001" customHeight="1">
      <c r="A193" s="15"/>
      <c r="B193" s="112" t="s">
        <v>2729</v>
      </c>
      <c r="C193" s="388"/>
      <c r="D193" s="388"/>
      <c r="E193" s="388"/>
      <c r="F193" s="425">
        <f>INDEX($X$436:$BA$436,1,$G$198)</f>
        <v>0.1</v>
      </c>
      <c r="G193" s="123">
        <v>0</v>
      </c>
      <c r="H193" s="426"/>
      <c r="I193" s="668"/>
      <c r="J193" s="668"/>
      <c r="K193" s="668"/>
      <c r="L193" s="668"/>
      <c r="M193" s="668"/>
      <c r="N193" s="668"/>
      <c r="O193" s="291"/>
      <c r="P193" s="668"/>
      <c r="Q193" s="668"/>
      <c r="R193" s="243"/>
      <c r="S193" s="101" t="s">
        <v>2561</v>
      </c>
      <c r="T193" s="383" t="s">
        <v>2573</v>
      </c>
      <c r="U193" s="201"/>
      <c r="V193" s="195">
        <f>IF(V187&lt;START!$C$2+2021,0,V132*V8/1000)</f>
        <v>0</v>
      </c>
      <c r="W193" s="195">
        <f>IF(W187&lt;START!$C$2+2021,0,W132*W8/1000)</f>
        <v>0</v>
      </c>
      <c r="X193" s="195">
        <f>IF(X187&lt;START!$C$2+2021,0,X132*X8/1000)</f>
        <v>0</v>
      </c>
      <c r="Y193" s="195">
        <f>IF(Y187&lt;START!$C$2+2021,0,Y132*Y8/1000)</f>
        <v>0</v>
      </c>
      <c r="Z193" s="195">
        <f>IF(Z187&lt;START!$C$2+2021,0,Z132*Z8/1000)</f>
        <v>0</v>
      </c>
      <c r="AA193" s="195">
        <f>IF(AA187&lt;START!$C$2+2021,0,AA132*AA8/1000)</f>
        <v>0</v>
      </c>
      <c r="AB193" s="195">
        <f>IF(AB187&lt;START!$C$2+2021,0,AB132*AB8/1000)</f>
        <v>0</v>
      </c>
      <c r="AC193" s="195">
        <f>IF(AC187&lt;START!$C$2+2021,0,AC132*AC8/1000)</f>
        <v>0</v>
      </c>
      <c r="AD193" s="195">
        <f>IF(AD187&lt;START!$C$2+2021,0,AD132*AD8/1000)</f>
        <v>0</v>
      </c>
      <c r="AE193" s="195">
        <f>IF(AE187&lt;START!$C$2+2021,0,AE132*AE8/1000)</f>
        <v>0</v>
      </c>
      <c r="AF193" s="195">
        <f>IF(AF187&lt;START!$C$2+2021,0,AF132*AF8/1000)</f>
        <v>0</v>
      </c>
      <c r="AG193" s="195">
        <f>IF(AG187&lt;START!$C$2+2021,0,AG132*AG8/1000)</f>
        <v>0</v>
      </c>
      <c r="AH193" s="195">
        <f>IF(AH187&lt;START!$C$2+2021,0,AH132*AH8/1000)</f>
        <v>0</v>
      </c>
      <c r="AI193" s="195">
        <f>IF(AI187&lt;START!$C$2+2021,0,AI132*AI8/1000)</f>
        <v>0</v>
      </c>
      <c r="AJ193" s="195">
        <f>IF(AJ187&lt;START!$C$2+2021,0,AJ132*AJ8/1000)</f>
        <v>0</v>
      </c>
      <c r="AK193" s="195">
        <f>IF(AK187&lt;START!$C$2+2021,0,AK132*AK8/1000)</f>
        <v>0</v>
      </c>
      <c r="AL193" s="195">
        <f>IF(AL187&lt;START!$C$2+2021,0,AL132*AL8/1000)</f>
        <v>0</v>
      </c>
      <c r="AM193" s="195">
        <f>IF(AM187&lt;START!$C$2+2021,0,AM132*AM8/1000)</f>
        <v>0</v>
      </c>
      <c r="AN193" s="195">
        <f>IF(AN187&lt;START!$C$2+2021,0,AN132*AN8/1000)</f>
        <v>0</v>
      </c>
      <c r="AO193" s="195">
        <f>IF(AO187&lt;START!$C$2+2021,0,AO132*AO8/1000)</f>
        <v>0</v>
      </c>
      <c r="AP193" s="195">
        <f>IF(AP187&lt;START!$C$2+2021,0,AP132*AP8/1000)</f>
        <v>0</v>
      </c>
      <c r="AQ193" s="195">
        <f>IF(AQ187&lt;START!$C$2+2021,0,AQ132*AQ8/1000)</f>
        <v>0</v>
      </c>
      <c r="AR193" s="195">
        <f>IF(AR187&lt;START!$C$2+2021,0,AR132*AR8/1000)</f>
        <v>0</v>
      </c>
      <c r="AS193" s="195">
        <f>IF(AS187&lt;START!$C$2+2021,0,AS132*AS8/1000)</f>
        <v>0</v>
      </c>
      <c r="AT193" s="195">
        <f>IF(AT187&lt;START!$C$2+2021,0,AT132*AT8/1000)</f>
        <v>0</v>
      </c>
      <c r="AU193" s="195">
        <f>IF(AU187&lt;START!$C$2+2021,0,AU132*AU8/1000)</f>
        <v>0</v>
      </c>
      <c r="AV193" s="195">
        <f>IF(AV187&lt;START!$C$2+2021,0,AV132*AV8/1000)</f>
        <v>0</v>
      </c>
      <c r="AW193" s="195">
        <f>IF(AW187&lt;START!$C$2+2021,0,AW132*AW8/1000)</f>
        <v>0</v>
      </c>
      <c r="AX193" s="195">
        <f>IF(AX187&lt;START!$C$2+2021,0,AX132*AX8/1000)</f>
        <v>0</v>
      </c>
      <c r="AY193" s="195">
        <f>IF(AY187&lt;START!$C$2+2021,0,AY132*AY8/1000)</f>
        <v>0</v>
      </c>
      <c r="AZ193" s="195">
        <f>IF(AZ187&lt;START!$C$2+2021,0,AZ132*AZ8/1000)</f>
        <v>0</v>
      </c>
      <c r="BA193" s="195">
        <f>IF(BA187&lt;START!$C$2+2021,0,BA132*BA8/1000)</f>
        <v>0</v>
      </c>
    </row>
    <row r="194" spans="1:53" ht="20.100000000000001" customHeight="1">
      <c r="A194" s="15"/>
      <c r="B194" s="112" t="s">
        <v>578</v>
      </c>
      <c r="C194" s="708"/>
      <c r="D194" s="388"/>
      <c r="E194" s="388"/>
      <c r="F194" s="425">
        <f>INDEX($X$439:$BA$439,1,$G$198)</f>
        <v>0.41999999999999987</v>
      </c>
      <c r="G194" s="123">
        <v>100</v>
      </c>
      <c r="H194" s="426"/>
      <c r="I194" s="668"/>
      <c r="J194" s="668"/>
      <c r="K194" s="668"/>
      <c r="L194" s="668"/>
      <c r="M194" s="668"/>
      <c r="N194" s="668"/>
      <c r="O194" s="291"/>
      <c r="P194" s="668"/>
      <c r="Q194" s="668"/>
      <c r="R194" s="243"/>
      <c r="S194" s="101" t="s">
        <v>2562</v>
      </c>
      <c r="T194" s="383" t="s">
        <v>2573</v>
      </c>
      <c r="U194" s="201"/>
      <c r="V194" s="195">
        <f>IF(V187&lt;START!$C$2+2021,0,V163*V8/1000)</f>
        <v>0</v>
      </c>
      <c r="W194" s="195">
        <f>IF(W187&lt;START!$C$2+2021,0,W163*W8/1000)</f>
        <v>0</v>
      </c>
      <c r="X194" s="195">
        <f>IF(X187&lt;START!$C$2+2021,0,X163*X8/1000)</f>
        <v>0</v>
      </c>
      <c r="Y194" s="195">
        <f>IF(Y187&lt;START!$C$2+2021,0,Y163*Y8/1000)</f>
        <v>5778.4625478067755</v>
      </c>
      <c r="Z194" s="195">
        <f>IF(Z187&lt;START!$C$2+2021,0,Z163*Z8/1000)</f>
        <v>5899.2557492051583</v>
      </c>
      <c r="AA194" s="195">
        <f>IF(AA187&lt;START!$C$2+2021,0,AA163*AA8/1000)</f>
        <v>6022.5704993269901</v>
      </c>
      <c r="AB194" s="195">
        <f>IF(AB187&lt;START!$C$2+2021,0,AB163*AB8/1000)</f>
        <v>6148.4597155512165</v>
      </c>
      <c r="AC194" s="195">
        <f>IF(AC187&lt;START!$C$2+2021,0,AC163*AC8/1000)</f>
        <v>6276.9774435501195</v>
      </c>
      <c r="AD194" s="195">
        <f>IF(AD187&lt;START!$C$2+2021,0,AD163*AD8/1000)</f>
        <v>6408.1788820904303</v>
      </c>
      <c r="AE194" s="195">
        <f>IF(AE187&lt;START!$C$2+2021,0,AE163*AE8/1000)</f>
        <v>6542.1204084058172</v>
      </c>
      <c r="AF194" s="195">
        <f>IF(AF187&lt;START!$C$2+2021,0,AF163*AF8/1000)</f>
        <v>6678.8596041546962</v>
      </c>
      <c r="AG194" s="195">
        <f>IF(AG187&lt;START!$C$2+2021,0,AG163*AG8/1000)</f>
        <v>6818.4552819777755</v>
      </c>
      <c r="AH194" s="195">
        <f>IF(AH187&lt;START!$C$2+2021,0,AH163*AH8/1000)</f>
        <v>6886.387890646537</v>
      </c>
      <c r="AI194" s="195">
        <f>IF(AI187&lt;START!$C$2+2021,0,AI163*AI8/1000)</f>
        <v>6955.00855012392</v>
      </c>
      <c r="AJ194" s="195">
        <f>IF(AJ187&lt;START!$C$2+2021,0,AJ163*AJ8/1000)</f>
        <v>7024.3246327051256</v>
      </c>
      <c r="AK194" s="195">
        <f>IF(AK187&lt;START!$C$2+2021,0,AK163*AK8/1000)</f>
        <v>7094.3055677997536</v>
      </c>
      <c r="AL194" s="195">
        <f>IF(AL187&lt;START!$C$2+2021,0,AL163*AL8/1000)</f>
        <v>7164.9959467675772</v>
      </c>
      <c r="AM194" s="195">
        <f>IF(AM187&lt;START!$C$2+2021,0,AM163*AM8/1000)</f>
        <v>7236.4033900267759</v>
      </c>
      <c r="AN194" s="195">
        <f>IF(AN187&lt;START!$C$2+2021,0,AN163*AN8/1000)</f>
        <v>7308.4960758738107</v>
      </c>
      <c r="AO194" s="195">
        <f>IF(AO187&lt;START!$C$2+2021,0,AO163*AO8/1000)</f>
        <v>7381.3203140039814</v>
      </c>
      <c r="AP194" s="195">
        <f>IF(AP187&lt;START!$C$2+2021,0,AP163*AP8/1000)</f>
        <v>7454.8839823428571</v>
      </c>
      <c r="AQ194" s="195">
        <f>IF(AQ187&lt;START!$C$2+2021,0,AQ163*AQ8/1000)</f>
        <v>7529.153958235599</v>
      </c>
      <c r="AR194" s="195">
        <f>IF(AR187&lt;START!$C$2+2021,0,AR163*AR8/1000)</f>
        <v>7604.1783372068458</v>
      </c>
      <c r="AS194" s="195">
        <f>IF(AS187&lt;START!$C$2+2021,0,AS163*AS8/1000)</f>
        <v>7679.9652644789903</v>
      </c>
      <c r="AT194" s="195">
        <f>IF(AT187&lt;START!$C$2+2021,0,AT163*AT8/1000)</f>
        <v>7756.48026467405</v>
      </c>
      <c r="AU194" s="195">
        <f>IF(AU187&lt;START!$C$2+2021,0,AU163*AU8/1000)</f>
        <v>7833.7732893429093</v>
      </c>
      <c r="AV194" s="195">
        <f>IF(AV187&lt;START!$C$2+2021,0,AV163*AV8/1000)</f>
        <v>7911.8089243535314</v>
      </c>
      <c r="AW194" s="195">
        <f>IF(AW187&lt;START!$C$2+2021,0,AW163*AW8/1000)</f>
        <v>7990.6383916772284</v>
      </c>
      <c r="AX194" s="195">
        <f>IF(AX187&lt;START!$C$2+2021,0,AX163*AX8/1000)</f>
        <v>8070.2702975071788</v>
      </c>
      <c r="AY194" s="195">
        <f>IF(AY187&lt;START!$C$2+2021,0,AY163*AY8/1000)</f>
        <v>8150.667783824957</v>
      </c>
      <c r="AZ194" s="195">
        <f>IF(AZ187&lt;START!$C$2+2021,0,AZ163*AZ8/1000)</f>
        <v>8231.8840515450374</v>
      </c>
      <c r="BA194" s="195">
        <f>IF(BA187&lt;START!$C$2+2021,0,BA163*BA8/1000)</f>
        <v>8313.9280020003898</v>
      </c>
    </row>
    <row r="195" spans="1:53" ht="20.100000000000001" customHeight="1">
      <c r="A195" s="15"/>
      <c r="B195" s="848" t="s">
        <v>577</v>
      </c>
      <c r="C195" s="17"/>
      <c r="D195" s="745"/>
      <c r="E195" s="745"/>
      <c r="F195" s="427">
        <f>INDEX($X$442:$BA$442,1,$G$198)</f>
        <v>99.18</v>
      </c>
      <c r="G195" s="427">
        <f>100-SUM(G191:G194)</f>
        <v>0</v>
      </c>
      <c r="H195" s="426"/>
      <c r="I195" s="668"/>
      <c r="J195" s="668"/>
      <c r="K195" s="668"/>
      <c r="L195" s="668"/>
      <c r="M195" s="668"/>
      <c r="N195" s="668"/>
      <c r="O195" s="291"/>
      <c r="P195" s="668"/>
      <c r="Q195" s="668"/>
      <c r="R195" s="243"/>
      <c r="S195" s="101" t="s">
        <v>2566</v>
      </c>
      <c r="T195" s="383" t="s">
        <v>2573</v>
      </c>
      <c r="U195" s="201"/>
      <c r="V195" s="195">
        <f>IF(V187&lt;START!$C$2+2021,0,V173*V8/1000)</f>
        <v>0</v>
      </c>
      <c r="W195" s="195">
        <f>IF(W187&lt;START!$C$2+2021,0,W173*W8/1000)</f>
        <v>0</v>
      </c>
      <c r="X195" s="195">
        <f>IF(X187&lt;START!$C$2+2021,0,X173*X8/1000)</f>
        <v>0</v>
      </c>
      <c r="Y195" s="195">
        <f>IF(Y187&lt;START!$C$2+2021,0,Y173*Y8/1000)</f>
        <v>0</v>
      </c>
      <c r="Z195" s="195">
        <f>IF(Z187&lt;START!$C$2+2021,0,Z173*Z8/1000)</f>
        <v>0</v>
      </c>
      <c r="AA195" s="195">
        <f>IF(AA187&lt;START!$C$2+2021,0,AA173*AA8/1000)</f>
        <v>0</v>
      </c>
      <c r="AB195" s="195">
        <f>IF(AB187&lt;START!$C$2+2021,0,AB173*AB8/1000)</f>
        <v>0</v>
      </c>
      <c r="AC195" s="195">
        <f>IF(AC187&lt;START!$C$2+2021,0,AC173*AC8/1000)</f>
        <v>0</v>
      </c>
      <c r="AD195" s="195">
        <f>IF(AD187&lt;START!$C$2+2021,0,AD173*AD8/1000)</f>
        <v>0</v>
      </c>
      <c r="AE195" s="195">
        <f>IF(AE187&lt;START!$C$2+2021,0,AE173*AE8/1000)</f>
        <v>0</v>
      </c>
      <c r="AF195" s="195">
        <f>IF(AF187&lt;START!$C$2+2021,0,AF173*AF8/1000)</f>
        <v>0</v>
      </c>
      <c r="AG195" s="195">
        <f>IF(AG187&lt;START!$C$2+2021,0,AG173*AG8/1000)</f>
        <v>0</v>
      </c>
      <c r="AH195" s="195">
        <f>IF(AH187&lt;START!$C$2+2021,0,AH173*AH8/1000)</f>
        <v>0</v>
      </c>
      <c r="AI195" s="195">
        <f>IF(AI187&lt;START!$C$2+2021,0,AI173*AI8/1000)</f>
        <v>0</v>
      </c>
      <c r="AJ195" s="195">
        <f>IF(AJ187&lt;START!$C$2+2021,0,AJ173*AJ8/1000)</f>
        <v>0</v>
      </c>
      <c r="AK195" s="195">
        <f>IF(AK187&lt;START!$C$2+2021,0,AK173*AK8/1000)</f>
        <v>0</v>
      </c>
      <c r="AL195" s="195">
        <f>IF(AL187&lt;START!$C$2+2021,0,AL173*AL8/1000)</f>
        <v>0</v>
      </c>
      <c r="AM195" s="195">
        <f>IF(AM187&lt;START!$C$2+2021,0,AM173*AM8/1000)</f>
        <v>0</v>
      </c>
      <c r="AN195" s="195">
        <f>IF(AN187&lt;START!$C$2+2021,0,AN173*AN8/1000)</f>
        <v>0</v>
      </c>
      <c r="AO195" s="195">
        <f>IF(AO187&lt;START!$C$2+2021,0,AO173*AO8/1000)</f>
        <v>0</v>
      </c>
      <c r="AP195" s="195">
        <f>IF(AP187&lt;START!$C$2+2021,0,AP173*AP8/1000)</f>
        <v>0</v>
      </c>
      <c r="AQ195" s="195">
        <f>IF(AQ187&lt;START!$C$2+2021,0,AQ173*AQ8/1000)</f>
        <v>0</v>
      </c>
      <c r="AR195" s="195">
        <f>IF(AR187&lt;START!$C$2+2021,0,AR173*AR8/1000)</f>
        <v>0</v>
      </c>
      <c r="AS195" s="195">
        <f>IF(AS187&lt;START!$C$2+2021,0,AS173*AS8/1000)</f>
        <v>0</v>
      </c>
      <c r="AT195" s="195">
        <f>IF(AT187&lt;START!$C$2+2021,0,AT173*AT8/1000)</f>
        <v>0</v>
      </c>
      <c r="AU195" s="195">
        <f>IF(AU187&lt;START!$C$2+2021,0,AU173*AU8/1000)</f>
        <v>0</v>
      </c>
      <c r="AV195" s="195">
        <f>IF(AV187&lt;START!$C$2+2021,0,AV173*AV8/1000)</f>
        <v>0</v>
      </c>
      <c r="AW195" s="195">
        <f>IF(AW187&lt;START!$C$2+2021,0,AW173*AW8/1000)</f>
        <v>0</v>
      </c>
      <c r="AX195" s="195">
        <f>IF(AX187&lt;START!$C$2+2021,0,AX173*AX8/1000)</f>
        <v>0</v>
      </c>
      <c r="AY195" s="195">
        <f>IF(AY187&lt;START!$C$2+2021,0,AY173*AY8/1000)</f>
        <v>0</v>
      </c>
      <c r="AZ195" s="195">
        <f>IF(AZ187&lt;START!$C$2+2021,0,AZ173*AZ8/1000)</f>
        <v>0</v>
      </c>
      <c r="BA195" s="707">
        <f>IF(BA187&lt;START!$C$2+2021,0,BA173*BA8/1000)</f>
        <v>0</v>
      </c>
    </row>
    <row r="196" spans="1:53" ht="20.100000000000001" customHeight="1" thickBot="1">
      <c r="A196" s="15"/>
      <c r="B196" s="112" t="s">
        <v>122</v>
      </c>
      <c r="C196" s="388"/>
      <c r="D196" s="388"/>
      <c r="E196" s="388"/>
      <c r="F196" s="425">
        <f>SUM(F191:F195)</f>
        <v>100</v>
      </c>
      <c r="G196" s="428">
        <v>100</v>
      </c>
      <c r="H196" s="426"/>
      <c r="I196" s="668"/>
      <c r="J196" s="668"/>
      <c r="K196" s="668"/>
      <c r="L196" s="668"/>
      <c r="M196" s="668"/>
      <c r="N196" s="668"/>
      <c r="O196" s="291"/>
      <c r="P196" s="668"/>
      <c r="Q196" s="668"/>
      <c r="R196" s="243"/>
      <c r="S196" s="301" t="s">
        <v>2570</v>
      </c>
      <c r="T196" s="448"/>
      <c r="U196" s="203"/>
      <c r="V196" s="197">
        <f>SUM(V188:V195)</f>
        <v>0</v>
      </c>
      <c r="W196" s="197">
        <f t="shared" ref="W196:BA196" si="455">SUM(W188:W195)</f>
        <v>0</v>
      </c>
      <c r="X196" s="197">
        <f t="shared" si="455"/>
        <v>0</v>
      </c>
      <c r="Y196" s="197">
        <f t="shared" si="455"/>
        <v>73841.666164683105</v>
      </c>
      <c r="Z196" s="197">
        <f t="shared" si="455"/>
        <v>74844.94427107356</v>
      </c>
      <c r="AA196" s="197">
        <f t="shared" si="455"/>
        <v>75881.789788351802</v>
      </c>
      <c r="AB196" s="197">
        <f t="shared" si="455"/>
        <v>76935.383572753664</v>
      </c>
      <c r="AC196" s="197">
        <f t="shared" si="455"/>
        <v>78013.761886210559</v>
      </c>
      <c r="AD196" s="197">
        <f t="shared" si="455"/>
        <v>79117.201226435747</v>
      </c>
      <c r="AE196" s="197">
        <f t="shared" si="455"/>
        <v>80245.645189875053</v>
      </c>
      <c r="AF196" s="197">
        <f t="shared" si="455"/>
        <v>81399.066525287039</v>
      </c>
      <c r="AG196" s="197">
        <f t="shared" si="455"/>
        <v>82577.465774086973</v>
      </c>
      <c r="AH196" s="197">
        <f t="shared" si="455"/>
        <v>83303.831412954678</v>
      </c>
      <c r="AI196" s="197">
        <f t="shared" si="455"/>
        <v>84040.982792653915</v>
      </c>
      <c r="AJ196" s="197">
        <f t="shared" si="455"/>
        <v>84788.850892497125</v>
      </c>
      <c r="AK196" s="197">
        <f t="shared" si="455"/>
        <v>85546.969714886611</v>
      </c>
      <c r="AL196" s="197">
        <f t="shared" si="455"/>
        <v>86315.67607452946</v>
      </c>
      <c r="AM196" s="197">
        <f t="shared" si="455"/>
        <v>87094.218707417444</v>
      </c>
      <c r="AN196" s="197">
        <f t="shared" si="455"/>
        <v>87882.761261787076</v>
      </c>
      <c r="AO196" s="197">
        <f t="shared" si="455"/>
        <v>88681.739440970385</v>
      </c>
      <c r="AP196" s="197">
        <f t="shared" si="455"/>
        <v>89491.134381310505</v>
      </c>
      <c r="AQ196" s="197">
        <f t="shared" si="455"/>
        <v>90310.442968927862</v>
      </c>
      <c r="AR196" s="197">
        <f t="shared" si="455"/>
        <v>91140.137852499363</v>
      </c>
      <c r="AS196" s="197">
        <f t="shared" si="455"/>
        <v>91980.21891867528</v>
      </c>
      <c r="AT196" s="197">
        <f t="shared" si="455"/>
        <v>92830.182430678804</v>
      </c>
      <c r="AU196" s="197">
        <f t="shared" si="455"/>
        <v>93690.536446263897</v>
      </c>
      <c r="AV196" s="197">
        <f t="shared" si="455"/>
        <v>94560.775159628887</v>
      </c>
      <c r="AW196" s="197">
        <f t="shared" si="455"/>
        <v>95442.284717023984</v>
      </c>
      <c r="AX196" s="197">
        <f t="shared" si="455"/>
        <v>96334.25927785573</v>
      </c>
      <c r="AY196" s="197">
        <f t="shared" si="455"/>
        <v>97236.186566188058</v>
      </c>
      <c r="AZ196" s="197">
        <f t="shared" si="455"/>
        <v>98148.629895912964</v>
      </c>
      <c r="BA196" s="566">
        <f t="shared" si="455"/>
        <v>99071.628336169655</v>
      </c>
    </row>
    <row r="197" spans="1:53" ht="20.100000000000001" customHeight="1">
      <c r="A197" s="15"/>
      <c r="B197" s="388" t="s">
        <v>117</v>
      </c>
      <c r="C197" s="388"/>
      <c r="D197" s="388"/>
      <c r="E197" s="388"/>
      <c r="F197" s="859" t="s">
        <v>105</v>
      </c>
      <c r="G197" s="859" t="s">
        <v>106</v>
      </c>
      <c r="H197" s="668"/>
      <c r="I197" s="668"/>
      <c r="J197" s="668"/>
      <c r="K197" s="668"/>
      <c r="L197" s="668"/>
      <c r="M197" s="668"/>
      <c r="N197" s="668"/>
      <c r="O197" s="291"/>
      <c r="P197" s="668"/>
      <c r="Q197" s="668"/>
      <c r="R197" s="243"/>
    </row>
    <row r="198" spans="1:53" ht="20.100000000000001" customHeight="1">
      <c r="A198" s="15"/>
      <c r="B198" s="668"/>
      <c r="C198" s="668"/>
      <c r="D198" s="668"/>
      <c r="E198" s="668"/>
      <c r="F198" s="668">
        <v>4</v>
      </c>
      <c r="G198" s="668">
        <v>13</v>
      </c>
      <c r="H198" s="668"/>
      <c r="I198" s="668"/>
      <c r="J198" s="668"/>
      <c r="K198" s="668"/>
      <c r="L198" s="668"/>
      <c r="M198" s="668"/>
      <c r="N198" s="668"/>
      <c r="O198" s="291"/>
      <c r="P198" s="668"/>
      <c r="Q198" s="668"/>
      <c r="R198" s="16"/>
    </row>
    <row r="199" spans="1:53" ht="20.100000000000001" customHeight="1" thickBot="1">
      <c r="A199" s="15"/>
      <c r="B199" s="422" t="str">
        <f>IF(G198&lt;F198,"! end year has to be after start year!","")</f>
        <v/>
      </c>
      <c r="C199" s="422"/>
      <c r="D199" s="422"/>
      <c r="E199" s="422"/>
      <c r="F199" s="422"/>
      <c r="G199" s="422"/>
      <c r="H199" s="426"/>
      <c r="I199" s="668"/>
      <c r="J199" s="668"/>
      <c r="K199" s="668"/>
      <c r="L199" s="668"/>
      <c r="M199" s="668"/>
      <c r="N199" s="668"/>
      <c r="O199" s="291"/>
      <c r="P199" s="668"/>
      <c r="Q199" s="668"/>
      <c r="R199" s="16"/>
      <c r="S199" s="885" t="s">
        <v>2754</v>
      </c>
    </row>
    <row r="200" spans="1:53" ht="20.100000000000001" customHeight="1">
      <c r="A200" s="15"/>
      <c r="B200" s="422" t="str">
        <f>IF(F198&lt;START!$C$2,"Policy period starts before the starting year for the study","")</f>
        <v/>
      </c>
      <c r="C200" s="422"/>
      <c r="D200" s="422"/>
      <c r="E200" s="422"/>
      <c r="F200" s="422"/>
      <c r="G200" s="422"/>
      <c r="H200" s="426"/>
      <c r="I200" s="668"/>
      <c r="J200" s="668"/>
      <c r="K200" s="668"/>
      <c r="L200" s="668"/>
      <c r="M200" s="668"/>
      <c r="N200" s="668"/>
      <c r="O200" s="291"/>
      <c r="P200" s="668"/>
      <c r="Q200" s="668"/>
      <c r="R200" s="16"/>
      <c r="S200" s="487"/>
      <c r="T200" s="520"/>
      <c r="U200" s="456"/>
      <c r="V200" s="456"/>
      <c r="W200" s="456"/>
      <c r="X200" s="462">
        <v>2021</v>
      </c>
      <c r="Y200" s="462">
        <f>X200+1</f>
        <v>2022</v>
      </c>
      <c r="Z200" s="462">
        <f t="shared" ref="Z200:BA200" si="456">Y200+1</f>
        <v>2023</v>
      </c>
      <c r="AA200" s="462">
        <f t="shared" si="456"/>
        <v>2024</v>
      </c>
      <c r="AB200" s="462">
        <f t="shared" si="456"/>
        <v>2025</v>
      </c>
      <c r="AC200" s="462">
        <f t="shared" si="456"/>
        <v>2026</v>
      </c>
      <c r="AD200" s="462">
        <f t="shared" si="456"/>
        <v>2027</v>
      </c>
      <c r="AE200" s="462">
        <f t="shared" si="456"/>
        <v>2028</v>
      </c>
      <c r="AF200" s="462">
        <f t="shared" si="456"/>
        <v>2029</v>
      </c>
      <c r="AG200" s="462">
        <f t="shared" si="456"/>
        <v>2030</v>
      </c>
      <c r="AH200" s="462">
        <f t="shared" si="456"/>
        <v>2031</v>
      </c>
      <c r="AI200" s="462">
        <f t="shared" si="456"/>
        <v>2032</v>
      </c>
      <c r="AJ200" s="462">
        <f t="shared" si="456"/>
        <v>2033</v>
      </c>
      <c r="AK200" s="462">
        <f t="shared" si="456"/>
        <v>2034</v>
      </c>
      <c r="AL200" s="462">
        <f t="shared" si="456"/>
        <v>2035</v>
      </c>
      <c r="AM200" s="462">
        <f t="shared" si="456"/>
        <v>2036</v>
      </c>
      <c r="AN200" s="462">
        <f t="shared" si="456"/>
        <v>2037</v>
      </c>
      <c r="AO200" s="462">
        <f t="shared" si="456"/>
        <v>2038</v>
      </c>
      <c r="AP200" s="462">
        <f t="shared" si="456"/>
        <v>2039</v>
      </c>
      <c r="AQ200" s="462">
        <f t="shared" si="456"/>
        <v>2040</v>
      </c>
      <c r="AR200" s="462">
        <f t="shared" si="456"/>
        <v>2041</v>
      </c>
      <c r="AS200" s="462">
        <f t="shared" si="456"/>
        <v>2042</v>
      </c>
      <c r="AT200" s="462">
        <f t="shared" si="456"/>
        <v>2043</v>
      </c>
      <c r="AU200" s="462">
        <f t="shared" si="456"/>
        <v>2044</v>
      </c>
      <c r="AV200" s="462">
        <f t="shared" si="456"/>
        <v>2045</v>
      </c>
      <c r="AW200" s="462">
        <f t="shared" si="456"/>
        <v>2046</v>
      </c>
      <c r="AX200" s="462">
        <f t="shared" si="456"/>
        <v>2047</v>
      </c>
      <c r="AY200" s="462">
        <f t="shared" si="456"/>
        <v>2048</v>
      </c>
      <c r="AZ200" s="462">
        <f t="shared" si="456"/>
        <v>2049</v>
      </c>
      <c r="BA200" s="463">
        <f t="shared" si="456"/>
        <v>2050</v>
      </c>
    </row>
    <row r="201" spans="1:53" ht="20.100000000000001" customHeight="1">
      <c r="A201" s="15"/>
      <c r="B201" s="668"/>
      <c r="C201" s="668"/>
      <c r="D201" s="668"/>
      <c r="E201" s="668"/>
      <c r="F201" s="859" t="s">
        <v>571</v>
      </c>
      <c r="G201" s="859" t="s">
        <v>1782</v>
      </c>
      <c r="H201" s="1475" t="s">
        <v>1781</v>
      </c>
      <c r="I201" s="668"/>
      <c r="J201" s="668"/>
      <c r="K201" s="668"/>
      <c r="L201" s="668"/>
      <c r="M201" s="668"/>
      <c r="N201" s="668"/>
      <c r="O201" s="291"/>
      <c r="P201" s="668"/>
      <c r="Q201" s="668"/>
      <c r="R201" s="16"/>
      <c r="S201" s="521" t="s">
        <v>108</v>
      </c>
      <c r="T201" s="455"/>
      <c r="U201" s="453"/>
      <c r="V201" s="453"/>
      <c r="W201" s="453"/>
      <c r="X201" s="40"/>
      <c r="Y201" s="40"/>
      <c r="Z201" s="40"/>
      <c r="AA201" s="40"/>
      <c r="AB201" s="40"/>
      <c r="AC201" s="40"/>
      <c r="AD201" s="40"/>
      <c r="AE201" s="40"/>
      <c r="AF201" s="40"/>
      <c r="AG201" s="40"/>
      <c r="AH201" s="40"/>
      <c r="AI201" s="40"/>
      <c r="AJ201" s="40"/>
      <c r="AK201" s="40"/>
      <c r="AL201" s="40"/>
      <c r="AM201" s="40"/>
      <c r="AN201" s="40"/>
      <c r="AO201" s="40"/>
      <c r="AP201" s="40"/>
      <c r="AQ201" s="40"/>
      <c r="AR201" s="40"/>
      <c r="AS201" s="40"/>
      <c r="AT201" s="40"/>
      <c r="AU201" s="40"/>
      <c r="AV201" s="40"/>
      <c r="AW201" s="40"/>
      <c r="AX201" s="40"/>
      <c r="AY201" s="40"/>
      <c r="AZ201" s="40"/>
      <c r="BA201" s="522"/>
    </row>
    <row r="202" spans="1:53" ht="20.100000000000001" customHeight="1">
      <c r="A202" s="752"/>
      <c r="B202" s="414" t="s">
        <v>1785</v>
      </c>
      <c r="C202" s="125"/>
      <c r="D202" s="125"/>
      <c r="E202" s="125"/>
      <c r="F202" s="241">
        <f>2021+G220</f>
        <v>2025</v>
      </c>
      <c r="G202" s="859">
        <f>2021+G220</f>
        <v>2025</v>
      </c>
      <c r="H202" s="1476"/>
      <c r="I202" s="262"/>
      <c r="J202" s="262"/>
      <c r="K202" s="262"/>
      <c r="L202" s="262"/>
      <c r="M202" s="262"/>
      <c r="N202" s="262"/>
      <c r="O202" s="412"/>
      <c r="P202" s="668"/>
      <c r="Q202" s="668"/>
      <c r="R202" s="16"/>
      <c r="S202" s="523" t="s">
        <v>2588</v>
      </c>
      <c r="T202" s="455" t="s">
        <v>110</v>
      </c>
      <c r="U202" s="453"/>
      <c r="V202" s="453"/>
      <c r="W202" s="453"/>
      <c r="X202" s="40">
        <f>X8</f>
        <v>0</v>
      </c>
      <c r="Y202" s="40">
        <f t="shared" ref="Y202:BA202" si="457">Y8</f>
        <v>194942</v>
      </c>
      <c r="Z202" s="40">
        <f t="shared" si="457"/>
        <v>194163</v>
      </c>
      <c r="AA202" s="40">
        <f t="shared" si="457"/>
        <v>193387</v>
      </c>
      <c r="AB202" s="40">
        <f t="shared" si="457"/>
        <v>192614</v>
      </c>
      <c r="AC202" s="40">
        <f t="shared" si="457"/>
        <v>191844</v>
      </c>
      <c r="AD202" s="40">
        <f t="shared" si="457"/>
        <v>191077</v>
      </c>
      <c r="AE202" s="40">
        <f t="shared" si="457"/>
        <v>190313</v>
      </c>
      <c r="AF202" s="40">
        <f t="shared" si="457"/>
        <v>189552</v>
      </c>
      <c r="AG202" s="40">
        <f t="shared" si="457"/>
        <v>188794</v>
      </c>
      <c r="AH202" s="40">
        <f t="shared" si="457"/>
        <v>188228</v>
      </c>
      <c r="AI202" s="40">
        <f t="shared" si="457"/>
        <v>187664</v>
      </c>
      <c r="AJ202" s="40">
        <f t="shared" si="457"/>
        <v>187102</v>
      </c>
      <c r="AK202" s="40">
        <f t="shared" si="457"/>
        <v>186541</v>
      </c>
      <c r="AL202" s="40">
        <f t="shared" si="457"/>
        <v>185982</v>
      </c>
      <c r="AM202" s="40">
        <f t="shared" si="457"/>
        <v>185425</v>
      </c>
      <c r="AN202" s="40">
        <f t="shared" si="457"/>
        <v>184869</v>
      </c>
      <c r="AO202" s="40">
        <f t="shared" si="457"/>
        <v>184315</v>
      </c>
      <c r="AP202" s="40">
        <f t="shared" si="457"/>
        <v>183763</v>
      </c>
      <c r="AQ202" s="40">
        <f t="shared" si="457"/>
        <v>183212</v>
      </c>
      <c r="AR202" s="40">
        <f t="shared" si="457"/>
        <v>182663</v>
      </c>
      <c r="AS202" s="40">
        <f t="shared" si="457"/>
        <v>182116</v>
      </c>
      <c r="AT202" s="40">
        <f t="shared" si="457"/>
        <v>181570</v>
      </c>
      <c r="AU202" s="40">
        <f t="shared" si="457"/>
        <v>181026</v>
      </c>
      <c r="AV202" s="40">
        <f t="shared" si="457"/>
        <v>180483</v>
      </c>
      <c r="AW202" s="40">
        <f t="shared" si="457"/>
        <v>179942</v>
      </c>
      <c r="AX202" s="40">
        <f t="shared" si="457"/>
        <v>179403</v>
      </c>
      <c r="AY202" s="40">
        <f t="shared" si="457"/>
        <v>178865</v>
      </c>
      <c r="AZ202" s="40">
        <f t="shared" si="457"/>
        <v>178329</v>
      </c>
      <c r="BA202" s="522">
        <f t="shared" si="457"/>
        <v>177795</v>
      </c>
    </row>
    <row r="203" spans="1:53" ht="20.100000000000001" customHeight="1">
      <c r="A203" s="15"/>
      <c r="B203" s="735" t="s">
        <v>584</v>
      </c>
      <c r="C203" s="388"/>
      <c r="D203" s="388"/>
      <c r="E203" s="388"/>
      <c r="F203" s="425">
        <f>INDEX($Y$56:$BA$72,1,$G$220)</f>
        <v>2.4466324694609898E-4</v>
      </c>
      <c r="G203" s="123">
        <v>0</v>
      </c>
      <c r="H203" s="445">
        <v>0</v>
      </c>
      <c r="I203" s="668"/>
      <c r="J203" s="668"/>
      <c r="K203" s="668"/>
      <c r="L203" s="668"/>
      <c r="M203" s="668"/>
      <c r="N203" s="668"/>
      <c r="O203" s="291"/>
      <c r="P203" s="668"/>
      <c r="Q203" s="668"/>
      <c r="R203" s="16"/>
      <c r="S203" s="524" t="s">
        <v>160</v>
      </c>
      <c r="T203" s="455" t="s">
        <v>111</v>
      </c>
      <c r="U203" s="453"/>
      <c r="V203" s="453"/>
      <c r="W203" s="453"/>
      <c r="X203" s="40">
        <v>0</v>
      </c>
      <c r="Y203" s="40">
        <f t="shared" ref="Y203:BA203" si="458">IF(AND(Y200&gt;(2020+$F$129),Y200&lt;(2022+$G$129)),ROUND(X203+($G$127/($G$129-$F$129+1)),0),ROUND(X203*(100+Y201)/100,0))</f>
        <v>0</v>
      </c>
      <c r="Z203" s="40">
        <f t="shared" si="458"/>
        <v>0</v>
      </c>
      <c r="AA203" s="40">
        <f t="shared" si="458"/>
        <v>0</v>
      </c>
      <c r="AB203" s="40">
        <f t="shared" si="458"/>
        <v>0</v>
      </c>
      <c r="AC203" s="40">
        <f t="shared" si="458"/>
        <v>0</v>
      </c>
      <c r="AD203" s="40">
        <f t="shared" si="458"/>
        <v>0</v>
      </c>
      <c r="AE203" s="40">
        <f t="shared" si="458"/>
        <v>0</v>
      </c>
      <c r="AF203" s="40">
        <f t="shared" si="458"/>
        <v>0</v>
      </c>
      <c r="AG203" s="40">
        <f t="shared" si="458"/>
        <v>0</v>
      </c>
      <c r="AH203" s="40">
        <f t="shared" si="458"/>
        <v>0</v>
      </c>
      <c r="AI203" s="40">
        <f t="shared" si="458"/>
        <v>0</v>
      </c>
      <c r="AJ203" s="40">
        <f t="shared" si="458"/>
        <v>0</v>
      </c>
      <c r="AK203" s="40">
        <f t="shared" si="458"/>
        <v>0</v>
      </c>
      <c r="AL203" s="40">
        <f t="shared" si="458"/>
        <v>0</v>
      </c>
      <c r="AM203" s="40">
        <f t="shared" si="458"/>
        <v>0</v>
      </c>
      <c r="AN203" s="40">
        <f t="shared" si="458"/>
        <v>0</v>
      </c>
      <c r="AO203" s="40">
        <f t="shared" si="458"/>
        <v>0</v>
      </c>
      <c r="AP203" s="40">
        <f t="shared" si="458"/>
        <v>0</v>
      </c>
      <c r="AQ203" s="40">
        <f t="shared" si="458"/>
        <v>0</v>
      </c>
      <c r="AR203" s="40">
        <f t="shared" si="458"/>
        <v>0</v>
      </c>
      <c r="AS203" s="40">
        <f t="shared" si="458"/>
        <v>0</v>
      </c>
      <c r="AT203" s="40">
        <f t="shared" si="458"/>
        <v>0</v>
      </c>
      <c r="AU203" s="40">
        <f t="shared" si="458"/>
        <v>0</v>
      </c>
      <c r="AV203" s="40">
        <f t="shared" si="458"/>
        <v>0</v>
      </c>
      <c r="AW203" s="40">
        <f t="shared" si="458"/>
        <v>0</v>
      </c>
      <c r="AX203" s="40">
        <f t="shared" si="458"/>
        <v>0</v>
      </c>
      <c r="AY203" s="40">
        <f t="shared" si="458"/>
        <v>0</v>
      </c>
      <c r="AZ203" s="40">
        <f t="shared" si="458"/>
        <v>0</v>
      </c>
      <c r="BA203" s="522">
        <f t="shared" si="458"/>
        <v>0</v>
      </c>
    </row>
    <row r="204" spans="1:53" ht="20.100000000000001" customHeight="1" thickBot="1">
      <c r="A204" s="15"/>
      <c r="B204" s="735" t="s">
        <v>585</v>
      </c>
      <c r="C204" s="388"/>
      <c r="D204" s="388"/>
      <c r="E204" s="388"/>
      <c r="F204" s="425">
        <f>INDEX($Y$56:$BA$72,2,$G$220)</f>
        <v>3.065486564677593E-3</v>
      </c>
      <c r="G204" s="123">
        <v>0.2</v>
      </c>
      <c r="H204" s="668"/>
      <c r="I204" s="668"/>
      <c r="J204" s="668"/>
      <c r="K204" s="668"/>
      <c r="L204" s="668"/>
      <c r="M204" s="668"/>
      <c r="N204" s="668"/>
      <c r="O204" s="291"/>
      <c r="P204" s="668"/>
      <c r="Q204" s="668"/>
      <c r="R204" s="16"/>
      <c r="S204" s="525" t="s">
        <v>2587</v>
      </c>
      <c r="T204" s="501" t="s">
        <v>112</v>
      </c>
      <c r="U204" s="499"/>
      <c r="V204" s="499"/>
      <c r="W204" s="499"/>
      <c r="X204" s="464">
        <f>X202+X203</f>
        <v>0</v>
      </c>
      <c r="Y204" s="464">
        <f t="shared" ref="Y204:BA204" si="459">Y202+Y203</f>
        <v>194942</v>
      </c>
      <c r="Z204" s="464">
        <f t="shared" si="459"/>
        <v>194163</v>
      </c>
      <c r="AA204" s="464">
        <f t="shared" si="459"/>
        <v>193387</v>
      </c>
      <c r="AB204" s="464">
        <f t="shared" si="459"/>
        <v>192614</v>
      </c>
      <c r="AC204" s="464">
        <f t="shared" si="459"/>
        <v>191844</v>
      </c>
      <c r="AD204" s="464">
        <f t="shared" si="459"/>
        <v>191077</v>
      </c>
      <c r="AE204" s="464">
        <f t="shared" si="459"/>
        <v>190313</v>
      </c>
      <c r="AF204" s="464">
        <f t="shared" si="459"/>
        <v>189552</v>
      </c>
      <c r="AG204" s="464">
        <f t="shared" si="459"/>
        <v>188794</v>
      </c>
      <c r="AH204" s="464">
        <f t="shared" si="459"/>
        <v>188228</v>
      </c>
      <c r="AI204" s="464">
        <f t="shared" si="459"/>
        <v>187664</v>
      </c>
      <c r="AJ204" s="464">
        <f t="shared" si="459"/>
        <v>187102</v>
      </c>
      <c r="AK204" s="464">
        <f t="shared" si="459"/>
        <v>186541</v>
      </c>
      <c r="AL204" s="464">
        <f t="shared" si="459"/>
        <v>185982</v>
      </c>
      <c r="AM204" s="464">
        <f t="shared" si="459"/>
        <v>185425</v>
      </c>
      <c r="AN204" s="464">
        <f t="shared" si="459"/>
        <v>184869</v>
      </c>
      <c r="AO204" s="464">
        <f t="shared" si="459"/>
        <v>184315</v>
      </c>
      <c r="AP204" s="464">
        <f t="shared" si="459"/>
        <v>183763</v>
      </c>
      <c r="AQ204" s="464">
        <f t="shared" si="459"/>
        <v>183212</v>
      </c>
      <c r="AR204" s="464">
        <f t="shared" si="459"/>
        <v>182663</v>
      </c>
      <c r="AS204" s="464">
        <f t="shared" si="459"/>
        <v>182116</v>
      </c>
      <c r="AT204" s="464">
        <f t="shared" si="459"/>
        <v>181570</v>
      </c>
      <c r="AU204" s="464">
        <f t="shared" si="459"/>
        <v>181026</v>
      </c>
      <c r="AV204" s="464">
        <f t="shared" si="459"/>
        <v>180483</v>
      </c>
      <c r="AW204" s="464">
        <f t="shared" si="459"/>
        <v>179942</v>
      </c>
      <c r="AX204" s="464">
        <f t="shared" si="459"/>
        <v>179403</v>
      </c>
      <c r="AY204" s="464">
        <f t="shared" si="459"/>
        <v>178865</v>
      </c>
      <c r="AZ204" s="464">
        <f t="shared" si="459"/>
        <v>178329</v>
      </c>
      <c r="BA204" s="526">
        <f t="shared" si="459"/>
        <v>177795</v>
      </c>
    </row>
    <row r="205" spans="1:53" ht="20.100000000000001" customHeight="1">
      <c r="A205" s="15"/>
      <c r="B205" s="735" t="s">
        <v>637</v>
      </c>
      <c r="C205" s="388"/>
      <c r="D205" s="388"/>
      <c r="E205" s="388"/>
      <c r="F205" s="425">
        <f>INDEX($Y$56:$BA$72,3,$G$220)</f>
        <v>0.22152098217613855</v>
      </c>
      <c r="G205" s="123">
        <v>5.3</v>
      </c>
      <c r="H205" s="668"/>
      <c r="I205" s="668"/>
      <c r="J205" s="668"/>
      <c r="K205" s="668"/>
      <c r="L205" s="668"/>
      <c r="M205" s="668"/>
      <c r="N205" s="668"/>
      <c r="O205" s="291"/>
      <c r="P205" s="668"/>
      <c r="Q205" s="668"/>
      <c r="R205" s="16"/>
    </row>
    <row r="206" spans="1:53" ht="20.100000000000001" customHeight="1">
      <c r="A206" s="15"/>
      <c r="B206" s="735" t="s">
        <v>624</v>
      </c>
      <c r="C206" s="388"/>
      <c r="D206" s="388"/>
      <c r="E206" s="388"/>
      <c r="F206" s="425">
        <f>INDEX($Y$56:$BA$72,5,$G$220)</f>
        <v>0.33272762389099186</v>
      </c>
      <c r="G206" s="123">
        <v>2.2000000000000002</v>
      </c>
      <c r="H206" s="668"/>
      <c r="I206" s="668"/>
      <c r="J206" s="668"/>
      <c r="K206" s="668"/>
      <c r="L206" s="668"/>
      <c r="M206" s="668"/>
      <c r="N206" s="668"/>
      <c r="O206" s="291"/>
      <c r="P206" s="668"/>
      <c r="Q206" s="668"/>
      <c r="R206" s="16"/>
    </row>
    <row r="207" spans="1:53" ht="20.100000000000001" customHeight="1" thickBot="1">
      <c r="A207" s="15"/>
      <c r="B207" s="735" t="s">
        <v>625</v>
      </c>
      <c r="C207" s="388"/>
      <c r="D207" s="388"/>
      <c r="E207" s="388"/>
      <c r="F207" s="425">
        <f>INDEX($Y$56:$BA$72,6,$G$220)</f>
        <v>0</v>
      </c>
      <c r="G207" s="123">
        <v>0.6</v>
      </c>
      <c r="H207" s="668"/>
      <c r="I207" s="668"/>
      <c r="J207" s="668"/>
      <c r="K207" s="668"/>
      <c r="L207" s="668"/>
      <c r="M207" s="668"/>
      <c r="N207" s="668"/>
      <c r="O207" s="291"/>
      <c r="P207" s="668"/>
      <c r="Q207" s="668"/>
      <c r="R207" s="16"/>
      <c r="S207" s="844" t="s">
        <v>158</v>
      </c>
      <c r="T207" s="244"/>
      <c r="U207" s="245" t="s">
        <v>65</v>
      </c>
      <c r="V207" s="226" t="s">
        <v>67</v>
      </c>
      <c r="W207" s="14" t="s">
        <v>68</v>
      </c>
      <c r="X207" s="226" t="s">
        <v>74</v>
      </c>
      <c r="Y207" s="14" t="s">
        <v>69</v>
      </c>
      <c r="Z207" s="14" t="s">
        <v>70</v>
      </c>
      <c r="AA207" s="14" t="s">
        <v>149</v>
      </c>
      <c r="AB207" s="14" t="s">
        <v>150</v>
      </c>
      <c r="AC207" s="229" t="s">
        <v>151</v>
      </c>
    </row>
    <row r="208" spans="1:53" ht="20.100000000000001" customHeight="1">
      <c r="A208" s="15"/>
      <c r="B208" s="735" t="s">
        <v>626</v>
      </c>
      <c r="C208" s="388"/>
      <c r="D208" s="388"/>
      <c r="E208" s="388"/>
      <c r="F208" s="425">
        <f>INDEX($Y$56:$BA$72,8,$G$220)</f>
        <v>0.47892110991913739</v>
      </c>
      <c r="G208" s="123">
        <v>0</v>
      </c>
      <c r="H208" s="668"/>
      <c r="I208" s="668"/>
      <c r="J208" s="668"/>
      <c r="K208" s="668"/>
      <c r="L208" s="668"/>
      <c r="M208" s="668"/>
      <c r="N208" s="668"/>
      <c r="O208" s="291"/>
      <c r="P208" s="668"/>
      <c r="Q208" s="668"/>
      <c r="R208" s="16"/>
      <c r="S208" s="468" t="s">
        <v>157</v>
      </c>
      <c r="T208" s="517" t="s">
        <v>60</v>
      </c>
      <c r="U208" s="518">
        <f>G8</f>
        <v>0</v>
      </c>
      <c r="V208" s="457">
        <f>INDEX('DEFAULT DATA'!$Z$9:$AD$41,START!$C$3,1)</f>
        <v>2</v>
      </c>
      <c r="W208" s="457">
        <f>INDEX('DEFAULT DATA'!$DA$9:$DE$41,START!$C$3,1)</f>
        <v>0.3</v>
      </c>
      <c r="X208" s="457">
        <v>1</v>
      </c>
      <c r="Y208" s="457">
        <v>1</v>
      </c>
      <c r="Z208" s="457">
        <f>INDEX('DEFAULT DATA'!$JE$9:$JI$41,START!$C$3,1)</f>
        <v>2</v>
      </c>
      <c r="AA208" s="457">
        <f>INDEX('DEFAULT DATA'!$JQ$9:$JU$41,START!$C$3,1)</f>
        <v>2</v>
      </c>
      <c r="AB208" s="457">
        <f>INDEX('DEFAULT DATA'!$KB$9:$KF$41,START!$C$3,1)</f>
        <v>2</v>
      </c>
      <c r="AC208" s="458">
        <f>INDEX('DEFAULT DATA'!$LS$9:$LW$41,START!$C$3,1)</f>
        <v>2</v>
      </c>
    </row>
    <row r="209" spans="1:30" ht="20.100000000000001" customHeight="1">
      <c r="A209" s="15"/>
      <c r="B209" s="735" t="s">
        <v>627</v>
      </c>
      <c r="C209" s="388"/>
      <c r="D209" s="388"/>
      <c r="E209" s="388"/>
      <c r="F209" s="425">
        <f>INDEX($Y$56:$BA$72,9,$G$220)</f>
        <v>0</v>
      </c>
      <c r="G209" s="123">
        <v>0</v>
      </c>
      <c r="H209" s="668"/>
      <c r="I209" s="668"/>
      <c r="J209" s="668"/>
      <c r="K209" s="668"/>
      <c r="L209" s="668"/>
      <c r="M209" s="668"/>
      <c r="N209" s="668"/>
      <c r="O209" s="291"/>
      <c r="P209" s="668"/>
      <c r="Q209" s="668"/>
      <c r="R209" s="16"/>
      <c r="S209" s="508"/>
      <c r="T209" s="454" t="s">
        <v>61</v>
      </c>
      <c r="U209" s="12">
        <f>G9</f>
        <v>50</v>
      </c>
      <c r="V209" s="48">
        <f>INDEX('DEFAULT DATA'!$Z$9:$AD$41,START!$C$3,2)</f>
        <v>1.5</v>
      </c>
      <c r="W209" s="48">
        <f>INDEX('DEFAULT DATA'!$DA$9:$DE$41,START!$C$3,2)</f>
        <v>0.7</v>
      </c>
      <c r="X209" s="48">
        <v>1</v>
      </c>
      <c r="Y209" s="48">
        <v>1</v>
      </c>
      <c r="Z209" s="48">
        <f>INDEX('DEFAULT DATA'!$JE$9:$JI$41,START!$C$3,2)</f>
        <v>1.5</v>
      </c>
      <c r="AA209" s="48">
        <f>INDEX('DEFAULT DATA'!$JQ$9:$JU$41,START!$C$3,2)</f>
        <v>2</v>
      </c>
      <c r="AB209" s="48">
        <f>INDEX('DEFAULT DATA'!$KB$9:$KF$41,START!$C$3,2)</f>
        <v>1.5</v>
      </c>
      <c r="AC209" s="459">
        <f>INDEX('DEFAULT DATA'!$LS$9:$LW$41,START!$C$3,2)</f>
        <v>1</v>
      </c>
    </row>
    <row r="210" spans="1:30" ht="20.100000000000001" customHeight="1">
      <c r="A210" s="15"/>
      <c r="B210" s="735" t="s">
        <v>628</v>
      </c>
      <c r="C210" s="388"/>
      <c r="D210" s="388"/>
      <c r="E210" s="388"/>
      <c r="F210" s="425">
        <f>INDEX($Y$56:$BA$72,10,$G$220)</f>
        <v>0</v>
      </c>
      <c r="G210" s="123">
        <v>0</v>
      </c>
      <c r="H210" s="668"/>
      <c r="I210" s="668"/>
      <c r="J210" s="668"/>
      <c r="K210" s="668"/>
      <c r="L210" s="668"/>
      <c r="M210" s="668"/>
      <c r="N210" s="668"/>
      <c r="O210" s="291"/>
      <c r="P210" s="668"/>
      <c r="Q210" s="668"/>
      <c r="R210" s="16"/>
      <c r="S210" s="508"/>
      <c r="T210" s="454" t="s">
        <v>62</v>
      </c>
      <c r="U210" s="12">
        <f>G10</f>
        <v>50</v>
      </c>
      <c r="V210" s="48">
        <f>INDEX('DEFAULT DATA'!$Z$9:$AD$41,START!$C$3,3)</f>
        <v>1</v>
      </c>
      <c r="W210" s="48">
        <f>INDEX('DEFAULT DATA'!$DA$9:$DE$41,START!$C$3,3)</f>
        <v>1.2</v>
      </c>
      <c r="X210" s="48">
        <v>1</v>
      </c>
      <c r="Y210" s="48">
        <v>1</v>
      </c>
      <c r="Z210" s="48">
        <f>INDEX('DEFAULT DATA'!$JE$9:$JI$41,START!$C$3,3)</f>
        <v>0.7</v>
      </c>
      <c r="AA210" s="48">
        <f>INDEX('DEFAULT DATA'!$JQ$9:$JU$41,START!$C$3,3)</f>
        <v>1</v>
      </c>
      <c r="AB210" s="48">
        <f>INDEX('DEFAULT DATA'!$KB$9:$KF$41,START!$C$3,3)</f>
        <v>0.5</v>
      </c>
      <c r="AC210" s="459">
        <f>INDEX('DEFAULT DATA'!$LS$9:$LW$41,START!$C$3,3)</f>
        <v>0.5</v>
      </c>
    </row>
    <row r="211" spans="1:30" ht="20.100000000000001" customHeight="1">
      <c r="A211" s="15"/>
      <c r="B211" s="735" t="s">
        <v>629</v>
      </c>
      <c r="C211" s="388"/>
      <c r="D211" s="388"/>
      <c r="E211" s="388"/>
      <c r="F211" s="425">
        <f>INDEX($Y$56:$BA$72,11,$G$220)</f>
        <v>0</v>
      </c>
      <c r="G211" s="123">
        <v>0</v>
      </c>
      <c r="H211" s="668"/>
      <c r="I211" s="668"/>
      <c r="J211" s="668"/>
      <c r="K211" s="668"/>
      <c r="L211" s="668"/>
      <c r="M211" s="668"/>
      <c r="N211" s="668"/>
      <c r="O211" s="291"/>
      <c r="P211" s="668"/>
      <c r="Q211" s="668"/>
      <c r="R211" s="16"/>
      <c r="S211" s="508"/>
      <c r="T211" s="454" t="s">
        <v>63</v>
      </c>
      <c r="U211" s="12">
        <f>G11</f>
        <v>0</v>
      </c>
      <c r="V211" s="48">
        <f>INDEX('DEFAULT DATA'!$Z$9:$AD$41,START!$C$3,4)</f>
        <v>0.8</v>
      </c>
      <c r="W211" s="48">
        <f>INDEX('DEFAULT DATA'!$DA$9:$DE$41,START!$C$3,4)</f>
        <v>1.2</v>
      </c>
      <c r="X211" s="48">
        <v>1</v>
      </c>
      <c r="Y211" s="48">
        <v>1</v>
      </c>
      <c r="Z211" s="48">
        <f>INDEX('DEFAULT DATA'!$JE$9:$JI$41,START!$C$3,4)</f>
        <v>0.7</v>
      </c>
      <c r="AA211" s="48">
        <f>INDEX('DEFAULT DATA'!$JQ$9:$JU$41,START!$C$3,4)</f>
        <v>1</v>
      </c>
      <c r="AB211" s="48">
        <f>INDEX('DEFAULT DATA'!$KB$9:$KF$41,START!$C$3,4)</f>
        <v>1</v>
      </c>
      <c r="AC211" s="459">
        <f>INDEX('DEFAULT DATA'!$LS$9:$LW$41,START!$C$3,4)</f>
        <v>0.7</v>
      </c>
    </row>
    <row r="212" spans="1:30" ht="20.100000000000001" customHeight="1">
      <c r="A212" s="15"/>
      <c r="B212" s="735" t="s">
        <v>630</v>
      </c>
      <c r="C212" s="388"/>
      <c r="D212" s="388"/>
      <c r="E212" s="388"/>
      <c r="F212" s="425">
        <f>INDEX($Y$56:$BA$72,12,$G$220)</f>
        <v>0</v>
      </c>
      <c r="G212" s="123">
        <v>0</v>
      </c>
      <c r="H212" s="668"/>
      <c r="I212" s="668"/>
      <c r="J212" s="668"/>
      <c r="K212" s="668"/>
      <c r="L212" s="668"/>
      <c r="M212" s="668"/>
      <c r="N212" s="668"/>
      <c r="O212" s="291"/>
      <c r="P212" s="668"/>
      <c r="Q212" s="668"/>
      <c r="R212" s="16"/>
      <c r="S212" s="508"/>
      <c r="T212" s="454" t="s">
        <v>64</v>
      </c>
      <c r="U212" s="12">
        <f>G12</f>
        <v>0</v>
      </c>
      <c r="V212" s="48">
        <f>INDEX('DEFAULT DATA'!$Z$9:$AD$41,START!$C$3,5)</f>
        <v>0.5</v>
      </c>
      <c r="W212" s="48">
        <f>INDEX('DEFAULT DATA'!$DA$9:$DE$41,START!$C$3,5)</f>
        <v>3</v>
      </c>
      <c r="X212" s="48">
        <v>1</v>
      </c>
      <c r="Y212" s="48">
        <v>1</v>
      </c>
      <c r="Z212" s="48">
        <f>INDEX('DEFAULT DATA'!$JE$9:$JI$41,START!$C$3,5)</f>
        <v>0.5</v>
      </c>
      <c r="AA212" s="48">
        <f>INDEX('DEFAULT DATA'!$JQ$9:$JU$41,START!$C$3,5)</f>
        <v>0.5</v>
      </c>
      <c r="AB212" s="48">
        <f>INDEX('DEFAULT DATA'!$KB$9:$KF$41,START!$C$3,5)</f>
        <v>0.5</v>
      </c>
      <c r="AC212" s="459">
        <f>INDEX('DEFAULT DATA'!$LS$9:$LW$41,START!$C$3,5)</f>
        <v>0.2</v>
      </c>
    </row>
    <row r="213" spans="1:30" ht="20.100000000000001" customHeight="1" thickBot="1">
      <c r="A213" s="15"/>
      <c r="B213" s="735" t="s">
        <v>2042</v>
      </c>
      <c r="C213" s="388"/>
      <c r="D213" s="388"/>
      <c r="E213" s="388"/>
      <c r="F213" s="425">
        <f>INDEX($Y$56:$BA$72,13,$G$220)</f>
        <v>0.1778413966184085</v>
      </c>
      <c r="G213" s="123">
        <v>0.6</v>
      </c>
      <c r="H213" s="668"/>
      <c r="I213" s="668"/>
      <c r="J213" s="668"/>
      <c r="K213" s="668"/>
      <c r="L213" s="668"/>
      <c r="M213" s="668"/>
      <c r="N213" s="668"/>
      <c r="O213" s="291"/>
      <c r="P213" s="668"/>
      <c r="Q213" s="668"/>
      <c r="R213" s="16"/>
      <c r="S213" s="509"/>
      <c r="T213" s="519" t="s">
        <v>116</v>
      </c>
      <c r="U213" s="203"/>
      <c r="V213" s="730">
        <f>($G$8/100*V208)+($G$9/100*V209)+($G$10/100*V210)+($G$11/100*V211)+($G$12/100*V212)</f>
        <v>1.25</v>
      </c>
      <c r="W213" s="730">
        <f t="shared" ref="W213:AC213" si="460">($G$8/100*W208)+($G$9/100*W209)+($G$10/100*W210)+($G$11/100*W211)+($G$12/100*W212)</f>
        <v>0.95</v>
      </c>
      <c r="X213" s="730">
        <f t="shared" si="460"/>
        <v>1</v>
      </c>
      <c r="Y213" s="730">
        <f t="shared" si="460"/>
        <v>1</v>
      </c>
      <c r="Z213" s="730">
        <f t="shared" si="460"/>
        <v>1.1000000000000001</v>
      </c>
      <c r="AA213" s="730">
        <f t="shared" si="460"/>
        <v>1.5</v>
      </c>
      <c r="AB213" s="730">
        <f t="shared" si="460"/>
        <v>1</v>
      </c>
      <c r="AC213" s="731">
        <f t="shared" si="460"/>
        <v>0.75</v>
      </c>
    </row>
    <row r="214" spans="1:30" ht="20.100000000000001" customHeight="1" thickBot="1">
      <c r="A214" s="15"/>
      <c r="B214" s="735" t="s">
        <v>486</v>
      </c>
      <c r="C214" s="388"/>
      <c r="D214" s="388"/>
      <c r="E214" s="388"/>
      <c r="F214" s="425">
        <f>INDEX($Y$56:$BA$72,14,$G$220)</f>
        <v>1.0074368991898192E-4</v>
      </c>
      <c r="G214" s="123">
        <v>3.9</v>
      </c>
      <c r="H214" s="668"/>
      <c r="I214" s="668"/>
      <c r="J214" s="668"/>
      <c r="K214" s="668"/>
      <c r="L214" s="668"/>
      <c r="M214" s="668"/>
      <c r="N214" s="668"/>
      <c r="O214" s="291"/>
      <c r="P214" s="668"/>
      <c r="Q214" s="668"/>
      <c r="R214" s="16"/>
      <c r="S214" s="708"/>
      <c r="AC214" s="229"/>
    </row>
    <row r="215" spans="1:30" ht="20.100000000000001" customHeight="1">
      <c r="A215" s="15"/>
      <c r="B215" s="735" t="s">
        <v>2630</v>
      </c>
      <c r="C215" s="388"/>
      <c r="D215" s="388"/>
      <c r="E215" s="388"/>
      <c r="F215" s="425">
        <f>INDEX($Y$56:$BA$72,15,$G$220)</f>
        <v>4.0268692056187341E-2</v>
      </c>
      <c r="G215" s="123">
        <v>0.6</v>
      </c>
      <c r="H215" s="668"/>
      <c r="I215" s="668"/>
      <c r="J215" s="668"/>
      <c r="K215" s="668"/>
      <c r="L215" s="668"/>
      <c r="M215" s="668"/>
      <c r="N215" s="668"/>
      <c r="O215" s="291"/>
      <c r="P215" s="668"/>
      <c r="Q215" s="668"/>
      <c r="R215" s="16"/>
      <c r="S215" s="468" t="s">
        <v>156</v>
      </c>
      <c r="T215" s="517" t="s">
        <v>60</v>
      </c>
      <c r="U215" s="518">
        <f>G138</f>
        <v>100</v>
      </c>
      <c r="V215" s="457">
        <f>INDEX('DEFAULT DATA'!$Z$9:$AD$41,START!$C$3,1)</f>
        <v>2</v>
      </c>
      <c r="W215" s="457">
        <f>INDEX('DEFAULT DATA'!$DA$9:$DE$41,START!$C$3,1)</f>
        <v>0.3</v>
      </c>
      <c r="X215" s="457">
        <v>1</v>
      </c>
      <c r="Y215" s="457">
        <v>1</v>
      </c>
      <c r="Z215" s="457">
        <f>INDEX('DEFAULT DATA'!$JE$9:$JI$41,START!$C$3,1)</f>
        <v>2</v>
      </c>
      <c r="AA215" s="457">
        <f>INDEX('DEFAULT DATA'!$JQ$9:$JU$41,START!$C$3,1)</f>
        <v>2</v>
      </c>
      <c r="AB215" s="457">
        <f>INDEX('DEFAULT DATA'!$KB$9:$KF$41,START!$C$3,1)</f>
        <v>2</v>
      </c>
      <c r="AC215" s="458">
        <f>INDEX('DEFAULT DATA'!$LS$9:$LW$41,START!$C$3,1)</f>
        <v>2</v>
      </c>
    </row>
    <row r="216" spans="1:30" ht="20.100000000000001" customHeight="1">
      <c r="A216" s="15"/>
      <c r="B216" s="735" t="s">
        <v>623</v>
      </c>
      <c r="C216" s="708"/>
      <c r="D216" s="708"/>
      <c r="E216" s="708"/>
      <c r="F216" s="425">
        <f>INDEX($Y$56:$BA$72,4,$G$220)</f>
        <v>52.250412545410214</v>
      </c>
      <c r="G216" s="428">
        <f>INDEX($Y$503:$BA$503,1,$G$220)</f>
        <v>45.823804274096489</v>
      </c>
      <c r="H216" s="668"/>
      <c r="I216" s="388"/>
      <c r="J216" s="388"/>
      <c r="K216" s="668"/>
      <c r="L216" s="668"/>
      <c r="M216" s="668"/>
      <c r="N216" s="668"/>
      <c r="O216" s="291"/>
      <c r="P216" s="668"/>
      <c r="Q216" s="668"/>
      <c r="R216" s="16"/>
      <c r="S216" s="508"/>
      <c r="T216" s="454" t="s">
        <v>61</v>
      </c>
      <c r="U216" s="12">
        <f>G139</f>
        <v>0</v>
      </c>
      <c r="V216" s="48">
        <f>INDEX('DEFAULT DATA'!$Z$9:$AD$41,START!$C$3,2)</f>
        <v>1.5</v>
      </c>
      <c r="W216" s="48">
        <f>INDEX('DEFAULT DATA'!$DA$9:$DE$41,START!$C$3,2)</f>
        <v>0.7</v>
      </c>
      <c r="X216" s="48">
        <v>1</v>
      </c>
      <c r="Y216" s="48">
        <v>1</v>
      </c>
      <c r="Z216" s="48">
        <f>INDEX('DEFAULT DATA'!$JE$9:$JI$41,START!$C$3,2)</f>
        <v>1.5</v>
      </c>
      <c r="AA216" s="48">
        <f>INDEX('DEFAULT DATA'!$JQ$9:$JU$41,START!$C$3,2)</f>
        <v>2</v>
      </c>
      <c r="AB216" s="48">
        <f>INDEX('DEFAULT DATA'!$KB$9:$KF$41,START!$C$3,2)</f>
        <v>1.5</v>
      </c>
      <c r="AC216" s="459">
        <f>INDEX('DEFAULT DATA'!$LS$9:$LW$41,START!$C$3,2)</f>
        <v>1</v>
      </c>
    </row>
    <row r="217" spans="1:30" ht="20.100000000000001" customHeight="1">
      <c r="A217" s="15"/>
      <c r="B217" s="741" t="s">
        <v>577</v>
      </c>
      <c r="C217" s="17"/>
      <c r="D217" s="17"/>
      <c r="E217" s="17"/>
      <c r="F217" s="427">
        <f>INDEX($Y$56:$BA$72,7,$G$220)</f>
        <v>46.494896756427373</v>
      </c>
      <c r="G217" s="430">
        <f>INDEX($Y$511:$BA$511,1,$G$220)</f>
        <v>40.776195725903513</v>
      </c>
      <c r="H217" s="708"/>
      <c r="I217" s="388"/>
      <c r="J217" s="388"/>
      <c r="K217" s="668"/>
      <c r="L217" s="668"/>
      <c r="M217" s="668"/>
      <c r="N217" s="668"/>
      <c r="O217" s="291"/>
      <c r="P217" s="668"/>
      <c r="Q217" s="668"/>
      <c r="R217" s="16"/>
      <c r="S217" s="508"/>
      <c r="T217" s="454" t="s">
        <v>62</v>
      </c>
      <c r="U217" s="12">
        <f>G140</f>
        <v>0</v>
      </c>
      <c r="V217" s="48">
        <f>INDEX('DEFAULT DATA'!$Z$9:$AD$41,START!$C$3,3)</f>
        <v>1</v>
      </c>
      <c r="W217" s="48">
        <f>INDEX('DEFAULT DATA'!$DA$9:$DE$41,START!$C$3,3)</f>
        <v>1.2</v>
      </c>
      <c r="X217" s="48">
        <v>1</v>
      </c>
      <c r="Y217" s="48">
        <v>1</v>
      </c>
      <c r="Z217" s="48">
        <f>INDEX('DEFAULT DATA'!$JE$9:$JI$41,START!$C$3,3)</f>
        <v>0.7</v>
      </c>
      <c r="AA217" s="48">
        <f>INDEX('DEFAULT DATA'!$JQ$9:$JU$41,START!$C$3,3)</f>
        <v>1</v>
      </c>
      <c r="AB217" s="48">
        <f>INDEX('DEFAULT DATA'!$KB$9:$KF$41,START!$C$3,3)</f>
        <v>0.5</v>
      </c>
      <c r="AC217" s="459">
        <f>INDEX('DEFAULT DATA'!$LS$9:$LW$41,START!$C$3,3)</f>
        <v>0.5</v>
      </c>
    </row>
    <row r="218" spans="1:30" ht="20.100000000000001" customHeight="1">
      <c r="A218" s="15"/>
      <c r="B218" s="112" t="s">
        <v>122</v>
      </c>
      <c r="C218" s="388"/>
      <c r="D218" s="388"/>
      <c r="E218" s="388"/>
      <c r="F218" s="425">
        <f>SUM(F203:F217)</f>
        <v>100</v>
      </c>
      <c r="G218" s="425">
        <f>SUM(G203:G217)</f>
        <v>100</v>
      </c>
      <c r="H218" s="708"/>
      <c r="I218" s="668"/>
      <c r="J218" s="668"/>
      <c r="K218" s="668"/>
      <c r="L218" s="668"/>
      <c r="M218" s="668"/>
      <c r="N218" s="668"/>
      <c r="O218" s="291"/>
      <c r="P218" s="668"/>
      <c r="Q218" s="668"/>
      <c r="R218" s="16"/>
      <c r="S218" s="508"/>
      <c r="T218" s="454" t="s">
        <v>63</v>
      </c>
      <c r="U218" s="12">
        <f>G141</f>
        <v>0</v>
      </c>
      <c r="V218" s="48">
        <f>INDEX('DEFAULT DATA'!$Z$9:$AD$41,START!$C$3,4)</f>
        <v>0.8</v>
      </c>
      <c r="W218" s="48">
        <f>INDEX('DEFAULT DATA'!$DA$9:$DE$41,START!$C$3,4)</f>
        <v>1.2</v>
      </c>
      <c r="X218" s="48">
        <v>1</v>
      </c>
      <c r="Y218" s="48">
        <v>1</v>
      </c>
      <c r="Z218" s="48">
        <f>INDEX('DEFAULT DATA'!$JE$9:$JI$41,START!$C$3,4)</f>
        <v>0.7</v>
      </c>
      <c r="AA218" s="48">
        <f>INDEX('DEFAULT DATA'!$JQ$9:$JU$41,START!$C$3,4)</f>
        <v>1</v>
      </c>
      <c r="AB218" s="48">
        <f>INDEX('DEFAULT DATA'!$KB$9:$KF$41,START!$C$3,4)</f>
        <v>1</v>
      </c>
      <c r="AC218" s="459">
        <f>INDEX('DEFAULT DATA'!$LS$9:$LW$41,START!$C$3,4)</f>
        <v>0.7</v>
      </c>
    </row>
    <row r="219" spans="1:30" ht="20.100000000000001" customHeight="1">
      <c r="A219" s="15"/>
      <c r="B219" s="388" t="s">
        <v>117</v>
      </c>
      <c r="C219" s="388"/>
      <c r="D219" s="388"/>
      <c r="E219" s="388"/>
      <c r="F219" s="859" t="s">
        <v>105</v>
      </c>
      <c r="G219" s="859" t="s">
        <v>106</v>
      </c>
      <c r="H219" s="668"/>
      <c r="I219" s="668"/>
      <c r="J219" s="668"/>
      <c r="K219" s="668"/>
      <c r="L219" s="668"/>
      <c r="M219" s="668"/>
      <c r="N219" s="668"/>
      <c r="O219" s="291"/>
      <c r="P219" s="668"/>
      <c r="Q219" s="668"/>
      <c r="R219" s="16"/>
      <c r="S219" s="508"/>
      <c r="T219" s="454" t="s">
        <v>64</v>
      </c>
      <c r="U219" s="12">
        <f>G142</f>
        <v>0</v>
      </c>
      <c r="V219" s="48">
        <f>INDEX('DEFAULT DATA'!$Z$9:$AD$41,START!$C$3,5)</f>
        <v>0.5</v>
      </c>
      <c r="W219" s="48">
        <f>INDEX('DEFAULT DATA'!$DA$9:$DE$41,START!$C$3,5)</f>
        <v>3</v>
      </c>
      <c r="X219" s="48">
        <v>1</v>
      </c>
      <c r="Y219" s="48">
        <v>1</v>
      </c>
      <c r="Z219" s="48">
        <f>INDEX('DEFAULT DATA'!$JE$9:$JI$41,START!$C$3,5)</f>
        <v>0.5</v>
      </c>
      <c r="AA219" s="48">
        <f>INDEX('DEFAULT DATA'!$JQ$9:$JU$41,START!$C$3,5)</f>
        <v>0.5</v>
      </c>
      <c r="AB219" s="48">
        <f>INDEX('DEFAULT DATA'!$KB$9:$KF$41,START!$C$3,5)</f>
        <v>0.5</v>
      </c>
      <c r="AC219" s="459">
        <f>INDEX('DEFAULT DATA'!$LS$9:$LW$41,START!$C$3,5)</f>
        <v>0.2</v>
      </c>
    </row>
    <row r="220" spans="1:30" ht="20.100000000000001" customHeight="1" thickBot="1">
      <c r="A220" s="15"/>
      <c r="B220" s="668"/>
      <c r="C220" s="668"/>
      <c r="D220" s="668"/>
      <c r="E220" s="668"/>
      <c r="F220" s="668">
        <v>1</v>
      </c>
      <c r="G220" s="668">
        <v>4</v>
      </c>
      <c r="H220" s="668"/>
      <c r="I220" s="668"/>
      <c r="J220" s="668"/>
      <c r="K220" s="668"/>
      <c r="L220" s="668"/>
      <c r="M220" s="668"/>
      <c r="N220" s="668"/>
      <c r="O220" s="291"/>
      <c r="P220" s="668"/>
      <c r="Q220" s="668"/>
      <c r="R220" s="16"/>
      <c r="S220" s="509"/>
      <c r="T220" s="519" t="s">
        <v>116</v>
      </c>
      <c r="U220" s="203"/>
      <c r="V220" s="730">
        <f t="shared" ref="V220:AC220" si="461">($G$138/100*V215)+($G$139/100*V216)+($G$140/100*V217)+($G$141/100*V218)+($G$142/100*V219)</f>
        <v>2</v>
      </c>
      <c r="W220" s="730">
        <f t="shared" si="461"/>
        <v>0.3</v>
      </c>
      <c r="X220" s="730">
        <f t="shared" si="461"/>
        <v>1</v>
      </c>
      <c r="Y220" s="730">
        <f t="shared" si="461"/>
        <v>1</v>
      </c>
      <c r="Z220" s="730">
        <f t="shared" si="461"/>
        <v>2</v>
      </c>
      <c r="AA220" s="730">
        <f t="shared" si="461"/>
        <v>2</v>
      </c>
      <c r="AB220" s="730">
        <f t="shared" si="461"/>
        <v>2</v>
      </c>
      <c r="AC220" s="731">
        <f t="shared" si="461"/>
        <v>2</v>
      </c>
    </row>
    <row r="221" spans="1:30" ht="20.100000000000001" customHeight="1">
      <c r="A221" s="15"/>
      <c r="B221" s="708"/>
      <c r="C221" s="422"/>
      <c r="D221" s="422"/>
      <c r="E221" s="422"/>
      <c r="F221" s="422"/>
      <c r="G221" s="422"/>
      <c r="H221" s="426"/>
      <c r="I221" s="668"/>
      <c r="J221" s="668"/>
      <c r="K221" s="668"/>
      <c r="L221" s="668"/>
      <c r="M221" s="668"/>
      <c r="N221" s="668"/>
      <c r="O221" s="291"/>
      <c r="P221" s="668"/>
      <c r="Q221" s="668"/>
      <c r="R221" s="16"/>
      <c r="S221" s="708"/>
      <c r="T221" s="708"/>
      <c r="U221" s="708"/>
      <c r="V221" s="708"/>
      <c r="W221" s="708"/>
      <c r="X221" s="708"/>
      <c r="Y221" s="708"/>
      <c r="Z221" s="708"/>
      <c r="AA221" s="708"/>
      <c r="AB221" s="708"/>
      <c r="AC221" s="708"/>
      <c r="AD221" s="708"/>
    </row>
    <row r="222" spans="1:30" ht="20.100000000000001" customHeight="1">
      <c r="A222" s="15"/>
      <c r="B222" s="708"/>
      <c r="C222" s="708"/>
      <c r="D222" s="708"/>
      <c r="E222" s="708"/>
      <c r="F222" s="708"/>
      <c r="G222" s="708"/>
      <c r="H222" s="708"/>
      <c r="I222" s="668"/>
      <c r="J222" s="668"/>
      <c r="K222" s="668"/>
      <c r="L222" s="668"/>
      <c r="M222" s="668"/>
      <c r="N222" s="668"/>
      <c r="O222" s="291"/>
      <c r="P222" s="668"/>
      <c r="Q222" s="668"/>
      <c r="R222" s="16"/>
    </row>
    <row r="223" spans="1:30" ht="20.100000000000001" customHeight="1">
      <c r="A223" s="15"/>
      <c r="B223" s="708"/>
      <c r="C223" s="708"/>
      <c r="D223" s="708"/>
      <c r="E223" s="708"/>
      <c r="F223" s="708"/>
      <c r="G223" s="708"/>
      <c r="H223" s="708"/>
      <c r="I223" s="668"/>
      <c r="J223" s="668"/>
      <c r="K223" s="668"/>
      <c r="L223" s="668"/>
      <c r="M223" s="668"/>
      <c r="N223" s="668"/>
      <c r="O223" s="291"/>
      <c r="P223" s="668"/>
      <c r="Q223" s="668"/>
      <c r="R223" s="16"/>
    </row>
    <row r="224" spans="1:30" ht="20.100000000000001" customHeight="1">
      <c r="A224" s="15"/>
      <c r="B224" s="422" t="str">
        <f>IF(G220&lt;F220,"! end year has to be after start year!","")</f>
        <v/>
      </c>
      <c r="C224" s="668"/>
      <c r="D224" s="668"/>
      <c r="E224" s="668"/>
      <c r="F224" s="1472" t="s">
        <v>1786</v>
      </c>
      <c r="G224" s="668"/>
      <c r="H224" s="668"/>
      <c r="I224" s="668"/>
      <c r="J224" s="668"/>
      <c r="K224" s="668"/>
      <c r="L224" s="668"/>
      <c r="M224" s="668"/>
      <c r="N224" s="668"/>
      <c r="O224" s="291"/>
      <c r="P224" s="668"/>
      <c r="Q224" s="668"/>
      <c r="R224" s="16"/>
    </row>
    <row r="225" spans="1:53" ht="20.100000000000001" customHeight="1" thickBot="1">
      <c r="A225" s="15"/>
      <c r="B225" s="422"/>
      <c r="C225" s="422"/>
      <c r="D225" s="422"/>
      <c r="E225" s="422"/>
      <c r="F225" s="1472"/>
      <c r="G225" s="1472" t="s">
        <v>3001</v>
      </c>
      <c r="H225" s="426"/>
      <c r="I225" s="668"/>
      <c r="J225" s="668"/>
      <c r="K225" s="668"/>
      <c r="L225" s="668"/>
      <c r="M225" s="668"/>
      <c r="N225" s="668"/>
      <c r="O225" s="291"/>
      <c r="P225" s="668"/>
      <c r="Q225" s="668"/>
      <c r="R225" s="16"/>
      <c r="S225" s="886" t="s">
        <v>159</v>
      </c>
    </row>
    <row r="226" spans="1:53" ht="20.100000000000001" customHeight="1" thickBot="1">
      <c r="A226" s="15"/>
      <c r="B226" s="668"/>
      <c r="C226" s="668"/>
      <c r="D226" s="668"/>
      <c r="E226" s="668"/>
      <c r="F226" s="1472"/>
      <c r="G226" s="1472"/>
      <c r="H226" s="859" t="s">
        <v>575</v>
      </c>
      <c r="I226" s="668"/>
      <c r="J226" s="668"/>
      <c r="K226" s="668"/>
      <c r="L226" s="668"/>
      <c r="M226" s="668"/>
      <c r="N226" s="668"/>
      <c r="O226" s="291"/>
      <c r="P226" s="668"/>
      <c r="Q226" s="668"/>
      <c r="R226" s="16"/>
      <c r="S226" s="469" t="s">
        <v>124</v>
      </c>
      <c r="T226" s="470"/>
      <c r="U226" s="471"/>
      <c r="V226" s="471"/>
      <c r="W226" s="471"/>
      <c r="X226" s="472">
        <v>2021</v>
      </c>
      <c r="Y226" s="472">
        <f t="shared" ref="Y226:BA226" si="462">Y200</f>
        <v>2022</v>
      </c>
      <c r="Z226" s="472">
        <f t="shared" si="462"/>
        <v>2023</v>
      </c>
      <c r="AA226" s="472">
        <f t="shared" si="462"/>
        <v>2024</v>
      </c>
      <c r="AB226" s="472">
        <f t="shared" si="462"/>
        <v>2025</v>
      </c>
      <c r="AC226" s="472">
        <f t="shared" si="462"/>
        <v>2026</v>
      </c>
      <c r="AD226" s="472">
        <f t="shared" si="462"/>
        <v>2027</v>
      </c>
      <c r="AE226" s="472">
        <f t="shared" si="462"/>
        <v>2028</v>
      </c>
      <c r="AF226" s="472">
        <f t="shared" si="462"/>
        <v>2029</v>
      </c>
      <c r="AG226" s="472">
        <f t="shared" si="462"/>
        <v>2030</v>
      </c>
      <c r="AH226" s="472">
        <f t="shared" si="462"/>
        <v>2031</v>
      </c>
      <c r="AI226" s="472">
        <f t="shared" si="462"/>
        <v>2032</v>
      </c>
      <c r="AJ226" s="472">
        <f t="shared" si="462"/>
        <v>2033</v>
      </c>
      <c r="AK226" s="472">
        <f t="shared" si="462"/>
        <v>2034</v>
      </c>
      <c r="AL226" s="472">
        <f t="shared" si="462"/>
        <v>2035</v>
      </c>
      <c r="AM226" s="472">
        <f t="shared" si="462"/>
        <v>2036</v>
      </c>
      <c r="AN226" s="472">
        <f t="shared" si="462"/>
        <v>2037</v>
      </c>
      <c r="AO226" s="472">
        <f t="shared" si="462"/>
        <v>2038</v>
      </c>
      <c r="AP226" s="472">
        <f t="shared" si="462"/>
        <v>2039</v>
      </c>
      <c r="AQ226" s="472">
        <f t="shared" si="462"/>
        <v>2040</v>
      </c>
      <c r="AR226" s="472">
        <f t="shared" si="462"/>
        <v>2041</v>
      </c>
      <c r="AS226" s="472">
        <f t="shared" si="462"/>
        <v>2042</v>
      </c>
      <c r="AT226" s="472">
        <f t="shared" si="462"/>
        <v>2043</v>
      </c>
      <c r="AU226" s="472">
        <f t="shared" si="462"/>
        <v>2044</v>
      </c>
      <c r="AV226" s="472">
        <f t="shared" si="462"/>
        <v>2045</v>
      </c>
      <c r="AW226" s="472">
        <f t="shared" si="462"/>
        <v>2046</v>
      </c>
      <c r="AX226" s="472">
        <f t="shared" si="462"/>
        <v>2047</v>
      </c>
      <c r="AY226" s="472">
        <f t="shared" si="462"/>
        <v>2048</v>
      </c>
      <c r="AZ226" s="472">
        <f t="shared" si="462"/>
        <v>2049</v>
      </c>
      <c r="BA226" s="473">
        <f t="shared" si="462"/>
        <v>2050</v>
      </c>
    </row>
    <row r="227" spans="1:53" ht="20.100000000000001" customHeight="1">
      <c r="A227" s="752"/>
      <c r="B227" s="414" t="s">
        <v>1784</v>
      </c>
      <c r="C227" s="125"/>
      <c r="D227" s="125"/>
      <c r="E227" s="125"/>
      <c r="F227" s="241">
        <f>2021+G230</f>
        <v>2022</v>
      </c>
      <c r="G227" s="859" t="s">
        <v>65</v>
      </c>
      <c r="H227" s="859" t="s">
        <v>574</v>
      </c>
      <c r="I227" s="262"/>
      <c r="J227" s="262"/>
      <c r="K227" s="262"/>
      <c r="L227" s="262"/>
      <c r="M227" s="262"/>
      <c r="N227" s="262"/>
      <c r="O227" s="412"/>
      <c r="P227" s="668"/>
      <c r="Q227" s="668"/>
      <c r="R227" s="16"/>
      <c r="S227" s="474" t="s">
        <v>153</v>
      </c>
      <c r="T227" s="456" t="s">
        <v>36</v>
      </c>
      <c r="U227" s="456"/>
      <c r="V227" s="456"/>
      <c r="W227" s="456"/>
      <c r="X227" s="202"/>
      <c r="Y227" s="457">
        <f>V213</f>
        <v>1.25</v>
      </c>
      <c r="Z227" s="457">
        <f>Y227</f>
        <v>1.25</v>
      </c>
      <c r="AA227" s="457">
        <f t="shared" ref="AA227:BA234" si="463">Z227</f>
        <v>1.25</v>
      </c>
      <c r="AB227" s="457">
        <f t="shared" si="463"/>
        <v>1.25</v>
      </c>
      <c r="AC227" s="457">
        <f t="shared" si="463"/>
        <v>1.25</v>
      </c>
      <c r="AD227" s="457">
        <f t="shared" si="463"/>
        <v>1.25</v>
      </c>
      <c r="AE227" s="457">
        <f t="shared" si="463"/>
        <v>1.25</v>
      </c>
      <c r="AF227" s="457">
        <f t="shared" si="463"/>
        <v>1.25</v>
      </c>
      <c r="AG227" s="457">
        <f t="shared" si="463"/>
        <v>1.25</v>
      </c>
      <c r="AH227" s="457">
        <f t="shared" si="463"/>
        <v>1.25</v>
      </c>
      <c r="AI227" s="457">
        <f t="shared" si="463"/>
        <v>1.25</v>
      </c>
      <c r="AJ227" s="457">
        <f t="shared" si="463"/>
        <v>1.25</v>
      </c>
      <c r="AK227" s="457">
        <f t="shared" si="463"/>
        <v>1.25</v>
      </c>
      <c r="AL227" s="457">
        <f t="shared" si="463"/>
        <v>1.25</v>
      </c>
      <c r="AM227" s="457">
        <f t="shared" si="463"/>
        <v>1.25</v>
      </c>
      <c r="AN227" s="457">
        <f t="shared" si="463"/>
        <v>1.25</v>
      </c>
      <c r="AO227" s="457">
        <f t="shared" si="463"/>
        <v>1.25</v>
      </c>
      <c r="AP227" s="457">
        <f t="shared" si="463"/>
        <v>1.25</v>
      </c>
      <c r="AQ227" s="457">
        <f t="shared" si="463"/>
        <v>1.25</v>
      </c>
      <c r="AR227" s="457">
        <f t="shared" si="463"/>
        <v>1.25</v>
      </c>
      <c r="AS227" s="457">
        <f t="shared" si="463"/>
        <v>1.25</v>
      </c>
      <c r="AT227" s="457">
        <f t="shared" si="463"/>
        <v>1.25</v>
      </c>
      <c r="AU227" s="457">
        <f t="shared" si="463"/>
        <v>1.25</v>
      </c>
      <c r="AV227" s="457">
        <f t="shared" si="463"/>
        <v>1.25</v>
      </c>
      <c r="AW227" s="457">
        <f t="shared" si="463"/>
        <v>1.25</v>
      </c>
      <c r="AX227" s="457">
        <f t="shared" si="463"/>
        <v>1.25</v>
      </c>
      <c r="AY227" s="457">
        <f t="shared" si="463"/>
        <v>1.25</v>
      </c>
      <c r="AZ227" s="457">
        <f t="shared" si="463"/>
        <v>1.25</v>
      </c>
      <c r="BA227" s="458">
        <f t="shared" si="463"/>
        <v>1.25</v>
      </c>
    </row>
    <row r="228" spans="1:53" ht="20.100000000000001" customHeight="1">
      <c r="A228" s="15"/>
      <c r="B228" s="82" t="s">
        <v>3002</v>
      </c>
      <c r="C228" s="82"/>
      <c r="D228" s="82"/>
      <c r="E228" s="82"/>
      <c r="F228" s="433">
        <f>INDEX(Y5:BA5,1,G230)</f>
        <v>336.53852054794521</v>
      </c>
      <c r="G228" s="445">
        <v>0</v>
      </c>
      <c r="H228" s="445">
        <v>0</v>
      </c>
      <c r="I228" s="668"/>
      <c r="J228" s="668"/>
      <c r="K228" s="668"/>
      <c r="L228" s="668"/>
      <c r="M228" s="668"/>
      <c r="N228" s="668"/>
      <c r="O228" s="291"/>
      <c r="P228" s="668"/>
      <c r="Q228" s="668"/>
      <c r="R228" s="16"/>
      <c r="S228" s="475"/>
      <c r="T228" s="51" t="s">
        <v>37</v>
      </c>
      <c r="U228" s="51"/>
      <c r="V228" s="51"/>
      <c r="W228" s="51"/>
      <c r="X228" s="201"/>
      <c r="Y228" s="48">
        <f>W213</f>
        <v>0.95</v>
      </c>
      <c r="Z228" s="48">
        <f t="shared" ref="Z228:AO234" si="464">Y228</f>
        <v>0.95</v>
      </c>
      <c r="AA228" s="48">
        <f t="shared" si="464"/>
        <v>0.95</v>
      </c>
      <c r="AB228" s="48">
        <f t="shared" si="464"/>
        <v>0.95</v>
      </c>
      <c r="AC228" s="48">
        <f t="shared" si="464"/>
        <v>0.95</v>
      </c>
      <c r="AD228" s="48">
        <f t="shared" si="464"/>
        <v>0.95</v>
      </c>
      <c r="AE228" s="48">
        <f t="shared" si="464"/>
        <v>0.95</v>
      </c>
      <c r="AF228" s="48">
        <f t="shared" si="464"/>
        <v>0.95</v>
      </c>
      <c r="AG228" s="48">
        <f t="shared" si="464"/>
        <v>0.95</v>
      </c>
      <c r="AH228" s="48">
        <f t="shared" si="464"/>
        <v>0.95</v>
      </c>
      <c r="AI228" s="48">
        <f t="shared" si="464"/>
        <v>0.95</v>
      </c>
      <c r="AJ228" s="48">
        <f t="shared" si="464"/>
        <v>0.95</v>
      </c>
      <c r="AK228" s="48">
        <f t="shared" si="464"/>
        <v>0.95</v>
      </c>
      <c r="AL228" s="48">
        <f t="shared" si="464"/>
        <v>0.95</v>
      </c>
      <c r="AM228" s="48">
        <f t="shared" si="464"/>
        <v>0.95</v>
      </c>
      <c r="AN228" s="48">
        <f t="shared" si="464"/>
        <v>0.95</v>
      </c>
      <c r="AO228" s="48">
        <f t="shared" si="464"/>
        <v>0.95</v>
      </c>
      <c r="AP228" s="48">
        <f t="shared" si="463"/>
        <v>0.95</v>
      </c>
      <c r="AQ228" s="48">
        <f t="shared" si="463"/>
        <v>0.95</v>
      </c>
      <c r="AR228" s="48">
        <f t="shared" si="463"/>
        <v>0.95</v>
      </c>
      <c r="AS228" s="48">
        <f t="shared" si="463"/>
        <v>0.95</v>
      </c>
      <c r="AT228" s="48">
        <f t="shared" si="463"/>
        <v>0.95</v>
      </c>
      <c r="AU228" s="48">
        <f t="shared" si="463"/>
        <v>0.95</v>
      </c>
      <c r="AV228" s="48">
        <f t="shared" si="463"/>
        <v>0.95</v>
      </c>
      <c r="AW228" s="48">
        <f t="shared" si="463"/>
        <v>0.95</v>
      </c>
      <c r="AX228" s="48">
        <f t="shared" si="463"/>
        <v>0.95</v>
      </c>
      <c r="AY228" s="48">
        <f t="shared" si="463"/>
        <v>0.95</v>
      </c>
      <c r="AZ228" s="48">
        <f t="shared" si="463"/>
        <v>0.95</v>
      </c>
      <c r="BA228" s="459">
        <f t="shared" si="463"/>
        <v>0.95</v>
      </c>
    </row>
    <row r="229" spans="1:53" ht="20.100000000000001" customHeight="1">
      <c r="A229" s="15"/>
      <c r="B229" s="388" t="s">
        <v>117</v>
      </c>
      <c r="C229" s="388"/>
      <c r="D229" s="388"/>
      <c r="E229" s="388"/>
      <c r="F229" s="859" t="s">
        <v>105</v>
      </c>
      <c r="G229" s="859" t="s">
        <v>106</v>
      </c>
      <c r="H229" s="668"/>
      <c r="I229" s="668"/>
      <c r="J229" s="668"/>
      <c r="K229" s="668"/>
      <c r="L229" s="668"/>
      <c r="M229" s="668"/>
      <c r="N229" s="668"/>
      <c r="O229" s="291"/>
      <c r="P229" s="668"/>
      <c r="Q229" s="668"/>
      <c r="R229" s="16"/>
      <c r="S229" s="475"/>
      <c r="T229" s="51" t="s">
        <v>38</v>
      </c>
      <c r="U229" s="51"/>
      <c r="V229" s="51"/>
      <c r="W229" s="51"/>
      <c r="X229" s="201"/>
      <c r="Y229" s="48">
        <f>X213</f>
        <v>1</v>
      </c>
      <c r="Z229" s="48">
        <f t="shared" si="464"/>
        <v>1</v>
      </c>
      <c r="AA229" s="48">
        <f t="shared" si="463"/>
        <v>1</v>
      </c>
      <c r="AB229" s="48">
        <f t="shared" si="463"/>
        <v>1</v>
      </c>
      <c r="AC229" s="48">
        <f t="shared" si="463"/>
        <v>1</v>
      </c>
      <c r="AD229" s="48">
        <f t="shared" si="463"/>
        <v>1</v>
      </c>
      <c r="AE229" s="48">
        <f t="shared" si="463"/>
        <v>1</v>
      </c>
      <c r="AF229" s="48">
        <f t="shared" si="463"/>
        <v>1</v>
      </c>
      <c r="AG229" s="48">
        <f t="shared" si="463"/>
        <v>1</v>
      </c>
      <c r="AH229" s="48">
        <f t="shared" si="463"/>
        <v>1</v>
      </c>
      <c r="AI229" s="48">
        <f t="shared" si="463"/>
        <v>1</v>
      </c>
      <c r="AJ229" s="48">
        <f t="shared" si="463"/>
        <v>1</v>
      </c>
      <c r="AK229" s="48">
        <f t="shared" si="463"/>
        <v>1</v>
      </c>
      <c r="AL229" s="48">
        <f t="shared" si="463"/>
        <v>1</v>
      </c>
      <c r="AM229" s="48">
        <f t="shared" si="463"/>
        <v>1</v>
      </c>
      <c r="AN229" s="48">
        <f t="shared" si="463"/>
        <v>1</v>
      </c>
      <c r="AO229" s="48">
        <f t="shared" si="463"/>
        <v>1</v>
      </c>
      <c r="AP229" s="48">
        <f t="shared" si="463"/>
        <v>1</v>
      </c>
      <c r="AQ229" s="48">
        <f t="shared" si="463"/>
        <v>1</v>
      </c>
      <c r="AR229" s="48">
        <f t="shared" si="463"/>
        <v>1</v>
      </c>
      <c r="AS229" s="48">
        <f t="shared" si="463"/>
        <v>1</v>
      </c>
      <c r="AT229" s="48">
        <f t="shared" si="463"/>
        <v>1</v>
      </c>
      <c r="AU229" s="48">
        <f t="shared" si="463"/>
        <v>1</v>
      </c>
      <c r="AV229" s="48">
        <f t="shared" si="463"/>
        <v>1</v>
      </c>
      <c r="AW229" s="48">
        <f t="shared" si="463"/>
        <v>1</v>
      </c>
      <c r="AX229" s="48">
        <f t="shared" si="463"/>
        <v>1</v>
      </c>
      <c r="AY229" s="48">
        <f t="shared" si="463"/>
        <v>1</v>
      </c>
      <c r="AZ229" s="48">
        <f t="shared" si="463"/>
        <v>1</v>
      </c>
      <c r="BA229" s="459">
        <f t="shared" si="463"/>
        <v>1</v>
      </c>
    </row>
    <row r="230" spans="1:53" ht="20.100000000000001" customHeight="1">
      <c r="A230" s="15"/>
      <c r="B230" s="668"/>
      <c r="C230" s="668"/>
      <c r="D230" s="668"/>
      <c r="E230" s="668"/>
      <c r="F230" s="668">
        <v>1</v>
      </c>
      <c r="G230" s="668">
        <v>1</v>
      </c>
      <c r="H230" s="668"/>
      <c r="I230" s="668"/>
      <c r="J230" s="668"/>
      <c r="K230" s="668"/>
      <c r="L230" s="668"/>
      <c r="M230" s="668"/>
      <c r="N230" s="668"/>
      <c r="O230" s="291"/>
      <c r="P230" s="668"/>
      <c r="Q230" s="668"/>
      <c r="R230" s="16"/>
      <c r="S230" s="475"/>
      <c r="T230" s="51" t="s">
        <v>39</v>
      </c>
      <c r="U230" s="51"/>
      <c r="V230" s="51"/>
      <c r="W230" s="51"/>
      <c r="X230" s="201"/>
      <c r="Y230" s="48">
        <f>Y213</f>
        <v>1</v>
      </c>
      <c r="Z230" s="48">
        <f t="shared" si="464"/>
        <v>1</v>
      </c>
      <c r="AA230" s="48">
        <f t="shared" si="463"/>
        <v>1</v>
      </c>
      <c r="AB230" s="48">
        <f t="shared" si="463"/>
        <v>1</v>
      </c>
      <c r="AC230" s="48">
        <f t="shared" si="463"/>
        <v>1</v>
      </c>
      <c r="AD230" s="48">
        <f t="shared" si="463"/>
        <v>1</v>
      </c>
      <c r="AE230" s="48">
        <f t="shared" si="463"/>
        <v>1</v>
      </c>
      <c r="AF230" s="48">
        <f t="shared" si="463"/>
        <v>1</v>
      </c>
      <c r="AG230" s="48">
        <f t="shared" si="463"/>
        <v>1</v>
      </c>
      <c r="AH230" s="48">
        <f t="shared" si="463"/>
        <v>1</v>
      </c>
      <c r="AI230" s="48">
        <f t="shared" si="463"/>
        <v>1</v>
      </c>
      <c r="AJ230" s="48">
        <f t="shared" si="463"/>
        <v>1</v>
      </c>
      <c r="AK230" s="48">
        <f t="shared" si="463"/>
        <v>1</v>
      </c>
      <c r="AL230" s="48">
        <f t="shared" si="463"/>
        <v>1</v>
      </c>
      <c r="AM230" s="48">
        <f t="shared" si="463"/>
        <v>1</v>
      </c>
      <c r="AN230" s="48">
        <f t="shared" si="463"/>
        <v>1</v>
      </c>
      <c r="AO230" s="48">
        <f t="shared" si="463"/>
        <v>1</v>
      </c>
      <c r="AP230" s="48">
        <f t="shared" si="463"/>
        <v>1</v>
      </c>
      <c r="AQ230" s="48">
        <f t="shared" si="463"/>
        <v>1</v>
      </c>
      <c r="AR230" s="48">
        <f t="shared" si="463"/>
        <v>1</v>
      </c>
      <c r="AS230" s="48">
        <f t="shared" si="463"/>
        <v>1</v>
      </c>
      <c r="AT230" s="48">
        <f t="shared" si="463"/>
        <v>1</v>
      </c>
      <c r="AU230" s="48">
        <f t="shared" si="463"/>
        <v>1</v>
      </c>
      <c r="AV230" s="48">
        <f t="shared" si="463"/>
        <v>1</v>
      </c>
      <c r="AW230" s="48">
        <f t="shared" si="463"/>
        <v>1</v>
      </c>
      <c r="AX230" s="48">
        <f t="shared" si="463"/>
        <v>1</v>
      </c>
      <c r="AY230" s="48">
        <f t="shared" si="463"/>
        <v>1</v>
      </c>
      <c r="AZ230" s="48">
        <f t="shared" si="463"/>
        <v>1</v>
      </c>
      <c r="BA230" s="459">
        <f t="shared" si="463"/>
        <v>1</v>
      </c>
    </row>
    <row r="231" spans="1:53" ht="20.100000000000001" customHeight="1">
      <c r="A231" s="15"/>
      <c r="B231" s="422" t="str">
        <f>IF(G230&lt;F230,"! end year has to be after start year!","")</f>
        <v/>
      </c>
      <c r="C231" s="422"/>
      <c r="D231" s="422"/>
      <c r="E231" s="422"/>
      <c r="F231" s="422"/>
      <c r="G231" s="422"/>
      <c r="H231" s="426"/>
      <c r="I231" s="668"/>
      <c r="J231" s="668"/>
      <c r="K231" s="668"/>
      <c r="L231" s="668"/>
      <c r="M231" s="668"/>
      <c r="N231" s="668"/>
      <c r="O231" s="291"/>
      <c r="P231" s="668"/>
      <c r="Q231" s="668"/>
      <c r="R231" s="16"/>
      <c r="S231" s="475"/>
      <c r="T231" s="51" t="s">
        <v>55</v>
      </c>
      <c r="U231" s="51"/>
      <c r="V231" s="51"/>
      <c r="W231" s="51"/>
      <c r="X231" s="201"/>
      <c r="Y231" s="48">
        <f>Z213</f>
        <v>1.1000000000000001</v>
      </c>
      <c r="Z231" s="48">
        <f t="shared" si="464"/>
        <v>1.1000000000000001</v>
      </c>
      <c r="AA231" s="48">
        <f t="shared" si="463"/>
        <v>1.1000000000000001</v>
      </c>
      <c r="AB231" s="48">
        <f t="shared" si="463"/>
        <v>1.1000000000000001</v>
      </c>
      <c r="AC231" s="48">
        <f t="shared" si="463"/>
        <v>1.1000000000000001</v>
      </c>
      <c r="AD231" s="48">
        <f t="shared" si="463"/>
        <v>1.1000000000000001</v>
      </c>
      <c r="AE231" s="48">
        <f t="shared" si="463"/>
        <v>1.1000000000000001</v>
      </c>
      <c r="AF231" s="48">
        <f t="shared" si="463"/>
        <v>1.1000000000000001</v>
      </c>
      <c r="AG231" s="48">
        <f t="shared" si="463"/>
        <v>1.1000000000000001</v>
      </c>
      <c r="AH231" s="48">
        <f t="shared" si="463"/>
        <v>1.1000000000000001</v>
      </c>
      <c r="AI231" s="48">
        <f t="shared" si="463"/>
        <v>1.1000000000000001</v>
      </c>
      <c r="AJ231" s="48">
        <f t="shared" si="463"/>
        <v>1.1000000000000001</v>
      </c>
      <c r="AK231" s="48">
        <f t="shared" si="463"/>
        <v>1.1000000000000001</v>
      </c>
      <c r="AL231" s="48">
        <f t="shared" si="463"/>
        <v>1.1000000000000001</v>
      </c>
      <c r="AM231" s="48">
        <f t="shared" si="463"/>
        <v>1.1000000000000001</v>
      </c>
      <c r="AN231" s="48">
        <f t="shared" si="463"/>
        <v>1.1000000000000001</v>
      </c>
      <c r="AO231" s="48">
        <f t="shared" si="463"/>
        <v>1.1000000000000001</v>
      </c>
      <c r="AP231" s="48">
        <f t="shared" si="463"/>
        <v>1.1000000000000001</v>
      </c>
      <c r="AQ231" s="48">
        <f t="shared" si="463"/>
        <v>1.1000000000000001</v>
      </c>
      <c r="AR231" s="48">
        <f t="shared" si="463"/>
        <v>1.1000000000000001</v>
      </c>
      <c r="AS231" s="48">
        <f t="shared" si="463"/>
        <v>1.1000000000000001</v>
      </c>
      <c r="AT231" s="48">
        <f t="shared" si="463"/>
        <v>1.1000000000000001</v>
      </c>
      <c r="AU231" s="48">
        <f t="shared" si="463"/>
        <v>1.1000000000000001</v>
      </c>
      <c r="AV231" s="48">
        <f t="shared" si="463"/>
        <v>1.1000000000000001</v>
      </c>
      <c r="AW231" s="48">
        <f t="shared" si="463"/>
        <v>1.1000000000000001</v>
      </c>
      <c r="AX231" s="48">
        <f t="shared" si="463"/>
        <v>1.1000000000000001</v>
      </c>
      <c r="AY231" s="48">
        <f t="shared" si="463"/>
        <v>1.1000000000000001</v>
      </c>
      <c r="AZ231" s="48">
        <f t="shared" si="463"/>
        <v>1.1000000000000001</v>
      </c>
      <c r="BA231" s="459">
        <f t="shared" si="463"/>
        <v>1.1000000000000001</v>
      </c>
    </row>
    <row r="232" spans="1:53" ht="20.100000000000001" customHeight="1">
      <c r="A232" s="15"/>
      <c r="B232" s="746" t="str">
        <f>IF(F230&lt;START!$C$2,"Policy period starts before the starting year for the study","")</f>
        <v/>
      </c>
      <c r="C232" s="746"/>
      <c r="D232" s="746"/>
      <c r="E232" s="746"/>
      <c r="F232" s="668"/>
      <c r="G232" s="668"/>
      <c r="H232" s="668"/>
      <c r="I232" s="668"/>
      <c r="J232" s="668"/>
      <c r="K232" s="668"/>
      <c r="L232" s="668"/>
      <c r="M232" s="668"/>
      <c r="N232" s="668"/>
      <c r="O232" s="291"/>
      <c r="P232" s="668"/>
      <c r="Q232" s="668"/>
      <c r="R232" s="16"/>
      <c r="S232" s="475"/>
      <c r="T232" s="51" t="s">
        <v>56</v>
      </c>
      <c r="U232" s="51"/>
      <c r="V232" s="51"/>
      <c r="W232" s="51"/>
      <c r="X232" s="201"/>
      <c r="Y232" s="48">
        <f>AA213</f>
        <v>1.5</v>
      </c>
      <c r="Z232" s="48">
        <f t="shared" si="464"/>
        <v>1.5</v>
      </c>
      <c r="AA232" s="48">
        <f t="shared" si="463"/>
        <v>1.5</v>
      </c>
      <c r="AB232" s="48">
        <f t="shared" si="463"/>
        <v>1.5</v>
      </c>
      <c r="AC232" s="48">
        <f t="shared" si="463"/>
        <v>1.5</v>
      </c>
      <c r="AD232" s="48">
        <f t="shared" si="463"/>
        <v>1.5</v>
      </c>
      <c r="AE232" s="48">
        <f t="shared" si="463"/>
        <v>1.5</v>
      </c>
      <c r="AF232" s="48">
        <f t="shared" si="463"/>
        <v>1.5</v>
      </c>
      <c r="AG232" s="48">
        <f t="shared" si="463"/>
        <v>1.5</v>
      </c>
      <c r="AH232" s="48">
        <f t="shared" si="463"/>
        <v>1.5</v>
      </c>
      <c r="AI232" s="48">
        <f t="shared" si="463"/>
        <v>1.5</v>
      </c>
      <c r="AJ232" s="48">
        <f t="shared" si="463"/>
        <v>1.5</v>
      </c>
      <c r="AK232" s="48">
        <f t="shared" si="463"/>
        <v>1.5</v>
      </c>
      <c r="AL232" s="48">
        <f t="shared" si="463"/>
        <v>1.5</v>
      </c>
      <c r="AM232" s="48">
        <f t="shared" si="463"/>
        <v>1.5</v>
      </c>
      <c r="AN232" s="48">
        <f t="shared" si="463"/>
        <v>1.5</v>
      </c>
      <c r="AO232" s="48">
        <f t="shared" si="463"/>
        <v>1.5</v>
      </c>
      <c r="AP232" s="48">
        <f t="shared" si="463"/>
        <v>1.5</v>
      </c>
      <c r="AQ232" s="48">
        <f t="shared" si="463"/>
        <v>1.5</v>
      </c>
      <c r="AR232" s="48">
        <f t="shared" si="463"/>
        <v>1.5</v>
      </c>
      <c r="AS232" s="48">
        <f t="shared" si="463"/>
        <v>1.5</v>
      </c>
      <c r="AT232" s="48">
        <f t="shared" si="463"/>
        <v>1.5</v>
      </c>
      <c r="AU232" s="48">
        <f t="shared" si="463"/>
        <v>1.5</v>
      </c>
      <c r="AV232" s="48">
        <f t="shared" si="463"/>
        <v>1.5</v>
      </c>
      <c r="AW232" s="48">
        <f t="shared" si="463"/>
        <v>1.5</v>
      </c>
      <c r="AX232" s="48">
        <f t="shared" si="463"/>
        <v>1.5</v>
      </c>
      <c r="AY232" s="48">
        <f t="shared" si="463"/>
        <v>1.5</v>
      </c>
      <c r="AZ232" s="48">
        <f t="shared" si="463"/>
        <v>1.5</v>
      </c>
      <c r="BA232" s="459">
        <f t="shared" si="463"/>
        <v>1.5</v>
      </c>
    </row>
    <row r="233" spans="1:53" ht="20.100000000000001" customHeight="1" thickBot="1">
      <c r="A233" s="18"/>
      <c r="B233" s="292"/>
      <c r="C233" s="292"/>
      <c r="D233" s="292"/>
      <c r="E233" s="292"/>
      <c r="F233" s="292"/>
      <c r="G233" s="292"/>
      <c r="H233" s="292"/>
      <c r="I233" s="292"/>
      <c r="J233" s="292"/>
      <c r="K233" s="292"/>
      <c r="L233" s="292"/>
      <c r="M233" s="292"/>
      <c r="N233" s="292"/>
      <c r="O233" s="293"/>
      <c r="P233" s="668"/>
      <c r="Q233" s="668"/>
      <c r="R233" s="16"/>
      <c r="S233" s="475"/>
      <c r="T233" s="51" t="s">
        <v>57</v>
      </c>
      <c r="U233" s="51"/>
      <c r="V233" s="51"/>
      <c r="W233" s="51"/>
      <c r="X233" s="201"/>
      <c r="Y233" s="48">
        <f>AB213</f>
        <v>1</v>
      </c>
      <c r="Z233" s="48">
        <f t="shared" si="464"/>
        <v>1</v>
      </c>
      <c r="AA233" s="48">
        <f t="shared" si="463"/>
        <v>1</v>
      </c>
      <c r="AB233" s="48">
        <f t="shared" si="463"/>
        <v>1</v>
      </c>
      <c r="AC233" s="48">
        <f t="shared" si="463"/>
        <v>1</v>
      </c>
      <c r="AD233" s="48">
        <f t="shared" si="463"/>
        <v>1</v>
      </c>
      <c r="AE233" s="48">
        <f t="shared" si="463"/>
        <v>1</v>
      </c>
      <c r="AF233" s="48">
        <f t="shared" si="463"/>
        <v>1</v>
      </c>
      <c r="AG233" s="48">
        <f t="shared" si="463"/>
        <v>1</v>
      </c>
      <c r="AH233" s="48">
        <f t="shared" si="463"/>
        <v>1</v>
      </c>
      <c r="AI233" s="48">
        <f t="shared" si="463"/>
        <v>1</v>
      </c>
      <c r="AJ233" s="48">
        <f t="shared" si="463"/>
        <v>1</v>
      </c>
      <c r="AK233" s="48">
        <f t="shared" si="463"/>
        <v>1</v>
      </c>
      <c r="AL233" s="48">
        <f t="shared" si="463"/>
        <v>1</v>
      </c>
      <c r="AM233" s="48">
        <f t="shared" si="463"/>
        <v>1</v>
      </c>
      <c r="AN233" s="48">
        <f t="shared" si="463"/>
        <v>1</v>
      </c>
      <c r="AO233" s="48">
        <f t="shared" si="463"/>
        <v>1</v>
      </c>
      <c r="AP233" s="48">
        <f t="shared" si="463"/>
        <v>1</v>
      </c>
      <c r="AQ233" s="48">
        <f t="shared" si="463"/>
        <v>1</v>
      </c>
      <c r="AR233" s="48">
        <f t="shared" si="463"/>
        <v>1</v>
      </c>
      <c r="AS233" s="48">
        <f t="shared" si="463"/>
        <v>1</v>
      </c>
      <c r="AT233" s="48">
        <f t="shared" si="463"/>
        <v>1</v>
      </c>
      <c r="AU233" s="48">
        <f t="shared" si="463"/>
        <v>1</v>
      </c>
      <c r="AV233" s="48">
        <f t="shared" si="463"/>
        <v>1</v>
      </c>
      <c r="AW233" s="48">
        <f t="shared" si="463"/>
        <v>1</v>
      </c>
      <c r="AX233" s="48">
        <f t="shared" si="463"/>
        <v>1</v>
      </c>
      <c r="AY233" s="48">
        <f t="shared" si="463"/>
        <v>1</v>
      </c>
      <c r="AZ233" s="48">
        <f t="shared" si="463"/>
        <v>1</v>
      </c>
      <c r="BA233" s="459">
        <f t="shared" si="463"/>
        <v>1</v>
      </c>
    </row>
    <row r="234" spans="1:53" ht="20.100000000000001" customHeight="1" thickBot="1">
      <c r="A234" s="55"/>
      <c r="B234" s="256"/>
      <c r="C234" s="256"/>
      <c r="D234" s="256"/>
      <c r="E234" s="256"/>
      <c r="F234" s="256"/>
      <c r="G234" s="256"/>
      <c r="H234" s="256"/>
      <c r="I234" s="256"/>
      <c r="J234" s="256"/>
      <c r="K234" s="256"/>
      <c r="L234" s="256"/>
      <c r="M234" s="256"/>
      <c r="N234" s="256"/>
      <c r="O234" s="257"/>
      <c r="P234" s="668"/>
      <c r="Q234" s="668"/>
      <c r="R234" s="16"/>
      <c r="S234" s="476"/>
      <c r="T234" s="460" t="s">
        <v>58</v>
      </c>
      <c r="U234" s="460"/>
      <c r="V234" s="460"/>
      <c r="W234" s="460"/>
      <c r="X234" s="203"/>
      <c r="Y234" s="447">
        <f>AC213</f>
        <v>0.75</v>
      </c>
      <c r="Z234" s="447">
        <f t="shared" si="464"/>
        <v>0.75</v>
      </c>
      <c r="AA234" s="447">
        <f t="shared" si="463"/>
        <v>0.75</v>
      </c>
      <c r="AB234" s="447">
        <f t="shared" si="463"/>
        <v>0.75</v>
      </c>
      <c r="AC234" s="447">
        <f t="shared" si="463"/>
        <v>0.75</v>
      </c>
      <c r="AD234" s="447">
        <f t="shared" si="463"/>
        <v>0.75</v>
      </c>
      <c r="AE234" s="447">
        <f t="shared" si="463"/>
        <v>0.75</v>
      </c>
      <c r="AF234" s="447">
        <f t="shared" si="463"/>
        <v>0.75</v>
      </c>
      <c r="AG234" s="447">
        <f t="shared" si="463"/>
        <v>0.75</v>
      </c>
      <c r="AH234" s="447">
        <f t="shared" si="463"/>
        <v>0.75</v>
      </c>
      <c r="AI234" s="447">
        <f t="shared" si="463"/>
        <v>0.75</v>
      </c>
      <c r="AJ234" s="447">
        <f t="shared" si="463"/>
        <v>0.75</v>
      </c>
      <c r="AK234" s="447">
        <f t="shared" si="463"/>
        <v>0.75</v>
      </c>
      <c r="AL234" s="447">
        <f t="shared" si="463"/>
        <v>0.75</v>
      </c>
      <c r="AM234" s="447">
        <f t="shared" si="463"/>
        <v>0.75</v>
      </c>
      <c r="AN234" s="447">
        <f t="shared" si="463"/>
        <v>0.75</v>
      </c>
      <c r="AO234" s="447">
        <f t="shared" si="463"/>
        <v>0.75</v>
      </c>
      <c r="AP234" s="447">
        <f t="shared" si="463"/>
        <v>0.75</v>
      </c>
      <c r="AQ234" s="447">
        <f t="shared" si="463"/>
        <v>0.75</v>
      </c>
      <c r="AR234" s="447">
        <f t="shared" si="463"/>
        <v>0.75</v>
      </c>
      <c r="AS234" s="447">
        <f t="shared" si="463"/>
        <v>0.75</v>
      </c>
      <c r="AT234" s="447">
        <f t="shared" si="463"/>
        <v>0.75</v>
      </c>
      <c r="AU234" s="447">
        <f t="shared" si="463"/>
        <v>0.75</v>
      </c>
      <c r="AV234" s="447">
        <f t="shared" si="463"/>
        <v>0.75</v>
      </c>
      <c r="AW234" s="447">
        <f t="shared" si="463"/>
        <v>0.75</v>
      </c>
      <c r="AX234" s="447">
        <f t="shared" si="463"/>
        <v>0.75</v>
      </c>
      <c r="AY234" s="447">
        <f t="shared" si="463"/>
        <v>0.75</v>
      </c>
      <c r="AZ234" s="447">
        <f t="shared" si="463"/>
        <v>0.75</v>
      </c>
      <c r="BA234" s="461">
        <f t="shared" si="463"/>
        <v>0.75</v>
      </c>
    </row>
    <row r="235" spans="1:53" ht="20.100000000000001" customHeight="1">
      <c r="A235" s="27"/>
      <c r="B235" s="258"/>
      <c r="C235" s="258"/>
      <c r="D235" s="258"/>
      <c r="E235" s="258"/>
      <c r="F235" s="258"/>
      <c r="G235" s="258"/>
      <c r="H235" s="258"/>
      <c r="I235" s="258"/>
      <c r="J235" s="258"/>
      <c r="K235" s="258"/>
      <c r="L235" s="258"/>
      <c r="M235" s="258"/>
      <c r="N235" s="258"/>
      <c r="O235" s="259"/>
      <c r="P235" s="668"/>
      <c r="Q235" s="668"/>
      <c r="R235" s="16"/>
      <c r="S235" s="474" t="s">
        <v>154</v>
      </c>
      <c r="T235" s="456" t="s">
        <v>36</v>
      </c>
      <c r="U235" s="456"/>
      <c r="V235" s="456"/>
      <c r="W235" s="456"/>
      <c r="X235" s="202"/>
      <c r="Y235" s="457">
        <f>V220</f>
        <v>2</v>
      </c>
      <c r="Z235" s="457">
        <f>Y235</f>
        <v>2</v>
      </c>
      <c r="AA235" s="457">
        <f t="shared" ref="AA235:BA242" si="465">Z235</f>
        <v>2</v>
      </c>
      <c r="AB235" s="457">
        <f t="shared" si="465"/>
        <v>2</v>
      </c>
      <c r="AC235" s="457">
        <f t="shared" si="465"/>
        <v>2</v>
      </c>
      <c r="AD235" s="457">
        <f t="shared" si="465"/>
        <v>2</v>
      </c>
      <c r="AE235" s="457">
        <f t="shared" si="465"/>
        <v>2</v>
      </c>
      <c r="AF235" s="457">
        <f t="shared" si="465"/>
        <v>2</v>
      </c>
      <c r="AG235" s="457">
        <f t="shared" si="465"/>
        <v>2</v>
      </c>
      <c r="AH235" s="457">
        <f t="shared" si="465"/>
        <v>2</v>
      </c>
      <c r="AI235" s="457">
        <f t="shared" si="465"/>
        <v>2</v>
      </c>
      <c r="AJ235" s="457">
        <f t="shared" si="465"/>
        <v>2</v>
      </c>
      <c r="AK235" s="457">
        <f t="shared" si="465"/>
        <v>2</v>
      </c>
      <c r="AL235" s="457">
        <f t="shared" si="465"/>
        <v>2</v>
      </c>
      <c r="AM235" s="457">
        <f t="shared" si="465"/>
        <v>2</v>
      </c>
      <c r="AN235" s="457">
        <f t="shared" si="465"/>
        <v>2</v>
      </c>
      <c r="AO235" s="457">
        <f t="shared" si="465"/>
        <v>2</v>
      </c>
      <c r="AP235" s="457">
        <f t="shared" si="465"/>
        <v>2</v>
      </c>
      <c r="AQ235" s="457">
        <f t="shared" si="465"/>
        <v>2</v>
      </c>
      <c r="AR235" s="457">
        <f t="shared" si="465"/>
        <v>2</v>
      </c>
      <c r="AS235" s="457">
        <f t="shared" si="465"/>
        <v>2</v>
      </c>
      <c r="AT235" s="457">
        <f t="shared" si="465"/>
        <v>2</v>
      </c>
      <c r="AU235" s="457">
        <f t="shared" si="465"/>
        <v>2</v>
      </c>
      <c r="AV235" s="457">
        <f t="shared" si="465"/>
        <v>2</v>
      </c>
      <c r="AW235" s="457">
        <f t="shared" si="465"/>
        <v>2</v>
      </c>
      <c r="AX235" s="457">
        <f t="shared" si="465"/>
        <v>2</v>
      </c>
      <c r="AY235" s="457">
        <f t="shared" si="465"/>
        <v>2</v>
      </c>
      <c r="AZ235" s="457">
        <f t="shared" si="465"/>
        <v>2</v>
      </c>
      <c r="BA235" s="458">
        <f t="shared" si="465"/>
        <v>2</v>
      </c>
    </row>
    <row r="236" spans="1:53" ht="20.100000000000001" customHeight="1">
      <c r="A236" s="27"/>
      <c r="B236" s="21"/>
      <c r="C236" s="21"/>
      <c r="D236" s="21"/>
      <c r="E236" s="21"/>
      <c r="F236" s="21"/>
      <c r="G236" s="21"/>
      <c r="H236" s="21"/>
      <c r="I236" s="21"/>
      <c r="J236" s="21"/>
      <c r="K236" s="21"/>
      <c r="L236" s="21"/>
      <c r="M236" s="21"/>
      <c r="N236" s="21"/>
      <c r="O236" s="28"/>
      <c r="P236" s="708"/>
      <c r="Q236" s="708"/>
      <c r="R236" s="16"/>
      <c r="S236" s="475"/>
      <c r="T236" s="51" t="s">
        <v>37</v>
      </c>
      <c r="U236" s="51"/>
      <c r="V236" s="51"/>
      <c r="W236" s="51"/>
      <c r="X236" s="201"/>
      <c r="Y236" s="48">
        <f>W220</f>
        <v>0.3</v>
      </c>
      <c r="Z236" s="48">
        <f t="shared" ref="Z236:AO242" si="466">Y236</f>
        <v>0.3</v>
      </c>
      <c r="AA236" s="48">
        <f t="shared" si="466"/>
        <v>0.3</v>
      </c>
      <c r="AB236" s="48">
        <f t="shared" si="466"/>
        <v>0.3</v>
      </c>
      <c r="AC236" s="48">
        <f t="shared" si="466"/>
        <v>0.3</v>
      </c>
      <c r="AD236" s="48">
        <f t="shared" si="466"/>
        <v>0.3</v>
      </c>
      <c r="AE236" s="48">
        <f t="shared" si="466"/>
        <v>0.3</v>
      </c>
      <c r="AF236" s="48">
        <f t="shared" si="466"/>
        <v>0.3</v>
      </c>
      <c r="AG236" s="48">
        <f t="shared" si="466"/>
        <v>0.3</v>
      </c>
      <c r="AH236" s="48">
        <f t="shared" si="466"/>
        <v>0.3</v>
      </c>
      <c r="AI236" s="48">
        <f t="shared" si="466"/>
        <v>0.3</v>
      </c>
      <c r="AJ236" s="48">
        <f t="shared" si="466"/>
        <v>0.3</v>
      </c>
      <c r="AK236" s="48">
        <f t="shared" si="466"/>
        <v>0.3</v>
      </c>
      <c r="AL236" s="48">
        <f t="shared" si="466"/>
        <v>0.3</v>
      </c>
      <c r="AM236" s="48">
        <f t="shared" si="466"/>
        <v>0.3</v>
      </c>
      <c r="AN236" s="48">
        <f t="shared" si="466"/>
        <v>0.3</v>
      </c>
      <c r="AO236" s="48">
        <f t="shared" si="466"/>
        <v>0.3</v>
      </c>
      <c r="AP236" s="48">
        <f t="shared" si="465"/>
        <v>0.3</v>
      </c>
      <c r="AQ236" s="48">
        <f t="shared" si="465"/>
        <v>0.3</v>
      </c>
      <c r="AR236" s="48">
        <f t="shared" si="465"/>
        <v>0.3</v>
      </c>
      <c r="AS236" s="48">
        <f t="shared" si="465"/>
        <v>0.3</v>
      </c>
      <c r="AT236" s="48">
        <f t="shared" si="465"/>
        <v>0.3</v>
      </c>
      <c r="AU236" s="48">
        <f t="shared" si="465"/>
        <v>0.3</v>
      </c>
      <c r="AV236" s="48">
        <f t="shared" si="465"/>
        <v>0.3</v>
      </c>
      <c r="AW236" s="48">
        <f t="shared" si="465"/>
        <v>0.3</v>
      </c>
      <c r="AX236" s="48">
        <f t="shared" si="465"/>
        <v>0.3</v>
      </c>
      <c r="AY236" s="48">
        <f t="shared" si="465"/>
        <v>0.3</v>
      </c>
      <c r="AZ236" s="48">
        <f t="shared" si="465"/>
        <v>0.3</v>
      </c>
      <c r="BA236" s="459">
        <f t="shared" si="465"/>
        <v>0.3</v>
      </c>
    </row>
    <row r="237" spans="1:53" ht="20.100000000000001" customHeight="1">
      <c r="A237" s="27"/>
      <c r="B237" s="21"/>
      <c r="C237" s="21"/>
      <c r="D237" s="21"/>
      <c r="E237" s="21"/>
      <c r="F237" s="21"/>
      <c r="G237" s="21"/>
      <c r="H237" s="21"/>
      <c r="I237" s="21"/>
      <c r="J237" s="21"/>
      <c r="K237" s="21"/>
      <c r="L237" s="21"/>
      <c r="M237" s="21"/>
      <c r="N237" s="21"/>
      <c r="O237" s="28"/>
      <c r="P237" s="708"/>
      <c r="Q237" s="708"/>
      <c r="R237" s="16"/>
      <c r="S237" s="475"/>
      <c r="T237" s="51" t="s">
        <v>38</v>
      </c>
      <c r="U237" s="51"/>
      <c r="V237" s="51"/>
      <c r="W237" s="51"/>
      <c r="X237" s="201"/>
      <c r="Y237" s="48">
        <f>X220</f>
        <v>1</v>
      </c>
      <c r="Z237" s="48">
        <f t="shared" si="466"/>
        <v>1</v>
      </c>
      <c r="AA237" s="48">
        <f t="shared" si="465"/>
        <v>1</v>
      </c>
      <c r="AB237" s="48">
        <f t="shared" si="465"/>
        <v>1</v>
      </c>
      <c r="AC237" s="48">
        <f t="shared" si="465"/>
        <v>1</v>
      </c>
      <c r="AD237" s="48">
        <f t="shared" si="465"/>
        <v>1</v>
      </c>
      <c r="AE237" s="48">
        <f t="shared" si="465"/>
        <v>1</v>
      </c>
      <c r="AF237" s="48">
        <f t="shared" si="465"/>
        <v>1</v>
      </c>
      <c r="AG237" s="48">
        <f t="shared" si="465"/>
        <v>1</v>
      </c>
      <c r="AH237" s="48">
        <f t="shared" si="465"/>
        <v>1</v>
      </c>
      <c r="AI237" s="48">
        <f t="shared" si="465"/>
        <v>1</v>
      </c>
      <c r="AJ237" s="48">
        <f t="shared" si="465"/>
        <v>1</v>
      </c>
      <c r="AK237" s="48">
        <f t="shared" si="465"/>
        <v>1</v>
      </c>
      <c r="AL237" s="48">
        <f t="shared" si="465"/>
        <v>1</v>
      </c>
      <c r="AM237" s="48">
        <f t="shared" si="465"/>
        <v>1</v>
      </c>
      <c r="AN237" s="48">
        <f t="shared" si="465"/>
        <v>1</v>
      </c>
      <c r="AO237" s="48">
        <f t="shared" si="465"/>
        <v>1</v>
      </c>
      <c r="AP237" s="48">
        <f t="shared" si="465"/>
        <v>1</v>
      </c>
      <c r="AQ237" s="48">
        <f t="shared" si="465"/>
        <v>1</v>
      </c>
      <c r="AR237" s="48">
        <f t="shared" si="465"/>
        <v>1</v>
      </c>
      <c r="AS237" s="48">
        <f t="shared" si="465"/>
        <v>1</v>
      </c>
      <c r="AT237" s="48">
        <f t="shared" si="465"/>
        <v>1</v>
      </c>
      <c r="AU237" s="48">
        <f t="shared" si="465"/>
        <v>1</v>
      </c>
      <c r="AV237" s="48">
        <f t="shared" si="465"/>
        <v>1</v>
      </c>
      <c r="AW237" s="48">
        <f t="shared" si="465"/>
        <v>1</v>
      </c>
      <c r="AX237" s="48">
        <f t="shared" si="465"/>
        <v>1</v>
      </c>
      <c r="AY237" s="48">
        <f t="shared" si="465"/>
        <v>1</v>
      </c>
      <c r="AZ237" s="48">
        <f t="shared" si="465"/>
        <v>1</v>
      </c>
      <c r="BA237" s="459">
        <f t="shared" si="465"/>
        <v>1</v>
      </c>
    </row>
    <row r="238" spans="1:53" ht="20.100000000000001" customHeight="1">
      <c r="A238" s="27"/>
      <c r="B238" s="21"/>
      <c r="C238" s="21"/>
      <c r="D238" s="21"/>
      <c r="E238" s="21"/>
      <c r="F238" s="21"/>
      <c r="G238" s="21"/>
      <c r="H238" s="21"/>
      <c r="I238" s="21"/>
      <c r="J238" s="21"/>
      <c r="K238" s="21"/>
      <c r="L238" s="21"/>
      <c r="M238" s="21"/>
      <c r="N238" s="21"/>
      <c r="O238" s="28"/>
      <c r="P238" s="708"/>
      <c r="Q238" s="708"/>
      <c r="R238" s="16"/>
      <c r="S238" s="475"/>
      <c r="T238" s="51" t="s">
        <v>39</v>
      </c>
      <c r="U238" s="51"/>
      <c r="V238" s="51"/>
      <c r="W238" s="51"/>
      <c r="X238" s="201"/>
      <c r="Y238" s="48">
        <f>Y220</f>
        <v>1</v>
      </c>
      <c r="Z238" s="48">
        <f t="shared" si="466"/>
        <v>1</v>
      </c>
      <c r="AA238" s="48">
        <f t="shared" si="465"/>
        <v>1</v>
      </c>
      <c r="AB238" s="48">
        <f t="shared" si="465"/>
        <v>1</v>
      </c>
      <c r="AC238" s="48">
        <f t="shared" si="465"/>
        <v>1</v>
      </c>
      <c r="AD238" s="48">
        <f t="shared" si="465"/>
        <v>1</v>
      </c>
      <c r="AE238" s="48">
        <f t="shared" si="465"/>
        <v>1</v>
      </c>
      <c r="AF238" s="48">
        <f t="shared" si="465"/>
        <v>1</v>
      </c>
      <c r="AG238" s="48">
        <f t="shared" si="465"/>
        <v>1</v>
      </c>
      <c r="AH238" s="48">
        <f t="shared" si="465"/>
        <v>1</v>
      </c>
      <c r="AI238" s="48">
        <f t="shared" si="465"/>
        <v>1</v>
      </c>
      <c r="AJ238" s="48">
        <f t="shared" si="465"/>
        <v>1</v>
      </c>
      <c r="AK238" s="48">
        <f t="shared" si="465"/>
        <v>1</v>
      </c>
      <c r="AL238" s="48">
        <f t="shared" si="465"/>
        <v>1</v>
      </c>
      <c r="AM238" s="48">
        <f t="shared" si="465"/>
        <v>1</v>
      </c>
      <c r="AN238" s="48">
        <f t="shared" si="465"/>
        <v>1</v>
      </c>
      <c r="AO238" s="48">
        <f t="shared" si="465"/>
        <v>1</v>
      </c>
      <c r="AP238" s="48">
        <f t="shared" si="465"/>
        <v>1</v>
      </c>
      <c r="AQ238" s="48">
        <f t="shared" si="465"/>
        <v>1</v>
      </c>
      <c r="AR238" s="48">
        <f t="shared" si="465"/>
        <v>1</v>
      </c>
      <c r="AS238" s="48">
        <f t="shared" si="465"/>
        <v>1</v>
      </c>
      <c r="AT238" s="48">
        <f t="shared" si="465"/>
        <v>1</v>
      </c>
      <c r="AU238" s="48">
        <f t="shared" si="465"/>
        <v>1</v>
      </c>
      <c r="AV238" s="48">
        <f t="shared" si="465"/>
        <v>1</v>
      </c>
      <c r="AW238" s="48">
        <f t="shared" si="465"/>
        <v>1</v>
      </c>
      <c r="AX238" s="48">
        <f t="shared" si="465"/>
        <v>1</v>
      </c>
      <c r="AY238" s="48">
        <f t="shared" si="465"/>
        <v>1</v>
      </c>
      <c r="AZ238" s="48">
        <f t="shared" si="465"/>
        <v>1</v>
      </c>
      <c r="BA238" s="459">
        <f t="shared" si="465"/>
        <v>1</v>
      </c>
    </row>
    <row r="239" spans="1:53" ht="20.100000000000001" customHeight="1">
      <c r="A239" s="27"/>
      <c r="B239" s="21"/>
      <c r="C239" s="21"/>
      <c r="D239" s="21"/>
      <c r="E239" s="21"/>
      <c r="F239" s="21"/>
      <c r="G239" s="21"/>
      <c r="H239" s="21"/>
      <c r="I239" s="21"/>
      <c r="J239" s="21"/>
      <c r="K239" s="21"/>
      <c r="L239" s="21"/>
      <c r="M239" s="21"/>
      <c r="N239" s="21"/>
      <c r="O239" s="28"/>
      <c r="P239" s="708"/>
      <c r="Q239" s="708"/>
      <c r="R239" s="16"/>
      <c r="S239" s="475"/>
      <c r="T239" s="51" t="s">
        <v>55</v>
      </c>
      <c r="U239" s="51"/>
      <c r="V239" s="51"/>
      <c r="W239" s="51"/>
      <c r="X239" s="201"/>
      <c r="Y239" s="48">
        <f>Z220</f>
        <v>2</v>
      </c>
      <c r="Z239" s="48">
        <f t="shared" si="466"/>
        <v>2</v>
      </c>
      <c r="AA239" s="48">
        <f t="shared" si="465"/>
        <v>2</v>
      </c>
      <c r="AB239" s="48">
        <f t="shared" si="465"/>
        <v>2</v>
      </c>
      <c r="AC239" s="48">
        <f t="shared" si="465"/>
        <v>2</v>
      </c>
      <c r="AD239" s="48">
        <f t="shared" si="465"/>
        <v>2</v>
      </c>
      <c r="AE239" s="48">
        <f t="shared" si="465"/>
        <v>2</v>
      </c>
      <c r="AF239" s="48">
        <f t="shared" si="465"/>
        <v>2</v>
      </c>
      <c r="AG239" s="48">
        <f t="shared" si="465"/>
        <v>2</v>
      </c>
      <c r="AH239" s="48">
        <f t="shared" si="465"/>
        <v>2</v>
      </c>
      <c r="AI239" s="48">
        <f t="shared" si="465"/>
        <v>2</v>
      </c>
      <c r="AJ239" s="48">
        <f t="shared" si="465"/>
        <v>2</v>
      </c>
      <c r="AK239" s="48">
        <f t="shared" si="465"/>
        <v>2</v>
      </c>
      <c r="AL239" s="48">
        <f t="shared" si="465"/>
        <v>2</v>
      </c>
      <c r="AM239" s="48">
        <f t="shared" si="465"/>
        <v>2</v>
      </c>
      <c r="AN239" s="48">
        <f t="shared" si="465"/>
        <v>2</v>
      </c>
      <c r="AO239" s="48">
        <f t="shared" si="465"/>
        <v>2</v>
      </c>
      <c r="AP239" s="48">
        <f t="shared" si="465"/>
        <v>2</v>
      </c>
      <c r="AQ239" s="48">
        <f t="shared" si="465"/>
        <v>2</v>
      </c>
      <c r="AR239" s="48">
        <f t="shared" si="465"/>
        <v>2</v>
      </c>
      <c r="AS239" s="48">
        <f t="shared" si="465"/>
        <v>2</v>
      </c>
      <c r="AT239" s="48">
        <f t="shared" si="465"/>
        <v>2</v>
      </c>
      <c r="AU239" s="48">
        <f t="shared" si="465"/>
        <v>2</v>
      </c>
      <c r="AV239" s="48">
        <f t="shared" si="465"/>
        <v>2</v>
      </c>
      <c r="AW239" s="48">
        <f t="shared" si="465"/>
        <v>2</v>
      </c>
      <c r="AX239" s="48">
        <f t="shared" si="465"/>
        <v>2</v>
      </c>
      <c r="AY239" s="48">
        <f t="shared" si="465"/>
        <v>2</v>
      </c>
      <c r="AZ239" s="48">
        <f t="shared" si="465"/>
        <v>2</v>
      </c>
      <c r="BA239" s="459">
        <f t="shared" si="465"/>
        <v>2</v>
      </c>
    </row>
    <row r="240" spans="1:53" ht="20.100000000000001" customHeight="1">
      <c r="A240" s="27"/>
      <c r="B240" s="21"/>
      <c r="C240" s="21"/>
      <c r="D240" s="21"/>
      <c r="E240" s="21"/>
      <c r="F240" s="21"/>
      <c r="G240" s="21"/>
      <c r="H240" s="21"/>
      <c r="I240" s="21"/>
      <c r="J240" s="21"/>
      <c r="K240" s="21"/>
      <c r="L240" s="21"/>
      <c r="M240" s="21"/>
      <c r="N240" s="21"/>
      <c r="O240" s="28"/>
      <c r="P240" s="708"/>
      <c r="Q240" s="708"/>
      <c r="R240" s="16"/>
      <c r="S240" s="475"/>
      <c r="T240" s="51" t="s">
        <v>56</v>
      </c>
      <c r="U240" s="51"/>
      <c r="V240" s="51"/>
      <c r="W240" s="51"/>
      <c r="X240" s="201"/>
      <c r="Y240" s="48">
        <f>AA220</f>
        <v>2</v>
      </c>
      <c r="Z240" s="48">
        <f t="shared" si="466"/>
        <v>2</v>
      </c>
      <c r="AA240" s="48">
        <f t="shared" si="465"/>
        <v>2</v>
      </c>
      <c r="AB240" s="48">
        <f t="shared" si="465"/>
        <v>2</v>
      </c>
      <c r="AC240" s="48">
        <f t="shared" si="465"/>
        <v>2</v>
      </c>
      <c r="AD240" s="48">
        <f t="shared" si="465"/>
        <v>2</v>
      </c>
      <c r="AE240" s="48">
        <f t="shared" si="465"/>
        <v>2</v>
      </c>
      <c r="AF240" s="48">
        <f t="shared" si="465"/>
        <v>2</v>
      </c>
      <c r="AG240" s="48">
        <f t="shared" si="465"/>
        <v>2</v>
      </c>
      <c r="AH240" s="48">
        <f t="shared" si="465"/>
        <v>2</v>
      </c>
      <c r="AI240" s="48">
        <f t="shared" si="465"/>
        <v>2</v>
      </c>
      <c r="AJ240" s="48">
        <f t="shared" si="465"/>
        <v>2</v>
      </c>
      <c r="AK240" s="48">
        <f t="shared" si="465"/>
        <v>2</v>
      </c>
      <c r="AL240" s="48">
        <f t="shared" si="465"/>
        <v>2</v>
      </c>
      <c r="AM240" s="48">
        <f t="shared" si="465"/>
        <v>2</v>
      </c>
      <c r="AN240" s="48">
        <f t="shared" si="465"/>
        <v>2</v>
      </c>
      <c r="AO240" s="48">
        <f t="shared" si="465"/>
        <v>2</v>
      </c>
      <c r="AP240" s="48">
        <f t="shared" si="465"/>
        <v>2</v>
      </c>
      <c r="AQ240" s="48">
        <f t="shared" si="465"/>
        <v>2</v>
      </c>
      <c r="AR240" s="48">
        <f t="shared" si="465"/>
        <v>2</v>
      </c>
      <c r="AS240" s="48">
        <f t="shared" si="465"/>
        <v>2</v>
      </c>
      <c r="AT240" s="48">
        <f t="shared" si="465"/>
        <v>2</v>
      </c>
      <c r="AU240" s="48">
        <f t="shared" si="465"/>
        <v>2</v>
      </c>
      <c r="AV240" s="48">
        <f t="shared" si="465"/>
        <v>2</v>
      </c>
      <c r="AW240" s="48">
        <f t="shared" si="465"/>
        <v>2</v>
      </c>
      <c r="AX240" s="48">
        <f t="shared" si="465"/>
        <v>2</v>
      </c>
      <c r="AY240" s="48">
        <f t="shared" si="465"/>
        <v>2</v>
      </c>
      <c r="AZ240" s="48">
        <f t="shared" si="465"/>
        <v>2</v>
      </c>
      <c r="BA240" s="459">
        <f t="shared" si="465"/>
        <v>2</v>
      </c>
    </row>
    <row r="241" spans="1:53" ht="20.100000000000001" customHeight="1">
      <c r="A241" s="27"/>
      <c r="B241" s="21"/>
      <c r="C241" s="21"/>
      <c r="D241" s="21"/>
      <c r="E241" s="21"/>
      <c r="F241" s="21"/>
      <c r="G241" s="21"/>
      <c r="H241" s="21"/>
      <c r="I241" s="21"/>
      <c r="J241" s="21"/>
      <c r="K241" s="21"/>
      <c r="L241" s="21"/>
      <c r="M241" s="21"/>
      <c r="N241" s="21"/>
      <c r="O241" s="28"/>
      <c r="P241" s="708"/>
      <c r="Q241" s="708"/>
      <c r="R241" s="16"/>
      <c r="S241" s="475"/>
      <c r="T241" s="51" t="s">
        <v>57</v>
      </c>
      <c r="U241" s="51"/>
      <c r="V241" s="51"/>
      <c r="W241" s="51"/>
      <c r="X241" s="201"/>
      <c r="Y241" s="48">
        <f>AB220</f>
        <v>2</v>
      </c>
      <c r="Z241" s="48">
        <f t="shared" si="466"/>
        <v>2</v>
      </c>
      <c r="AA241" s="48">
        <f t="shared" si="465"/>
        <v>2</v>
      </c>
      <c r="AB241" s="48">
        <f t="shared" si="465"/>
        <v>2</v>
      </c>
      <c r="AC241" s="48">
        <f t="shared" si="465"/>
        <v>2</v>
      </c>
      <c r="AD241" s="48">
        <f t="shared" si="465"/>
        <v>2</v>
      </c>
      <c r="AE241" s="48">
        <f t="shared" si="465"/>
        <v>2</v>
      </c>
      <c r="AF241" s="48">
        <f t="shared" si="465"/>
        <v>2</v>
      </c>
      <c r="AG241" s="48">
        <f t="shared" si="465"/>
        <v>2</v>
      </c>
      <c r="AH241" s="48">
        <f t="shared" si="465"/>
        <v>2</v>
      </c>
      <c r="AI241" s="48">
        <f t="shared" si="465"/>
        <v>2</v>
      </c>
      <c r="AJ241" s="48">
        <f t="shared" si="465"/>
        <v>2</v>
      </c>
      <c r="AK241" s="48">
        <f t="shared" si="465"/>
        <v>2</v>
      </c>
      <c r="AL241" s="48">
        <f t="shared" si="465"/>
        <v>2</v>
      </c>
      <c r="AM241" s="48">
        <f t="shared" si="465"/>
        <v>2</v>
      </c>
      <c r="AN241" s="48">
        <f t="shared" si="465"/>
        <v>2</v>
      </c>
      <c r="AO241" s="48">
        <f t="shared" si="465"/>
        <v>2</v>
      </c>
      <c r="AP241" s="48">
        <f t="shared" si="465"/>
        <v>2</v>
      </c>
      <c r="AQ241" s="48">
        <f t="shared" si="465"/>
        <v>2</v>
      </c>
      <c r="AR241" s="48">
        <f t="shared" si="465"/>
        <v>2</v>
      </c>
      <c r="AS241" s="48">
        <f t="shared" si="465"/>
        <v>2</v>
      </c>
      <c r="AT241" s="48">
        <f t="shared" si="465"/>
        <v>2</v>
      </c>
      <c r="AU241" s="48">
        <f t="shared" si="465"/>
        <v>2</v>
      </c>
      <c r="AV241" s="48">
        <f t="shared" si="465"/>
        <v>2</v>
      </c>
      <c r="AW241" s="48">
        <f t="shared" si="465"/>
        <v>2</v>
      </c>
      <c r="AX241" s="48">
        <f t="shared" si="465"/>
        <v>2</v>
      </c>
      <c r="AY241" s="48">
        <f t="shared" si="465"/>
        <v>2</v>
      </c>
      <c r="AZ241" s="48">
        <f t="shared" si="465"/>
        <v>2</v>
      </c>
      <c r="BA241" s="459">
        <f t="shared" si="465"/>
        <v>2</v>
      </c>
    </row>
    <row r="242" spans="1:53" ht="20.100000000000001" customHeight="1" thickBot="1">
      <c r="A242" s="27"/>
      <c r="B242" s="21"/>
      <c r="C242" s="21"/>
      <c r="D242" s="21"/>
      <c r="E242" s="21"/>
      <c r="F242" s="21"/>
      <c r="G242" s="21"/>
      <c r="H242" s="21"/>
      <c r="I242" s="21"/>
      <c r="J242" s="21"/>
      <c r="K242" s="21"/>
      <c r="L242" s="21"/>
      <c r="M242" s="21"/>
      <c r="N242" s="21"/>
      <c r="O242" s="28"/>
      <c r="P242" s="708"/>
      <c r="Q242" s="708"/>
      <c r="R242" s="16"/>
      <c r="S242" s="800"/>
      <c r="T242" s="482" t="s">
        <v>58</v>
      </c>
      <c r="U242" s="482"/>
      <c r="V242" s="482"/>
      <c r="W242" s="482"/>
      <c r="X242" s="483"/>
      <c r="Y242" s="484">
        <f>AC220</f>
        <v>2</v>
      </c>
      <c r="Z242" s="484">
        <f t="shared" si="466"/>
        <v>2</v>
      </c>
      <c r="AA242" s="484">
        <f t="shared" si="465"/>
        <v>2</v>
      </c>
      <c r="AB242" s="484">
        <f t="shared" si="465"/>
        <v>2</v>
      </c>
      <c r="AC242" s="484">
        <f t="shared" si="465"/>
        <v>2</v>
      </c>
      <c r="AD242" s="484">
        <f t="shared" si="465"/>
        <v>2</v>
      </c>
      <c r="AE242" s="484">
        <f t="shared" si="465"/>
        <v>2</v>
      </c>
      <c r="AF242" s="484">
        <f t="shared" si="465"/>
        <v>2</v>
      </c>
      <c r="AG242" s="484">
        <f t="shared" si="465"/>
        <v>2</v>
      </c>
      <c r="AH242" s="484">
        <f t="shared" si="465"/>
        <v>2</v>
      </c>
      <c r="AI242" s="484">
        <f t="shared" si="465"/>
        <v>2</v>
      </c>
      <c r="AJ242" s="484">
        <f t="shared" si="465"/>
        <v>2</v>
      </c>
      <c r="AK242" s="484">
        <f t="shared" si="465"/>
        <v>2</v>
      </c>
      <c r="AL242" s="484">
        <f t="shared" si="465"/>
        <v>2</v>
      </c>
      <c r="AM242" s="484">
        <f t="shared" si="465"/>
        <v>2</v>
      </c>
      <c r="AN242" s="484">
        <f t="shared" si="465"/>
        <v>2</v>
      </c>
      <c r="AO242" s="484">
        <f t="shared" si="465"/>
        <v>2</v>
      </c>
      <c r="AP242" s="484">
        <f t="shared" si="465"/>
        <v>2</v>
      </c>
      <c r="AQ242" s="484">
        <f t="shared" si="465"/>
        <v>2</v>
      </c>
      <c r="AR242" s="484">
        <f t="shared" si="465"/>
        <v>2</v>
      </c>
      <c r="AS242" s="484">
        <f t="shared" si="465"/>
        <v>2</v>
      </c>
      <c r="AT242" s="484">
        <f t="shared" si="465"/>
        <v>2</v>
      </c>
      <c r="AU242" s="484">
        <f t="shared" si="465"/>
        <v>2</v>
      </c>
      <c r="AV242" s="484">
        <f t="shared" si="465"/>
        <v>2</v>
      </c>
      <c r="AW242" s="484">
        <f t="shared" si="465"/>
        <v>2</v>
      </c>
      <c r="AX242" s="484">
        <f t="shared" si="465"/>
        <v>2</v>
      </c>
      <c r="AY242" s="484">
        <f t="shared" si="465"/>
        <v>2</v>
      </c>
      <c r="AZ242" s="484">
        <f t="shared" si="465"/>
        <v>2</v>
      </c>
      <c r="BA242" s="485">
        <f t="shared" si="465"/>
        <v>2</v>
      </c>
    </row>
    <row r="243" spans="1:53" ht="20.100000000000001" customHeight="1">
      <c r="A243" s="27"/>
      <c r="B243" s="21"/>
      <c r="C243" s="21"/>
      <c r="D243" s="21"/>
      <c r="E243" s="21"/>
      <c r="F243" s="21"/>
      <c r="G243" s="21"/>
      <c r="H243" s="21"/>
      <c r="I243" s="21"/>
      <c r="J243" s="21"/>
      <c r="K243" s="21"/>
      <c r="L243" s="21"/>
      <c r="M243" s="21"/>
      <c r="N243" s="21"/>
      <c r="O243" s="28"/>
      <c r="P243" s="708"/>
      <c r="Q243" s="708"/>
      <c r="R243" s="16"/>
      <c r="S243" s="477" t="s">
        <v>155</v>
      </c>
      <c r="T243" s="456" t="s">
        <v>36</v>
      </c>
      <c r="U243" s="456"/>
      <c r="V243" s="456"/>
      <c r="W243" s="456"/>
      <c r="X243" s="202"/>
      <c r="Y243" s="457">
        <f>IF(Y$204=0,0,(Y$202/Y$204*Y227)+(Y$203/Y$204*Y235))</f>
        <v>1.25</v>
      </c>
      <c r="Z243" s="457">
        <f t="shared" ref="Z243:BA250" si="467">IF(Z$204=0,0,(Z$202/Z$204*Z227)+(Z$203/Z$204*Z235))</f>
        <v>1.25</v>
      </c>
      <c r="AA243" s="457">
        <f t="shared" si="467"/>
        <v>1.25</v>
      </c>
      <c r="AB243" s="457">
        <f t="shared" si="467"/>
        <v>1.25</v>
      </c>
      <c r="AC243" s="457">
        <f t="shared" si="467"/>
        <v>1.25</v>
      </c>
      <c r="AD243" s="457">
        <f t="shared" si="467"/>
        <v>1.25</v>
      </c>
      <c r="AE243" s="457">
        <f t="shared" si="467"/>
        <v>1.25</v>
      </c>
      <c r="AF243" s="457">
        <f t="shared" si="467"/>
        <v>1.25</v>
      </c>
      <c r="AG243" s="457">
        <f t="shared" si="467"/>
        <v>1.25</v>
      </c>
      <c r="AH243" s="457">
        <f t="shared" si="467"/>
        <v>1.25</v>
      </c>
      <c r="AI243" s="457">
        <f t="shared" si="467"/>
        <v>1.25</v>
      </c>
      <c r="AJ243" s="457">
        <f t="shared" si="467"/>
        <v>1.25</v>
      </c>
      <c r="AK243" s="457">
        <f t="shared" si="467"/>
        <v>1.25</v>
      </c>
      <c r="AL243" s="457">
        <f t="shared" si="467"/>
        <v>1.25</v>
      </c>
      <c r="AM243" s="457">
        <f t="shared" si="467"/>
        <v>1.25</v>
      </c>
      <c r="AN243" s="457">
        <f t="shared" si="467"/>
        <v>1.25</v>
      </c>
      <c r="AO243" s="457">
        <f t="shared" si="467"/>
        <v>1.25</v>
      </c>
      <c r="AP243" s="457">
        <f t="shared" si="467"/>
        <v>1.25</v>
      </c>
      <c r="AQ243" s="457">
        <f t="shared" si="467"/>
        <v>1.25</v>
      </c>
      <c r="AR243" s="457">
        <f t="shared" si="467"/>
        <v>1.25</v>
      </c>
      <c r="AS243" s="457">
        <f t="shared" si="467"/>
        <v>1.25</v>
      </c>
      <c r="AT243" s="457">
        <f t="shared" si="467"/>
        <v>1.25</v>
      </c>
      <c r="AU243" s="457">
        <f t="shared" si="467"/>
        <v>1.25</v>
      </c>
      <c r="AV243" s="457">
        <f t="shared" si="467"/>
        <v>1.25</v>
      </c>
      <c r="AW243" s="457">
        <f t="shared" si="467"/>
        <v>1.25</v>
      </c>
      <c r="AX243" s="457">
        <f t="shared" si="467"/>
        <v>1.25</v>
      </c>
      <c r="AY243" s="457">
        <f t="shared" si="467"/>
        <v>1.25</v>
      </c>
      <c r="AZ243" s="457">
        <f t="shared" si="467"/>
        <v>1.25</v>
      </c>
      <c r="BA243" s="458">
        <f t="shared" si="467"/>
        <v>1.25</v>
      </c>
    </row>
    <row r="244" spans="1:53" ht="20.100000000000001" customHeight="1">
      <c r="A244" s="27"/>
      <c r="B244" s="21"/>
      <c r="C244" s="21"/>
      <c r="D244" s="21"/>
      <c r="E244" s="21"/>
      <c r="F244" s="21"/>
      <c r="G244" s="21"/>
      <c r="H244" s="21"/>
      <c r="I244" s="21"/>
      <c r="J244" s="21"/>
      <c r="K244" s="21"/>
      <c r="L244" s="21"/>
      <c r="M244" s="21"/>
      <c r="N244" s="21"/>
      <c r="O244" s="28"/>
      <c r="P244" s="708"/>
      <c r="Q244" s="708"/>
      <c r="R244" s="16"/>
      <c r="S244" s="478"/>
      <c r="T244" s="51" t="s">
        <v>37</v>
      </c>
      <c r="U244" s="51"/>
      <c r="V244" s="51"/>
      <c r="W244" s="51"/>
      <c r="X244" s="201"/>
      <c r="Y244" s="48">
        <f t="shared" ref="Y244:AN250" si="468">IF(Y$204=0,0,(Y$202/Y$204*Y228)+(Y$203/Y$204*Y236))</f>
        <v>0.95</v>
      </c>
      <c r="Z244" s="48">
        <f t="shared" si="468"/>
        <v>0.95</v>
      </c>
      <c r="AA244" s="48">
        <f t="shared" si="468"/>
        <v>0.95</v>
      </c>
      <c r="AB244" s="48">
        <f t="shared" si="468"/>
        <v>0.95</v>
      </c>
      <c r="AC244" s="48">
        <f t="shared" si="468"/>
        <v>0.95</v>
      </c>
      <c r="AD244" s="48">
        <f t="shared" si="468"/>
        <v>0.95</v>
      </c>
      <c r="AE244" s="48">
        <f t="shared" si="468"/>
        <v>0.95</v>
      </c>
      <c r="AF244" s="48">
        <f t="shared" si="468"/>
        <v>0.95</v>
      </c>
      <c r="AG244" s="48">
        <f t="shared" si="468"/>
        <v>0.95</v>
      </c>
      <c r="AH244" s="48">
        <f t="shared" si="468"/>
        <v>0.95</v>
      </c>
      <c r="AI244" s="48">
        <f t="shared" si="468"/>
        <v>0.95</v>
      </c>
      <c r="AJ244" s="48">
        <f t="shared" si="468"/>
        <v>0.95</v>
      </c>
      <c r="AK244" s="48">
        <f t="shared" si="468"/>
        <v>0.95</v>
      </c>
      <c r="AL244" s="48">
        <f t="shared" si="468"/>
        <v>0.95</v>
      </c>
      <c r="AM244" s="48">
        <f t="shared" si="468"/>
        <v>0.95</v>
      </c>
      <c r="AN244" s="48">
        <f t="shared" si="468"/>
        <v>0.95</v>
      </c>
      <c r="AO244" s="48">
        <f t="shared" si="467"/>
        <v>0.95</v>
      </c>
      <c r="AP244" s="48">
        <f t="shared" si="467"/>
        <v>0.95</v>
      </c>
      <c r="AQ244" s="48">
        <f t="shared" si="467"/>
        <v>0.95</v>
      </c>
      <c r="AR244" s="48">
        <f t="shared" si="467"/>
        <v>0.95</v>
      </c>
      <c r="AS244" s="48">
        <f t="shared" si="467"/>
        <v>0.95</v>
      </c>
      <c r="AT244" s="48">
        <f t="shared" si="467"/>
        <v>0.95</v>
      </c>
      <c r="AU244" s="48">
        <f t="shared" si="467"/>
        <v>0.95</v>
      </c>
      <c r="AV244" s="48">
        <f t="shared" si="467"/>
        <v>0.95</v>
      </c>
      <c r="AW244" s="48">
        <f t="shared" si="467"/>
        <v>0.95</v>
      </c>
      <c r="AX244" s="48">
        <f t="shared" si="467"/>
        <v>0.95</v>
      </c>
      <c r="AY244" s="48">
        <f t="shared" si="467"/>
        <v>0.95</v>
      </c>
      <c r="AZ244" s="48">
        <f t="shared" si="467"/>
        <v>0.95</v>
      </c>
      <c r="BA244" s="459">
        <f t="shared" si="467"/>
        <v>0.95</v>
      </c>
    </row>
    <row r="245" spans="1:53" ht="20.100000000000001" customHeight="1">
      <c r="A245" s="27"/>
      <c r="B245" s="21"/>
      <c r="C245" s="21"/>
      <c r="D245" s="21"/>
      <c r="E245" s="21"/>
      <c r="F245" s="21"/>
      <c r="G245" s="21"/>
      <c r="H245" s="21"/>
      <c r="I245" s="21"/>
      <c r="J245" s="21"/>
      <c r="K245" s="21"/>
      <c r="L245" s="21"/>
      <c r="M245" s="21"/>
      <c r="N245" s="21"/>
      <c r="O245" s="28"/>
      <c r="P245" s="708"/>
      <c r="Q245" s="708"/>
      <c r="R245" s="16"/>
      <c r="S245" s="478"/>
      <c r="T245" s="51" t="s">
        <v>38</v>
      </c>
      <c r="U245" s="51"/>
      <c r="V245" s="51"/>
      <c r="W245" s="51"/>
      <c r="X245" s="201"/>
      <c r="Y245" s="48">
        <f t="shared" si="468"/>
        <v>1</v>
      </c>
      <c r="Z245" s="48">
        <f t="shared" si="467"/>
        <v>1</v>
      </c>
      <c r="AA245" s="48">
        <f t="shared" si="467"/>
        <v>1</v>
      </c>
      <c r="AB245" s="48">
        <f t="shared" si="467"/>
        <v>1</v>
      </c>
      <c r="AC245" s="48">
        <f t="shared" si="467"/>
        <v>1</v>
      </c>
      <c r="AD245" s="48">
        <f t="shared" si="467"/>
        <v>1</v>
      </c>
      <c r="AE245" s="48">
        <f t="shared" si="467"/>
        <v>1</v>
      </c>
      <c r="AF245" s="48">
        <f t="shared" si="467"/>
        <v>1</v>
      </c>
      <c r="AG245" s="48">
        <f t="shared" si="467"/>
        <v>1</v>
      </c>
      <c r="AH245" s="48">
        <f t="shared" si="467"/>
        <v>1</v>
      </c>
      <c r="AI245" s="48">
        <f t="shared" si="467"/>
        <v>1</v>
      </c>
      <c r="AJ245" s="48">
        <f t="shared" si="467"/>
        <v>1</v>
      </c>
      <c r="AK245" s="48">
        <f t="shared" si="467"/>
        <v>1</v>
      </c>
      <c r="AL245" s="48">
        <f t="shared" si="467"/>
        <v>1</v>
      </c>
      <c r="AM245" s="48">
        <f t="shared" si="467"/>
        <v>1</v>
      </c>
      <c r="AN245" s="48">
        <f t="shared" si="467"/>
        <v>1</v>
      </c>
      <c r="AO245" s="48">
        <f t="shared" si="467"/>
        <v>1</v>
      </c>
      <c r="AP245" s="48">
        <f t="shared" si="467"/>
        <v>1</v>
      </c>
      <c r="AQ245" s="48">
        <f t="shared" si="467"/>
        <v>1</v>
      </c>
      <c r="AR245" s="48">
        <f t="shared" si="467"/>
        <v>1</v>
      </c>
      <c r="AS245" s="48">
        <f t="shared" si="467"/>
        <v>1</v>
      </c>
      <c r="AT245" s="48">
        <f t="shared" si="467"/>
        <v>1</v>
      </c>
      <c r="AU245" s="48">
        <f t="shared" si="467"/>
        <v>1</v>
      </c>
      <c r="AV245" s="48">
        <f t="shared" si="467"/>
        <v>1</v>
      </c>
      <c r="AW245" s="48">
        <f t="shared" si="467"/>
        <v>1</v>
      </c>
      <c r="AX245" s="48">
        <f t="shared" si="467"/>
        <v>1</v>
      </c>
      <c r="AY245" s="48">
        <f t="shared" si="467"/>
        <v>1</v>
      </c>
      <c r="AZ245" s="48">
        <f t="shared" si="467"/>
        <v>1</v>
      </c>
      <c r="BA245" s="459">
        <f t="shared" si="467"/>
        <v>1</v>
      </c>
    </row>
    <row r="246" spans="1:53" ht="20.100000000000001" customHeight="1">
      <c r="A246" s="27"/>
      <c r="B246" s="21"/>
      <c r="C246" s="21"/>
      <c r="D246" s="21"/>
      <c r="E246" s="21"/>
      <c r="F246" s="21"/>
      <c r="G246" s="21"/>
      <c r="H246" s="21"/>
      <c r="I246" s="21"/>
      <c r="J246" s="21"/>
      <c r="K246" s="21"/>
      <c r="L246" s="21"/>
      <c r="M246" s="21"/>
      <c r="N246" s="21"/>
      <c r="O246" s="28"/>
      <c r="P246" s="708"/>
      <c r="Q246" s="708"/>
      <c r="R246" s="16"/>
      <c r="S246" s="478"/>
      <c r="T246" s="51" t="s">
        <v>39</v>
      </c>
      <c r="U246" s="51"/>
      <c r="V246" s="51"/>
      <c r="W246" s="51"/>
      <c r="X246" s="201"/>
      <c r="Y246" s="48">
        <f t="shared" si="468"/>
        <v>1</v>
      </c>
      <c r="Z246" s="48">
        <f t="shared" si="467"/>
        <v>1</v>
      </c>
      <c r="AA246" s="48">
        <f t="shared" si="467"/>
        <v>1</v>
      </c>
      <c r="AB246" s="48">
        <f t="shared" si="467"/>
        <v>1</v>
      </c>
      <c r="AC246" s="48">
        <f t="shared" si="467"/>
        <v>1</v>
      </c>
      <c r="AD246" s="48">
        <f t="shared" si="467"/>
        <v>1</v>
      </c>
      <c r="AE246" s="48">
        <f t="shared" si="467"/>
        <v>1</v>
      </c>
      <c r="AF246" s="48">
        <f t="shared" si="467"/>
        <v>1</v>
      </c>
      <c r="AG246" s="48">
        <f t="shared" si="467"/>
        <v>1</v>
      </c>
      <c r="AH246" s="48">
        <f t="shared" si="467"/>
        <v>1</v>
      </c>
      <c r="AI246" s="48">
        <f t="shared" si="467"/>
        <v>1</v>
      </c>
      <c r="AJ246" s="48">
        <f t="shared" si="467"/>
        <v>1</v>
      </c>
      <c r="AK246" s="48">
        <f t="shared" si="467"/>
        <v>1</v>
      </c>
      <c r="AL246" s="48">
        <f t="shared" si="467"/>
        <v>1</v>
      </c>
      <c r="AM246" s="48">
        <f t="shared" si="467"/>
        <v>1</v>
      </c>
      <c r="AN246" s="48">
        <f t="shared" si="467"/>
        <v>1</v>
      </c>
      <c r="AO246" s="48">
        <f t="shared" si="467"/>
        <v>1</v>
      </c>
      <c r="AP246" s="48">
        <f t="shared" si="467"/>
        <v>1</v>
      </c>
      <c r="AQ246" s="48">
        <f t="shared" si="467"/>
        <v>1</v>
      </c>
      <c r="AR246" s="48">
        <f t="shared" si="467"/>
        <v>1</v>
      </c>
      <c r="AS246" s="48">
        <f t="shared" si="467"/>
        <v>1</v>
      </c>
      <c r="AT246" s="48">
        <f t="shared" si="467"/>
        <v>1</v>
      </c>
      <c r="AU246" s="48">
        <f t="shared" si="467"/>
        <v>1</v>
      </c>
      <c r="AV246" s="48">
        <f t="shared" si="467"/>
        <v>1</v>
      </c>
      <c r="AW246" s="48">
        <f t="shared" si="467"/>
        <v>1</v>
      </c>
      <c r="AX246" s="48">
        <f t="shared" si="467"/>
        <v>1</v>
      </c>
      <c r="AY246" s="48">
        <f t="shared" si="467"/>
        <v>1</v>
      </c>
      <c r="AZ246" s="48">
        <f t="shared" si="467"/>
        <v>1</v>
      </c>
      <c r="BA246" s="459">
        <f t="shared" si="467"/>
        <v>1</v>
      </c>
    </row>
    <row r="247" spans="1:53" ht="20.100000000000001" customHeight="1">
      <c r="A247" s="27"/>
      <c r="B247" s="21"/>
      <c r="C247" s="21"/>
      <c r="D247" s="21"/>
      <c r="E247" s="21"/>
      <c r="F247" s="21"/>
      <c r="G247" s="21"/>
      <c r="H247" s="21"/>
      <c r="I247" s="21"/>
      <c r="J247" s="21"/>
      <c r="K247" s="21"/>
      <c r="L247" s="21"/>
      <c r="M247" s="21"/>
      <c r="N247" s="21"/>
      <c r="O247" s="28"/>
      <c r="P247" s="708"/>
      <c r="Q247" s="708"/>
      <c r="R247" s="16"/>
      <c r="S247" s="478"/>
      <c r="T247" s="51" t="s">
        <v>55</v>
      </c>
      <c r="U247" s="51"/>
      <c r="V247" s="51"/>
      <c r="W247" s="51"/>
      <c r="X247" s="201"/>
      <c r="Y247" s="48">
        <f t="shared" si="468"/>
        <v>1.1000000000000001</v>
      </c>
      <c r="Z247" s="48">
        <f t="shared" si="467"/>
        <v>1.1000000000000001</v>
      </c>
      <c r="AA247" s="48">
        <f t="shared" si="467"/>
        <v>1.1000000000000001</v>
      </c>
      <c r="AB247" s="48">
        <f t="shared" si="467"/>
        <v>1.1000000000000001</v>
      </c>
      <c r="AC247" s="48">
        <f t="shared" si="467"/>
        <v>1.1000000000000001</v>
      </c>
      <c r="AD247" s="48">
        <f t="shared" si="467"/>
        <v>1.1000000000000001</v>
      </c>
      <c r="AE247" s="48">
        <f t="shared" si="467"/>
        <v>1.1000000000000001</v>
      </c>
      <c r="AF247" s="48">
        <f t="shared" si="467"/>
        <v>1.1000000000000001</v>
      </c>
      <c r="AG247" s="48">
        <f t="shared" si="467"/>
        <v>1.1000000000000001</v>
      </c>
      <c r="AH247" s="48">
        <f t="shared" si="467"/>
        <v>1.1000000000000001</v>
      </c>
      <c r="AI247" s="48">
        <f t="shared" si="467"/>
        <v>1.1000000000000001</v>
      </c>
      <c r="AJ247" s="48">
        <f t="shared" si="467"/>
        <v>1.1000000000000001</v>
      </c>
      <c r="AK247" s="48">
        <f t="shared" si="467"/>
        <v>1.1000000000000001</v>
      </c>
      <c r="AL247" s="48">
        <f t="shared" si="467"/>
        <v>1.1000000000000001</v>
      </c>
      <c r="AM247" s="48">
        <f t="shared" si="467"/>
        <v>1.1000000000000001</v>
      </c>
      <c r="AN247" s="48">
        <f t="shared" si="467"/>
        <v>1.1000000000000001</v>
      </c>
      <c r="AO247" s="48">
        <f t="shared" si="467"/>
        <v>1.1000000000000001</v>
      </c>
      <c r="AP247" s="48">
        <f t="shared" si="467"/>
        <v>1.1000000000000001</v>
      </c>
      <c r="AQ247" s="48">
        <f t="shared" si="467"/>
        <v>1.1000000000000001</v>
      </c>
      <c r="AR247" s="48">
        <f t="shared" si="467"/>
        <v>1.1000000000000001</v>
      </c>
      <c r="AS247" s="48">
        <f t="shared" si="467"/>
        <v>1.1000000000000001</v>
      </c>
      <c r="AT247" s="48">
        <f t="shared" si="467"/>
        <v>1.1000000000000001</v>
      </c>
      <c r="AU247" s="48">
        <f t="shared" si="467"/>
        <v>1.1000000000000001</v>
      </c>
      <c r="AV247" s="48">
        <f t="shared" si="467"/>
        <v>1.1000000000000001</v>
      </c>
      <c r="AW247" s="48">
        <f t="shared" si="467"/>
        <v>1.1000000000000001</v>
      </c>
      <c r="AX247" s="48">
        <f t="shared" si="467"/>
        <v>1.1000000000000001</v>
      </c>
      <c r="AY247" s="48">
        <f t="shared" si="467"/>
        <v>1.1000000000000001</v>
      </c>
      <c r="AZ247" s="48">
        <f t="shared" si="467"/>
        <v>1.1000000000000001</v>
      </c>
      <c r="BA247" s="459">
        <f t="shared" si="467"/>
        <v>1.1000000000000001</v>
      </c>
    </row>
    <row r="248" spans="1:53" ht="20.100000000000001" customHeight="1">
      <c r="A248" s="27"/>
      <c r="B248" s="21"/>
      <c r="C248" s="21"/>
      <c r="D248" s="21"/>
      <c r="E248" s="21"/>
      <c r="F248" s="21"/>
      <c r="G248" s="21"/>
      <c r="H248" s="21"/>
      <c r="I248" s="21"/>
      <c r="J248" s="21"/>
      <c r="K248" s="21"/>
      <c r="L248" s="21"/>
      <c r="M248" s="21"/>
      <c r="N248" s="21"/>
      <c r="O248" s="28"/>
      <c r="P248" s="708"/>
      <c r="Q248" s="708"/>
      <c r="R248" s="16"/>
      <c r="S248" s="478"/>
      <c r="T248" s="51" t="s">
        <v>56</v>
      </c>
      <c r="U248" s="51"/>
      <c r="V248" s="51"/>
      <c r="W248" s="51"/>
      <c r="X248" s="201"/>
      <c r="Y248" s="48">
        <f t="shared" si="468"/>
        <v>1.5</v>
      </c>
      <c r="Z248" s="48">
        <f t="shared" si="467"/>
        <v>1.5</v>
      </c>
      <c r="AA248" s="48">
        <f t="shared" si="467"/>
        <v>1.5</v>
      </c>
      <c r="AB248" s="48">
        <f t="shared" si="467"/>
        <v>1.5</v>
      </c>
      <c r="AC248" s="48">
        <f t="shared" si="467"/>
        <v>1.5</v>
      </c>
      <c r="AD248" s="48">
        <f t="shared" si="467"/>
        <v>1.5</v>
      </c>
      <c r="AE248" s="48">
        <f t="shared" si="467"/>
        <v>1.5</v>
      </c>
      <c r="AF248" s="48">
        <f t="shared" si="467"/>
        <v>1.5</v>
      </c>
      <c r="AG248" s="48">
        <f t="shared" si="467"/>
        <v>1.5</v>
      </c>
      <c r="AH248" s="48">
        <f t="shared" si="467"/>
        <v>1.5</v>
      </c>
      <c r="AI248" s="48">
        <f t="shared" si="467"/>
        <v>1.5</v>
      </c>
      <c r="AJ248" s="48">
        <f t="shared" si="467"/>
        <v>1.5</v>
      </c>
      <c r="AK248" s="48">
        <f t="shared" si="467"/>
        <v>1.5</v>
      </c>
      <c r="AL248" s="48">
        <f t="shared" si="467"/>
        <v>1.5</v>
      </c>
      <c r="AM248" s="48">
        <f t="shared" si="467"/>
        <v>1.5</v>
      </c>
      <c r="AN248" s="48">
        <f t="shared" si="467"/>
        <v>1.5</v>
      </c>
      <c r="AO248" s="48">
        <f t="shared" si="467"/>
        <v>1.5</v>
      </c>
      <c r="AP248" s="48">
        <f t="shared" si="467"/>
        <v>1.5</v>
      </c>
      <c r="AQ248" s="48">
        <f t="shared" si="467"/>
        <v>1.5</v>
      </c>
      <c r="AR248" s="48">
        <f t="shared" si="467"/>
        <v>1.5</v>
      </c>
      <c r="AS248" s="48">
        <f t="shared" si="467"/>
        <v>1.5</v>
      </c>
      <c r="AT248" s="48">
        <f t="shared" si="467"/>
        <v>1.5</v>
      </c>
      <c r="AU248" s="48">
        <f t="shared" si="467"/>
        <v>1.5</v>
      </c>
      <c r="AV248" s="48">
        <f t="shared" si="467"/>
        <v>1.5</v>
      </c>
      <c r="AW248" s="48">
        <f t="shared" si="467"/>
        <v>1.5</v>
      </c>
      <c r="AX248" s="48">
        <f t="shared" si="467"/>
        <v>1.5</v>
      </c>
      <c r="AY248" s="48">
        <f t="shared" si="467"/>
        <v>1.5</v>
      </c>
      <c r="AZ248" s="48">
        <f t="shared" si="467"/>
        <v>1.5</v>
      </c>
      <c r="BA248" s="459">
        <f t="shared" si="467"/>
        <v>1.5</v>
      </c>
    </row>
    <row r="249" spans="1:53" ht="20.100000000000001" customHeight="1">
      <c r="A249" s="27"/>
      <c r="B249" s="21"/>
      <c r="C249" s="21"/>
      <c r="D249" s="21"/>
      <c r="E249" s="21"/>
      <c r="F249" s="21"/>
      <c r="G249" s="21"/>
      <c r="H249" s="21"/>
      <c r="I249" s="21"/>
      <c r="J249" s="21"/>
      <c r="K249" s="21"/>
      <c r="L249" s="21"/>
      <c r="M249" s="21"/>
      <c r="N249" s="21"/>
      <c r="O249" s="28"/>
      <c r="P249" s="708"/>
      <c r="Q249" s="708"/>
      <c r="R249" s="16"/>
      <c r="S249" s="478"/>
      <c r="T249" s="51" t="s">
        <v>57</v>
      </c>
      <c r="U249" s="51"/>
      <c r="V249" s="51"/>
      <c r="W249" s="51"/>
      <c r="X249" s="201"/>
      <c r="Y249" s="48">
        <f t="shared" si="468"/>
        <v>1</v>
      </c>
      <c r="Z249" s="48">
        <f t="shared" si="467"/>
        <v>1</v>
      </c>
      <c r="AA249" s="48">
        <f t="shared" si="467"/>
        <v>1</v>
      </c>
      <c r="AB249" s="48">
        <f t="shared" si="467"/>
        <v>1</v>
      </c>
      <c r="AC249" s="48">
        <f t="shared" si="467"/>
        <v>1</v>
      </c>
      <c r="AD249" s="48">
        <f t="shared" si="467"/>
        <v>1</v>
      </c>
      <c r="AE249" s="48">
        <f t="shared" si="467"/>
        <v>1</v>
      </c>
      <c r="AF249" s="48">
        <f t="shared" si="467"/>
        <v>1</v>
      </c>
      <c r="AG249" s="48">
        <f t="shared" si="467"/>
        <v>1</v>
      </c>
      <c r="AH249" s="48">
        <f t="shared" si="467"/>
        <v>1</v>
      </c>
      <c r="AI249" s="48">
        <f t="shared" si="467"/>
        <v>1</v>
      </c>
      <c r="AJ249" s="48">
        <f t="shared" si="467"/>
        <v>1</v>
      </c>
      <c r="AK249" s="48">
        <f t="shared" si="467"/>
        <v>1</v>
      </c>
      <c r="AL249" s="48">
        <f t="shared" si="467"/>
        <v>1</v>
      </c>
      <c r="AM249" s="48">
        <f t="shared" si="467"/>
        <v>1</v>
      </c>
      <c r="AN249" s="48">
        <f t="shared" si="467"/>
        <v>1</v>
      </c>
      <c r="AO249" s="48">
        <f t="shared" si="467"/>
        <v>1</v>
      </c>
      <c r="AP249" s="48">
        <f t="shared" si="467"/>
        <v>1</v>
      </c>
      <c r="AQ249" s="48">
        <f t="shared" si="467"/>
        <v>1</v>
      </c>
      <c r="AR249" s="48">
        <f t="shared" si="467"/>
        <v>1</v>
      </c>
      <c r="AS249" s="48">
        <f t="shared" si="467"/>
        <v>1</v>
      </c>
      <c r="AT249" s="48">
        <f t="shared" si="467"/>
        <v>1</v>
      </c>
      <c r="AU249" s="48">
        <f t="shared" si="467"/>
        <v>1</v>
      </c>
      <c r="AV249" s="48">
        <f t="shared" si="467"/>
        <v>1</v>
      </c>
      <c r="AW249" s="48">
        <f t="shared" si="467"/>
        <v>1</v>
      </c>
      <c r="AX249" s="48">
        <f t="shared" si="467"/>
        <v>1</v>
      </c>
      <c r="AY249" s="48">
        <f t="shared" si="467"/>
        <v>1</v>
      </c>
      <c r="AZ249" s="48">
        <f t="shared" si="467"/>
        <v>1</v>
      </c>
      <c r="BA249" s="459">
        <f t="shared" si="467"/>
        <v>1</v>
      </c>
    </row>
    <row r="250" spans="1:53" ht="20.100000000000001" customHeight="1" thickBot="1">
      <c r="A250" s="27"/>
      <c r="B250" s="21"/>
      <c r="C250" s="21"/>
      <c r="D250" s="21"/>
      <c r="E250" s="21"/>
      <c r="F250" s="21"/>
      <c r="G250" s="21"/>
      <c r="H250" s="21"/>
      <c r="I250" s="21"/>
      <c r="J250" s="21"/>
      <c r="K250" s="21"/>
      <c r="L250" s="21"/>
      <c r="M250" s="21"/>
      <c r="N250" s="21"/>
      <c r="O250" s="28"/>
      <c r="P250" s="708"/>
      <c r="Q250" s="708"/>
      <c r="R250" s="16"/>
      <c r="S250" s="479"/>
      <c r="T250" s="460" t="s">
        <v>58</v>
      </c>
      <c r="U250" s="460"/>
      <c r="V250" s="460"/>
      <c r="W250" s="460"/>
      <c r="X250" s="203"/>
      <c r="Y250" s="447">
        <f t="shared" si="468"/>
        <v>0.75</v>
      </c>
      <c r="Z250" s="447">
        <f t="shared" si="467"/>
        <v>0.75</v>
      </c>
      <c r="AA250" s="447">
        <f t="shared" si="467"/>
        <v>0.75</v>
      </c>
      <c r="AB250" s="447">
        <f t="shared" si="467"/>
        <v>0.75</v>
      </c>
      <c r="AC250" s="447">
        <f t="shared" si="467"/>
        <v>0.75</v>
      </c>
      <c r="AD250" s="447">
        <f t="shared" si="467"/>
        <v>0.75</v>
      </c>
      <c r="AE250" s="447">
        <f t="shared" si="467"/>
        <v>0.75</v>
      </c>
      <c r="AF250" s="447">
        <f t="shared" si="467"/>
        <v>0.75</v>
      </c>
      <c r="AG250" s="447">
        <f t="shared" si="467"/>
        <v>0.75</v>
      </c>
      <c r="AH250" s="447">
        <f t="shared" si="467"/>
        <v>0.75</v>
      </c>
      <c r="AI250" s="447">
        <f t="shared" si="467"/>
        <v>0.75</v>
      </c>
      <c r="AJ250" s="447">
        <f t="shared" si="467"/>
        <v>0.75</v>
      </c>
      <c r="AK250" s="447">
        <f t="shared" si="467"/>
        <v>0.75</v>
      </c>
      <c r="AL250" s="447">
        <f t="shared" si="467"/>
        <v>0.75</v>
      </c>
      <c r="AM250" s="447">
        <f t="shared" si="467"/>
        <v>0.75</v>
      </c>
      <c r="AN250" s="447">
        <f t="shared" si="467"/>
        <v>0.75</v>
      </c>
      <c r="AO250" s="447">
        <f t="shared" si="467"/>
        <v>0.75</v>
      </c>
      <c r="AP250" s="447">
        <f t="shared" si="467"/>
        <v>0.75</v>
      </c>
      <c r="AQ250" s="447">
        <f t="shared" si="467"/>
        <v>0.75</v>
      </c>
      <c r="AR250" s="447">
        <f t="shared" si="467"/>
        <v>0.75</v>
      </c>
      <c r="AS250" s="447">
        <f t="shared" si="467"/>
        <v>0.75</v>
      </c>
      <c r="AT250" s="447">
        <f t="shared" si="467"/>
        <v>0.75</v>
      </c>
      <c r="AU250" s="447">
        <f t="shared" si="467"/>
        <v>0.75</v>
      </c>
      <c r="AV250" s="447">
        <f t="shared" si="467"/>
        <v>0.75</v>
      </c>
      <c r="AW250" s="447">
        <f t="shared" si="467"/>
        <v>0.75</v>
      </c>
      <c r="AX250" s="447">
        <f t="shared" si="467"/>
        <v>0.75</v>
      </c>
      <c r="AY250" s="447">
        <f t="shared" si="467"/>
        <v>0.75</v>
      </c>
      <c r="AZ250" s="447">
        <f t="shared" si="467"/>
        <v>0.75</v>
      </c>
      <c r="BA250" s="461">
        <f t="shared" si="467"/>
        <v>0.75</v>
      </c>
    </row>
    <row r="251" spans="1:53" ht="20.100000000000001" customHeight="1" thickBot="1">
      <c r="A251" s="27"/>
      <c r="B251" s="21"/>
      <c r="C251" s="21"/>
      <c r="D251" s="21"/>
      <c r="E251" s="21"/>
      <c r="F251" s="21"/>
      <c r="G251" s="21"/>
      <c r="H251" s="21"/>
      <c r="I251" s="21"/>
      <c r="J251" s="21"/>
      <c r="K251" s="21"/>
      <c r="L251" s="21"/>
      <c r="M251" s="21"/>
      <c r="N251" s="21"/>
      <c r="O251" s="28"/>
      <c r="R251" s="16"/>
    </row>
    <row r="252" spans="1:53" ht="20.100000000000001" customHeight="1">
      <c r="A252" s="27"/>
      <c r="B252" s="21"/>
      <c r="C252" s="21"/>
      <c r="D252" s="21"/>
      <c r="E252" s="21"/>
      <c r="F252" s="21"/>
      <c r="G252" s="21"/>
      <c r="H252" s="21"/>
      <c r="I252" s="21"/>
      <c r="J252" s="21"/>
      <c r="K252" s="21"/>
      <c r="L252" s="21"/>
      <c r="M252" s="21"/>
      <c r="N252" s="21"/>
      <c r="O252" s="28"/>
      <c r="R252" s="16"/>
      <c r="S252" s="299" t="s">
        <v>2586</v>
      </c>
      <c r="T252" s="138"/>
      <c r="U252" s="138"/>
      <c r="V252" s="138"/>
      <c r="W252" s="138"/>
      <c r="X252" s="297">
        <v>2021</v>
      </c>
      <c r="Y252" s="297">
        <f t="shared" ref="Y252:BA252" si="469">Y226</f>
        <v>2022</v>
      </c>
      <c r="Z252" s="297">
        <f t="shared" si="469"/>
        <v>2023</v>
      </c>
      <c r="AA252" s="297">
        <f t="shared" si="469"/>
        <v>2024</v>
      </c>
      <c r="AB252" s="297">
        <f t="shared" si="469"/>
        <v>2025</v>
      </c>
      <c r="AC252" s="297">
        <f t="shared" si="469"/>
        <v>2026</v>
      </c>
      <c r="AD252" s="297">
        <f t="shared" si="469"/>
        <v>2027</v>
      </c>
      <c r="AE252" s="297">
        <f t="shared" si="469"/>
        <v>2028</v>
      </c>
      <c r="AF252" s="297">
        <f t="shared" si="469"/>
        <v>2029</v>
      </c>
      <c r="AG252" s="297">
        <f t="shared" si="469"/>
        <v>2030</v>
      </c>
      <c r="AH252" s="297">
        <f t="shared" si="469"/>
        <v>2031</v>
      </c>
      <c r="AI252" s="297">
        <f t="shared" si="469"/>
        <v>2032</v>
      </c>
      <c r="AJ252" s="297">
        <f t="shared" si="469"/>
        <v>2033</v>
      </c>
      <c r="AK252" s="297">
        <f t="shared" si="469"/>
        <v>2034</v>
      </c>
      <c r="AL252" s="297">
        <f t="shared" si="469"/>
        <v>2035</v>
      </c>
      <c r="AM252" s="297">
        <f t="shared" si="469"/>
        <v>2036</v>
      </c>
      <c r="AN252" s="297">
        <f t="shared" si="469"/>
        <v>2037</v>
      </c>
      <c r="AO252" s="297">
        <f t="shared" si="469"/>
        <v>2038</v>
      </c>
      <c r="AP252" s="297">
        <f t="shared" si="469"/>
        <v>2039</v>
      </c>
      <c r="AQ252" s="297">
        <f t="shared" si="469"/>
        <v>2040</v>
      </c>
      <c r="AR252" s="297">
        <f t="shared" si="469"/>
        <v>2041</v>
      </c>
      <c r="AS252" s="297">
        <f t="shared" si="469"/>
        <v>2042</v>
      </c>
      <c r="AT252" s="297">
        <f t="shared" si="469"/>
        <v>2043</v>
      </c>
      <c r="AU252" s="297">
        <f t="shared" si="469"/>
        <v>2044</v>
      </c>
      <c r="AV252" s="297">
        <f t="shared" si="469"/>
        <v>2045</v>
      </c>
      <c r="AW252" s="297">
        <f t="shared" si="469"/>
        <v>2046</v>
      </c>
      <c r="AX252" s="297">
        <f t="shared" si="469"/>
        <v>2047</v>
      </c>
      <c r="AY252" s="297">
        <f t="shared" si="469"/>
        <v>2048</v>
      </c>
      <c r="AZ252" s="297">
        <f t="shared" si="469"/>
        <v>2049</v>
      </c>
      <c r="BA252" s="298">
        <f t="shared" si="469"/>
        <v>2050</v>
      </c>
    </row>
    <row r="253" spans="1:53" ht="20.100000000000001" customHeight="1">
      <c r="A253" s="27"/>
      <c r="B253" s="21"/>
      <c r="C253" s="21"/>
      <c r="D253" s="21"/>
      <c r="E253" s="21"/>
      <c r="F253" s="21"/>
      <c r="G253" s="21"/>
      <c r="H253" s="21"/>
      <c r="I253" s="21"/>
      <c r="J253" s="21"/>
      <c r="K253" s="21"/>
      <c r="L253" s="21"/>
      <c r="M253" s="21"/>
      <c r="N253" s="21"/>
      <c r="O253" s="28"/>
      <c r="R253" s="16"/>
      <c r="S253" s="732" t="s">
        <v>2585</v>
      </c>
      <c r="T253" s="367"/>
      <c r="U253" s="131"/>
      <c r="V253" s="131"/>
      <c r="W253" s="131"/>
      <c r="X253" s="131"/>
      <c r="Y253" s="131"/>
      <c r="Z253" s="131"/>
      <c r="AA253" s="131"/>
      <c r="AB253" s="131"/>
      <c r="AC253" s="131"/>
      <c r="AD253" s="131"/>
      <c r="AE253" s="131"/>
      <c r="AF253" s="131"/>
      <c r="AG253" s="131"/>
      <c r="AH253" s="131"/>
      <c r="AI253" s="131"/>
      <c r="AJ253" s="131"/>
      <c r="AK253" s="131"/>
      <c r="AL253" s="131"/>
      <c r="AM253" s="131"/>
      <c r="AN253" s="131"/>
      <c r="AO253" s="131"/>
      <c r="AP253" s="131"/>
      <c r="AQ253" s="131"/>
      <c r="AR253" s="131"/>
      <c r="AS253" s="131"/>
      <c r="AT253" s="131"/>
      <c r="AU253" s="131"/>
      <c r="AV253" s="131"/>
      <c r="AW253" s="131"/>
      <c r="AX253" s="131"/>
      <c r="AY253" s="131"/>
      <c r="AZ253" s="131"/>
      <c r="BA253" s="729"/>
    </row>
    <row r="254" spans="1:53" ht="20.100000000000001" customHeight="1">
      <c r="A254" s="27"/>
      <c r="B254" s="21"/>
      <c r="C254" s="21"/>
      <c r="D254" s="21"/>
      <c r="E254" s="21"/>
      <c r="F254" s="21"/>
      <c r="G254" s="21"/>
      <c r="H254" s="21"/>
      <c r="I254" s="21"/>
      <c r="J254" s="21"/>
      <c r="K254" s="21"/>
      <c r="L254" s="21"/>
      <c r="M254" s="21"/>
      <c r="N254" s="21"/>
      <c r="O254" s="28"/>
      <c r="R254" s="16"/>
      <c r="S254" s="101"/>
      <c r="T254" s="131" t="s">
        <v>36</v>
      </c>
      <c r="U254" s="131"/>
      <c r="V254" s="131"/>
      <c r="W254" s="131"/>
      <c r="X254" s="131"/>
      <c r="Y254" s="195">
        <f>Y243/Y227</f>
        <v>1</v>
      </c>
      <c r="Z254" s="195">
        <f t="shared" ref="Z254:BA261" si="470">Z243/Z227</f>
        <v>1</v>
      </c>
      <c r="AA254" s="195">
        <f t="shared" si="470"/>
        <v>1</v>
      </c>
      <c r="AB254" s="195">
        <f t="shared" si="470"/>
        <v>1</v>
      </c>
      <c r="AC254" s="195">
        <f t="shared" si="470"/>
        <v>1</v>
      </c>
      <c r="AD254" s="195">
        <f t="shared" si="470"/>
        <v>1</v>
      </c>
      <c r="AE254" s="195">
        <f t="shared" si="470"/>
        <v>1</v>
      </c>
      <c r="AF254" s="195">
        <f t="shared" si="470"/>
        <v>1</v>
      </c>
      <c r="AG254" s="195">
        <f t="shared" si="470"/>
        <v>1</v>
      </c>
      <c r="AH254" s="195">
        <f t="shared" si="470"/>
        <v>1</v>
      </c>
      <c r="AI254" s="195">
        <f t="shared" si="470"/>
        <v>1</v>
      </c>
      <c r="AJ254" s="195">
        <f t="shared" si="470"/>
        <v>1</v>
      </c>
      <c r="AK254" s="195">
        <f t="shared" si="470"/>
        <v>1</v>
      </c>
      <c r="AL254" s="195">
        <f t="shared" si="470"/>
        <v>1</v>
      </c>
      <c r="AM254" s="195">
        <f t="shared" si="470"/>
        <v>1</v>
      </c>
      <c r="AN254" s="195">
        <f t="shared" si="470"/>
        <v>1</v>
      </c>
      <c r="AO254" s="195">
        <f t="shared" si="470"/>
        <v>1</v>
      </c>
      <c r="AP254" s="195">
        <f t="shared" si="470"/>
        <v>1</v>
      </c>
      <c r="AQ254" s="195">
        <f t="shared" si="470"/>
        <v>1</v>
      </c>
      <c r="AR254" s="195">
        <f t="shared" si="470"/>
        <v>1</v>
      </c>
      <c r="AS254" s="195">
        <f t="shared" si="470"/>
        <v>1</v>
      </c>
      <c r="AT254" s="195">
        <f t="shared" si="470"/>
        <v>1</v>
      </c>
      <c r="AU254" s="195">
        <f t="shared" si="470"/>
        <v>1</v>
      </c>
      <c r="AV254" s="195">
        <f t="shared" si="470"/>
        <v>1</v>
      </c>
      <c r="AW254" s="195">
        <f t="shared" si="470"/>
        <v>1</v>
      </c>
      <c r="AX254" s="195">
        <f t="shared" si="470"/>
        <v>1</v>
      </c>
      <c r="AY254" s="195">
        <f t="shared" si="470"/>
        <v>1</v>
      </c>
      <c r="AZ254" s="195">
        <f t="shared" si="470"/>
        <v>1</v>
      </c>
      <c r="BA254" s="707">
        <f t="shared" si="470"/>
        <v>1</v>
      </c>
    </row>
    <row r="255" spans="1:53" ht="20.100000000000001" customHeight="1" thickBot="1">
      <c r="A255" s="45"/>
      <c r="B255" s="46"/>
      <c r="C255" s="46"/>
      <c r="D255" s="46"/>
      <c r="E255" s="46"/>
      <c r="F255" s="46"/>
      <c r="G255" s="46"/>
      <c r="H255" s="46"/>
      <c r="I255" s="46"/>
      <c r="J255" s="46"/>
      <c r="K255" s="46"/>
      <c r="L255" s="46"/>
      <c r="M255" s="46"/>
      <c r="N255" s="46"/>
      <c r="O255" s="47"/>
      <c r="R255" s="16"/>
      <c r="S255" s="101"/>
      <c r="T255" s="131" t="s">
        <v>37</v>
      </c>
      <c r="U255" s="131"/>
      <c r="V255" s="131"/>
      <c r="W255" s="131"/>
      <c r="X255" s="131"/>
      <c r="Y255" s="195">
        <f t="shared" ref="Y255:AN261" si="471">Y244/Y228</f>
        <v>1</v>
      </c>
      <c r="Z255" s="195">
        <f t="shared" si="471"/>
        <v>1</v>
      </c>
      <c r="AA255" s="195">
        <f t="shared" si="471"/>
        <v>1</v>
      </c>
      <c r="AB255" s="195">
        <f t="shared" si="471"/>
        <v>1</v>
      </c>
      <c r="AC255" s="195">
        <f t="shared" si="471"/>
        <v>1</v>
      </c>
      <c r="AD255" s="195">
        <f t="shared" si="471"/>
        <v>1</v>
      </c>
      <c r="AE255" s="195">
        <f t="shared" si="471"/>
        <v>1</v>
      </c>
      <c r="AF255" s="195">
        <f t="shared" si="471"/>
        <v>1</v>
      </c>
      <c r="AG255" s="195">
        <f t="shared" si="471"/>
        <v>1</v>
      </c>
      <c r="AH255" s="195">
        <f t="shared" si="471"/>
        <v>1</v>
      </c>
      <c r="AI255" s="195">
        <f t="shared" si="471"/>
        <v>1</v>
      </c>
      <c r="AJ255" s="195">
        <f t="shared" si="471"/>
        <v>1</v>
      </c>
      <c r="AK255" s="195">
        <f t="shared" si="471"/>
        <v>1</v>
      </c>
      <c r="AL255" s="195">
        <f t="shared" si="471"/>
        <v>1</v>
      </c>
      <c r="AM255" s="195">
        <f t="shared" si="471"/>
        <v>1</v>
      </c>
      <c r="AN255" s="195">
        <f t="shared" si="471"/>
        <v>1</v>
      </c>
      <c r="AO255" s="195">
        <f t="shared" si="470"/>
        <v>1</v>
      </c>
      <c r="AP255" s="195">
        <f t="shared" si="470"/>
        <v>1</v>
      </c>
      <c r="AQ255" s="195">
        <f t="shared" si="470"/>
        <v>1</v>
      </c>
      <c r="AR255" s="195">
        <f t="shared" si="470"/>
        <v>1</v>
      </c>
      <c r="AS255" s="195">
        <f t="shared" si="470"/>
        <v>1</v>
      </c>
      <c r="AT255" s="195">
        <f t="shared" si="470"/>
        <v>1</v>
      </c>
      <c r="AU255" s="195">
        <f t="shared" si="470"/>
        <v>1</v>
      </c>
      <c r="AV255" s="195">
        <f t="shared" si="470"/>
        <v>1</v>
      </c>
      <c r="AW255" s="195">
        <f t="shared" si="470"/>
        <v>1</v>
      </c>
      <c r="AX255" s="195">
        <f t="shared" si="470"/>
        <v>1</v>
      </c>
      <c r="AY255" s="195">
        <f t="shared" si="470"/>
        <v>1</v>
      </c>
      <c r="AZ255" s="195">
        <f t="shared" si="470"/>
        <v>1</v>
      </c>
      <c r="BA255" s="707">
        <f t="shared" si="470"/>
        <v>1</v>
      </c>
    </row>
    <row r="256" spans="1:53" ht="20.100000000000001" customHeight="1">
      <c r="R256" s="16"/>
      <c r="S256" s="101"/>
      <c r="T256" s="131" t="s">
        <v>38</v>
      </c>
      <c r="U256" s="131"/>
      <c r="V256" s="131"/>
      <c r="W256" s="131"/>
      <c r="X256" s="131"/>
      <c r="Y256" s="195">
        <f t="shared" si="471"/>
        <v>1</v>
      </c>
      <c r="Z256" s="195">
        <f t="shared" si="470"/>
        <v>1</v>
      </c>
      <c r="AA256" s="195">
        <f t="shared" si="470"/>
        <v>1</v>
      </c>
      <c r="AB256" s="195">
        <f t="shared" si="470"/>
        <v>1</v>
      </c>
      <c r="AC256" s="195">
        <f t="shared" si="470"/>
        <v>1</v>
      </c>
      <c r="AD256" s="195">
        <f t="shared" si="470"/>
        <v>1</v>
      </c>
      <c r="AE256" s="195">
        <f t="shared" si="470"/>
        <v>1</v>
      </c>
      <c r="AF256" s="195">
        <f t="shared" si="470"/>
        <v>1</v>
      </c>
      <c r="AG256" s="195">
        <f t="shared" si="470"/>
        <v>1</v>
      </c>
      <c r="AH256" s="195">
        <f t="shared" si="470"/>
        <v>1</v>
      </c>
      <c r="AI256" s="195">
        <f t="shared" si="470"/>
        <v>1</v>
      </c>
      <c r="AJ256" s="195">
        <f t="shared" si="470"/>
        <v>1</v>
      </c>
      <c r="AK256" s="195">
        <f t="shared" si="470"/>
        <v>1</v>
      </c>
      <c r="AL256" s="195">
        <f t="shared" si="470"/>
        <v>1</v>
      </c>
      <c r="AM256" s="195">
        <f t="shared" si="470"/>
        <v>1</v>
      </c>
      <c r="AN256" s="195">
        <f t="shared" si="470"/>
        <v>1</v>
      </c>
      <c r="AO256" s="195">
        <f t="shared" si="470"/>
        <v>1</v>
      </c>
      <c r="AP256" s="195">
        <f t="shared" si="470"/>
        <v>1</v>
      </c>
      <c r="AQ256" s="195">
        <f t="shared" si="470"/>
        <v>1</v>
      </c>
      <c r="AR256" s="195">
        <f t="shared" si="470"/>
        <v>1</v>
      </c>
      <c r="AS256" s="195">
        <f t="shared" si="470"/>
        <v>1</v>
      </c>
      <c r="AT256" s="195">
        <f t="shared" si="470"/>
        <v>1</v>
      </c>
      <c r="AU256" s="195">
        <f t="shared" si="470"/>
        <v>1</v>
      </c>
      <c r="AV256" s="195">
        <f t="shared" si="470"/>
        <v>1</v>
      </c>
      <c r="AW256" s="195">
        <f t="shared" si="470"/>
        <v>1</v>
      </c>
      <c r="AX256" s="195">
        <f t="shared" si="470"/>
        <v>1</v>
      </c>
      <c r="AY256" s="195">
        <f t="shared" si="470"/>
        <v>1</v>
      </c>
      <c r="AZ256" s="195">
        <f t="shared" si="470"/>
        <v>1</v>
      </c>
      <c r="BA256" s="707">
        <f t="shared" si="470"/>
        <v>1</v>
      </c>
    </row>
    <row r="257" spans="2:56" ht="20.100000000000001" customHeight="1">
      <c r="R257" s="16"/>
      <c r="S257" s="101"/>
      <c r="T257" s="131" t="s">
        <v>39</v>
      </c>
      <c r="U257" s="131"/>
      <c r="V257" s="131"/>
      <c r="W257" s="131"/>
      <c r="X257" s="131"/>
      <c r="Y257" s="195">
        <f t="shared" si="471"/>
        <v>1</v>
      </c>
      <c r="Z257" s="195">
        <f t="shared" si="470"/>
        <v>1</v>
      </c>
      <c r="AA257" s="195">
        <f t="shared" si="470"/>
        <v>1</v>
      </c>
      <c r="AB257" s="195">
        <f t="shared" si="470"/>
        <v>1</v>
      </c>
      <c r="AC257" s="195">
        <f t="shared" si="470"/>
        <v>1</v>
      </c>
      <c r="AD257" s="195">
        <f t="shared" si="470"/>
        <v>1</v>
      </c>
      <c r="AE257" s="195">
        <f t="shared" si="470"/>
        <v>1</v>
      </c>
      <c r="AF257" s="195">
        <f t="shared" si="470"/>
        <v>1</v>
      </c>
      <c r="AG257" s="195">
        <f t="shared" si="470"/>
        <v>1</v>
      </c>
      <c r="AH257" s="195">
        <f t="shared" si="470"/>
        <v>1</v>
      </c>
      <c r="AI257" s="195">
        <f t="shared" si="470"/>
        <v>1</v>
      </c>
      <c r="AJ257" s="195">
        <f t="shared" si="470"/>
        <v>1</v>
      </c>
      <c r="AK257" s="195">
        <f t="shared" si="470"/>
        <v>1</v>
      </c>
      <c r="AL257" s="195">
        <f t="shared" si="470"/>
        <v>1</v>
      </c>
      <c r="AM257" s="195">
        <f t="shared" si="470"/>
        <v>1</v>
      </c>
      <c r="AN257" s="195">
        <f t="shared" si="470"/>
        <v>1</v>
      </c>
      <c r="AO257" s="195">
        <f t="shared" si="470"/>
        <v>1</v>
      </c>
      <c r="AP257" s="195">
        <f t="shared" si="470"/>
        <v>1</v>
      </c>
      <c r="AQ257" s="195">
        <f t="shared" si="470"/>
        <v>1</v>
      </c>
      <c r="AR257" s="195">
        <f t="shared" si="470"/>
        <v>1</v>
      </c>
      <c r="AS257" s="195">
        <f t="shared" si="470"/>
        <v>1</v>
      </c>
      <c r="AT257" s="195">
        <f t="shared" si="470"/>
        <v>1</v>
      </c>
      <c r="AU257" s="195">
        <f t="shared" si="470"/>
        <v>1</v>
      </c>
      <c r="AV257" s="195">
        <f t="shared" si="470"/>
        <v>1</v>
      </c>
      <c r="AW257" s="195">
        <f t="shared" si="470"/>
        <v>1</v>
      </c>
      <c r="AX257" s="195">
        <f t="shared" si="470"/>
        <v>1</v>
      </c>
      <c r="AY257" s="195">
        <f t="shared" si="470"/>
        <v>1</v>
      </c>
      <c r="AZ257" s="195">
        <f t="shared" si="470"/>
        <v>1</v>
      </c>
      <c r="BA257" s="707">
        <f t="shared" si="470"/>
        <v>1</v>
      </c>
    </row>
    <row r="258" spans="2:56" ht="20.100000000000001" customHeight="1">
      <c r="R258" s="16"/>
      <c r="S258" s="101"/>
      <c r="T258" s="131" t="s">
        <v>55</v>
      </c>
      <c r="U258" s="131"/>
      <c r="V258" s="131"/>
      <c r="W258" s="131"/>
      <c r="X258" s="131"/>
      <c r="Y258" s="195">
        <f t="shared" si="471"/>
        <v>1</v>
      </c>
      <c r="Z258" s="195">
        <f t="shared" si="470"/>
        <v>1</v>
      </c>
      <c r="AA258" s="195">
        <f t="shared" si="470"/>
        <v>1</v>
      </c>
      <c r="AB258" s="195">
        <f t="shared" si="470"/>
        <v>1</v>
      </c>
      <c r="AC258" s="195">
        <f t="shared" si="470"/>
        <v>1</v>
      </c>
      <c r="AD258" s="195">
        <f t="shared" si="470"/>
        <v>1</v>
      </c>
      <c r="AE258" s="195">
        <f t="shared" si="470"/>
        <v>1</v>
      </c>
      <c r="AF258" s="195">
        <f t="shared" si="470"/>
        <v>1</v>
      </c>
      <c r="AG258" s="195">
        <f t="shared" si="470"/>
        <v>1</v>
      </c>
      <c r="AH258" s="195">
        <f t="shared" si="470"/>
        <v>1</v>
      </c>
      <c r="AI258" s="195">
        <f t="shared" si="470"/>
        <v>1</v>
      </c>
      <c r="AJ258" s="195">
        <f t="shared" si="470"/>
        <v>1</v>
      </c>
      <c r="AK258" s="195">
        <f t="shared" si="470"/>
        <v>1</v>
      </c>
      <c r="AL258" s="195">
        <f t="shared" si="470"/>
        <v>1</v>
      </c>
      <c r="AM258" s="195">
        <f t="shared" si="470"/>
        <v>1</v>
      </c>
      <c r="AN258" s="195">
        <f t="shared" si="470"/>
        <v>1</v>
      </c>
      <c r="AO258" s="195">
        <f t="shared" si="470"/>
        <v>1</v>
      </c>
      <c r="AP258" s="195">
        <f t="shared" si="470"/>
        <v>1</v>
      </c>
      <c r="AQ258" s="195">
        <f t="shared" si="470"/>
        <v>1</v>
      </c>
      <c r="AR258" s="195">
        <f t="shared" si="470"/>
        <v>1</v>
      </c>
      <c r="AS258" s="195">
        <f t="shared" si="470"/>
        <v>1</v>
      </c>
      <c r="AT258" s="195">
        <f t="shared" si="470"/>
        <v>1</v>
      </c>
      <c r="AU258" s="195">
        <f t="shared" si="470"/>
        <v>1</v>
      </c>
      <c r="AV258" s="195">
        <f t="shared" si="470"/>
        <v>1</v>
      </c>
      <c r="AW258" s="195">
        <f t="shared" si="470"/>
        <v>1</v>
      </c>
      <c r="AX258" s="195">
        <f t="shared" si="470"/>
        <v>1</v>
      </c>
      <c r="AY258" s="195">
        <f t="shared" si="470"/>
        <v>1</v>
      </c>
      <c r="AZ258" s="195">
        <f t="shared" si="470"/>
        <v>1</v>
      </c>
      <c r="BA258" s="707">
        <f t="shared" si="470"/>
        <v>1</v>
      </c>
    </row>
    <row r="259" spans="2:56" ht="20.100000000000001" customHeight="1">
      <c r="R259" s="16"/>
      <c r="S259" s="101"/>
      <c r="T259" s="131" t="s">
        <v>56</v>
      </c>
      <c r="U259" s="131"/>
      <c r="V259" s="131"/>
      <c r="W259" s="131"/>
      <c r="X259" s="131"/>
      <c r="Y259" s="195">
        <f t="shared" si="471"/>
        <v>1</v>
      </c>
      <c r="Z259" s="195">
        <f t="shared" si="470"/>
        <v>1</v>
      </c>
      <c r="AA259" s="195">
        <f t="shared" si="470"/>
        <v>1</v>
      </c>
      <c r="AB259" s="195">
        <f t="shared" si="470"/>
        <v>1</v>
      </c>
      <c r="AC259" s="195">
        <f t="shared" si="470"/>
        <v>1</v>
      </c>
      <c r="AD259" s="195">
        <f t="shared" si="470"/>
        <v>1</v>
      </c>
      <c r="AE259" s="195">
        <f t="shared" si="470"/>
        <v>1</v>
      </c>
      <c r="AF259" s="195">
        <f t="shared" si="470"/>
        <v>1</v>
      </c>
      <c r="AG259" s="195">
        <f t="shared" si="470"/>
        <v>1</v>
      </c>
      <c r="AH259" s="195">
        <f t="shared" si="470"/>
        <v>1</v>
      </c>
      <c r="AI259" s="195">
        <f t="shared" si="470"/>
        <v>1</v>
      </c>
      <c r="AJ259" s="195">
        <f t="shared" si="470"/>
        <v>1</v>
      </c>
      <c r="AK259" s="195">
        <f t="shared" si="470"/>
        <v>1</v>
      </c>
      <c r="AL259" s="195">
        <f t="shared" si="470"/>
        <v>1</v>
      </c>
      <c r="AM259" s="195">
        <f t="shared" si="470"/>
        <v>1</v>
      </c>
      <c r="AN259" s="195">
        <f t="shared" si="470"/>
        <v>1</v>
      </c>
      <c r="AO259" s="195">
        <f t="shared" si="470"/>
        <v>1</v>
      </c>
      <c r="AP259" s="195">
        <f t="shared" si="470"/>
        <v>1</v>
      </c>
      <c r="AQ259" s="195">
        <f t="shared" si="470"/>
        <v>1</v>
      </c>
      <c r="AR259" s="195">
        <f t="shared" si="470"/>
        <v>1</v>
      </c>
      <c r="AS259" s="195">
        <f t="shared" si="470"/>
        <v>1</v>
      </c>
      <c r="AT259" s="195">
        <f t="shared" si="470"/>
        <v>1</v>
      </c>
      <c r="AU259" s="195">
        <f t="shared" si="470"/>
        <v>1</v>
      </c>
      <c r="AV259" s="195">
        <f t="shared" si="470"/>
        <v>1</v>
      </c>
      <c r="AW259" s="195">
        <f t="shared" si="470"/>
        <v>1</v>
      </c>
      <c r="AX259" s="195">
        <f t="shared" si="470"/>
        <v>1</v>
      </c>
      <c r="AY259" s="195">
        <f t="shared" si="470"/>
        <v>1</v>
      </c>
      <c r="AZ259" s="195">
        <f t="shared" si="470"/>
        <v>1</v>
      </c>
      <c r="BA259" s="707">
        <f t="shared" si="470"/>
        <v>1</v>
      </c>
    </row>
    <row r="260" spans="2:56" ht="20.100000000000001" customHeight="1">
      <c r="R260" s="16"/>
      <c r="S260" s="101"/>
      <c r="T260" s="131" t="s">
        <v>57</v>
      </c>
      <c r="U260" s="131"/>
      <c r="V260" s="131"/>
      <c r="W260" s="131"/>
      <c r="X260" s="131"/>
      <c r="Y260" s="195">
        <f t="shared" si="471"/>
        <v>1</v>
      </c>
      <c r="Z260" s="195">
        <f t="shared" si="470"/>
        <v>1</v>
      </c>
      <c r="AA260" s="195">
        <f t="shared" si="470"/>
        <v>1</v>
      </c>
      <c r="AB260" s="195">
        <f t="shared" si="470"/>
        <v>1</v>
      </c>
      <c r="AC260" s="195">
        <f t="shared" si="470"/>
        <v>1</v>
      </c>
      <c r="AD260" s="195">
        <f t="shared" si="470"/>
        <v>1</v>
      </c>
      <c r="AE260" s="195">
        <f t="shared" si="470"/>
        <v>1</v>
      </c>
      <c r="AF260" s="195">
        <f t="shared" si="470"/>
        <v>1</v>
      </c>
      <c r="AG260" s="195">
        <f t="shared" si="470"/>
        <v>1</v>
      </c>
      <c r="AH260" s="195">
        <f t="shared" si="470"/>
        <v>1</v>
      </c>
      <c r="AI260" s="195">
        <f t="shared" si="470"/>
        <v>1</v>
      </c>
      <c r="AJ260" s="195">
        <f t="shared" si="470"/>
        <v>1</v>
      </c>
      <c r="AK260" s="195">
        <f t="shared" si="470"/>
        <v>1</v>
      </c>
      <c r="AL260" s="195">
        <f t="shared" si="470"/>
        <v>1</v>
      </c>
      <c r="AM260" s="195">
        <f t="shared" si="470"/>
        <v>1</v>
      </c>
      <c r="AN260" s="195">
        <f t="shared" si="470"/>
        <v>1</v>
      </c>
      <c r="AO260" s="195">
        <f t="shared" si="470"/>
        <v>1</v>
      </c>
      <c r="AP260" s="195">
        <f t="shared" si="470"/>
        <v>1</v>
      </c>
      <c r="AQ260" s="195">
        <f t="shared" si="470"/>
        <v>1</v>
      </c>
      <c r="AR260" s="195">
        <f t="shared" si="470"/>
        <v>1</v>
      </c>
      <c r="AS260" s="195">
        <f t="shared" si="470"/>
        <v>1</v>
      </c>
      <c r="AT260" s="195">
        <f t="shared" si="470"/>
        <v>1</v>
      </c>
      <c r="AU260" s="195">
        <f t="shared" si="470"/>
        <v>1</v>
      </c>
      <c r="AV260" s="195">
        <f t="shared" si="470"/>
        <v>1</v>
      </c>
      <c r="AW260" s="195">
        <f t="shared" si="470"/>
        <v>1</v>
      </c>
      <c r="AX260" s="195">
        <f t="shared" si="470"/>
        <v>1</v>
      </c>
      <c r="AY260" s="195">
        <f t="shared" si="470"/>
        <v>1</v>
      </c>
      <c r="AZ260" s="195">
        <f t="shared" si="470"/>
        <v>1</v>
      </c>
      <c r="BA260" s="707">
        <f t="shared" si="470"/>
        <v>1</v>
      </c>
    </row>
    <row r="261" spans="2:56" ht="20.100000000000001" customHeight="1" thickBot="1">
      <c r="R261" s="16"/>
      <c r="S261" s="301"/>
      <c r="T261" s="139" t="s">
        <v>58</v>
      </c>
      <c r="U261" s="139"/>
      <c r="V261" s="139"/>
      <c r="W261" s="139"/>
      <c r="X261" s="139"/>
      <c r="Y261" s="197">
        <f t="shared" si="471"/>
        <v>1</v>
      </c>
      <c r="Z261" s="197">
        <f t="shared" si="470"/>
        <v>1</v>
      </c>
      <c r="AA261" s="197">
        <f t="shared" si="470"/>
        <v>1</v>
      </c>
      <c r="AB261" s="197">
        <f t="shared" si="470"/>
        <v>1</v>
      </c>
      <c r="AC261" s="197">
        <f t="shared" si="470"/>
        <v>1</v>
      </c>
      <c r="AD261" s="197">
        <f t="shared" si="470"/>
        <v>1</v>
      </c>
      <c r="AE261" s="197">
        <f t="shared" si="470"/>
        <v>1</v>
      </c>
      <c r="AF261" s="197">
        <f t="shared" si="470"/>
        <v>1</v>
      </c>
      <c r="AG261" s="197">
        <f t="shared" si="470"/>
        <v>1</v>
      </c>
      <c r="AH261" s="197">
        <f t="shared" si="470"/>
        <v>1</v>
      </c>
      <c r="AI261" s="197">
        <f t="shared" si="470"/>
        <v>1</v>
      </c>
      <c r="AJ261" s="197">
        <f t="shared" si="470"/>
        <v>1</v>
      </c>
      <c r="AK261" s="197">
        <f t="shared" si="470"/>
        <v>1</v>
      </c>
      <c r="AL261" s="197">
        <f t="shared" si="470"/>
        <v>1</v>
      </c>
      <c r="AM261" s="197">
        <f t="shared" si="470"/>
        <v>1</v>
      </c>
      <c r="AN261" s="197">
        <f t="shared" si="470"/>
        <v>1</v>
      </c>
      <c r="AO261" s="197">
        <f t="shared" si="470"/>
        <v>1</v>
      </c>
      <c r="AP261" s="197">
        <f t="shared" si="470"/>
        <v>1</v>
      </c>
      <c r="AQ261" s="197">
        <f t="shared" si="470"/>
        <v>1</v>
      </c>
      <c r="AR261" s="197">
        <f t="shared" si="470"/>
        <v>1</v>
      </c>
      <c r="AS261" s="197">
        <f t="shared" si="470"/>
        <v>1</v>
      </c>
      <c r="AT261" s="197">
        <f t="shared" si="470"/>
        <v>1</v>
      </c>
      <c r="AU261" s="197">
        <f t="shared" si="470"/>
        <v>1</v>
      </c>
      <c r="AV261" s="197">
        <f t="shared" si="470"/>
        <v>1</v>
      </c>
      <c r="AW261" s="197">
        <f t="shared" si="470"/>
        <v>1</v>
      </c>
      <c r="AX261" s="197">
        <f t="shared" si="470"/>
        <v>1</v>
      </c>
      <c r="AY261" s="197">
        <f t="shared" si="470"/>
        <v>1</v>
      </c>
      <c r="AZ261" s="197">
        <f t="shared" si="470"/>
        <v>1</v>
      </c>
      <c r="BA261" s="566">
        <f t="shared" si="470"/>
        <v>1</v>
      </c>
    </row>
    <row r="262" spans="2:56" ht="20.100000000000001" customHeight="1">
      <c r="R262" s="16"/>
    </row>
    <row r="263" spans="2:56" ht="20.100000000000001" customHeight="1" thickBot="1">
      <c r="B263" s="16"/>
      <c r="C263" s="708"/>
      <c r="D263" s="708"/>
      <c r="E263" s="708"/>
      <c r="F263" s="16"/>
      <c r="G263" s="16"/>
      <c r="H263" s="16"/>
      <c r="I263" s="16"/>
      <c r="J263" s="708"/>
      <c r="K263" s="708"/>
      <c r="L263" s="16"/>
      <c r="M263" s="16"/>
      <c r="N263" s="708"/>
      <c r="O263" s="708"/>
      <c r="P263" s="708"/>
      <c r="Q263" s="708"/>
      <c r="R263" s="16"/>
      <c r="S263" s="885" t="s">
        <v>2674</v>
      </c>
      <c r="BC263" s="16"/>
      <c r="BD263" s="16"/>
    </row>
    <row r="264" spans="2:56" ht="20.100000000000001" customHeight="1">
      <c r="B264" s="16"/>
      <c r="C264" s="708"/>
      <c r="D264" s="708"/>
      <c r="E264" s="708"/>
      <c r="F264" s="16"/>
      <c r="G264" s="16"/>
      <c r="H264" s="16"/>
      <c r="I264" s="16"/>
      <c r="J264" s="708"/>
      <c r="K264" s="708"/>
      <c r="L264" s="16"/>
      <c r="M264" s="16"/>
      <c r="N264" s="708"/>
      <c r="O264" s="708"/>
      <c r="P264" s="708"/>
      <c r="Q264" s="708"/>
      <c r="R264" s="16"/>
      <c r="S264" s="491" t="s">
        <v>2713</v>
      </c>
      <c r="T264" s="486"/>
      <c r="U264" s="486"/>
      <c r="V264" s="486"/>
      <c r="W264" s="486"/>
      <c r="X264" s="462">
        <f t="shared" ref="X264:BA264" si="472">X226</f>
        <v>2021</v>
      </c>
      <c r="Y264" s="462">
        <f t="shared" si="472"/>
        <v>2022</v>
      </c>
      <c r="Z264" s="462">
        <f t="shared" si="472"/>
        <v>2023</v>
      </c>
      <c r="AA264" s="462">
        <f t="shared" si="472"/>
        <v>2024</v>
      </c>
      <c r="AB264" s="462">
        <f t="shared" si="472"/>
        <v>2025</v>
      </c>
      <c r="AC264" s="462">
        <f t="shared" si="472"/>
        <v>2026</v>
      </c>
      <c r="AD264" s="462">
        <f t="shared" si="472"/>
        <v>2027</v>
      </c>
      <c r="AE264" s="462">
        <f t="shared" si="472"/>
        <v>2028</v>
      </c>
      <c r="AF264" s="462">
        <f t="shared" si="472"/>
        <v>2029</v>
      </c>
      <c r="AG264" s="462">
        <f t="shared" si="472"/>
        <v>2030</v>
      </c>
      <c r="AH264" s="462">
        <f t="shared" si="472"/>
        <v>2031</v>
      </c>
      <c r="AI264" s="462">
        <f t="shared" si="472"/>
        <v>2032</v>
      </c>
      <c r="AJ264" s="462">
        <f t="shared" si="472"/>
        <v>2033</v>
      </c>
      <c r="AK264" s="462">
        <f t="shared" si="472"/>
        <v>2034</v>
      </c>
      <c r="AL264" s="462">
        <f t="shared" si="472"/>
        <v>2035</v>
      </c>
      <c r="AM264" s="462">
        <f t="shared" si="472"/>
        <v>2036</v>
      </c>
      <c r="AN264" s="462">
        <f t="shared" si="472"/>
        <v>2037</v>
      </c>
      <c r="AO264" s="462">
        <f t="shared" si="472"/>
        <v>2038</v>
      </c>
      <c r="AP264" s="462">
        <f t="shared" si="472"/>
        <v>2039</v>
      </c>
      <c r="AQ264" s="462">
        <f t="shared" si="472"/>
        <v>2040</v>
      </c>
      <c r="AR264" s="462">
        <f t="shared" si="472"/>
        <v>2041</v>
      </c>
      <c r="AS264" s="462">
        <f t="shared" si="472"/>
        <v>2042</v>
      </c>
      <c r="AT264" s="462">
        <f t="shared" si="472"/>
        <v>2043</v>
      </c>
      <c r="AU264" s="462">
        <f t="shared" si="472"/>
        <v>2044</v>
      </c>
      <c r="AV264" s="462">
        <f t="shared" si="472"/>
        <v>2045</v>
      </c>
      <c r="AW264" s="462">
        <f t="shared" si="472"/>
        <v>2046</v>
      </c>
      <c r="AX264" s="462">
        <f t="shared" si="472"/>
        <v>2047</v>
      </c>
      <c r="AY264" s="462">
        <f t="shared" si="472"/>
        <v>2048</v>
      </c>
      <c r="AZ264" s="462">
        <f t="shared" si="472"/>
        <v>2049</v>
      </c>
      <c r="BA264" s="463">
        <f t="shared" si="472"/>
        <v>2050</v>
      </c>
    </row>
    <row r="265" spans="2:56" ht="20.100000000000001" customHeight="1">
      <c r="B265" s="16"/>
      <c r="C265" s="708"/>
      <c r="D265" s="708"/>
      <c r="E265" s="708"/>
      <c r="F265" s="16"/>
      <c r="G265" s="16"/>
      <c r="H265" s="16"/>
      <c r="I265" s="16"/>
      <c r="J265" s="708"/>
      <c r="K265" s="708"/>
      <c r="L265" s="16"/>
      <c r="M265" s="16"/>
      <c r="N265" s="708"/>
      <c r="O265" s="708"/>
      <c r="P265" s="708"/>
      <c r="Q265" s="708"/>
      <c r="R265" s="16"/>
      <c r="S265" s="466" t="s">
        <v>36</v>
      </c>
      <c r="T265" s="452" t="s">
        <v>2665</v>
      </c>
      <c r="U265" s="1454" t="s">
        <v>2716</v>
      </c>
      <c r="V265" s="1454"/>
      <c r="W265" s="1454"/>
      <c r="X265" s="1454"/>
      <c r="Y265" s="48">
        <f>Y25*INDEX('DEFAULT DATA'!$Q$9:$Q$41,START!$C$3,1)*TRANSPORT!Y254</f>
        <v>671.82201775280498</v>
      </c>
      <c r="Z265" s="48">
        <f>Z25*INDEX('DEFAULT DATA'!$Q$9:$Q$41,START!$C$3,1)*TRANSPORT!Z254</f>
        <v>677.1965938948274</v>
      </c>
      <c r="AA265" s="48">
        <f>AA25*INDEX('DEFAULT DATA'!$Q$9:$Q$41,START!$C$3,1)*TRANSPORT!AA254</f>
        <v>682.61416664598596</v>
      </c>
      <c r="AB265" s="48">
        <f>AB25*INDEX('DEFAULT DATA'!$Q$9:$Q$41,START!$C$3,1)*TRANSPORT!AB254</f>
        <v>688.07507997915377</v>
      </c>
      <c r="AC265" s="48">
        <f>AC25*INDEX('DEFAULT DATA'!$Q$9:$Q$41,START!$C$3,1)*TRANSPORT!AC254</f>
        <v>693.57968061898703</v>
      </c>
      <c r="AD265" s="48">
        <f>AD25*INDEX('DEFAULT DATA'!$Q$9:$Q$41,START!$C$3,1)*TRANSPORT!AD254</f>
        <v>699.12831806393888</v>
      </c>
      <c r="AE265" s="48">
        <f>AE25*INDEX('DEFAULT DATA'!$Q$9:$Q$41,START!$C$3,1)*TRANSPORT!AE254</f>
        <v>704.72134460845041</v>
      </c>
      <c r="AF265" s="48">
        <f>AF25*INDEX('DEFAULT DATA'!$Q$9:$Q$41,START!$C$3,1)*TRANSPORT!AF254</f>
        <v>710.35911536531796</v>
      </c>
      <c r="AG265" s="48">
        <f>AG25*INDEX('DEFAULT DATA'!$Q$9:$Q$41,START!$C$3,1)*TRANSPORT!AG254</f>
        <v>716.04198828824053</v>
      </c>
      <c r="AH265" s="48">
        <f>AH25*INDEX('DEFAULT DATA'!$Q$9:$Q$41,START!$C$3,1)*TRANSPORT!AH254</f>
        <v>721.05428220625822</v>
      </c>
      <c r="AI265" s="48">
        <f>AI25*INDEX('DEFAULT DATA'!$Q$9:$Q$41,START!$C$3,1)*TRANSPORT!AI254</f>
        <v>726.10166218170207</v>
      </c>
      <c r="AJ265" s="48">
        <f>AJ25*INDEX('DEFAULT DATA'!$Q$9:$Q$41,START!$C$3,1)*TRANSPORT!AJ254</f>
        <v>731.18437381697413</v>
      </c>
      <c r="AK265" s="48">
        <f>AK25*INDEX('DEFAULT DATA'!$Q$9:$Q$41,START!$C$3,1)*TRANSPORT!AK254</f>
        <v>736.30266443369294</v>
      </c>
      <c r="AL265" s="48">
        <f>AL25*INDEX('DEFAULT DATA'!$Q$9:$Q$41,START!$C$3,1)*TRANSPORT!AL254</f>
        <v>741.45678308472884</v>
      </c>
      <c r="AM265" s="48">
        <f>AM25*INDEX('DEFAULT DATA'!$Q$9:$Q$41,START!$C$3,1)*TRANSPORT!AM254</f>
        <v>746.64698056632199</v>
      </c>
      <c r="AN265" s="48">
        <f>AN25*INDEX('DEFAULT DATA'!$Q$9:$Q$41,START!$C$3,1)*TRANSPORT!AN254</f>
        <v>751.87350943028628</v>
      </c>
      <c r="AO265" s="48">
        <f>AO25*INDEX('DEFAULT DATA'!$Q$9:$Q$41,START!$C$3,1)*TRANSPORT!AO254</f>
        <v>757.13662399629823</v>
      </c>
      <c r="AP265" s="48">
        <f>AP25*INDEX('DEFAULT DATA'!$Q$9:$Q$41,START!$C$3,1)*TRANSPORT!AP254</f>
        <v>762.43658036427223</v>
      </c>
      <c r="AQ265" s="48">
        <f>AQ25*INDEX('DEFAULT DATA'!$Q$9:$Q$41,START!$C$3,1)*TRANSPORT!AQ254</f>
        <v>767.77363642682224</v>
      </c>
      <c r="AR265" s="48">
        <f>AR25*INDEX('DEFAULT DATA'!$Q$9:$Q$41,START!$C$3,1)*TRANSPORT!AR254</f>
        <v>773.14805188181003</v>
      </c>
      <c r="AS265" s="48">
        <f>AS25*INDEX('DEFAULT DATA'!$Q$9:$Q$41,START!$C$3,1)*TRANSPORT!AS254</f>
        <v>778.56008824498258</v>
      </c>
      <c r="AT265" s="48">
        <f>AT25*INDEX('DEFAULT DATA'!$Q$9:$Q$41,START!$C$3,1)*TRANSPORT!AT254</f>
        <v>784.01000886269765</v>
      </c>
      <c r="AU265" s="48">
        <f>AU25*INDEX('DEFAULT DATA'!$Q$9:$Q$41,START!$C$3,1)*TRANSPORT!AU254</f>
        <v>789.49807892473655</v>
      </c>
      <c r="AV265" s="48">
        <f>AV25*INDEX('DEFAULT DATA'!$Q$9:$Q$41,START!$C$3,1)*TRANSPORT!AV254</f>
        <v>795.02456547720988</v>
      </c>
      <c r="AW265" s="48">
        <f>AW25*INDEX('DEFAULT DATA'!$Q$9:$Q$41,START!$C$3,1)*TRANSPORT!AW254</f>
        <v>800.58973743555043</v>
      </c>
      <c r="AX265" s="48">
        <f>AX25*INDEX('DEFAULT DATA'!$Q$9:$Q$41,START!$C$3,1)*TRANSPORT!AX254</f>
        <v>806.19386559759926</v>
      </c>
      <c r="AY265" s="48">
        <f>AY25*INDEX('DEFAULT DATA'!$Q$9:$Q$41,START!$C$3,1)*TRANSPORT!AY254</f>
        <v>811.8372226567825</v>
      </c>
      <c r="AZ265" s="48">
        <f>AZ25*INDEX('DEFAULT DATA'!$Q$9:$Q$41,START!$C$3,1)*TRANSPORT!AZ254</f>
        <v>817.52008321538005</v>
      </c>
      <c r="BA265" s="459">
        <f>BA25*INDEX('DEFAULT DATA'!$Q$9:$Q$41,START!$C$3,1)*TRANSPORT!BA254</f>
        <v>823.24272379788772</v>
      </c>
    </row>
    <row r="266" spans="2:56" ht="20.100000000000001" customHeight="1">
      <c r="B266" s="16"/>
      <c r="C266" s="708"/>
      <c r="D266" s="708"/>
      <c r="E266" s="708"/>
      <c r="F266" s="16"/>
      <c r="G266" s="16"/>
      <c r="H266" s="16"/>
      <c r="I266" s="16"/>
      <c r="J266" s="708"/>
      <c r="K266" s="708"/>
      <c r="L266" s="16"/>
      <c r="M266" s="16"/>
      <c r="N266" s="708"/>
      <c r="O266" s="708"/>
      <c r="P266" s="708"/>
      <c r="Q266" s="708"/>
      <c r="R266" s="16"/>
      <c r="S266" s="466" t="s">
        <v>38</v>
      </c>
      <c r="T266" s="452" t="s">
        <v>2666</v>
      </c>
      <c r="U266" s="1454" t="s">
        <v>2716</v>
      </c>
      <c r="V266" s="1454"/>
      <c r="W266" s="1454"/>
      <c r="X266" s="1454"/>
      <c r="Y266" s="48">
        <f>Y92*INDEX('DEFAULT DATA'!$DL$9:$DL$41,START!$C$3,1)*TRANSPORT!Y256</f>
        <v>4417.708115672599</v>
      </c>
      <c r="Z266" s="48">
        <f>Z92*INDEX('DEFAULT DATA'!$DL$9:$DL$41,START!$C$3,1)*TRANSPORT!Z256</f>
        <v>4483.9737374076876</v>
      </c>
      <c r="AA266" s="48">
        <f>AA92*INDEX('DEFAULT DATA'!$DL$9:$DL$41,START!$C$3,1)*TRANSPORT!AA256</f>
        <v>4551.2333434688026</v>
      </c>
      <c r="AB266" s="48">
        <f>AB92*INDEX('DEFAULT DATA'!$DL$9:$DL$41,START!$C$3,1)*TRANSPORT!AB256</f>
        <v>4619.5018436208338</v>
      </c>
      <c r="AC266" s="48">
        <f>AC92*INDEX('DEFAULT DATA'!$DL$9:$DL$41,START!$C$3,1)*TRANSPORT!AC256</f>
        <v>4688.7943712751457</v>
      </c>
      <c r="AD266" s="48">
        <f>AD92*INDEX('DEFAULT DATA'!$DL$9:$DL$41,START!$C$3,1)*TRANSPORT!AD256</f>
        <v>4759.1262868442736</v>
      </c>
      <c r="AE266" s="48">
        <f>AE92*INDEX('DEFAULT DATA'!$DL$9:$DL$41,START!$C$3,1)*TRANSPORT!AE256</f>
        <v>4830.5131811469382</v>
      </c>
      <c r="AF266" s="48">
        <f>AF92*INDEX('DEFAULT DATA'!$DL$9:$DL$41,START!$C$3,1)*TRANSPORT!AF256</f>
        <v>4902.9708788641419</v>
      </c>
      <c r="AG266" s="48">
        <f>AG92*INDEX('DEFAULT DATA'!$DL$9:$DL$41,START!$C$3,1)*TRANSPORT!AG256</f>
        <v>4976.5154420471044</v>
      </c>
      <c r="AH266" s="48">
        <f>AH92*INDEX('DEFAULT DATA'!$DL$9:$DL$41,START!$C$3,1)*TRANSPORT!AH256</f>
        <v>5051.1631736778118</v>
      </c>
      <c r="AI266" s="48">
        <f>AI92*INDEX('DEFAULT DATA'!$DL$9:$DL$41,START!$C$3,1)*TRANSPORT!AI256</f>
        <v>5126.9306212829788</v>
      </c>
      <c r="AJ266" s="48">
        <f>AJ92*INDEX('DEFAULT DATA'!$DL$9:$DL$41,START!$C$3,1)*TRANSPORT!AJ256</f>
        <v>5203.8345806022244</v>
      </c>
      <c r="AK266" s="48">
        <f>AK92*INDEX('DEFAULT DATA'!$DL$9:$DL$41,START!$C$3,1)*TRANSPORT!AK256</f>
        <v>5281.892099311257</v>
      </c>
      <c r="AL266" s="48">
        <f>AL92*INDEX('DEFAULT DATA'!$DL$9:$DL$41,START!$C$3,1)*TRANSPORT!AL256</f>
        <v>5361.1204808009261</v>
      </c>
      <c r="AM266" s="48">
        <f>AM92*INDEX('DEFAULT DATA'!$DL$9:$DL$41,START!$C$3,1)*TRANSPORT!AM256</f>
        <v>5441.5372880129398</v>
      </c>
      <c r="AN266" s="48">
        <f>AN92*INDEX('DEFAULT DATA'!$DL$9:$DL$41,START!$C$3,1)*TRANSPORT!AN256</f>
        <v>5523.1603473331343</v>
      </c>
      <c r="AO266" s="48">
        <f>AO92*INDEX('DEFAULT DATA'!$DL$9:$DL$41,START!$C$3,1)*TRANSPORT!AO256</f>
        <v>5606.0077525431316</v>
      </c>
      <c r="AP266" s="48">
        <f>AP92*INDEX('DEFAULT DATA'!$DL$9:$DL$41,START!$C$3,1)*TRANSPORT!AP256</f>
        <v>5690.0978688312789</v>
      </c>
      <c r="AQ266" s="48">
        <f>AQ92*INDEX('DEFAULT DATA'!$DL$9:$DL$41,START!$C$3,1)*TRANSPORT!AQ256</f>
        <v>5775.4493368637477</v>
      </c>
      <c r="AR266" s="48">
        <f>AR92*INDEX('DEFAULT DATA'!$DL$9:$DL$41,START!$C$3,1)*TRANSPORT!AR256</f>
        <v>5862.0810769167047</v>
      </c>
      <c r="AS266" s="48">
        <f>AS92*INDEX('DEFAULT DATA'!$DL$9:$DL$41,START!$C$3,1)*TRANSPORT!AS256</f>
        <v>5950.0122930704556</v>
      </c>
      <c r="AT266" s="48">
        <f>AT92*INDEX('DEFAULT DATA'!$DL$9:$DL$41,START!$C$3,1)*TRANSPORT!AT256</f>
        <v>6039.2624774665119</v>
      </c>
      <c r="AU266" s="48">
        <f>AU92*INDEX('DEFAULT DATA'!$DL$9:$DL$41,START!$C$3,1)*TRANSPORT!AU256</f>
        <v>6129.8514146285097</v>
      </c>
      <c r="AV266" s="48">
        <f>AV92*INDEX('DEFAULT DATA'!$DL$9:$DL$41,START!$C$3,1)*TRANSPORT!AV256</f>
        <v>6221.7991858479381</v>
      </c>
      <c r="AW266" s="48">
        <f>AW92*INDEX('DEFAULT DATA'!$DL$9:$DL$41,START!$C$3,1)*TRANSPORT!AW256</f>
        <v>6315.1261736356564</v>
      </c>
      <c r="AX266" s="48">
        <f>AX92*INDEX('DEFAULT DATA'!$DL$9:$DL$41,START!$C$3,1)*TRANSPORT!AX256</f>
        <v>6409.8530662401909</v>
      </c>
      <c r="AY266" s="48">
        <f>AY92*INDEX('DEFAULT DATA'!$DL$9:$DL$41,START!$C$3,1)*TRANSPORT!AY256</f>
        <v>6506.0008622337937</v>
      </c>
      <c r="AZ266" s="48">
        <f>AZ92*INDEX('DEFAULT DATA'!$DL$9:$DL$41,START!$C$3,1)*TRANSPORT!AZ256</f>
        <v>6603.5908751673005</v>
      </c>
      <c r="BA266" s="459">
        <f>BA92*INDEX('DEFAULT DATA'!$DL$9:$DL$41,START!$C$3,1)*TRANSPORT!BA256</f>
        <v>6702.6447382948099</v>
      </c>
    </row>
    <row r="267" spans="2:56" ht="20.100000000000001" customHeight="1">
      <c r="B267" s="16"/>
      <c r="C267" s="708"/>
      <c r="D267" s="708"/>
      <c r="E267" s="708"/>
      <c r="F267" s="16"/>
      <c r="G267" s="16"/>
      <c r="H267" s="16"/>
      <c r="I267" s="16"/>
      <c r="J267" s="708"/>
      <c r="K267" s="708"/>
      <c r="L267" s="16"/>
      <c r="M267" s="16"/>
      <c r="N267" s="708"/>
      <c r="O267" s="708"/>
      <c r="P267" s="708"/>
      <c r="Q267" s="708"/>
      <c r="R267" s="16"/>
      <c r="S267" s="466" t="s">
        <v>39</v>
      </c>
      <c r="T267" s="452" t="s">
        <v>2667</v>
      </c>
      <c r="U267" s="1454" t="s">
        <v>2716</v>
      </c>
      <c r="V267" s="1454"/>
      <c r="W267" s="1454"/>
      <c r="X267" s="1454"/>
      <c r="Y267" s="48">
        <f>Y102*INDEX('DEFAULT DATA'!$EF$9:$EF$41,START!$C$3,1)*TRANSPORT!Y257</f>
        <v>938.89718796498403</v>
      </c>
      <c r="Z267" s="48">
        <f>Z102*INDEX('DEFAULT DATA'!$EF$9:$EF$41,START!$C$3,1)*TRANSPORT!Z257</f>
        <v>952.98064578445883</v>
      </c>
      <c r="AA267" s="48">
        <f>AA102*INDEX('DEFAULT DATA'!$EF$9:$EF$41,START!$C$3,1)*TRANSPORT!AA257</f>
        <v>967.27535547122568</v>
      </c>
      <c r="AB267" s="48">
        <f>AB102*INDEX('DEFAULT DATA'!$EF$9:$EF$41,START!$C$3,1)*TRANSPORT!AB257</f>
        <v>981.78448580329393</v>
      </c>
      <c r="AC267" s="48">
        <f>AC102*INDEX('DEFAULT DATA'!$EF$9:$EF$41,START!$C$3,1)*TRANSPORT!AC257</f>
        <v>996.51125309034342</v>
      </c>
      <c r="AD267" s="48">
        <f>AD102*INDEX('DEFAULT DATA'!$EF$9:$EF$41,START!$C$3,1)*TRANSPORT!AD257</f>
        <v>1011.4589218866984</v>
      </c>
      <c r="AE267" s="48">
        <f>AE102*INDEX('DEFAULT DATA'!$EF$9:$EF$41,START!$C$3,1)*TRANSPORT!AE257</f>
        <v>1026.6308057149988</v>
      </c>
      <c r="AF267" s="48">
        <f>AF102*INDEX('DEFAULT DATA'!$EF$9:$EF$41,START!$C$3,1)*TRANSPORT!AF257</f>
        <v>1042.0302678007238</v>
      </c>
      <c r="AG267" s="48">
        <f>AG102*INDEX('DEFAULT DATA'!$EF$9:$EF$41,START!$C$3,1)*TRANSPORT!AG257</f>
        <v>1057.6607218177346</v>
      </c>
      <c r="AH267" s="48">
        <f>AH102*INDEX('DEFAULT DATA'!$EF$9:$EF$41,START!$C$3,1)*TRANSPORT!AH257</f>
        <v>1072.4679719231831</v>
      </c>
      <c r="AI267" s="48">
        <f>AI102*INDEX('DEFAULT DATA'!$EF$9:$EF$41,START!$C$3,1)*TRANSPORT!AI257</f>
        <v>1087.4825235301075</v>
      </c>
      <c r="AJ267" s="48">
        <f>AJ102*INDEX('DEFAULT DATA'!$EF$9:$EF$41,START!$C$3,1)*TRANSPORT!AJ257</f>
        <v>1102.7072788595292</v>
      </c>
      <c r="AK267" s="48">
        <f>AK102*INDEX('DEFAULT DATA'!$EF$9:$EF$41,START!$C$3,1)*TRANSPORT!AK257</f>
        <v>1118.1451807635626</v>
      </c>
      <c r="AL267" s="48">
        <f>AL102*INDEX('DEFAULT DATA'!$EF$9:$EF$41,START!$C$3,1)*TRANSPORT!AL257</f>
        <v>1133.7992132942527</v>
      </c>
      <c r="AM267" s="48">
        <f>AM102*INDEX('DEFAULT DATA'!$EF$9:$EF$41,START!$C$3,1)*TRANSPORT!AM257</f>
        <v>1149.6724022803721</v>
      </c>
      <c r="AN267" s="48">
        <f>AN102*INDEX('DEFAULT DATA'!$EF$9:$EF$41,START!$C$3,1)*TRANSPORT!AN257</f>
        <v>1165.7678159122975</v>
      </c>
      <c r="AO267" s="48">
        <f>AO102*INDEX('DEFAULT DATA'!$EF$9:$EF$41,START!$C$3,1)*TRANSPORT!AO257</f>
        <v>1182.0885653350697</v>
      </c>
      <c r="AP267" s="48">
        <f>AP102*INDEX('DEFAULT DATA'!$EF$9:$EF$41,START!$C$3,1)*TRANSPORT!AP257</f>
        <v>1198.6378052497607</v>
      </c>
      <c r="AQ267" s="48">
        <f>AQ102*INDEX('DEFAULT DATA'!$EF$9:$EF$41,START!$C$3,1)*TRANSPORT!AQ257</f>
        <v>1215.4187345232574</v>
      </c>
      <c r="AR267" s="48">
        <f>AR102*INDEX('DEFAULT DATA'!$EF$9:$EF$41,START!$C$3,1)*TRANSPORT!AR257</f>
        <v>1232.4345968065829</v>
      </c>
      <c r="AS267" s="48">
        <f>AS102*INDEX('DEFAULT DATA'!$EF$9:$EF$41,START!$C$3,1)*TRANSPORT!AS257</f>
        <v>1249.6886811618751</v>
      </c>
      <c r="AT267" s="48">
        <f>AT102*INDEX('DEFAULT DATA'!$EF$9:$EF$41,START!$C$3,1)*TRANSPORT!AT257</f>
        <v>1267.1843226981416</v>
      </c>
      <c r="AU267" s="48">
        <f>AU102*INDEX('DEFAULT DATA'!$EF$9:$EF$41,START!$C$3,1)*TRANSPORT!AU257</f>
        <v>1284.9249032159157</v>
      </c>
      <c r="AV267" s="48">
        <f>AV102*INDEX('DEFAULT DATA'!$EF$9:$EF$41,START!$C$3,1)*TRANSPORT!AV257</f>
        <v>1302.9138518609386</v>
      </c>
      <c r="AW267" s="48">
        <f>AW102*INDEX('DEFAULT DATA'!$EF$9:$EF$41,START!$C$3,1)*TRANSPORT!AW257</f>
        <v>1321.154645786992</v>
      </c>
      <c r="AX267" s="48">
        <f>AX102*INDEX('DEFAULT DATA'!$EF$9:$EF$41,START!$C$3,1)*TRANSPORT!AX257</f>
        <v>1339.6508108280102</v>
      </c>
      <c r="AY267" s="48">
        <f>AY102*INDEX('DEFAULT DATA'!$EF$9:$EF$41,START!$C$3,1)*TRANSPORT!AY257</f>
        <v>1358.4059221796024</v>
      </c>
      <c r="AZ267" s="48">
        <f>AZ102*INDEX('DEFAULT DATA'!$EF$9:$EF$41,START!$C$3,1)*TRANSPORT!AZ257</f>
        <v>1377.4236050901168</v>
      </c>
      <c r="BA267" s="459">
        <f>BA102*INDEX('DEFAULT DATA'!$EF$9:$EF$41,START!$C$3,1)*TRANSPORT!BA257</f>
        <v>1396.7075355613788</v>
      </c>
    </row>
    <row r="268" spans="2:56" ht="20.100000000000001" customHeight="1">
      <c r="B268" s="16"/>
      <c r="C268" s="708"/>
      <c r="D268" s="708"/>
      <c r="E268" s="708"/>
      <c r="F268" s="16"/>
      <c r="G268" s="16"/>
      <c r="H268" s="16"/>
      <c r="I268" s="16"/>
      <c r="J268" s="708"/>
      <c r="K268" s="708"/>
      <c r="L268" s="16"/>
      <c r="M268" s="16"/>
      <c r="N268" s="708"/>
      <c r="O268" s="708"/>
      <c r="P268" s="708"/>
      <c r="Q268" s="708"/>
      <c r="R268" s="16"/>
      <c r="S268" s="466" t="s">
        <v>55</v>
      </c>
      <c r="T268" s="452" t="s">
        <v>2668</v>
      </c>
      <c r="U268" s="1454" t="s">
        <v>2716</v>
      </c>
      <c r="V268" s="1454"/>
      <c r="W268" s="1454"/>
      <c r="X268" s="1454"/>
      <c r="Y268" s="48">
        <f>Y112*INDEX('DEFAULT DATA'!$IX$9:$IX$41,START!$C$3,1)*TRANSPORT!Y258</f>
        <v>324.54160675164411</v>
      </c>
      <c r="Z268" s="48">
        <f>Z112*INDEX('DEFAULT DATA'!$IX$9:$IX$41,START!$C$3,1)*TRANSPORT!Z258</f>
        <v>329.40973085291881</v>
      </c>
      <c r="AA268" s="48">
        <f>AA112*INDEX('DEFAULT DATA'!$IX$9:$IX$41,START!$C$3,1)*TRANSPORT!AA258</f>
        <v>334.35087681571258</v>
      </c>
      <c r="AB268" s="48">
        <f>AB112*INDEX('DEFAULT DATA'!$IX$9:$IX$41,START!$C$3,1)*TRANSPORT!AB258</f>
        <v>339.3661399679483</v>
      </c>
      <c r="AC268" s="48">
        <f>AC112*INDEX('DEFAULT DATA'!$IX$9:$IX$41,START!$C$3,1)*TRANSPORT!AC258</f>
        <v>344.45663206746752</v>
      </c>
      <c r="AD268" s="48">
        <f>AD112*INDEX('DEFAULT DATA'!$IX$9:$IX$41,START!$C$3,1)*TRANSPORT!AD258</f>
        <v>349.62348154847956</v>
      </c>
      <c r="AE268" s="48">
        <f>AE112*INDEX('DEFAULT DATA'!$IX$9:$IX$41,START!$C$3,1)*TRANSPORT!AE258</f>
        <v>354.86783377170673</v>
      </c>
      <c r="AF268" s="48">
        <f>AF112*INDEX('DEFAULT DATA'!$IX$9:$IX$41,START!$C$3,1)*TRANSPORT!AF258</f>
        <v>360.19085127828231</v>
      </c>
      <c r="AG268" s="48">
        <f>AG112*INDEX('DEFAULT DATA'!$IX$9:$IX$41,START!$C$3,1)*TRANSPORT!AG258</f>
        <v>365.59371404745661</v>
      </c>
      <c r="AH268" s="48">
        <f>AH112*INDEX('DEFAULT DATA'!$IX$9:$IX$41,START!$C$3,1)*TRANSPORT!AH258</f>
        <v>370.71202604412105</v>
      </c>
      <c r="AI268" s="48">
        <f>AI112*INDEX('DEFAULT DATA'!$IX$9:$IX$41,START!$C$3,1)*TRANSPORT!AI258</f>
        <v>375.9019944087388</v>
      </c>
      <c r="AJ268" s="48">
        <f>AJ112*INDEX('DEFAULT DATA'!$IX$9:$IX$41,START!$C$3,1)*TRANSPORT!AJ258</f>
        <v>381.16462233046116</v>
      </c>
      <c r="AK268" s="48">
        <f>AK112*INDEX('DEFAULT DATA'!$IX$9:$IX$41,START!$C$3,1)*TRANSPORT!AK258</f>
        <v>386.5009270430877</v>
      </c>
      <c r="AL268" s="48">
        <f>AL112*INDEX('DEFAULT DATA'!$IX$9:$IX$41,START!$C$3,1)*TRANSPORT!AL258</f>
        <v>391.9119400216909</v>
      </c>
      <c r="AM268" s="48">
        <f>AM112*INDEX('DEFAULT DATA'!$IX$9:$IX$41,START!$C$3,1)*TRANSPORT!AM258</f>
        <v>397.39870718199455</v>
      </c>
      <c r="AN268" s="48">
        <f>AN112*INDEX('DEFAULT DATA'!$IX$9:$IX$41,START!$C$3,1)*TRANSPORT!AN258</f>
        <v>402.9622890825425</v>
      </c>
      <c r="AO268" s="48">
        <f>AO112*INDEX('DEFAULT DATA'!$IX$9:$IX$41,START!$C$3,1)*TRANSPORT!AO258</f>
        <v>408.60376112969811</v>
      </c>
      <c r="AP268" s="48">
        <f>AP112*INDEX('DEFAULT DATA'!$IX$9:$IX$41,START!$C$3,1)*TRANSPORT!AP258</f>
        <v>414.32421378551396</v>
      </c>
      <c r="AQ268" s="48">
        <f>AQ112*INDEX('DEFAULT DATA'!$IX$9:$IX$41,START!$C$3,1)*TRANSPORT!AQ258</f>
        <v>420.12475277851121</v>
      </c>
      <c r="AR268" s="48">
        <f>AR112*INDEX('DEFAULT DATA'!$IX$9:$IX$41,START!$C$3,1)*TRANSPORT!AR258</f>
        <v>426.00649931741037</v>
      </c>
      <c r="AS268" s="48">
        <f>AS112*INDEX('DEFAULT DATA'!$IX$9:$IX$41,START!$C$3,1)*TRANSPORT!AS258</f>
        <v>431.97059030785414</v>
      </c>
      <c r="AT268" s="48">
        <f>AT112*INDEX('DEFAULT DATA'!$IX$9:$IX$41,START!$C$3,1)*TRANSPORT!AT258</f>
        <v>438.01817857216412</v>
      </c>
      <c r="AU268" s="48">
        <f>AU112*INDEX('DEFAULT DATA'!$IX$9:$IX$41,START!$C$3,1)*TRANSPORT!AU258</f>
        <v>444.15043307217445</v>
      </c>
      <c r="AV268" s="48">
        <f>AV112*INDEX('DEFAULT DATA'!$IX$9:$IX$41,START!$C$3,1)*TRANSPORT!AV258</f>
        <v>450.3685391351849</v>
      </c>
      <c r="AW268" s="48">
        <f>AW112*INDEX('DEFAULT DATA'!$IX$9:$IX$41,START!$C$3,1)*TRANSPORT!AW258</f>
        <v>456.67369868307753</v>
      </c>
      <c r="AX268" s="48">
        <f>AX112*INDEX('DEFAULT DATA'!$IX$9:$IX$41,START!$C$3,1)*TRANSPORT!AX258</f>
        <v>463.06713046464063</v>
      </c>
      <c r="AY268" s="48">
        <f>AY112*INDEX('DEFAULT DATA'!$IX$9:$IX$41,START!$C$3,1)*TRANSPORT!AY258</f>
        <v>469.55007029114563</v>
      </c>
      <c r="AZ268" s="48">
        <f>AZ112*INDEX('DEFAULT DATA'!$IX$9:$IX$41,START!$C$3,1)*TRANSPORT!AZ258</f>
        <v>476.12377127522177</v>
      </c>
      <c r="BA268" s="459">
        <f>BA112*INDEX('DEFAULT DATA'!$IX$9:$IX$41,START!$C$3,1)*TRANSPORT!BA258</f>
        <v>482.78950407307491</v>
      </c>
    </row>
    <row r="269" spans="2:56" ht="20.100000000000001" customHeight="1">
      <c r="B269" s="16"/>
      <c r="C269" s="708"/>
      <c r="D269" s="708"/>
      <c r="E269" s="708"/>
      <c r="F269" s="16"/>
      <c r="G269" s="16"/>
      <c r="H269" s="16"/>
      <c r="I269" s="16"/>
      <c r="J269" s="708"/>
      <c r="K269" s="708"/>
      <c r="L269" s="16"/>
      <c r="M269" s="16"/>
      <c r="N269" s="708"/>
      <c r="O269" s="708"/>
      <c r="P269" s="708"/>
      <c r="Q269" s="708"/>
      <c r="R269" s="16"/>
      <c r="S269" s="466" t="s">
        <v>37</v>
      </c>
      <c r="T269" s="452" t="s">
        <v>2669</v>
      </c>
      <c r="U269" s="1454" t="s">
        <v>2716</v>
      </c>
      <c r="V269" s="1454"/>
      <c r="W269" s="1454"/>
      <c r="X269" s="1454"/>
      <c r="Y269" s="48">
        <f>Y52*INDEX('DEFAULT DATA'!$BB$9:$BB$41,START!$C$3,1)*TRANSPORT!Y255</f>
        <v>2711.2859462812826</v>
      </c>
      <c r="Z269" s="48">
        <f>Z52*INDEX('DEFAULT DATA'!$BB$9:$BB$41,START!$C$3,1)*TRANSPORT!Z255</f>
        <v>2765.5116652069082</v>
      </c>
      <c r="AA269" s="48">
        <f>AA52*INDEX('DEFAULT DATA'!$BB$9:$BB$41,START!$C$3,1)*TRANSPORT!AA255</f>
        <v>2820.8218985110466</v>
      </c>
      <c r="AB269" s="48">
        <f>AB52*INDEX('DEFAULT DATA'!$BB$9:$BB$41,START!$C$3,1)*TRANSPORT!AB255</f>
        <v>2877.2383364812677</v>
      </c>
      <c r="AC269" s="48">
        <f>AC52*INDEX('DEFAULT DATA'!$BB$9:$BB$41,START!$C$3,1)*TRANSPORT!AC255</f>
        <v>2934.7831032108929</v>
      </c>
      <c r="AD269" s="48">
        <f>AD52*INDEX('DEFAULT DATA'!$BB$9:$BB$41,START!$C$3,1)*TRANSPORT!AD255</f>
        <v>2993.4787652751106</v>
      </c>
      <c r="AE269" s="48">
        <f>AE52*INDEX('DEFAULT DATA'!$BB$9:$BB$41,START!$C$3,1)*TRANSPORT!AE255</f>
        <v>3053.3483405806128</v>
      </c>
      <c r="AF269" s="48">
        <f>AF52*INDEX('DEFAULT DATA'!$BB$9:$BB$41,START!$C$3,1)*TRANSPORT!AF255</f>
        <v>3114.4153073922253</v>
      </c>
      <c r="AG269" s="48">
        <f>AG52*INDEX('DEFAULT DATA'!$BB$9:$BB$41,START!$C$3,1)*TRANSPORT!AG255</f>
        <v>3176.7036135400699</v>
      </c>
      <c r="AH269" s="48">
        <f>AH52*INDEX('DEFAULT DATA'!$BB$9:$BB$41,START!$C$3,1)*TRANSPORT!AH255</f>
        <v>3218.0007605160908</v>
      </c>
      <c r="AI269" s="48">
        <f>AI52*INDEX('DEFAULT DATA'!$BB$9:$BB$41,START!$C$3,1)*TRANSPORT!AI255</f>
        <v>3259.8347704028006</v>
      </c>
      <c r="AJ269" s="48">
        <f>AJ52*INDEX('DEFAULT DATA'!$BB$9:$BB$41,START!$C$3,1)*TRANSPORT!AJ255</f>
        <v>3302.2126224180365</v>
      </c>
      <c r="AK269" s="48">
        <f>AK52*INDEX('DEFAULT DATA'!$BB$9:$BB$41,START!$C$3,1)*TRANSPORT!AK255</f>
        <v>3345.141386509471</v>
      </c>
      <c r="AL269" s="48">
        <f>AL52*INDEX('DEFAULT DATA'!$BB$9:$BB$41,START!$C$3,1)*TRANSPORT!AL255</f>
        <v>3388.6282245340935</v>
      </c>
      <c r="AM269" s="48">
        <f>AM52*INDEX('DEFAULT DATA'!$BB$9:$BB$41,START!$C$3,1)*TRANSPORT!AM255</f>
        <v>3432.6803914530365</v>
      </c>
      <c r="AN269" s="48">
        <f>AN52*INDEX('DEFAULT DATA'!$BB$9:$BB$41,START!$C$3,1)*TRANSPORT!AN255</f>
        <v>3477.3052365419262</v>
      </c>
      <c r="AO269" s="48">
        <f>AO52*INDEX('DEFAULT DATA'!$BB$9:$BB$41,START!$C$3,1)*TRANSPORT!AO255</f>
        <v>3522.5102046169709</v>
      </c>
      <c r="AP269" s="48">
        <f>AP52*INDEX('DEFAULT DATA'!$BB$9:$BB$41,START!$C$3,1)*TRANSPORT!AP255</f>
        <v>3568.3028372769918</v>
      </c>
      <c r="AQ269" s="48">
        <f>AQ52*INDEX('DEFAULT DATA'!$BB$9:$BB$41,START!$C$3,1)*TRANSPORT!AQ255</f>
        <v>3614.6907741615928</v>
      </c>
      <c r="AR269" s="48">
        <f>AR52*INDEX('DEFAULT DATA'!$BB$9:$BB$41,START!$C$3,1)*TRANSPORT!AR255</f>
        <v>3661.6817542256936</v>
      </c>
      <c r="AS269" s="48">
        <f>AS52*INDEX('DEFAULT DATA'!$BB$9:$BB$41,START!$C$3,1)*TRANSPORT!AS255</f>
        <v>3709.2836170306277</v>
      </c>
      <c r="AT269" s="48">
        <f>AT52*INDEX('DEFAULT DATA'!$BB$9:$BB$41,START!$C$3,1)*TRANSPORT!AT255</f>
        <v>3757.5043040520259</v>
      </c>
      <c r="AU269" s="48">
        <f>AU52*INDEX('DEFAULT DATA'!$BB$9:$BB$41,START!$C$3,1)*TRANSPORT!AU255</f>
        <v>3806.3518600047023</v>
      </c>
      <c r="AV269" s="48">
        <f>AV52*INDEX('DEFAULT DATA'!$BB$9:$BB$41,START!$C$3,1)*TRANSPORT!AV255</f>
        <v>3855.8344341847633</v>
      </c>
      <c r="AW269" s="48">
        <f>AW52*INDEX('DEFAULT DATA'!$BB$9:$BB$41,START!$C$3,1)*TRANSPORT!AW255</f>
        <v>3905.9602818291655</v>
      </c>
      <c r="AX269" s="48">
        <f>AX52*INDEX('DEFAULT DATA'!$BB$9:$BB$41,START!$C$3,1)*TRANSPORT!AX255</f>
        <v>3956.7377654929446</v>
      </c>
      <c r="AY269" s="48">
        <f>AY52*INDEX('DEFAULT DATA'!$BB$9:$BB$41,START!$C$3,1)*TRANSPORT!AY255</f>
        <v>4008.1753564443525</v>
      </c>
      <c r="AZ269" s="48">
        <f>AZ52*INDEX('DEFAULT DATA'!$BB$9:$BB$41,START!$C$3,1)*TRANSPORT!AZ255</f>
        <v>4060.2816360781294</v>
      </c>
      <c r="BA269" s="459">
        <f>BA52*INDEX('DEFAULT DATA'!$BB$9:$BB$41,START!$C$3,1)*TRANSPORT!BA255</f>
        <v>4113.0652973471451</v>
      </c>
    </row>
    <row r="270" spans="2:56" ht="20.100000000000001" customHeight="1" thickBot="1">
      <c r="B270" s="16"/>
      <c r="C270" s="708"/>
      <c r="D270" s="708"/>
      <c r="E270" s="708"/>
      <c r="F270" s="16"/>
      <c r="G270" s="16"/>
      <c r="H270" s="16"/>
      <c r="I270" s="16"/>
      <c r="J270" s="708"/>
      <c r="K270" s="708"/>
      <c r="L270" s="16"/>
      <c r="M270" s="16"/>
      <c r="N270" s="708"/>
      <c r="O270" s="708"/>
      <c r="P270" s="708"/>
      <c r="Q270" s="708"/>
      <c r="R270" s="16"/>
      <c r="S270" s="467" t="s">
        <v>128</v>
      </c>
      <c r="T270" s="460" t="s">
        <v>130</v>
      </c>
      <c r="U270" s="460"/>
      <c r="V270" s="460"/>
      <c r="W270" s="460"/>
      <c r="X270" s="964"/>
      <c r="Y270" s="447">
        <f t="shared" ref="Y270" si="473">SUM(Y265:Y269)</f>
        <v>9064.2548744233154</v>
      </c>
      <c r="Z270" s="447">
        <f t="shared" ref="Z270:BA270" si="474">SUM(Z265:Z269)</f>
        <v>9209.0723731468024</v>
      </c>
      <c r="AA270" s="447">
        <f t="shared" si="474"/>
        <v>9356.2956409127728</v>
      </c>
      <c r="AB270" s="447">
        <f t="shared" si="474"/>
        <v>9505.9658858524981</v>
      </c>
      <c r="AC270" s="447">
        <f t="shared" si="474"/>
        <v>9658.1250402628375</v>
      </c>
      <c r="AD270" s="447">
        <f t="shared" si="474"/>
        <v>9812.8157736185003</v>
      </c>
      <c r="AE270" s="447">
        <f t="shared" si="474"/>
        <v>9970.0815058227072</v>
      </c>
      <c r="AF270" s="447">
        <f t="shared" si="474"/>
        <v>10129.96642070069</v>
      </c>
      <c r="AG270" s="447">
        <f t="shared" si="474"/>
        <v>10292.515479740607</v>
      </c>
      <c r="AH270" s="447">
        <f t="shared" si="474"/>
        <v>10433.398214367466</v>
      </c>
      <c r="AI270" s="447">
        <f t="shared" si="474"/>
        <v>10576.251571806328</v>
      </c>
      <c r="AJ270" s="447">
        <f t="shared" si="474"/>
        <v>10721.103478027224</v>
      </c>
      <c r="AK270" s="447">
        <f t="shared" si="474"/>
        <v>10867.982258061071</v>
      </c>
      <c r="AL270" s="447">
        <f t="shared" si="474"/>
        <v>11016.916641735692</v>
      </c>
      <c r="AM270" s="447">
        <f t="shared" si="474"/>
        <v>11167.935769494665</v>
      </c>
      <c r="AN270" s="447">
        <f t="shared" si="474"/>
        <v>11321.069198300185</v>
      </c>
      <c r="AO270" s="447">
        <f t="shared" si="474"/>
        <v>11476.346907621168</v>
      </c>
      <c r="AP270" s="447">
        <f t="shared" si="474"/>
        <v>11633.799305507817</v>
      </c>
      <c r="AQ270" s="447">
        <f t="shared" si="474"/>
        <v>11793.457234753931</v>
      </c>
      <c r="AR270" s="447">
        <f t="shared" si="474"/>
        <v>11955.351979148201</v>
      </c>
      <c r="AS270" s="447">
        <f t="shared" si="474"/>
        <v>12119.515269815794</v>
      </c>
      <c r="AT270" s="447">
        <f t="shared" si="474"/>
        <v>12285.97929165154</v>
      </c>
      <c r="AU270" s="447">
        <f t="shared" si="474"/>
        <v>12454.77668984604</v>
      </c>
      <c r="AV270" s="447">
        <f t="shared" si="474"/>
        <v>12625.940576506033</v>
      </c>
      <c r="AW270" s="447">
        <f t="shared" si="474"/>
        <v>12799.504537370443</v>
      </c>
      <c r="AX270" s="447">
        <f t="shared" si="474"/>
        <v>12975.502638623384</v>
      </c>
      <c r="AY270" s="447">
        <f t="shared" si="474"/>
        <v>13153.969433805676</v>
      </c>
      <c r="AZ270" s="447">
        <f t="shared" si="474"/>
        <v>13334.939970826148</v>
      </c>
      <c r="BA270" s="461">
        <f t="shared" si="474"/>
        <v>13518.449799074297</v>
      </c>
    </row>
    <row r="271" spans="2:56" ht="20.100000000000001" customHeight="1">
      <c r="B271" s="16"/>
      <c r="C271" s="708"/>
      <c r="D271" s="708"/>
      <c r="E271" s="708"/>
      <c r="F271" s="16"/>
      <c r="G271" s="16"/>
      <c r="H271" s="16"/>
      <c r="I271" s="16"/>
      <c r="J271" s="708"/>
      <c r="K271" s="708"/>
      <c r="L271" s="16"/>
      <c r="M271" s="16"/>
      <c r="N271" s="708"/>
      <c r="O271" s="708"/>
      <c r="P271" s="708"/>
      <c r="Q271" s="708"/>
      <c r="R271" s="16"/>
      <c r="S271" s="962" t="s">
        <v>2714</v>
      </c>
      <c r="T271" s="145"/>
      <c r="U271" s="145"/>
      <c r="V271" s="145"/>
      <c r="W271" s="145"/>
      <c r="X271" s="50">
        <f t="shared" ref="X271:BA271" si="475">X264</f>
        <v>2021</v>
      </c>
      <c r="Y271" s="50">
        <f t="shared" si="475"/>
        <v>2022</v>
      </c>
      <c r="Z271" s="50">
        <f t="shared" si="475"/>
        <v>2023</v>
      </c>
      <c r="AA271" s="50">
        <f t="shared" si="475"/>
        <v>2024</v>
      </c>
      <c r="AB271" s="50">
        <f t="shared" si="475"/>
        <v>2025</v>
      </c>
      <c r="AC271" s="50">
        <f t="shared" si="475"/>
        <v>2026</v>
      </c>
      <c r="AD271" s="50">
        <f t="shared" si="475"/>
        <v>2027</v>
      </c>
      <c r="AE271" s="50">
        <f t="shared" si="475"/>
        <v>2028</v>
      </c>
      <c r="AF271" s="50">
        <f t="shared" si="475"/>
        <v>2029</v>
      </c>
      <c r="AG271" s="50">
        <f t="shared" si="475"/>
        <v>2030</v>
      </c>
      <c r="AH271" s="50">
        <f t="shared" si="475"/>
        <v>2031</v>
      </c>
      <c r="AI271" s="50">
        <f t="shared" si="475"/>
        <v>2032</v>
      </c>
      <c r="AJ271" s="50">
        <f t="shared" si="475"/>
        <v>2033</v>
      </c>
      <c r="AK271" s="50">
        <f t="shared" si="475"/>
        <v>2034</v>
      </c>
      <c r="AL271" s="50">
        <f t="shared" si="475"/>
        <v>2035</v>
      </c>
      <c r="AM271" s="50">
        <f t="shared" si="475"/>
        <v>2036</v>
      </c>
      <c r="AN271" s="50">
        <f t="shared" si="475"/>
        <v>2037</v>
      </c>
      <c r="AO271" s="50">
        <f t="shared" si="475"/>
        <v>2038</v>
      </c>
      <c r="AP271" s="50">
        <f t="shared" si="475"/>
        <v>2039</v>
      </c>
      <c r="AQ271" s="50">
        <f t="shared" si="475"/>
        <v>2040</v>
      </c>
      <c r="AR271" s="50">
        <f t="shared" si="475"/>
        <v>2041</v>
      </c>
      <c r="AS271" s="50">
        <f t="shared" si="475"/>
        <v>2042</v>
      </c>
      <c r="AT271" s="50">
        <f t="shared" si="475"/>
        <v>2043</v>
      </c>
      <c r="AU271" s="50">
        <f t="shared" si="475"/>
        <v>2044</v>
      </c>
      <c r="AV271" s="50">
        <f t="shared" si="475"/>
        <v>2045</v>
      </c>
      <c r="AW271" s="50">
        <f t="shared" si="475"/>
        <v>2046</v>
      </c>
      <c r="AX271" s="50">
        <f t="shared" si="475"/>
        <v>2047</v>
      </c>
      <c r="AY271" s="50">
        <f t="shared" si="475"/>
        <v>2048</v>
      </c>
      <c r="AZ271" s="50">
        <f t="shared" si="475"/>
        <v>2049</v>
      </c>
      <c r="BA271" s="963">
        <f t="shared" si="475"/>
        <v>2050</v>
      </c>
    </row>
    <row r="272" spans="2:56" ht="20.100000000000001" customHeight="1">
      <c r="B272" s="16"/>
      <c r="C272" s="708"/>
      <c r="D272" s="708"/>
      <c r="E272" s="708"/>
      <c r="F272" s="16"/>
      <c r="G272" s="16"/>
      <c r="H272" s="16"/>
      <c r="I272" s="16"/>
      <c r="J272" s="708"/>
      <c r="K272" s="708"/>
      <c r="L272" s="16"/>
      <c r="M272" s="16"/>
      <c r="N272" s="708"/>
      <c r="O272" s="708"/>
      <c r="P272" s="708"/>
      <c r="Q272" s="708"/>
      <c r="R272" s="16"/>
      <c r="S272" s="466" t="s">
        <v>36</v>
      </c>
      <c r="T272" s="452" t="s">
        <v>2670</v>
      </c>
      <c r="U272" s="1516" t="s">
        <v>2715</v>
      </c>
      <c r="V272" s="1517"/>
      <c r="W272" s="1517"/>
      <c r="X272" s="1518"/>
      <c r="Y272" s="48">
        <f>IF(Y$270=0,0,Y265/Y$270*100)</f>
        <v>7.4117732462321948</v>
      </c>
      <c r="Z272" s="48">
        <f t="shared" ref="Z272:BA275" si="476">IF(Z$270=0,0,Z265/Z$270*100)</f>
        <v>7.353580973796003</v>
      </c>
      <c r="AA272" s="48">
        <f t="shared" si="476"/>
        <v>7.2957738066877944</v>
      </c>
      <c r="AB272" s="48">
        <f t="shared" si="476"/>
        <v>7.2383499819118802</v>
      </c>
      <c r="AC272" s="48">
        <f t="shared" si="476"/>
        <v>7.1813077354827035</v>
      </c>
      <c r="AD272" s="48">
        <f t="shared" si="476"/>
        <v>7.1246453025596095</v>
      </c>
      <c r="AE272" s="48">
        <f t="shared" si="476"/>
        <v>7.0683609175800663</v>
      </c>
      <c r="AF272" s="48">
        <f t="shared" si="476"/>
        <v>7.0124528143912883</v>
      </c>
      <c r="AG272" s="48">
        <f t="shared" si="476"/>
        <v>6.9569192263802773</v>
      </c>
      <c r="AH272" s="48">
        <f t="shared" si="476"/>
        <v>6.9110204306523997</v>
      </c>
      <c r="AI272" s="48">
        <f t="shared" si="476"/>
        <v>6.8653970383733078</v>
      </c>
      <c r="AJ272" s="48">
        <f t="shared" si="476"/>
        <v>6.820047724709756</v>
      </c>
      <c r="AK272" s="48">
        <f t="shared" si="476"/>
        <v>6.7749711671415147</v>
      </c>
      <c r="AL272" s="48">
        <f t="shared" si="476"/>
        <v>6.7301660455144727</v>
      </c>
      <c r="AM272" s="48">
        <f t="shared" si="476"/>
        <v>6.6856310420928118</v>
      </c>
      <c r="AN272" s="48">
        <f t="shared" si="476"/>
        <v>6.6413648416103417</v>
      </c>
      <c r="AO272" s="48">
        <f t="shared" si="476"/>
        <v>6.5973661313209515</v>
      </c>
      <c r="AP272" s="48">
        <f t="shared" si="476"/>
        <v>6.5536336010481975</v>
      </c>
      <c r="AQ272" s="48">
        <f t="shared" si="476"/>
        <v>6.510165943234048</v>
      </c>
      <c r="AR272" s="48">
        <f t="shared" si="476"/>
        <v>6.4669618529867456</v>
      </c>
      <c r="AS272" s="48">
        <f t="shared" si="476"/>
        <v>6.424020028127873</v>
      </c>
      <c r="AT272" s="48">
        <f t="shared" si="476"/>
        <v>6.3813391692385579</v>
      </c>
      <c r="AU272" s="48">
        <f t="shared" si="476"/>
        <v>6.3389179797048296</v>
      </c>
      <c r="AV272" s="48">
        <f t="shared" si="476"/>
        <v>6.296755165762205</v>
      </c>
      <c r="AW272" s="48">
        <f t="shared" si="476"/>
        <v>6.254849436539403</v>
      </c>
      <c r="AX272" s="48">
        <f t="shared" si="476"/>
        <v>6.2131995041013006</v>
      </c>
      <c r="AY272" s="48">
        <f t="shared" si="476"/>
        <v>6.1718040834910441</v>
      </c>
      <c r="AZ272" s="48">
        <f t="shared" si="476"/>
        <v>6.1306618927713981</v>
      </c>
      <c r="BA272" s="459">
        <f t="shared" si="476"/>
        <v>6.089771653065287</v>
      </c>
    </row>
    <row r="273" spans="2:62" ht="20.100000000000001" customHeight="1">
      <c r="B273" s="16"/>
      <c r="C273" s="708"/>
      <c r="D273" s="708"/>
      <c r="E273" s="708"/>
      <c r="F273" s="16"/>
      <c r="G273" s="16"/>
      <c r="H273" s="16"/>
      <c r="I273" s="16"/>
      <c r="J273" s="708"/>
      <c r="K273" s="708"/>
      <c r="L273" s="16"/>
      <c r="M273" s="16"/>
      <c r="N273" s="708"/>
      <c r="O273" s="708"/>
      <c r="P273" s="708"/>
      <c r="Q273" s="708"/>
      <c r="R273" s="16"/>
      <c r="S273" s="466" t="s">
        <v>38</v>
      </c>
      <c r="T273" s="452" t="s">
        <v>2670</v>
      </c>
      <c r="U273" s="1516" t="s">
        <v>2715</v>
      </c>
      <c r="V273" s="1517"/>
      <c r="W273" s="1517"/>
      <c r="X273" s="1518"/>
      <c r="Y273" s="48">
        <f t="shared" ref="Y273:AN275" si="477">IF(Y$270=0,0,Y266/Y$270*100)</f>
        <v>48.737686405289452</v>
      </c>
      <c r="Z273" s="48">
        <f t="shared" si="477"/>
        <v>48.690829604974461</v>
      </c>
      <c r="AA273" s="48">
        <f t="shared" si="477"/>
        <v>48.643539261065904</v>
      </c>
      <c r="AB273" s="48">
        <f t="shared" si="477"/>
        <v>48.595817606456258</v>
      </c>
      <c r="AC273" s="48">
        <f t="shared" si="477"/>
        <v>48.54766687870034</v>
      </c>
      <c r="AD273" s="48">
        <f t="shared" si="477"/>
        <v>48.499089319897969</v>
      </c>
      <c r="AE273" s="48">
        <f t="shared" si="477"/>
        <v>48.450087176577561</v>
      </c>
      <c r="AF273" s="48">
        <f t="shared" si="477"/>
        <v>48.400662699580828</v>
      </c>
      <c r="AG273" s="48">
        <f t="shared" si="477"/>
        <v>48.35081814394826</v>
      </c>
      <c r="AH273" s="48">
        <f t="shared" si="477"/>
        <v>48.413403475025355</v>
      </c>
      <c r="AI273" s="48">
        <f t="shared" si="477"/>
        <v>48.475876225846484</v>
      </c>
      <c r="AJ273" s="48">
        <f t="shared" si="477"/>
        <v>48.538236677478416</v>
      </c>
      <c r="AK273" s="48">
        <f t="shared" si="477"/>
        <v>48.600485112068867</v>
      </c>
      <c r="AL273" s="48">
        <f t="shared" si="477"/>
        <v>48.662621812815068</v>
      </c>
      <c r="AM273" s="48">
        <f t="shared" si="477"/>
        <v>48.724647063932416</v>
      </c>
      <c r="AN273" s="48">
        <f t="shared" si="477"/>
        <v>48.786561150623612</v>
      </c>
      <c r="AO273" s="48">
        <f t="shared" si="476"/>
        <v>48.848364359048055</v>
      </c>
      <c r="AP273" s="48">
        <f t="shared" si="476"/>
        <v>48.910056976291507</v>
      </c>
      <c r="AQ273" s="48">
        <f t="shared" si="476"/>
        <v>48.971639290336157</v>
      </c>
      <c r="AR273" s="48">
        <f t="shared" si="476"/>
        <v>49.033111590030892</v>
      </c>
      <c r="AS273" s="48">
        <f t="shared" si="476"/>
        <v>49.094474165061968</v>
      </c>
      <c r="AT273" s="48">
        <f t="shared" si="476"/>
        <v>49.155727305923904</v>
      </c>
      <c r="AU273" s="48">
        <f t="shared" si="476"/>
        <v>49.216871303890755</v>
      </c>
      <c r="AV273" s="48">
        <f t="shared" si="476"/>
        <v>49.277906450987686</v>
      </c>
      <c r="AW273" s="48">
        <f t="shared" si="476"/>
        <v>49.338833039962729</v>
      </c>
      <c r="AX273" s="48">
        <f t="shared" si="476"/>
        <v>49.399651364259093</v>
      </c>
      <c r="AY273" s="48">
        <f t="shared" si="476"/>
        <v>49.460361717987453</v>
      </c>
      <c r="AZ273" s="48">
        <f t="shared" si="476"/>
        <v>49.520964395898844</v>
      </c>
      <c r="BA273" s="459">
        <f t="shared" si="476"/>
        <v>49.581459693357644</v>
      </c>
    </row>
    <row r="274" spans="2:62" ht="20.100000000000001" customHeight="1">
      <c r="B274" s="16"/>
      <c r="C274" s="708"/>
      <c r="D274" s="708"/>
      <c r="E274" s="708"/>
      <c r="F274" s="16"/>
      <c r="G274" s="16"/>
      <c r="H274" s="16"/>
      <c r="I274" s="16"/>
      <c r="J274" s="708"/>
      <c r="K274" s="708"/>
      <c r="L274" s="16"/>
      <c r="M274" s="16"/>
      <c r="N274" s="708"/>
      <c r="O274" s="708"/>
      <c r="P274" s="708"/>
      <c r="Q274" s="708"/>
      <c r="R274" s="16"/>
      <c r="S274" s="466" t="s">
        <v>39</v>
      </c>
      <c r="T274" s="452" t="s">
        <v>2670</v>
      </c>
      <c r="U274" s="1516" t="s">
        <v>2715</v>
      </c>
      <c r="V274" s="1517"/>
      <c r="W274" s="1517"/>
      <c r="X274" s="1518"/>
      <c r="Y274" s="48">
        <f t="shared" si="477"/>
        <v>10.358239049679396</v>
      </c>
      <c r="Z274" s="48">
        <f t="shared" si="476"/>
        <v>10.348280556066678</v>
      </c>
      <c r="AA274" s="48">
        <f t="shared" si="476"/>
        <v>10.338229921268939</v>
      </c>
      <c r="AB274" s="48">
        <f t="shared" si="476"/>
        <v>10.328087619843664</v>
      </c>
      <c r="AC274" s="48">
        <f t="shared" si="476"/>
        <v>10.317854127339237</v>
      </c>
      <c r="AD274" s="48">
        <f t="shared" si="476"/>
        <v>10.307529920269973</v>
      </c>
      <c r="AE274" s="48">
        <f t="shared" si="476"/>
        <v>10.297115476091424</v>
      </c>
      <c r="AF274" s="48">
        <f t="shared" si="476"/>
        <v>10.286611273175835</v>
      </c>
      <c r="AG274" s="48">
        <f t="shared" si="476"/>
        <v>10.276017790787815</v>
      </c>
      <c r="AH274" s="48">
        <f t="shared" si="476"/>
        <v>10.279181814859948</v>
      </c>
      <c r="AI274" s="48">
        <f t="shared" si="476"/>
        <v>10.282305750262854</v>
      </c>
      <c r="AJ274" s="48">
        <f t="shared" si="476"/>
        <v>10.285389756003333</v>
      </c>
      <c r="AK274" s="48">
        <f t="shared" si="476"/>
        <v>10.28843399090208</v>
      </c>
      <c r="AL274" s="48">
        <f t="shared" si="476"/>
        <v>10.291438613586759</v>
      </c>
      <c r="AM274" s="48">
        <f t="shared" si="476"/>
        <v>10.294403782485162</v>
      </c>
      <c r="AN274" s="48">
        <f t="shared" si="476"/>
        <v>10.297329655818489</v>
      </c>
      <c r="AO274" s="48">
        <f t="shared" si="476"/>
        <v>10.300216391594724</v>
      </c>
      <c r="AP274" s="48">
        <f t="shared" si="476"/>
        <v>10.303064147602123</v>
      </c>
      <c r="AQ274" s="48">
        <f t="shared" si="476"/>
        <v>10.305873081402808</v>
      </c>
      <c r="AR274" s="48">
        <f t="shared" si="476"/>
        <v>10.308643350326452</v>
      </c>
      <c r="AS274" s="48">
        <f t="shared" si="476"/>
        <v>10.311375111464084</v>
      </c>
      <c r="AT274" s="48">
        <f t="shared" si="476"/>
        <v>10.314068521661985</v>
      </c>
      <c r="AU274" s="48">
        <f t="shared" si="476"/>
        <v>10.316723737515678</v>
      </c>
      <c r="AV274" s="48">
        <f t="shared" si="476"/>
        <v>10.31934091536405</v>
      </c>
      <c r="AW274" s="48">
        <f t="shared" si="476"/>
        <v>10.321920211283528</v>
      </c>
      <c r="AX274" s="48">
        <f t="shared" si="476"/>
        <v>10.324461781082404</v>
      </c>
      <c r="AY274" s="48">
        <f t="shared" si="476"/>
        <v>10.3269657802952</v>
      </c>
      <c r="AZ274" s="48">
        <f t="shared" si="476"/>
        <v>10.329432364177192</v>
      </c>
      <c r="BA274" s="459">
        <f t="shared" si="476"/>
        <v>10.331861687698993</v>
      </c>
    </row>
    <row r="275" spans="2:62" ht="20.100000000000001" customHeight="1">
      <c r="B275" s="16"/>
      <c r="C275" s="708"/>
      <c r="D275" s="708"/>
      <c r="E275" s="708"/>
      <c r="F275" s="16"/>
      <c r="G275" s="16"/>
      <c r="H275" s="16"/>
      <c r="I275" s="16"/>
      <c r="J275" s="708"/>
      <c r="K275" s="708"/>
      <c r="L275" s="16"/>
      <c r="M275" s="16"/>
      <c r="N275" s="708"/>
      <c r="O275" s="708"/>
      <c r="P275" s="708"/>
      <c r="Q275" s="708"/>
      <c r="R275" s="16"/>
      <c r="S275" s="466" t="s">
        <v>55</v>
      </c>
      <c r="T275" s="452" t="s">
        <v>2670</v>
      </c>
      <c r="U275" s="1516" t="s">
        <v>2715</v>
      </c>
      <c r="V275" s="1517"/>
      <c r="W275" s="1517"/>
      <c r="X275" s="1518"/>
      <c r="Y275" s="48">
        <f t="shared" si="477"/>
        <v>3.580455440053941</v>
      </c>
      <c r="Z275" s="48">
        <f t="shared" si="476"/>
        <v>3.5770131616454792</v>
      </c>
      <c r="AA275" s="48">
        <f t="shared" si="476"/>
        <v>3.5735390334790047</v>
      </c>
      <c r="AB275" s="48">
        <f t="shared" si="476"/>
        <v>3.5700332195912758</v>
      </c>
      <c r="AC275" s="48">
        <f t="shared" si="476"/>
        <v>3.566495884361562</v>
      </c>
      <c r="AD275" s="48">
        <f t="shared" si="476"/>
        <v>3.5629271925030244</v>
      </c>
      <c r="AE275" s="48">
        <f t="shared" si="476"/>
        <v>3.5593273090541686</v>
      </c>
      <c r="AF275" s="48">
        <f t="shared" si="476"/>
        <v>3.5556963993703734</v>
      </c>
      <c r="AG275" s="48">
        <f t="shared" si="476"/>
        <v>3.5520346291154699</v>
      </c>
      <c r="AH275" s="48">
        <f t="shared" si="476"/>
        <v>3.5531283137801308</v>
      </c>
      <c r="AI275" s="48">
        <f t="shared" si="476"/>
        <v>3.5542081412927105</v>
      </c>
      <c r="AJ275" s="48">
        <f t="shared" si="476"/>
        <v>3.5552741666159049</v>
      </c>
      <c r="AK275" s="48">
        <f t="shared" si="476"/>
        <v>3.5563264446480827</v>
      </c>
      <c r="AL275" s="48">
        <f t="shared" si="476"/>
        <v>3.5573650302208875</v>
      </c>
      <c r="AM275" s="48">
        <f t="shared" si="476"/>
        <v>3.5583899780968777</v>
      </c>
      <c r="AN275" s="48">
        <f t="shared" si="476"/>
        <v>3.5594013429671971</v>
      </c>
      <c r="AO275" s="48">
        <f t="shared" si="476"/>
        <v>3.5603991794492909</v>
      </c>
      <c r="AP275" s="48">
        <f t="shared" si="476"/>
        <v>3.561383542084652</v>
      </c>
      <c r="AQ275" s="48">
        <f t="shared" si="476"/>
        <v>3.5623544853366065</v>
      </c>
      <c r="AR275" s="48">
        <f t="shared" si="476"/>
        <v>3.5633120635881324</v>
      </c>
      <c r="AS275" s="48">
        <f t="shared" si="476"/>
        <v>3.5642563311397168</v>
      </c>
      <c r="AT275" s="48">
        <f t="shared" si="476"/>
        <v>3.5651873422072455</v>
      </c>
      <c r="AU275" s="48">
        <f t="shared" si="476"/>
        <v>3.5661051509199306</v>
      </c>
      <c r="AV275" s="48">
        <f t="shared" si="476"/>
        <v>3.5670098113182709</v>
      </c>
      <c r="AW275" s="48">
        <f t="shared" si="476"/>
        <v>3.5679013773520452</v>
      </c>
      <c r="AX275" s="48">
        <f t="shared" si="476"/>
        <v>3.5687799028783447</v>
      </c>
      <c r="AY275" s="48">
        <f t="shared" si="476"/>
        <v>3.5696454416596324</v>
      </c>
      <c r="AZ275" s="48">
        <f t="shared" si="476"/>
        <v>3.5704980473618448</v>
      </c>
      <c r="BA275" s="459">
        <f t="shared" si="476"/>
        <v>3.5713377735525187</v>
      </c>
    </row>
    <row r="276" spans="2:62" ht="20.100000000000001" customHeight="1" thickBot="1">
      <c r="B276" s="16"/>
      <c r="C276" s="708"/>
      <c r="D276" s="708"/>
      <c r="E276" s="708"/>
      <c r="F276" s="16"/>
      <c r="G276" s="16"/>
      <c r="H276" s="16"/>
      <c r="I276" s="16"/>
      <c r="J276" s="708"/>
      <c r="K276" s="708"/>
      <c r="L276" s="16"/>
      <c r="M276" s="16"/>
      <c r="N276" s="708"/>
      <c r="O276" s="708"/>
      <c r="P276" s="708"/>
      <c r="Q276" s="708"/>
      <c r="R276" s="16"/>
      <c r="S276" s="466" t="s">
        <v>37</v>
      </c>
      <c r="T276" s="496" t="s">
        <v>2670</v>
      </c>
      <c r="U276" s="1510" t="s">
        <v>2715</v>
      </c>
      <c r="V276" s="1511"/>
      <c r="W276" s="1511"/>
      <c r="X276" s="1512"/>
      <c r="Y276" s="447">
        <f>IF(Y$270=0,0,Y269/Y$270*100)</f>
        <v>29.911845858745</v>
      </c>
      <c r="Z276" s="447">
        <f t="shared" ref="Z276:BA276" si="478">IF(Z$270=0,0,Z269/Z$270*100)</f>
        <v>30.030295703517357</v>
      </c>
      <c r="AA276" s="447">
        <f t="shared" si="478"/>
        <v>30.148917977498364</v>
      </c>
      <c r="AB276" s="447">
        <f t="shared" si="478"/>
        <v>30.267711572196916</v>
      </c>
      <c r="AC276" s="447">
        <f t="shared" si="478"/>
        <v>30.386675374116145</v>
      </c>
      <c r="AD276" s="447">
        <f t="shared" si="478"/>
        <v>30.505808264769428</v>
      </c>
      <c r="AE276" s="447">
        <f t="shared" si="478"/>
        <v>30.625109120696781</v>
      </c>
      <c r="AF276" s="447">
        <f t="shared" si="478"/>
        <v>30.744576813481689</v>
      </c>
      <c r="AG276" s="447">
        <f t="shared" si="478"/>
        <v>30.864210209768174</v>
      </c>
      <c r="AH276" s="447">
        <f t="shared" si="478"/>
        <v>30.843265965682161</v>
      </c>
      <c r="AI276" s="447">
        <f t="shared" si="478"/>
        <v>30.822212844224644</v>
      </c>
      <c r="AJ276" s="447">
        <f t="shared" si="478"/>
        <v>30.801051675192603</v>
      </c>
      <c r="AK276" s="447">
        <f t="shared" si="478"/>
        <v>30.779783285239454</v>
      </c>
      <c r="AL276" s="447">
        <f t="shared" si="478"/>
        <v>30.758408497862817</v>
      </c>
      <c r="AM276" s="447">
        <f t="shared" si="478"/>
        <v>30.736928133392738</v>
      </c>
      <c r="AN276" s="447">
        <f t="shared" si="478"/>
        <v>30.715343008980373</v>
      </c>
      <c r="AO276" s="447">
        <f t="shared" si="478"/>
        <v>30.693653938586991</v>
      </c>
      <c r="AP276" s="447">
        <f t="shared" si="478"/>
        <v>30.671861732973525</v>
      </c>
      <c r="AQ276" s="447">
        <f t="shared" si="478"/>
        <v>30.649967199690387</v>
      </c>
      <c r="AR276" s="447">
        <f t="shared" si="478"/>
        <v>30.627971143067779</v>
      </c>
      <c r="AS276" s="447">
        <f t="shared" si="478"/>
        <v>30.605874364206365</v>
      </c>
      <c r="AT276" s="447">
        <f t="shared" si="478"/>
        <v>30.583677660968323</v>
      </c>
      <c r="AU276" s="447">
        <f t="shared" si="478"/>
        <v>30.561381827968809</v>
      </c>
      <c r="AV276" s="447">
        <f t="shared" si="478"/>
        <v>30.538987656567805</v>
      </c>
      <c r="AW276" s="447">
        <f t="shared" si="478"/>
        <v>30.516495934862288</v>
      </c>
      <c r="AX276" s="447">
        <f t="shared" si="478"/>
        <v>30.493907447678868</v>
      </c>
      <c r="AY276" s="447">
        <f t="shared" si="478"/>
        <v>30.471222976566676</v>
      </c>
      <c r="AZ276" s="447">
        <f t="shared" si="478"/>
        <v>30.448443299790721</v>
      </c>
      <c r="BA276" s="461">
        <f t="shared" si="478"/>
        <v>30.425569192325558</v>
      </c>
    </row>
    <row r="277" spans="2:62" ht="20.100000000000001" customHeight="1" thickBot="1">
      <c r="B277" s="16"/>
      <c r="C277" s="708"/>
      <c r="D277" s="708"/>
      <c r="E277" s="708"/>
      <c r="F277" s="16"/>
      <c r="G277" s="16"/>
      <c r="H277" s="16"/>
      <c r="I277" s="16"/>
      <c r="J277" s="708"/>
      <c r="K277" s="708"/>
      <c r="L277" s="16"/>
      <c r="M277" s="16"/>
      <c r="N277" s="708"/>
      <c r="O277" s="708"/>
      <c r="P277" s="708"/>
      <c r="Q277" s="708"/>
      <c r="R277" s="16"/>
      <c r="S277" s="467" t="s">
        <v>128</v>
      </c>
      <c r="T277" s="922" t="s">
        <v>130</v>
      </c>
      <c r="U277" s="1458"/>
      <c r="V277" s="1459"/>
      <c r="W277" s="1459"/>
      <c r="X277" s="1460"/>
      <c r="Y277" s="833">
        <f t="shared" ref="Y277:BA277" si="479">SUM(Y272:Y276)</f>
        <v>99.999999999999972</v>
      </c>
      <c r="Z277" s="833">
        <f t="shared" si="479"/>
        <v>99.999999999999986</v>
      </c>
      <c r="AA277" s="833">
        <f t="shared" si="479"/>
        <v>100</v>
      </c>
      <c r="AB277" s="833">
        <f t="shared" si="479"/>
        <v>100</v>
      </c>
      <c r="AC277" s="833">
        <f t="shared" si="479"/>
        <v>99.999999999999972</v>
      </c>
      <c r="AD277" s="833">
        <f t="shared" si="479"/>
        <v>100</v>
      </c>
      <c r="AE277" s="833">
        <f t="shared" si="479"/>
        <v>100</v>
      </c>
      <c r="AF277" s="833">
        <f t="shared" si="479"/>
        <v>100.00000000000001</v>
      </c>
      <c r="AG277" s="833">
        <f t="shared" si="479"/>
        <v>100</v>
      </c>
      <c r="AH277" s="833">
        <f t="shared" si="479"/>
        <v>100</v>
      </c>
      <c r="AI277" s="833">
        <f t="shared" si="479"/>
        <v>100</v>
      </c>
      <c r="AJ277" s="833">
        <f t="shared" si="479"/>
        <v>100.00000000000003</v>
      </c>
      <c r="AK277" s="833">
        <f t="shared" si="479"/>
        <v>100</v>
      </c>
      <c r="AL277" s="833">
        <f t="shared" si="479"/>
        <v>100.00000000000001</v>
      </c>
      <c r="AM277" s="833">
        <f t="shared" si="479"/>
        <v>100.00000000000001</v>
      </c>
      <c r="AN277" s="833">
        <f t="shared" si="479"/>
        <v>100</v>
      </c>
      <c r="AO277" s="833">
        <f t="shared" si="479"/>
        <v>100.00000000000001</v>
      </c>
      <c r="AP277" s="833">
        <f t="shared" si="479"/>
        <v>100.00000000000001</v>
      </c>
      <c r="AQ277" s="833">
        <f t="shared" si="479"/>
        <v>100.00000000000003</v>
      </c>
      <c r="AR277" s="833">
        <f t="shared" si="479"/>
        <v>100</v>
      </c>
      <c r="AS277" s="833">
        <f t="shared" si="479"/>
        <v>100</v>
      </c>
      <c r="AT277" s="833">
        <f t="shared" si="479"/>
        <v>100.00000000000001</v>
      </c>
      <c r="AU277" s="833">
        <f t="shared" si="479"/>
        <v>100</v>
      </c>
      <c r="AV277" s="833">
        <f t="shared" si="479"/>
        <v>100.00000000000003</v>
      </c>
      <c r="AW277" s="833">
        <f t="shared" si="479"/>
        <v>100</v>
      </c>
      <c r="AX277" s="833">
        <f t="shared" si="479"/>
        <v>100.00000000000001</v>
      </c>
      <c r="AY277" s="833">
        <f t="shared" si="479"/>
        <v>100.00000000000001</v>
      </c>
      <c r="AZ277" s="833">
        <f t="shared" si="479"/>
        <v>100.00000000000001</v>
      </c>
      <c r="BA277" s="834">
        <f t="shared" si="479"/>
        <v>99.999999999999986</v>
      </c>
    </row>
    <row r="278" spans="2:62" ht="20.100000000000001" customHeight="1">
      <c r="B278" s="16"/>
      <c r="C278" s="708"/>
      <c r="D278" s="708"/>
      <c r="E278" s="708"/>
      <c r="F278" s="16"/>
      <c r="G278" s="16"/>
      <c r="H278" s="16"/>
      <c r="I278" s="16"/>
      <c r="J278" s="708"/>
      <c r="K278" s="708"/>
      <c r="L278" s="16"/>
      <c r="M278" s="16"/>
      <c r="N278" s="708"/>
      <c r="O278" s="708"/>
      <c r="P278" s="708"/>
      <c r="Q278" s="708"/>
      <c r="R278" s="16"/>
    </row>
    <row r="279" spans="2:62" ht="20.100000000000001" customHeight="1" thickBot="1">
      <c r="B279" s="16"/>
      <c r="C279" s="708"/>
      <c r="D279" s="708"/>
      <c r="E279" s="708"/>
      <c r="F279" s="16"/>
      <c r="G279" s="16"/>
      <c r="H279" s="16"/>
      <c r="I279" s="16"/>
      <c r="J279" s="708"/>
      <c r="K279" s="708"/>
      <c r="L279" s="16"/>
      <c r="M279" s="16"/>
      <c r="N279" s="708"/>
      <c r="O279" s="708"/>
      <c r="P279" s="708"/>
      <c r="Q279" s="708"/>
      <c r="R279" s="708"/>
      <c r="S279" s="885" t="s">
        <v>2673</v>
      </c>
    </row>
    <row r="280" spans="2:62" ht="20.100000000000001" customHeight="1">
      <c r="B280" s="16"/>
      <c r="C280" s="708"/>
      <c r="D280" s="708"/>
      <c r="E280" s="708"/>
      <c r="F280" s="16"/>
      <c r="G280" s="16"/>
      <c r="H280" s="16"/>
      <c r="I280" s="16"/>
      <c r="J280" s="708"/>
      <c r="K280" s="708"/>
      <c r="L280" s="16"/>
      <c r="M280" s="16"/>
      <c r="N280" s="708"/>
      <c r="O280" s="708"/>
      <c r="P280" s="708"/>
      <c r="Q280" s="708"/>
      <c r="R280" s="16"/>
      <c r="S280" s="948" t="s">
        <v>2685</v>
      </c>
      <c r="T280" s="936"/>
      <c r="U280" s="936"/>
      <c r="V280" s="936"/>
      <c r="W280" s="936"/>
      <c r="X280" s="935">
        <v>2021</v>
      </c>
      <c r="Y280" s="935">
        <v>2022</v>
      </c>
      <c r="Z280" s="935">
        <v>2023</v>
      </c>
      <c r="AA280" s="935">
        <v>2024</v>
      </c>
      <c r="AB280" s="935">
        <v>2025</v>
      </c>
      <c r="AC280" s="935">
        <v>2026</v>
      </c>
      <c r="AD280" s="935">
        <v>2027</v>
      </c>
      <c r="AE280" s="935">
        <v>2028</v>
      </c>
      <c r="AF280" s="935">
        <v>2029</v>
      </c>
      <c r="AG280" s="935">
        <v>2030</v>
      </c>
      <c r="AH280" s="935">
        <v>2031</v>
      </c>
      <c r="AI280" s="935">
        <v>2032</v>
      </c>
      <c r="AJ280" s="935">
        <v>2033</v>
      </c>
      <c r="AK280" s="935">
        <v>2034</v>
      </c>
      <c r="AL280" s="935">
        <v>2035</v>
      </c>
      <c r="AM280" s="935">
        <v>2036</v>
      </c>
      <c r="AN280" s="935">
        <v>2037</v>
      </c>
      <c r="AO280" s="935">
        <v>2038</v>
      </c>
      <c r="AP280" s="935">
        <v>2039</v>
      </c>
      <c r="AQ280" s="935">
        <v>2040</v>
      </c>
      <c r="AR280" s="935">
        <v>2041</v>
      </c>
      <c r="AS280" s="935">
        <v>2042</v>
      </c>
      <c r="AT280" s="935">
        <v>2043</v>
      </c>
      <c r="AU280" s="935">
        <v>2044</v>
      </c>
      <c r="AV280" s="935">
        <v>2045</v>
      </c>
      <c r="AW280" s="935">
        <v>2046</v>
      </c>
      <c r="AX280" s="935">
        <v>2047</v>
      </c>
      <c r="AY280" s="935">
        <v>2048</v>
      </c>
      <c r="AZ280" s="935">
        <v>2049</v>
      </c>
      <c r="BA280" s="153">
        <v>2050</v>
      </c>
    </row>
    <row r="281" spans="2:62" ht="20.100000000000001" customHeight="1">
      <c r="B281" s="16"/>
      <c r="C281" s="708"/>
      <c r="D281" s="708"/>
      <c r="E281" s="708"/>
      <c r="F281" s="16"/>
      <c r="G281" s="16"/>
      <c r="H281" s="16"/>
      <c r="I281" s="16"/>
      <c r="J281" s="708"/>
      <c r="K281" s="708"/>
      <c r="L281" s="16"/>
      <c r="M281" s="16"/>
      <c r="N281" s="708"/>
      <c r="O281" s="708"/>
      <c r="P281" s="708"/>
      <c r="Q281" s="708"/>
      <c r="R281" s="16"/>
      <c r="S281" s="101" t="s">
        <v>2561</v>
      </c>
      <c r="T281" s="383" t="s">
        <v>2796</v>
      </c>
      <c r="U281" s="383"/>
      <c r="V281" s="1463" t="s">
        <v>2717</v>
      </c>
      <c r="W281" s="1464"/>
      <c r="X281" s="1465"/>
      <c r="Y281" s="123">
        <f>Y124*INDEX('DEFAULT DATA'!$JV$9:$JV$41,START!$C$3,1)*Y259</f>
        <v>0</v>
      </c>
      <c r="Z281" s="123">
        <f>Z124*INDEX('DEFAULT DATA'!$JV$9:$JV$41,START!$C$3,1)*Z259</f>
        <v>0</v>
      </c>
      <c r="AA281" s="123">
        <f>AA124*INDEX('DEFAULT DATA'!$JV$9:$JV$41,START!$C$3,1)*AA259</f>
        <v>0</v>
      </c>
      <c r="AB281" s="123">
        <f>AB124*INDEX('DEFAULT DATA'!$JV$9:$JV$41,START!$C$3,1)*AB259</f>
        <v>0</v>
      </c>
      <c r="AC281" s="123">
        <f>AC124*INDEX('DEFAULT DATA'!$JV$9:$JV$41,START!$C$3,1)*AC259</f>
        <v>0</v>
      </c>
      <c r="AD281" s="123">
        <f>AD124*INDEX('DEFAULT DATA'!$JV$9:$JV$41,START!$C$3,1)*AD259</f>
        <v>0</v>
      </c>
      <c r="AE281" s="123">
        <f>AE124*INDEX('DEFAULT DATA'!$JV$9:$JV$41,START!$C$3,1)*AE259</f>
        <v>0</v>
      </c>
      <c r="AF281" s="123">
        <f>AF124*INDEX('DEFAULT DATA'!$JV$9:$JV$41,START!$C$3,1)*AF259</f>
        <v>0</v>
      </c>
      <c r="AG281" s="123">
        <f>AG124*INDEX('DEFAULT DATA'!$JV$9:$JV$41,START!$C$3,1)*AG259</f>
        <v>0</v>
      </c>
      <c r="AH281" s="123">
        <f>AH124*INDEX('DEFAULT DATA'!$JV$9:$JV$41,START!$C$3,1)*AH259</f>
        <v>0</v>
      </c>
      <c r="AI281" s="123">
        <f>AI124*INDEX('DEFAULT DATA'!$JV$9:$JV$41,START!$C$3,1)*AI259</f>
        <v>0</v>
      </c>
      <c r="AJ281" s="123">
        <f>AJ124*INDEX('DEFAULT DATA'!$JV$9:$JV$41,START!$C$3,1)*AJ259</f>
        <v>0</v>
      </c>
      <c r="AK281" s="123">
        <f>AK124*INDEX('DEFAULT DATA'!$JV$9:$JV$41,START!$C$3,1)*AK259</f>
        <v>0</v>
      </c>
      <c r="AL281" s="123">
        <f>AL124*INDEX('DEFAULT DATA'!$JV$9:$JV$41,START!$C$3,1)*AL259</f>
        <v>0</v>
      </c>
      <c r="AM281" s="123">
        <f>AM124*INDEX('DEFAULT DATA'!$JV$9:$JV$41,START!$C$3,1)*AM259</f>
        <v>0</v>
      </c>
      <c r="AN281" s="123">
        <f>AN124*INDEX('DEFAULT DATA'!$JV$9:$JV$41,START!$C$3,1)*AN259</f>
        <v>0</v>
      </c>
      <c r="AO281" s="123">
        <f>AO124*INDEX('DEFAULT DATA'!$JV$9:$JV$41,START!$C$3,1)*AO259</f>
        <v>0</v>
      </c>
      <c r="AP281" s="123">
        <f>AP124*INDEX('DEFAULT DATA'!$JV$9:$JV$41,START!$C$3,1)*AP259</f>
        <v>0</v>
      </c>
      <c r="AQ281" s="123">
        <f>AQ124*INDEX('DEFAULT DATA'!$JV$9:$JV$41,START!$C$3,1)*AQ259</f>
        <v>0</v>
      </c>
      <c r="AR281" s="123">
        <f>AR124*INDEX('DEFAULT DATA'!$JV$9:$JV$41,START!$C$3,1)*AR259</f>
        <v>0</v>
      </c>
      <c r="AS281" s="123">
        <f>AS124*INDEX('DEFAULT DATA'!$JV$9:$JV$41,START!$C$3,1)*AS259</f>
        <v>0</v>
      </c>
      <c r="AT281" s="123">
        <f>AT124*INDEX('DEFAULT DATA'!$JV$9:$JV$41,START!$C$3,1)*AT259</f>
        <v>0</v>
      </c>
      <c r="AU281" s="123">
        <f>AU124*INDEX('DEFAULT DATA'!$JV$9:$JV$41,START!$C$3,1)*AU259</f>
        <v>0</v>
      </c>
      <c r="AV281" s="123">
        <f>AV124*INDEX('DEFAULT DATA'!$JV$9:$JV$41,START!$C$3,1)*AV259</f>
        <v>0</v>
      </c>
      <c r="AW281" s="123">
        <f>AW124*INDEX('DEFAULT DATA'!$JV$9:$JV$41,START!$C$3,1)*AW259</f>
        <v>0</v>
      </c>
      <c r="AX281" s="123">
        <f>AX124*INDEX('DEFAULT DATA'!$JV$9:$JV$41,START!$C$3,1)*AX259</f>
        <v>0</v>
      </c>
      <c r="AY281" s="123">
        <f>AY124*INDEX('DEFAULT DATA'!$JV$9:$JV$41,START!$C$3,1)*AY259</f>
        <v>0</v>
      </c>
      <c r="AZ281" s="123">
        <f>AZ124*INDEX('DEFAULT DATA'!$JV$9:$JV$41,START!$C$3,1)*AZ259</f>
        <v>0</v>
      </c>
      <c r="BA281" s="159">
        <f>BA124*INDEX('DEFAULT DATA'!$JV$9:$JV$41,START!$C$3,1)*BA259</f>
        <v>0</v>
      </c>
    </row>
    <row r="282" spans="2:62" ht="20.100000000000001" customHeight="1">
      <c r="B282" s="16"/>
      <c r="C282" s="708"/>
      <c r="D282" s="708"/>
      <c r="E282" s="708"/>
      <c r="F282" s="16"/>
      <c r="G282" s="16"/>
      <c r="H282" s="16"/>
      <c r="I282" s="16"/>
      <c r="J282" s="708"/>
      <c r="K282" s="708"/>
      <c r="L282" s="16"/>
      <c r="M282" s="16"/>
      <c r="N282" s="708"/>
      <c r="O282" s="708"/>
      <c r="P282" s="708"/>
      <c r="Q282" s="708"/>
      <c r="R282" s="16"/>
      <c r="S282" s="101" t="s">
        <v>2562</v>
      </c>
      <c r="T282" s="383" t="s">
        <v>2797</v>
      </c>
      <c r="U282" s="383"/>
      <c r="V282" s="1463" t="s">
        <v>2717</v>
      </c>
      <c r="W282" s="1464"/>
      <c r="X282" s="1465"/>
      <c r="Y282" s="123">
        <f>Y136*INDEX('DEFAULT DATA'!$LM$9:$LM$41,START!$C$3,1)*Y260</f>
        <v>54050.262275736604</v>
      </c>
      <c r="Z282" s="123">
        <f>Z136*INDEX('DEFAULT DATA'!$LM$9:$LM$41,START!$C$3,1)*Z260</f>
        <v>55401.518832630019</v>
      </c>
      <c r="AA282" s="123">
        <f>AA136*INDEX('DEFAULT DATA'!$LM$9:$LM$41,START!$C$3,1)*AA260</f>
        <v>56786.556803445761</v>
      </c>
      <c r="AB282" s="123">
        <f>AB136*INDEX('DEFAULT DATA'!$LM$9:$LM$41,START!$C$3,1)*AB260</f>
        <v>58206.220723531907</v>
      </c>
      <c r="AC282" s="123">
        <f>AC136*INDEX('DEFAULT DATA'!$LM$9:$LM$41,START!$C$3,1)*AC260</f>
        <v>59661.376241620201</v>
      </c>
      <c r="AD282" s="123">
        <f>AD136*INDEX('DEFAULT DATA'!$LM$9:$LM$41,START!$C$3,1)*AD260</f>
        <v>61152.910647660712</v>
      </c>
      <c r="AE282" s="123">
        <f>AE136*INDEX('DEFAULT DATA'!$LM$9:$LM$41,START!$C$3,1)*AE260</f>
        <v>62681.733413852227</v>
      </c>
      <c r="AF282" s="123">
        <f>AF136*INDEX('DEFAULT DATA'!$LM$9:$LM$41,START!$C$3,1)*AF260</f>
        <v>64248.776749198529</v>
      </c>
      <c r="AG282" s="123">
        <f>AG136*INDEX('DEFAULT DATA'!$LM$9:$LM$41,START!$C$3,1)*AG260</f>
        <v>65854.99616792849</v>
      </c>
      <c r="AH282" s="123">
        <f>AH136*INDEX('DEFAULT DATA'!$LM$9:$LM$41,START!$C$3,1)*AH260</f>
        <v>66711.111118111556</v>
      </c>
      <c r="AI282" s="123">
        <f>AI136*INDEX('DEFAULT DATA'!$LM$9:$LM$41,START!$C$3,1)*AI260</f>
        <v>67578.355562647004</v>
      </c>
      <c r="AJ282" s="123">
        <f>AJ136*INDEX('DEFAULT DATA'!$LM$9:$LM$41,START!$C$3,1)*AJ260</f>
        <v>68456.874184961416</v>
      </c>
      <c r="AK282" s="123">
        <f>AK136*INDEX('DEFAULT DATA'!$LM$9:$LM$41,START!$C$3,1)*AK260</f>
        <v>69346.813549365921</v>
      </c>
      <c r="AL282" s="123">
        <f>AL136*INDEX('DEFAULT DATA'!$LM$9:$LM$41,START!$C$3,1)*AL260</f>
        <v>70248.322125507664</v>
      </c>
      <c r="AM282" s="123">
        <f>AM136*INDEX('DEFAULT DATA'!$LM$9:$LM$41,START!$C$3,1)*AM260</f>
        <v>71161.550313139276</v>
      </c>
      <c r="AN282" s="123">
        <f>AN136*INDEX('DEFAULT DATA'!$LM$9:$LM$41,START!$C$3,1)*AN260</f>
        <v>72086.650467210071</v>
      </c>
      <c r="AO282" s="123">
        <f>AO136*INDEX('DEFAULT DATA'!$LM$9:$LM$41,START!$C$3,1)*AO260</f>
        <v>73023.776923283804</v>
      </c>
      <c r="AP282" s="123">
        <f>AP136*INDEX('DEFAULT DATA'!$LM$9:$LM$41,START!$C$3,1)*AP260</f>
        <v>73973.086023286494</v>
      </c>
      <c r="AQ282" s="123">
        <f>AQ136*INDEX('DEFAULT DATA'!$LM$9:$LM$41,START!$C$3,1)*AQ260</f>
        <v>74934.736141589208</v>
      </c>
      <c r="AR282" s="123">
        <f>AR136*INDEX('DEFAULT DATA'!$LM$9:$LM$41,START!$C$3,1)*AR260</f>
        <v>75908.887711429867</v>
      </c>
      <c r="AS282" s="123">
        <f>AS136*INDEX('DEFAULT DATA'!$LM$9:$LM$41,START!$C$3,1)*AS260</f>
        <v>76895.703251678453</v>
      </c>
      <c r="AT282" s="123">
        <f>AT136*INDEX('DEFAULT DATA'!$LM$9:$LM$41,START!$C$3,1)*AT260</f>
        <v>77895.347393950273</v>
      </c>
      <c r="AU282" s="123">
        <f>AU136*INDEX('DEFAULT DATA'!$LM$9:$LM$41,START!$C$3,1)*AU260</f>
        <v>78907.986910071631</v>
      </c>
      <c r="AV282" s="123">
        <f>AV136*INDEX('DEFAULT DATA'!$LM$9:$LM$41,START!$C$3,1)*AV260</f>
        <v>79933.790739902557</v>
      </c>
      <c r="AW282" s="123">
        <f>AW136*INDEX('DEFAULT DATA'!$LM$9:$LM$41,START!$C$3,1)*AW260</f>
        <v>80972.930019521285</v>
      </c>
      <c r="AX282" s="123">
        <f>AX136*INDEX('DEFAULT DATA'!$LM$9:$LM$41,START!$C$3,1)*AX260</f>
        <v>82025.578109775059</v>
      </c>
      <c r="AY282" s="123">
        <f>AY136*INDEX('DEFAULT DATA'!$LM$9:$LM$41,START!$C$3,1)*AY260</f>
        <v>83091.91062520213</v>
      </c>
      <c r="AZ282" s="123">
        <f>AZ136*INDEX('DEFAULT DATA'!$LM$9:$LM$41,START!$C$3,1)*AZ260</f>
        <v>84172.105463329761</v>
      </c>
      <c r="BA282" s="159">
        <f>BA136*INDEX('DEFAULT DATA'!$LM$9:$LM$41,START!$C$3,1)*BA260</f>
        <v>85266.34283435304</v>
      </c>
    </row>
    <row r="283" spans="2:62" ht="20.100000000000001" customHeight="1" thickBot="1">
      <c r="B283" s="16"/>
      <c r="C283" s="708"/>
      <c r="D283" s="708"/>
      <c r="E283" s="708"/>
      <c r="F283" s="16"/>
      <c r="G283" s="16"/>
      <c r="H283" s="16"/>
      <c r="I283" s="16"/>
      <c r="J283" s="708"/>
      <c r="K283" s="708"/>
      <c r="L283" s="16"/>
      <c r="M283" s="16"/>
      <c r="N283" s="708"/>
      <c r="O283" s="708"/>
      <c r="P283" s="708"/>
      <c r="Q283" s="708"/>
      <c r="R283" s="16"/>
      <c r="S283" s="301" t="s">
        <v>2566</v>
      </c>
      <c r="T283" s="448" t="s">
        <v>2798</v>
      </c>
      <c r="U283" s="448"/>
      <c r="V283" s="1466" t="s">
        <v>2717</v>
      </c>
      <c r="W283" s="1467"/>
      <c r="X283" s="1468"/>
      <c r="Y283" s="160">
        <f>Y167*INDEX('DEFAULT DATA'!$LX$9:$LX$41,START!$C$3,1)*Y261</f>
        <v>0</v>
      </c>
      <c r="Z283" s="160">
        <f>Z167*INDEX('DEFAULT DATA'!$LX$9:$LX$41,START!$C$3,1)*Z261</f>
        <v>0</v>
      </c>
      <c r="AA283" s="160">
        <f>AA167*INDEX('DEFAULT DATA'!$LX$9:$LX$41,START!$C$3,1)*AA261</f>
        <v>0</v>
      </c>
      <c r="AB283" s="160">
        <f>AB167*INDEX('DEFAULT DATA'!$LX$9:$LX$41,START!$C$3,1)*AB261</f>
        <v>0</v>
      </c>
      <c r="AC283" s="160">
        <f>AC167*INDEX('DEFAULT DATA'!$LX$9:$LX$41,START!$C$3,1)*AC261</f>
        <v>0</v>
      </c>
      <c r="AD283" s="160">
        <f>AD167*INDEX('DEFAULT DATA'!$LX$9:$LX$41,START!$C$3,1)*AD261</f>
        <v>0</v>
      </c>
      <c r="AE283" s="160">
        <f>AE167*INDEX('DEFAULT DATA'!$LX$9:$LX$41,START!$C$3,1)*AE261</f>
        <v>0</v>
      </c>
      <c r="AF283" s="160">
        <f>AF167*INDEX('DEFAULT DATA'!$LX$9:$LX$41,START!$C$3,1)*AF261</f>
        <v>0</v>
      </c>
      <c r="AG283" s="160">
        <f>AG167*INDEX('DEFAULT DATA'!$LX$9:$LX$41,START!$C$3,1)*AG261</f>
        <v>0</v>
      </c>
      <c r="AH283" s="160">
        <f>AH167*INDEX('DEFAULT DATA'!$LX$9:$LX$41,START!$C$3,1)*AH261</f>
        <v>0</v>
      </c>
      <c r="AI283" s="160">
        <f>AI167*INDEX('DEFAULT DATA'!$LX$9:$LX$41,START!$C$3,1)*AI261</f>
        <v>0</v>
      </c>
      <c r="AJ283" s="160">
        <f>AJ167*INDEX('DEFAULT DATA'!$LX$9:$LX$41,START!$C$3,1)*AJ261</f>
        <v>0</v>
      </c>
      <c r="AK283" s="160">
        <f>AK167*INDEX('DEFAULT DATA'!$LX$9:$LX$41,START!$C$3,1)*AK261</f>
        <v>0</v>
      </c>
      <c r="AL283" s="160">
        <f>AL167*INDEX('DEFAULT DATA'!$LX$9:$LX$41,START!$C$3,1)*AL261</f>
        <v>0</v>
      </c>
      <c r="AM283" s="160">
        <f>AM167*INDEX('DEFAULT DATA'!$LX$9:$LX$41,START!$C$3,1)*AM261</f>
        <v>0</v>
      </c>
      <c r="AN283" s="160">
        <f>AN167*INDEX('DEFAULT DATA'!$LX$9:$LX$41,START!$C$3,1)*AN261</f>
        <v>0</v>
      </c>
      <c r="AO283" s="160">
        <f>AO167*INDEX('DEFAULT DATA'!$LX$9:$LX$41,START!$C$3,1)*AO261</f>
        <v>0</v>
      </c>
      <c r="AP283" s="160">
        <f>AP167*INDEX('DEFAULT DATA'!$LX$9:$LX$41,START!$C$3,1)*AP261</f>
        <v>0</v>
      </c>
      <c r="AQ283" s="160">
        <f>AQ167*INDEX('DEFAULT DATA'!$LX$9:$LX$41,START!$C$3,1)*AQ261</f>
        <v>0</v>
      </c>
      <c r="AR283" s="160">
        <f>AR167*INDEX('DEFAULT DATA'!$LX$9:$LX$41,START!$C$3,1)*AR261</f>
        <v>0</v>
      </c>
      <c r="AS283" s="160">
        <f>AS167*INDEX('DEFAULT DATA'!$LX$9:$LX$41,START!$C$3,1)*AS261</f>
        <v>0</v>
      </c>
      <c r="AT283" s="160">
        <f>AT167*INDEX('DEFAULT DATA'!$LX$9:$LX$41,START!$C$3,1)*AT261</f>
        <v>0</v>
      </c>
      <c r="AU283" s="160">
        <f>AU167*INDEX('DEFAULT DATA'!$LX$9:$LX$41,START!$C$3,1)*AU261</f>
        <v>0</v>
      </c>
      <c r="AV283" s="160">
        <f>AV167*INDEX('DEFAULT DATA'!$LX$9:$LX$41,START!$C$3,1)*AV261</f>
        <v>0</v>
      </c>
      <c r="AW283" s="160">
        <f>AW167*INDEX('DEFAULT DATA'!$LX$9:$LX$41,START!$C$3,1)*AW261</f>
        <v>0</v>
      </c>
      <c r="AX283" s="160">
        <f>AX167*INDEX('DEFAULT DATA'!$LX$9:$LX$41,START!$C$3,1)*AX261</f>
        <v>0</v>
      </c>
      <c r="AY283" s="160">
        <f>AY167*INDEX('DEFAULT DATA'!$LX$9:$LX$41,START!$C$3,1)*AY261</f>
        <v>0</v>
      </c>
      <c r="AZ283" s="160">
        <f>AZ167*INDEX('DEFAULT DATA'!$LX$9:$LX$41,START!$C$3,1)*AZ261</f>
        <v>0</v>
      </c>
      <c r="BA283" s="161">
        <f>BA167*INDEX('DEFAULT DATA'!$LX$9:$LX$41,START!$C$3,1)*BA261</f>
        <v>0</v>
      </c>
    </row>
    <row r="284" spans="2:62" ht="20.100000000000001" customHeight="1" thickBot="1">
      <c r="B284" s="16"/>
      <c r="C284" s="708"/>
      <c r="D284" s="708"/>
      <c r="E284" s="708"/>
      <c r="F284" s="16"/>
      <c r="G284" s="16"/>
      <c r="H284" s="16"/>
      <c r="I284" s="16"/>
      <c r="J284" s="708"/>
      <c r="K284" s="708"/>
      <c r="L284" s="16"/>
      <c r="M284" s="16"/>
      <c r="N284" s="708"/>
      <c r="O284" s="708"/>
      <c r="P284" s="708"/>
      <c r="Q284" s="708"/>
      <c r="R284" s="16"/>
      <c r="S284" s="301" t="s">
        <v>128</v>
      </c>
      <c r="T284" s="949" t="s">
        <v>130</v>
      </c>
      <c r="U284" s="949"/>
      <c r="V284" s="949"/>
      <c r="W284" s="949"/>
      <c r="X284" s="950"/>
      <c r="Y284" s="560">
        <f>SUM(Y281:Y283)</f>
        <v>54050.262275736604</v>
      </c>
      <c r="Z284" s="560">
        <f t="shared" ref="Z284:BA284" si="480">SUM(Z281:Z283)</f>
        <v>55401.518832630019</v>
      </c>
      <c r="AA284" s="560">
        <f t="shared" si="480"/>
        <v>56786.556803445761</v>
      </c>
      <c r="AB284" s="560">
        <f t="shared" si="480"/>
        <v>58206.220723531907</v>
      </c>
      <c r="AC284" s="560">
        <f t="shared" si="480"/>
        <v>59661.376241620201</v>
      </c>
      <c r="AD284" s="560">
        <f t="shared" si="480"/>
        <v>61152.910647660712</v>
      </c>
      <c r="AE284" s="560">
        <f t="shared" si="480"/>
        <v>62681.733413852227</v>
      </c>
      <c r="AF284" s="560">
        <f t="shared" si="480"/>
        <v>64248.776749198529</v>
      </c>
      <c r="AG284" s="560">
        <f t="shared" si="480"/>
        <v>65854.99616792849</v>
      </c>
      <c r="AH284" s="560">
        <f t="shared" si="480"/>
        <v>66711.111118111556</v>
      </c>
      <c r="AI284" s="560">
        <f t="shared" si="480"/>
        <v>67578.355562647004</v>
      </c>
      <c r="AJ284" s="560">
        <f t="shared" si="480"/>
        <v>68456.874184961416</v>
      </c>
      <c r="AK284" s="560">
        <f t="shared" si="480"/>
        <v>69346.813549365921</v>
      </c>
      <c r="AL284" s="560">
        <f t="shared" si="480"/>
        <v>70248.322125507664</v>
      </c>
      <c r="AM284" s="560">
        <f t="shared" si="480"/>
        <v>71161.550313139276</v>
      </c>
      <c r="AN284" s="560">
        <f t="shared" si="480"/>
        <v>72086.650467210071</v>
      </c>
      <c r="AO284" s="560">
        <f t="shared" si="480"/>
        <v>73023.776923283804</v>
      </c>
      <c r="AP284" s="560">
        <f t="shared" si="480"/>
        <v>73973.086023286494</v>
      </c>
      <c r="AQ284" s="560">
        <f t="shared" si="480"/>
        <v>74934.736141589208</v>
      </c>
      <c r="AR284" s="560">
        <f t="shared" si="480"/>
        <v>75908.887711429867</v>
      </c>
      <c r="AS284" s="560">
        <f t="shared" si="480"/>
        <v>76895.703251678453</v>
      </c>
      <c r="AT284" s="560">
        <f t="shared" si="480"/>
        <v>77895.347393950273</v>
      </c>
      <c r="AU284" s="560">
        <f t="shared" si="480"/>
        <v>78907.986910071631</v>
      </c>
      <c r="AV284" s="560">
        <f t="shared" si="480"/>
        <v>79933.790739902557</v>
      </c>
      <c r="AW284" s="560">
        <f t="shared" si="480"/>
        <v>80972.930019521285</v>
      </c>
      <c r="AX284" s="560">
        <f t="shared" si="480"/>
        <v>82025.578109775059</v>
      </c>
      <c r="AY284" s="560">
        <f t="shared" si="480"/>
        <v>83091.91062520213</v>
      </c>
      <c r="AZ284" s="560">
        <f t="shared" si="480"/>
        <v>84172.105463329761</v>
      </c>
      <c r="BA284" s="561">
        <f t="shared" si="480"/>
        <v>85266.34283435304</v>
      </c>
      <c r="BB284" s="708"/>
      <c r="BC284" s="708"/>
      <c r="BD284" s="708"/>
      <c r="BE284" s="708"/>
      <c r="BF284" s="708"/>
      <c r="BG284" s="708"/>
      <c r="BH284" s="708"/>
      <c r="BI284" s="708"/>
      <c r="BJ284" s="708"/>
    </row>
    <row r="285" spans="2:62" ht="20.100000000000001" customHeight="1">
      <c r="B285" s="16"/>
      <c r="C285" s="708"/>
      <c r="D285" s="708"/>
      <c r="E285" s="708"/>
      <c r="F285" s="16"/>
      <c r="G285" s="16"/>
      <c r="H285" s="16"/>
      <c r="I285" s="16"/>
      <c r="J285" s="708"/>
      <c r="K285" s="708"/>
      <c r="L285" s="16"/>
      <c r="M285" s="16"/>
      <c r="N285" s="708"/>
      <c r="O285" s="708"/>
      <c r="P285" s="708"/>
      <c r="Q285" s="708"/>
      <c r="R285" s="16"/>
      <c r="S285" s="299" t="s">
        <v>2686</v>
      </c>
      <c r="T285" s="138"/>
      <c r="U285" s="138"/>
      <c r="V285" s="138"/>
      <c r="W285" s="138"/>
      <c r="X285" s="935">
        <v>2021</v>
      </c>
      <c r="Y285" s="935">
        <v>2022</v>
      </c>
      <c r="Z285" s="935">
        <v>2023</v>
      </c>
      <c r="AA285" s="935">
        <v>2024</v>
      </c>
      <c r="AB285" s="935">
        <v>2025</v>
      </c>
      <c r="AC285" s="935">
        <v>2026</v>
      </c>
      <c r="AD285" s="935">
        <v>2027</v>
      </c>
      <c r="AE285" s="935">
        <v>2028</v>
      </c>
      <c r="AF285" s="935">
        <v>2029</v>
      </c>
      <c r="AG285" s="935">
        <v>2030</v>
      </c>
      <c r="AH285" s="935">
        <v>2031</v>
      </c>
      <c r="AI285" s="935">
        <v>2032</v>
      </c>
      <c r="AJ285" s="935">
        <v>2033</v>
      </c>
      <c r="AK285" s="935">
        <v>2034</v>
      </c>
      <c r="AL285" s="935">
        <v>2035</v>
      </c>
      <c r="AM285" s="935">
        <v>2036</v>
      </c>
      <c r="AN285" s="935">
        <v>2037</v>
      </c>
      <c r="AO285" s="935">
        <v>2038</v>
      </c>
      <c r="AP285" s="935">
        <v>2039</v>
      </c>
      <c r="AQ285" s="935">
        <v>2040</v>
      </c>
      <c r="AR285" s="935">
        <v>2041</v>
      </c>
      <c r="AS285" s="935">
        <v>2042</v>
      </c>
      <c r="AT285" s="935">
        <v>2043</v>
      </c>
      <c r="AU285" s="935">
        <v>2044</v>
      </c>
      <c r="AV285" s="935">
        <v>2045</v>
      </c>
      <c r="AW285" s="935">
        <v>2046</v>
      </c>
      <c r="AX285" s="935">
        <v>2047</v>
      </c>
      <c r="AY285" s="935">
        <v>2048</v>
      </c>
      <c r="AZ285" s="935">
        <v>2049</v>
      </c>
      <c r="BA285" s="153">
        <v>2050</v>
      </c>
      <c r="BB285" s="708"/>
      <c r="BC285" s="708"/>
      <c r="BD285" s="708"/>
      <c r="BE285" s="708"/>
      <c r="BF285" s="708"/>
      <c r="BG285" s="708"/>
      <c r="BH285" s="708"/>
      <c r="BI285" s="708"/>
      <c r="BJ285" s="708"/>
    </row>
    <row r="286" spans="2:62" ht="20.100000000000001" customHeight="1">
      <c r="S286" s="101" t="s">
        <v>2561</v>
      </c>
      <c r="T286" s="383" t="s">
        <v>2670</v>
      </c>
      <c r="U286" s="1463" t="s">
        <v>2715</v>
      </c>
      <c r="V286" s="1464"/>
      <c r="W286" s="1464"/>
      <c r="X286" s="1465"/>
      <c r="Y286" s="123">
        <f>IF(Y$284=0,0,Y281/Y$284*100)</f>
        <v>0</v>
      </c>
      <c r="Z286" s="123">
        <f t="shared" ref="Z286:AB286" si="481">IF(Z$284=0,0,Z281/Z$284*100)</f>
        <v>0</v>
      </c>
      <c r="AA286" s="123">
        <f t="shared" si="481"/>
        <v>0</v>
      </c>
      <c r="AB286" s="123">
        <f t="shared" si="481"/>
        <v>0</v>
      </c>
      <c r="AC286" s="123">
        <f t="shared" ref="AC286:BA286" si="482">IF(AC$284=0,0,AC281/AC$284*100)</f>
        <v>0</v>
      </c>
      <c r="AD286" s="123">
        <f t="shared" si="482"/>
        <v>0</v>
      </c>
      <c r="AE286" s="123">
        <f t="shared" si="482"/>
        <v>0</v>
      </c>
      <c r="AF286" s="123">
        <f t="shared" si="482"/>
        <v>0</v>
      </c>
      <c r="AG286" s="123">
        <f t="shared" si="482"/>
        <v>0</v>
      </c>
      <c r="AH286" s="123">
        <f t="shared" si="482"/>
        <v>0</v>
      </c>
      <c r="AI286" s="123">
        <f t="shared" si="482"/>
        <v>0</v>
      </c>
      <c r="AJ286" s="123">
        <f t="shared" si="482"/>
        <v>0</v>
      </c>
      <c r="AK286" s="123">
        <f t="shared" si="482"/>
        <v>0</v>
      </c>
      <c r="AL286" s="123">
        <f t="shared" si="482"/>
        <v>0</v>
      </c>
      <c r="AM286" s="123">
        <f t="shared" si="482"/>
        <v>0</v>
      </c>
      <c r="AN286" s="123">
        <f t="shared" si="482"/>
        <v>0</v>
      </c>
      <c r="AO286" s="123">
        <f t="shared" si="482"/>
        <v>0</v>
      </c>
      <c r="AP286" s="123">
        <f t="shared" si="482"/>
        <v>0</v>
      </c>
      <c r="AQ286" s="123">
        <f t="shared" si="482"/>
        <v>0</v>
      </c>
      <c r="AR286" s="123">
        <f t="shared" si="482"/>
        <v>0</v>
      </c>
      <c r="AS286" s="123">
        <f t="shared" si="482"/>
        <v>0</v>
      </c>
      <c r="AT286" s="123">
        <f t="shared" si="482"/>
        <v>0</v>
      </c>
      <c r="AU286" s="123">
        <f t="shared" si="482"/>
        <v>0</v>
      </c>
      <c r="AV286" s="123">
        <f t="shared" si="482"/>
        <v>0</v>
      </c>
      <c r="AW286" s="123">
        <f t="shared" si="482"/>
        <v>0</v>
      </c>
      <c r="AX286" s="123">
        <f t="shared" si="482"/>
        <v>0</v>
      </c>
      <c r="AY286" s="123">
        <f t="shared" si="482"/>
        <v>0</v>
      </c>
      <c r="AZ286" s="123">
        <f t="shared" si="482"/>
        <v>0</v>
      </c>
      <c r="BA286" s="159">
        <f t="shared" si="482"/>
        <v>0</v>
      </c>
      <c r="BB286" s="16"/>
    </row>
    <row r="287" spans="2:62" ht="20.100000000000001" customHeight="1">
      <c r="M287" s="16"/>
      <c r="N287" s="708"/>
      <c r="O287" s="708"/>
      <c r="P287" s="708"/>
      <c r="Q287" s="708"/>
      <c r="R287" s="16"/>
      <c r="S287" s="101" t="s">
        <v>2562</v>
      </c>
      <c r="T287" s="383" t="s">
        <v>2670</v>
      </c>
      <c r="U287" s="1463" t="s">
        <v>2715</v>
      </c>
      <c r="V287" s="1464"/>
      <c r="W287" s="1464"/>
      <c r="X287" s="1465"/>
      <c r="Y287" s="123">
        <f t="shared" ref="Y287:AA288" si="483">IF(Y$284=0,0,Y282/Y$284*100)</f>
        <v>100</v>
      </c>
      <c r="Z287" s="123">
        <f t="shared" si="483"/>
        <v>100</v>
      </c>
      <c r="AA287" s="123">
        <f t="shared" si="483"/>
        <v>100</v>
      </c>
      <c r="AB287" s="123">
        <f t="shared" ref="AB287:BA287" si="484">IF(AB$284=0,0,AB282/AB$284*100)</f>
        <v>100</v>
      </c>
      <c r="AC287" s="123">
        <f t="shared" si="484"/>
        <v>100</v>
      </c>
      <c r="AD287" s="123">
        <f t="shared" si="484"/>
        <v>100</v>
      </c>
      <c r="AE287" s="123">
        <f t="shared" si="484"/>
        <v>100</v>
      </c>
      <c r="AF287" s="123">
        <f t="shared" si="484"/>
        <v>100</v>
      </c>
      <c r="AG287" s="123">
        <f t="shared" si="484"/>
        <v>100</v>
      </c>
      <c r="AH287" s="123">
        <f t="shared" si="484"/>
        <v>100</v>
      </c>
      <c r="AI287" s="123">
        <f t="shared" si="484"/>
        <v>100</v>
      </c>
      <c r="AJ287" s="123">
        <f t="shared" si="484"/>
        <v>100</v>
      </c>
      <c r="AK287" s="123">
        <f t="shared" si="484"/>
        <v>100</v>
      </c>
      <c r="AL287" s="123">
        <f t="shared" si="484"/>
        <v>100</v>
      </c>
      <c r="AM287" s="123">
        <f t="shared" si="484"/>
        <v>100</v>
      </c>
      <c r="AN287" s="123">
        <f t="shared" si="484"/>
        <v>100</v>
      </c>
      <c r="AO287" s="123">
        <f t="shared" si="484"/>
        <v>100</v>
      </c>
      <c r="AP287" s="123">
        <f t="shared" si="484"/>
        <v>100</v>
      </c>
      <c r="AQ287" s="123">
        <f t="shared" si="484"/>
        <v>100</v>
      </c>
      <c r="AR287" s="123">
        <f t="shared" si="484"/>
        <v>100</v>
      </c>
      <c r="AS287" s="123">
        <f t="shared" si="484"/>
        <v>100</v>
      </c>
      <c r="AT287" s="123">
        <f t="shared" si="484"/>
        <v>100</v>
      </c>
      <c r="AU287" s="123">
        <f t="shared" si="484"/>
        <v>100</v>
      </c>
      <c r="AV287" s="123">
        <f t="shared" si="484"/>
        <v>100</v>
      </c>
      <c r="AW287" s="123">
        <f t="shared" si="484"/>
        <v>100</v>
      </c>
      <c r="AX287" s="123">
        <f t="shared" si="484"/>
        <v>100</v>
      </c>
      <c r="AY287" s="123">
        <f t="shared" si="484"/>
        <v>100</v>
      </c>
      <c r="AZ287" s="123">
        <f t="shared" si="484"/>
        <v>100</v>
      </c>
      <c r="BA287" s="159">
        <f t="shared" si="484"/>
        <v>100</v>
      </c>
    </row>
    <row r="288" spans="2:62" ht="20.100000000000001" customHeight="1" thickBot="1">
      <c r="M288" s="16"/>
      <c r="N288" s="708"/>
      <c r="O288" s="708"/>
      <c r="P288" s="708"/>
      <c r="Q288" s="708"/>
      <c r="R288" s="16"/>
      <c r="S288" s="301" t="s">
        <v>2566</v>
      </c>
      <c r="T288" s="448" t="s">
        <v>2670</v>
      </c>
      <c r="U288" s="1466" t="s">
        <v>2715</v>
      </c>
      <c r="V288" s="1467"/>
      <c r="W288" s="1467"/>
      <c r="X288" s="1468"/>
      <c r="Y288" s="160">
        <f t="shared" si="483"/>
        <v>0</v>
      </c>
      <c r="Z288" s="160">
        <f t="shared" si="483"/>
        <v>0</v>
      </c>
      <c r="AA288" s="160">
        <f t="shared" si="483"/>
        <v>0</v>
      </c>
      <c r="AB288" s="160">
        <f t="shared" ref="AB288:BA288" si="485">IF(AB$284=0,0,AB283/AB$284*100)</f>
        <v>0</v>
      </c>
      <c r="AC288" s="160">
        <f t="shared" si="485"/>
        <v>0</v>
      </c>
      <c r="AD288" s="160">
        <f t="shared" si="485"/>
        <v>0</v>
      </c>
      <c r="AE288" s="160">
        <f t="shared" si="485"/>
        <v>0</v>
      </c>
      <c r="AF288" s="160">
        <f t="shared" si="485"/>
        <v>0</v>
      </c>
      <c r="AG288" s="160">
        <f t="shared" si="485"/>
        <v>0</v>
      </c>
      <c r="AH288" s="160">
        <f t="shared" si="485"/>
        <v>0</v>
      </c>
      <c r="AI288" s="160">
        <f t="shared" si="485"/>
        <v>0</v>
      </c>
      <c r="AJ288" s="160">
        <f t="shared" si="485"/>
        <v>0</v>
      </c>
      <c r="AK288" s="160">
        <f t="shared" si="485"/>
        <v>0</v>
      </c>
      <c r="AL288" s="160">
        <f t="shared" si="485"/>
        <v>0</v>
      </c>
      <c r="AM288" s="160">
        <f t="shared" si="485"/>
        <v>0</v>
      </c>
      <c r="AN288" s="160">
        <f t="shared" si="485"/>
        <v>0</v>
      </c>
      <c r="AO288" s="160">
        <f t="shared" si="485"/>
        <v>0</v>
      </c>
      <c r="AP288" s="160">
        <f t="shared" si="485"/>
        <v>0</v>
      </c>
      <c r="AQ288" s="160">
        <f t="shared" si="485"/>
        <v>0</v>
      </c>
      <c r="AR288" s="160">
        <f t="shared" si="485"/>
        <v>0</v>
      </c>
      <c r="AS288" s="160">
        <f t="shared" si="485"/>
        <v>0</v>
      </c>
      <c r="AT288" s="160">
        <f t="shared" si="485"/>
        <v>0</v>
      </c>
      <c r="AU288" s="160">
        <f t="shared" si="485"/>
        <v>0</v>
      </c>
      <c r="AV288" s="160">
        <f t="shared" si="485"/>
        <v>0</v>
      </c>
      <c r="AW288" s="160">
        <f t="shared" si="485"/>
        <v>0</v>
      </c>
      <c r="AX288" s="160">
        <f t="shared" si="485"/>
        <v>0</v>
      </c>
      <c r="AY288" s="160">
        <f t="shared" si="485"/>
        <v>0</v>
      </c>
      <c r="AZ288" s="160">
        <f t="shared" si="485"/>
        <v>0</v>
      </c>
      <c r="BA288" s="161">
        <f t="shared" si="485"/>
        <v>0</v>
      </c>
    </row>
    <row r="289" spans="13:63" ht="20.100000000000001" customHeight="1" thickBot="1">
      <c r="M289" s="239"/>
      <c r="N289" s="239"/>
      <c r="O289" s="239"/>
      <c r="P289" s="239"/>
      <c r="Q289" s="239"/>
      <c r="R289" s="239"/>
      <c r="S289" s="301" t="s">
        <v>128</v>
      </c>
      <c r="T289" s="547" t="s">
        <v>130</v>
      </c>
      <c r="U289" s="547"/>
      <c r="V289" s="547"/>
      <c r="W289" s="547"/>
      <c r="X289" s="951"/>
      <c r="Y289" s="560">
        <f>SUM(Y286:Y288)</f>
        <v>100</v>
      </c>
      <c r="Z289" s="560">
        <f t="shared" ref="Z289:BA289" si="486">SUM(Z286:Z288)</f>
        <v>100</v>
      </c>
      <c r="AA289" s="560">
        <f t="shared" si="486"/>
        <v>100</v>
      </c>
      <c r="AB289" s="560">
        <f t="shared" si="486"/>
        <v>100</v>
      </c>
      <c r="AC289" s="560">
        <f t="shared" si="486"/>
        <v>100</v>
      </c>
      <c r="AD289" s="560">
        <f t="shared" si="486"/>
        <v>100</v>
      </c>
      <c r="AE289" s="560">
        <f t="shared" si="486"/>
        <v>100</v>
      </c>
      <c r="AF289" s="560">
        <f t="shared" si="486"/>
        <v>100</v>
      </c>
      <c r="AG289" s="560">
        <f t="shared" si="486"/>
        <v>100</v>
      </c>
      <c r="AH289" s="560">
        <f t="shared" si="486"/>
        <v>100</v>
      </c>
      <c r="AI289" s="560">
        <f t="shared" si="486"/>
        <v>100</v>
      </c>
      <c r="AJ289" s="560">
        <f t="shared" si="486"/>
        <v>100</v>
      </c>
      <c r="AK289" s="560">
        <f t="shared" si="486"/>
        <v>100</v>
      </c>
      <c r="AL289" s="560">
        <f t="shared" si="486"/>
        <v>100</v>
      </c>
      <c r="AM289" s="560">
        <f t="shared" si="486"/>
        <v>100</v>
      </c>
      <c r="AN289" s="560">
        <f t="shared" si="486"/>
        <v>100</v>
      </c>
      <c r="AO289" s="560">
        <f t="shared" si="486"/>
        <v>100</v>
      </c>
      <c r="AP289" s="560">
        <f t="shared" si="486"/>
        <v>100</v>
      </c>
      <c r="AQ289" s="560">
        <f t="shared" si="486"/>
        <v>100</v>
      </c>
      <c r="AR289" s="560">
        <f t="shared" si="486"/>
        <v>100</v>
      </c>
      <c r="AS289" s="560">
        <f t="shared" si="486"/>
        <v>100</v>
      </c>
      <c r="AT289" s="560">
        <f t="shared" si="486"/>
        <v>100</v>
      </c>
      <c r="AU289" s="560">
        <f t="shared" si="486"/>
        <v>100</v>
      </c>
      <c r="AV289" s="560">
        <f t="shared" si="486"/>
        <v>100</v>
      </c>
      <c r="AW289" s="560">
        <f t="shared" si="486"/>
        <v>100</v>
      </c>
      <c r="AX289" s="560">
        <f t="shared" si="486"/>
        <v>100</v>
      </c>
      <c r="AY289" s="560">
        <f t="shared" si="486"/>
        <v>100</v>
      </c>
      <c r="AZ289" s="560">
        <f t="shared" si="486"/>
        <v>100</v>
      </c>
      <c r="BA289" s="561">
        <f t="shared" si="486"/>
        <v>100</v>
      </c>
      <c r="BB289" s="239"/>
      <c r="BC289" s="239"/>
      <c r="BD289" s="239"/>
      <c r="BE289" s="239"/>
      <c r="BF289" s="239"/>
      <c r="BG289" s="239"/>
      <c r="BH289" s="239"/>
      <c r="BI289" s="239"/>
    </row>
    <row r="290" spans="13:63" ht="20.100000000000001" customHeight="1">
      <c r="M290" s="239"/>
      <c r="N290" s="239"/>
      <c r="O290" s="239"/>
      <c r="P290" s="239"/>
      <c r="Q290" s="239"/>
      <c r="R290" s="239"/>
      <c r="S290" s="239"/>
      <c r="T290" s="239"/>
      <c r="U290" s="239"/>
      <c r="V290" s="239"/>
      <c r="W290" s="239"/>
      <c r="X290" s="239"/>
      <c r="Y290" s="239"/>
      <c r="Z290" s="239"/>
      <c r="AA290" s="239"/>
      <c r="AB290" s="239"/>
      <c r="AC290" s="239"/>
      <c r="AD290" s="239"/>
      <c r="AE290" s="239"/>
      <c r="AF290" s="239"/>
      <c r="AG290" s="239"/>
      <c r="AH290" s="239"/>
      <c r="AI290" s="239"/>
      <c r="AJ290" s="239"/>
      <c r="AK290" s="239"/>
      <c r="AL290" s="239"/>
      <c r="AM290" s="239"/>
      <c r="AN290" s="239"/>
      <c r="AO290" s="239"/>
      <c r="AP290" s="239"/>
      <c r="AQ290" s="239"/>
      <c r="AR290" s="239"/>
      <c r="AS290" s="239"/>
      <c r="AT290" s="239"/>
      <c r="AU290" s="239"/>
      <c r="AV290" s="239"/>
      <c r="AW290" s="239"/>
      <c r="AX290" s="239"/>
      <c r="AY290" s="239"/>
      <c r="AZ290" s="239"/>
      <c r="BA290" s="239"/>
      <c r="BB290" s="239"/>
      <c r="BC290" s="239"/>
      <c r="BD290" s="239"/>
      <c r="BE290" s="239"/>
      <c r="BF290" s="239"/>
      <c r="BG290" s="239"/>
      <c r="BH290" s="239"/>
      <c r="BI290" s="239"/>
    </row>
    <row r="291" spans="13:63" ht="20.100000000000001" customHeight="1" thickBot="1">
      <c r="M291" s="239"/>
      <c r="N291" s="239"/>
      <c r="O291" s="239"/>
      <c r="P291" s="239"/>
      <c r="Q291" s="239"/>
      <c r="R291" s="239"/>
      <c r="S291" s="239"/>
      <c r="T291" s="239"/>
      <c r="U291" s="239"/>
      <c r="V291" s="239"/>
      <c r="W291" s="239"/>
      <c r="X291" s="239"/>
      <c r="Y291" s="239"/>
      <c r="Z291" s="239"/>
      <c r="AA291" s="239"/>
      <c r="AB291" s="239"/>
      <c r="AC291" s="239"/>
      <c r="AD291" s="239"/>
      <c r="AE291" s="239"/>
      <c r="AF291" s="239"/>
      <c r="AG291" s="239"/>
      <c r="AH291" s="239"/>
      <c r="AI291" s="239"/>
      <c r="AJ291" s="239"/>
      <c r="AK291" s="239"/>
      <c r="AL291" s="239"/>
      <c r="AM291" s="239"/>
      <c r="AN291" s="239"/>
      <c r="AO291" s="239"/>
      <c r="AP291" s="239"/>
      <c r="AQ291" s="239"/>
      <c r="AR291" s="239"/>
      <c r="AS291" s="239"/>
      <c r="AT291" s="239"/>
      <c r="AU291" s="239"/>
      <c r="AV291" s="239"/>
      <c r="AW291" s="239"/>
      <c r="AX291" s="239"/>
      <c r="AY291" s="239"/>
      <c r="AZ291" s="239"/>
      <c r="BA291" s="239"/>
      <c r="BB291" s="239"/>
      <c r="BC291" s="239"/>
      <c r="BD291" s="239"/>
      <c r="BE291" s="239"/>
      <c r="BF291" s="239"/>
      <c r="BG291" s="239"/>
      <c r="BH291" s="239"/>
      <c r="BI291" s="239"/>
    </row>
    <row r="292" spans="13:63" ht="20.100000000000001" customHeight="1">
      <c r="M292" s="239"/>
      <c r="N292" s="239"/>
      <c r="O292" s="239"/>
      <c r="P292" s="239"/>
      <c r="Q292" s="239"/>
      <c r="R292" s="239"/>
      <c r="S292" s="299" t="s">
        <v>2781</v>
      </c>
      <c r="T292" s="923" t="s">
        <v>2629</v>
      </c>
      <c r="U292" s="924"/>
      <c r="V292" s="924"/>
      <c r="W292" s="924"/>
      <c r="X292" s="810" t="s">
        <v>2719</v>
      </c>
      <c r="Y292" s="138"/>
      <c r="Z292" s="138"/>
      <c r="AA292" s="138"/>
      <c r="AB292" s="138"/>
      <c r="AC292" s="138"/>
      <c r="AD292" s="138"/>
      <c r="AE292" s="138"/>
      <c r="AF292" s="138"/>
      <c r="AG292" s="138"/>
      <c r="AH292" s="138"/>
      <c r="AI292" s="138"/>
      <c r="AJ292" s="138"/>
      <c r="AK292" s="138"/>
      <c r="AL292" s="138"/>
      <c r="AM292" s="138"/>
      <c r="AN292" s="138"/>
      <c r="AO292" s="138"/>
      <c r="AP292" s="138"/>
      <c r="AQ292" s="138"/>
      <c r="AR292" s="138"/>
      <c r="AS292" s="138"/>
      <c r="AT292" s="138"/>
      <c r="AU292" s="138"/>
      <c r="AV292" s="138"/>
      <c r="AW292" s="138"/>
      <c r="AX292" s="138"/>
      <c r="AY292" s="138"/>
      <c r="AZ292" s="138"/>
      <c r="BA292" s="556"/>
      <c r="BB292" s="239"/>
      <c r="BC292" s="239"/>
      <c r="BD292" s="239"/>
      <c r="BE292" s="239"/>
      <c r="BF292" s="239"/>
      <c r="BG292" s="239"/>
      <c r="BH292" s="239"/>
      <c r="BI292" s="239"/>
    </row>
    <row r="293" spans="13:63" ht="20.100000000000001" customHeight="1">
      <c r="M293" s="239"/>
      <c r="N293" s="239"/>
      <c r="O293" s="239"/>
      <c r="P293" s="239"/>
      <c r="Q293" s="239"/>
      <c r="R293" s="239"/>
      <c r="S293" s="101" t="s">
        <v>586</v>
      </c>
      <c r="T293" s="383" t="s">
        <v>2809</v>
      </c>
      <c r="U293" s="445"/>
      <c r="V293" s="445"/>
      <c r="W293" s="252"/>
      <c r="X293" s="115">
        <v>2021</v>
      </c>
      <c r="Y293" s="115">
        <v>2022</v>
      </c>
      <c r="Z293" s="115">
        <v>2023</v>
      </c>
      <c r="AA293" s="115">
        <v>2024</v>
      </c>
      <c r="AB293" s="115">
        <v>2025</v>
      </c>
      <c r="AC293" s="115">
        <v>2026</v>
      </c>
      <c r="AD293" s="115">
        <v>2027</v>
      </c>
      <c r="AE293" s="115">
        <v>2028</v>
      </c>
      <c r="AF293" s="115">
        <v>2029</v>
      </c>
      <c r="AG293" s="115">
        <v>2030</v>
      </c>
      <c r="AH293" s="115">
        <v>2031</v>
      </c>
      <c r="AI293" s="115">
        <v>2032</v>
      </c>
      <c r="AJ293" s="115">
        <v>2033</v>
      </c>
      <c r="AK293" s="115">
        <v>2034</v>
      </c>
      <c r="AL293" s="115">
        <v>2035</v>
      </c>
      <c r="AM293" s="115">
        <v>2036</v>
      </c>
      <c r="AN293" s="115">
        <v>2037</v>
      </c>
      <c r="AO293" s="115">
        <v>2038</v>
      </c>
      <c r="AP293" s="115">
        <v>2039</v>
      </c>
      <c r="AQ293" s="115">
        <v>2040</v>
      </c>
      <c r="AR293" s="115">
        <v>2041</v>
      </c>
      <c r="AS293" s="115">
        <v>2042</v>
      </c>
      <c r="AT293" s="115">
        <v>2043</v>
      </c>
      <c r="AU293" s="115">
        <v>2044</v>
      </c>
      <c r="AV293" s="115">
        <v>2045</v>
      </c>
      <c r="AW293" s="115">
        <v>2046</v>
      </c>
      <c r="AX293" s="115">
        <v>2047</v>
      </c>
      <c r="AY293" s="115">
        <v>2048</v>
      </c>
      <c r="AZ293" s="115">
        <v>2049</v>
      </c>
      <c r="BA293" s="323">
        <v>2050</v>
      </c>
    </row>
    <row r="294" spans="13:63" ht="20.100000000000001" customHeight="1">
      <c r="M294" s="239"/>
      <c r="N294" s="239"/>
      <c r="O294" s="239"/>
      <c r="P294" s="239"/>
      <c r="Q294" s="239"/>
      <c r="R294" s="239"/>
      <c r="S294" s="953" t="s">
        <v>60</v>
      </c>
      <c r="T294" s="383" t="s">
        <v>2780</v>
      </c>
      <c r="U294" s="389"/>
      <c r="V294" s="389"/>
      <c r="W294" s="252"/>
      <c r="X294" s="252"/>
      <c r="Y294" s="925">
        <f>IF(Y$293&gt;(START!$C$2+2020),($G$8*(Y$202/(Y$202+Y$203)))+($G$138*(Y$203/(Y$202+Y$203))),0)</f>
        <v>0</v>
      </c>
      <c r="Z294" s="925">
        <f>IF(Z$293&gt;(START!$C$2+2020),($G$8*(Z$202/(Z$202+Z$203)))+($G$138*(Z$203/(Z$202+Z$203))),0)</f>
        <v>0</v>
      </c>
      <c r="AA294" s="925">
        <f>IF(AA$293&gt;(START!$C$2+2020),($G$8*(AA$202/(AA$202+AA$203)))+($G$138*(AA$203/(AA$202+AA$203))),0)</f>
        <v>0</v>
      </c>
      <c r="AB294" s="925">
        <f>IF(AB$293&gt;(START!$C$2+2020),($G$8*(AB$202/(AB$202+AB$203)))+($G$138*(AB$203/(AB$202+AB$203))),0)</f>
        <v>0</v>
      </c>
      <c r="AC294" s="925">
        <f>IF(AC$293&gt;(START!$C$2+2020),($G$8*(AC$202/(AC$202+AC$203)))+($G$138*(AC$203/(AC$202+AC$203))),0)</f>
        <v>0</v>
      </c>
      <c r="AD294" s="925">
        <f>IF(AD$293&gt;(START!$C$2+2020),($G$8*(AD$202/(AD$202+AD$203)))+($G$138*(AD$203/(AD$202+AD$203))),0)</f>
        <v>0</v>
      </c>
      <c r="AE294" s="925">
        <f>IF(AE$293&gt;(START!$C$2+2020),($G$8*(AE$202/(AE$202+AE$203)))+($G$138*(AE$203/(AE$202+AE$203))),0)</f>
        <v>0</v>
      </c>
      <c r="AF294" s="925">
        <f>IF(AF$293&gt;(START!$C$2+2020),($G$8*(AF$202/(AF$202+AF$203)))+($G$138*(AF$203/(AF$202+AF$203))),0)</f>
        <v>0</v>
      </c>
      <c r="AG294" s="925">
        <f>IF(AG$293&gt;(START!$C$2+2020),($G$8*(AG$202/(AG$202+AG$203)))+($G$138*(AG$203/(AG$202+AG$203))),0)</f>
        <v>0</v>
      </c>
      <c r="AH294" s="925">
        <f>IF(AH$293&gt;(START!$C$2+2020),($G$8*(AH$202/(AH$202+AH$203)))+($G$138*(AH$203/(AH$202+AH$203))),0)</f>
        <v>0</v>
      </c>
      <c r="AI294" s="925">
        <f>IF(AI$293&gt;(START!$C$2+2020),($G$8*(AI$202/(AI$202+AI$203)))+($G$138*(AI$203/(AI$202+AI$203))),0)</f>
        <v>0</v>
      </c>
      <c r="AJ294" s="925">
        <f>IF(AJ$293&gt;(START!$C$2+2020),($G$8*(AJ$202/(AJ$202+AJ$203)))+($G$138*(AJ$203/(AJ$202+AJ$203))),0)</f>
        <v>0</v>
      </c>
      <c r="AK294" s="925">
        <f>IF(AK$293&gt;(START!$C$2+2020),($G$8*(AK$202/(AK$202+AK$203)))+($G$138*(AK$203/(AK$202+AK$203))),0)</f>
        <v>0</v>
      </c>
      <c r="AL294" s="925">
        <f>IF(AL$293&gt;(START!$C$2+2020),($G$8*(AL$202/(AL$202+AL$203)))+($G$138*(AL$203/(AL$202+AL$203))),0)</f>
        <v>0</v>
      </c>
      <c r="AM294" s="925">
        <f>IF(AM$293&gt;(START!$C$2+2020),($G$8*(AM$202/(AM$202+AM$203)))+($G$138*(AM$203/(AM$202+AM$203))),0)</f>
        <v>0</v>
      </c>
      <c r="AN294" s="925">
        <f>IF(AN$293&gt;(START!$C$2+2020),($G$8*(AN$202/(AN$202+AN$203)))+($G$138*(AN$203/(AN$202+AN$203))),0)</f>
        <v>0</v>
      </c>
      <c r="AO294" s="925">
        <f>IF(AO$293&gt;(START!$C$2+2020),($G$8*(AO$202/(AO$202+AO$203)))+($G$138*(AO$203/(AO$202+AO$203))),0)</f>
        <v>0</v>
      </c>
      <c r="AP294" s="925">
        <f>IF(AP$293&gt;(START!$C$2+2020),($G$8*(AP$202/(AP$202+AP$203)))+($G$138*(AP$203/(AP$202+AP$203))),0)</f>
        <v>0</v>
      </c>
      <c r="AQ294" s="925">
        <f>IF(AQ$293&gt;(START!$C$2+2020),($G$8*(AQ$202/(AQ$202+AQ$203)))+($G$138*(AQ$203/(AQ$202+AQ$203))),0)</f>
        <v>0</v>
      </c>
      <c r="AR294" s="925">
        <f>IF(AR$293&gt;(START!$C$2+2020),($G$8*(AR$202/(AR$202+AR$203)))+($G$138*(AR$203/(AR$202+AR$203))),0)</f>
        <v>0</v>
      </c>
      <c r="AS294" s="925">
        <f>IF(AS$293&gt;(START!$C$2+2020),($G$8*(AS$202/(AS$202+AS$203)))+($G$138*(AS$203/(AS$202+AS$203))),0)</f>
        <v>0</v>
      </c>
      <c r="AT294" s="925">
        <f>IF(AT$293&gt;(START!$C$2+2020),($G$8*(AT$202/(AT$202+AT$203)))+($G$138*(AT$203/(AT$202+AT$203))),0)</f>
        <v>0</v>
      </c>
      <c r="AU294" s="925">
        <f>IF(AU$293&gt;(START!$C$2+2020),($G$8*(AU$202/(AU$202+AU$203)))+($G$138*(AU$203/(AU$202+AU$203))),0)</f>
        <v>0</v>
      </c>
      <c r="AV294" s="925">
        <f>IF(AV$293&gt;(START!$C$2+2020),($G$8*(AV$202/(AV$202+AV$203)))+($G$138*(AV$203/(AV$202+AV$203))),0)</f>
        <v>0</v>
      </c>
      <c r="AW294" s="925">
        <f>IF(AW$293&gt;(START!$C$2+2020),($G$8*(AW$202/(AW$202+AW$203)))+($G$138*(AW$203/(AW$202+AW$203))),0)</f>
        <v>0</v>
      </c>
      <c r="AX294" s="925">
        <f>IF(AX$293&gt;(START!$C$2+2020),($G$8*(AX$202/(AX$202+AX$203)))+($G$138*(AX$203/(AX$202+AX$203))),0)</f>
        <v>0</v>
      </c>
      <c r="AY294" s="925">
        <f>IF(AY$293&gt;(START!$C$2+2020),($G$8*(AY$202/(AY$202+AY$203)))+($G$138*(AY$203/(AY$202+AY$203))),0)</f>
        <v>0</v>
      </c>
      <c r="AZ294" s="925">
        <f>IF(AZ$293&gt;(START!$C$2+2020),($G$8*(AZ$202/(AZ$202+AZ$203)))+($G$138*(AZ$203/(AZ$202+AZ$203))),0)</f>
        <v>0</v>
      </c>
      <c r="BA294" s="926">
        <f>IF(BA$293&gt;(START!$C$2+2020),($G$8*(BA$202/(BA$202+BA$203)))+($G$138*(BA$203/(BA$202+BA$203))),0)</f>
        <v>0</v>
      </c>
    </row>
    <row r="295" spans="13:63" ht="20.100000000000001" customHeight="1">
      <c r="M295" s="239"/>
      <c r="N295" s="239"/>
      <c r="O295" s="239"/>
      <c r="P295" s="239"/>
      <c r="Q295" s="239"/>
      <c r="R295" s="239"/>
      <c r="S295" s="953" t="s">
        <v>61</v>
      </c>
      <c r="T295" s="383" t="s">
        <v>2780</v>
      </c>
      <c r="U295" s="389"/>
      <c r="V295" s="389"/>
      <c r="W295" s="252"/>
      <c r="X295" s="252"/>
      <c r="Y295" s="925">
        <f>IF(Y$293&gt;(START!$C$2+2020),($G$9*(Y$202/(Y$202+Y$203)))+($G$139*(Y$203/(Y$202+Y$203))),0)</f>
        <v>50</v>
      </c>
      <c r="Z295" s="925">
        <f>IF(Z$293&gt;(START!$C$2+2020),($G$9*(Z$202/(Z$202+Z$203)))+($G$139*(Z$203/(Z$202+Z$203))),0)</f>
        <v>50</v>
      </c>
      <c r="AA295" s="925">
        <f>IF(AA$293&gt;(START!$C$2+2020),($G$9*(AA$202/(AA$202+AA$203)))+($G$139*(AA$203/(AA$202+AA$203))),0)</f>
        <v>50</v>
      </c>
      <c r="AB295" s="925">
        <f>IF(AB$293&gt;(START!$C$2+2020),($G$9*(AB$202/(AB$202+AB$203)))+($G$139*(AB$203/(AB$202+AB$203))),0)</f>
        <v>50</v>
      </c>
      <c r="AC295" s="925">
        <f>IF(AC$293&gt;(START!$C$2+2020),($G$9*(AC$202/(AC$202+AC$203)))+($G$139*(AC$203/(AC$202+AC$203))),0)</f>
        <v>50</v>
      </c>
      <c r="AD295" s="925">
        <f>IF(AD$293&gt;(START!$C$2+2020),($G$9*(AD$202/(AD$202+AD$203)))+($G$139*(AD$203/(AD$202+AD$203))),0)</f>
        <v>50</v>
      </c>
      <c r="AE295" s="925">
        <f>IF(AE$293&gt;(START!$C$2+2020),($G$9*(AE$202/(AE$202+AE$203)))+($G$139*(AE$203/(AE$202+AE$203))),0)</f>
        <v>50</v>
      </c>
      <c r="AF295" s="925">
        <f>IF(AF$293&gt;(START!$C$2+2020),($G$9*(AF$202/(AF$202+AF$203)))+($G$139*(AF$203/(AF$202+AF$203))),0)</f>
        <v>50</v>
      </c>
      <c r="AG295" s="925">
        <f>IF(AG$293&gt;(START!$C$2+2020),($G$9*(AG$202/(AG$202+AG$203)))+($G$139*(AG$203/(AG$202+AG$203))),0)</f>
        <v>50</v>
      </c>
      <c r="AH295" s="925">
        <f>IF(AH$293&gt;(START!$C$2+2020),($G$9*(AH$202/(AH$202+AH$203)))+($G$139*(AH$203/(AH$202+AH$203))),0)</f>
        <v>50</v>
      </c>
      <c r="AI295" s="925">
        <f>IF(AI$293&gt;(START!$C$2+2020),($G$9*(AI$202/(AI$202+AI$203)))+($G$139*(AI$203/(AI$202+AI$203))),0)</f>
        <v>50</v>
      </c>
      <c r="AJ295" s="925">
        <f>IF(AJ$293&gt;(START!$C$2+2020),($G$9*(AJ$202/(AJ$202+AJ$203)))+($G$139*(AJ$203/(AJ$202+AJ$203))),0)</f>
        <v>50</v>
      </c>
      <c r="AK295" s="925">
        <f>IF(AK$293&gt;(START!$C$2+2020),($G$9*(AK$202/(AK$202+AK$203)))+($G$139*(AK$203/(AK$202+AK$203))),0)</f>
        <v>50</v>
      </c>
      <c r="AL295" s="925">
        <f>IF(AL$293&gt;(START!$C$2+2020),($G$9*(AL$202/(AL$202+AL$203)))+($G$139*(AL$203/(AL$202+AL$203))),0)</f>
        <v>50</v>
      </c>
      <c r="AM295" s="925">
        <f>IF(AM$293&gt;(START!$C$2+2020),($G$9*(AM$202/(AM$202+AM$203)))+($G$139*(AM$203/(AM$202+AM$203))),0)</f>
        <v>50</v>
      </c>
      <c r="AN295" s="925">
        <f>IF(AN$293&gt;(START!$C$2+2020),($G$9*(AN$202/(AN$202+AN$203)))+($G$139*(AN$203/(AN$202+AN$203))),0)</f>
        <v>50</v>
      </c>
      <c r="AO295" s="925">
        <f>IF(AO$293&gt;(START!$C$2+2020),($G$9*(AO$202/(AO$202+AO$203)))+($G$139*(AO$203/(AO$202+AO$203))),0)</f>
        <v>50</v>
      </c>
      <c r="AP295" s="925">
        <f>IF(AP$293&gt;(START!$C$2+2020),($G$9*(AP$202/(AP$202+AP$203)))+($G$139*(AP$203/(AP$202+AP$203))),0)</f>
        <v>50</v>
      </c>
      <c r="AQ295" s="925">
        <f>IF(AQ$293&gt;(START!$C$2+2020),($G$9*(AQ$202/(AQ$202+AQ$203)))+($G$139*(AQ$203/(AQ$202+AQ$203))),0)</f>
        <v>50</v>
      </c>
      <c r="AR295" s="925">
        <f>IF(AR$293&gt;(START!$C$2+2020),($G$9*(AR$202/(AR$202+AR$203)))+($G$139*(AR$203/(AR$202+AR$203))),0)</f>
        <v>50</v>
      </c>
      <c r="AS295" s="925">
        <f>IF(AS$293&gt;(START!$C$2+2020),($G$9*(AS$202/(AS$202+AS$203)))+($G$139*(AS$203/(AS$202+AS$203))),0)</f>
        <v>50</v>
      </c>
      <c r="AT295" s="925">
        <f>IF(AT$293&gt;(START!$C$2+2020),($G$9*(AT$202/(AT$202+AT$203)))+($G$139*(AT$203/(AT$202+AT$203))),0)</f>
        <v>50</v>
      </c>
      <c r="AU295" s="925">
        <f>IF(AU$293&gt;(START!$C$2+2020),($G$9*(AU$202/(AU$202+AU$203)))+($G$139*(AU$203/(AU$202+AU$203))),0)</f>
        <v>50</v>
      </c>
      <c r="AV295" s="925">
        <f>IF(AV$293&gt;(START!$C$2+2020),($G$9*(AV$202/(AV$202+AV$203)))+($G$139*(AV$203/(AV$202+AV$203))),0)</f>
        <v>50</v>
      </c>
      <c r="AW295" s="925">
        <f>IF(AW$293&gt;(START!$C$2+2020),($G$9*(AW$202/(AW$202+AW$203)))+($G$139*(AW$203/(AW$202+AW$203))),0)</f>
        <v>50</v>
      </c>
      <c r="AX295" s="925">
        <f>IF(AX$293&gt;(START!$C$2+2020),($G$9*(AX$202/(AX$202+AX$203)))+($G$139*(AX$203/(AX$202+AX$203))),0)</f>
        <v>50</v>
      </c>
      <c r="AY295" s="925">
        <f>IF(AY$293&gt;(START!$C$2+2020),($G$9*(AY$202/(AY$202+AY$203)))+($G$139*(AY$203/(AY$202+AY$203))),0)</f>
        <v>50</v>
      </c>
      <c r="AZ295" s="925">
        <f>IF(AZ$293&gt;(START!$C$2+2020),($G$9*(AZ$202/(AZ$202+AZ$203)))+($G$139*(AZ$203/(AZ$202+AZ$203))),0)</f>
        <v>50</v>
      </c>
      <c r="BA295" s="926">
        <f>IF(BA$293&gt;(START!$C$2+2020),($G$9*(BA$202/(BA$202+BA$203)))+($G$139*(BA$203/(BA$202+BA$203))),0)</f>
        <v>50</v>
      </c>
    </row>
    <row r="296" spans="13:63" ht="20.100000000000001" customHeight="1">
      <c r="M296" s="239"/>
      <c r="N296" s="239"/>
      <c r="O296" s="239"/>
      <c r="P296" s="239"/>
      <c r="Q296" s="239"/>
      <c r="R296" s="239"/>
      <c r="S296" s="953" t="s">
        <v>62</v>
      </c>
      <c r="T296" s="383" t="s">
        <v>2780</v>
      </c>
      <c r="U296" s="389"/>
      <c r="V296" s="389"/>
      <c r="W296" s="252"/>
      <c r="X296" s="252"/>
      <c r="Y296" s="925">
        <f>IF(Y$293&gt;(START!$C$2+2020),($G$10*(Y$202/(Y$202+Y$203)))+($G$140*(Y$203/(Y$202+Y$203))),0)</f>
        <v>50</v>
      </c>
      <c r="Z296" s="925">
        <f>IF(Z$293&gt;(START!$C$2+2020),($G$10*(Z$202/(Z$202+Z$203)))+($G$140*(Z$203/(Z$202+Z$203))),0)</f>
        <v>50</v>
      </c>
      <c r="AA296" s="925">
        <f>IF(AA$293&gt;(START!$C$2+2020),($G$10*(AA$202/(AA$202+AA$203)))+($G$140*(AA$203/(AA$202+AA$203))),0)</f>
        <v>50</v>
      </c>
      <c r="AB296" s="925">
        <f>IF(AB$293&gt;(START!$C$2+2020),($G$10*(AB$202/(AB$202+AB$203)))+($G$140*(AB$203/(AB$202+AB$203))),0)</f>
        <v>50</v>
      </c>
      <c r="AC296" s="925">
        <f>IF(AC$293&gt;(START!$C$2+2020),($G$10*(AC$202/(AC$202+AC$203)))+($G$140*(AC$203/(AC$202+AC$203))),0)</f>
        <v>50</v>
      </c>
      <c r="AD296" s="925">
        <f>IF(AD$293&gt;(START!$C$2+2020),($G$10*(AD$202/(AD$202+AD$203)))+($G$140*(AD$203/(AD$202+AD$203))),0)</f>
        <v>50</v>
      </c>
      <c r="AE296" s="925">
        <f>IF(AE$293&gt;(START!$C$2+2020),($G$10*(AE$202/(AE$202+AE$203)))+($G$140*(AE$203/(AE$202+AE$203))),0)</f>
        <v>50</v>
      </c>
      <c r="AF296" s="925">
        <f>IF(AF$293&gt;(START!$C$2+2020),($G$10*(AF$202/(AF$202+AF$203)))+($G$140*(AF$203/(AF$202+AF$203))),0)</f>
        <v>50</v>
      </c>
      <c r="AG296" s="925">
        <f>IF(AG$293&gt;(START!$C$2+2020),($G$10*(AG$202/(AG$202+AG$203)))+($G$140*(AG$203/(AG$202+AG$203))),0)</f>
        <v>50</v>
      </c>
      <c r="AH296" s="925">
        <f>IF(AH$293&gt;(START!$C$2+2020),($G$10*(AH$202/(AH$202+AH$203)))+($G$140*(AH$203/(AH$202+AH$203))),0)</f>
        <v>50</v>
      </c>
      <c r="AI296" s="925">
        <f>IF(AI$293&gt;(START!$C$2+2020),($G$10*(AI$202/(AI$202+AI$203)))+($G$140*(AI$203/(AI$202+AI$203))),0)</f>
        <v>50</v>
      </c>
      <c r="AJ296" s="925">
        <f>IF(AJ$293&gt;(START!$C$2+2020),($G$10*(AJ$202/(AJ$202+AJ$203)))+($G$140*(AJ$203/(AJ$202+AJ$203))),0)</f>
        <v>50</v>
      </c>
      <c r="AK296" s="925">
        <f>IF(AK$293&gt;(START!$C$2+2020),($G$10*(AK$202/(AK$202+AK$203)))+($G$140*(AK$203/(AK$202+AK$203))),0)</f>
        <v>50</v>
      </c>
      <c r="AL296" s="925">
        <f>IF(AL$293&gt;(START!$C$2+2020),($G$10*(AL$202/(AL$202+AL$203)))+($G$140*(AL$203/(AL$202+AL$203))),0)</f>
        <v>50</v>
      </c>
      <c r="AM296" s="925">
        <f>IF(AM$293&gt;(START!$C$2+2020),($G$10*(AM$202/(AM$202+AM$203)))+($G$140*(AM$203/(AM$202+AM$203))),0)</f>
        <v>50</v>
      </c>
      <c r="AN296" s="925">
        <f>IF(AN$293&gt;(START!$C$2+2020),($G$10*(AN$202/(AN$202+AN$203)))+($G$140*(AN$203/(AN$202+AN$203))),0)</f>
        <v>50</v>
      </c>
      <c r="AO296" s="925">
        <f>IF(AO$293&gt;(START!$C$2+2020),($G$10*(AO$202/(AO$202+AO$203)))+($G$140*(AO$203/(AO$202+AO$203))),0)</f>
        <v>50</v>
      </c>
      <c r="AP296" s="925">
        <f>IF(AP$293&gt;(START!$C$2+2020),($G$10*(AP$202/(AP$202+AP$203)))+($G$140*(AP$203/(AP$202+AP$203))),0)</f>
        <v>50</v>
      </c>
      <c r="AQ296" s="925">
        <f>IF(AQ$293&gt;(START!$C$2+2020),($G$10*(AQ$202/(AQ$202+AQ$203)))+($G$140*(AQ$203/(AQ$202+AQ$203))),0)</f>
        <v>50</v>
      </c>
      <c r="AR296" s="925">
        <f>IF(AR$293&gt;(START!$C$2+2020),($G$10*(AR$202/(AR$202+AR$203)))+($G$140*(AR$203/(AR$202+AR$203))),0)</f>
        <v>50</v>
      </c>
      <c r="AS296" s="925">
        <f>IF(AS$293&gt;(START!$C$2+2020),($G$10*(AS$202/(AS$202+AS$203)))+($G$140*(AS$203/(AS$202+AS$203))),0)</f>
        <v>50</v>
      </c>
      <c r="AT296" s="925">
        <f>IF(AT$293&gt;(START!$C$2+2020),($G$10*(AT$202/(AT$202+AT$203)))+($G$140*(AT$203/(AT$202+AT$203))),0)</f>
        <v>50</v>
      </c>
      <c r="AU296" s="925">
        <f>IF(AU$293&gt;(START!$C$2+2020),($G$10*(AU$202/(AU$202+AU$203)))+($G$140*(AU$203/(AU$202+AU$203))),0)</f>
        <v>50</v>
      </c>
      <c r="AV296" s="925">
        <f>IF(AV$293&gt;(START!$C$2+2020),($G$10*(AV$202/(AV$202+AV$203)))+($G$140*(AV$203/(AV$202+AV$203))),0)</f>
        <v>50</v>
      </c>
      <c r="AW296" s="925">
        <f>IF(AW$293&gt;(START!$C$2+2020),($G$10*(AW$202/(AW$202+AW$203)))+($G$140*(AW$203/(AW$202+AW$203))),0)</f>
        <v>50</v>
      </c>
      <c r="AX296" s="925">
        <f>IF(AX$293&gt;(START!$C$2+2020),($G$10*(AX$202/(AX$202+AX$203)))+($G$140*(AX$203/(AX$202+AX$203))),0)</f>
        <v>50</v>
      </c>
      <c r="AY296" s="925">
        <f>IF(AY$293&gt;(START!$C$2+2020),($G$10*(AY$202/(AY$202+AY$203)))+($G$140*(AY$203/(AY$202+AY$203))),0)</f>
        <v>50</v>
      </c>
      <c r="AZ296" s="925">
        <f>IF(AZ$293&gt;(START!$C$2+2020),($G$10*(AZ$202/(AZ$202+AZ$203)))+($G$140*(AZ$203/(AZ$202+AZ$203))),0)</f>
        <v>50</v>
      </c>
      <c r="BA296" s="926">
        <f>IF(BA$293&gt;(START!$C$2+2020),($G$10*(BA$202/(BA$202+BA$203)))+($G$140*(BA$203/(BA$202+BA$203))),0)</f>
        <v>50</v>
      </c>
    </row>
    <row r="297" spans="13:63" ht="20.100000000000001" customHeight="1">
      <c r="M297" s="240"/>
      <c r="N297" s="240"/>
      <c r="O297" s="240"/>
      <c r="P297" s="240"/>
      <c r="Q297" s="240"/>
      <c r="R297" s="240"/>
      <c r="S297" s="953" t="s">
        <v>63</v>
      </c>
      <c r="T297" s="383" t="s">
        <v>2780</v>
      </c>
      <c r="U297" s="389"/>
      <c r="V297" s="389"/>
      <c r="W297" s="252"/>
      <c r="X297" s="252"/>
      <c r="Y297" s="925">
        <f>IF(Y$293&gt;(START!$C$2+2020),($G$11*(Y$202/(Y$202+Y$203)))+($G$141*(Y$203/(Y$202+Y$203))),0)</f>
        <v>0</v>
      </c>
      <c r="Z297" s="925">
        <f>IF(Z$293&gt;(START!$C$2+2020),($G$11*(Z$202/(Z$202+Z$203)))+($G$141*(Z$203/(Z$202+Z$203))),0)</f>
        <v>0</v>
      </c>
      <c r="AA297" s="925">
        <f>IF(AA$293&gt;(START!$C$2+2020),($G$11*(AA$202/(AA$202+AA$203)))+($G$141*(AA$203/(AA$202+AA$203))),0)</f>
        <v>0</v>
      </c>
      <c r="AB297" s="925">
        <f>IF(AB$293&gt;(START!$C$2+2020),($G$11*(AB$202/(AB$202+AB$203)))+($G$141*(AB$203/(AB$202+AB$203))),0)</f>
        <v>0</v>
      </c>
      <c r="AC297" s="925">
        <f>IF(AC$293&gt;(START!$C$2+2020),($G$11*(AC$202/(AC$202+AC$203)))+($G$141*(AC$203/(AC$202+AC$203))),0)</f>
        <v>0</v>
      </c>
      <c r="AD297" s="925">
        <f>IF(AD$293&gt;(START!$C$2+2020),($G$11*(AD$202/(AD$202+AD$203)))+($G$141*(AD$203/(AD$202+AD$203))),0)</f>
        <v>0</v>
      </c>
      <c r="AE297" s="925">
        <f>IF(AE$293&gt;(START!$C$2+2020),($G$11*(AE$202/(AE$202+AE$203)))+($G$141*(AE$203/(AE$202+AE$203))),0)</f>
        <v>0</v>
      </c>
      <c r="AF297" s="925">
        <f>IF(AF$293&gt;(START!$C$2+2020),($G$11*(AF$202/(AF$202+AF$203)))+($G$141*(AF$203/(AF$202+AF$203))),0)</f>
        <v>0</v>
      </c>
      <c r="AG297" s="925">
        <f>IF(AG$293&gt;(START!$C$2+2020),($G$11*(AG$202/(AG$202+AG$203)))+($G$141*(AG$203/(AG$202+AG$203))),0)</f>
        <v>0</v>
      </c>
      <c r="AH297" s="925">
        <f>IF(AH$293&gt;(START!$C$2+2020),($G$11*(AH$202/(AH$202+AH$203)))+($G$141*(AH$203/(AH$202+AH$203))),0)</f>
        <v>0</v>
      </c>
      <c r="AI297" s="925">
        <f>IF(AI$293&gt;(START!$C$2+2020),($G$11*(AI$202/(AI$202+AI$203)))+($G$141*(AI$203/(AI$202+AI$203))),0)</f>
        <v>0</v>
      </c>
      <c r="AJ297" s="925">
        <f>IF(AJ$293&gt;(START!$C$2+2020),($G$11*(AJ$202/(AJ$202+AJ$203)))+($G$141*(AJ$203/(AJ$202+AJ$203))),0)</f>
        <v>0</v>
      </c>
      <c r="AK297" s="925">
        <f>IF(AK$293&gt;(START!$C$2+2020),($G$11*(AK$202/(AK$202+AK$203)))+($G$141*(AK$203/(AK$202+AK$203))),0)</f>
        <v>0</v>
      </c>
      <c r="AL297" s="925">
        <f>IF(AL$293&gt;(START!$C$2+2020),($G$11*(AL$202/(AL$202+AL$203)))+($G$141*(AL$203/(AL$202+AL$203))),0)</f>
        <v>0</v>
      </c>
      <c r="AM297" s="925">
        <f>IF(AM$293&gt;(START!$C$2+2020),($G$11*(AM$202/(AM$202+AM$203)))+($G$141*(AM$203/(AM$202+AM$203))),0)</f>
        <v>0</v>
      </c>
      <c r="AN297" s="925">
        <f>IF(AN$293&gt;(START!$C$2+2020),($G$11*(AN$202/(AN$202+AN$203)))+($G$141*(AN$203/(AN$202+AN$203))),0)</f>
        <v>0</v>
      </c>
      <c r="AO297" s="925">
        <f>IF(AO$293&gt;(START!$C$2+2020),($G$11*(AO$202/(AO$202+AO$203)))+($G$141*(AO$203/(AO$202+AO$203))),0)</f>
        <v>0</v>
      </c>
      <c r="AP297" s="925">
        <f>IF(AP$293&gt;(START!$C$2+2020),($G$11*(AP$202/(AP$202+AP$203)))+($G$141*(AP$203/(AP$202+AP$203))),0)</f>
        <v>0</v>
      </c>
      <c r="AQ297" s="925">
        <f>IF(AQ$293&gt;(START!$C$2+2020),($G$11*(AQ$202/(AQ$202+AQ$203)))+($G$141*(AQ$203/(AQ$202+AQ$203))),0)</f>
        <v>0</v>
      </c>
      <c r="AR297" s="925">
        <f>IF(AR$293&gt;(START!$C$2+2020),($G$11*(AR$202/(AR$202+AR$203)))+($G$141*(AR$203/(AR$202+AR$203))),0)</f>
        <v>0</v>
      </c>
      <c r="AS297" s="925">
        <f>IF(AS$293&gt;(START!$C$2+2020),($G$11*(AS$202/(AS$202+AS$203)))+($G$141*(AS$203/(AS$202+AS$203))),0)</f>
        <v>0</v>
      </c>
      <c r="AT297" s="925">
        <f>IF(AT$293&gt;(START!$C$2+2020),($G$11*(AT$202/(AT$202+AT$203)))+($G$141*(AT$203/(AT$202+AT$203))),0)</f>
        <v>0</v>
      </c>
      <c r="AU297" s="925">
        <f>IF(AU$293&gt;(START!$C$2+2020),($G$11*(AU$202/(AU$202+AU$203)))+($G$141*(AU$203/(AU$202+AU$203))),0)</f>
        <v>0</v>
      </c>
      <c r="AV297" s="925">
        <f>IF(AV$293&gt;(START!$C$2+2020),($G$11*(AV$202/(AV$202+AV$203)))+($G$141*(AV$203/(AV$202+AV$203))),0)</f>
        <v>0</v>
      </c>
      <c r="AW297" s="925">
        <f>IF(AW$293&gt;(START!$C$2+2020),($G$11*(AW$202/(AW$202+AW$203)))+($G$141*(AW$203/(AW$202+AW$203))),0)</f>
        <v>0</v>
      </c>
      <c r="AX297" s="925">
        <f>IF(AX$293&gt;(START!$C$2+2020),($G$11*(AX$202/(AX$202+AX$203)))+($G$141*(AX$203/(AX$202+AX$203))),0)</f>
        <v>0</v>
      </c>
      <c r="AY297" s="925">
        <f>IF(AY$293&gt;(START!$C$2+2020),($G$11*(AY$202/(AY$202+AY$203)))+($G$141*(AY$203/(AY$202+AY$203))),0)</f>
        <v>0</v>
      </c>
      <c r="AZ297" s="925">
        <f>IF(AZ$293&gt;(START!$C$2+2020),($G$11*(AZ$202/(AZ$202+AZ$203)))+($G$141*(AZ$203/(AZ$202+AZ$203))),0)</f>
        <v>0</v>
      </c>
      <c r="BA297" s="926">
        <f>IF(BA$293&gt;(START!$C$2+2020),($G$11*(BA$202/(BA$202+BA$203)))+($G$141*(BA$203/(BA$202+BA$203))),0)</f>
        <v>0</v>
      </c>
    </row>
    <row r="298" spans="13:63" ht="20.100000000000001" customHeight="1" thickBot="1">
      <c r="M298" s="239"/>
      <c r="N298" s="239"/>
      <c r="O298" s="239"/>
      <c r="P298" s="239"/>
      <c r="Q298" s="239"/>
      <c r="R298" s="239"/>
      <c r="S298" s="954" t="s">
        <v>64</v>
      </c>
      <c r="T298" s="448" t="s">
        <v>2780</v>
      </c>
      <c r="U298" s="921"/>
      <c r="V298" s="921"/>
      <c r="W298" s="302"/>
      <c r="X298" s="302"/>
      <c r="Y298" s="940">
        <f>IF(Y$293&gt;(START!$C$2+2020),($G$12*(Y$202/(Y$202+Y$203)))+($G$142*(Y$203/(Y$202+Y$203))),0)</f>
        <v>0</v>
      </c>
      <c r="Z298" s="940">
        <f>IF(Z$293&gt;(START!$C$2+2020),($G$12*(Z$202/(Z$202+Z$203)))+($G$142*(Z$203/(Z$202+Z$203))),0)</f>
        <v>0</v>
      </c>
      <c r="AA298" s="940">
        <f>IF(AA$293&gt;(START!$C$2+2020),($G$12*(AA$202/(AA$202+AA$203)))+($G$142*(AA$203/(AA$202+AA$203))),0)</f>
        <v>0</v>
      </c>
      <c r="AB298" s="940">
        <f>IF(AB$293&gt;(START!$C$2+2020),($G$12*(AB$202/(AB$202+AB$203)))+($G$142*(AB$203/(AB$202+AB$203))),0)</f>
        <v>0</v>
      </c>
      <c r="AC298" s="940">
        <f>IF(AC$293&gt;(START!$C$2+2020),($G$12*(AC$202/(AC$202+AC$203)))+($G$142*(AC$203/(AC$202+AC$203))),0)</f>
        <v>0</v>
      </c>
      <c r="AD298" s="940">
        <f>IF(AD$293&gt;(START!$C$2+2020),($G$12*(AD$202/(AD$202+AD$203)))+($G$142*(AD$203/(AD$202+AD$203))),0)</f>
        <v>0</v>
      </c>
      <c r="AE298" s="940">
        <f>IF(AE$293&gt;(START!$C$2+2020),($G$12*(AE$202/(AE$202+AE$203)))+($G$142*(AE$203/(AE$202+AE$203))),0)</f>
        <v>0</v>
      </c>
      <c r="AF298" s="940">
        <f>IF(AF$293&gt;(START!$C$2+2020),($G$12*(AF$202/(AF$202+AF$203)))+($G$142*(AF$203/(AF$202+AF$203))),0)</f>
        <v>0</v>
      </c>
      <c r="AG298" s="940">
        <f>IF(AG$293&gt;(START!$C$2+2020),($G$12*(AG$202/(AG$202+AG$203)))+($G$142*(AG$203/(AG$202+AG$203))),0)</f>
        <v>0</v>
      </c>
      <c r="AH298" s="940">
        <f>IF(AH$293&gt;(START!$C$2+2020),($G$12*(AH$202/(AH$202+AH$203)))+($G$142*(AH$203/(AH$202+AH$203))),0)</f>
        <v>0</v>
      </c>
      <c r="AI298" s="940">
        <f>IF(AI$293&gt;(START!$C$2+2020),($G$12*(AI$202/(AI$202+AI$203)))+($G$142*(AI$203/(AI$202+AI$203))),0)</f>
        <v>0</v>
      </c>
      <c r="AJ298" s="940">
        <f>IF(AJ$293&gt;(START!$C$2+2020),($G$12*(AJ$202/(AJ$202+AJ$203)))+($G$142*(AJ$203/(AJ$202+AJ$203))),0)</f>
        <v>0</v>
      </c>
      <c r="AK298" s="940">
        <f>IF(AK$293&gt;(START!$C$2+2020),($G$12*(AK$202/(AK$202+AK$203)))+($G$142*(AK$203/(AK$202+AK$203))),0)</f>
        <v>0</v>
      </c>
      <c r="AL298" s="940">
        <f>IF(AL$293&gt;(START!$C$2+2020),($G$12*(AL$202/(AL$202+AL$203)))+($G$142*(AL$203/(AL$202+AL$203))),0)</f>
        <v>0</v>
      </c>
      <c r="AM298" s="940">
        <f>IF(AM$293&gt;(START!$C$2+2020),($G$12*(AM$202/(AM$202+AM$203)))+($G$142*(AM$203/(AM$202+AM$203))),0)</f>
        <v>0</v>
      </c>
      <c r="AN298" s="940">
        <f>IF(AN$293&gt;(START!$C$2+2020),($G$12*(AN$202/(AN$202+AN$203)))+($G$142*(AN$203/(AN$202+AN$203))),0)</f>
        <v>0</v>
      </c>
      <c r="AO298" s="940">
        <f>IF(AO$293&gt;(START!$C$2+2020),($G$12*(AO$202/(AO$202+AO$203)))+($G$142*(AO$203/(AO$202+AO$203))),0)</f>
        <v>0</v>
      </c>
      <c r="AP298" s="940">
        <f>IF(AP$293&gt;(START!$C$2+2020),($G$12*(AP$202/(AP$202+AP$203)))+($G$142*(AP$203/(AP$202+AP$203))),0)</f>
        <v>0</v>
      </c>
      <c r="AQ298" s="940">
        <f>IF(AQ$293&gt;(START!$C$2+2020),($G$12*(AQ$202/(AQ$202+AQ$203)))+($G$142*(AQ$203/(AQ$202+AQ$203))),0)</f>
        <v>0</v>
      </c>
      <c r="AR298" s="940">
        <f>IF(AR$293&gt;(START!$C$2+2020),($G$12*(AR$202/(AR$202+AR$203)))+($G$142*(AR$203/(AR$202+AR$203))),0)</f>
        <v>0</v>
      </c>
      <c r="AS298" s="940">
        <f>IF(AS$293&gt;(START!$C$2+2020),($G$12*(AS$202/(AS$202+AS$203)))+($G$142*(AS$203/(AS$202+AS$203))),0)</f>
        <v>0</v>
      </c>
      <c r="AT298" s="940">
        <f>IF(AT$293&gt;(START!$C$2+2020),($G$12*(AT$202/(AT$202+AT$203)))+($G$142*(AT$203/(AT$202+AT$203))),0)</f>
        <v>0</v>
      </c>
      <c r="AU298" s="940">
        <f>IF(AU$293&gt;(START!$C$2+2020),($G$12*(AU$202/(AU$202+AU$203)))+($G$142*(AU$203/(AU$202+AU$203))),0)</f>
        <v>0</v>
      </c>
      <c r="AV298" s="940">
        <f>IF(AV$293&gt;(START!$C$2+2020),($G$12*(AV$202/(AV$202+AV$203)))+($G$142*(AV$203/(AV$202+AV$203))),0)</f>
        <v>0</v>
      </c>
      <c r="AW298" s="940">
        <f>IF(AW$293&gt;(START!$C$2+2020),($G$12*(AW$202/(AW$202+AW$203)))+($G$142*(AW$203/(AW$202+AW$203))),0)</f>
        <v>0</v>
      </c>
      <c r="AX298" s="940">
        <f>IF(AX$293&gt;(START!$C$2+2020),($G$12*(AX$202/(AX$202+AX$203)))+($G$142*(AX$203/(AX$202+AX$203))),0)</f>
        <v>0</v>
      </c>
      <c r="AY298" s="940">
        <f>IF(AY$293&gt;(START!$C$2+2020),($G$12*(AY$202/(AY$202+AY$203)))+($G$142*(AY$203/(AY$202+AY$203))),0)</f>
        <v>0</v>
      </c>
      <c r="AZ298" s="940">
        <f>IF(AZ$293&gt;(START!$C$2+2020),($G$12*(AZ$202/(AZ$202+AZ$203)))+($G$142*(AZ$203/(AZ$202+AZ$203))),0)</f>
        <v>0</v>
      </c>
      <c r="BA298" s="941">
        <f>IF(BA$293&gt;(START!$C$2+2020),($G$12*(BA$202/(BA$202+BA$203)))+($G$142*(BA$203/(BA$202+BA$203))),0)</f>
        <v>0</v>
      </c>
    </row>
    <row r="299" spans="13:63" ht="20.100000000000001" customHeight="1">
      <c r="M299" s="240"/>
      <c r="N299" s="240"/>
      <c r="O299" s="240"/>
      <c r="P299" s="240"/>
      <c r="Q299" s="240"/>
      <c r="R299" s="240"/>
    </row>
    <row r="300" spans="13:63" ht="20.100000000000001" customHeight="1" thickBot="1">
      <c r="M300" s="240"/>
      <c r="N300" s="240"/>
      <c r="O300" s="240"/>
      <c r="P300" s="240"/>
      <c r="Q300" s="240"/>
      <c r="R300" s="240"/>
      <c r="S300" s="946" t="s">
        <v>36</v>
      </c>
      <c r="T300" s="240"/>
      <c r="U300" s="240"/>
      <c r="V300" s="240"/>
      <c r="W300" s="240"/>
      <c r="X300" s="240"/>
      <c r="Y300" s="240"/>
      <c r="Z300" s="240"/>
      <c r="AA300" s="240"/>
      <c r="AB300" s="240"/>
      <c r="AC300" s="240"/>
      <c r="AD300" s="240"/>
      <c r="AE300" s="240"/>
      <c r="AF300" s="240"/>
      <c r="AG300" s="240"/>
      <c r="AH300" s="240"/>
      <c r="AI300" s="240"/>
      <c r="AJ300" s="240"/>
      <c r="AK300" s="240"/>
      <c r="AL300" s="240"/>
      <c r="AM300" s="240"/>
      <c r="AN300" s="240"/>
      <c r="AO300" s="240"/>
      <c r="AP300" s="240"/>
      <c r="AQ300" s="240"/>
      <c r="AR300" s="240"/>
      <c r="AS300" s="240"/>
      <c r="AT300" s="240"/>
      <c r="AU300" s="240"/>
      <c r="AV300" s="240"/>
      <c r="AW300" s="240"/>
      <c r="AX300" s="240"/>
      <c r="AY300" s="240"/>
      <c r="AZ300" s="240"/>
      <c r="BA300" s="240"/>
      <c r="BB300" s="240"/>
      <c r="BC300" s="240"/>
      <c r="BD300" s="240"/>
      <c r="BE300" s="240"/>
      <c r="BF300" s="240"/>
      <c r="BG300" s="240"/>
      <c r="BH300" s="240"/>
      <c r="BI300" s="240"/>
      <c r="BJ300" s="240"/>
      <c r="BK300" s="240"/>
    </row>
    <row r="301" spans="13:63" ht="20.100000000000001" customHeight="1" thickBot="1">
      <c r="M301" s="240"/>
      <c r="N301" s="240"/>
      <c r="O301" s="240"/>
      <c r="P301" s="240"/>
      <c r="Q301" s="240"/>
      <c r="R301" s="240"/>
      <c r="S301" s="934" t="s">
        <v>2783</v>
      </c>
      <c r="T301" s="1469" t="s">
        <v>2787</v>
      </c>
      <c r="U301" s="1470"/>
      <c r="V301" s="1471"/>
      <c r="W301" s="947" t="s">
        <v>845</v>
      </c>
      <c r="X301" s="942"/>
      <c r="Y301" s="928">
        <f t="shared" ref="Y301:BA301" si="487">Y40*Y294/100+Y41*Y295/100+Y42*Y296/100+Y43*Y297/100+Y44*Y298/100</f>
        <v>407.87367103931706</v>
      </c>
      <c r="Z301" s="928">
        <f t="shared" si="487"/>
        <v>407.83598194780484</v>
      </c>
      <c r="AA301" s="928">
        <f t="shared" si="487"/>
        <v>407.79097181848181</v>
      </c>
      <c r="AB301" s="928">
        <f t="shared" si="487"/>
        <v>407.7395001826269</v>
      </c>
      <c r="AC301" s="928">
        <f t="shared" si="487"/>
        <v>407.64220302318768</v>
      </c>
      <c r="AD301" s="928">
        <f t="shared" si="487"/>
        <v>407.53361369817446</v>
      </c>
      <c r="AE301" s="928">
        <f t="shared" si="487"/>
        <v>407.41506868782557</v>
      </c>
      <c r="AF301" s="928">
        <f t="shared" si="487"/>
        <v>407.28776655093122</v>
      </c>
      <c r="AG301" s="928">
        <f t="shared" si="487"/>
        <v>407.15278116938413</v>
      </c>
      <c r="AH301" s="928">
        <f t="shared" si="487"/>
        <v>407.0167173029165</v>
      </c>
      <c r="AI301" s="928">
        <f t="shared" si="487"/>
        <v>406.87522946403971</v>
      </c>
      <c r="AJ301" s="928">
        <f t="shared" si="487"/>
        <v>406.7289086499643</v>
      </c>
      <c r="AK301" s="928">
        <f t="shared" si="487"/>
        <v>406.57829194454717</v>
      </c>
      <c r="AL301" s="928">
        <f t="shared" si="487"/>
        <v>406.42386703006366</v>
      </c>
      <c r="AM301" s="928">
        <f t="shared" si="487"/>
        <v>406.20470326674615</v>
      </c>
      <c r="AN301" s="928">
        <f t="shared" si="487"/>
        <v>405.979953403298</v>
      </c>
      <c r="AO301" s="928">
        <f t="shared" si="487"/>
        <v>405.75023611607878</v>
      </c>
      <c r="AP301" s="928">
        <f t="shared" si="487"/>
        <v>405.51611325479439</v>
      </c>
      <c r="AQ301" s="928">
        <f t="shared" si="487"/>
        <v>405.27809461605409</v>
      </c>
      <c r="AR301" s="928">
        <f t="shared" si="487"/>
        <v>405.03664233645884</v>
      </c>
      <c r="AS301" s="928">
        <f t="shared" si="487"/>
        <v>404.79217493451085</v>
      </c>
      <c r="AT301" s="928">
        <f t="shared" si="487"/>
        <v>404.54507102843979</v>
      </c>
      <c r="AU301" s="928">
        <f t="shared" si="487"/>
        <v>404.29567275499744</v>
      </c>
      <c r="AV301" s="928">
        <f t="shared" si="487"/>
        <v>404.04428891238763</v>
      </c>
      <c r="AW301" s="928">
        <f t="shared" si="487"/>
        <v>403.86243839143418</v>
      </c>
      <c r="AX301" s="928">
        <f t="shared" si="487"/>
        <v>403.68046976217397</v>
      </c>
      <c r="AY301" s="928">
        <f t="shared" si="487"/>
        <v>403.49847770809953</v>
      </c>
      <c r="AZ301" s="928">
        <f t="shared" si="487"/>
        <v>403.31654510285705</v>
      </c>
      <c r="BA301" s="929">
        <f t="shared" si="487"/>
        <v>403.13474414548864</v>
      </c>
    </row>
    <row r="302" spans="13:63" ht="20.100000000000001" customHeight="1" thickBot="1">
      <c r="M302" s="240"/>
      <c r="N302" s="240"/>
      <c r="O302" s="240"/>
      <c r="P302" s="240"/>
      <c r="Q302" s="240"/>
      <c r="R302" s="240"/>
      <c r="S302" s="934" t="s">
        <v>2775</v>
      </c>
      <c r="T302" s="1469" t="s">
        <v>2779</v>
      </c>
      <c r="U302" s="1470"/>
      <c r="V302" s="1471"/>
      <c r="W302" s="933" t="s">
        <v>2795</v>
      </c>
      <c r="X302" s="927"/>
      <c r="Y302" s="928">
        <f>Y265/INDEX('DEFAULT DATA'!$Q$9:$Q$41,START!$C$3,1)</f>
        <v>55.985168146067082</v>
      </c>
      <c r="Z302" s="928">
        <f>Z265/INDEX('DEFAULT DATA'!$Q$9:$Q$41,START!$C$3,1)</f>
        <v>56.433049491235614</v>
      </c>
      <c r="AA302" s="928">
        <f>AA265/INDEX('DEFAULT DATA'!$Q$9:$Q$41,START!$C$3,1)</f>
        <v>56.884513887165497</v>
      </c>
      <c r="AB302" s="928">
        <f>AB265/INDEX('DEFAULT DATA'!$Q$9:$Q$41,START!$C$3,1)</f>
        <v>57.339589998262817</v>
      </c>
      <c r="AC302" s="928">
        <f>AC265/INDEX('DEFAULT DATA'!$Q$9:$Q$41,START!$C$3,1)</f>
        <v>57.798306718248917</v>
      </c>
      <c r="AD302" s="928">
        <f>AD265/INDEX('DEFAULT DATA'!$Q$9:$Q$41,START!$C$3,1)</f>
        <v>58.260693171994909</v>
      </c>
      <c r="AE302" s="928">
        <f>AE265/INDEX('DEFAULT DATA'!$Q$9:$Q$41,START!$C$3,1)</f>
        <v>58.72677871737087</v>
      </c>
      <c r="AF302" s="928">
        <f>AF265/INDEX('DEFAULT DATA'!$Q$9:$Q$41,START!$C$3,1)</f>
        <v>59.196592947109828</v>
      </c>
      <c r="AG302" s="928">
        <f>AG265/INDEX('DEFAULT DATA'!$Q$9:$Q$41,START!$C$3,1)</f>
        <v>59.670165690686709</v>
      </c>
      <c r="AH302" s="928">
        <f>AH265/INDEX('DEFAULT DATA'!$Q$9:$Q$41,START!$C$3,1)</f>
        <v>60.087856850521518</v>
      </c>
      <c r="AI302" s="928">
        <f>AI265/INDEX('DEFAULT DATA'!$Q$9:$Q$41,START!$C$3,1)</f>
        <v>60.508471848475175</v>
      </c>
      <c r="AJ302" s="928">
        <f>AJ265/INDEX('DEFAULT DATA'!$Q$9:$Q$41,START!$C$3,1)</f>
        <v>60.932031151414513</v>
      </c>
      <c r="AK302" s="928">
        <f>AK265/INDEX('DEFAULT DATA'!$Q$9:$Q$41,START!$C$3,1)</f>
        <v>61.358555369474409</v>
      </c>
      <c r="AL302" s="928">
        <f>AL265/INDEX('DEFAULT DATA'!$Q$9:$Q$41,START!$C$3,1)</f>
        <v>61.788065257060737</v>
      </c>
      <c r="AM302" s="928">
        <f>AM265/INDEX('DEFAULT DATA'!$Q$9:$Q$41,START!$C$3,1)</f>
        <v>62.220581713860163</v>
      </c>
      <c r="AN302" s="928">
        <f>AN265/INDEX('DEFAULT DATA'!$Q$9:$Q$41,START!$C$3,1)</f>
        <v>62.656125785857192</v>
      </c>
      <c r="AO302" s="928">
        <f>AO265/INDEX('DEFAULT DATA'!$Q$9:$Q$41,START!$C$3,1)</f>
        <v>63.094718666358183</v>
      </c>
      <c r="AP302" s="928">
        <f>AP265/INDEX('DEFAULT DATA'!$Q$9:$Q$41,START!$C$3,1)</f>
        <v>63.536381697022684</v>
      </c>
      <c r="AQ302" s="928">
        <f>AQ265/INDEX('DEFAULT DATA'!$Q$9:$Q$41,START!$C$3,1)</f>
        <v>63.981136368901851</v>
      </c>
      <c r="AR302" s="928">
        <f>AR265/INDEX('DEFAULT DATA'!$Q$9:$Q$41,START!$C$3,1)</f>
        <v>64.429004323484165</v>
      </c>
      <c r="AS302" s="928">
        <f>AS265/INDEX('DEFAULT DATA'!$Q$9:$Q$41,START!$C$3,1)</f>
        <v>64.880007353748553</v>
      </c>
      <c r="AT302" s="928">
        <f>AT265/INDEX('DEFAULT DATA'!$Q$9:$Q$41,START!$C$3,1)</f>
        <v>65.334167405224804</v>
      </c>
      <c r="AU302" s="928">
        <f>AU265/INDEX('DEFAULT DATA'!$Q$9:$Q$41,START!$C$3,1)</f>
        <v>65.791506577061384</v>
      </c>
      <c r="AV302" s="928">
        <f>AV265/INDEX('DEFAULT DATA'!$Q$9:$Q$41,START!$C$3,1)</f>
        <v>66.252047123100823</v>
      </c>
      <c r="AW302" s="928">
        <f>AW265/INDEX('DEFAULT DATA'!$Q$9:$Q$41,START!$C$3,1)</f>
        <v>66.715811452962541</v>
      </c>
      <c r="AX302" s="928">
        <f>AX265/INDEX('DEFAULT DATA'!$Q$9:$Q$41,START!$C$3,1)</f>
        <v>67.182822133133271</v>
      </c>
      <c r="AY302" s="928">
        <f>AY265/INDEX('DEFAULT DATA'!$Q$9:$Q$41,START!$C$3,1)</f>
        <v>67.653101888065208</v>
      </c>
      <c r="AZ302" s="928">
        <f>AZ265/INDEX('DEFAULT DATA'!$Q$9:$Q$41,START!$C$3,1)</f>
        <v>68.126673601281666</v>
      </c>
      <c r="BA302" s="929">
        <f>BA265/INDEX('DEFAULT DATA'!$Q$9:$Q$41,START!$C$3,1)</f>
        <v>68.603560316490643</v>
      </c>
    </row>
    <row r="303" spans="13:63" ht="20.100000000000001" customHeight="1">
      <c r="M303" s="240"/>
      <c r="N303" s="240"/>
      <c r="O303" s="240"/>
      <c r="P303" s="240"/>
      <c r="Q303" s="240"/>
      <c r="R303" s="240"/>
    </row>
    <row r="304" spans="13:63" ht="20.100000000000001" customHeight="1" thickBot="1">
      <c r="M304" s="240"/>
      <c r="N304" s="240"/>
      <c r="O304" s="240"/>
      <c r="P304" s="240"/>
      <c r="Q304" s="240"/>
      <c r="R304" s="240"/>
      <c r="S304" s="122" t="s">
        <v>605</v>
      </c>
    </row>
    <row r="305" spans="13:53" ht="20.100000000000001" customHeight="1" thickBot="1">
      <c r="M305" s="240"/>
      <c r="N305" s="240"/>
      <c r="O305" s="240"/>
      <c r="P305" s="240"/>
      <c r="Q305" s="240"/>
      <c r="R305" s="240"/>
      <c r="S305" s="934" t="s">
        <v>2784</v>
      </c>
      <c r="T305" s="943" t="s">
        <v>2788</v>
      </c>
      <c r="U305" s="944"/>
      <c r="V305" s="945"/>
      <c r="W305" s="947" t="s">
        <v>845</v>
      </c>
      <c r="X305" s="942"/>
      <c r="Y305" s="928">
        <f t="shared" ref="Y305:BA305" si="488">(Y79*Y294/100)+(Y80*Y295/100)+(Y81*Y296/100)+(Y82*Y297/100)+(Y83*Y298/100)</f>
        <v>229.71111787047761</v>
      </c>
      <c r="Z305" s="928">
        <f t="shared" si="488"/>
        <v>229.71111787047761</v>
      </c>
      <c r="AA305" s="928">
        <f t="shared" si="488"/>
        <v>229.74045113032389</v>
      </c>
      <c r="AB305" s="928">
        <f t="shared" si="488"/>
        <v>229.73822180257554</v>
      </c>
      <c r="AC305" s="928">
        <f t="shared" si="488"/>
        <v>229.7361619037361</v>
      </c>
      <c r="AD305" s="928">
        <f t="shared" si="488"/>
        <v>229.73425855720848</v>
      </c>
      <c r="AE305" s="928">
        <f t="shared" si="488"/>
        <v>229.73249986501691</v>
      </c>
      <c r="AF305" s="928">
        <f t="shared" si="488"/>
        <v>229.73087483343193</v>
      </c>
      <c r="AG305" s="928">
        <f t="shared" si="488"/>
        <v>229.72937330424742</v>
      </c>
      <c r="AH305" s="928">
        <f t="shared" si="488"/>
        <v>229.72798589128089</v>
      </c>
      <c r="AI305" s="928">
        <f t="shared" si="488"/>
        <v>229.72670392169988</v>
      </c>
      <c r="AJ305" s="928">
        <f t="shared" si="488"/>
        <v>229.72551938180692</v>
      </c>
      <c r="AK305" s="928">
        <f t="shared" si="488"/>
        <v>229.72458328357055</v>
      </c>
      <c r="AL305" s="928">
        <f t="shared" si="488"/>
        <v>229.7237080317195</v>
      </c>
      <c r="AM305" s="928">
        <f t="shared" si="488"/>
        <v>229.72288967123876</v>
      </c>
      <c r="AN305" s="928">
        <f t="shared" si="488"/>
        <v>229.72212450418931</v>
      </c>
      <c r="AO305" s="928">
        <f t="shared" si="488"/>
        <v>229.72140907299803</v>
      </c>
      <c r="AP305" s="928">
        <f t="shared" si="488"/>
        <v>229.72074014483417</v>
      </c>
      <c r="AQ305" s="928">
        <f t="shared" si="488"/>
        <v>229.72011469700107</v>
      </c>
      <c r="AR305" s="928">
        <f t="shared" si="488"/>
        <v>229.71952990327702</v>
      </c>
      <c r="AS305" s="928">
        <f t="shared" si="488"/>
        <v>229.71898312114504</v>
      </c>
      <c r="AT305" s="928">
        <f t="shared" si="488"/>
        <v>229.71847187985168</v>
      </c>
      <c r="AU305" s="928">
        <f t="shared" si="488"/>
        <v>229.71799386924238</v>
      </c>
      <c r="AV305" s="928">
        <f t="shared" si="488"/>
        <v>229.71754692932262</v>
      </c>
      <c r="AW305" s="928">
        <f t="shared" si="488"/>
        <v>229.7171290404977</v>
      </c>
      <c r="AX305" s="928">
        <f t="shared" si="488"/>
        <v>229.71673831444639</v>
      </c>
      <c r="AY305" s="928">
        <f t="shared" si="488"/>
        <v>229.71637298558841</v>
      </c>
      <c r="AZ305" s="928">
        <f t="shared" si="488"/>
        <v>229.71603140310623</v>
      </c>
      <c r="BA305" s="929">
        <f t="shared" si="488"/>
        <v>229.71571202348537</v>
      </c>
    </row>
    <row r="306" spans="13:53" ht="20.100000000000001" customHeight="1" thickBot="1">
      <c r="M306" s="240"/>
      <c r="N306" s="240"/>
      <c r="O306" s="240"/>
      <c r="P306" s="240"/>
      <c r="Q306" s="240"/>
      <c r="R306" s="240"/>
      <c r="S306" s="934" t="s">
        <v>2778</v>
      </c>
      <c r="T306" s="943" t="s">
        <v>2791</v>
      </c>
      <c r="U306" s="944"/>
      <c r="V306" s="945"/>
      <c r="W306" s="933" t="s">
        <v>2795</v>
      </c>
      <c r="X306" s="927"/>
      <c r="Y306" s="928">
        <f>Y269/INDEX('DEFAULT DATA'!$BB$9:$BB$41,START!$C$3,1)</f>
        <v>1369.3363365056982</v>
      </c>
      <c r="Z306" s="928">
        <f>Z269/INDEX('DEFAULT DATA'!$BB$9:$BB$41,START!$C$3,1)</f>
        <v>1396.7230632358123</v>
      </c>
      <c r="AA306" s="928">
        <f>AA269/INDEX('DEFAULT DATA'!$BB$9:$BB$41,START!$C$3,1)</f>
        <v>1424.6575245005286</v>
      </c>
      <c r="AB306" s="928">
        <f>AB269/INDEX('DEFAULT DATA'!$BB$9:$BB$41,START!$C$3,1)</f>
        <v>1453.1506749905393</v>
      </c>
      <c r="AC306" s="928">
        <f>AC269/INDEX('DEFAULT DATA'!$BB$9:$BB$41,START!$C$3,1)</f>
        <v>1482.21368849035</v>
      </c>
      <c r="AD306" s="928">
        <f>AD269/INDEX('DEFAULT DATA'!$BB$9:$BB$41,START!$C$3,1)</f>
        <v>1511.8579622601569</v>
      </c>
      <c r="AE306" s="928">
        <f>AE269/INDEX('DEFAULT DATA'!$BB$9:$BB$41,START!$C$3,1)</f>
        <v>1542.0951215053601</v>
      </c>
      <c r="AF306" s="928">
        <f>AF269/INDEX('DEFAULT DATA'!$BB$9:$BB$41,START!$C$3,1)</f>
        <v>1572.9370239354673</v>
      </c>
      <c r="AG306" s="928">
        <f>AG269/INDEX('DEFAULT DATA'!$BB$9:$BB$41,START!$C$3,1)</f>
        <v>1604.3957644141767</v>
      </c>
      <c r="AH306" s="928">
        <f>AH269/INDEX('DEFAULT DATA'!$BB$9:$BB$41,START!$C$3,1)</f>
        <v>1625.2529093515611</v>
      </c>
      <c r="AI306" s="928">
        <f>AI269/INDEX('DEFAULT DATA'!$BB$9:$BB$41,START!$C$3,1)</f>
        <v>1646.3811971731316</v>
      </c>
      <c r="AJ306" s="928">
        <f>AJ269/INDEX('DEFAULT DATA'!$BB$9:$BB$41,START!$C$3,1)</f>
        <v>1667.7841527363821</v>
      </c>
      <c r="AK306" s="928">
        <f>AK269/INDEX('DEFAULT DATA'!$BB$9:$BB$41,START!$C$3,1)</f>
        <v>1689.465346721955</v>
      </c>
      <c r="AL306" s="928">
        <f>AL269/INDEX('DEFAULT DATA'!$BB$9:$BB$41,START!$C$3,1)</f>
        <v>1711.4283962293403</v>
      </c>
      <c r="AM306" s="928">
        <f>AM269/INDEX('DEFAULT DATA'!$BB$9:$BB$41,START!$C$3,1)</f>
        <v>1733.6769653803215</v>
      </c>
      <c r="AN306" s="928">
        <f>AN269/INDEX('DEFAULT DATA'!$BB$9:$BB$41,START!$C$3,1)</f>
        <v>1756.2147659302657</v>
      </c>
      <c r="AO306" s="928">
        <f>AO269/INDEX('DEFAULT DATA'!$BB$9:$BB$41,START!$C$3,1)</f>
        <v>1779.0455578873591</v>
      </c>
      <c r="AP306" s="928">
        <f>AP269/INDEX('DEFAULT DATA'!$BB$9:$BB$41,START!$C$3,1)</f>
        <v>1802.1731501398949</v>
      </c>
      <c r="AQ306" s="928">
        <f>AQ269/INDEX('DEFAULT DATA'!$BB$9:$BB$41,START!$C$3,1)</f>
        <v>1825.6014010917136</v>
      </c>
      <c r="AR306" s="928">
        <f>AR269/INDEX('DEFAULT DATA'!$BB$9:$BB$41,START!$C$3,1)</f>
        <v>1849.3342193059059</v>
      </c>
      <c r="AS306" s="928">
        <f>AS269/INDEX('DEFAULT DATA'!$BB$9:$BB$41,START!$C$3,1)</f>
        <v>1873.3755641568828</v>
      </c>
      <c r="AT306" s="928">
        <f>AT269/INDEX('DEFAULT DATA'!$BB$9:$BB$41,START!$C$3,1)</f>
        <v>1897.7294464909221</v>
      </c>
      <c r="AU306" s="928">
        <f>AU269/INDEX('DEFAULT DATA'!$BB$9:$BB$41,START!$C$3,1)</f>
        <v>1922.3999292953042</v>
      </c>
      <c r="AV306" s="928">
        <f>AV269/INDEX('DEFAULT DATA'!$BB$9:$BB$41,START!$C$3,1)</f>
        <v>1947.3911283761431</v>
      </c>
      <c r="AW306" s="928">
        <f>AW269/INDEX('DEFAULT DATA'!$BB$9:$BB$41,START!$C$3,1)</f>
        <v>1972.7072130450331</v>
      </c>
      <c r="AX306" s="928">
        <f>AX269/INDEX('DEFAULT DATA'!$BB$9:$BB$41,START!$C$3,1)</f>
        <v>1998.3524068146185</v>
      </c>
      <c r="AY306" s="928">
        <f>AY269/INDEX('DEFAULT DATA'!$BB$9:$BB$41,START!$C$3,1)</f>
        <v>2024.3309881032083</v>
      </c>
      <c r="AZ306" s="928">
        <f>AZ269/INDEX('DEFAULT DATA'!$BB$9:$BB$41,START!$C$3,1)</f>
        <v>2050.6472909485501</v>
      </c>
      <c r="BA306" s="929">
        <f>BA269/INDEX('DEFAULT DATA'!$BB$9:$BB$41,START!$C$3,1)</f>
        <v>2077.3057057308815</v>
      </c>
    </row>
    <row r="307" spans="13:53" ht="20.100000000000001" customHeight="1">
      <c r="M307" s="240"/>
      <c r="N307" s="240"/>
      <c r="O307" s="240"/>
      <c r="P307" s="240"/>
      <c r="Q307" s="240"/>
      <c r="R307" s="240"/>
    </row>
    <row r="308" spans="13:53" ht="20.100000000000001" customHeight="1" thickBot="1">
      <c r="M308" s="240"/>
      <c r="N308" s="240"/>
      <c r="O308" s="240"/>
      <c r="P308" s="240"/>
      <c r="Q308" s="240"/>
      <c r="R308" s="240"/>
      <c r="S308" s="122" t="s">
        <v>55</v>
      </c>
    </row>
    <row r="309" spans="13:53" ht="20.100000000000001" customHeight="1" thickBot="1">
      <c r="M309" s="240"/>
      <c r="N309" s="240"/>
      <c r="O309" s="240"/>
      <c r="P309" s="240"/>
      <c r="Q309" s="240"/>
      <c r="R309" s="240"/>
      <c r="S309" s="934" t="s">
        <v>2789</v>
      </c>
      <c r="T309" s="943" t="s">
        <v>2800</v>
      </c>
      <c r="U309" s="944"/>
      <c r="V309" s="945"/>
      <c r="W309" s="947" t="s">
        <v>845</v>
      </c>
      <c r="X309" s="928">
        <f t="shared" ref="X309:BA309" si="489">X117</f>
        <v>3625.405205479462</v>
      </c>
      <c r="Y309" s="928">
        <f t="shared" si="489"/>
        <v>3450.4634498630239</v>
      </c>
      <c r="Z309" s="928">
        <f t="shared" si="489"/>
        <v>3288.8172676734348</v>
      </c>
      <c r="AA309" s="928">
        <f t="shared" si="489"/>
        <v>3139.4561953302546</v>
      </c>
      <c r="AB309" s="928">
        <f t="shared" si="489"/>
        <v>3001.4465644851562</v>
      </c>
      <c r="AC309" s="928">
        <f t="shared" si="489"/>
        <v>2873.9256655842855</v>
      </c>
      <c r="AD309" s="928">
        <f t="shared" si="489"/>
        <v>2756.0963549998805</v>
      </c>
      <c r="AE309" s="928">
        <f t="shared" si="489"/>
        <v>2647.2220720198902</v>
      </c>
      <c r="AF309" s="928">
        <f t="shared" si="489"/>
        <v>2546.6222345463793</v>
      </c>
      <c r="AG309" s="928">
        <f t="shared" si="489"/>
        <v>2453.6679847208552</v>
      </c>
      <c r="AH309" s="928">
        <f t="shared" si="489"/>
        <v>2380.2096657140005</v>
      </c>
      <c r="AI309" s="928">
        <f t="shared" si="489"/>
        <v>2311.5261374425913</v>
      </c>
      <c r="AJ309" s="928">
        <f t="shared" si="489"/>
        <v>2247.3070385088236</v>
      </c>
      <c r="AK309" s="928">
        <f t="shared" si="489"/>
        <v>2187.2621810057508</v>
      </c>
      <c r="AL309" s="928">
        <f t="shared" si="489"/>
        <v>2131.1202392403775</v>
      </c>
      <c r="AM309" s="928">
        <f t="shared" si="489"/>
        <v>2078.6275236897536</v>
      </c>
      <c r="AN309" s="928">
        <f t="shared" si="489"/>
        <v>2029.5468346499204</v>
      </c>
      <c r="AO309" s="928">
        <f t="shared" si="489"/>
        <v>1983.6563903976762</v>
      </c>
      <c r="AP309" s="928">
        <f t="shared" si="489"/>
        <v>1940.748825021828</v>
      </c>
      <c r="AQ309" s="928">
        <f t="shared" si="489"/>
        <v>1900.6302513954099</v>
      </c>
      <c r="AR309" s="928">
        <f t="shared" si="489"/>
        <v>1863.1193850547088</v>
      </c>
      <c r="AS309" s="928">
        <f t="shared" si="489"/>
        <v>1828.0467250261536</v>
      </c>
      <c r="AT309" s="928">
        <f t="shared" si="489"/>
        <v>1795.2537878994542</v>
      </c>
      <c r="AU309" s="928">
        <f t="shared" si="489"/>
        <v>1764.5923916859904</v>
      </c>
      <c r="AV309" s="928">
        <f t="shared" si="489"/>
        <v>1735.9239862264017</v>
      </c>
      <c r="AW309" s="928">
        <f t="shared" si="489"/>
        <v>1709.1190271216863</v>
      </c>
      <c r="AX309" s="928">
        <f t="shared" si="489"/>
        <v>1684.0563903587772</v>
      </c>
      <c r="AY309" s="928">
        <f t="shared" si="489"/>
        <v>1660.6228249854576</v>
      </c>
      <c r="AZ309" s="928">
        <f t="shared" si="489"/>
        <v>1638.7124413614033</v>
      </c>
      <c r="BA309" s="929">
        <f t="shared" si="489"/>
        <v>1618.2262326729128</v>
      </c>
    </row>
    <row r="310" spans="13:53" ht="20.100000000000001" customHeight="1" thickBot="1">
      <c r="M310" s="240"/>
      <c r="N310" s="240"/>
      <c r="O310" s="240"/>
      <c r="P310" s="240"/>
      <c r="Q310" s="240"/>
      <c r="R310" s="240"/>
      <c r="S310" s="934" t="s">
        <v>2792</v>
      </c>
      <c r="T310" s="943" t="s">
        <v>2790</v>
      </c>
      <c r="U310" s="944"/>
      <c r="V310" s="945"/>
      <c r="W310" s="933" t="s">
        <v>2795</v>
      </c>
      <c r="X310" s="928">
        <f>X268/INDEX('DEFAULT DATA'!$IX$9:$IX$41,START!$C$3,1)</f>
        <v>0</v>
      </c>
      <c r="Y310" s="928">
        <f>Y268/INDEX('DEFAULT DATA'!$IX$9:$IX$41,START!$C$3,1)</f>
        <v>1.8040111548173658</v>
      </c>
      <c r="Z310" s="928">
        <f>Z268/INDEX('DEFAULT DATA'!$IX$9:$IX$41,START!$C$3,1)</f>
        <v>1.8310713221396264</v>
      </c>
      <c r="AA310" s="928">
        <f>AA268/INDEX('DEFAULT DATA'!$IX$9:$IX$41,START!$C$3,1)</f>
        <v>1.8585373919717207</v>
      </c>
      <c r="AB310" s="928">
        <f>AB268/INDEX('DEFAULT DATA'!$IX$9:$IX$41,START!$C$3,1)</f>
        <v>1.8864154528512969</v>
      </c>
      <c r="AC310" s="928">
        <f>AC268/INDEX('DEFAULT DATA'!$IX$9:$IX$41,START!$C$3,1)</f>
        <v>1.9147116846440662</v>
      </c>
      <c r="AD310" s="928">
        <f>AD268/INDEX('DEFAULT DATA'!$IX$9:$IX$41,START!$C$3,1)</f>
        <v>1.9434323599137273</v>
      </c>
      <c r="AE310" s="928">
        <f>AE268/INDEX('DEFAULT DATA'!$IX$9:$IX$41,START!$C$3,1)</f>
        <v>1.9725838453124331</v>
      </c>
      <c r="AF310" s="928">
        <f>AF268/INDEX('DEFAULT DATA'!$IX$9:$IX$41,START!$C$3,1)</f>
        <v>2.0021726029921196</v>
      </c>
      <c r="AG310" s="928">
        <f>AG268/INDEX('DEFAULT DATA'!$IX$9:$IX$41,START!$C$3,1)</f>
        <v>2.0322051920370017</v>
      </c>
      <c r="AH310" s="928">
        <f>AH268/INDEX('DEFAULT DATA'!$IX$9:$IX$41,START!$C$3,1)</f>
        <v>2.0606560647255199</v>
      </c>
      <c r="AI310" s="928">
        <f>AI268/INDEX('DEFAULT DATA'!$IX$9:$IX$41,START!$C$3,1)</f>
        <v>2.0895052496316775</v>
      </c>
      <c r="AJ310" s="928">
        <f>AJ268/INDEX('DEFAULT DATA'!$IX$9:$IX$41,START!$C$3,1)</f>
        <v>2.1187583231265212</v>
      </c>
      <c r="AK310" s="928">
        <f>AK268/INDEX('DEFAULT DATA'!$IX$9:$IX$41,START!$C$3,1)</f>
        <v>2.1484209396502929</v>
      </c>
      <c r="AL310" s="928">
        <f>AL268/INDEX('DEFAULT DATA'!$IX$9:$IX$41,START!$C$3,1)</f>
        <v>2.1784988328053969</v>
      </c>
      <c r="AM310" s="928">
        <f>AM268/INDEX('DEFAULT DATA'!$IX$9:$IX$41,START!$C$3,1)</f>
        <v>2.2089978164646724</v>
      </c>
      <c r="AN310" s="928">
        <f>AN268/INDEX('DEFAULT DATA'!$IX$9:$IX$41,START!$C$3,1)</f>
        <v>2.2399237858951779</v>
      </c>
      <c r="AO310" s="928">
        <f>AO268/INDEX('DEFAULT DATA'!$IX$9:$IX$41,START!$C$3,1)</f>
        <v>2.2712827188977105</v>
      </c>
      <c r="AP310" s="928">
        <f>AP268/INDEX('DEFAULT DATA'!$IX$9:$IX$41,START!$C$3,1)</f>
        <v>2.3030806769622787</v>
      </c>
      <c r="AQ310" s="928">
        <f>AQ268/INDEX('DEFAULT DATA'!$IX$9:$IX$41,START!$C$3,1)</f>
        <v>2.3353238064397508</v>
      </c>
      <c r="AR310" s="928">
        <f>AR268/INDEX('DEFAULT DATA'!$IX$9:$IX$41,START!$C$3,1)</f>
        <v>2.3680183397299075</v>
      </c>
      <c r="AS310" s="928">
        <f>AS268/INDEX('DEFAULT DATA'!$IX$9:$IX$41,START!$C$3,1)</f>
        <v>2.4011705964861263</v>
      </c>
      <c r="AT310" s="928">
        <f>AT268/INDEX('DEFAULT DATA'!$IX$9:$IX$41,START!$C$3,1)</f>
        <v>2.4347869848369323</v>
      </c>
      <c r="AU310" s="928">
        <f>AU268/INDEX('DEFAULT DATA'!$IX$9:$IX$41,START!$C$3,1)</f>
        <v>2.4688740026246494</v>
      </c>
      <c r="AV310" s="928">
        <f>AV268/INDEX('DEFAULT DATA'!$IX$9:$IX$41,START!$C$3,1)</f>
        <v>2.5034382386613947</v>
      </c>
      <c r="AW310" s="928">
        <f>AW268/INDEX('DEFAULT DATA'!$IX$9:$IX$41,START!$C$3,1)</f>
        <v>2.5384863740026544</v>
      </c>
      <c r="AX310" s="928">
        <f>AX268/INDEX('DEFAULT DATA'!$IX$9:$IX$41,START!$C$3,1)</f>
        <v>2.5740251832386916</v>
      </c>
      <c r="AY310" s="928">
        <f>AY268/INDEX('DEFAULT DATA'!$IX$9:$IX$41,START!$C$3,1)</f>
        <v>2.6100615358040336</v>
      </c>
      <c r="AZ310" s="928">
        <f>AZ268/INDEX('DEFAULT DATA'!$IX$9:$IX$41,START!$C$3,1)</f>
        <v>2.6466023973052906</v>
      </c>
      <c r="BA310" s="929">
        <f>BA268/INDEX('DEFAULT DATA'!$IX$9:$IX$41,START!$C$3,1)</f>
        <v>2.6836548308675647</v>
      </c>
    </row>
    <row r="311" spans="13:53" ht="20.100000000000001" customHeight="1">
      <c r="M311" s="240"/>
      <c r="N311" s="240"/>
      <c r="O311" s="240"/>
      <c r="P311" s="240"/>
      <c r="Q311" s="240"/>
      <c r="R311" s="240"/>
    </row>
    <row r="312" spans="13:53" ht="20.100000000000001" customHeight="1" thickBot="1">
      <c r="M312" s="240"/>
      <c r="N312" s="240"/>
      <c r="O312" s="240"/>
      <c r="P312" s="240"/>
      <c r="Q312" s="240"/>
      <c r="R312" s="240"/>
      <c r="S312" s="122" t="s">
        <v>1788</v>
      </c>
    </row>
    <row r="313" spans="13:53" ht="20.100000000000001" customHeight="1" thickBot="1">
      <c r="M313" s="240"/>
      <c r="N313" s="240"/>
      <c r="O313" s="240"/>
      <c r="P313" s="240"/>
      <c r="Q313" s="240"/>
      <c r="R313" s="240"/>
      <c r="S313" s="934" t="s">
        <v>2799</v>
      </c>
      <c r="T313" s="943" t="s">
        <v>2802</v>
      </c>
      <c r="U313" s="944"/>
      <c r="V313" s="945"/>
      <c r="W313" s="947" t="s">
        <v>845</v>
      </c>
      <c r="X313" s="928">
        <f>X129</f>
        <v>3625.405205479462</v>
      </c>
      <c r="Y313" s="928">
        <f t="shared" ref="Y313:BA313" si="490">Y129</f>
        <v>3450.4634498630239</v>
      </c>
      <c r="Z313" s="928">
        <f t="shared" si="490"/>
        <v>3288.8172676734348</v>
      </c>
      <c r="AA313" s="928">
        <f t="shared" si="490"/>
        <v>3139.4561953302546</v>
      </c>
      <c r="AB313" s="928">
        <f t="shared" si="490"/>
        <v>3001.4465644851562</v>
      </c>
      <c r="AC313" s="928">
        <f t="shared" si="490"/>
        <v>2873.9256655842855</v>
      </c>
      <c r="AD313" s="928">
        <f t="shared" si="490"/>
        <v>2756.0963549998805</v>
      </c>
      <c r="AE313" s="928">
        <f t="shared" si="490"/>
        <v>2647.2220720198902</v>
      </c>
      <c r="AF313" s="928">
        <f t="shared" si="490"/>
        <v>2546.6222345463793</v>
      </c>
      <c r="AG313" s="928">
        <f t="shared" si="490"/>
        <v>2453.6679847208552</v>
      </c>
      <c r="AH313" s="928">
        <f t="shared" si="490"/>
        <v>2380.2096657140005</v>
      </c>
      <c r="AI313" s="928">
        <f t="shared" si="490"/>
        <v>2311.5261374425913</v>
      </c>
      <c r="AJ313" s="928">
        <f t="shared" si="490"/>
        <v>2247.3070385088236</v>
      </c>
      <c r="AK313" s="928">
        <f t="shared" si="490"/>
        <v>2187.2621810057508</v>
      </c>
      <c r="AL313" s="928">
        <f t="shared" si="490"/>
        <v>2131.1202392403775</v>
      </c>
      <c r="AM313" s="928">
        <f t="shared" si="490"/>
        <v>2078.6275236897536</v>
      </c>
      <c r="AN313" s="928">
        <f t="shared" si="490"/>
        <v>2029.5468346499204</v>
      </c>
      <c r="AO313" s="928">
        <f t="shared" si="490"/>
        <v>1983.6563903976762</v>
      </c>
      <c r="AP313" s="928">
        <f t="shared" si="490"/>
        <v>1940.748825021828</v>
      </c>
      <c r="AQ313" s="928">
        <f t="shared" si="490"/>
        <v>1900.6302513954099</v>
      </c>
      <c r="AR313" s="928">
        <f t="shared" si="490"/>
        <v>1863.1193850547088</v>
      </c>
      <c r="AS313" s="928">
        <f t="shared" si="490"/>
        <v>1828.0467250261536</v>
      </c>
      <c r="AT313" s="928">
        <f t="shared" si="490"/>
        <v>1795.2537878994542</v>
      </c>
      <c r="AU313" s="928">
        <f t="shared" si="490"/>
        <v>1764.5923916859904</v>
      </c>
      <c r="AV313" s="928">
        <f t="shared" si="490"/>
        <v>1735.9239862264017</v>
      </c>
      <c r="AW313" s="928">
        <f t="shared" si="490"/>
        <v>1709.1190271216863</v>
      </c>
      <c r="AX313" s="928">
        <f t="shared" si="490"/>
        <v>1684.0563903587772</v>
      </c>
      <c r="AY313" s="928">
        <f t="shared" si="490"/>
        <v>1660.6228249854576</v>
      </c>
      <c r="AZ313" s="928">
        <f t="shared" si="490"/>
        <v>1638.7124413614033</v>
      </c>
      <c r="BA313" s="929">
        <f t="shared" si="490"/>
        <v>1618.2262326729128</v>
      </c>
    </row>
    <row r="314" spans="13:53" ht="20.100000000000001" customHeight="1" thickBot="1">
      <c r="M314" s="240"/>
      <c r="N314" s="240"/>
      <c r="O314" s="240"/>
      <c r="P314" s="240"/>
      <c r="Q314" s="240"/>
      <c r="R314" s="240"/>
      <c r="S314" s="934" t="s">
        <v>2801</v>
      </c>
      <c r="T314" s="943" t="s">
        <v>2807</v>
      </c>
      <c r="U314" s="944"/>
      <c r="V314" s="945"/>
      <c r="W314" s="933" t="s">
        <v>2795</v>
      </c>
      <c r="X314" s="952"/>
      <c r="Y314" s="928">
        <f>Y281/INDEX('DEFAULT DATA'!$JV$9:$JV$41,START!$C$3,1)</f>
        <v>0</v>
      </c>
      <c r="Z314" s="928">
        <f>Z281/INDEX('DEFAULT DATA'!$JV$9:$JV$41,START!$C$3,1)</f>
        <v>0</v>
      </c>
      <c r="AA314" s="928">
        <f>AA281/INDEX('DEFAULT DATA'!$JV$9:$JV$41,START!$C$3,1)</f>
        <v>0</v>
      </c>
      <c r="AB314" s="928">
        <f>AB281/INDEX('DEFAULT DATA'!$JV$9:$JV$41,START!$C$3,1)</f>
        <v>0</v>
      </c>
      <c r="AC314" s="928">
        <f>AC281/INDEX('DEFAULT DATA'!$JV$9:$JV$41,START!$C$3,1)</f>
        <v>0</v>
      </c>
      <c r="AD314" s="928">
        <f>AD281/INDEX('DEFAULT DATA'!$JV$9:$JV$41,START!$C$3,1)</f>
        <v>0</v>
      </c>
      <c r="AE314" s="928">
        <f>AE281/INDEX('DEFAULT DATA'!$JV$9:$JV$41,START!$C$3,1)</f>
        <v>0</v>
      </c>
      <c r="AF314" s="928">
        <f>AF281/INDEX('DEFAULT DATA'!$JV$9:$JV$41,START!$C$3,1)</f>
        <v>0</v>
      </c>
      <c r="AG314" s="928">
        <f>AG281/INDEX('DEFAULT DATA'!$JV$9:$JV$41,START!$C$3,1)</f>
        <v>0</v>
      </c>
      <c r="AH314" s="928">
        <f>AH281/INDEX('DEFAULT DATA'!$JV$9:$JV$41,START!$C$3,1)</f>
        <v>0</v>
      </c>
      <c r="AI314" s="928">
        <f>AI281/INDEX('DEFAULT DATA'!$JV$9:$JV$41,START!$C$3,1)</f>
        <v>0</v>
      </c>
      <c r="AJ314" s="928">
        <f>AJ281/INDEX('DEFAULT DATA'!$JV$9:$JV$41,START!$C$3,1)</f>
        <v>0</v>
      </c>
      <c r="AK314" s="928">
        <f>AK281/INDEX('DEFAULT DATA'!$JV$9:$JV$41,START!$C$3,1)</f>
        <v>0</v>
      </c>
      <c r="AL314" s="928">
        <f>AL281/INDEX('DEFAULT DATA'!$JV$9:$JV$41,START!$C$3,1)</f>
        <v>0</v>
      </c>
      <c r="AM314" s="928">
        <f>AM281/INDEX('DEFAULT DATA'!$JV$9:$JV$41,START!$C$3,1)</f>
        <v>0</v>
      </c>
      <c r="AN314" s="928">
        <f>AN281/INDEX('DEFAULT DATA'!$JV$9:$JV$41,START!$C$3,1)</f>
        <v>0</v>
      </c>
      <c r="AO314" s="928">
        <f>AO281/INDEX('DEFAULT DATA'!$JV$9:$JV$41,START!$C$3,1)</f>
        <v>0</v>
      </c>
      <c r="AP314" s="928">
        <f>AP281/INDEX('DEFAULT DATA'!$JV$9:$JV$41,START!$C$3,1)</f>
        <v>0</v>
      </c>
      <c r="AQ314" s="928">
        <f>AQ281/INDEX('DEFAULT DATA'!$JV$9:$JV$41,START!$C$3,1)</f>
        <v>0</v>
      </c>
      <c r="AR314" s="928">
        <f>AR281/INDEX('DEFAULT DATA'!$JV$9:$JV$41,START!$C$3,1)</f>
        <v>0</v>
      </c>
      <c r="AS314" s="928">
        <f>AS281/INDEX('DEFAULT DATA'!$JV$9:$JV$41,START!$C$3,1)</f>
        <v>0</v>
      </c>
      <c r="AT314" s="928">
        <f>AT281/INDEX('DEFAULT DATA'!$JV$9:$JV$41,START!$C$3,1)</f>
        <v>0</v>
      </c>
      <c r="AU314" s="928">
        <f>AU281/INDEX('DEFAULT DATA'!$JV$9:$JV$41,START!$C$3,1)</f>
        <v>0</v>
      </c>
      <c r="AV314" s="928">
        <f>AV281/INDEX('DEFAULT DATA'!$JV$9:$JV$41,START!$C$3,1)</f>
        <v>0</v>
      </c>
      <c r="AW314" s="928">
        <f>AW281/INDEX('DEFAULT DATA'!$JV$9:$JV$41,START!$C$3,1)</f>
        <v>0</v>
      </c>
      <c r="AX314" s="928">
        <f>AX281/INDEX('DEFAULT DATA'!$JV$9:$JV$41,START!$C$3,1)</f>
        <v>0</v>
      </c>
      <c r="AY314" s="928">
        <f>AY281/INDEX('DEFAULT DATA'!$JV$9:$JV$41,START!$C$3,1)</f>
        <v>0</v>
      </c>
      <c r="AZ314" s="928">
        <f>AZ281/INDEX('DEFAULT DATA'!$JV$9:$JV$41,START!$C$3,1)</f>
        <v>0</v>
      </c>
      <c r="BA314" s="929">
        <f>BA281/INDEX('DEFAULT DATA'!$JV$9:$JV$41,START!$C$3,1)</f>
        <v>0</v>
      </c>
    </row>
    <row r="315" spans="13:53" ht="20.100000000000001" customHeight="1">
      <c r="M315" s="240"/>
      <c r="N315" s="240"/>
      <c r="O315" s="240"/>
      <c r="P315" s="240"/>
      <c r="Q315" s="240"/>
      <c r="R315" s="240"/>
    </row>
    <row r="316" spans="13:53" ht="20.100000000000001" customHeight="1" thickBot="1">
      <c r="M316" s="240"/>
      <c r="N316" s="240"/>
      <c r="O316" s="240"/>
      <c r="P316" s="240"/>
      <c r="Q316" s="240"/>
      <c r="R316" s="240"/>
      <c r="S316" s="122" t="s">
        <v>2804</v>
      </c>
    </row>
    <row r="317" spans="13:53" ht="20.100000000000001" customHeight="1" thickBot="1">
      <c r="M317" s="240"/>
      <c r="N317" s="240"/>
      <c r="O317" s="240"/>
      <c r="P317" s="240"/>
      <c r="Q317" s="240"/>
      <c r="R317" s="240"/>
      <c r="S317" s="934" t="s">
        <v>2805</v>
      </c>
      <c r="T317" s="1469" t="s">
        <v>2808</v>
      </c>
      <c r="U317" s="1470"/>
      <c r="V317" s="1471"/>
      <c r="W317" s="947" t="s">
        <v>845</v>
      </c>
      <c r="X317" s="928"/>
      <c r="Y317" s="928">
        <f>Y155*Y294/100+Y156*Y295/100+Y157*Y296/100+Y158*Y297/100+Y159*Y298/100</f>
        <v>548.41469042132996</v>
      </c>
      <c r="Z317" s="928">
        <f t="shared" ref="Z317:BA317" si="491">Z155*Z294/100+Z156*Z295/100+Z157*Z296/100+Z158*Z297/100+Z159*Z298/100</f>
        <v>548.41469042132996</v>
      </c>
      <c r="AA317" s="928">
        <f t="shared" si="491"/>
        <v>548.41469042132996</v>
      </c>
      <c r="AB317" s="928">
        <f t="shared" si="491"/>
        <v>548.41469042132996</v>
      </c>
      <c r="AC317" s="928">
        <f t="shared" si="491"/>
        <v>548.41469042132996</v>
      </c>
      <c r="AD317" s="928">
        <f t="shared" si="491"/>
        <v>548.41469042132996</v>
      </c>
      <c r="AE317" s="928">
        <f t="shared" si="491"/>
        <v>548.41469042132996</v>
      </c>
      <c r="AF317" s="928">
        <f t="shared" si="491"/>
        <v>548.41469042132996</v>
      </c>
      <c r="AG317" s="928">
        <f t="shared" si="491"/>
        <v>548.41469042132996</v>
      </c>
      <c r="AH317" s="928">
        <f t="shared" si="491"/>
        <v>548.41469042132996</v>
      </c>
      <c r="AI317" s="928">
        <f t="shared" si="491"/>
        <v>548.41469042132996</v>
      </c>
      <c r="AJ317" s="928">
        <f t="shared" si="491"/>
        <v>548.41469042132996</v>
      </c>
      <c r="AK317" s="928">
        <f t="shared" si="491"/>
        <v>548.41469042132996</v>
      </c>
      <c r="AL317" s="928">
        <f t="shared" si="491"/>
        <v>548.41469042132996</v>
      </c>
      <c r="AM317" s="928">
        <f t="shared" si="491"/>
        <v>548.41469042132996</v>
      </c>
      <c r="AN317" s="928">
        <f t="shared" si="491"/>
        <v>548.41469042132996</v>
      </c>
      <c r="AO317" s="928">
        <f t="shared" si="491"/>
        <v>548.41469042132996</v>
      </c>
      <c r="AP317" s="928">
        <f t="shared" si="491"/>
        <v>548.41469042132996</v>
      </c>
      <c r="AQ317" s="928">
        <f t="shared" si="491"/>
        <v>548.41469042132996</v>
      </c>
      <c r="AR317" s="928">
        <f t="shared" si="491"/>
        <v>548.41469042132996</v>
      </c>
      <c r="AS317" s="928">
        <f t="shared" si="491"/>
        <v>548.41469042132996</v>
      </c>
      <c r="AT317" s="928">
        <f t="shared" si="491"/>
        <v>548.41469042132996</v>
      </c>
      <c r="AU317" s="928">
        <f t="shared" si="491"/>
        <v>548.41469042132996</v>
      </c>
      <c r="AV317" s="928">
        <f t="shared" si="491"/>
        <v>548.41469042132996</v>
      </c>
      <c r="AW317" s="928">
        <f t="shared" si="491"/>
        <v>548.41469042132996</v>
      </c>
      <c r="AX317" s="928">
        <f t="shared" si="491"/>
        <v>548.41469042132996</v>
      </c>
      <c r="AY317" s="928">
        <f t="shared" si="491"/>
        <v>548.41469042132996</v>
      </c>
      <c r="AZ317" s="928">
        <f t="shared" si="491"/>
        <v>548.41469042132996</v>
      </c>
      <c r="BA317" s="929">
        <f t="shared" si="491"/>
        <v>548.41469042132996</v>
      </c>
    </row>
    <row r="318" spans="13:53" ht="20.100000000000001" customHeight="1" thickBot="1">
      <c r="M318" s="240"/>
      <c r="N318" s="240"/>
      <c r="O318" s="240"/>
      <c r="P318" s="240"/>
      <c r="Q318" s="240"/>
      <c r="R318" s="240"/>
      <c r="S318" s="934" t="s">
        <v>2806</v>
      </c>
      <c r="T318" s="943" t="s">
        <v>2835</v>
      </c>
      <c r="U318" s="944"/>
      <c r="V318" s="945"/>
      <c r="W318" s="933" t="s">
        <v>2795</v>
      </c>
      <c r="X318" s="952"/>
      <c r="Y318" s="928">
        <f>Y282/INDEX('DEFAULT DATA'!$LM$9:$LM$41,START!$C$3,1)</f>
        <v>54.050262275736607</v>
      </c>
      <c r="Z318" s="928">
        <f>Z282/INDEX('DEFAULT DATA'!$LM$9:$LM$41,START!$C$3,1)</f>
        <v>55.401518832630018</v>
      </c>
      <c r="AA318" s="928">
        <f>AA282/INDEX('DEFAULT DATA'!$LM$9:$LM$41,START!$C$3,1)</f>
        <v>56.786556803445762</v>
      </c>
      <c r="AB318" s="928">
        <f>AB282/INDEX('DEFAULT DATA'!$LM$9:$LM$41,START!$C$3,1)</f>
        <v>58.206220723531906</v>
      </c>
      <c r="AC318" s="928">
        <f>AC282/INDEX('DEFAULT DATA'!$LM$9:$LM$41,START!$C$3,1)</f>
        <v>59.661376241620204</v>
      </c>
      <c r="AD318" s="928">
        <f>AD282/INDEX('DEFAULT DATA'!$LM$9:$LM$41,START!$C$3,1)</f>
        <v>61.152910647660711</v>
      </c>
      <c r="AE318" s="928">
        <f>AE282/INDEX('DEFAULT DATA'!$LM$9:$LM$41,START!$C$3,1)</f>
        <v>62.681733413852228</v>
      </c>
      <c r="AF318" s="928">
        <f>AF282/INDEX('DEFAULT DATA'!$LM$9:$LM$41,START!$C$3,1)</f>
        <v>64.248776749198527</v>
      </c>
      <c r="AG318" s="928">
        <f>AG282/INDEX('DEFAULT DATA'!$LM$9:$LM$41,START!$C$3,1)</f>
        <v>65.854996167928491</v>
      </c>
      <c r="AH318" s="928">
        <f>AH282/INDEX('DEFAULT DATA'!$LM$9:$LM$41,START!$C$3,1)</f>
        <v>66.71111111811156</v>
      </c>
      <c r="AI318" s="928">
        <f>AI282/INDEX('DEFAULT DATA'!$LM$9:$LM$41,START!$C$3,1)</f>
        <v>67.578355562647005</v>
      </c>
      <c r="AJ318" s="928">
        <f>AJ282/INDEX('DEFAULT DATA'!$LM$9:$LM$41,START!$C$3,1)</f>
        <v>68.456874184961421</v>
      </c>
      <c r="AK318" s="928">
        <f>AK282/INDEX('DEFAULT DATA'!$LM$9:$LM$41,START!$C$3,1)</f>
        <v>69.346813549365919</v>
      </c>
      <c r="AL318" s="928">
        <f>AL282/INDEX('DEFAULT DATA'!$LM$9:$LM$41,START!$C$3,1)</f>
        <v>70.24832212550767</v>
      </c>
      <c r="AM318" s="928">
        <f>AM282/INDEX('DEFAULT DATA'!$LM$9:$LM$41,START!$C$3,1)</f>
        <v>71.161550313139273</v>
      </c>
      <c r="AN318" s="928">
        <f>AN282/INDEX('DEFAULT DATA'!$LM$9:$LM$41,START!$C$3,1)</f>
        <v>72.086650467210077</v>
      </c>
      <c r="AO318" s="928">
        <f>AO282/INDEX('DEFAULT DATA'!$LM$9:$LM$41,START!$C$3,1)</f>
        <v>73.023776923283805</v>
      </c>
      <c r="AP318" s="928">
        <f>AP282/INDEX('DEFAULT DATA'!$LM$9:$LM$41,START!$C$3,1)</f>
        <v>73.973086023286498</v>
      </c>
      <c r="AQ318" s="928">
        <f>AQ282/INDEX('DEFAULT DATA'!$LM$9:$LM$41,START!$C$3,1)</f>
        <v>74.934736141589212</v>
      </c>
      <c r="AR318" s="928">
        <f>AR282/INDEX('DEFAULT DATA'!$LM$9:$LM$41,START!$C$3,1)</f>
        <v>75.90888771142987</v>
      </c>
      <c r="AS318" s="928">
        <f>AS282/INDEX('DEFAULT DATA'!$LM$9:$LM$41,START!$C$3,1)</f>
        <v>76.895703251678455</v>
      </c>
      <c r="AT318" s="928">
        <f>AT282/INDEX('DEFAULT DATA'!$LM$9:$LM$41,START!$C$3,1)</f>
        <v>77.895347393950274</v>
      </c>
      <c r="AU318" s="928">
        <f>AU282/INDEX('DEFAULT DATA'!$LM$9:$LM$41,START!$C$3,1)</f>
        <v>78.907986910071628</v>
      </c>
      <c r="AV318" s="928">
        <f>AV282/INDEX('DEFAULT DATA'!$LM$9:$LM$41,START!$C$3,1)</f>
        <v>79.933790739902562</v>
      </c>
      <c r="AW318" s="928">
        <f>AW282/INDEX('DEFAULT DATA'!$LM$9:$LM$41,START!$C$3,1)</f>
        <v>80.972930019521286</v>
      </c>
      <c r="AX318" s="928">
        <f>AX282/INDEX('DEFAULT DATA'!$LM$9:$LM$41,START!$C$3,1)</f>
        <v>82.025578109775054</v>
      </c>
      <c r="AY318" s="928">
        <f>AY282/INDEX('DEFAULT DATA'!$LM$9:$LM$41,START!$C$3,1)</f>
        <v>83.091910625202132</v>
      </c>
      <c r="AZ318" s="928">
        <f>AZ282/INDEX('DEFAULT DATA'!$LM$9:$LM$41,START!$C$3,1)</f>
        <v>84.172105463329757</v>
      </c>
      <c r="BA318" s="929">
        <f>BA282/INDEX('DEFAULT DATA'!$LM$9:$LM$41,START!$C$3,1)</f>
        <v>85.26634283435304</v>
      </c>
    </row>
    <row r="319" spans="13:53" ht="20.100000000000001" customHeight="1">
      <c r="M319" s="240"/>
      <c r="N319" s="240"/>
      <c r="O319" s="240"/>
      <c r="P319" s="240"/>
      <c r="Q319" s="240"/>
      <c r="R319" s="240"/>
    </row>
    <row r="320" spans="13:53" ht="20.100000000000001" customHeight="1" thickBot="1">
      <c r="M320" s="240"/>
      <c r="N320" s="240"/>
      <c r="O320" s="240"/>
      <c r="P320" s="240"/>
      <c r="Q320" s="240"/>
      <c r="R320" s="240"/>
      <c r="S320" s="122" t="s">
        <v>2811</v>
      </c>
    </row>
    <row r="321" spans="3:63" ht="20.100000000000001" customHeight="1" thickBot="1">
      <c r="M321" s="240"/>
      <c r="N321" s="240"/>
      <c r="O321" s="240"/>
      <c r="P321" s="240"/>
      <c r="Q321" s="240"/>
      <c r="R321" s="240"/>
      <c r="S321" s="934" t="s">
        <v>2812</v>
      </c>
      <c r="T321" s="1469" t="s">
        <v>2834</v>
      </c>
      <c r="U321" s="1470"/>
      <c r="V321" s="1471"/>
      <c r="W321" s="947" t="s">
        <v>845</v>
      </c>
      <c r="X321" s="928">
        <f>X170</f>
        <v>29</v>
      </c>
      <c r="Y321" s="928">
        <f t="shared" ref="Y321:BA321" si="492">Y170</f>
        <v>29</v>
      </c>
      <c r="Z321" s="928">
        <f t="shared" si="492"/>
        <v>29</v>
      </c>
      <c r="AA321" s="928">
        <f t="shared" si="492"/>
        <v>29</v>
      </c>
      <c r="AB321" s="928">
        <f t="shared" si="492"/>
        <v>29</v>
      </c>
      <c r="AC321" s="928">
        <f t="shared" si="492"/>
        <v>29</v>
      </c>
      <c r="AD321" s="928">
        <f t="shared" si="492"/>
        <v>29</v>
      </c>
      <c r="AE321" s="928">
        <f t="shared" si="492"/>
        <v>29</v>
      </c>
      <c r="AF321" s="928">
        <f t="shared" si="492"/>
        <v>29</v>
      </c>
      <c r="AG321" s="928">
        <f t="shared" si="492"/>
        <v>29</v>
      </c>
      <c r="AH321" s="928">
        <f t="shared" si="492"/>
        <v>29</v>
      </c>
      <c r="AI321" s="928">
        <f t="shared" si="492"/>
        <v>29</v>
      </c>
      <c r="AJ321" s="928">
        <f t="shared" si="492"/>
        <v>29</v>
      </c>
      <c r="AK321" s="928">
        <f t="shared" si="492"/>
        <v>29</v>
      </c>
      <c r="AL321" s="928">
        <f t="shared" si="492"/>
        <v>29</v>
      </c>
      <c r="AM321" s="928">
        <f t="shared" si="492"/>
        <v>29</v>
      </c>
      <c r="AN321" s="928">
        <f t="shared" si="492"/>
        <v>29</v>
      </c>
      <c r="AO321" s="928">
        <f t="shared" si="492"/>
        <v>29</v>
      </c>
      <c r="AP321" s="928">
        <f t="shared" si="492"/>
        <v>29</v>
      </c>
      <c r="AQ321" s="928">
        <f t="shared" si="492"/>
        <v>29</v>
      </c>
      <c r="AR321" s="928">
        <f t="shared" si="492"/>
        <v>29</v>
      </c>
      <c r="AS321" s="928">
        <f t="shared" si="492"/>
        <v>29</v>
      </c>
      <c r="AT321" s="928">
        <f t="shared" si="492"/>
        <v>29</v>
      </c>
      <c r="AU321" s="928">
        <f t="shared" si="492"/>
        <v>29</v>
      </c>
      <c r="AV321" s="928">
        <f t="shared" si="492"/>
        <v>29</v>
      </c>
      <c r="AW321" s="928">
        <f t="shared" si="492"/>
        <v>29</v>
      </c>
      <c r="AX321" s="928">
        <f t="shared" si="492"/>
        <v>29</v>
      </c>
      <c r="AY321" s="928">
        <f t="shared" si="492"/>
        <v>29</v>
      </c>
      <c r="AZ321" s="928">
        <f t="shared" si="492"/>
        <v>29</v>
      </c>
      <c r="BA321" s="929">
        <f t="shared" si="492"/>
        <v>29</v>
      </c>
    </row>
    <row r="322" spans="3:63" ht="20.100000000000001" customHeight="1" thickBot="1">
      <c r="M322" s="240"/>
      <c r="N322" s="240"/>
      <c r="O322" s="240"/>
      <c r="P322" s="240"/>
      <c r="Q322" s="240"/>
      <c r="R322" s="240"/>
      <c r="S322" s="934" t="s">
        <v>2813</v>
      </c>
      <c r="T322" s="943" t="s">
        <v>2836</v>
      </c>
      <c r="U322" s="944"/>
      <c r="V322" s="945"/>
      <c r="W322" s="933" t="s">
        <v>2795</v>
      </c>
      <c r="X322" s="952"/>
      <c r="Y322" s="928">
        <f>Y283/INDEX('DEFAULT DATA'!$LX$9:$LX$41,START!$C$3,1)</f>
        <v>0</v>
      </c>
      <c r="Z322" s="928">
        <f>Z283/INDEX('DEFAULT DATA'!$LX$9:$LX$41,START!$C$3,1)</f>
        <v>0</v>
      </c>
      <c r="AA322" s="928">
        <f>AA283/INDEX('DEFAULT DATA'!$LX$9:$LX$41,START!$C$3,1)</f>
        <v>0</v>
      </c>
      <c r="AB322" s="928">
        <f>AB283/INDEX('DEFAULT DATA'!$LX$9:$LX$41,START!$C$3,1)</f>
        <v>0</v>
      </c>
      <c r="AC322" s="928">
        <f>AC283/INDEX('DEFAULT DATA'!$LX$9:$LX$41,START!$C$3,1)</f>
        <v>0</v>
      </c>
      <c r="AD322" s="928">
        <f>AD283/INDEX('DEFAULT DATA'!$LX$9:$LX$41,START!$C$3,1)</f>
        <v>0</v>
      </c>
      <c r="AE322" s="928">
        <f>AE283/INDEX('DEFAULT DATA'!$LX$9:$LX$41,START!$C$3,1)</f>
        <v>0</v>
      </c>
      <c r="AF322" s="928">
        <f>AF283/INDEX('DEFAULT DATA'!$LX$9:$LX$41,START!$C$3,1)</f>
        <v>0</v>
      </c>
      <c r="AG322" s="928">
        <f>AG283/INDEX('DEFAULT DATA'!$LX$9:$LX$41,START!$C$3,1)</f>
        <v>0</v>
      </c>
      <c r="AH322" s="928">
        <f>AH283/INDEX('DEFAULT DATA'!$LX$9:$LX$41,START!$C$3,1)</f>
        <v>0</v>
      </c>
      <c r="AI322" s="928">
        <f>AI283/INDEX('DEFAULT DATA'!$LX$9:$LX$41,START!$C$3,1)</f>
        <v>0</v>
      </c>
      <c r="AJ322" s="928">
        <f>AJ283/INDEX('DEFAULT DATA'!$LX$9:$LX$41,START!$C$3,1)</f>
        <v>0</v>
      </c>
      <c r="AK322" s="928">
        <f>AK283/INDEX('DEFAULT DATA'!$LX$9:$LX$41,START!$C$3,1)</f>
        <v>0</v>
      </c>
      <c r="AL322" s="928">
        <f>AL283/INDEX('DEFAULT DATA'!$LX$9:$LX$41,START!$C$3,1)</f>
        <v>0</v>
      </c>
      <c r="AM322" s="928">
        <f>AM283/INDEX('DEFAULT DATA'!$LX$9:$LX$41,START!$C$3,1)</f>
        <v>0</v>
      </c>
      <c r="AN322" s="928">
        <f>AN283/INDEX('DEFAULT DATA'!$LX$9:$LX$41,START!$C$3,1)</f>
        <v>0</v>
      </c>
      <c r="AO322" s="928">
        <f>AO283/INDEX('DEFAULT DATA'!$LX$9:$LX$41,START!$C$3,1)</f>
        <v>0</v>
      </c>
      <c r="AP322" s="928">
        <f>AP283/INDEX('DEFAULT DATA'!$LX$9:$LX$41,START!$C$3,1)</f>
        <v>0</v>
      </c>
      <c r="AQ322" s="928">
        <f>AQ283/INDEX('DEFAULT DATA'!$LX$9:$LX$41,START!$C$3,1)</f>
        <v>0</v>
      </c>
      <c r="AR322" s="928">
        <f>AR283/INDEX('DEFAULT DATA'!$LX$9:$LX$41,START!$C$3,1)</f>
        <v>0</v>
      </c>
      <c r="AS322" s="928">
        <f>AS283/INDEX('DEFAULT DATA'!$LX$9:$LX$41,START!$C$3,1)</f>
        <v>0</v>
      </c>
      <c r="AT322" s="928">
        <f>AT283/INDEX('DEFAULT DATA'!$LX$9:$LX$41,START!$C$3,1)</f>
        <v>0</v>
      </c>
      <c r="AU322" s="928">
        <f>AU283/INDEX('DEFAULT DATA'!$LX$9:$LX$41,START!$C$3,1)</f>
        <v>0</v>
      </c>
      <c r="AV322" s="928">
        <f>AV283/INDEX('DEFAULT DATA'!$LX$9:$LX$41,START!$C$3,1)</f>
        <v>0</v>
      </c>
      <c r="AW322" s="928">
        <f>AW283/INDEX('DEFAULT DATA'!$LX$9:$LX$41,START!$C$3,1)</f>
        <v>0</v>
      </c>
      <c r="AX322" s="928">
        <f>AX283/INDEX('DEFAULT DATA'!$LX$9:$LX$41,START!$C$3,1)</f>
        <v>0</v>
      </c>
      <c r="AY322" s="928">
        <f>AY283/INDEX('DEFAULT DATA'!$LX$9:$LX$41,START!$C$3,1)</f>
        <v>0</v>
      </c>
      <c r="AZ322" s="928">
        <f>AZ283/INDEX('DEFAULT DATA'!$LX$9:$LX$41,START!$C$3,1)</f>
        <v>0</v>
      </c>
      <c r="BA322" s="929">
        <f>BA283/INDEX('DEFAULT DATA'!$LX$9:$LX$41,START!$C$3,1)</f>
        <v>0</v>
      </c>
    </row>
    <row r="323" spans="3:63" ht="20.100000000000001" customHeight="1">
      <c r="M323" s="240"/>
      <c r="N323" s="240"/>
      <c r="O323" s="240"/>
      <c r="P323" s="240"/>
      <c r="Q323" s="240"/>
      <c r="R323" s="240"/>
      <c r="S323" s="82"/>
      <c r="T323" s="82"/>
      <c r="U323" s="82"/>
      <c r="V323" s="82"/>
      <c r="W323" s="82"/>
      <c r="X323" s="82"/>
      <c r="Y323" s="82"/>
      <c r="Z323" s="82"/>
      <c r="AA323" s="82"/>
      <c r="AB323" s="82"/>
      <c r="AC323" s="82"/>
      <c r="AD323" s="82"/>
      <c r="AE323" s="82"/>
      <c r="AF323" s="82"/>
      <c r="AG323" s="82"/>
      <c r="AH323" s="82"/>
      <c r="AI323" s="82"/>
      <c r="AJ323" s="82"/>
      <c r="AK323" s="82"/>
      <c r="AL323" s="82"/>
      <c r="AM323" s="82"/>
      <c r="AN323" s="82"/>
      <c r="AO323" s="82"/>
      <c r="AP323" s="82"/>
      <c r="AQ323" s="82"/>
      <c r="AR323" s="82"/>
      <c r="AS323" s="82"/>
      <c r="AT323" s="82"/>
      <c r="AU323" s="82"/>
      <c r="AV323" s="82"/>
      <c r="AW323" s="82"/>
      <c r="AX323" s="82"/>
      <c r="AY323" s="82"/>
      <c r="AZ323" s="82"/>
      <c r="BA323" s="82"/>
      <c r="BB323" s="82"/>
      <c r="BC323" s="82"/>
      <c r="BD323" s="82"/>
      <c r="BE323" s="82"/>
      <c r="BF323" s="82"/>
      <c r="BG323" s="82"/>
      <c r="BH323" s="82"/>
      <c r="BI323" s="82"/>
      <c r="BJ323" s="82"/>
      <c r="BK323" s="82"/>
    </row>
    <row r="324" spans="3:63" ht="20.100000000000001" customHeight="1" thickBot="1">
      <c r="M324" s="240"/>
      <c r="N324" s="240"/>
      <c r="O324" s="240"/>
      <c r="P324" s="240"/>
      <c r="Q324" s="240"/>
      <c r="R324" s="240"/>
      <c r="S324" s="122" t="s">
        <v>2814</v>
      </c>
    </row>
    <row r="325" spans="3:63" ht="20.100000000000001" customHeight="1">
      <c r="M325" s="240"/>
      <c r="N325" s="240"/>
      <c r="O325" s="240"/>
      <c r="P325" s="240"/>
      <c r="Q325" s="240"/>
      <c r="R325" s="240"/>
      <c r="S325" s="299" t="s">
        <v>2774</v>
      </c>
      <c r="T325" s="138"/>
      <c r="U325" s="138"/>
      <c r="V325" s="937">
        <v>2019</v>
      </c>
      <c r="W325" s="937">
        <v>2020</v>
      </c>
      <c r="X325" s="937">
        <v>2021</v>
      </c>
      <c r="Y325" s="937">
        <f>X325+1</f>
        <v>2022</v>
      </c>
      <c r="Z325" s="937">
        <f t="shared" ref="Z325" si="493">Y325+1</f>
        <v>2023</v>
      </c>
      <c r="AA325" s="937">
        <f t="shared" ref="AA325" si="494">Z325+1</f>
        <v>2024</v>
      </c>
      <c r="AB325" s="937">
        <f t="shared" ref="AB325" si="495">AA325+1</f>
        <v>2025</v>
      </c>
      <c r="AC325" s="937">
        <f t="shared" ref="AC325" si="496">AB325+1</f>
        <v>2026</v>
      </c>
      <c r="AD325" s="937">
        <f t="shared" ref="AD325" si="497">AC325+1</f>
        <v>2027</v>
      </c>
      <c r="AE325" s="937">
        <f t="shared" ref="AE325" si="498">AD325+1</f>
        <v>2028</v>
      </c>
      <c r="AF325" s="937">
        <f t="shared" ref="AF325" si="499">AE325+1</f>
        <v>2029</v>
      </c>
      <c r="AG325" s="937">
        <f t="shared" ref="AG325" si="500">AF325+1</f>
        <v>2030</v>
      </c>
      <c r="AH325" s="937">
        <f t="shared" ref="AH325" si="501">AG325+1</f>
        <v>2031</v>
      </c>
      <c r="AI325" s="937">
        <f t="shared" ref="AI325" si="502">AH325+1</f>
        <v>2032</v>
      </c>
      <c r="AJ325" s="937">
        <f t="shared" ref="AJ325" si="503">AI325+1</f>
        <v>2033</v>
      </c>
      <c r="AK325" s="937">
        <f t="shared" ref="AK325" si="504">AJ325+1</f>
        <v>2034</v>
      </c>
      <c r="AL325" s="937">
        <f t="shared" ref="AL325" si="505">AK325+1</f>
        <v>2035</v>
      </c>
      <c r="AM325" s="937">
        <f t="shared" ref="AM325" si="506">AL325+1</f>
        <v>2036</v>
      </c>
      <c r="AN325" s="937">
        <f t="shared" ref="AN325" si="507">AM325+1</f>
        <v>2037</v>
      </c>
      <c r="AO325" s="937">
        <f t="shared" ref="AO325" si="508">AN325+1</f>
        <v>2038</v>
      </c>
      <c r="AP325" s="937">
        <f t="shared" ref="AP325" si="509">AO325+1</f>
        <v>2039</v>
      </c>
      <c r="AQ325" s="937">
        <f t="shared" ref="AQ325" si="510">AP325+1</f>
        <v>2040</v>
      </c>
      <c r="AR325" s="937">
        <f t="shared" ref="AR325" si="511">AQ325+1</f>
        <v>2041</v>
      </c>
      <c r="AS325" s="937">
        <f t="shared" ref="AS325" si="512">AR325+1</f>
        <v>2042</v>
      </c>
      <c r="AT325" s="937">
        <f t="shared" ref="AT325" si="513">AS325+1</f>
        <v>2043</v>
      </c>
      <c r="AU325" s="937">
        <f t="shared" ref="AU325" si="514">AT325+1</f>
        <v>2044</v>
      </c>
      <c r="AV325" s="937">
        <f t="shared" ref="AV325" si="515">AU325+1</f>
        <v>2045</v>
      </c>
      <c r="AW325" s="937">
        <f t="shared" ref="AW325" si="516">AV325+1</f>
        <v>2046</v>
      </c>
      <c r="AX325" s="937">
        <f t="shared" ref="AX325" si="517">AW325+1</f>
        <v>2047</v>
      </c>
      <c r="AY325" s="937">
        <f t="shared" ref="AY325" si="518">AX325+1</f>
        <v>2048</v>
      </c>
      <c r="AZ325" s="937">
        <f t="shared" ref="AZ325" si="519">AY325+1</f>
        <v>2049</v>
      </c>
      <c r="BA325" s="153">
        <f t="shared" ref="BA325" si="520">AZ325+1</f>
        <v>2050</v>
      </c>
    </row>
    <row r="326" spans="3:63" ht="20.100000000000001" customHeight="1">
      <c r="M326" s="240"/>
      <c r="N326" s="240"/>
      <c r="O326" s="240"/>
      <c r="P326" s="240"/>
      <c r="Q326" s="240"/>
      <c r="R326" s="240"/>
      <c r="S326" s="101" t="s">
        <v>2558</v>
      </c>
      <c r="T326" s="383" t="s">
        <v>2782</v>
      </c>
      <c r="U326" s="131"/>
      <c r="V326" s="131"/>
      <c r="W326" s="131"/>
      <c r="X326" s="131"/>
      <c r="Y326" s="195">
        <f>IF(Y325&lt;START!$C$2+2021,0,Y301*Y302/1000)</f>
        <v>22.834876055489818</v>
      </c>
      <c r="Z326" s="195">
        <f>IF(Z325&lt;START!$C$2+2021,0,Z301*Z302/1000)</f>
        <v>23.015428153567143</v>
      </c>
      <c r="AA326" s="195">
        <f>IF(AA325&lt;START!$C$2+2021,0,AA301*AA302/1000)</f>
        <v>23.196991199469142</v>
      </c>
      <c r="AB326" s="195">
        <f>IF(AB325&lt;START!$C$2+2021,0,AB301*AB302/1000)</f>
        <v>23.379615766568435</v>
      </c>
      <c r="AC326" s="195">
        <f>IF(AC325&lt;START!$C$2+2021,0,AC301*AC302/1000)</f>
        <v>23.561029081636899</v>
      </c>
      <c r="AD326" s="195">
        <f>IF(AD325&lt;START!$C$2+2021,0,AD301*AD302/1000)</f>
        <v>23.743190824943646</v>
      </c>
      <c r="AE326" s="195">
        <f>IF(AE325&lt;START!$C$2+2021,0,AE301*AE302/1000)</f>
        <v>23.926174584952388</v>
      </c>
      <c r="AF326" s="195">
        <f>IF(AF325&lt;START!$C$2+2021,0,AF301*AF302/1000)</f>
        <v>24.11004812885297</v>
      </c>
      <c r="AG326" s="195">
        <f>IF(AG325&lt;START!$C$2+2021,0,AG301*AG302/1000)</f>
        <v>24.294873913801055</v>
      </c>
      <c r="AH326" s="195">
        <f>IF(AH325&lt;START!$C$2+2021,0,AH301*AH302/1000)</f>
        <v>24.45676224506683</v>
      </c>
      <c r="AI326" s="195">
        <f>IF(AI325&lt;START!$C$2+2021,0,AI301*AI302/1000)</f>
        <v>24.619398367866726</v>
      </c>
      <c r="AJ326" s="195">
        <f>IF(AJ325&lt;START!$C$2+2021,0,AJ301*AJ302/1000)</f>
        <v>24.782818532040451</v>
      </c>
      <c r="AK326" s="195">
        <f>IF(AK325&lt;START!$C$2+2021,0,AK301*AK302/1000)</f>
        <v>24.947056638305828</v>
      </c>
      <c r="AL326" s="195">
        <f>IF(AL325&lt;START!$C$2+2021,0,AL301*AL302/1000)</f>
        <v>25.112144418080547</v>
      </c>
      <c r="AM326" s="195">
        <f>IF(AM325&lt;START!$C$2+2021,0,AM301*AM302/1000)</f>
        <v>25.274292932162897</v>
      </c>
      <c r="AN326" s="195">
        <f>IF(AN325&lt;START!$C$2+2021,0,AN301*AN302/1000)</f>
        <v>25.437131026973482</v>
      </c>
      <c r="AO326" s="195">
        <f>IF(AO325&lt;START!$C$2+2021,0,AO301*AO302/1000)</f>
        <v>25.600696996552397</v>
      </c>
      <c r="AP326" s="195">
        <f>IF(AP325&lt;START!$C$2+2021,0,AP301*AP302/1000)</f>
        <v>25.765026556049694</v>
      </c>
      <c r="AQ326" s="195">
        <f>IF(AQ325&lt;START!$C$2+2021,0,AQ301*AQ302/1000)</f>
        <v>25.930153038958462</v>
      </c>
      <c r="AR326" s="195">
        <f>IF(AR325&lt;START!$C$2+2021,0,AR301*AR302/1000)</f>
        <v>26.096107580265215</v>
      </c>
      <c r="AS326" s="195">
        <f>IF(AS325&lt;START!$C$2+2021,0,AS301*AS302/1000)</f>
        <v>26.262919286490934</v>
      </c>
      <c r="AT326" s="195">
        <f>IF(AT325&lt;START!$C$2+2021,0,AT301*AT302/1000)</f>
        <v>26.430615393530644</v>
      </c>
      <c r="AU326" s="195">
        <f>IF(AU325&lt;START!$C$2+2021,0,AU301*AU302/1000)</f>
        <v>26.599221413137872</v>
      </c>
      <c r="AV326" s="195">
        <f>IF(AV325&lt;START!$C$2+2021,0,AV301*AV302/1000)</f>
        <v>26.768761268843267</v>
      </c>
      <c r="AW326" s="195">
        <f>IF(AW325&lt;START!$C$2+2021,0,AW301*AW302/1000)</f>
        <v>26.944010292656621</v>
      </c>
      <c r="AX326" s="195">
        <f>IF(AX325&lt;START!$C$2+2021,0,AX301*AX302/1000)</f>
        <v>27.120393198651819</v>
      </c>
      <c r="AY326" s="195">
        <f>IF(AY325&lt;START!$C$2+2021,0,AY301*AY302/1000)</f>
        <v>27.297923624065266</v>
      </c>
      <c r="AZ326" s="195">
        <f>IF(AZ325&lt;START!$C$2+2021,0,AZ301*AZ302/1000)</f>
        <v>27.476614626218939</v>
      </c>
      <c r="BA326" s="707">
        <f>IF(BA325&lt;START!$C$2+2021,0,BA301*BA302/1000)</f>
        <v>27.656478735658052</v>
      </c>
    </row>
    <row r="327" spans="3:63" ht="20.100000000000001" customHeight="1">
      <c r="M327" s="240"/>
      <c r="N327" s="240"/>
      <c r="O327" s="240"/>
      <c r="P327" s="240"/>
      <c r="Q327" s="240"/>
      <c r="R327" s="240"/>
      <c r="S327" s="101" t="s">
        <v>2559</v>
      </c>
      <c r="T327" s="383" t="s">
        <v>2793</v>
      </c>
      <c r="U327" s="131"/>
      <c r="V327" s="131"/>
      <c r="W327" s="131"/>
      <c r="X327" s="131"/>
      <c r="Y327" s="195">
        <f>IF(Y325&lt;START!$C$2+2021,0,Y305*Y306/1000)</f>
        <v>314.55178059938839</v>
      </c>
      <c r="Z327" s="195">
        <f>IF(Z325&lt;START!$C$2+2021,0,Z305*Z306/1000)</f>
        <v>320.8428162113762</v>
      </c>
      <c r="AA327" s="195">
        <f>IF(AA325&lt;START!$C$2+2021,0,AA305*AA306/1000)</f>
        <v>327.30146238496189</v>
      </c>
      <c r="AB327" s="195">
        <f>IF(AB325&lt;START!$C$2+2021,0,AB305*AB306/1000)</f>
        <v>333.84425208353883</v>
      </c>
      <c r="AC327" s="195">
        <f>IF(AC325&lt;START!$C$2+2021,0,AC305*AC306/1000)</f>
        <v>340.51808391495291</v>
      </c>
      <c r="AD327" s="195">
        <f>IF(AD325&lt;START!$C$2+2021,0,AD305*AD306/1000)</f>
        <v>347.32556800364927</v>
      </c>
      <c r="AE327" s="195">
        <f>IF(AE325&lt;START!$C$2+2021,0,AE305*AE306/1000)</f>
        <v>354.2693672930734</v>
      </c>
      <c r="AF327" s="195">
        <f>IF(AF325&lt;START!$C$2+2021,0,AF305*AF306/1000)</f>
        <v>361.35219856658972</v>
      </c>
      <c r="AG327" s="195">
        <f>IF(AG325&lt;START!$C$2+2021,0,AG305*AG306/1000)</f>
        <v>368.57683349085778</v>
      </c>
      <c r="AH327" s="195">
        <f>IF(AH325&lt;START!$C$2+2021,0,AH305*AH306/1000)</f>
        <v>373.36607742927862</v>
      </c>
      <c r="AI327" s="195">
        <f>IF(AI325&lt;START!$C$2+2021,0,AI305*AI306/1000)</f>
        <v>378.21772582524579</v>
      </c>
      <c r="AJ327" s="195">
        <f>IF(AJ325&lt;START!$C$2+2021,0,AJ305*AJ306/1000)</f>
        <v>383.13258070411217</v>
      </c>
      <c r="AK327" s="195">
        <f>IF(AK325&lt;START!$C$2+2021,0,AK305*AK306/1000)</f>
        <v>388.11172274773418</v>
      </c>
      <c r="AL327" s="195">
        <f>IF(AL325&lt;START!$C$2+2021,0,AL305*AL306/1000)</f>
        <v>393.15567721258287</v>
      </c>
      <c r="AM327" s="195">
        <f>IF(AM325&lt;START!$C$2+2021,0,AM305*AM306/1000)</f>
        <v>398.26528224363159</v>
      </c>
      <c r="AN327" s="195">
        <f>IF(AN325&lt;START!$C$2+2021,0,AN305*AN306/1000)</f>
        <v>403.44138711512818</v>
      </c>
      <c r="AO327" s="195">
        <f>IF(AO325&lt;START!$C$2+2021,0,AO305*AO306/1000)</f>
        <v>408.68485236294202</v>
      </c>
      <c r="AP327" s="195">
        <f>IF(AP325&lt;START!$C$2+2021,0,AP305*AP306/1000)</f>
        <v>413.99654991928401</v>
      </c>
      <c r="AQ327" s="195">
        <f>IF(AQ325&lt;START!$C$2+2021,0,AQ305*AQ306/1000)</f>
        <v>419.37736324979431</v>
      </c>
      <c r="AR327" s="195">
        <f>IF(AR325&lt;START!$C$2+2021,0,AR305*AR306/1000)</f>
        <v>424.82818749299651</v>
      </c>
      <c r="AS327" s="195">
        <f>IF(AS325&lt;START!$C$2+2021,0,AS305*AS306/1000)</f>
        <v>430.34992960212054</v>
      </c>
      <c r="AT327" s="195">
        <f>IF(AT325&lt;START!$C$2+2021,0,AT305*AT306/1000)</f>
        <v>435.94350848929133</v>
      </c>
      <c r="AU327" s="195">
        <f>IF(AU325&lt;START!$C$2+2021,0,AU305*AU306/1000)</f>
        <v>441.6098551720907</v>
      </c>
      <c r="AV327" s="195">
        <f>IF(AV325&lt;START!$C$2+2021,0,AV305*AV306/1000)</f>
        <v>447.34991292249316</v>
      </c>
      <c r="AW327" s="195">
        <f>IF(AW325&lt;START!$C$2+2021,0,AW305*AW306/1000)</f>
        <v>453.16463741818649</v>
      </c>
      <c r="AX327" s="195">
        <f>IF(AX325&lt;START!$C$2+2021,0,AX305*AX306/1000)</f>
        <v>459.05499689627783</v>
      </c>
      <c r="AY327" s="195">
        <f>IF(AY325&lt;START!$C$2+2021,0,AY305*AY306/1000)</f>
        <v>465.02197230940129</v>
      </c>
      <c r="AZ327" s="195">
        <f>IF(AZ325&lt;START!$C$2+2021,0,AZ305*AZ306/1000)</f>
        <v>471.06655748423185</v>
      </c>
      <c r="BA327" s="707">
        <f>IF(BA325&lt;START!$C$2+2021,0,BA305*BA306/1000)</f>
        <v>477.18975928241821</v>
      </c>
    </row>
    <row r="328" spans="3:63" ht="20.100000000000001" customHeight="1">
      <c r="M328" s="240"/>
      <c r="N328" s="240"/>
      <c r="O328" s="240"/>
      <c r="P328" s="240"/>
      <c r="Q328" s="240"/>
      <c r="R328" s="240"/>
      <c r="S328" s="101" t="s">
        <v>2344</v>
      </c>
      <c r="T328" s="383" t="s">
        <v>2776</v>
      </c>
      <c r="U328" s="131"/>
      <c r="V328" s="131"/>
      <c r="W328" s="131"/>
      <c r="X328" s="131"/>
      <c r="Y328" s="195">
        <f>IF(Y325&lt;START!$C$2+2021,0,Y179*Y256/1000)</f>
        <v>5.0843462960302966E-3</v>
      </c>
      <c r="Z328" s="195">
        <f>IF(Z325&lt;START!$C$2+2021,0,Z179*Z256/1000)</f>
        <v>4.7875363012624588E-3</v>
      </c>
      <c r="AA328" s="195">
        <f>IF(AA325&lt;START!$C$2+2021,0,AA179*AA256/1000)</f>
        <v>4.5080558809591992E-3</v>
      </c>
      <c r="AB328" s="195">
        <f>IF(AB325&lt;START!$C$2+2021,0,AB179*AB256/1000)</f>
        <v>4.244892831104281E-3</v>
      </c>
      <c r="AC328" s="195">
        <f>IF(AC325&lt;START!$C$2+2021,0,AC179*AC256/1000)</f>
        <v>3.9970941041589632E-3</v>
      </c>
      <c r="AD328" s="195">
        <f>IF(AD325&lt;START!$C$2+2021,0,AD179*AD256/1000)</f>
        <v>3.7637623492286086E-3</v>
      </c>
      <c r="AE328" s="195">
        <f>IF(AE325&lt;START!$C$2+2021,0,AE179*AE256/1000)</f>
        <v>3.5440526547527388E-3</v>
      </c>
      <c r="AF328" s="195">
        <f>IF(AF325&lt;START!$C$2+2021,0,AF179*AF256/1000)</f>
        <v>3.337169481852731E-3</v>
      </c>
      <c r="AG328" s="195">
        <f>IF(AG325&lt;START!$C$2+2021,0,AG179*AG256/1000)</f>
        <v>3.1423637771671995E-3</v>
      </c>
      <c r="AH328" s="195">
        <f>IF(AH325&lt;START!$C$2+2021,0,AH179*AH256/1000)</f>
        <v>2.9911491789633123E-3</v>
      </c>
      <c r="AI328" s="195">
        <f>IF(AI325&lt;START!$C$2+2021,0,AI179*AI256/1000)</f>
        <v>2.847206622996657E-3</v>
      </c>
      <c r="AJ328" s="195">
        <f>IF(AJ325&lt;START!$C$2+2021,0,AJ179*AJ256/1000)</f>
        <v>2.7101864987228185E-3</v>
      </c>
      <c r="AK328" s="195">
        <f>IF(AK325&lt;START!$C$2+2021,0,AK179*AK256/1000)</f>
        <v>2.5797698323071503E-3</v>
      </c>
      <c r="AL328" s="195">
        <f>IF(AL325&lt;START!$C$2+2021,0,AL179*AL256/1000)</f>
        <v>2.4556247381510394E-3</v>
      </c>
      <c r="AM328" s="195">
        <f>IF(AM325&lt;START!$C$2+2021,0,AM179*AM256/1000)</f>
        <v>2.3374497268341199E-3</v>
      </c>
      <c r="AN328" s="195">
        <f>IF(AN325&lt;START!$C$2+2021,0,AN179*AN256/1000)</f>
        <v>2.2249698367119287E-3</v>
      </c>
      <c r="AO328" s="195">
        <f>IF(AO325&lt;START!$C$2+2021,0,AO179*AO256/1000)</f>
        <v>2.1178987415886841E-3</v>
      </c>
      <c r="AP328" s="195">
        <f>IF(AP325&lt;START!$C$2+2021,0,AP179*AP256/1000)</f>
        <v>2.01597644647851E-3</v>
      </c>
      <c r="AQ328" s="195">
        <f>IF(AQ325&lt;START!$C$2+2021,0,AQ179*AQ256/1000)</f>
        <v>1.9189659269850119E-3</v>
      </c>
      <c r="AR328" s="195">
        <f>IF(AR325&lt;START!$C$2+2021,0,AR179*AR256/1000)</f>
        <v>1.8266201584243103E-3</v>
      </c>
      <c r="AS328" s="195">
        <f>IF(AS325&lt;START!$C$2+2021,0,AS179*AS256/1000)</f>
        <v>1.7387149266308206E-3</v>
      </c>
      <c r="AT328" s="195">
        <f>IF(AT325&lt;START!$C$2+2021,0,AT179*AT256/1000)</f>
        <v>1.6550459083934281E-3</v>
      </c>
      <c r="AU328" s="195">
        <f>IF(AU325&lt;START!$C$2+2021,0,AU179*AU256/1000)</f>
        <v>1.5753999828157154E-3</v>
      </c>
      <c r="AV328" s="195">
        <f>IF(AV325&lt;START!$C$2+2021,0,AV179*AV256/1000)</f>
        <v>1.4995920988479855E-3</v>
      </c>
      <c r="AW328" s="195">
        <f>IF(AW325&lt;START!$C$2+2021,0,AW179*AW256/1000)</f>
        <v>1.4274291278790104E-3</v>
      </c>
      <c r="AX328" s="195">
        <f>IF(AX325&lt;START!$C$2+2021,0,AX179*AX256/1000)</f>
        <v>1.3587358986836288E-3</v>
      </c>
      <c r="AY328" s="195">
        <f>IF(AY325&lt;START!$C$2+2021,0,AY179*AY256/1000)</f>
        <v>1.2933528881890889E-3</v>
      </c>
      <c r="AZ328" s="195">
        <f>IF(AZ325&lt;START!$C$2+2021,0,AZ179*AZ256/1000)</f>
        <v>1.2311134697856603E-3</v>
      </c>
      <c r="BA328" s="707">
        <f>IF(BA325&lt;START!$C$2+2021,0,BA179*BA256/1000)</f>
        <v>1.1718665744404066E-3</v>
      </c>
    </row>
    <row r="329" spans="3:63" ht="20.100000000000001" customHeight="1">
      <c r="M329" s="240"/>
      <c r="N329" s="240"/>
      <c r="O329" s="240"/>
      <c r="P329" s="240"/>
      <c r="Q329" s="240"/>
      <c r="R329" s="240"/>
      <c r="S329" s="101" t="s">
        <v>2480</v>
      </c>
      <c r="T329" s="383" t="s">
        <v>2777</v>
      </c>
      <c r="U329" s="131"/>
      <c r="V329" s="131"/>
      <c r="W329" s="131"/>
      <c r="X329" s="131"/>
      <c r="Y329" s="195">
        <f>IF(Y325&lt;START!$C$2+2021,0,Y180*Y257/1000)</f>
        <v>4.5024085594741248E-4</v>
      </c>
      <c r="Z329" s="195">
        <f>IF(Z325&lt;START!$C$2+2021,0,Z180*Z257/1000)</f>
        <v>4.239570471119763E-4</v>
      </c>
      <c r="AA329" s="195">
        <f>IF(AA325&lt;START!$C$2+2021,0,AA180*AA257/1000)</f>
        <v>3.9920784705136492E-4</v>
      </c>
      <c r="AB329" s="195">
        <f>IF(AB325&lt;START!$C$2+2021,0,AB180*AB257/1000)</f>
        <v>3.7590362072183241E-4</v>
      </c>
      <c r="AC329" s="195">
        <f>IF(AC325&lt;START!$C$2+2021,0,AC180*AC257/1000)</f>
        <v>3.539599716415863E-4</v>
      </c>
      <c r="AD329" s="195">
        <f>IF(AD325&lt;START!$C$2+2021,0,AD180*AD257/1000)</f>
        <v>3.3329743550757448E-4</v>
      </c>
      <c r="AE329" s="195">
        <f>IF(AE325&lt;START!$C$2+2021,0,AE180*AE257/1000)</f>
        <v>3.1384119174660252E-4</v>
      </c>
      <c r="AF329" s="195">
        <f>IF(AF325&lt;START!$C$2+2021,0,AF180*AF257/1000)</f>
        <v>2.9552079195000673E-4</v>
      </c>
      <c r="AG329" s="195">
        <f>IF(AG325&lt;START!$C$2+2021,0,AG180*AG257/1000)</f>
        <v>2.7826990420273947E-4</v>
      </c>
      <c r="AH329" s="195">
        <f>IF(AH325&lt;START!$C$2+2021,0,AH180*AH257/1000)</f>
        <v>2.6461823275340422E-4</v>
      </c>
      <c r="AI329" s="195">
        <f>IF(AI325&lt;START!$C$2+2021,0,AI180*AI257/1000)</f>
        <v>2.5163589355447656E-4</v>
      </c>
      <c r="AJ329" s="195">
        <f>IF(AJ325&lt;START!$C$2+2021,0,AJ180*AJ257/1000)</f>
        <v>2.3929007966136355E-4</v>
      </c>
      <c r="AK329" s="195">
        <f>IF(AK325&lt;START!$C$2+2021,0,AK180*AK257/1000)</f>
        <v>2.2755081190898758E-4</v>
      </c>
      <c r="AL329" s="195">
        <f>IF(AL325&lt;START!$C$2+2021,0,AL180*AL257/1000)</f>
        <v>2.1638708784791263E-4</v>
      </c>
      <c r="AM329" s="195">
        <f>IF(AM325&lt;START!$C$2+2021,0,AM180*AM257/1000)</f>
        <v>2.0577069956091785E-4</v>
      </c>
      <c r="AN329" s="195">
        <f>IF(AN325&lt;START!$C$2+2021,0,AN180*AN257/1000)</f>
        <v>1.9567587998379297E-4</v>
      </c>
      <c r="AO329" s="195">
        <f>IF(AO325&lt;START!$C$2+2021,0,AO180*AO257/1000)</f>
        <v>1.860759619768185E-4</v>
      </c>
      <c r="AP329" s="195">
        <f>IF(AP325&lt;START!$C$2+2021,0,AP180*AP257/1000)</f>
        <v>1.7694669164352881E-4</v>
      </c>
      <c r="AQ329" s="195">
        <f>IF(AQ325&lt;START!$C$2+2021,0,AQ180*AQ257/1000)</f>
        <v>1.6826592201827937E-4</v>
      </c>
      <c r="AR329" s="195">
        <f>IF(AR325&lt;START!$C$2+2021,0,AR180*AR257/1000)</f>
        <v>1.6001071469105488E-4</v>
      </c>
      <c r="AS329" s="195">
        <f>IF(AS325&lt;START!$C$2+2021,0,AS180*AS257/1000)</f>
        <v>1.5216021528982799E-4</v>
      </c>
      <c r="AT329" s="195">
        <f>IF(AT325&lt;START!$C$2+2021,0,AT180*AT257/1000)</f>
        <v>1.4469538818461121E-4</v>
      </c>
      <c r="AU329" s="195">
        <f>IF(AU325&lt;START!$C$2+2021,0,AU180*AU257/1000)</f>
        <v>1.3759650204129493E-4</v>
      </c>
      <c r="AV329" s="195">
        <f>IF(AV325&lt;START!$C$2+2021,0,AV180*AV257/1000)</f>
        <v>1.3084635029248236E-4</v>
      </c>
      <c r="AW329" s="195">
        <f>IF(AW325&lt;START!$C$2+2021,0,AW180*AW257/1000)</f>
        <v>1.2442708796685657E-4</v>
      </c>
      <c r="AX329" s="195">
        <f>IF(AX325&lt;START!$C$2+2021,0,AX180*AX257/1000)</f>
        <v>1.1832250219324818E-4</v>
      </c>
      <c r="AY329" s="195">
        <f>IF(AY325&lt;START!$C$2+2021,0,AY180*AY257/1000)</f>
        <v>1.1251780343427768E-4</v>
      </c>
      <c r="AZ329" s="195">
        <f>IF(AZ325&lt;START!$C$2+2021,0,AZ180*AZ257/1000)</f>
        <v>1.0699764125076651E-4</v>
      </c>
      <c r="BA329" s="707">
        <f>IF(BA325&lt;START!$C$2+2021,0,BA180*BA257/1000)</f>
        <v>1.0174807477126652E-4</v>
      </c>
    </row>
    <row r="330" spans="3:63" ht="20.100000000000001" customHeight="1">
      <c r="M330" s="240"/>
      <c r="N330" s="240"/>
      <c r="O330" s="240"/>
      <c r="P330" s="240"/>
      <c r="Q330" s="240"/>
      <c r="R330" s="240"/>
      <c r="S330" s="101" t="s">
        <v>2560</v>
      </c>
      <c r="T330" s="383" t="s">
        <v>2794</v>
      </c>
      <c r="U330" s="131"/>
      <c r="V330" s="131"/>
      <c r="W330" s="131"/>
      <c r="X330" s="131"/>
      <c r="Y330" s="195">
        <f>IF(Y325&lt;START!$C$2+2021,0,Y309*Y310/1000)</f>
        <v>6.2246745528425063</v>
      </c>
      <c r="Z330" s="195">
        <f>IF(Z325&lt;START!$C$2+2021,0,Z309*Z310/1000)</f>
        <v>6.0220589825944302</v>
      </c>
      <c r="AA330" s="195">
        <f>IF(AA325&lt;START!$C$2+2021,0,AA309*AA310/1000)</f>
        <v>5.8347967294785521</v>
      </c>
      <c r="AB330" s="195">
        <f>IF(AB325&lt;START!$C$2+2021,0,AB309*AB310/1000)</f>
        <v>5.6619751801522353</v>
      </c>
      <c r="AC330" s="195">
        <f>IF(AC325&lt;START!$C$2+2021,0,AC309*AC310/1000)</f>
        <v>5.5027390526927062</v>
      </c>
      <c r="AD330" s="195">
        <f>IF(AD325&lt;START!$C$2+2021,0,AD309*AD310/1000)</f>
        <v>5.3562868433470392</v>
      </c>
      <c r="AE330" s="195">
        <f>IF(AE325&lt;START!$C$2+2021,0,AE309*AE310/1000)</f>
        <v>5.221867494220942</v>
      </c>
      <c r="AF330" s="195">
        <f>IF(AF325&lt;START!$C$2+2021,0,AF309*AF310/1000)</f>
        <v>5.0987772681793322</v>
      </c>
      <c r="AG330" s="195">
        <f>IF(AG325&lt;START!$C$2+2021,0,AG309*AG310/1000)</f>
        <v>4.9863568180846887</v>
      </c>
      <c r="AH330" s="195">
        <f>IF(AH325&lt;START!$C$2+2021,0,AH309*AH310/1000)</f>
        <v>4.9047934829718569</v>
      </c>
      <c r="AI330" s="195">
        <f>IF(AI325&lt;START!$C$2+2021,0,AI309*AI310/1000)</f>
        <v>4.8299459988471289</v>
      </c>
      <c r="AJ330" s="195">
        <f>IF(AJ325&lt;START!$C$2+2021,0,AJ309*AJ310/1000)</f>
        <v>4.7615004924613835</v>
      </c>
      <c r="AK330" s="195">
        <f>IF(AK325&lt;START!$C$2+2021,0,AK309*AK310/1000)</f>
        <v>4.6991598701779242</v>
      </c>
      <c r="AL330" s="195">
        <f>IF(AL325&lt;START!$C$2+2021,0,AL309*AL310/1000)</f>
        <v>4.6426429537531204</v>
      </c>
      <c r="AM330" s="195">
        <f>IF(AM325&lt;START!$C$2+2021,0,AM309*AM310/1000)</f>
        <v>4.5916836610740344</v>
      </c>
      <c r="AN330" s="195">
        <f>IF(AN325&lt;START!$C$2+2021,0,AN309*AN310/1000)</f>
        <v>4.5460302295206247</v>
      </c>
      <c r="AO330" s="195">
        <f>IF(AO325&lt;START!$C$2+2021,0,AO309*AO310/1000)</f>
        <v>4.5054444797412527</v>
      </c>
      <c r="AP330" s="195">
        <f>IF(AP325&lt;START!$C$2+2021,0,AP309*AP310/1000)</f>
        <v>4.4697011177450188</v>
      </c>
      <c r="AQ330" s="195">
        <f>IF(AQ325&lt;START!$C$2+2021,0,AQ309*AQ310/1000)</f>
        <v>4.4385870733232693</v>
      </c>
      <c r="AR330" s="195">
        <f>IF(AR325&lt;START!$C$2+2021,0,AR309*AR310/1000)</f>
        <v>4.411900872915858</v>
      </c>
      <c r="AS330" s="195">
        <f>IF(AS325&lt;START!$C$2+2021,0,AS309*AS310/1000)</f>
        <v>4.3894520451355596</v>
      </c>
      <c r="AT330" s="195">
        <f>IF(AT325&lt;START!$C$2+2021,0,AT309*AT310/1000)</f>
        <v>4.3710605572567935</v>
      </c>
      <c r="AU330" s="195">
        <f>IF(AU325&lt;START!$C$2+2021,0,AU309*AU310/1000)</f>
        <v>4.3565562810627947</v>
      </c>
      <c r="AV330" s="195">
        <f>IF(AV325&lt;START!$C$2+2021,0,AV309*AV310/1000)</f>
        <v>4.3457784865286904</v>
      </c>
      <c r="AW330" s="195">
        <f>IF(AW325&lt;START!$C$2+2021,0,AW309*AW310/1000)</f>
        <v>4.3385753618970737</v>
      </c>
      <c r="AX330" s="195">
        <f>IF(AX325&lt;START!$C$2+2021,0,AX309*AX310/1000)</f>
        <v>4.3348035587775415</v>
      </c>
      <c r="AY330" s="195">
        <f>IF(AY325&lt;START!$C$2+2021,0,AY309*AY310/1000)</f>
        <v>4.3343277609727764</v>
      </c>
      <c r="AZ330" s="195">
        <f>IF(AZ325&lt;START!$C$2+2021,0,AZ309*AZ310/1000)</f>
        <v>4.3370202758010956</v>
      </c>
      <c r="BA330" s="707">
        <f>IF(BA325&lt;START!$C$2+2021,0,BA309*BA310/1000)</f>
        <v>4.3427606467492827</v>
      </c>
    </row>
    <row r="331" spans="3:63" ht="20.100000000000001" customHeight="1">
      <c r="M331" s="240"/>
      <c r="N331" s="240"/>
      <c r="O331" s="240"/>
      <c r="P331" s="240"/>
      <c r="Q331" s="240"/>
      <c r="R331" s="240"/>
      <c r="S331" s="101" t="s">
        <v>2561</v>
      </c>
      <c r="T331" s="383" t="s">
        <v>2803</v>
      </c>
      <c r="U331" s="131"/>
      <c r="V331" s="131"/>
      <c r="W331" s="131"/>
      <c r="X331" s="131"/>
      <c r="Y331" s="195">
        <f>IF(Y325&lt;START!$C$2+2021,0,Y313*Y314/1000)</f>
        <v>0</v>
      </c>
      <c r="Z331" s="195">
        <f>IF(Z325&lt;START!$C$2+2021,0,Z313*Z314/1000)</f>
        <v>0</v>
      </c>
      <c r="AA331" s="195">
        <f>IF(AA325&lt;START!$C$2+2021,0,AA313*AA314/1000)</f>
        <v>0</v>
      </c>
      <c r="AB331" s="195">
        <f>IF(AB325&lt;START!$C$2+2021,0,AB313*AB314/1000)</f>
        <v>0</v>
      </c>
      <c r="AC331" s="195">
        <f>IF(AC325&lt;START!$C$2+2021,0,AC313*AC314/1000)</f>
        <v>0</v>
      </c>
      <c r="AD331" s="195">
        <f>IF(AD325&lt;START!$C$2+2021,0,AD313*AD314/1000)</f>
        <v>0</v>
      </c>
      <c r="AE331" s="195">
        <f>IF(AE325&lt;START!$C$2+2021,0,AE313*AE314/1000)</f>
        <v>0</v>
      </c>
      <c r="AF331" s="195">
        <f>IF(AF325&lt;START!$C$2+2021,0,AF313*AF314/1000)</f>
        <v>0</v>
      </c>
      <c r="AG331" s="195">
        <f>IF(AG325&lt;START!$C$2+2021,0,AG313*AG314/1000)</f>
        <v>0</v>
      </c>
      <c r="AH331" s="195">
        <f>IF(AH325&lt;START!$C$2+2021,0,AH313*AH314/1000)</f>
        <v>0</v>
      </c>
      <c r="AI331" s="195">
        <f>IF(AI325&lt;START!$C$2+2021,0,AI313*AI314/1000)</f>
        <v>0</v>
      </c>
      <c r="AJ331" s="195">
        <f>IF(AJ325&lt;START!$C$2+2021,0,AJ313*AJ314/1000)</f>
        <v>0</v>
      </c>
      <c r="AK331" s="195">
        <f>IF(AK325&lt;START!$C$2+2021,0,AK313*AK314/1000)</f>
        <v>0</v>
      </c>
      <c r="AL331" s="195">
        <f>IF(AL325&lt;START!$C$2+2021,0,AL313*AL314/1000)</f>
        <v>0</v>
      </c>
      <c r="AM331" s="195">
        <f>IF(AM325&lt;START!$C$2+2021,0,AM313*AM314/1000)</f>
        <v>0</v>
      </c>
      <c r="AN331" s="195">
        <f>IF(AN325&lt;START!$C$2+2021,0,AN313*AN314/1000)</f>
        <v>0</v>
      </c>
      <c r="AO331" s="195">
        <f>IF(AO325&lt;START!$C$2+2021,0,AO313*AO314/1000)</f>
        <v>0</v>
      </c>
      <c r="AP331" s="195">
        <f>IF(AP325&lt;START!$C$2+2021,0,AP313*AP314/1000)</f>
        <v>0</v>
      </c>
      <c r="AQ331" s="195">
        <f>IF(AQ325&lt;START!$C$2+2021,0,AQ313*AQ314/1000)</f>
        <v>0</v>
      </c>
      <c r="AR331" s="195">
        <f>IF(AR325&lt;START!$C$2+2021,0,AR313*AR314/1000)</f>
        <v>0</v>
      </c>
      <c r="AS331" s="195">
        <f>IF(AS325&lt;START!$C$2+2021,0,AS313*AS314/1000)</f>
        <v>0</v>
      </c>
      <c r="AT331" s="195">
        <f>IF(AT325&lt;START!$C$2+2021,0,AT313*AT314/1000)</f>
        <v>0</v>
      </c>
      <c r="AU331" s="195">
        <f>IF(AU325&lt;START!$C$2+2021,0,AU313*AU314/1000)</f>
        <v>0</v>
      </c>
      <c r="AV331" s="195">
        <f>IF(AV325&lt;START!$C$2+2021,0,AV313*AV314/1000)</f>
        <v>0</v>
      </c>
      <c r="AW331" s="195">
        <f>IF(AW325&lt;START!$C$2+2021,0,AW313*AW314/1000)</f>
        <v>0</v>
      </c>
      <c r="AX331" s="195">
        <f>IF(AX325&lt;START!$C$2+2021,0,AX313*AX314/1000)</f>
        <v>0</v>
      </c>
      <c r="AY331" s="195">
        <f>IF(AY325&lt;START!$C$2+2021,0,AY313*AY314/1000)</f>
        <v>0</v>
      </c>
      <c r="AZ331" s="195">
        <f>IF(AZ325&lt;START!$C$2+2021,0,AZ313*AZ314/1000)</f>
        <v>0</v>
      </c>
      <c r="BA331" s="707">
        <f>IF(BA325&lt;START!$C$2+2021,0,BA313*BA314/1000)</f>
        <v>0</v>
      </c>
    </row>
    <row r="332" spans="3:63" ht="20.100000000000001" customHeight="1">
      <c r="M332" s="240"/>
      <c r="N332" s="240"/>
      <c r="O332" s="240"/>
      <c r="P332" s="240"/>
      <c r="Q332" s="240"/>
      <c r="R332" s="240"/>
      <c r="S332" s="101" t="s">
        <v>2562</v>
      </c>
      <c r="T332" s="383" t="s">
        <v>2810</v>
      </c>
      <c r="U332" s="131"/>
      <c r="V332" s="131"/>
      <c r="W332" s="131"/>
      <c r="X332" s="131"/>
      <c r="Y332" s="195">
        <f>IF(Y325&lt;START!$C$2+2021,0,Y317*Y318/1000)</f>
        <v>29.641957853139782</v>
      </c>
      <c r="Z332" s="195">
        <f>IF(Z325&lt;START!$C$2+2021,0,Z317*Z318/1000)</f>
        <v>30.383006799468273</v>
      </c>
      <c r="AA332" s="195">
        <f>IF(AA325&lt;START!$C$2+2021,0,AA317*AA318/1000)</f>
        <v>31.142581969454977</v>
      </c>
      <c r="AB332" s="195">
        <f>IF(AB325&lt;START!$C$2+2021,0,AB317*AB318/1000)</f>
        <v>31.921146518691351</v>
      </c>
      <c r="AC332" s="195">
        <f>IF(AC325&lt;START!$C$2+2021,0,AC317*AC318/1000)</f>
        <v>32.719175181658635</v>
      </c>
      <c r="AD332" s="195">
        <f>IF(AD325&lt;START!$C$2+2021,0,AD317*AD318/1000)</f>
        <v>33.537154561200097</v>
      </c>
      <c r="AE332" s="195">
        <f>IF(AE325&lt;START!$C$2+2021,0,AE317*AE318/1000)</f>
        <v>34.375583425230104</v>
      </c>
      <c r="AF332" s="195">
        <f>IF(AF325&lt;START!$C$2+2021,0,AF317*AF318/1000)</f>
        <v>35.234973010860848</v>
      </c>
      <c r="AG332" s="195">
        <f>IF(AG325&lt;START!$C$2+2021,0,AG317*AG318/1000)</f>
        <v>36.115847336132376</v>
      </c>
      <c r="AH332" s="195">
        <f>IF(AH325&lt;START!$C$2+2021,0,AH317*AH318/1000)</f>
        <v>36.5853533515021</v>
      </c>
      <c r="AI332" s="195">
        <f>IF(AI325&lt;START!$C$2+2021,0,AI317*AI318/1000)</f>
        <v>37.060962945071616</v>
      </c>
      <c r="AJ332" s="195">
        <f>IF(AJ325&lt;START!$C$2+2021,0,AJ317*AJ318/1000)</f>
        <v>37.542755463357558</v>
      </c>
      <c r="AK332" s="195">
        <f>IF(AK325&lt;START!$C$2+2021,0,AK317*AK318/1000)</f>
        <v>38.030811284381201</v>
      </c>
      <c r="AL332" s="195">
        <f>IF(AL325&lt;START!$C$2+2021,0,AL317*AL318/1000)</f>
        <v>38.525211831078153</v>
      </c>
      <c r="AM332" s="195">
        <f>IF(AM325&lt;START!$C$2+2021,0,AM317*AM318/1000)</f>
        <v>39.02603958488217</v>
      </c>
      <c r="AN332" s="195">
        <f>IF(AN325&lt;START!$C$2+2021,0,AN317*AN318/1000)</f>
        <v>39.533378099485638</v>
      </c>
      <c r="AO332" s="195">
        <f>IF(AO325&lt;START!$C$2+2021,0,AO317*AO318/1000)</f>
        <v>40.047312014778946</v>
      </c>
      <c r="AP332" s="195">
        <f>IF(AP325&lt;START!$C$2+2021,0,AP317*AP318/1000)</f>
        <v>40.567927070971074</v>
      </c>
      <c r="AQ332" s="195">
        <f>IF(AQ325&lt;START!$C$2+2021,0,AQ317*AQ318/1000)</f>
        <v>41.095310122893693</v>
      </c>
      <c r="AR332" s="195">
        <f>IF(AR325&lt;START!$C$2+2021,0,AR317*AR318/1000)</f>
        <v>41.629549154491308</v>
      </c>
      <c r="AS332" s="195">
        <f>IF(AS325&lt;START!$C$2+2021,0,AS317*AS318/1000)</f>
        <v>42.170733293499694</v>
      </c>
      <c r="AT332" s="195">
        <f>IF(AT325&lt;START!$C$2+2021,0,AT317*AT318/1000)</f>
        <v>42.718952826315196</v>
      </c>
      <c r="AU332" s="195">
        <f>IF(AU325&lt;START!$C$2+2021,0,AU317*AU318/1000)</f>
        <v>43.27429921305729</v>
      </c>
      <c r="AV332" s="195">
        <f>IF(AV325&lt;START!$C$2+2021,0,AV317*AV318/1000)</f>
        <v>43.836865102827034</v>
      </c>
      <c r="AW332" s="195">
        <f>IF(AW325&lt;START!$C$2+2021,0,AW317*AW318/1000)</f>
        <v>44.40674434916378</v>
      </c>
      <c r="AX332" s="195">
        <f>IF(AX325&lt;START!$C$2+2021,0,AX317*AX318/1000)</f>
        <v>44.984032025702909</v>
      </c>
      <c r="AY332" s="195">
        <f>IF(AY325&lt;START!$C$2+2021,0,AY317*AY318/1000)</f>
        <v>45.568824442037048</v>
      </c>
      <c r="AZ332" s="195">
        <f>IF(AZ325&lt;START!$C$2+2021,0,AZ317*AZ318/1000)</f>
        <v>46.161219159783528</v>
      </c>
      <c r="BA332" s="707">
        <f>IF(BA325&lt;START!$C$2+2021,0,BA317*BA318/1000)</f>
        <v>46.761315008860706</v>
      </c>
    </row>
    <row r="333" spans="3:63" ht="20.100000000000001" customHeight="1">
      <c r="M333" s="239"/>
      <c r="N333" s="239"/>
      <c r="O333" s="239"/>
      <c r="P333" s="239"/>
      <c r="Q333" s="239"/>
      <c r="R333" s="239"/>
      <c r="S333" s="101" t="s">
        <v>2566</v>
      </c>
      <c r="T333" s="383" t="s">
        <v>2837</v>
      </c>
      <c r="U333" s="131"/>
      <c r="V333" s="131"/>
      <c r="W333" s="131"/>
      <c r="X333" s="131"/>
      <c r="Y333" s="195">
        <f>IF(Y325&lt;START!$C$2+2021,0,Y321*Y322/1000)</f>
        <v>0</v>
      </c>
      <c r="Z333" s="195">
        <f>IF(Z325&lt;START!$C$2+2021,0,Z321*Z322/1000)</f>
        <v>0</v>
      </c>
      <c r="AA333" s="195">
        <f>IF(AA325&lt;START!$C$2+2021,0,AA321*AA322/1000)</f>
        <v>0</v>
      </c>
      <c r="AB333" s="195">
        <f>IF(AB325&lt;START!$C$2+2021,0,AB321*AB322/1000)</f>
        <v>0</v>
      </c>
      <c r="AC333" s="195">
        <f>IF(AC325&lt;START!$C$2+2021,0,AC321*AC322/1000)</f>
        <v>0</v>
      </c>
      <c r="AD333" s="195">
        <f>IF(AD325&lt;START!$C$2+2021,0,AD321*AD322/1000)</f>
        <v>0</v>
      </c>
      <c r="AE333" s="195">
        <f>IF(AE325&lt;START!$C$2+2021,0,AE321*AE322/1000)</f>
        <v>0</v>
      </c>
      <c r="AF333" s="195">
        <f>IF(AF325&lt;START!$C$2+2021,0,AF321*AF322/1000)</f>
        <v>0</v>
      </c>
      <c r="AG333" s="195">
        <f>IF(AG325&lt;START!$C$2+2021,0,AG321*AG322/1000)</f>
        <v>0</v>
      </c>
      <c r="AH333" s="195">
        <f>IF(AH325&lt;START!$C$2+2021,0,AH321*AH322/1000)</f>
        <v>0</v>
      </c>
      <c r="AI333" s="195">
        <f>IF(AI325&lt;START!$C$2+2021,0,AI321*AI322/1000)</f>
        <v>0</v>
      </c>
      <c r="AJ333" s="195">
        <f>IF(AJ325&lt;START!$C$2+2021,0,AJ321*AJ322/1000)</f>
        <v>0</v>
      </c>
      <c r="AK333" s="195">
        <f>IF(AK325&lt;START!$C$2+2021,0,AK321*AK322/1000)</f>
        <v>0</v>
      </c>
      <c r="AL333" s="195">
        <f>IF(AL325&lt;START!$C$2+2021,0,AL321*AL322/1000)</f>
        <v>0</v>
      </c>
      <c r="AM333" s="195">
        <f>IF(AM325&lt;START!$C$2+2021,0,AM321*AM322/1000)</f>
        <v>0</v>
      </c>
      <c r="AN333" s="195">
        <f>IF(AN325&lt;START!$C$2+2021,0,AN321*AN322/1000)</f>
        <v>0</v>
      </c>
      <c r="AO333" s="195">
        <f>IF(AO325&lt;START!$C$2+2021,0,AO321*AO322/1000)</f>
        <v>0</v>
      </c>
      <c r="AP333" s="195">
        <f>IF(AP325&lt;START!$C$2+2021,0,AP321*AP322/1000)</f>
        <v>0</v>
      </c>
      <c r="AQ333" s="195">
        <f>IF(AQ325&lt;START!$C$2+2021,0,AQ321*AQ322/1000)</f>
        <v>0</v>
      </c>
      <c r="AR333" s="195">
        <f>IF(AR325&lt;START!$C$2+2021,0,AR321*AR322/1000)</f>
        <v>0</v>
      </c>
      <c r="AS333" s="195">
        <f>IF(AS325&lt;START!$C$2+2021,0,AS321*AS322/1000)</f>
        <v>0</v>
      </c>
      <c r="AT333" s="195">
        <f>IF(AT325&lt;START!$C$2+2021,0,AT321*AT322/1000)</f>
        <v>0</v>
      </c>
      <c r="AU333" s="195">
        <f>IF(AU325&lt;START!$C$2+2021,0,AU321*AU322/1000)</f>
        <v>0</v>
      </c>
      <c r="AV333" s="195">
        <f>IF(AV325&lt;START!$C$2+2021,0,AV321*AV322/1000)</f>
        <v>0</v>
      </c>
      <c r="AW333" s="195">
        <f>IF(AW325&lt;START!$C$2+2021,0,AW321*AW322/1000)</f>
        <v>0</v>
      </c>
      <c r="AX333" s="195">
        <f>IF(AX325&lt;START!$C$2+2021,0,AX321*AX322/1000)</f>
        <v>0</v>
      </c>
      <c r="AY333" s="195">
        <f>IF(AY325&lt;START!$C$2+2021,0,AY321*AY322/1000)</f>
        <v>0</v>
      </c>
      <c r="AZ333" s="195">
        <f>IF(AZ325&lt;START!$C$2+2021,0,AZ321*AZ322/1000)</f>
        <v>0</v>
      </c>
      <c r="BA333" s="707">
        <f>IF(BA325&lt;START!$C$2+2021,0,BA321*BA322/1000)</f>
        <v>0</v>
      </c>
    </row>
    <row r="334" spans="3:63" ht="20.100000000000001" customHeight="1" thickBot="1">
      <c r="M334" s="240"/>
      <c r="N334" s="240"/>
      <c r="O334" s="240"/>
      <c r="P334" s="240"/>
      <c r="Q334" s="240"/>
      <c r="R334" s="240"/>
      <c r="S334" s="301" t="s">
        <v>2773</v>
      </c>
      <c r="T334" s="139"/>
      <c r="U334" s="139"/>
      <c r="V334" s="139"/>
      <c r="W334" s="139"/>
      <c r="X334" s="139"/>
      <c r="Y334" s="197">
        <f t="shared" ref="Y334:BA334" si="521">SUM(Y326:Y333)</f>
        <v>373.25882364801248</v>
      </c>
      <c r="Z334" s="197">
        <f t="shared" si="521"/>
        <v>380.26852164035444</v>
      </c>
      <c r="AA334" s="197">
        <f t="shared" si="521"/>
        <v>387.48073954709258</v>
      </c>
      <c r="AB334" s="197">
        <f t="shared" si="521"/>
        <v>394.81161034540264</v>
      </c>
      <c r="AC334" s="197">
        <f t="shared" si="521"/>
        <v>402.3053782850169</v>
      </c>
      <c r="AD334" s="197">
        <f t="shared" si="521"/>
        <v>409.96629729292488</v>
      </c>
      <c r="AE334" s="197">
        <f t="shared" si="521"/>
        <v>417.79685069132336</v>
      </c>
      <c r="AF334" s="197">
        <f t="shared" si="521"/>
        <v>425.79962966475671</v>
      </c>
      <c r="AG334" s="197">
        <f t="shared" si="521"/>
        <v>433.97733219255724</v>
      </c>
      <c r="AH334" s="197">
        <f t="shared" si="521"/>
        <v>439.31624227623109</v>
      </c>
      <c r="AI334" s="197">
        <f t="shared" si="521"/>
        <v>444.7311319795478</v>
      </c>
      <c r="AJ334" s="197">
        <f t="shared" si="521"/>
        <v>450.22260466854993</v>
      </c>
      <c r="AK334" s="197">
        <f t="shared" si="521"/>
        <v>455.7915578612434</v>
      </c>
      <c r="AL334" s="197">
        <f t="shared" si="521"/>
        <v>461.4383484273207</v>
      </c>
      <c r="AM334" s="197">
        <f t="shared" si="521"/>
        <v>467.15984164217707</v>
      </c>
      <c r="AN334" s="197">
        <f t="shared" si="521"/>
        <v>472.96034711682461</v>
      </c>
      <c r="AO334" s="197">
        <f t="shared" si="521"/>
        <v>478.84060982871813</v>
      </c>
      <c r="AP334" s="197">
        <f t="shared" si="521"/>
        <v>484.80139758718792</v>
      </c>
      <c r="AQ334" s="197">
        <f t="shared" si="521"/>
        <v>490.84350071681871</v>
      </c>
      <c r="AR334" s="197">
        <f t="shared" si="521"/>
        <v>496.96773173154196</v>
      </c>
      <c r="AS334" s="197">
        <f t="shared" si="521"/>
        <v>503.17492510238867</v>
      </c>
      <c r="AT334" s="197">
        <f t="shared" si="521"/>
        <v>509.46593700769063</v>
      </c>
      <c r="AU334" s="197">
        <f t="shared" si="521"/>
        <v>515.84164507583353</v>
      </c>
      <c r="AV334" s="197">
        <f t="shared" si="521"/>
        <v>522.30294821914129</v>
      </c>
      <c r="AW334" s="197">
        <f t="shared" si="521"/>
        <v>528.8555192781198</v>
      </c>
      <c r="AX334" s="197">
        <f t="shared" si="521"/>
        <v>535.49570273781103</v>
      </c>
      <c r="AY334" s="197">
        <f t="shared" si="521"/>
        <v>542.22445400716799</v>
      </c>
      <c r="AZ334" s="197">
        <f t="shared" si="521"/>
        <v>549.04274965714637</v>
      </c>
      <c r="BA334" s="566">
        <f t="shared" si="521"/>
        <v>555.95158728833542</v>
      </c>
    </row>
    <row r="335" spans="3:63" ht="20.100000000000001" customHeight="1">
      <c r="C335" s="708"/>
      <c r="D335" s="708"/>
      <c r="E335" s="708"/>
      <c r="F335" s="13"/>
      <c r="G335" s="16"/>
      <c r="H335" s="16"/>
      <c r="I335" s="239"/>
      <c r="J335" s="239"/>
      <c r="K335" s="239"/>
      <c r="L335" s="239"/>
      <c r="M335" s="239"/>
      <c r="N335" s="239"/>
      <c r="O335" s="239"/>
      <c r="P335" s="239"/>
      <c r="Q335" s="239"/>
      <c r="R335" s="239"/>
    </row>
    <row r="336" spans="3:63" ht="20.100000000000001" customHeight="1" thickBot="1">
      <c r="C336" s="708"/>
      <c r="D336" s="708"/>
      <c r="E336" s="708"/>
      <c r="F336" s="13"/>
      <c r="G336" s="16"/>
      <c r="H336" s="16"/>
      <c r="I336" s="240"/>
      <c r="J336" s="240"/>
      <c r="K336" s="240"/>
      <c r="L336" s="240"/>
      <c r="M336" s="240"/>
      <c r="N336" s="240"/>
      <c r="O336" s="240"/>
      <c r="P336" s="240"/>
      <c r="Q336" s="240"/>
      <c r="R336" s="240"/>
      <c r="S336" s="886" t="s">
        <v>2753</v>
      </c>
      <c r="T336" s="6"/>
      <c r="U336" s="6"/>
      <c r="V336" s="6"/>
      <c r="W336" s="6"/>
    </row>
    <row r="337" spans="2:54" ht="20.100000000000001" customHeight="1">
      <c r="C337" s="58"/>
      <c r="D337" s="58"/>
      <c r="E337" s="58"/>
      <c r="F337" s="58"/>
      <c r="G337" s="58"/>
      <c r="H337" s="58"/>
      <c r="I337" s="58"/>
      <c r="J337" s="58"/>
      <c r="K337" s="58"/>
      <c r="L337" s="239"/>
      <c r="M337" s="239"/>
      <c r="N337" s="239"/>
      <c r="O337" s="239"/>
      <c r="P337" s="239"/>
      <c r="Q337" s="239"/>
      <c r="R337" s="239"/>
      <c r="S337" s="299" t="s">
        <v>2845</v>
      </c>
      <c r="T337" s="492"/>
      <c r="U337" s="202"/>
      <c r="V337" s="202"/>
      <c r="W337" s="202"/>
      <c r="X337" s="462">
        <f t="shared" ref="X337:BA337" si="522">X200</f>
        <v>2021</v>
      </c>
      <c r="Y337" s="462">
        <f t="shared" si="522"/>
        <v>2022</v>
      </c>
      <c r="Z337" s="462">
        <f t="shared" si="522"/>
        <v>2023</v>
      </c>
      <c r="AA337" s="462">
        <f t="shared" si="522"/>
        <v>2024</v>
      </c>
      <c r="AB337" s="462">
        <f t="shared" si="522"/>
        <v>2025</v>
      </c>
      <c r="AC337" s="462">
        <f t="shared" si="522"/>
        <v>2026</v>
      </c>
      <c r="AD337" s="462">
        <f t="shared" si="522"/>
        <v>2027</v>
      </c>
      <c r="AE337" s="462">
        <f t="shared" si="522"/>
        <v>2028</v>
      </c>
      <c r="AF337" s="462">
        <f t="shared" si="522"/>
        <v>2029</v>
      </c>
      <c r="AG337" s="462">
        <f t="shared" si="522"/>
        <v>2030</v>
      </c>
      <c r="AH337" s="462">
        <f t="shared" si="522"/>
        <v>2031</v>
      </c>
      <c r="AI337" s="462">
        <f t="shared" si="522"/>
        <v>2032</v>
      </c>
      <c r="AJ337" s="462">
        <f t="shared" si="522"/>
        <v>2033</v>
      </c>
      <c r="AK337" s="462">
        <f t="shared" si="522"/>
        <v>2034</v>
      </c>
      <c r="AL337" s="462">
        <f t="shared" si="522"/>
        <v>2035</v>
      </c>
      <c r="AM337" s="462">
        <f t="shared" si="522"/>
        <v>2036</v>
      </c>
      <c r="AN337" s="462">
        <f t="shared" si="522"/>
        <v>2037</v>
      </c>
      <c r="AO337" s="462">
        <f t="shared" si="522"/>
        <v>2038</v>
      </c>
      <c r="AP337" s="462">
        <f t="shared" si="522"/>
        <v>2039</v>
      </c>
      <c r="AQ337" s="462">
        <f t="shared" si="522"/>
        <v>2040</v>
      </c>
      <c r="AR337" s="462">
        <f t="shared" si="522"/>
        <v>2041</v>
      </c>
      <c r="AS337" s="462">
        <f t="shared" si="522"/>
        <v>2042</v>
      </c>
      <c r="AT337" s="462">
        <f t="shared" si="522"/>
        <v>2043</v>
      </c>
      <c r="AU337" s="462">
        <f t="shared" si="522"/>
        <v>2044</v>
      </c>
      <c r="AV337" s="462">
        <f t="shared" si="522"/>
        <v>2045</v>
      </c>
      <c r="AW337" s="462">
        <f t="shared" si="522"/>
        <v>2046</v>
      </c>
      <c r="AX337" s="462">
        <f t="shared" si="522"/>
        <v>2047</v>
      </c>
      <c r="AY337" s="462">
        <f t="shared" si="522"/>
        <v>2048</v>
      </c>
      <c r="AZ337" s="462">
        <f t="shared" si="522"/>
        <v>2049</v>
      </c>
      <c r="BA337" s="463">
        <f t="shared" si="522"/>
        <v>2050</v>
      </c>
    </row>
    <row r="338" spans="2:54" ht="20.100000000000001" customHeight="1" thickBot="1">
      <c r="C338" s="58"/>
      <c r="D338" s="58"/>
      <c r="E338" s="58"/>
      <c r="F338" s="58"/>
      <c r="G338" s="58"/>
      <c r="H338" s="58"/>
      <c r="I338" s="58"/>
      <c r="J338" s="58"/>
      <c r="K338" s="58"/>
      <c r="L338" s="240"/>
      <c r="M338" s="240"/>
      <c r="N338" s="240"/>
      <c r="O338" s="240"/>
      <c r="P338" s="240"/>
      <c r="Q338" s="240"/>
      <c r="R338" s="240"/>
      <c r="S338" s="488" t="s">
        <v>129</v>
      </c>
      <c r="T338" s="493" t="s">
        <v>2718</v>
      </c>
      <c r="U338" s="480"/>
      <c r="V338" s="480"/>
      <c r="W338" s="480"/>
      <c r="X338" s="481"/>
      <c r="Y338" s="447">
        <f>IF(AND(Y337&gt;(2020+$F$151),Y337&lt;(2022+$G$151)),X338+($F$149/($G$151-$F$151+1)),X338)</f>
        <v>0</v>
      </c>
      <c r="Z338" s="447">
        <f t="shared" ref="Z338:BA338" si="523">IF(AND(Z337&gt;(2020+$F$151),Z337&lt;(2022+$G$151)),Y338+($F$149/($G$151-$F$151+1)),Y338)</f>
        <v>0</v>
      </c>
      <c r="AA338" s="447">
        <f t="shared" si="523"/>
        <v>0</v>
      </c>
      <c r="AB338" s="447">
        <f t="shared" si="523"/>
        <v>0</v>
      </c>
      <c r="AC338" s="447">
        <f t="shared" si="523"/>
        <v>0</v>
      </c>
      <c r="AD338" s="447">
        <f t="shared" si="523"/>
        <v>0</v>
      </c>
      <c r="AE338" s="447">
        <f t="shared" si="523"/>
        <v>0</v>
      </c>
      <c r="AF338" s="447">
        <f t="shared" si="523"/>
        <v>0</v>
      </c>
      <c r="AG338" s="447">
        <f t="shared" si="523"/>
        <v>0</v>
      </c>
      <c r="AH338" s="447">
        <f t="shared" si="523"/>
        <v>0</v>
      </c>
      <c r="AI338" s="447">
        <f t="shared" si="523"/>
        <v>0</v>
      </c>
      <c r="AJ338" s="447">
        <f t="shared" si="523"/>
        <v>0</v>
      </c>
      <c r="AK338" s="447">
        <f t="shared" si="523"/>
        <v>0</v>
      </c>
      <c r="AL338" s="447">
        <f t="shared" si="523"/>
        <v>16.666666666666668</v>
      </c>
      <c r="AM338" s="447">
        <f t="shared" si="523"/>
        <v>33.333333333333336</v>
      </c>
      <c r="AN338" s="447">
        <f t="shared" si="523"/>
        <v>50</v>
      </c>
      <c r="AO338" s="447">
        <f t="shared" si="523"/>
        <v>66.666666666666671</v>
      </c>
      <c r="AP338" s="447">
        <f t="shared" si="523"/>
        <v>83.333333333333343</v>
      </c>
      <c r="AQ338" s="447">
        <f t="shared" si="523"/>
        <v>100.00000000000001</v>
      </c>
      <c r="AR338" s="447">
        <f t="shared" si="523"/>
        <v>100.00000000000001</v>
      </c>
      <c r="AS338" s="447">
        <f t="shared" si="523"/>
        <v>100.00000000000001</v>
      </c>
      <c r="AT338" s="447">
        <f t="shared" si="523"/>
        <v>100.00000000000001</v>
      </c>
      <c r="AU338" s="447">
        <f t="shared" si="523"/>
        <v>100.00000000000001</v>
      </c>
      <c r="AV338" s="447">
        <f t="shared" si="523"/>
        <v>100.00000000000001</v>
      </c>
      <c r="AW338" s="447">
        <f t="shared" si="523"/>
        <v>100.00000000000001</v>
      </c>
      <c r="AX338" s="447">
        <f t="shared" si="523"/>
        <v>100.00000000000001</v>
      </c>
      <c r="AY338" s="447">
        <f t="shared" si="523"/>
        <v>100.00000000000001</v>
      </c>
      <c r="AZ338" s="447">
        <f t="shared" si="523"/>
        <v>100.00000000000001</v>
      </c>
      <c r="BA338" s="461">
        <f t="shared" si="523"/>
        <v>100.00000000000001</v>
      </c>
    </row>
    <row r="339" spans="2:54" ht="20.100000000000001" customHeight="1">
      <c r="C339" s="58"/>
      <c r="D339" s="58"/>
      <c r="E339" s="58"/>
      <c r="F339" s="58"/>
      <c r="G339" s="58"/>
      <c r="H339" s="58"/>
      <c r="I339" s="58"/>
      <c r="J339" s="58"/>
      <c r="K339" s="58"/>
      <c r="L339" s="239"/>
      <c r="M339" s="239"/>
      <c r="N339" s="239"/>
      <c r="O339" s="239"/>
      <c r="P339" s="239"/>
      <c r="Q339" s="239"/>
      <c r="R339" s="239"/>
      <c r="S339" s="468" t="s">
        <v>2844</v>
      </c>
      <c r="T339" s="492"/>
      <c r="U339" s="202"/>
      <c r="V339" s="202"/>
      <c r="W339" s="202"/>
      <c r="X339" s="462">
        <f>X337</f>
        <v>2021</v>
      </c>
      <c r="Y339" s="462">
        <f t="shared" ref="Y339:BA339" si="524">Y337</f>
        <v>2022</v>
      </c>
      <c r="Z339" s="462">
        <f t="shared" si="524"/>
        <v>2023</v>
      </c>
      <c r="AA339" s="462">
        <f t="shared" si="524"/>
        <v>2024</v>
      </c>
      <c r="AB339" s="462">
        <f t="shared" si="524"/>
        <v>2025</v>
      </c>
      <c r="AC339" s="462">
        <f t="shared" si="524"/>
        <v>2026</v>
      </c>
      <c r="AD339" s="462">
        <f t="shared" si="524"/>
        <v>2027</v>
      </c>
      <c r="AE339" s="462">
        <f t="shared" si="524"/>
        <v>2028</v>
      </c>
      <c r="AF339" s="462">
        <f t="shared" si="524"/>
        <v>2029</v>
      </c>
      <c r="AG339" s="462">
        <f t="shared" si="524"/>
        <v>2030</v>
      </c>
      <c r="AH339" s="462">
        <f t="shared" si="524"/>
        <v>2031</v>
      </c>
      <c r="AI339" s="462">
        <f t="shared" si="524"/>
        <v>2032</v>
      </c>
      <c r="AJ339" s="462">
        <f t="shared" si="524"/>
        <v>2033</v>
      </c>
      <c r="AK339" s="462">
        <f t="shared" si="524"/>
        <v>2034</v>
      </c>
      <c r="AL339" s="462">
        <f t="shared" si="524"/>
        <v>2035</v>
      </c>
      <c r="AM339" s="462">
        <f t="shared" si="524"/>
        <v>2036</v>
      </c>
      <c r="AN339" s="462">
        <f t="shared" si="524"/>
        <v>2037</v>
      </c>
      <c r="AO339" s="462">
        <f t="shared" si="524"/>
        <v>2038</v>
      </c>
      <c r="AP339" s="462">
        <f t="shared" si="524"/>
        <v>2039</v>
      </c>
      <c r="AQ339" s="462">
        <f t="shared" si="524"/>
        <v>2040</v>
      </c>
      <c r="AR339" s="462">
        <f t="shared" si="524"/>
        <v>2041</v>
      </c>
      <c r="AS339" s="462">
        <f t="shared" si="524"/>
        <v>2042</v>
      </c>
      <c r="AT339" s="462">
        <f t="shared" si="524"/>
        <v>2043</v>
      </c>
      <c r="AU339" s="462">
        <f t="shared" si="524"/>
        <v>2044</v>
      </c>
      <c r="AV339" s="462">
        <f t="shared" si="524"/>
        <v>2045</v>
      </c>
      <c r="AW339" s="462">
        <f t="shared" si="524"/>
        <v>2046</v>
      </c>
      <c r="AX339" s="462">
        <f t="shared" si="524"/>
        <v>2047</v>
      </c>
      <c r="AY339" s="462">
        <f t="shared" si="524"/>
        <v>2048</v>
      </c>
      <c r="AZ339" s="462">
        <f t="shared" si="524"/>
        <v>2049</v>
      </c>
      <c r="BA339" s="463">
        <f t="shared" si="524"/>
        <v>2050</v>
      </c>
    </row>
    <row r="340" spans="2:54" ht="20.100000000000001" customHeight="1">
      <c r="B340" s="58"/>
      <c r="C340" s="58"/>
      <c r="D340" s="58"/>
      <c r="E340" s="58"/>
      <c r="F340" s="58"/>
      <c r="G340" s="58"/>
      <c r="H340" s="58"/>
      <c r="I340" s="58"/>
      <c r="J340" s="58"/>
      <c r="K340" s="58"/>
      <c r="L340" s="239"/>
      <c r="M340" s="239"/>
      <c r="N340" s="239"/>
      <c r="O340" s="239"/>
      <c r="P340" s="239"/>
      <c r="Q340" s="239"/>
      <c r="R340" s="239"/>
      <c r="S340" s="489" t="str">
        <f t="shared" ref="S340:S344" si="525">S265</f>
        <v>BUS</v>
      </c>
      <c r="T340" s="455" t="s">
        <v>2838</v>
      </c>
      <c r="U340" s="453"/>
      <c r="V340" s="453"/>
      <c r="W340" s="453"/>
      <c r="X340" s="201"/>
      <c r="Y340" s="48">
        <f t="shared" ref="Y340:BA340" si="526">(100-Y$338)/100*Y265</f>
        <v>671.82201775280498</v>
      </c>
      <c r="Z340" s="48">
        <f t="shared" si="526"/>
        <v>677.1965938948274</v>
      </c>
      <c r="AA340" s="48">
        <f t="shared" si="526"/>
        <v>682.61416664598596</v>
      </c>
      <c r="AB340" s="48">
        <f>(100-AB$338)/100*AB265</f>
        <v>688.07507997915377</v>
      </c>
      <c r="AC340" s="48">
        <f t="shared" si="526"/>
        <v>693.57968061898703</v>
      </c>
      <c r="AD340" s="48">
        <f t="shared" si="526"/>
        <v>699.12831806393888</v>
      </c>
      <c r="AE340" s="48">
        <f t="shared" si="526"/>
        <v>704.72134460845041</v>
      </c>
      <c r="AF340" s="48">
        <f t="shared" si="526"/>
        <v>710.35911536531796</v>
      </c>
      <c r="AG340" s="48">
        <f t="shared" si="526"/>
        <v>716.04198828824053</v>
      </c>
      <c r="AH340" s="48">
        <f t="shared" si="526"/>
        <v>721.05428220625822</v>
      </c>
      <c r="AI340" s="48">
        <f t="shared" si="526"/>
        <v>726.10166218170207</v>
      </c>
      <c r="AJ340" s="48">
        <f t="shared" si="526"/>
        <v>731.18437381697413</v>
      </c>
      <c r="AK340" s="48">
        <f t="shared" si="526"/>
        <v>736.30266443369294</v>
      </c>
      <c r="AL340" s="48">
        <f t="shared" si="526"/>
        <v>617.88065257060737</v>
      </c>
      <c r="AM340" s="48">
        <f t="shared" si="526"/>
        <v>497.76465371088119</v>
      </c>
      <c r="AN340" s="48">
        <f t="shared" si="526"/>
        <v>375.93675471514314</v>
      </c>
      <c r="AO340" s="48">
        <f t="shared" si="526"/>
        <v>252.37887466543268</v>
      </c>
      <c r="AP340" s="48">
        <f t="shared" si="526"/>
        <v>127.0727633940453</v>
      </c>
      <c r="AQ340" s="48">
        <f t="shared" si="526"/>
        <v>-1.0910719601423895E-13</v>
      </c>
      <c r="AR340" s="48">
        <f t="shared" si="526"/>
        <v>-1.0987094638633864E-13</v>
      </c>
      <c r="AS340" s="48">
        <f t="shared" si="526"/>
        <v>-1.1064004301104299E-13</v>
      </c>
      <c r="AT340" s="48">
        <f t="shared" si="526"/>
        <v>-1.1141452331212032E-13</v>
      </c>
      <c r="AU340" s="48">
        <f t="shared" si="526"/>
        <v>-1.1219442497530516E-13</v>
      </c>
      <c r="AV340" s="48">
        <f t="shared" si="526"/>
        <v>-1.1297978595013232E-13</v>
      </c>
      <c r="AW340" s="48">
        <f t="shared" si="526"/>
        <v>-1.1377064445178325E-13</v>
      </c>
      <c r="AX340" s="48">
        <f t="shared" si="526"/>
        <v>-1.1456703896294575E-13</v>
      </c>
      <c r="AY340" s="48">
        <f t="shared" si="526"/>
        <v>-1.1536900823568636E-13</v>
      </c>
      <c r="AZ340" s="48">
        <f t="shared" si="526"/>
        <v>-1.1617659129333618E-13</v>
      </c>
      <c r="BA340" s="459">
        <f t="shared" si="526"/>
        <v>-1.1698982743238953E-13</v>
      </c>
    </row>
    <row r="341" spans="2:54" ht="20.100000000000001" customHeight="1">
      <c r="B341" s="58"/>
      <c r="C341" s="58"/>
      <c r="D341" s="58"/>
      <c r="E341" s="58"/>
      <c r="F341" s="58"/>
      <c r="G341" s="58"/>
      <c r="H341" s="58"/>
      <c r="I341" s="58"/>
      <c r="J341" s="58"/>
      <c r="K341" s="58"/>
      <c r="L341" s="239"/>
      <c r="M341" s="239"/>
      <c r="N341" s="239"/>
      <c r="O341" s="239"/>
      <c r="P341" s="239"/>
      <c r="Q341" s="239"/>
      <c r="R341" s="239"/>
      <c r="S341" s="489" t="str">
        <f t="shared" si="525"/>
        <v>METRO</v>
      </c>
      <c r="T341" s="455" t="s">
        <v>2839</v>
      </c>
      <c r="U341" s="453"/>
      <c r="V341" s="453"/>
      <c r="W341" s="453"/>
      <c r="X341" s="201"/>
      <c r="Y341" s="48">
        <f t="shared" ref="Y341:BA341" si="527">(100-Y$338)/100*Y266</f>
        <v>4417.708115672599</v>
      </c>
      <c r="Z341" s="48">
        <f t="shared" si="527"/>
        <v>4483.9737374076876</v>
      </c>
      <c r="AA341" s="48">
        <f t="shared" si="527"/>
        <v>4551.2333434688026</v>
      </c>
      <c r="AB341" s="48">
        <f t="shared" si="527"/>
        <v>4619.5018436208338</v>
      </c>
      <c r="AC341" s="48">
        <f t="shared" si="527"/>
        <v>4688.7943712751457</v>
      </c>
      <c r="AD341" s="48">
        <f t="shared" si="527"/>
        <v>4759.1262868442736</v>
      </c>
      <c r="AE341" s="48">
        <f t="shared" si="527"/>
        <v>4830.5131811469382</v>
      </c>
      <c r="AF341" s="48">
        <f t="shared" si="527"/>
        <v>4902.9708788641419</v>
      </c>
      <c r="AG341" s="48">
        <f t="shared" si="527"/>
        <v>4976.5154420471044</v>
      </c>
      <c r="AH341" s="48">
        <f t="shared" si="527"/>
        <v>5051.1631736778118</v>
      </c>
      <c r="AI341" s="48">
        <f t="shared" si="527"/>
        <v>5126.9306212829788</v>
      </c>
      <c r="AJ341" s="48">
        <f t="shared" si="527"/>
        <v>5203.8345806022244</v>
      </c>
      <c r="AK341" s="48">
        <f t="shared" si="527"/>
        <v>5281.892099311257</v>
      </c>
      <c r="AL341" s="48">
        <f t="shared" si="527"/>
        <v>4467.6004006674384</v>
      </c>
      <c r="AM341" s="48">
        <f t="shared" si="527"/>
        <v>3627.6915253419593</v>
      </c>
      <c r="AN341" s="48">
        <f t="shared" si="527"/>
        <v>2761.5801736665671</v>
      </c>
      <c r="AO341" s="48">
        <f t="shared" si="527"/>
        <v>1868.6692508477101</v>
      </c>
      <c r="AP341" s="48">
        <f t="shared" si="527"/>
        <v>948.34964480521262</v>
      </c>
      <c r="AQ341" s="48">
        <f t="shared" si="527"/>
        <v>-8.2074071441180473E-13</v>
      </c>
      <c r="AR341" s="48">
        <f t="shared" si="527"/>
        <v>-8.3305182512798198E-13</v>
      </c>
      <c r="AS341" s="48">
        <f t="shared" si="527"/>
        <v>-8.4554760250490171E-13</v>
      </c>
      <c r="AT341" s="48">
        <f t="shared" si="527"/>
        <v>-8.5823081654247521E-13</v>
      </c>
      <c r="AU341" s="48">
        <f t="shared" si="527"/>
        <v>-8.7110427879061235E-13</v>
      </c>
      <c r="AV341" s="48">
        <f t="shared" si="527"/>
        <v>-8.8417084297247157E-13</v>
      </c>
      <c r="AW341" s="48">
        <f t="shared" si="527"/>
        <v>-8.9743340561705859E-13</v>
      </c>
      <c r="AX341" s="48">
        <f t="shared" si="527"/>
        <v>-9.1089490670131444E-13</v>
      </c>
      <c r="AY341" s="48">
        <f t="shared" si="527"/>
        <v>-9.2455833030183402E-13</v>
      </c>
      <c r="AZ341" s="48">
        <f t="shared" si="527"/>
        <v>-9.384267052563616E-13</v>
      </c>
      <c r="BA341" s="459">
        <f t="shared" si="527"/>
        <v>-9.525031058352071E-13</v>
      </c>
    </row>
    <row r="342" spans="2:54" ht="20.100000000000001" customHeight="1">
      <c r="B342" s="58"/>
      <c r="C342" s="58"/>
      <c r="D342" s="58"/>
      <c r="E342" s="58"/>
      <c r="F342" s="58"/>
      <c r="G342" s="58"/>
      <c r="H342" s="58"/>
      <c r="I342" s="58"/>
      <c r="J342" s="58"/>
      <c r="K342" s="58"/>
      <c r="L342" s="239"/>
      <c r="M342" s="239"/>
      <c r="N342" s="239"/>
      <c r="O342" s="239"/>
      <c r="P342" s="239"/>
      <c r="Q342" s="239"/>
      <c r="R342" s="239"/>
      <c r="S342" s="489" t="str">
        <f t="shared" si="525"/>
        <v>TRAM</v>
      </c>
      <c r="T342" s="455" t="s">
        <v>2840</v>
      </c>
      <c r="U342" s="453"/>
      <c r="V342" s="453"/>
      <c r="W342" s="453"/>
      <c r="X342" s="201"/>
      <c r="Y342" s="48">
        <f t="shared" ref="Y342:BA342" si="528">(100-Y$338)/100*Y267</f>
        <v>938.89718796498403</v>
      </c>
      <c r="Z342" s="48">
        <f t="shared" si="528"/>
        <v>952.98064578445883</v>
      </c>
      <c r="AA342" s="48">
        <f t="shared" si="528"/>
        <v>967.27535547122568</v>
      </c>
      <c r="AB342" s="48">
        <f t="shared" si="528"/>
        <v>981.78448580329393</v>
      </c>
      <c r="AC342" s="48">
        <f t="shared" si="528"/>
        <v>996.51125309034342</v>
      </c>
      <c r="AD342" s="48">
        <f t="shared" si="528"/>
        <v>1011.4589218866984</v>
      </c>
      <c r="AE342" s="48">
        <f t="shared" si="528"/>
        <v>1026.6308057149988</v>
      </c>
      <c r="AF342" s="48">
        <f t="shared" si="528"/>
        <v>1042.0302678007238</v>
      </c>
      <c r="AG342" s="48">
        <f t="shared" si="528"/>
        <v>1057.6607218177346</v>
      </c>
      <c r="AH342" s="48">
        <f t="shared" si="528"/>
        <v>1072.4679719231831</v>
      </c>
      <c r="AI342" s="48">
        <f t="shared" si="528"/>
        <v>1087.4825235301075</v>
      </c>
      <c r="AJ342" s="48">
        <f t="shared" si="528"/>
        <v>1102.7072788595292</v>
      </c>
      <c r="AK342" s="48">
        <f t="shared" si="528"/>
        <v>1118.1451807635626</v>
      </c>
      <c r="AL342" s="48">
        <f t="shared" si="528"/>
        <v>944.8326777452105</v>
      </c>
      <c r="AM342" s="48">
        <f t="shared" si="528"/>
        <v>766.44826818691456</v>
      </c>
      <c r="AN342" s="48">
        <f t="shared" si="528"/>
        <v>582.88390795614873</v>
      </c>
      <c r="AO342" s="48">
        <f t="shared" si="528"/>
        <v>394.02952177835647</v>
      </c>
      <c r="AP342" s="48">
        <f t="shared" si="528"/>
        <v>199.77296754162668</v>
      </c>
      <c r="AQ342" s="48">
        <f t="shared" si="528"/>
        <v>-1.7272139054444684E-13</v>
      </c>
      <c r="AR342" s="48">
        <f t="shared" si="528"/>
        <v>-1.7513949001206909E-13</v>
      </c>
      <c r="AS342" s="48">
        <f t="shared" si="528"/>
        <v>-1.7759144287223806E-13</v>
      </c>
      <c r="AT342" s="48">
        <f t="shared" si="528"/>
        <v>-1.8007772307244943E-13</v>
      </c>
      <c r="AU342" s="48">
        <f t="shared" si="528"/>
        <v>-1.8259881119546375E-13</v>
      </c>
      <c r="AV342" s="48">
        <f t="shared" si="528"/>
        <v>-1.8515519455220025E-13</v>
      </c>
      <c r="AW342" s="48">
        <f t="shared" si="528"/>
        <v>-1.8774736727593108E-13</v>
      </c>
      <c r="AX342" s="48">
        <f t="shared" si="528"/>
        <v>-1.9037583041779416E-13</v>
      </c>
      <c r="AY342" s="48">
        <f t="shared" si="528"/>
        <v>-1.930410920436433E-13</v>
      </c>
      <c r="AZ342" s="48">
        <f t="shared" si="528"/>
        <v>-1.9574366733225429E-13</v>
      </c>
      <c r="BA342" s="459">
        <f t="shared" si="528"/>
        <v>-1.9848407867490591E-13</v>
      </c>
    </row>
    <row r="343" spans="2:54" ht="20.100000000000001" customHeight="1">
      <c r="B343" s="58"/>
      <c r="C343" s="58"/>
      <c r="D343" s="58"/>
      <c r="E343" s="58"/>
      <c r="F343" s="58"/>
      <c r="G343" s="58"/>
      <c r="H343" s="58"/>
      <c r="I343" s="58"/>
      <c r="J343" s="58"/>
      <c r="K343" s="58"/>
      <c r="L343" s="242"/>
      <c r="M343" s="242"/>
      <c r="N343" s="242"/>
      <c r="O343" s="242"/>
      <c r="P343" s="242"/>
      <c r="Q343" s="242"/>
      <c r="R343" s="242"/>
      <c r="S343" s="489" t="str">
        <f t="shared" si="525"/>
        <v>PASSENGER TRAIN</v>
      </c>
      <c r="T343" s="455" t="s">
        <v>2841</v>
      </c>
      <c r="U343" s="453"/>
      <c r="V343" s="453"/>
      <c r="W343" s="453"/>
      <c r="X343" s="201"/>
      <c r="Y343" s="48">
        <f t="shared" ref="Y343:BA343" si="529">(100-Y$338)/100*Y268</f>
        <v>324.54160675164411</v>
      </c>
      <c r="Z343" s="48">
        <f t="shared" si="529"/>
        <v>329.40973085291881</v>
      </c>
      <c r="AA343" s="48">
        <f t="shared" si="529"/>
        <v>334.35087681571258</v>
      </c>
      <c r="AB343" s="48">
        <f t="shared" si="529"/>
        <v>339.3661399679483</v>
      </c>
      <c r="AC343" s="48">
        <f t="shared" si="529"/>
        <v>344.45663206746752</v>
      </c>
      <c r="AD343" s="48">
        <f>(100-AD$338)/100*AD268</f>
        <v>349.62348154847956</v>
      </c>
      <c r="AE343" s="48">
        <f t="shared" si="529"/>
        <v>354.86783377170673</v>
      </c>
      <c r="AF343" s="48">
        <f t="shared" si="529"/>
        <v>360.19085127828231</v>
      </c>
      <c r="AG343" s="48">
        <f t="shared" si="529"/>
        <v>365.59371404745661</v>
      </c>
      <c r="AH343" s="48">
        <f t="shared" si="529"/>
        <v>370.71202604412105</v>
      </c>
      <c r="AI343" s="48">
        <f t="shared" si="529"/>
        <v>375.9019944087388</v>
      </c>
      <c r="AJ343" s="48">
        <f t="shared" si="529"/>
        <v>381.16462233046116</v>
      </c>
      <c r="AK343" s="48">
        <f t="shared" si="529"/>
        <v>386.5009270430877</v>
      </c>
      <c r="AL343" s="48">
        <f t="shared" si="529"/>
        <v>326.59328335140907</v>
      </c>
      <c r="AM343" s="48">
        <f t="shared" si="529"/>
        <v>264.93247145466296</v>
      </c>
      <c r="AN343" s="48">
        <f t="shared" si="529"/>
        <v>201.48114454127125</v>
      </c>
      <c r="AO343" s="48">
        <f t="shared" si="529"/>
        <v>136.20125370989933</v>
      </c>
      <c r="AP343" s="48">
        <f t="shared" si="529"/>
        <v>69.05403563091896</v>
      </c>
      <c r="AQ343" s="48">
        <f t="shared" si="529"/>
        <v>-5.970331823995582E-14</v>
      </c>
      <c r="AR343" s="48">
        <f t="shared" si="529"/>
        <v>-6.0539164695315203E-14</v>
      </c>
      <c r="AS343" s="48">
        <f t="shared" si="529"/>
        <v>-6.1386713001049623E-14</v>
      </c>
      <c r="AT343" s="48">
        <f t="shared" si="529"/>
        <v>-6.2246126983064314E-14</v>
      </c>
      <c r="AU343" s="48">
        <f t="shared" si="529"/>
        <v>-6.311757276082722E-14</v>
      </c>
      <c r="AV343" s="48">
        <f t="shared" si="529"/>
        <v>-6.4001218779478812E-14</v>
      </c>
      <c r="AW343" s="48">
        <f t="shared" si="529"/>
        <v>-6.489723584239151E-14</v>
      </c>
      <c r="AX343" s="48">
        <f t="shared" si="529"/>
        <v>-6.5805797144184997E-14</v>
      </c>
      <c r="AY343" s="48">
        <f t="shared" si="529"/>
        <v>-6.672707830420359E-14</v>
      </c>
      <c r="AZ343" s="48">
        <f t="shared" si="529"/>
        <v>-6.7661257400462455E-14</v>
      </c>
      <c r="BA343" s="459">
        <f t="shared" si="529"/>
        <v>-6.8608515004068938E-14</v>
      </c>
    </row>
    <row r="344" spans="2:54" ht="20.100000000000001" customHeight="1">
      <c r="B344" s="58"/>
      <c r="C344" s="58"/>
      <c r="D344" s="58"/>
      <c r="E344" s="58"/>
      <c r="F344" s="58"/>
      <c r="G344" s="58"/>
      <c r="H344" s="58"/>
      <c r="I344" s="58"/>
      <c r="J344" s="58"/>
      <c r="K344" s="58"/>
      <c r="L344" s="242"/>
      <c r="M344" s="242"/>
      <c r="N344" s="242"/>
      <c r="O344" s="242"/>
      <c r="P344" s="242"/>
      <c r="Q344" s="242"/>
      <c r="R344" s="242"/>
      <c r="S344" s="489" t="str">
        <f t="shared" si="525"/>
        <v>PASSENGER CAR</v>
      </c>
      <c r="T344" s="455" t="s">
        <v>2842</v>
      </c>
      <c r="U344" s="453"/>
      <c r="V344" s="453"/>
      <c r="W344" s="453"/>
      <c r="X344" s="201"/>
      <c r="Y344" s="48">
        <f t="shared" ref="Y344:BA344" si="530">(100-Y$338)/100*Y269</f>
        <v>2711.2859462812826</v>
      </c>
      <c r="Z344" s="48">
        <f t="shared" si="530"/>
        <v>2765.5116652069082</v>
      </c>
      <c r="AA344" s="48">
        <f t="shared" si="530"/>
        <v>2820.8218985110466</v>
      </c>
      <c r="AB344" s="48">
        <f t="shared" si="530"/>
        <v>2877.2383364812677</v>
      </c>
      <c r="AC344" s="48">
        <f t="shared" si="530"/>
        <v>2934.7831032108929</v>
      </c>
      <c r="AD344" s="48">
        <f t="shared" si="530"/>
        <v>2993.4787652751106</v>
      </c>
      <c r="AE344" s="48">
        <f t="shared" si="530"/>
        <v>3053.3483405806128</v>
      </c>
      <c r="AF344" s="48">
        <f t="shared" si="530"/>
        <v>3114.4153073922253</v>
      </c>
      <c r="AG344" s="48">
        <f t="shared" si="530"/>
        <v>3176.7036135400699</v>
      </c>
      <c r="AH344" s="48">
        <f t="shared" si="530"/>
        <v>3218.0007605160908</v>
      </c>
      <c r="AI344" s="48">
        <f t="shared" si="530"/>
        <v>3259.8347704028006</v>
      </c>
      <c r="AJ344" s="48">
        <f t="shared" si="530"/>
        <v>3302.2126224180365</v>
      </c>
      <c r="AK344" s="48">
        <f t="shared" si="530"/>
        <v>3345.141386509471</v>
      </c>
      <c r="AL344" s="48">
        <f t="shared" si="530"/>
        <v>2823.8568537784108</v>
      </c>
      <c r="AM344" s="48">
        <f t="shared" si="530"/>
        <v>2288.4535943020237</v>
      </c>
      <c r="AN344" s="48">
        <f t="shared" si="530"/>
        <v>1738.6526182709631</v>
      </c>
      <c r="AO344" s="48">
        <f t="shared" si="530"/>
        <v>1174.1700682056567</v>
      </c>
      <c r="AP344" s="48">
        <f t="shared" si="530"/>
        <v>594.71713954616496</v>
      </c>
      <c r="AQ344" s="48">
        <f t="shared" si="530"/>
        <v>-5.136784543199145E-13</v>
      </c>
      <c r="AR344" s="48">
        <f t="shared" si="530"/>
        <v>-5.2035627422607347E-13</v>
      </c>
      <c r="AS344" s="48">
        <f t="shared" si="530"/>
        <v>-5.271209057910124E-13</v>
      </c>
      <c r="AT344" s="48">
        <f t="shared" si="530"/>
        <v>-5.3397347756629552E-13</v>
      </c>
      <c r="AU344" s="48">
        <f t="shared" si="530"/>
        <v>-5.4091513277465745E-13</v>
      </c>
      <c r="AV344" s="48">
        <f t="shared" si="530"/>
        <v>-5.4794702950072798E-13</v>
      </c>
      <c r="AW344" s="48">
        <f t="shared" si="530"/>
        <v>-5.5507034088423749E-13</v>
      </c>
      <c r="AX344" s="48">
        <f t="shared" si="530"/>
        <v>-5.622862553157325E-13</v>
      </c>
      <c r="AY344" s="48">
        <f t="shared" si="530"/>
        <v>-5.6959597663483697E-13</v>
      </c>
      <c r="AZ344" s="48">
        <f t="shared" si="530"/>
        <v>-5.7700072433108996E-13</v>
      </c>
      <c r="BA344" s="459">
        <f t="shared" si="530"/>
        <v>-5.8450173374739405E-13</v>
      </c>
    </row>
    <row r="345" spans="2:54" ht="20.100000000000001" customHeight="1" thickBot="1">
      <c r="B345" s="58"/>
      <c r="C345" s="58"/>
      <c r="D345" s="58"/>
      <c r="E345" s="58"/>
      <c r="F345" s="58"/>
      <c r="G345" s="58"/>
      <c r="H345" s="58"/>
      <c r="I345" s="58"/>
      <c r="J345" s="58"/>
      <c r="K345" s="58"/>
      <c r="L345" s="239"/>
      <c r="M345" s="239"/>
      <c r="N345" s="239"/>
      <c r="O345" s="239"/>
      <c r="P345" s="239"/>
      <c r="Q345" s="239"/>
      <c r="R345" s="239"/>
      <c r="S345" s="490" t="s">
        <v>2843</v>
      </c>
      <c r="T345" s="494" t="s">
        <v>130</v>
      </c>
      <c r="U345" s="482"/>
      <c r="V345" s="482"/>
      <c r="W345" s="482"/>
      <c r="X345" s="483"/>
      <c r="Y345" s="484">
        <f>SUM(Y340:Y344)</f>
        <v>9064.2548744233154</v>
      </c>
      <c r="Z345" s="484">
        <f t="shared" ref="Z345:BA345" si="531">SUM(Z340:Z344)</f>
        <v>9209.0723731468024</v>
      </c>
      <c r="AA345" s="484">
        <f t="shared" si="531"/>
        <v>9356.2956409127728</v>
      </c>
      <c r="AB345" s="484">
        <f t="shared" si="531"/>
        <v>9505.9658858524981</v>
      </c>
      <c r="AC345" s="484">
        <f t="shared" si="531"/>
        <v>9658.1250402628375</v>
      </c>
      <c r="AD345" s="484">
        <f t="shared" si="531"/>
        <v>9812.8157736185003</v>
      </c>
      <c r="AE345" s="484">
        <f t="shared" si="531"/>
        <v>9970.0815058227072</v>
      </c>
      <c r="AF345" s="484">
        <f t="shared" si="531"/>
        <v>10129.96642070069</v>
      </c>
      <c r="AG345" s="484">
        <f t="shared" si="531"/>
        <v>10292.515479740607</v>
      </c>
      <c r="AH345" s="484">
        <f t="shared" si="531"/>
        <v>10433.398214367466</v>
      </c>
      <c r="AI345" s="484">
        <f t="shared" si="531"/>
        <v>10576.251571806328</v>
      </c>
      <c r="AJ345" s="484">
        <f t="shared" si="531"/>
        <v>10721.103478027224</v>
      </c>
      <c r="AK345" s="484">
        <f t="shared" si="531"/>
        <v>10867.982258061071</v>
      </c>
      <c r="AL345" s="484">
        <f t="shared" si="531"/>
        <v>9180.7638681130757</v>
      </c>
      <c r="AM345" s="484">
        <f t="shared" si="531"/>
        <v>7445.290512996442</v>
      </c>
      <c r="AN345" s="484">
        <f t="shared" si="531"/>
        <v>5660.5345991500926</v>
      </c>
      <c r="AO345" s="484">
        <f t="shared" si="531"/>
        <v>3825.4489692070551</v>
      </c>
      <c r="AP345" s="484">
        <f t="shared" si="531"/>
        <v>1938.9665509179686</v>
      </c>
      <c r="AQ345" s="484">
        <f t="shared" si="531"/>
        <v>-1.6759510735303607E-12</v>
      </c>
      <c r="AR345" s="484">
        <f t="shared" si="531"/>
        <v>-1.6989577004477783E-12</v>
      </c>
      <c r="AS345" s="484">
        <f t="shared" si="531"/>
        <v>-1.7222867071802448E-12</v>
      </c>
      <c r="AT345" s="484">
        <f t="shared" si="531"/>
        <v>-1.7459426674764051E-12</v>
      </c>
      <c r="AU345" s="484">
        <f t="shared" si="531"/>
        <v>-1.7699302204968659E-12</v>
      </c>
      <c r="AV345" s="484">
        <f t="shared" si="531"/>
        <v>-1.7942540717550111E-12</v>
      </c>
      <c r="AW345" s="484">
        <f t="shared" si="531"/>
        <v>-1.8189189940714018E-12</v>
      </c>
      <c r="AX345" s="484">
        <f t="shared" si="531"/>
        <v>-1.8439298285419717E-12</v>
      </c>
      <c r="AY345" s="484">
        <f t="shared" si="531"/>
        <v>-1.8692914855202042E-12</v>
      </c>
      <c r="AZ345" s="484">
        <f t="shared" si="531"/>
        <v>-1.8950089456135047E-12</v>
      </c>
      <c r="BA345" s="485">
        <f t="shared" si="531"/>
        <v>-1.9210872606939657E-12</v>
      </c>
    </row>
    <row r="346" spans="2:54" ht="20.100000000000001" customHeight="1">
      <c r="S346" s="465" t="s">
        <v>2671</v>
      </c>
      <c r="T346" s="797"/>
      <c r="U346" s="486"/>
      <c r="V346" s="486"/>
      <c r="W346" s="486"/>
      <c r="X346" s="462">
        <f>X337</f>
        <v>2021</v>
      </c>
      <c r="Y346" s="462">
        <f t="shared" ref="Y346:BA346" si="532">Y337</f>
        <v>2022</v>
      </c>
      <c r="Z346" s="462">
        <f t="shared" si="532"/>
        <v>2023</v>
      </c>
      <c r="AA346" s="462">
        <f t="shared" si="532"/>
        <v>2024</v>
      </c>
      <c r="AB346" s="462">
        <f t="shared" si="532"/>
        <v>2025</v>
      </c>
      <c r="AC346" s="462">
        <f t="shared" si="532"/>
        <v>2026</v>
      </c>
      <c r="AD346" s="462">
        <f t="shared" si="532"/>
        <v>2027</v>
      </c>
      <c r="AE346" s="462">
        <f t="shared" si="532"/>
        <v>2028</v>
      </c>
      <c r="AF346" s="462">
        <f t="shared" si="532"/>
        <v>2029</v>
      </c>
      <c r="AG346" s="462">
        <f t="shared" si="532"/>
        <v>2030</v>
      </c>
      <c r="AH346" s="462">
        <f t="shared" si="532"/>
        <v>2031</v>
      </c>
      <c r="AI346" s="462">
        <f t="shared" si="532"/>
        <v>2032</v>
      </c>
      <c r="AJ346" s="462">
        <f t="shared" si="532"/>
        <v>2033</v>
      </c>
      <c r="AK346" s="462">
        <f t="shared" si="532"/>
        <v>2034</v>
      </c>
      <c r="AL346" s="462">
        <f t="shared" si="532"/>
        <v>2035</v>
      </c>
      <c r="AM346" s="462">
        <f t="shared" si="532"/>
        <v>2036</v>
      </c>
      <c r="AN346" s="462">
        <f t="shared" si="532"/>
        <v>2037</v>
      </c>
      <c r="AO346" s="462">
        <f t="shared" si="532"/>
        <v>2038</v>
      </c>
      <c r="AP346" s="462">
        <f t="shared" si="532"/>
        <v>2039</v>
      </c>
      <c r="AQ346" s="462">
        <f t="shared" si="532"/>
        <v>2040</v>
      </c>
      <c r="AR346" s="462">
        <f t="shared" si="532"/>
        <v>2041</v>
      </c>
      <c r="AS346" s="462">
        <f t="shared" si="532"/>
        <v>2042</v>
      </c>
      <c r="AT346" s="462">
        <f t="shared" si="532"/>
        <v>2043</v>
      </c>
      <c r="AU346" s="462">
        <f t="shared" si="532"/>
        <v>2044</v>
      </c>
      <c r="AV346" s="462">
        <f t="shared" si="532"/>
        <v>2045</v>
      </c>
      <c r="AW346" s="462">
        <f t="shared" si="532"/>
        <v>2046</v>
      </c>
      <c r="AX346" s="462">
        <f t="shared" si="532"/>
        <v>2047</v>
      </c>
      <c r="AY346" s="462">
        <f t="shared" si="532"/>
        <v>2048</v>
      </c>
      <c r="AZ346" s="462">
        <f t="shared" si="532"/>
        <v>2049</v>
      </c>
      <c r="BA346" s="463">
        <f t="shared" si="532"/>
        <v>2050</v>
      </c>
    </row>
    <row r="347" spans="2:54" ht="20.100000000000001" customHeight="1">
      <c r="S347" s="489" t="str">
        <f t="shared" ref="S347:S352" si="533">S340</f>
        <v>BUS</v>
      </c>
      <c r="T347" s="1461" t="s">
        <v>2846</v>
      </c>
      <c r="U347" s="1462"/>
      <c r="V347" s="453"/>
      <c r="W347" s="453"/>
      <c r="X347" s="201"/>
      <c r="Y347" s="48">
        <f t="shared" ref="Y347:BA347" si="534">((100-$G$149)/100*Y265)+($G$149/100*Y340)</f>
        <v>671.82201775280498</v>
      </c>
      <c r="Z347" s="48">
        <f t="shared" si="534"/>
        <v>677.1965938948274</v>
      </c>
      <c r="AA347" s="48">
        <f t="shared" si="534"/>
        <v>682.61416664598596</v>
      </c>
      <c r="AB347" s="48">
        <f t="shared" si="534"/>
        <v>688.07507997915377</v>
      </c>
      <c r="AC347" s="48">
        <f t="shared" si="534"/>
        <v>693.57968061898703</v>
      </c>
      <c r="AD347" s="48">
        <f t="shared" si="534"/>
        <v>699.12831806393888</v>
      </c>
      <c r="AE347" s="48">
        <f t="shared" si="534"/>
        <v>704.72134460845041</v>
      </c>
      <c r="AF347" s="48">
        <f t="shared" si="534"/>
        <v>710.35911536531796</v>
      </c>
      <c r="AG347" s="48">
        <f t="shared" si="534"/>
        <v>716.04198828824053</v>
      </c>
      <c r="AH347" s="48">
        <f t="shared" si="534"/>
        <v>721.05428220625822</v>
      </c>
      <c r="AI347" s="48">
        <f t="shared" si="534"/>
        <v>726.10166218170207</v>
      </c>
      <c r="AJ347" s="48">
        <f t="shared" si="534"/>
        <v>731.18437381697413</v>
      </c>
      <c r="AK347" s="48">
        <f t="shared" si="534"/>
        <v>736.30266443369294</v>
      </c>
      <c r="AL347" s="48">
        <f t="shared" si="534"/>
        <v>741.45678308472884</v>
      </c>
      <c r="AM347" s="48">
        <f t="shared" si="534"/>
        <v>746.64698056632199</v>
      </c>
      <c r="AN347" s="48">
        <f t="shared" si="534"/>
        <v>751.87350943028628</v>
      </c>
      <c r="AO347" s="48">
        <f t="shared" si="534"/>
        <v>757.13662399629823</v>
      </c>
      <c r="AP347" s="48">
        <f t="shared" si="534"/>
        <v>762.43658036427223</v>
      </c>
      <c r="AQ347" s="48">
        <f t="shared" si="534"/>
        <v>767.77363642682224</v>
      </c>
      <c r="AR347" s="48">
        <f t="shared" si="534"/>
        <v>773.14805188181003</v>
      </c>
      <c r="AS347" s="48">
        <f t="shared" si="534"/>
        <v>778.56008824498258</v>
      </c>
      <c r="AT347" s="48">
        <f t="shared" si="534"/>
        <v>784.01000886269765</v>
      </c>
      <c r="AU347" s="48">
        <f t="shared" si="534"/>
        <v>789.49807892473655</v>
      </c>
      <c r="AV347" s="48">
        <f t="shared" si="534"/>
        <v>795.02456547720988</v>
      </c>
      <c r="AW347" s="48">
        <f t="shared" si="534"/>
        <v>800.58973743555043</v>
      </c>
      <c r="AX347" s="48">
        <f t="shared" si="534"/>
        <v>806.19386559759926</v>
      </c>
      <c r="AY347" s="48">
        <f t="shared" si="534"/>
        <v>811.8372226567825</v>
      </c>
      <c r="AZ347" s="48">
        <f t="shared" si="534"/>
        <v>817.52008321538005</v>
      </c>
      <c r="BA347" s="459">
        <f t="shared" si="534"/>
        <v>823.24272379788772</v>
      </c>
    </row>
    <row r="348" spans="2:54" ht="20.100000000000001" customHeight="1">
      <c r="S348" s="489" t="str">
        <f t="shared" si="533"/>
        <v>METRO</v>
      </c>
      <c r="T348" s="1461" t="s">
        <v>2847</v>
      </c>
      <c r="U348" s="1462"/>
      <c r="V348" s="453"/>
      <c r="W348" s="453"/>
      <c r="X348" s="201"/>
      <c r="Y348" s="48">
        <f t="shared" ref="Y348:BA348" si="535">((100-$G$149)/100*Y266)+($G$149/100*Y341)</f>
        <v>4417.708115672599</v>
      </c>
      <c r="Z348" s="48">
        <f t="shared" si="535"/>
        <v>4483.9737374076876</v>
      </c>
      <c r="AA348" s="48">
        <f t="shared" si="535"/>
        <v>4551.2333434688026</v>
      </c>
      <c r="AB348" s="48">
        <f t="shared" si="535"/>
        <v>4619.5018436208338</v>
      </c>
      <c r="AC348" s="48">
        <f t="shared" si="535"/>
        <v>4688.7943712751457</v>
      </c>
      <c r="AD348" s="48">
        <f t="shared" si="535"/>
        <v>4759.1262868442736</v>
      </c>
      <c r="AE348" s="48">
        <f t="shared" si="535"/>
        <v>4830.5131811469382</v>
      </c>
      <c r="AF348" s="48">
        <f t="shared" si="535"/>
        <v>4902.9708788641419</v>
      </c>
      <c r="AG348" s="48">
        <f t="shared" si="535"/>
        <v>4976.5154420471044</v>
      </c>
      <c r="AH348" s="48">
        <f t="shared" si="535"/>
        <v>5051.1631736778118</v>
      </c>
      <c r="AI348" s="48">
        <f t="shared" si="535"/>
        <v>5126.9306212829788</v>
      </c>
      <c r="AJ348" s="48">
        <f t="shared" si="535"/>
        <v>5203.8345806022244</v>
      </c>
      <c r="AK348" s="48">
        <f t="shared" si="535"/>
        <v>5281.892099311257</v>
      </c>
      <c r="AL348" s="48">
        <f t="shared" si="535"/>
        <v>5361.1204808009261</v>
      </c>
      <c r="AM348" s="48">
        <f t="shared" si="535"/>
        <v>5441.5372880129398</v>
      </c>
      <c r="AN348" s="48">
        <f t="shared" si="535"/>
        <v>5523.1603473331343</v>
      </c>
      <c r="AO348" s="48">
        <f t="shared" si="535"/>
        <v>5606.0077525431316</v>
      </c>
      <c r="AP348" s="48">
        <f t="shared" si="535"/>
        <v>5690.0978688312789</v>
      </c>
      <c r="AQ348" s="48">
        <f t="shared" si="535"/>
        <v>5775.4493368637477</v>
      </c>
      <c r="AR348" s="48">
        <f t="shared" si="535"/>
        <v>5862.0810769167047</v>
      </c>
      <c r="AS348" s="48">
        <f t="shared" si="535"/>
        <v>5950.0122930704556</v>
      </c>
      <c r="AT348" s="48">
        <f t="shared" si="535"/>
        <v>6039.2624774665119</v>
      </c>
      <c r="AU348" s="48">
        <f t="shared" si="535"/>
        <v>6129.8514146285097</v>
      </c>
      <c r="AV348" s="48">
        <f t="shared" si="535"/>
        <v>6221.7991858479381</v>
      </c>
      <c r="AW348" s="48">
        <f t="shared" si="535"/>
        <v>6315.1261736356564</v>
      </c>
      <c r="AX348" s="48">
        <f t="shared" si="535"/>
        <v>6409.8530662401909</v>
      </c>
      <c r="AY348" s="48">
        <f t="shared" si="535"/>
        <v>6506.0008622337937</v>
      </c>
      <c r="AZ348" s="48">
        <f t="shared" si="535"/>
        <v>6603.5908751673005</v>
      </c>
      <c r="BA348" s="459">
        <f t="shared" si="535"/>
        <v>6702.6447382948099</v>
      </c>
    </row>
    <row r="349" spans="2:54" ht="20.100000000000001" customHeight="1">
      <c r="S349" s="489" t="str">
        <f t="shared" si="533"/>
        <v>TRAM</v>
      </c>
      <c r="T349" s="1461" t="s">
        <v>2848</v>
      </c>
      <c r="U349" s="1462"/>
      <c r="V349" s="453"/>
      <c r="W349" s="453"/>
      <c r="X349" s="201"/>
      <c r="Y349" s="48">
        <f t="shared" ref="Y349:BA349" si="536">((100-$G$149)/100*Y267)+($G$149/100*Y342)</f>
        <v>938.89718796498403</v>
      </c>
      <c r="Z349" s="48">
        <f t="shared" si="536"/>
        <v>952.98064578445883</v>
      </c>
      <c r="AA349" s="48">
        <f t="shared" si="536"/>
        <v>967.27535547122568</v>
      </c>
      <c r="AB349" s="48">
        <f t="shared" si="536"/>
        <v>981.78448580329393</v>
      </c>
      <c r="AC349" s="48">
        <f t="shared" si="536"/>
        <v>996.51125309034342</v>
      </c>
      <c r="AD349" s="48">
        <f t="shared" si="536"/>
        <v>1011.4589218866984</v>
      </c>
      <c r="AE349" s="48">
        <f t="shared" si="536"/>
        <v>1026.6308057149988</v>
      </c>
      <c r="AF349" s="48">
        <f t="shared" si="536"/>
        <v>1042.0302678007238</v>
      </c>
      <c r="AG349" s="48">
        <f t="shared" si="536"/>
        <v>1057.6607218177346</v>
      </c>
      <c r="AH349" s="48">
        <f t="shared" si="536"/>
        <v>1072.4679719231831</v>
      </c>
      <c r="AI349" s="48">
        <f t="shared" si="536"/>
        <v>1087.4825235301075</v>
      </c>
      <c r="AJ349" s="48">
        <f t="shared" si="536"/>
        <v>1102.7072788595292</v>
      </c>
      <c r="AK349" s="48">
        <f t="shared" si="536"/>
        <v>1118.1451807635626</v>
      </c>
      <c r="AL349" s="48">
        <f t="shared" si="536"/>
        <v>1133.7992132942527</v>
      </c>
      <c r="AM349" s="48">
        <f t="shared" si="536"/>
        <v>1149.6724022803721</v>
      </c>
      <c r="AN349" s="48">
        <f t="shared" si="536"/>
        <v>1165.7678159122975</v>
      </c>
      <c r="AO349" s="48">
        <f t="shared" si="536"/>
        <v>1182.0885653350697</v>
      </c>
      <c r="AP349" s="48">
        <f t="shared" si="536"/>
        <v>1198.6378052497607</v>
      </c>
      <c r="AQ349" s="48">
        <f t="shared" si="536"/>
        <v>1215.4187345232574</v>
      </c>
      <c r="AR349" s="48">
        <f t="shared" si="536"/>
        <v>1232.4345968065829</v>
      </c>
      <c r="AS349" s="48">
        <f t="shared" si="536"/>
        <v>1249.6886811618751</v>
      </c>
      <c r="AT349" s="48">
        <f t="shared" si="536"/>
        <v>1267.1843226981416</v>
      </c>
      <c r="AU349" s="48">
        <f t="shared" si="536"/>
        <v>1284.9249032159157</v>
      </c>
      <c r="AV349" s="48">
        <f t="shared" si="536"/>
        <v>1302.9138518609386</v>
      </c>
      <c r="AW349" s="48">
        <f t="shared" si="536"/>
        <v>1321.154645786992</v>
      </c>
      <c r="AX349" s="48">
        <f t="shared" si="536"/>
        <v>1339.6508108280102</v>
      </c>
      <c r="AY349" s="48">
        <f t="shared" si="536"/>
        <v>1358.4059221796024</v>
      </c>
      <c r="AZ349" s="48">
        <f t="shared" si="536"/>
        <v>1377.4236050901168</v>
      </c>
      <c r="BA349" s="459">
        <f t="shared" si="536"/>
        <v>1396.7075355613788</v>
      </c>
    </row>
    <row r="350" spans="2:54" ht="20.100000000000001" customHeight="1">
      <c r="S350" s="489" t="str">
        <f t="shared" si="533"/>
        <v>PASSENGER TRAIN</v>
      </c>
      <c r="T350" s="1461" t="s">
        <v>2849</v>
      </c>
      <c r="U350" s="1462"/>
      <c r="V350" s="453"/>
      <c r="W350" s="453"/>
      <c r="X350" s="201"/>
      <c r="Y350" s="48">
        <f t="shared" ref="Y350:BA350" si="537">((100-$G$149)/100*Y268)+($G$149/100*Y343)</f>
        <v>324.54160675164411</v>
      </c>
      <c r="Z350" s="48">
        <f t="shared" si="537"/>
        <v>329.40973085291881</v>
      </c>
      <c r="AA350" s="48">
        <f t="shared" si="537"/>
        <v>334.35087681571258</v>
      </c>
      <c r="AB350" s="48">
        <f t="shared" si="537"/>
        <v>339.3661399679483</v>
      </c>
      <c r="AC350" s="48">
        <f t="shared" si="537"/>
        <v>344.45663206746752</v>
      </c>
      <c r="AD350" s="48">
        <f t="shared" si="537"/>
        <v>349.62348154847956</v>
      </c>
      <c r="AE350" s="48">
        <f t="shared" si="537"/>
        <v>354.86783377170673</v>
      </c>
      <c r="AF350" s="48">
        <f t="shared" si="537"/>
        <v>360.19085127828231</v>
      </c>
      <c r="AG350" s="48">
        <f t="shared" si="537"/>
        <v>365.59371404745661</v>
      </c>
      <c r="AH350" s="48">
        <f t="shared" si="537"/>
        <v>370.71202604412105</v>
      </c>
      <c r="AI350" s="48">
        <f t="shared" si="537"/>
        <v>375.9019944087388</v>
      </c>
      <c r="AJ350" s="48">
        <f t="shared" si="537"/>
        <v>381.16462233046116</v>
      </c>
      <c r="AK350" s="48">
        <f t="shared" si="537"/>
        <v>386.5009270430877</v>
      </c>
      <c r="AL350" s="48">
        <f t="shared" si="537"/>
        <v>391.9119400216909</v>
      </c>
      <c r="AM350" s="48">
        <f t="shared" si="537"/>
        <v>397.39870718199455</v>
      </c>
      <c r="AN350" s="48">
        <f t="shared" si="537"/>
        <v>402.9622890825425</v>
      </c>
      <c r="AO350" s="48">
        <f t="shared" si="537"/>
        <v>408.60376112969811</v>
      </c>
      <c r="AP350" s="48">
        <f t="shared" si="537"/>
        <v>414.32421378551396</v>
      </c>
      <c r="AQ350" s="48">
        <f t="shared" si="537"/>
        <v>420.12475277851121</v>
      </c>
      <c r="AR350" s="48">
        <f t="shared" si="537"/>
        <v>426.00649931741037</v>
      </c>
      <c r="AS350" s="48">
        <f t="shared" si="537"/>
        <v>431.97059030785414</v>
      </c>
      <c r="AT350" s="48">
        <f t="shared" si="537"/>
        <v>438.01817857216412</v>
      </c>
      <c r="AU350" s="48">
        <f t="shared" si="537"/>
        <v>444.15043307217445</v>
      </c>
      <c r="AV350" s="48">
        <f t="shared" si="537"/>
        <v>450.3685391351849</v>
      </c>
      <c r="AW350" s="48">
        <f t="shared" si="537"/>
        <v>456.67369868307753</v>
      </c>
      <c r="AX350" s="48">
        <f t="shared" si="537"/>
        <v>463.06713046464063</v>
      </c>
      <c r="AY350" s="48">
        <f t="shared" si="537"/>
        <v>469.55007029114563</v>
      </c>
      <c r="AZ350" s="48">
        <f t="shared" si="537"/>
        <v>476.12377127522177</v>
      </c>
      <c r="BA350" s="459">
        <f t="shared" si="537"/>
        <v>482.78950407307491</v>
      </c>
      <c r="BB350" s="58"/>
    </row>
    <row r="351" spans="2:54" ht="20.100000000000001" customHeight="1">
      <c r="S351" s="489" t="str">
        <f t="shared" si="533"/>
        <v>PASSENGER CAR</v>
      </c>
      <c r="T351" s="1461" t="s">
        <v>2850</v>
      </c>
      <c r="U351" s="1462"/>
      <c r="V351" s="453"/>
      <c r="W351" s="453"/>
      <c r="X351" s="201"/>
      <c r="Y351" s="48">
        <f t="shared" ref="Y351:BA351" si="538">((100-$G$149)/100*Y269)+($G$149/100*Y344)</f>
        <v>2711.2859462812826</v>
      </c>
      <c r="Z351" s="48">
        <f t="shared" si="538"/>
        <v>2765.5116652069082</v>
      </c>
      <c r="AA351" s="48">
        <f t="shared" si="538"/>
        <v>2820.8218985110466</v>
      </c>
      <c r="AB351" s="48">
        <f t="shared" si="538"/>
        <v>2877.2383364812677</v>
      </c>
      <c r="AC351" s="48">
        <f t="shared" si="538"/>
        <v>2934.7831032108929</v>
      </c>
      <c r="AD351" s="48">
        <f t="shared" si="538"/>
        <v>2993.4787652751106</v>
      </c>
      <c r="AE351" s="48">
        <f t="shared" si="538"/>
        <v>3053.3483405806128</v>
      </c>
      <c r="AF351" s="48">
        <f t="shared" si="538"/>
        <v>3114.4153073922253</v>
      </c>
      <c r="AG351" s="48">
        <f t="shared" si="538"/>
        <v>3176.7036135400699</v>
      </c>
      <c r="AH351" s="48">
        <f t="shared" si="538"/>
        <v>3218.0007605160908</v>
      </c>
      <c r="AI351" s="48">
        <f t="shared" si="538"/>
        <v>3259.8347704028006</v>
      </c>
      <c r="AJ351" s="48">
        <f t="shared" si="538"/>
        <v>3302.2126224180365</v>
      </c>
      <c r="AK351" s="48">
        <f t="shared" si="538"/>
        <v>3345.141386509471</v>
      </c>
      <c r="AL351" s="48">
        <f t="shared" si="538"/>
        <v>3388.6282245340935</v>
      </c>
      <c r="AM351" s="48">
        <f t="shared" si="538"/>
        <v>3432.6803914530365</v>
      </c>
      <c r="AN351" s="48">
        <f t="shared" si="538"/>
        <v>3477.3052365419262</v>
      </c>
      <c r="AO351" s="48">
        <f t="shared" si="538"/>
        <v>3522.5102046169709</v>
      </c>
      <c r="AP351" s="48">
        <f t="shared" si="538"/>
        <v>3568.3028372769918</v>
      </c>
      <c r="AQ351" s="48">
        <f t="shared" si="538"/>
        <v>3614.6907741615928</v>
      </c>
      <c r="AR351" s="48">
        <f t="shared" si="538"/>
        <v>3661.6817542256936</v>
      </c>
      <c r="AS351" s="48">
        <f t="shared" si="538"/>
        <v>3709.2836170306277</v>
      </c>
      <c r="AT351" s="48">
        <f t="shared" si="538"/>
        <v>3757.5043040520259</v>
      </c>
      <c r="AU351" s="48">
        <f t="shared" si="538"/>
        <v>3806.3518600047023</v>
      </c>
      <c r="AV351" s="48">
        <f t="shared" si="538"/>
        <v>3855.8344341847633</v>
      </c>
      <c r="AW351" s="48">
        <f t="shared" si="538"/>
        <v>3905.9602818291655</v>
      </c>
      <c r="AX351" s="48">
        <f t="shared" si="538"/>
        <v>3956.7377654929446</v>
      </c>
      <c r="AY351" s="48">
        <f t="shared" si="538"/>
        <v>4008.1753564443525</v>
      </c>
      <c r="AZ351" s="48">
        <f t="shared" si="538"/>
        <v>4060.2816360781294</v>
      </c>
      <c r="BA351" s="459">
        <f t="shared" si="538"/>
        <v>4113.0652973471451</v>
      </c>
      <c r="BB351" s="247"/>
    </row>
    <row r="352" spans="2:54" ht="20.100000000000001" customHeight="1" thickBot="1">
      <c r="S352" s="490" t="str">
        <f t="shared" si="533"/>
        <v>TOTAL, pkm/capita, a</v>
      </c>
      <c r="T352" s="494" t="s">
        <v>130</v>
      </c>
      <c r="U352" s="494"/>
      <c r="V352" s="482"/>
      <c r="W352" s="482"/>
      <c r="X352" s="483"/>
      <c r="Y352" s="484">
        <f>SUM(Y347:Y351)</f>
        <v>9064.2548744233154</v>
      </c>
      <c r="Z352" s="484">
        <f t="shared" ref="Z352:BA352" si="539">SUM(Z347:Z351)</f>
        <v>9209.0723731468024</v>
      </c>
      <c r="AA352" s="484">
        <f t="shared" si="539"/>
        <v>9356.2956409127728</v>
      </c>
      <c r="AB352" s="484">
        <f t="shared" si="539"/>
        <v>9505.9658858524981</v>
      </c>
      <c r="AC352" s="484">
        <f t="shared" si="539"/>
        <v>9658.1250402628375</v>
      </c>
      <c r="AD352" s="484">
        <f t="shared" si="539"/>
        <v>9812.8157736185003</v>
      </c>
      <c r="AE352" s="484">
        <f t="shared" si="539"/>
        <v>9970.0815058227072</v>
      </c>
      <c r="AF352" s="484">
        <f t="shared" si="539"/>
        <v>10129.96642070069</v>
      </c>
      <c r="AG352" s="484">
        <f t="shared" si="539"/>
        <v>10292.515479740607</v>
      </c>
      <c r="AH352" s="484">
        <f t="shared" si="539"/>
        <v>10433.398214367466</v>
      </c>
      <c r="AI352" s="484">
        <f t="shared" si="539"/>
        <v>10576.251571806328</v>
      </c>
      <c r="AJ352" s="484">
        <f t="shared" si="539"/>
        <v>10721.103478027224</v>
      </c>
      <c r="AK352" s="484">
        <f t="shared" si="539"/>
        <v>10867.982258061071</v>
      </c>
      <c r="AL352" s="484">
        <f t="shared" si="539"/>
        <v>11016.916641735692</v>
      </c>
      <c r="AM352" s="484">
        <f t="shared" si="539"/>
        <v>11167.935769494665</v>
      </c>
      <c r="AN352" s="484">
        <f t="shared" si="539"/>
        <v>11321.069198300185</v>
      </c>
      <c r="AO352" s="484">
        <f t="shared" si="539"/>
        <v>11476.346907621168</v>
      </c>
      <c r="AP352" s="484">
        <f t="shared" si="539"/>
        <v>11633.799305507817</v>
      </c>
      <c r="AQ352" s="484">
        <f t="shared" si="539"/>
        <v>11793.457234753931</v>
      </c>
      <c r="AR352" s="484">
        <f t="shared" si="539"/>
        <v>11955.351979148201</v>
      </c>
      <c r="AS352" s="484">
        <f t="shared" si="539"/>
        <v>12119.515269815794</v>
      </c>
      <c r="AT352" s="484">
        <f t="shared" si="539"/>
        <v>12285.97929165154</v>
      </c>
      <c r="AU352" s="484">
        <f t="shared" si="539"/>
        <v>12454.77668984604</v>
      </c>
      <c r="AV352" s="484">
        <f t="shared" si="539"/>
        <v>12625.940576506033</v>
      </c>
      <c r="AW352" s="484">
        <f t="shared" si="539"/>
        <v>12799.504537370443</v>
      </c>
      <c r="AX352" s="484">
        <f t="shared" si="539"/>
        <v>12975.502638623384</v>
      </c>
      <c r="AY352" s="484">
        <f t="shared" si="539"/>
        <v>13153.969433805676</v>
      </c>
      <c r="AZ352" s="484">
        <f t="shared" si="539"/>
        <v>13334.939970826148</v>
      </c>
      <c r="BA352" s="485">
        <f t="shared" si="539"/>
        <v>13518.449799074297</v>
      </c>
      <c r="BB352" s="247" t="s">
        <v>892</v>
      </c>
    </row>
    <row r="353" spans="19:54" ht="20.100000000000001" customHeight="1">
      <c r="S353" s="465" t="s">
        <v>2672</v>
      </c>
      <c r="T353" s="818"/>
      <c r="U353" s="486"/>
      <c r="V353" s="486"/>
      <c r="W353" s="486"/>
      <c r="X353" s="462">
        <f t="shared" ref="X353:BA353" si="540">X339</f>
        <v>2021</v>
      </c>
      <c r="Y353" s="462">
        <f t="shared" si="540"/>
        <v>2022</v>
      </c>
      <c r="Z353" s="462">
        <f t="shared" si="540"/>
        <v>2023</v>
      </c>
      <c r="AA353" s="462">
        <f t="shared" si="540"/>
        <v>2024</v>
      </c>
      <c r="AB353" s="462">
        <f t="shared" si="540"/>
        <v>2025</v>
      </c>
      <c r="AC353" s="462">
        <f t="shared" si="540"/>
        <v>2026</v>
      </c>
      <c r="AD353" s="462">
        <f t="shared" si="540"/>
        <v>2027</v>
      </c>
      <c r="AE353" s="462">
        <f t="shared" si="540"/>
        <v>2028</v>
      </c>
      <c r="AF353" s="462">
        <f t="shared" si="540"/>
        <v>2029</v>
      </c>
      <c r="AG353" s="462">
        <f t="shared" si="540"/>
        <v>2030</v>
      </c>
      <c r="AH353" s="462">
        <f t="shared" si="540"/>
        <v>2031</v>
      </c>
      <c r="AI353" s="462">
        <f t="shared" si="540"/>
        <v>2032</v>
      </c>
      <c r="AJ353" s="462">
        <f t="shared" si="540"/>
        <v>2033</v>
      </c>
      <c r="AK353" s="462">
        <f t="shared" si="540"/>
        <v>2034</v>
      </c>
      <c r="AL353" s="462">
        <f t="shared" si="540"/>
        <v>2035</v>
      </c>
      <c r="AM353" s="462">
        <f t="shared" si="540"/>
        <v>2036</v>
      </c>
      <c r="AN353" s="462">
        <f t="shared" si="540"/>
        <v>2037</v>
      </c>
      <c r="AO353" s="462">
        <f t="shared" si="540"/>
        <v>2038</v>
      </c>
      <c r="AP353" s="462">
        <f t="shared" si="540"/>
        <v>2039</v>
      </c>
      <c r="AQ353" s="462">
        <f t="shared" si="540"/>
        <v>2040</v>
      </c>
      <c r="AR353" s="462">
        <f t="shared" si="540"/>
        <v>2041</v>
      </c>
      <c r="AS353" s="462">
        <f t="shared" si="540"/>
        <v>2042</v>
      </c>
      <c r="AT353" s="462">
        <f t="shared" si="540"/>
        <v>2043</v>
      </c>
      <c r="AU353" s="462">
        <f t="shared" si="540"/>
        <v>2044</v>
      </c>
      <c r="AV353" s="462">
        <f t="shared" si="540"/>
        <v>2045</v>
      </c>
      <c r="AW353" s="462">
        <f t="shared" si="540"/>
        <v>2046</v>
      </c>
      <c r="AX353" s="462">
        <f t="shared" si="540"/>
        <v>2047</v>
      </c>
      <c r="AY353" s="462">
        <f t="shared" si="540"/>
        <v>2048</v>
      </c>
      <c r="AZ353" s="462">
        <f t="shared" si="540"/>
        <v>2049</v>
      </c>
      <c r="BA353" s="463">
        <f t="shared" si="540"/>
        <v>2050</v>
      </c>
      <c r="BB353" s="58"/>
    </row>
    <row r="354" spans="19:54" ht="20.100000000000001" customHeight="1">
      <c r="S354" s="489" t="str">
        <f t="shared" ref="S354:T359" si="541">S272</f>
        <v>BUS</v>
      </c>
      <c r="T354" s="452" t="str">
        <f t="shared" si="541"/>
        <v>conversion to percentages, zero division prevented with IF function</v>
      </c>
      <c r="U354" s="51"/>
      <c r="V354" s="51"/>
      <c r="W354" s="51"/>
      <c r="X354" s="201"/>
      <c r="Y354" s="48">
        <f t="shared" ref="Y354:BA354" si="542">IF(Y$352=0,0,Y347/Y$352*100)</f>
        <v>7.4117732462321948</v>
      </c>
      <c r="Z354" s="48">
        <f t="shared" si="542"/>
        <v>7.353580973796003</v>
      </c>
      <c r="AA354" s="48">
        <f t="shared" si="542"/>
        <v>7.2957738066877944</v>
      </c>
      <c r="AB354" s="48">
        <f t="shared" si="542"/>
        <v>7.2383499819118802</v>
      </c>
      <c r="AC354" s="48">
        <f t="shared" si="542"/>
        <v>7.1813077354827035</v>
      </c>
      <c r="AD354" s="48">
        <f t="shared" si="542"/>
        <v>7.1246453025596095</v>
      </c>
      <c r="AE354" s="48">
        <f t="shared" si="542"/>
        <v>7.0683609175800663</v>
      </c>
      <c r="AF354" s="48">
        <f t="shared" si="542"/>
        <v>7.0124528143912883</v>
      </c>
      <c r="AG354" s="48">
        <f t="shared" si="542"/>
        <v>6.9569192263802773</v>
      </c>
      <c r="AH354" s="48">
        <f t="shared" si="542"/>
        <v>6.9110204306523997</v>
      </c>
      <c r="AI354" s="48">
        <f t="shared" si="542"/>
        <v>6.8653970383733078</v>
      </c>
      <c r="AJ354" s="48">
        <f t="shared" si="542"/>
        <v>6.820047724709756</v>
      </c>
      <c r="AK354" s="48">
        <f t="shared" si="542"/>
        <v>6.7749711671415147</v>
      </c>
      <c r="AL354" s="48">
        <f t="shared" si="542"/>
        <v>6.7301660455144727</v>
      </c>
      <c r="AM354" s="48">
        <f t="shared" si="542"/>
        <v>6.6856310420928118</v>
      </c>
      <c r="AN354" s="48">
        <f t="shared" si="542"/>
        <v>6.6413648416103417</v>
      </c>
      <c r="AO354" s="48">
        <f t="shared" si="542"/>
        <v>6.5973661313209515</v>
      </c>
      <c r="AP354" s="48">
        <f t="shared" si="542"/>
        <v>6.5536336010481975</v>
      </c>
      <c r="AQ354" s="48">
        <f t="shared" si="542"/>
        <v>6.510165943234048</v>
      </c>
      <c r="AR354" s="48">
        <f t="shared" si="542"/>
        <v>6.4669618529867456</v>
      </c>
      <c r="AS354" s="48">
        <f t="shared" si="542"/>
        <v>6.424020028127873</v>
      </c>
      <c r="AT354" s="48">
        <f t="shared" si="542"/>
        <v>6.3813391692385579</v>
      </c>
      <c r="AU354" s="48">
        <f t="shared" si="542"/>
        <v>6.3389179797048296</v>
      </c>
      <c r="AV354" s="48">
        <f t="shared" si="542"/>
        <v>6.296755165762205</v>
      </c>
      <c r="AW354" s="48">
        <f t="shared" si="542"/>
        <v>6.254849436539403</v>
      </c>
      <c r="AX354" s="48">
        <f t="shared" si="542"/>
        <v>6.2131995041013006</v>
      </c>
      <c r="AY354" s="48">
        <f t="shared" si="542"/>
        <v>6.1718040834910441</v>
      </c>
      <c r="AZ354" s="48">
        <f t="shared" si="542"/>
        <v>6.1306618927713981</v>
      </c>
      <c r="BA354" s="459">
        <f t="shared" si="542"/>
        <v>6.089771653065287</v>
      </c>
      <c r="BB354" s="247" t="s">
        <v>894</v>
      </c>
    </row>
    <row r="355" spans="19:54" ht="20.100000000000001" customHeight="1">
      <c r="S355" s="489" t="str">
        <f t="shared" si="541"/>
        <v>METRO</v>
      </c>
      <c r="T355" s="452" t="str">
        <f t="shared" si="541"/>
        <v>conversion to percentages, zero division prevented with IF function</v>
      </c>
      <c r="U355" s="51"/>
      <c r="V355" s="51"/>
      <c r="W355" s="51"/>
      <c r="X355" s="201"/>
      <c r="Y355" s="48">
        <f t="shared" ref="Y355:BA355" si="543">IF(Y$352=0,0,Y348/Y$352*100)</f>
        <v>48.737686405289452</v>
      </c>
      <c r="Z355" s="48">
        <f t="shared" si="543"/>
        <v>48.690829604974461</v>
      </c>
      <c r="AA355" s="48">
        <f t="shared" si="543"/>
        <v>48.643539261065904</v>
      </c>
      <c r="AB355" s="48">
        <f t="shared" si="543"/>
        <v>48.595817606456258</v>
      </c>
      <c r="AC355" s="48">
        <f t="shared" si="543"/>
        <v>48.54766687870034</v>
      </c>
      <c r="AD355" s="48">
        <f t="shared" si="543"/>
        <v>48.499089319897969</v>
      </c>
      <c r="AE355" s="48">
        <f t="shared" si="543"/>
        <v>48.450087176577561</v>
      </c>
      <c r="AF355" s="48">
        <f t="shared" si="543"/>
        <v>48.400662699580828</v>
      </c>
      <c r="AG355" s="48">
        <f t="shared" si="543"/>
        <v>48.35081814394826</v>
      </c>
      <c r="AH355" s="48">
        <f t="shared" si="543"/>
        <v>48.413403475025355</v>
      </c>
      <c r="AI355" s="48">
        <f t="shared" si="543"/>
        <v>48.475876225846484</v>
      </c>
      <c r="AJ355" s="48">
        <f t="shared" si="543"/>
        <v>48.538236677478416</v>
      </c>
      <c r="AK355" s="48">
        <f t="shared" si="543"/>
        <v>48.600485112068867</v>
      </c>
      <c r="AL355" s="48">
        <f t="shared" si="543"/>
        <v>48.662621812815068</v>
      </c>
      <c r="AM355" s="48">
        <f t="shared" si="543"/>
        <v>48.724647063932416</v>
      </c>
      <c r="AN355" s="48">
        <f t="shared" si="543"/>
        <v>48.786561150623612</v>
      </c>
      <c r="AO355" s="48">
        <f t="shared" si="543"/>
        <v>48.848364359048055</v>
      </c>
      <c r="AP355" s="48">
        <f t="shared" si="543"/>
        <v>48.910056976291507</v>
      </c>
      <c r="AQ355" s="48">
        <f t="shared" si="543"/>
        <v>48.971639290336157</v>
      </c>
      <c r="AR355" s="48">
        <f t="shared" si="543"/>
        <v>49.033111590030892</v>
      </c>
      <c r="AS355" s="48">
        <f t="shared" si="543"/>
        <v>49.094474165061968</v>
      </c>
      <c r="AT355" s="48">
        <f t="shared" si="543"/>
        <v>49.155727305923904</v>
      </c>
      <c r="AU355" s="48">
        <f t="shared" si="543"/>
        <v>49.216871303890755</v>
      </c>
      <c r="AV355" s="48">
        <f t="shared" si="543"/>
        <v>49.277906450987686</v>
      </c>
      <c r="AW355" s="48">
        <f t="shared" si="543"/>
        <v>49.338833039962729</v>
      </c>
      <c r="AX355" s="48">
        <f t="shared" si="543"/>
        <v>49.399651364259093</v>
      </c>
      <c r="AY355" s="48">
        <f t="shared" si="543"/>
        <v>49.460361717987453</v>
      </c>
      <c r="AZ355" s="48">
        <f t="shared" si="543"/>
        <v>49.520964395898844</v>
      </c>
      <c r="BA355" s="459">
        <f t="shared" si="543"/>
        <v>49.581459693357644</v>
      </c>
      <c r="BB355" s="247" t="s">
        <v>892</v>
      </c>
    </row>
    <row r="356" spans="19:54" ht="20.100000000000001" customHeight="1">
      <c r="S356" s="489" t="str">
        <f t="shared" si="541"/>
        <v>TRAM</v>
      </c>
      <c r="T356" s="452" t="str">
        <f t="shared" si="541"/>
        <v>conversion to percentages, zero division prevented with IF function</v>
      </c>
      <c r="U356" s="51"/>
      <c r="V356" s="51"/>
      <c r="W356" s="51"/>
      <c r="X356" s="201"/>
      <c r="Y356" s="48">
        <f t="shared" ref="Y356:BA356" si="544">IF(Y$352=0,0,Y349/Y$352*100)</f>
        <v>10.358239049679396</v>
      </c>
      <c r="Z356" s="48">
        <f t="shared" si="544"/>
        <v>10.348280556066678</v>
      </c>
      <c r="AA356" s="48">
        <f t="shared" si="544"/>
        <v>10.338229921268939</v>
      </c>
      <c r="AB356" s="48">
        <f t="shared" si="544"/>
        <v>10.328087619843664</v>
      </c>
      <c r="AC356" s="48">
        <f t="shared" si="544"/>
        <v>10.317854127339237</v>
      </c>
      <c r="AD356" s="48">
        <f t="shared" si="544"/>
        <v>10.307529920269973</v>
      </c>
      <c r="AE356" s="48">
        <f t="shared" si="544"/>
        <v>10.297115476091424</v>
      </c>
      <c r="AF356" s="48">
        <f t="shared" si="544"/>
        <v>10.286611273175835</v>
      </c>
      <c r="AG356" s="48">
        <f t="shared" si="544"/>
        <v>10.276017790787815</v>
      </c>
      <c r="AH356" s="48">
        <f t="shared" si="544"/>
        <v>10.279181814859948</v>
      </c>
      <c r="AI356" s="48">
        <f t="shared" si="544"/>
        <v>10.282305750262854</v>
      </c>
      <c r="AJ356" s="48">
        <f t="shared" si="544"/>
        <v>10.285389756003333</v>
      </c>
      <c r="AK356" s="48">
        <f t="shared" si="544"/>
        <v>10.28843399090208</v>
      </c>
      <c r="AL356" s="48">
        <f t="shared" si="544"/>
        <v>10.291438613586759</v>
      </c>
      <c r="AM356" s="48">
        <f t="shared" si="544"/>
        <v>10.294403782485162</v>
      </c>
      <c r="AN356" s="48">
        <f t="shared" si="544"/>
        <v>10.297329655818489</v>
      </c>
      <c r="AO356" s="48">
        <f t="shared" si="544"/>
        <v>10.300216391594724</v>
      </c>
      <c r="AP356" s="48">
        <f t="shared" si="544"/>
        <v>10.303064147602123</v>
      </c>
      <c r="AQ356" s="48">
        <f t="shared" si="544"/>
        <v>10.305873081402808</v>
      </c>
      <c r="AR356" s="48">
        <f t="shared" si="544"/>
        <v>10.308643350326452</v>
      </c>
      <c r="AS356" s="48">
        <f t="shared" si="544"/>
        <v>10.311375111464084</v>
      </c>
      <c r="AT356" s="48">
        <f t="shared" si="544"/>
        <v>10.314068521661985</v>
      </c>
      <c r="AU356" s="48">
        <f t="shared" si="544"/>
        <v>10.316723737515678</v>
      </c>
      <c r="AV356" s="48">
        <f t="shared" si="544"/>
        <v>10.31934091536405</v>
      </c>
      <c r="AW356" s="48">
        <f t="shared" si="544"/>
        <v>10.321920211283528</v>
      </c>
      <c r="AX356" s="48">
        <f t="shared" si="544"/>
        <v>10.324461781082404</v>
      </c>
      <c r="AY356" s="48">
        <f t="shared" si="544"/>
        <v>10.3269657802952</v>
      </c>
      <c r="AZ356" s="48">
        <f t="shared" si="544"/>
        <v>10.329432364177192</v>
      </c>
      <c r="BA356" s="459">
        <f t="shared" si="544"/>
        <v>10.331861687698993</v>
      </c>
      <c r="BB356" s="58"/>
    </row>
    <row r="357" spans="19:54" ht="20.100000000000001" customHeight="1">
      <c r="S357" s="489" t="str">
        <f t="shared" si="541"/>
        <v>PASSENGER TRAIN</v>
      </c>
      <c r="T357" s="452" t="str">
        <f t="shared" si="541"/>
        <v>conversion to percentages, zero division prevented with IF function</v>
      </c>
      <c r="U357" s="51"/>
      <c r="V357" s="51"/>
      <c r="W357" s="51"/>
      <c r="X357" s="201"/>
      <c r="Y357" s="48">
        <f t="shared" ref="Y357:BA357" si="545">IF(Y$352=0,0,Y350/Y$352*100)</f>
        <v>3.580455440053941</v>
      </c>
      <c r="Z357" s="48">
        <f t="shared" si="545"/>
        <v>3.5770131616454792</v>
      </c>
      <c r="AA357" s="48">
        <f t="shared" si="545"/>
        <v>3.5735390334790047</v>
      </c>
      <c r="AB357" s="48">
        <f t="shared" si="545"/>
        <v>3.5700332195912758</v>
      </c>
      <c r="AC357" s="48">
        <f t="shared" si="545"/>
        <v>3.566495884361562</v>
      </c>
      <c r="AD357" s="48">
        <f t="shared" si="545"/>
        <v>3.5629271925030244</v>
      </c>
      <c r="AE357" s="48">
        <f t="shared" si="545"/>
        <v>3.5593273090541686</v>
      </c>
      <c r="AF357" s="48">
        <f t="shared" si="545"/>
        <v>3.5556963993703734</v>
      </c>
      <c r="AG357" s="48">
        <f t="shared" si="545"/>
        <v>3.5520346291154699</v>
      </c>
      <c r="AH357" s="48">
        <f t="shared" si="545"/>
        <v>3.5531283137801308</v>
      </c>
      <c r="AI357" s="48">
        <f t="shared" si="545"/>
        <v>3.5542081412927105</v>
      </c>
      <c r="AJ357" s="48">
        <f t="shared" si="545"/>
        <v>3.5552741666159049</v>
      </c>
      <c r="AK357" s="48">
        <f t="shared" si="545"/>
        <v>3.5563264446480827</v>
      </c>
      <c r="AL357" s="48">
        <f t="shared" si="545"/>
        <v>3.5573650302208875</v>
      </c>
      <c r="AM357" s="48">
        <f t="shared" si="545"/>
        <v>3.5583899780968777</v>
      </c>
      <c r="AN357" s="48">
        <f t="shared" si="545"/>
        <v>3.5594013429671971</v>
      </c>
      <c r="AO357" s="48">
        <f t="shared" si="545"/>
        <v>3.5603991794492909</v>
      </c>
      <c r="AP357" s="48">
        <f t="shared" si="545"/>
        <v>3.561383542084652</v>
      </c>
      <c r="AQ357" s="48">
        <f t="shared" si="545"/>
        <v>3.5623544853366065</v>
      </c>
      <c r="AR357" s="48">
        <f t="shared" si="545"/>
        <v>3.5633120635881324</v>
      </c>
      <c r="AS357" s="48">
        <f t="shared" si="545"/>
        <v>3.5642563311397168</v>
      </c>
      <c r="AT357" s="48">
        <f t="shared" si="545"/>
        <v>3.5651873422072455</v>
      </c>
      <c r="AU357" s="48">
        <f t="shared" si="545"/>
        <v>3.5661051509199306</v>
      </c>
      <c r="AV357" s="48">
        <f t="shared" si="545"/>
        <v>3.5670098113182709</v>
      </c>
      <c r="AW357" s="48">
        <f t="shared" si="545"/>
        <v>3.5679013773520452</v>
      </c>
      <c r="AX357" s="48">
        <f t="shared" si="545"/>
        <v>3.5687799028783447</v>
      </c>
      <c r="AY357" s="48">
        <f t="shared" si="545"/>
        <v>3.5696454416596324</v>
      </c>
      <c r="AZ357" s="48">
        <f t="shared" si="545"/>
        <v>3.5704980473618448</v>
      </c>
      <c r="BA357" s="459">
        <f t="shared" si="545"/>
        <v>3.5713377735525187</v>
      </c>
      <c r="BB357" s="247" t="s">
        <v>894</v>
      </c>
    </row>
    <row r="358" spans="19:54" ht="20.100000000000001" customHeight="1">
      <c r="S358" s="489" t="str">
        <f t="shared" si="541"/>
        <v>PASSENGER CAR</v>
      </c>
      <c r="T358" s="452" t="str">
        <f t="shared" si="541"/>
        <v>conversion to percentages, zero division prevented with IF function</v>
      </c>
      <c r="U358" s="51"/>
      <c r="V358" s="51"/>
      <c r="W358" s="51"/>
      <c r="X358" s="201"/>
      <c r="Y358" s="48">
        <f t="shared" ref="Y358:BA358" si="546">IF(Y$352=0,0,Y351/Y$352*100)</f>
        <v>29.911845858745</v>
      </c>
      <c r="Z358" s="48">
        <f t="shared" si="546"/>
        <v>30.030295703517357</v>
      </c>
      <c r="AA358" s="48">
        <f t="shared" si="546"/>
        <v>30.148917977498364</v>
      </c>
      <c r="AB358" s="48">
        <f t="shared" si="546"/>
        <v>30.267711572196916</v>
      </c>
      <c r="AC358" s="48">
        <f t="shared" si="546"/>
        <v>30.386675374116145</v>
      </c>
      <c r="AD358" s="48">
        <f t="shared" si="546"/>
        <v>30.505808264769428</v>
      </c>
      <c r="AE358" s="48">
        <f t="shared" si="546"/>
        <v>30.625109120696781</v>
      </c>
      <c r="AF358" s="48">
        <f t="shared" si="546"/>
        <v>30.744576813481689</v>
      </c>
      <c r="AG358" s="48">
        <f t="shared" si="546"/>
        <v>30.864210209768174</v>
      </c>
      <c r="AH358" s="48">
        <f t="shared" si="546"/>
        <v>30.843265965682161</v>
      </c>
      <c r="AI358" s="48">
        <f t="shared" si="546"/>
        <v>30.822212844224644</v>
      </c>
      <c r="AJ358" s="48">
        <f t="shared" si="546"/>
        <v>30.801051675192603</v>
      </c>
      <c r="AK358" s="48">
        <f t="shared" si="546"/>
        <v>30.779783285239454</v>
      </c>
      <c r="AL358" s="48">
        <f t="shared" si="546"/>
        <v>30.758408497862817</v>
      </c>
      <c r="AM358" s="48">
        <f t="shared" si="546"/>
        <v>30.736928133392738</v>
      </c>
      <c r="AN358" s="48">
        <f t="shared" si="546"/>
        <v>30.715343008980373</v>
      </c>
      <c r="AO358" s="48">
        <f t="shared" si="546"/>
        <v>30.693653938586991</v>
      </c>
      <c r="AP358" s="48">
        <f t="shared" si="546"/>
        <v>30.671861732973525</v>
      </c>
      <c r="AQ358" s="48">
        <f t="shared" si="546"/>
        <v>30.649967199690387</v>
      </c>
      <c r="AR358" s="48">
        <f t="shared" si="546"/>
        <v>30.627971143067779</v>
      </c>
      <c r="AS358" s="48">
        <f t="shared" si="546"/>
        <v>30.605874364206365</v>
      </c>
      <c r="AT358" s="48">
        <f t="shared" si="546"/>
        <v>30.583677660968323</v>
      </c>
      <c r="AU358" s="48">
        <f t="shared" si="546"/>
        <v>30.561381827968809</v>
      </c>
      <c r="AV358" s="48">
        <f t="shared" si="546"/>
        <v>30.538987656567805</v>
      </c>
      <c r="AW358" s="48">
        <f t="shared" si="546"/>
        <v>30.516495934862288</v>
      </c>
      <c r="AX358" s="48">
        <f t="shared" si="546"/>
        <v>30.493907447678868</v>
      </c>
      <c r="AY358" s="48">
        <f t="shared" si="546"/>
        <v>30.471222976566676</v>
      </c>
      <c r="AZ358" s="48">
        <f t="shared" si="546"/>
        <v>30.448443299790721</v>
      </c>
      <c r="BA358" s="459">
        <f t="shared" si="546"/>
        <v>30.425569192325558</v>
      </c>
      <c r="BB358" s="247" t="s">
        <v>892</v>
      </c>
    </row>
    <row r="359" spans="19:54" ht="20.100000000000001" customHeight="1" thickBot="1">
      <c r="S359" s="488" t="str">
        <f t="shared" si="541"/>
        <v>TOTAL</v>
      </c>
      <c r="T359" s="496" t="str">
        <f t="shared" si="541"/>
        <v>sum of previous rows</v>
      </c>
      <c r="U359" s="460"/>
      <c r="V359" s="460"/>
      <c r="W359" s="460"/>
      <c r="X359" s="203"/>
      <c r="Y359" s="447">
        <f>SUM(Y354:Y358)</f>
        <v>99.999999999999972</v>
      </c>
      <c r="Z359" s="447">
        <f t="shared" ref="Z359:BA359" si="547">SUM(Z354:Z358)</f>
        <v>99.999999999999986</v>
      </c>
      <c r="AA359" s="447">
        <f t="shared" si="547"/>
        <v>100</v>
      </c>
      <c r="AB359" s="447">
        <f t="shared" si="547"/>
        <v>100</v>
      </c>
      <c r="AC359" s="447">
        <f t="shared" si="547"/>
        <v>99.999999999999972</v>
      </c>
      <c r="AD359" s="447">
        <f t="shared" si="547"/>
        <v>100</v>
      </c>
      <c r="AE359" s="447">
        <f t="shared" si="547"/>
        <v>100</v>
      </c>
      <c r="AF359" s="447">
        <f t="shared" si="547"/>
        <v>100.00000000000001</v>
      </c>
      <c r="AG359" s="447">
        <f t="shared" si="547"/>
        <v>100</v>
      </c>
      <c r="AH359" s="447">
        <f t="shared" si="547"/>
        <v>100</v>
      </c>
      <c r="AI359" s="447">
        <f t="shared" si="547"/>
        <v>100</v>
      </c>
      <c r="AJ359" s="447">
        <f t="shared" si="547"/>
        <v>100.00000000000003</v>
      </c>
      <c r="AK359" s="447">
        <f t="shared" si="547"/>
        <v>100</v>
      </c>
      <c r="AL359" s="447">
        <f t="shared" si="547"/>
        <v>100.00000000000001</v>
      </c>
      <c r="AM359" s="447">
        <f t="shared" si="547"/>
        <v>100.00000000000001</v>
      </c>
      <c r="AN359" s="447">
        <f t="shared" si="547"/>
        <v>100</v>
      </c>
      <c r="AO359" s="447">
        <f t="shared" si="547"/>
        <v>100.00000000000001</v>
      </c>
      <c r="AP359" s="447">
        <f t="shared" si="547"/>
        <v>100.00000000000001</v>
      </c>
      <c r="AQ359" s="447">
        <f t="shared" si="547"/>
        <v>100.00000000000003</v>
      </c>
      <c r="AR359" s="447">
        <f t="shared" si="547"/>
        <v>100</v>
      </c>
      <c r="AS359" s="447">
        <f t="shared" si="547"/>
        <v>100</v>
      </c>
      <c r="AT359" s="447">
        <f t="shared" si="547"/>
        <v>100.00000000000001</v>
      </c>
      <c r="AU359" s="447">
        <f t="shared" si="547"/>
        <v>100</v>
      </c>
      <c r="AV359" s="447">
        <f t="shared" si="547"/>
        <v>100.00000000000003</v>
      </c>
      <c r="AW359" s="447">
        <f t="shared" si="547"/>
        <v>100</v>
      </c>
      <c r="AX359" s="447">
        <f t="shared" si="547"/>
        <v>100.00000000000001</v>
      </c>
      <c r="AY359" s="447">
        <f t="shared" si="547"/>
        <v>100.00000000000001</v>
      </c>
      <c r="AZ359" s="447">
        <f t="shared" si="547"/>
        <v>100.00000000000001</v>
      </c>
      <c r="BA359" s="461">
        <f t="shared" si="547"/>
        <v>99.999999999999986</v>
      </c>
      <c r="BB359" s="247" t="s">
        <v>895</v>
      </c>
    </row>
    <row r="361" spans="19:54" ht="20.100000000000001" customHeight="1" thickBot="1">
      <c r="S361" s="886" t="s">
        <v>2752</v>
      </c>
      <c r="T361" s="13"/>
      <c r="U361" s="13"/>
      <c r="V361" s="13"/>
      <c r="W361" s="13"/>
      <c r="X361" s="708"/>
      <c r="Y361" s="708"/>
      <c r="Z361" s="708"/>
      <c r="AA361" s="708"/>
      <c r="AB361" s="708"/>
      <c r="AC361" s="708"/>
      <c r="AD361" s="708"/>
      <c r="AE361" s="708"/>
      <c r="AF361" s="708"/>
      <c r="AG361" s="708"/>
      <c r="AH361" s="708"/>
      <c r="AI361" s="708"/>
      <c r="AJ361" s="708"/>
      <c r="AK361" s="708"/>
      <c r="AL361" s="708"/>
      <c r="AM361" s="708"/>
      <c r="AN361" s="708"/>
      <c r="AO361" s="708"/>
      <c r="AP361" s="708"/>
      <c r="AQ361" s="708"/>
      <c r="AR361" s="708"/>
      <c r="AS361" s="708"/>
      <c r="AT361" s="708"/>
      <c r="AU361" s="708"/>
      <c r="AV361" s="708"/>
      <c r="AW361" s="708"/>
      <c r="AX361" s="708"/>
      <c r="AY361" s="708"/>
      <c r="AZ361" s="708"/>
      <c r="BA361" s="708"/>
    </row>
    <row r="362" spans="19:54" ht="20.100000000000001" customHeight="1">
      <c r="S362" s="502" t="s">
        <v>896</v>
      </c>
      <c r="T362" s="514"/>
      <c r="U362" s="503"/>
      <c r="V362" s="503"/>
      <c r="W362" s="503"/>
      <c r="X362" s="462">
        <f t="shared" ref="X362:BA362" si="548">X337</f>
        <v>2021</v>
      </c>
      <c r="Y362" s="462">
        <f t="shared" si="548"/>
        <v>2022</v>
      </c>
      <c r="Z362" s="462">
        <f t="shared" si="548"/>
        <v>2023</v>
      </c>
      <c r="AA362" s="462">
        <f t="shared" si="548"/>
        <v>2024</v>
      </c>
      <c r="AB362" s="462">
        <f t="shared" si="548"/>
        <v>2025</v>
      </c>
      <c r="AC362" s="462">
        <f t="shared" si="548"/>
        <v>2026</v>
      </c>
      <c r="AD362" s="462">
        <f t="shared" si="548"/>
        <v>2027</v>
      </c>
      <c r="AE362" s="462">
        <f t="shared" si="548"/>
        <v>2028</v>
      </c>
      <c r="AF362" s="462">
        <f t="shared" si="548"/>
        <v>2029</v>
      </c>
      <c r="AG362" s="462">
        <f t="shared" si="548"/>
        <v>2030</v>
      </c>
      <c r="AH362" s="462">
        <f t="shared" si="548"/>
        <v>2031</v>
      </c>
      <c r="AI362" s="462">
        <f t="shared" si="548"/>
        <v>2032</v>
      </c>
      <c r="AJ362" s="462">
        <f t="shared" si="548"/>
        <v>2033</v>
      </c>
      <c r="AK362" s="462">
        <f t="shared" si="548"/>
        <v>2034</v>
      </c>
      <c r="AL362" s="462">
        <f t="shared" si="548"/>
        <v>2035</v>
      </c>
      <c r="AM362" s="462">
        <f t="shared" si="548"/>
        <v>2036</v>
      </c>
      <c r="AN362" s="462">
        <f t="shared" si="548"/>
        <v>2037</v>
      </c>
      <c r="AO362" s="462">
        <f t="shared" si="548"/>
        <v>2038</v>
      </c>
      <c r="AP362" s="462">
        <f t="shared" si="548"/>
        <v>2039</v>
      </c>
      <c r="AQ362" s="462">
        <f t="shared" si="548"/>
        <v>2040</v>
      </c>
      <c r="AR362" s="462">
        <f t="shared" si="548"/>
        <v>2041</v>
      </c>
      <c r="AS362" s="462">
        <f t="shared" si="548"/>
        <v>2042</v>
      </c>
      <c r="AT362" s="462">
        <f t="shared" si="548"/>
        <v>2043</v>
      </c>
      <c r="AU362" s="462">
        <f t="shared" si="548"/>
        <v>2044</v>
      </c>
      <c r="AV362" s="462">
        <f t="shared" si="548"/>
        <v>2045</v>
      </c>
      <c r="AW362" s="462">
        <f t="shared" si="548"/>
        <v>2046</v>
      </c>
      <c r="AX362" s="462">
        <f t="shared" si="548"/>
        <v>2047</v>
      </c>
      <c r="AY362" s="462">
        <f t="shared" si="548"/>
        <v>2048</v>
      </c>
      <c r="AZ362" s="462">
        <f t="shared" si="548"/>
        <v>2049</v>
      </c>
      <c r="BA362" s="463">
        <f t="shared" si="548"/>
        <v>2050</v>
      </c>
    </row>
    <row r="363" spans="19:54" ht="20.100000000000001" customHeight="1">
      <c r="S363" s="504" t="str">
        <f>S354</f>
        <v>BUS</v>
      </c>
      <c r="T363" s="452" t="s">
        <v>131</v>
      </c>
      <c r="U363" s="51"/>
      <c r="V363" s="51"/>
      <c r="W363" s="51"/>
      <c r="X363" s="48"/>
      <c r="Y363" s="48">
        <f t="shared" ref="Y363:BA363" si="549">Y354</f>
        <v>7.4117732462321948</v>
      </c>
      <c r="Z363" s="48">
        <f t="shared" si="549"/>
        <v>7.353580973796003</v>
      </c>
      <c r="AA363" s="48">
        <f t="shared" si="549"/>
        <v>7.2957738066877944</v>
      </c>
      <c r="AB363" s="48">
        <f t="shared" si="549"/>
        <v>7.2383499819118802</v>
      </c>
      <c r="AC363" s="48">
        <f t="shared" si="549"/>
        <v>7.1813077354827035</v>
      </c>
      <c r="AD363" s="48">
        <f t="shared" si="549"/>
        <v>7.1246453025596095</v>
      </c>
      <c r="AE363" s="48">
        <f t="shared" si="549"/>
        <v>7.0683609175800663</v>
      </c>
      <c r="AF363" s="48">
        <f t="shared" si="549"/>
        <v>7.0124528143912883</v>
      </c>
      <c r="AG363" s="48">
        <f t="shared" si="549"/>
        <v>6.9569192263802773</v>
      </c>
      <c r="AH363" s="48">
        <f t="shared" si="549"/>
        <v>6.9110204306523997</v>
      </c>
      <c r="AI363" s="48">
        <f t="shared" si="549"/>
        <v>6.8653970383733078</v>
      </c>
      <c r="AJ363" s="48">
        <f t="shared" si="549"/>
        <v>6.820047724709756</v>
      </c>
      <c r="AK363" s="48">
        <f t="shared" si="549"/>
        <v>6.7749711671415147</v>
      </c>
      <c r="AL363" s="48">
        <f t="shared" si="549"/>
        <v>6.7301660455144727</v>
      </c>
      <c r="AM363" s="48">
        <f t="shared" si="549"/>
        <v>6.6856310420928118</v>
      </c>
      <c r="AN363" s="48">
        <f t="shared" si="549"/>
        <v>6.6413648416103417</v>
      </c>
      <c r="AO363" s="48">
        <f t="shared" si="549"/>
        <v>6.5973661313209515</v>
      </c>
      <c r="AP363" s="48">
        <f t="shared" si="549"/>
        <v>6.5536336010481975</v>
      </c>
      <c r="AQ363" s="48">
        <f t="shared" si="549"/>
        <v>6.510165943234048</v>
      </c>
      <c r="AR363" s="48">
        <f t="shared" si="549"/>
        <v>6.4669618529867456</v>
      </c>
      <c r="AS363" s="48">
        <f t="shared" si="549"/>
        <v>6.424020028127873</v>
      </c>
      <c r="AT363" s="48">
        <f t="shared" si="549"/>
        <v>6.3813391692385579</v>
      </c>
      <c r="AU363" s="48">
        <f t="shared" si="549"/>
        <v>6.3389179797048296</v>
      </c>
      <c r="AV363" s="48">
        <f t="shared" si="549"/>
        <v>6.296755165762205</v>
      </c>
      <c r="AW363" s="48">
        <f t="shared" si="549"/>
        <v>6.254849436539403</v>
      </c>
      <c r="AX363" s="48">
        <f t="shared" si="549"/>
        <v>6.2131995041013006</v>
      </c>
      <c r="AY363" s="48">
        <f t="shared" si="549"/>
        <v>6.1718040834910441</v>
      </c>
      <c r="AZ363" s="48">
        <f t="shared" si="549"/>
        <v>6.1306618927713981</v>
      </c>
      <c r="BA363" s="459">
        <f t="shared" si="549"/>
        <v>6.089771653065287</v>
      </c>
    </row>
    <row r="364" spans="19:54" ht="20.100000000000001" customHeight="1">
      <c r="S364" s="504"/>
      <c r="T364" s="452" t="s">
        <v>127</v>
      </c>
      <c r="U364" s="51"/>
      <c r="V364" s="51"/>
      <c r="W364" s="51"/>
      <c r="X364" s="48"/>
      <c r="Y364" s="48">
        <f t="shared" ref="Y364:BA364" si="550">IF(AND(Y362&gt;($F$177+2020),Y362&lt;($G$177+2022)),($G$170-INDEX($Y$363:$BA$363,1,($F$177-1)))/($G$177-$F$177+1),0)</f>
        <v>0</v>
      </c>
      <c r="Z364" s="48">
        <f t="shared" si="550"/>
        <v>0</v>
      </c>
      <c r="AA364" s="48">
        <f t="shared" si="550"/>
        <v>0</v>
      </c>
      <c r="AB364" s="48">
        <f t="shared" si="550"/>
        <v>13.784037698885369</v>
      </c>
      <c r="AC364" s="48">
        <f t="shared" si="550"/>
        <v>13.784037698885369</v>
      </c>
      <c r="AD364" s="48">
        <f t="shared" si="550"/>
        <v>13.784037698885369</v>
      </c>
      <c r="AE364" s="48">
        <f t="shared" si="550"/>
        <v>13.784037698885369</v>
      </c>
      <c r="AF364" s="48">
        <f t="shared" si="550"/>
        <v>13.784037698885369</v>
      </c>
      <c r="AG364" s="48">
        <f t="shared" si="550"/>
        <v>13.784037698885369</v>
      </c>
      <c r="AH364" s="48">
        <f t="shared" si="550"/>
        <v>0</v>
      </c>
      <c r="AI364" s="48">
        <f t="shared" si="550"/>
        <v>0</v>
      </c>
      <c r="AJ364" s="48">
        <f t="shared" si="550"/>
        <v>0</v>
      </c>
      <c r="AK364" s="48">
        <f t="shared" si="550"/>
        <v>0</v>
      </c>
      <c r="AL364" s="48">
        <f t="shared" si="550"/>
        <v>0</v>
      </c>
      <c r="AM364" s="48">
        <f t="shared" si="550"/>
        <v>0</v>
      </c>
      <c r="AN364" s="48">
        <f t="shared" si="550"/>
        <v>0</v>
      </c>
      <c r="AO364" s="48">
        <f t="shared" si="550"/>
        <v>0</v>
      </c>
      <c r="AP364" s="48">
        <f t="shared" si="550"/>
        <v>0</v>
      </c>
      <c r="AQ364" s="48">
        <f t="shared" si="550"/>
        <v>0</v>
      </c>
      <c r="AR364" s="48">
        <f t="shared" si="550"/>
        <v>0</v>
      </c>
      <c r="AS364" s="48">
        <f t="shared" si="550"/>
        <v>0</v>
      </c>
      <c r="AT364" s="48">
        <f t="shared" si="550"/>
        <v>0</v>
      </c>
      <c r="AU364" s="48">
        <f t="shared" si="550"/>
        <v>0</v>
      </c>
      <c r="AV364" s="48">
        <f t="shared" si="550"/>
        <v>0</v>
      </c>
      <c r="AW364" s="48">
        <f t="shared" si="550"/>
        <v>0</v>
      </c>
      <c r="AX364" s="48">
        <f t="shared" si="550"/>
        <v>0</v>
      </c>
      <c r="AY364" s="48">
        <f t="shared" si="550"/>
        <v>0</v>
      </c>
      <c r="AZ364" s="48">
        <f t="shared" si="550"/>
        <v>0</v>
      </c>
      <c r="BA364" s="48">
        <f t="shared" si="550"/>
        <v>0</v>
      </c>
    </row>
    <row r="365" spans="19:54" ht="20.100000000000001" customHeight="1">
      <c r="S365" s="504"/>
      <c r="T365" s="841" t="s">
        <v>132</v>
      </c>
      <c r="U365" s="842"/>
      <c r="V365" s="842"/>
      <c r="W365" s="842"/>
      <c r="X365" s="48"/>
      <c r="Y365" s="843">
        <f>IF(AND(Y362&gt;($F$177+2020),Y362&lt;($G$177+2022)),Y363+Y364,Y363)</f>
        <v>7.4117732462321948</v>
      </c>
      <c r="Z365" s="843">
        <f>IF(AND(Z362&gt;($F$177+2020),Z362&lt;($G$177+2022)),Y365+Z364,Y365*(IF(Y363=0,1,Z363/Y363)))</f>
        <v>7.353580973796003</v>
      </c>
      <c r="AA365" s="843">
        <f t="shared" ref="AA365:AC365" si="551">IF(AND(AA362&gt;($F$177+2020),AA362&lt;($G$177+2022)),Z365+AA364,Z365*(IF(Z363=0,1,AA363/Z363)))</f>
        <v>7.2957738066877944</v>
      </c>
      <c r="AB365" s="843">
        <f t="shared" si="551"/>
        <v>21.079811505573161</v>
      </c>
      <c r="AC365" s="843">
        <f t="shared" si="551"/>
        <v>34.863849204458532</v>
      </c>
      <c r="AD365" s="843">
        <f t="shared" ref="AD365" si="552">IF(AND(AD362&gt;($F$177+2020),AD362&lt;($G$177+2022)),AC365+AD364,AC365*(IF(AC363=0,1,AD363/AC363)))</f>
        <v>48.647886903343903</v>
      </c>
      <c r="AE365" s="843">
        <f t="shared" ref="AE365:AF365" si="553">IF(AND(AE362&gt;($F$177+2020),AE362&lt;($G$177+2022)),AD365+AE364,AD365*(IF(AD363=0,1,AE363/AD363)))</f>
        <v>62.431924602229273</v>
      </c>
      <c r="AF365" s="843">
        <f t="shared" si="553"/>
        <v>76.215962301114644</v>
      </c>
      <c r="AG365" s="843">
        <f t="shared" ref="AG365" si="554">IF(AND(AG362&gt;($F$177+2020),AG362&lt;($G$177+2022)),AF365+AG364,AF365*(IF(AF363=0,1,AG363/AF363)))</f>
        <v>90.000000000000014</v>
      </c>
      <c r="AH365" s="843">
        <f t="shared" ref="AH365:AI365" si="555">IF(AND(AH362&gt;($F$177+2020),AH362&lt;($G$177+2022)),AG365+AH364,AG365*(IF(AG363=0,1,AH363/AG363)))</f>
        <v>89.406218258242134</v>
      </c>
      <c r="AI365" s="843">
        <f t="shared" si="555"/>
        <v>88.815999345027194</v>
      </c>
      <c r="AJ365" s="843">
        <f t="shared" ref="AJ365" si="556">IF(AND(AJ362&gt;($F$177+2020),AJ362&lt;($G$177+2022)),AI365+AJ364,AI365*(IF(AI363=0,1,AJ363/AI363)))</f>
        <v>88.229326121304396</v>
      </c>
      <c r="AK365" s="843">
        <f t="shared" ref="AK365:AL365" si="557">IF(AND(AK362&gt;($F$177+2020),AK362&lt;($G$177+2022)),AJ365+AK364,AJ365*(IF(AJ363=0,1,AK363/AJ363)))</f>
        <v>87.646181477945845</v>
      </c>
      <c r="AL365" s="843">
        <f t="shared" si="557"/>
        <v>87.066548336433598</v>
      </c>
      <c r="AM365" s="843">
        <f t="shared" ref="AM365" si="558">IF(AND(AM362&gt;($F$177+2020),AM362&lt;($G$177+2022)),AL365+AM364,AL365*(IF(AL363=0,1,AM363/AL363)))</f>
        <v>86.490409649534556</v>
      </c>
      <c r="AN365" s="843">
        <f t="shared" ref="AN365:AO365" si="559">IF(AND(AN362&gt;($F$177+2020),AN362&lt;($G$177+2022)),AM365+AN364,AM365*(IF(AM363=0,1,AN363/AM363)))</f>
        <v>85.917748401964602</v>
      </c>
      <c r="AO365" s="843">
        <f t="shared" si="559"/>
        <v>85.348547611041312</v>
      </c>
      <c r="AP365" s="843">
        <f t="shared" ref="AP365" si="560">IF(AND(AP362&gt;($F$177+2020),AP362&lt;($G$177+2022)),AO365+AP364,AO365*(IF(AO363=0,1,AP363/AO363)))</f>
        <v>84.782790327325415</v>
      </c>
      <c r="AQ365" s="843">
        <f t="shared" ref="AQ365:AR365" si="561">IF(AND(AQ362&gt;($F$177+2020),AQ362&lt;($G$177+2022)),AP365+AQ364,AP365*(IF(AP363=0,1,AQ363/AP363)))</f>
        <v>84.220459635251402</v>
      </c>
      <c r="AR365" s="843">
        <f t="shared" si="561"/>
        <v>83.661538653746732</v>
      </c>
      <c r="AS365" s="843">
        <f t="shared" ref="AS365" si="562">IF(AND(AS362&gt;($F$177+2020),AS362&lt;($G$177+2022)),AR365+AS364,AR365*(IF(AR363=0,1,AS363/AR363)))</f>
        <v>83.106010536840685</v>
      </c>
      <c r="AT365" s="843">
        <f t="shared" ref="AT365:AU365" si="563">IF(AND(AT362&gt;($F$177+2020),AT362&lt;($G$177+2022)),AS365+AT364,AS365*(IF(AS363=0,1,AT363/AS363)))</f>
        <v>82.553858474262114</v>
      </c>
      <c r="AU365" s="843">
        <f t="shared" si="563"/>
        <v>82.005065692026236</v>
      </c>
      <c r="AV365" s="843">
        <f t="shared" ref="AV365" si="564">IF(AND(AV362&gt;($F$177+2020),AV362&lt;($G$177+2022)),AU365+AV364,AU365*(IF(AU363=0,1,AV363/AU363)))</f>
        <v>81.459615453011381</v>
      </c>
      <c r="AW365" s="843">
        <f t="shared" ref="AW365:AX365" si="565">IF(AND(AW362&gt;($F$177+2020),AW362&lt;($G$177+2022)),AV365+AW364,AV365*(IF(AV363=0,1,AW363/AV363)))</f>
        <v>80.917491057524543</v>
      </c>
      <c r="AX365" s="843">
        <f t="shared" si="565"/>
        <v>80.378675843857096</v>
      </c>
      <c r="AY365" s="843">
        <f t="shared" ref="AY365" si="566">IF(AND(AY362&gt;($F$177+2020),AY362&lt;($G$177+2022)),AX365+AY364,AX365*(IF(AX363=0,1,AY363/AX363)))</f>
        <v>79.843153188829589</v>
      </c>
      <c r="AZ365" s="843">
        <f t="shared" ref="AZ365:BA365" si="567">IF(AND(AZ362&gt;($F$177+2020),AZ362&lt;($G$177+2022)),AY365+AZ364,AY365*(IF(AY363=0,1,AZ363/AY363)))</f>
        <v>79.310906508326624</v>
      </c>
      <c r="BA365" s="843">
        <f t="shared" si="567"/>
        <v>78.781919257821372</v>
      </c>
    </row>
    <row r="366" spans="19:54" ht="20.100000000000001" customHeight="1">
      <c r="S366" s="504" t="str">
        <f>S355</f>
        <v>METRO</v>
      </c>
      <c r="T366" s="452" t="s">
        <v>131</v>
      </c>
      <c r="U366" s="51"/>
      <c r="V366" s="51"/>
      <c r="W366" s="51"/>
      <c r="X366" s="48"/>
      <c r="Y366" s="48">
        <f t="shared" ref="Y366:BA366" si="568">Y355</f>
        <v>48.737686405289452</v>
      </c>
      <c r="Z366" s="48">
        <f t="shared" si="568"/>
        <v>48.690829604974461</v>
      </c>
      <c r="AA366" s="48">
        <f t="shared" si="568"/>
        <v>48.643539261065904</v>
      </c>
      <c r="AB366" s="48">
        <f t="shared" si="568"/>
        <v>48.595817606456258</v>
      </c>
      <c r="AC366" s="48">
        <f t="shared" si="568"/>
        <v>48.54766687870034</v>
      </c>
      <c r="AD366" s="48">
        <f t="shared" si="568"/>
        <v>48.499089319897969</v>
      </c>
      <c r="AE366" s="48">
        <f t="shared" si="568"/>
        <v>48.450087176577561</v>
      </c>
      <c r="AF366" s="48">
        <f t="shared" si="568"/>
        <v>48.400662699580828</v>
      </c>
      <c r="AG366" s="48">
        <f t="shared" si="568"/>
        <v>48.35081814394826</v>
      </c>
      <c r="AH366" s="48">
        <f t="shared" si="568"/>
        <v>48.413403475025355</v>
      </c>
      <c r="AI366" s="48">
        <f t="shared" si="568"/>
        <v>48.475876225846484</v>
      </c>
      <c r="AJ366" s="48">
        <f t="shared" si="568"/>
        <v>48.538236677478416</v>
      </c>
      <c r="AK366" s="48">
        <f t="shared" si="568"/>
        <v>48.600485112068867</v>
      </c>
      <c r="AL366" s="48">
        <f t="shared" si="568"/>
        <v>48.662621812815068</v>
      </c>
      <c r="AM366" s="48">
        <f t="shared" si="568"/>
        <v>48.724647063932416</v>
      </c>
      <c r="AN366" s="48">
        <f t="shared" si="568"/>
        <v>48.786561150623612</v>
      </c>
      <c r="AO366" s="48">
        <f t="shared" si="568"/>
        <v>48.848364359048055</v>
      </c>
      <c r="AP366" s="48">
        <f t="shared" si="568"/>
        <v>48.910056976291507</v>
      </c>
      <c r="AQ366" s="48">
        <f t="shared" si="568"/>
        <v>48.971639290336157</v>
      </c>
      <c r="AR366" s="48">
        <f t="shared" si="568"/>
        <v>49.033111590030892</v>
      </c>
      <c r="AS366" s="48">
        <f t="shared" si="568"/>
        <v>49.094474165061968</v>
      </c>
      <c r="AT366" s="48">
        <f t="shared" si="568"/>
        <v>49.155727305923904</v>
      </c>
      <c r="AU366" s="48">
        <f t="shared" si="568"/>
        <v>49.216871303890755</v>
      </c>
      <c r="AV366" s="48">
        <f t="shared" si="568"/>
        <v>49.277906450987686</v>
      </c>
      <c r="AW366" s="48">
        <f t="shared" si="568"/>
        <v>49.338833039962729</v>
      </c>
      <c r="AX366" s="48">
        <f t="shared" si="568"/>
        <v>49.399651364259093</v>
      </c>
      <c r="AY366" s="48">
        <f t="shared" si="568"/>
        <v>49.460361717987453</v>
      </c>
      <c r="AZ366" s="48">
        <f t="shared" si="568"/>
        <v>49.520964395898844</v>
      </c>
      <c r="BA366" s="459">
        <f t="shared" si="568"/>
        <v>49.581459693357644</v>
      </c>
    </row>
    <row r="367" spans="19:54" ht="20.100000000000001" customHeight="1">
      <c r="S367" s="504"/>
      <c r="T367" s="452" t="s">
        <v>127</v>
      </c>
      <c r="U367" s="51"/>
      <c r="V367" s="51"/>
      <c r="W367" s="51"/>
      <c r="X367" s="48"/>
      <c r="Y367" s="48">
        <f t="shared" ref="Y367:BA367" si="569">IF(AND(Y362&gt;($F$177+2020),Y362&lt;($G$177+2022)),($G$171-INDEX($Y$366:$BA$366,1,($F$177-1)))/($G$177-$F$177+1),0)</f>
        <v>0</v>
      </c>
      <c r="Z367" s="48">
        <f t="shared" si="569"/>
        <v>0</v>
      </c>
      <c r="AA367" s="48">
        <f t="shared" si="569"/>
        <v>0</v>
      </c>
      <c r="AB367" s="48">
        <f t="shared" si="569"/>
        <v>-8.1072565435109833</v>
      </c>
      <c r="AC367" s="48">
        <f t="shared" si="569"/>
        <v>-8.1072565435109833</v>
      </c>
      <c r="AD367" s="48">
        <f t="shared" si="569"/>
        <v>-8.1072565435109833</v>
      </c>
      <c r="AE367" s="48">
        <f t="shared" si="569"/>
        <v>-8.1072565435109833</v>
      </c>
      <c r="AF367" s="48">
        <f t="shared" si="569"/>
        <v>-8.1072565435109833</v>
      </c>
      <c r="AG367" s="48">
        <f t="shared" si="569"/>
        <v>-8.1072565435109833</v>
      </c>
      <c r="AH367" s="48">
        <f t="shared" si="569"/>
        <v>0</v>
      </c>
      <c r="AI367" s="48">
        <f t="shared" si="569"/>
        <v>0</v>
      </c>
      <c r="AJ367" s="48">
        <f t="shared" si="569"/>
        <v>0</v>
      </c>
      <c r="AK367" s="48">
        <f t="shared" si="569"/>
        <v>0</v>
      </c>
      <c r="AL367" s="48">
        <f t="shared" si="569"/>
        <v>0</v>
      </c>
      <c r="AM367" s="48">
        <f t="shared" si="569"/>
        <v>0</v>
      </c>
      <c r="AN367" s="48">
        <f t="shared" si="569"/>
        <v>0</v>
      </c>
      <c r="AO367" s="48">
        <f t="shared" si="569"/>
        <v>0</v>
      </c>
      <c r="AP367" s="48">
        <f t="shared" si="569"/>
        <v>0</v>
      </c>
      <c r="AQ367" s="48">
        <f t="shared" si="569"/>
        <v>0</v>
      </c>
      <c r="AR367" s="48">
        <f t="shared" si="569"/>
        <v>0</v>
      </c>
      <c r="AS367" s="48">
        <f t="shared" si="569"/>
        <v>0</v>
      </c>
      <c r="AT367" s="48">
        <f t="shared" si="569"/>
        <v>0</v>
      </c>
      <c r="AU367" s="48">
        <f t="shared" si="569"/>
        <v>0</v>
      </c>
      <c r="AV367" s="48">
        <f t="shared" si="569"/>
        <v>0</v>
      </c>
      <c r="AW367" s="48">
        <f t="shared" si="569"/>
        <v>0</v>
      </c>
      <c r="AX367" s="48">
        <f t="shared" si="569"/>
        <v>0</v>
      </c>
      <c r="AY367" s="48">
        <f t="shared" si="569"/>
        <v>0</v>
      </c>
      <c r="AZ367" s="48">
        <f t="shared" si="569"/>
        <v>0</v>
      </c>
      <c r="BA367" s="48">
        <f t="shared" si="569"/>
        <v>0</v>
      </c>
    </row>
    <row r="368" spans="19:54" ht="20.100000000000001" customHeight="1">
      <c r="S368" s="504"/>
      <c r="T368" s="452" t="s">
        <v>132</v>
      </c>
      <c r="U368" s="51"/>
      <c r="V368" s="51"/>
      <c r="W368" s="51"/>
      <c r="X368" s="48"/>
      <c r="Y368" s="843">
        <f>IF(AND(Y362&gt;($F$177+2020),Y362&lt;($G$177+2022)),Y366+Y367,Y366)</f>
        <v>48.737686405289452</v>
      </c>
      <c r="Z368" s="843">
        <f>IF(AND(Z362&gt;($F$177+2020),Z362&lt;($G$177+2022)),Y368+Z367,Y368*IF(Y366=0,1,(Z366/Y366)))</f>
        <v>48.690829604974461</v>
      </c>
      <c r="AA368" s="843">
        <f t="shared" ref="AA368:AN368" si="570">IF(AND(AA362&gt;($F$177+2020),AA362&lt;($G$177+2022)),Z368+AA367,Z368*IF(Z366=0,1,(AA366/Z366)))</f>
        <v>48.643539261065904</v>
      </c>
      <c r="AB368" s="843">
        <f t="shared" si="570"/>
        <v>40.536282717554919</v>
      </c>
      <c r="AC368" s="843">
        <f t="shared" si="570"/>
        <v>32.429026174043933</v>
      </c>
      <c r="AD368" s="843">
        <f t="shared" si="570"/>
        <v>24.321769630532948</v>
      </c>
      <c r="AE368" s="843">
        <f t="shared" si="570"/>
        <v>16.214513087021963</v>
      </c>
      <c r="AF368" s="843">
        <f t="shared" si="570"/>
        <v>8.1072565435109798</v>
      </c>
      <c r="AG368" s="843">
        <f t="shared" si="570"/>
        <v>-3.5527136788005009E-15</v>
      </c>
      <c r="AH368" s="843">
        <f t="shared" si="570"/>
        <v>-3.55731231374289E-15</v>
      </c>
      <c r="AI368" s="843">
        <f t="shared" si="570"/>
        <v>-3.5619026765312453E-15</v>
      </c>
      <c r="AJ368" s="843">
        <f t="shared" si="570"/>
        <v>-3.5664847878177467E-15</v>
      </c>
      <c r="AK368" s="843">
        <f t="shared" si="570"/>
        <v>-3.5710586683339979E-15</v>
      </c>
      <c r="AL368" s="843">
        <f t="shared" si="570"/>
        <v>-3.5756243388887201E-15</v>
      </c>
      <c r="AM368" s="843">
        <f t="shared" si="570"/>
        <v>-3.5801818203654471E-15</v>
      </c>
      <c r="AN368" s="843">
        <f t="shared" si="570"/>
        <v>-3.584731133720257E-15</v>
      </c>
      <c r="AO368" s="843">
        <f>IF(AND(AO362&gt;($F$177+2020),AO362&lt;($G$177+2022)),AN368+AO367,AN368*IF(AN366=0,1,(AO366/AN366)))</f>
        <v>-3.5892722999795247E-15</v>
      </c>
      <c r="AP368" s="843">
        <f t="shared" ref="AP368" si="571">IF(AND(AP362&gt;($F$177+2020),AP362&lt;($G$177+2022)),AO368+AP367,AO368*IF(AO366=0,1,(AP366/AO366)))</f>
        <v>-3.5938053402376916E-15</v>
      </c>
      <c r="AQ368" s="843">
        <f t="shared" ref="AQ368" si="572">IF(AND(AQ362&gt;($F$177+2020),AQ362&lt;($G$177+2022)),AP368+AQ367,AP368*IF(AP366=0,1,(AQ366/AP366)))</f>
        <v>-3.5983302756550663E-15</v>
      </c>
      <c r="AR368" s="843">
        <f t="shared" ref="AR368" si="573">IF(AND(AR362&gt;($F$177+2020),AR362&lt;($G$177+2022)),AQ368+AR367,AQ368*IF(AQ366=0,1,(AR366/AQ366)))</f>
        <v>-3.6028471274556422E-15</v>
      </c>
      <c r="AS368" s="843">
        <f t="shared" ref="AS368" si="574">IF(AND(AS362&gt;($F$177+2020),AS362&lt;($G$177+2022)),AR368+AS367,AR368*IF(AR366=0,1,(AS366/AR366)))</f>
        <v>-3.6073559169249392E-15</v>
      </c>
      <c r="AT368" s="843">
        <f t="shared" ref="AT368" si="575">IF(AND(AT362&gt;($F$177+2020),AT362&lt;($G$177+2022)),AS368+AT367,AS368*IF(AS366=0,1,(AT366/AS366)))</f>
        <v>-3.6118566654078672E-15</v>
      </c>
      <c r="AU368" s="843">
        <f t="shared" ref="AU368" si="576">IF(AND(AU362&gt;($F$177+2020),AU362&lt;($G$177+2022)),AT368+AU367,AT368*IF(AT366=0,1,(AU366/AT366)))</f>
        <v>-3.6163493943066139E-15</v>
      </c>
      <c r="AV368" s="843">
        <f t="shared" ref="AV368" si="577">IF(AND(AV362&gt;($F$177+2020),AV362&lt;($G$177+2022)),AU368+AV367,AU368*IF(AU366=0,1,(AV366/AU366)))</f>
        <v>-3.6208341250785589E-15</v>
      </c>
      <c r="AW368" s="843">
        <f t="shared" ref="AW368" si="578">IF(AND(AW362&gt;($F$177+2020),AW362&lt;($G$177+2022)),AV368+AW367,AV368*IF(AV366=0,1,(AW366/AV366)))</f>
        <v>-3.6253108792341947E-15</v>
      </c>
      <c r="AX368" s="843">
        <f t="shared" ref="AX368" si="579">IF(AND(AX362&gt;($F$177+2020),AX362&lt;($G$177+2022)),AW368+AX367,AW368*IF(AW366=0,1,(AX366/AW366)))</f>
        <v>-3.6297796783350945E-15</v>
      </c>
      <c r="AY368" s="843">
        <f t="shared" ref="AY368" si="580">IF(AND(AY362&gt;($F$177+2020),AY362&lt;($G$177+2022)),AX368+AY367,AX368*IF(AX366=0,1,(AY366/AX366)))</f>
        <v>-3.6342405439918748E-15</v>
      </c>
      <c r="AZ368" s="843">
        <f t="shared" ref="AZ368" si="581">IF(AND(AZ362&gt;($F$177+2020),AZ362&lt;($G$177+2022)),AY368+AZ367,AY368*IF(AY366=0,1,(AZ366/AY366)))</f>
        <v>-3.6386934978622052E-15</v>
      </c>
      <c r="BA368" s="843">
        <f t="shared" ref="BA368" si="582">IF(AND(BA362&gt;($F$177+2020),BA362&lt;($G$177+2022)),AZ368+BA367,AZ368*IF(AZ366=0,1,(BA366/AZ366)))</f>
        <v>-3.6431385616488224E-15</v>
      </c>
    </row>
    <row r="369" spans="19:53" ht="20.100000000000001" customHeight="1">
      <c r="S369" s="504" t="str">
        <f>S356</f>
        <v>TRAM</v>
      </c>
      <c r="T369" s="452" t="s">
        <v>131</v>
      </c>
      <c r="U369" s="51"/>
      <c r="V369" s="51"/>
      <c r="W369" s="51"/>
      <c r="X369" s="48"/>
      <c r="Y369" s="48">
        <f t="shared" ref="Y369:BA369" si="583">Y356</f>
        <v>10.358239049679396</v>
      </c>
      <c r="Z369" s="48">
        <f t="shared" si="583"/>
        <v>10.348280556066678</v>
      </c>
      <c r="AA369" s="48">
        <f t="shared" si="583"/>
        <v>10.338229921268939</v>
      </c>
      <c r="AB369" s="48">
        <f t="shared" si="583"/>
        <v>10.328087619843664</v>
      </c>
      <c r="AC369" s="48">
        <f t="shared" si="583"/>
        <v>10.317854127339237</v>
      </c>
      <c r="AD369" s="48">
        <f t="shared" si="583"/>
        <v>10.307529920269973</v>
      </c>
      <c r="AE369" s="48">
        <f t="shared" si="583"/>
        <v>10.297115476091424</v>
      </c>
      <c r="AF369" s="48">
        <f t="shared" si="583"/>
        <v>10.286611273175835</v>
      </c>
      <c r="AG369" s="48">
        <f t="shared" si="583"/>
        <v>10.276017790787815</v>
      </c>
      <c r="AH369" s="48">
        <f t="shared" si="583"/>
        <v>10.279181814859948</v>
      </c>
      <c r="AI369" s="48">
        <f t="shared" si="583"/>
        <v>10.282305750262854</v>
      </c>
      <c r="AJ369" s="48">
        <f t="shared" si="583"/>
        <v>10.285389756003333</v>
      </c>
      <c r="AK369" s="48">
        <f t="shared" si="583"/>
        <v>10.28843399090208</v>
      </c>
      <c r="AL369" s="48">
        <f t="shared" si="583"/>
        <v>10.291438613586759</v>
      </c>
      <c r="AM369" s="48">
        <f t="shared" si="583"/>
        <v>10.294403782485162</v>
      </c>
      <c r="AN369" s="48">
        <f t="shared" si="583"/>
        <v>10.297329655818489</v>
      </c>
      <c r="AO369" s="48">
        <f t="shared" si="583"/>
        <v>10.300216391594724</v>
      </c>
      <c r="AP369" s="48">
        <f t="shared" si="583"/>
        <v>10.303064147602123</v>
      </c>
      <c r="AQ369" s="48">
        <f t="shared" si="583"/>
        <v>10.305873081402808</v>
      </c>
      <c r="AR369" s="48">
        <f t="shared" si="583"/>
        <v>10.308643350326452</v>
      </c>
      <c r="AS369" s="48">
        <f t="shared" si="583"/>
        <v>10.311375111464084</v>
      </c>
      <c r="AT369" s="48">
        <f t="shared" si="583"/>
        <v>10.314068521661985</v>
      </c>
      <c r="AU369" s="48">
        <f t="shared" si="583"/>
        <v>10.316723737515678</v>
      </c>
      <c r="AV369" s="48">
        <f t="shared" si="583"/>
        <v>10.31934091536405</v>
      </c>
      <c r="AW369" s="48">
        <f t="shared" si="583"/>
        <v>10.321920211283528</v>
      </c>
      <c r="AX369" s="48">
        <f t="shared" si="583"/>
        <v>10.324461781082404</v>
      </c>
      <c r="AY369" s="48">
        <f t="shared" si="583"/>
        <v>10.3269657802952</v>
      </c>
      <c r="AZ369" s="48">
        <f t="shared" si="583"/>
        <v>10.329432364177192</v>
      </c>
      <c r="BA369" s="459">
        <f t="shared" si="583"/>
        <v>10.331861687698993</v>
      </c>
    </row>
    <row r="370" spans="19:53" ht="20.100000000000001" customHeight="1">
      <c r="S370" s="504"/>
      <c r="T370" s="452" t="s">
        <v>127</v>
      </c>
      <c r="U370" s="51"/>
      <c r="V370" s="51"/>
      <c r="W370" s="51"/>
      <c r="X370" s="48"/>
      <c r="Y370" s="48">
        <f t="shared" ref="Y370:BA370" si="584">IF(AND(Y362&gt;($F$177+2020),Y362&lt;($G$177+2022)),($G$172-INDEX($Y$369:$BA$369,1,($F$177-1)))/($G$177-$F$177+1),0)</f>
        <v>0</v>
      </c>
      <c r="Z370" s="48">
        <f t="shared" si="584"/>
        <v>0</v>
      </c>
      <c r="AA370" s="48">
        <f t="shared" si="584"/>
        <v>0</v>
      </c>
      <c r="AB370" s="48">
        <f t="shared" si="584"/>
        <v>-1.7230383202114898</v>
      </c>
      <c r="AC370" s="48">
        <f t="shared" si="584"/>
        <v>-1.7230383202114898</v>
      </c>
      <c r="AD370" s="48">
        <f t="shared" si="584"/>
        <v>-1.7230383202114898</v>
      </c>
      <c r="AE370" s="48">
        <f t="shared" si="584"/>
        <v>-1.7230383202114898</v>
      </c>
      <c r="AF370" s="48">
        <f t="shared" si="584"/>
        <v>-1.7230383202114898</v>
      </c>
      <c r="AG370" s="48">
        <f t="shared" si="584"/>
        <v>-1.7230383202114898</v>
      </c>
      <c r="AH370" s="48">
        <f t="shared" si="584"/>
        <v>0</v>
      </c>
      <c r="AI370" s="48">
        <f t="shared" si="584"/>
        <v>0</v>
      </c>
      <c r="AJ370" s="48">
        <f t="shared" si="584"/>
        <v>0</v>
      </c>
      <c r="AK370" s="48">
        <f t="shared" si="584"/>
        <v>0</v>
      </c>
      <c r="AL370" s="48">
        <f t="shared" si="584"/>
        <v>0</v>
      </c>
      <c r="AM370" s="48">
        <f t="shared" si="584"/>
        <v>0</v>
      </c>
      <c r="AN370" s="48">
        <f t="shared" si="584"/>
        <v>0</v>
      </c>
      <c r="AO370" s="48">
        <f t="shared" si="584"/>
        <v>0</v>
      </c>
      <c r="AP370" s="48">
        <f t="shared" si="584"/>
        <v>0</v>
      </c>
      <c r="AQ370" s="48">
        <f t="shared" si="584"/>
        <v>0</v>
      </c>
      <c r="AR370" s="48">
        <f t="shared" si="584"/>
        <v>0</v>
      </c>
      <c r="AS370" s="48">
        <f t="shared" si="584"/>
        <v>0</v>
      </c>
      <c r="AT370" s="48">
        <f t="shared" si="584"/>
        <v>0</v>
      </c>
      <c r="AU370" s="48">
        <f t="shared" si="584"/>
        <v>0</v>
      </c>
      <c r="AV370" s="48">
        <f t="shared" si="584"/>
        <v>0</v>
      </c>
      <c r="AW370" s="48">
        <f t="shared" si="584"/>
        <v>0</v>
      </c>
      <c r="AX370" s="48">
        <f t="shared" si="584"/>
        <v>0</v>
      </c>
      <c r="AY370" s="48">
        <f t="shared" si="584"/>
        <v>0</v>
      </c>
      <c r="AZ370" s="48">
        <f t="shared" si="584"/>
        <v>0</v>
      </c>
      <c r="BA370" s="48">
        <f t="shared" si="584"/>
        <v>0</v>
      </c>
    </row>
    <row r="371" spans="19:53" ht="20.100000000000001" customHeight="1">
      <c r="S371" s="504"/>
      <c r="T371" s="452" t="s">
        <v>132</v>
      </c>
      <c r="U371" s="51"/>
      <c r="V371" s="51"/>
      <c r="W371" s="51"/>
      <c r="X371" s="48"/>
      <c r="Y371" s="843">
        <f>IF(AND(Y362&gt;($F$177+2020),Y362&lt;($G$177+2022)),Y369+Y370,Y369)</f>
        <v>10.358239049679396</v>
      </c>
      <c r="Z371" s="843">
        <f>IF(AND(Z362&gt;($F$177+2020),Z362&lt;($G$177+2022)),Y371+Z370,Y371*IF(Y369=0,1,(Z369/Y369)))</f>
        <v>10.348280556066678</v>
      </c>
      <c r="AA371" s="843">
        <f t="shared" ref="AA371:AC371" si="585">IF(AND(AA362&gt;($F$177+2020),AA362&lt;($G$177+2022)),Z371+AA370,Z371*IF(Z369=0,1,(AA369/Z369)))</f>
        <v>10.338229921268939</v>
      </c>
      <c r="AB371" s="843">
        <f t="shared" si="585"/>
        <v>8.6151916010574485</v>
      </c>
      <c r="AC371" s="843">
        <f t="shared" si="585"/>
        <v>6.8921532808459585</v>
      </c>
      <c r="AD371" s="843">
        <f t="shared" ref="AD371" si="586">IF(AND(AD362&gt;($F$177+2020),AD362&lt;($G$177+2022)),AC371+AD370,AC371*IF(AC369=0,1,(AD369/AC369)))</f>
        <v>5.1691149606344684</v>
      </c>
      <c r="AE371" s="843">
        <f t="shared" ref="AE371:AF371" si="587">IF(AND(AE362&gt;($F$177+2020),AE362&lt;($G$177+2022)),AD371+AE370,AD371*IF(AD369=0,1,(AE369/AD369)))</f>
        <v>3.4460766404229783</v>
      </c>
      <c r="AF371" s="843">
        <f t="shared" si="587"/>
        <v>1.7230383202114885</v>
      </c>
      <c r="AG371" s="843">
        <f t="shared" ref="AG371" si="588">IF(AND(AG362&gt;($F$177+2020),AG362&lt;($G$177+2022)),AF371+AG370,AF371*IF(AF369=0,1,(AG369/AF369)))</f>
        <v>-1.3322676295501878E-15</v>
      </c>
      <c r="AH371" s="843">
        <f t="shared" ref="AH371:AI371" si="589">IF(AND(AH362&gt;($F$177+2020),AH362&lt;($G$177+2022)),AG371+AH370,AG371*IF(AG369=0,1,(AH369/AG369)))</f>
        <v>-1.3326778397051565E-15</v>
      </c>
      <c r="AI371" s="843">
        <f t="shared" si="589"/>
        <v>-1.3330828524346816E-15</v>
      </c>
      <c r="AJ371" s="843">
        <f t="shared" ref="AJ371" si="590">IF(AND(AJ362&gt;($F$177+2020),AJ362&lt;($G$177+2022)),AI371+AJ370,AI371*IF(AI369=0,1,(AJ369/AI369)))</f>
        <v>-1.3334826883537156E-15</v>
      </c>
      <c r="AK371" s="843">
        <f t="shared" ref="AK371:AL371" si="591">IF(AND(AK362&gt;($F$177+2020),AK362&lt;($G$177+2022)),AJ371+AK370,AJ371*IF(AJ369=0,1,(AK369/AJ369)))</f>
        <v>-1.3338773680530814E-15</v>
      </c>
      <c r="AL371" s="843">
        <f t="shared" si="591"/>
        <v>-1.3342669120985771E-15</v>
      </c>
      <c r="AM371" s="843">
        <f t="shared" ref="AM371" si="592">IF(AND(AM362&gt;($F$177+2020),AM362&lt;($G$177+2022)),AL371+AM370,AL371*IF(AL369=0,1,(AM369/AL369)))</f>
        <v>-1.3346513410300871E-15</v>
      </c>
      <c r="AN371" s="843">
        <f t="shared" ref="AN371:AO371" si="593">IF(AND(AN362&gt;($F$177+2020),AN362&lt;($G$177+2022)),AM371+AN370,AM371*IF(AM369=0,1,(AN369/AM369)))</f>
        <v>-1.3350306753607118E-15</v>
      </c>
      <c r="AO371" s="843">
        <f t="shared" si="593"/>
        <v>-1.3354049355759082E-15</v>
      </c>
      <c r="AP371" s="843">
        <f t="shared" ref="AP371" si="594">IF(AND(AP362&gt;($F$177+2020),AP362&lt;($G$177+2022)),AO371+AP370,AO371*IF(AO369=0,1,(AP369/AO369)))</f>
        <v>-1.3357741421326463E-15</v>
      </c>
      <c r="AQ371" s="843">
        <f t="shared" ref="AQ371:AR371" si="595">IF(AND(AQ362&gt;($F$177+2020),AQ362&lt;($G$177+2022)),AP371+AQ370,AP371*IF(AP369=0,1,(AQ369/AP369)))</f>
        <v>-1.3361383154585778E-15</v>
      </c>
      <c r="AR371" s="843">
        <f t="shared" si="595"/>
        <v>-1.3364974759512183E-15</v>
      </c>
      <c r="AS371" s="843">
        <f>IF(AND(AS362&gt;($F$177+2020),AS362&lt;($G$177+2022)),AR371+AS370,AR371*IF(AR369=0,1,(AS369/AR369)))</f>
        <v>-1.336851643977143E-15</v>
      </c>
      <c r="AT371" s="843">
        <f t="shared" ref="AT371" si="596">IF(AND(AT362&gt;($F$177+2020),AT362&lt;($G$177+2022)),AS371+AT370,AS371*IF(AS369=0,1,(AT369/AS369)))</f>
        <v>-1.3372008398711965E-15</v>
      </c>
      <c r="AU371" s="843">
        <f t="shared" ref="AU371" si="597">IF(AND(AU362&gt;($F$177+2020),AU362&lt;($G$177+2022)),AT371+AU370,AT371*IF(AT369=0,1,(AU369/AT369)))</f>
        <v>-1.337545083935713E-15</v>
      </c>
      <c r="AV371" s="843">
        <f t="shared" ref="AV371" si="598">IF(AND(AV362&gt;($F$177+2020),AV362&lt;($G$177+2022)),AU371+AV370,AU371*IF(AU369=0,1,(AV369/AU369)))</f>
        <v>-1.3378843964397537E-15</v>
      </c>
      <c r="AW371" s="843">
        <f t="shared" ref="AW371" si="599">IF(AND(AW362&gt;($F$177+2020),AW362&lt;($G$177+2022)),AV371+AW370,AV371*IF(AV369=0,1,(AW369/AV369)))</f>
        <v>-1.3382187976183535E-15</v>
      </c>
      <c r="AX371" s="843">
        <f t="shared" ref="AX371" si="600">IF(AND(AX362&gt;($F$177+2020),AX362&lt;($G$177+2022)),AW371+AX370,AW371*IF(AW369=0,1,(AX369/AW369)))</f>
        <v>-1.3385483076717829E-15</v>
      </c>
      <c r="AY371" s="843">
        <f t="shared" ref="AY371" si="601">IF(AND(AY362&gt;($F$177+2020),AY362&lt;($G$177+2022)),AX371+AY370,AX371*IF(AX369=0,1,(AY369/AX369)))</f>
        <v>-1.3388729467648192E-15</v>
      </c>
      <c r="AZ371" s="843">
        <f t="shared" ref="AZ371" si="602">IF(AND(AZ362&gt;($F$177+2020),AZ362&lt;($G$177+2022)),AY371+AZ370,AY371*IF(AY369=0,1,(AZ369/AY369)))</f>
        <v>-1.3391927350260358E-15</v>
      </c>
      <c r="BA371" s="843">
        <f t="shared" ref="BA371" si="603">IF(AND(BA362&gt;($F$177+2020),BA362&lt;($G$177+2022)),AZ371+BA370,AZ371*IF(AZ369=0,1,(BA369/AZ369)))</f>
        <v>-1.3395076925471003E-15</v>
      </c>
    </row>
    <row r="372" spans="19:53" ht="20.100000000000001" customHeight="1">
      <c r="S372" s="504" t="str">
        <f>S357</f>
        <v>PASSENGER TRAIN</v>
      </c>
      <c r="T372" s="452" t="s">
        <v>131</v>
      </c>
      <c r="U372" s="51"/>
      <c r="V372" s="51"/>
      <c r="W372" s="51"/>
      <c r="X372" s="48"/>
      <c r="Y372" s="48">
        <f t="shared" ref="Y372:BA372" si="604">Y357</f>
        <v>3.580455440053941</v>
      </c>
      <c r="Z372" s="48">
        <f t="shared" si="604"/>
        <v>3.5770131616454792</v>
      </c>
      <c r="AA372" s="48">
        <f t="shared" si="604"/>
        <v>3.5735390334790047</v>
      </c>
      <c r="AB372" s="48">
        <f t="shared" si="604"/>
        <v>3.5700332195912758</v>
      </c>
      <c r="AC372" s="48">
        <f t="shared" si="604"/>
        <v>3.566495884361562</v>
      </c>
      <c r="AD372" s="48">
        <f t="shared" si="604"/>
        <v>3.5629271925030244</v>
      </c>
      <c r="AE372" s="48">
        <f t="shared" si="604"/>
        <v>3.5593273090541686</v>
      </c>
      <c r="AF372" s="48">
        <f t="shared" si="604"/>
        <v>3.5556963993703734</v>
      </c>
      <c r="AG372" s="48">
        <f t="shared" si="604"/>
        <v>3.5520346291154699</v>
      </c>
      <c r="AH372" s="48">
        <f t="shared" si="604"/>
        <v>3.5531283137801308</v>
      </c>
      <c r="AI372" s="48">
        <f t="shared" si="604"/>
        <v>3.5542081412927105</v>
      </c>
      <c r="AJ372" s="48">
        <f t="shared" si="604"/>
        <v>3.5552741666159049</v>
      </c>
      <c r="AK372" s="48">
        <f t="shared" si="604"/>
        <v>3.5563264446480827</v>
      </c>
      <c r="AL372" s="48">
        <f t="shared" si="604"/>
        <v>3.5573650302208875</v>
      </c>
      <c r="AM372" s="48">
        <f t="shared" si="604"/>
        <v>3.5583899780968777</v>
      </c>
      <c r="AN372" s="48">
        <f t="shared" si="604"/>
        <v>3.5594013429671971</v>
      </c>
      <c r="AO372" s="48">
        <f t="shared" si="604"/>
        <v>3.5603991794492909</v>
      </c>
      <c r="AP372" s="48">
        <f t="shared" si="604"/>
        <v>3.561383542084652</v>
      </c>
      <c r="AQ372" s="48">
        <f t="shared" si="604"/>
        <v>3.5623544853366065</v>
      </c>
      <c r="AR372" s="48">
        <f t="shared" si="604"/>
        <v>3.5633120635881324</v>
      </c>
      <c r="AS372" s="48">
        <f t="shared" si="604"/>
        <v>3.5642563311397168</v>
      </c>
      <c r="AT372" s="48">
        <f t="shared" si="604"/>
        <v>3.5651873422072455</v>
      </c>
      <c r="AU372" s="48">
        <f t="shared" si="604"/>
        <v>3.5661051509199306</v>
      </c>
      <c r="AV372" s="48">
        <f t="shared" si="604"/>
        <v>3.5670098113182709</v>
      </c>
      <c r="AW372" s="48">
        <f t="shared" si="604"/>
        <v>3.5679013773520452</v>
      </c>
      <c r="AX372" s="48">
        <f t="shared" si="604"/>
        <v>3.5687799028783447</v>
      </c>
      <c r="AY372" s="48">
        <f t="shared" si="604"/>
        <v>3.5696454416596324</v>
      </c>
      <c r="AZ372" s="48">
        <f t="shared" si="604"/>
        <v>3.5704980473618448</v>
      </c>
      <c r="BA372" s="459">
        <f t="shared" si="604"/>
        <v>3.5713377735525187</v>
      </c>
    </row>
    <row r="373" spans="19:53" ht="20.100000000000001" customHeight="1">
      <c r="S373" s="504"/>
      <c r="T373" s="452" t="s">
        <v>127</v>
      </c>
      <c r="U373" s="51"/>
      <c r="V373" s="51"/>
      <c r="W373" s="51"/>
      <c r="X373" s="48"/>
      <c r="Y373" s="48">
        <f t="shared" ref="Y373:BA373" si="605">IF(AND(Y362&gt;($F$177+2020),Y362&lt;($G$177+2022)),($G$173-INDEX($Y$372:$BA$372,1,($F$177-1)))/($G$177-$F$177+1),0)</f>
        <v>0</v>
      </c>
      <c r="Z373" s="48">
        <f t="shared" si="605"/>
        <v>0</v>
      </c>
      <c r="AA373" s="48">
        <f t="shared" si="605"/>
        <v>0</v>
      </c>
      <c r="AB373" s="48">
        <f t="shared" si="605"/>
        <v>-0.59558983891316741</v>
      </c>
      <c r="AC373" s="48">
        <f t="shared" si="605"/>
        <v>-0.59558983891316741</v>
      </c>
      <c r="AD373" s="48">
        <f t="shared" si="605"/>
        <v>-0.59558983891316741</v>
      </c>
      <c r="AE373" s="48">
        <f t="shared" si="605"/>
        <v>-0.59558983891316741</v>
      </c>
      <c r="AF373" s="48">
        <f t="shared" si="605"/>
        <v>-0.59558983891316741</v>
      </c>
      <c r="AG373" s="48">
        <f t="shared" si="605"/>
        <v>-0.59558983891316741</v>
      </c>
      <c r="AH373" s="48">
        <f t="shared" si="605"/>
        <v>0</v>
      </c>
      <c r="AI373" s="48">
        <f t="shared" si="605"/>
        <v>0</v>
      </c>
      <c r="AJ373" s="48">
        <f t="shared" si="605"/>
        <v>0</v>
      </c>
      <c r="AK373" s="48">
        <f t="shared" si="605"/>
        <v>0</v>
      </c>
      <c r="AL373" s="48">
        <f t="shared" si="605"/>
        <v>0</v>
      </c>
      <c r="AM373" s="48">
        <f t="shared" si="605"/>
        <v>0</v>
      </c>
      <c r="AN373" s="48">
        <f t="shared" si="605"/>
        <v>0</v>
      </c>
      <c r="AO373" s="48">
        <f t="shared" si="605"/>
        <v>0</v>
      </c>
      <c r="AP373" s="48">
        <f t="shared" si="605"/>
        <v>0</v>
      </c>
      <c r="AQ373" s="48">
        <f t="shared" si="605"/>
        <v>0</v>
      </c>
      <c r="AR373" s="48">
        <f t="shared" si="605"/>
        <v>0</v>
      </c>
      <c r="AS373" s="48">
        <f t="shared" si="605"/>
        <v>0</v>
      </c>
      <c r="AT373" s="48">
        <f t="shared" si="605"/>
        <v>0</v>
      </c>
      <c r="AU373" s="48">
        <f t="shared" si="605"/>
        <v>0</v>
      </c>
      <c r="AV373" s="48">
        <f t="shared" si="605"/>
        <v>0</v>
      </c>
      <c r="AW373" s="48">
        <f t="shared" si="605"/>
        <v>0</v>
      </c>
      <c r="AX373" s="48">
        <f t="shared" si="605"/>
        <v>0</v>
      </c>
      <c r="AY373" s="48">
        <f t="shared" si="605"/>
        <v>0</v>
      </c>
      <c r="AZ373" s="48">
        <f t="shared" si="605"/>
        <v>0</v>
      </c>
      <c r="BA373" s="48">
        <f t="shared" si="605"/>
        <v>0</v>
      </c>
    </row>
    <row r="374" spans="19:53" ht="20.100000000000001" customHeight="1">
      <c r="S374" s="504"/>
      <c r="T374" s="452" t="s">
        <v>132</v>
      </c>
      <c r="U374" s="51"/>
      <c r="V374" s="51"/>
      <c r="W374" s="51"/>
      <c r="X374" s="48"/>
      <c r="Y374" s="843">
        <f t="shared" ref="Y374" si="606">IF(AND(Y362&gt;($F$177+2020),Y362&lt;($G$177+2022)),Y372+Y373,Y372)</f>
        <v>3.580455440053941</v>
      </c>
      <c r="Z374" s="843">
        <f>IF(AND(Z362&gt;($F$177+2020),Z362&lt;($G$177+2022)),Y374+Z373,Y374*IF(Y372=0,1,(Z372/Y372)))</f>
        <v>3.5770131616454792</v>
      </c>
      <c r="AA374" s="843">
        <f t="shared" ref="AA374:AE374" si="607">IF(AND(AA362&gt;($F$177+2020),AA362&lt;($G$177+2022)),Z374+AA373,Z374*IF(Z372=0,1,(AA372/Z372)))</f>
        <v>3.5735390334790047</v>
      </c>
      <c r="AB374" s="843">
        <f t="shared" si="607"/>
        <v>2.9779491945658374</v>
      </c>
      <c r="AC374" s="843">
        <f t="shared" si="607"/>
        <v>2.3823593556526701</v>
      </c>
      <c r="AD374" s="843">
        <f t="shared" si="607"/>
        <v>1.7867695167395028</v>
      </c>
      <c r="AE374" s="843">
        <f t="shared" si="607"/>
        <v>1.1911796778263355</v>
      </c>
      <c r="AF374" s="843">
        <f t="shared" ref="AF374" si="608">IF(AND(AF362&gt;($F$177+2020),AF362&lt;($G$177+2022)),AE374+AF373,AE374*IF(AE372=0,1,(AF372/AE372)))</f>
        <v>0.59558983891316808</v>
      </c>
      <c r="AG374" s="843">
        <f t="shared" ref="AG374" si="609">IF(AND(AG362&gt;($F$177+2020),AG362&lt;($G$177+2022)),AF374+AG373,AF374*IF(AF372=0,1,(AG372/AF372)))</f>
        <v>6.6613381477509392E-16</v>
      </c>
      <c r="AH374" s="843">
        <f t="shared" ref="AH374" si="610">IF(AND(AH362&gt;($F$177+2020),AH362&lt;($G$177+2022)),AG374+AH373,AG374*IF(AG372=0,1,(AH372/AG372)))</f>
        <v>6.6633891985257826E-16</v>
      </c>
      <c r="AI374" s="843">
        <f t="shared" ref="AI374:AJ374" si="611">IF(AND(AI362&gt;($F$177+2020),AI362&lt;($G$177+2022)),AH374+AI373,AH374*IF(AH372=0,1,(AI372/AH372)))</f>
        <v>6.6654142621734108E-16</v>
      </c>
      <c r="AJ374" s="843">
        <f t="shared" si="611"/>
        <v>6.6674134417685808E-16</v>
      </c>
      <c r="AK374" s="843">
        <f t="shared" ref="AK374" si="612">IF(AND(AK362&gt;($F$177+2020),AK362&lt;($G$177+2022)),AJ374+AK373,AJ374*IF(AJ372=0,1,(AK372/AJ372)))</f>
        <v>6.6693868402654119E-16</v>
      </c>
      <c r="AL374" s="843">
        <f t="shared" ref="AL374" si="613">IF(AND(AL362&gt;($F$177+2020),AL362&lt;($G$177+2022)),AK374+AL373,AK374*IF(AK372=0,1,(AL372/AK372)))</f>
        <v>6.6713345604928896E-16</v>
      </c>
      <c r="AM374" s="843">
        <f t="shared" ref="AM374" si="614">IF(AND(AM362&gt;($F$177+2020),AM362&lt;($G$177+2022)),AL374+AM373,AL374*IF(AL372=0,1,(AM372/AL372)))</f>
        <v>6.6732567051504396E-16</v>
      </c>
      <c r="AN374" s="843">
        <f t="shared" ref="AN374:AO374" si="615">IF(AND(AN362&gt;($F$177+2020),AN362&lt;($G$177+2022)),AM374+AN373,AM374*IF(AM372=0,1,(AN372/AM372)))</f>
        <v>6.6751533768035628E-16</v>
      </c>
      <c r="AO374" s="843">
        <f t="shared" si="615"/>
        <v>6.6770246778795448E-16</v>
      </c>
      <c r="AP374" s="843">
        <f t="shared" ref="AP374" si="616">IF(AND(AP362&gt;($F$177+2020),AP362&lt;($G$177+2022)),AO374+AP373,AO374*IF(AO372=0,1,(AP372/AO372)))</f>
        <v>6.6788707106632353E-16</v>
      </c>
      <c r="AQ374" s="843">
        <f t="shared" ref="AQ374" si="617">IF(AND(AQ362&gt;($F$177+2020),AQ362&lt;($G$177+2022)),AP374+AQ373,AP374*IF(AP372=0,1,(AQ372/AP372)))</f>
        <v>6.6806915772928931E-16</v>
      </c>
      <c r="AR374" s="843">
        <f t="shared" ref="AR374" si="618">IF(AND(AR362&gt;($F$177+2020),AR362&lt;($G$177+2022)),AQ374+AR373,AQ374*IF(AQ372=0,1,(AR372/AQ372)))</f>
        <v>6.6824873797560956E-16</v>
      </c>
      <c r="AS374" s="843">
        <f t="shared" ref="AS374:AT374" si="619">IF(AND(AS362&gt;($F$177+2020),AS362&lt;($G$177+2022)),AR374+AS373,AR374*IF(AR372=0,1,(AS372/AR372)))</f>
        <v>6.6842582198857207E-16</v>
      </c>
      <c r="AT374" s="843">
        <f t="shared" si="619"/>
        <v>6.6860041993559856E-16</v>
      </c>
      <c r="AU374" s="843">
        <f t="shared" ref="AU374" si="620">IF(AND(AU362&gt;($F$177+2020),AU362&lt;($G$177+2022)),AT374+AU373,AT374*IF(AT372=0,1,(AU372/AT372)))</f>
        <v>6.6877254196785677E-16</v>
      </c>
      <c r="AV374" s="843">
        <f t="shared" ref="AV374" si="621">IF(AND(AV362&gt;($F$177+2020),AV362&lt;($G$177+2022)),AU374+AV373,AU374*IF(AU372=0,1,(AV372/AU372)))</f>
        <v>6.6894219821987717E-16</v>
      </c>
      <c r="AW374" s="843">
        <f t="shared" ref="AW374" si="622">IF(AND(AW362&gt;($F$177+2020),AW362&lt;($G$177+2022)),AV374+AW373,AV374*IF(AV372=0,1,(AW372/AV372)))</f>
        <v>6.6910939880917704E-16</v>
      </c>
      <c r="AX374" s="843">
        <f t="shared" ref="AX374:AY374" si="623">IF(AND(AX362&gt;($F$177+2020),AX362&lt;($G$177+2022)),AW374+AX373,AW374*IF(AW372=0,1,(AX372/AW372)))</f>
        <v>6.6927415383589174E-16</v>
      </c>
      <c r="AY374" s="843">
        <f t="shared" si="623"/>
        <v>6.6943647338240988E-16</v>
      </c>
      <c r="AZ374" s="843">
        <f t="shared" ref="AZ374" si="624">IF(AND(AZ362&gt;($F$177+2020),AZ362&lt;($G$177+2022)),AY374+AZ373,AY374*IF(AY372=0,1,(AZ372/AY372)))</f>
        <v>6.6959636751301831E-16</v>
      </c>
      <c r="BA374" s="843">
        <f t="shared" ref="BA374" si="625">IF(AND(BA362&gt;($F$177+2020),BA362&lt;($G$177+2022)),AZ374+BA373,AZ374*IF(AZ372=0,1,(BA372/AZ372)))</f>
        <v>6.6975384627355034E-16</v>
      </c>
    </row>
    <row r="375" spans="19:53" ht="20.100000000000001" customHeight="1" thickBot="1">
      <c r="S375" s="505" t="str">
        <f>S358</f>
        <v>PASSENGER CAR</v>
      </c>
      <c r="T375" s="496" t="s">
        <v>134</v>
      </c>
      <c r="U375" s="460"/>
      <c r="V375" s="460"/>
      <c r="W375" s="460"/>
      <c r="X375" s="447"/>
      <c r="Y375" s="730">
        <f>100-(Y365+Y368+Y371+Y374)</f>
        <v>29.911845858745025</v>
      </c>
      <c r="Z375" s="730">
        <f t="shared" ref="Z375:BA375" si="626">100-(Z365+Z368+Z371+Z374)</f>
        <v>30.030295703517368</v>
      </c>
      <c r="AA375" s="730">
        <f t="shared" si="626"/>
        <v>30.148917977498357</v>
      </c>
      <c r="AB375" s="730">
        <f t="shared" si="626"/>
        <v>26.790764981248628</v>
      </c>
      <c r="AC375" s="730">
        <f t="shared" si="626"/>
        <v>23.432611984998914</v>
      </c>
      <c r="AD375" s="730">
        <f t="shared" si="626"/>
        <v>20.074458988749186</v>
      </c>
      <c r="AE375" s="730">
        <f t="shared" si="626"/>
        <v>16.716305992499457</v>
      </c>
      <c r="AF375" s="730">
        <f t="shared" si="626"/>
        <v>13.358152996249714</v>
      </c>
      <c r="AG375" s="730">
        <f t="shared" si="626"/>
        <v>9.9999999999999858</v>
      </c>
      <c r="AH375" s="730">
        <f t="shared" si="626"/>
        <v>10.593781741757866</v>
      </c>
      <c r="AI375" s="730">
        <f t="shared" si="626"/>
        <v>11.184000654972806</v>
      </c>
      <c r="AJ375" s="730">
        <f t="shared" si="626"/>
        <v>11.770673878695604</v>
      </c>
      <c r="AK375" s="730">
        <f t="shared" si="626"/>
        <v>12.353818522054155</v>
      </c>
      <c r="AL375" s="730">
        <f t="shared" si="626"/>
        <v>12.933451663566402</v>
      </c>
      <c r="AM375" s="730">
        <f t="shared" si="626"/>
        <v>13.509590350465444</v>
      </c>
      <c r="AN375" s="730">
        <f t="shared" si="626"/>
        <v>14.082251598035398</v>
      </c>
      <c r="AO375" s="730">
        <f t="shared" si="626"/>
        <v>14.651452388958688</v>
      </c>
      <c r="AP375" s="730">
        <f t="shared" si="626"/>
        <v>15.217209672674585</v>
      </c>
      <c r="AQ375" s="730">
        <f t="shared" si="626"/>
        <v>15.779540364748598</v>
      </c>
      <c r="AR375" s="730">
        <f t="shared" si="626"/>
        <v>16.338461346253268</v>
      </c>
      <c r="AS375" s="730">
        <f t="shared" si="626"/>
        <v>16.893989463159315</v>
      </c>
      <c r="AT375" s="730">
        <f t="shared" si="626"/>
        <v>17.446141525737886</v>
      </c>
      <c r="AU375" s="730">
        <f t="shared" si="626"/>
        <v>17.994934307973764</v>
      </c>
      <c r="AV375" s="730">
        <f t="shared" si="626"/>
        <v>18.540384546988619</v>
      </c>
      <c r="AW375" s="730">
        <f t="shared" si="626"/>
        <v>19.082508942475457</v>
      </c>
      <c r="AX375" s="730">
        <f t="shared" si="626"/>
        <v>19.621324156142904</v>
      </c>
      <c r="AY375" s="730">
        <f t="shared" si="626"/>
        <v>20.156846811170411</v>
      </c>
      <c r="AZ375" s="730">
        <f t="shared" si="626"/>
        <v>20.689093491673376</v>
      </c>
      <c r="BA375" s="731">
        <f t="shared" si="626"/>
        <v>21.218080742178628</v>
      </c>
    </row>
    <row r="376" spans="19:53" ht="20.100000000000001" customHeight="1">
      <c r="S376" s="506" t="s">
        <v>2851</v>
      </c>
      <c r="T376" s="492"/>
      <c r="U376" s="202"/>
      <c r="V376" s="202"/>
      <c r="W376" s="202"/>
      <c r="X376" s="462">
        <f>X362</f>
        <v>2021</v>
      </c>
      <c r="Y376" s="462">
        <f>Y362</f>
        <v>2022</v>
      </c>
      <c r="Z376" s="462">
        <f t="shared" ref="Z376:BA376" si="627">Z362</f>
        <v>2023</v>
      </c>
      <c r="AA376" s="462">
        <f t="shared" si="627"/>
        <v>2024</v>
      </c>
      <c r="AB376" s="462">
        <f t="shared" si="627"/>
        <v>2025</v>
      </c>
      <c r="AC376" s="462">
        <f t="shared" si="627"/>
        <v>2026</v>
      </c>
      <c r="AD376" s="462">
        <f t="shared" si="627"/>
        <v>2027</v>
      </c>
      <c r="AE376" s="462">
        <f t="shared" si="627"/>
        <v>2028</v>
      </c>
      <c r="AF376" s="462">
        <f t="shared" si="627"/>
        <v>2029</v>
      </c>
      <c r="AG376" s="462">
        <f t="shared" si="627"/>
        <v>2030</v>
      </c>
      <c r="AH376" s="462">
        <f t="shared" si="627"/>
        <v>2031</v>
      </c>
      <c r="AI376" s="462">
        <f t="shared" si="627"/>
        <v>2032</v>
      </c>
      <c r="AJ376" s="462">
        <f t="shared" si="627"/>
        <v>2033</v>
      </c>
      <c r="AK376" s="462">
        <f t="shared" si="627"/>
        <v>2034</v>
      </c>
      <c r="AL376" s="462">
        <f t="shared" si="627"/>
        <v>2035</v>
      </c>
      <c r="AM376" s="462">
        <f t="shared" si="627"/>
        <v>2036</v>
      </c>
      <c r="AN376" s="462">
        <f t="shared" si="627"/>
        <v>2037</v>
      </c>
      <c r="AO376" s="462">
        <f t="shared" si="627"/>
        <v>2038</v>
      </c>
      <c r="AP376" s="462">
        <f t="shared" si="627"/>
        <v>2039</v>
      </c>
      <c r="AQ376" s="462">
        <f t="shared" si="627"/>
        <v>2040</v>
      </c>
      <c r="AR376" s="462">
        <f t="shared" si="627"/>
        <v>2041</v>
      </c>
      <c r="AS376" s="462">
        <f t="shared" si="627"/>
        <v>2042</v>
      </c>
      <c r="AT376" s="462">
        <f t="shared" si="627"/>
        <v>2043</v>
      </c>
      <c r="AU376" s="462">
        <f t="shared" si="627"/>
        <v>2044</v>
      </c>
      <c r="AV376" s="462">
        <f t="shared" si="627"/>
        <v>2045</v>
      </c>
      <c r="AW376" s="462">
        <f t="shared" si="627"/>
        <v>2046</v>
      </c>
      <c r="AX376" s="462">
        <f t="shared" si="627"/>
        <v>2047</v>
      </c>
      <c r="AY376" s="462">
        <f t="shared" si="627"/>
        <v>2048</v>
      </c>
      <c r="AZ376" s="462">
        <f t="shared" si="627"/>
        <v>2049</v>
      </c>
      <c r="BA376" s="463">
        <f t="shared" si="627"/>
        <v>2050</v>
      </c>
    </row>
    <row r="377" spans="19:53" ht="20.100000000000001" customHeight="1">
      <c r="S377" s="466" t="str">
        <f t="shared" ref="S377:S381" si="628">S354</f>
        <v>BUS</v>
      </c>
      <c r="T377" s="452" t="s">
        <v>133</v>
      </c>
      <c r="U377" s="51"/>
      <c r="V377" s="51"/>
      <c r="W377" s="51"/>
      <c r="X377" s="201"/>
      <c r="Y377" s="48">
        <f>(Y365/100)*Y$352</f>
        <v>671.82201775280498</v>
      </c>
      <c r="Z377" s="48">
        <f t="shared" ref="Z377:AN377" si="629">(Z365/100)*Z$352</f>
        <v>677.1965938948274</v>
      </c>
      <c r="AA377" s="48">
        <f t="shared" si="629"/>
        <v>682.61416664598596</v>
      </c>
      <c r="AB377" s="48">
        <f t="shared" si="629"/>
        <v>2003.8396905217946</v>
      </c>
      <c r="AC377" s="48">
        <f t="shared" si="629"/>
        <v>3367.1941500152852</v>
      </c>
      <c r="AD377" s="48">
        <f t="shared" si="629"/>
        <v>4773.7275195834191</v>
      </c>
      <c r="AE377" s="48">
        <f t="shared" si="629"/>
        <v>6224.5137684960373</v>
      </c>
      <c r="AF377" s="48">
        <f t="shared" si="629"/>
        <v>7720.6513883168109</v>
      </c>
      <c r="AG377" s="48">
        <f t="shared" si="629"/>
        <v>9263.2639317665471</v>
      </c>
      <c r="AH377" s="48">
        <f t="shared" si="629"/>
        <v>9328.1067792889135</v>
      </c>
      <c r="AI377" s="48">
        <f t="shared" si="629"/>
        <v>9393.4035267439358</v>
      </c>
      <c r="AJ377" s="48">
        <f t="shared" si="629"/>
        <v>9459.1573514311476</v>
      </c>
      <c r="AK377" s="48">
        <f t="shared" si="629"/>
        <v>9525.3714528911642</v>
      </c>
      <c r="AL377" s="48">
        <f t="shared" si="629"/>
        <v>9592.0490530614043</v>
      </c>
      <c r="AM377" s="48">
        <f t="shared" si="629"/>
        <v>9659.1933964328346</v>
      </c>
      <c r="AN377" s="48">
        <f t="shared" si="629"/>
        <v>9726.8077502078631</v>
      </c>
      <c r="AO377" s="48">
        <f>(AO365/100)*AO$352</f>
        <v>9794.8954044593193</v>
      </c>
      <c r="AP377" s="48">
        <f t="shared" ref="AP377:BA377" si="630">(AP365/100)*AP$352</f>
        <v>9863.4596722905335</v>
      </c>
      <c r="AQ377" s="48">
        <f t="shared" si="630"/>
        <v>9932.5038899965693</v>
      </c>
      <c r="AR377" s="48">
        <f t="shared" si="630"/>
        <v>10002.031417226548</v>
      </c>
      <c r="AS377" s="48">
        <f t="shared" si="630"/>
        <v>10072.04563714713</v>
      </c>
      <c r="AT377" s="48">
        <f t="shared" si="630"/>
        <v>10142.549956607163</v>
      </c>
      <c r="AU377" s="48">
        <f t="shared" si="630"/>
        <v>10213.547806303415</v>
      </c>
      <c r="AV377" s="48">
        <f t="shared" si="630"/>
        <v>10285.042640947542</v>
      </c>
      <c r="AW377" s="48">
        <f t="shared" si="630"/>
        <v>10357.037939434178</v>
      </c>
      <c r="AX377" s="48">
        <f t="shared" si="630"/>
        <v>10429.537205010214</v>
      </c>
      <c r="AY377" s="48">
        <f t="shared" si="630"/>
        <v>10502.543965445286</v>
      </c>
      <c r="AZ377" s="48">
        <f t="shared" si="630"/>
        <v>10576.061773203404</v>
      </c>
      <c r="BA377" s="48">
        <f t="shared" si="630"/>
        <v>10650.094205615829</v>
      </c>
    </row>
    <row r="378" spans="19:53" ht="20.100000000000001" customHeight="1">
      <c r="S378" s="466" t="str">
        <f t="shared" si="628"/>
        <v>METRO</v>
      </c>
      <c r="T378" s="452" t="s">
        <v>133</v>
      </c>
      <c r="U378" s="51"/>
      <c r="V378" s="51"/>
      <c r="W378" s="51"/>
      <c r="X378" s="201"/>
      <c r="Y378" s="48">
        <f>(Y368/100)*Y$352</f>
        <v>4417.708115672599</v>
      </c>
      <c r="Z378" s="48">
        <f t="shared" ref="Z378:AN378" si="631">(Z368/100)*Z$352</f>
        <v>4483.9737374076876</v>
      </c>
      <c r="AA378" s="48">
        <f t="shared" si="631"/>
        <v>4551.2333434688026</v>
      </c>
      <c r="AB378" s="48">
        <f t="shared" si="631"/>
        <v>3853.3652065234924</v>
      </c>
      <c r="AC378" s="48">
        <f t="shared" si="631"/>
        <v>3132.0358972287268</v>
      </c>
      <c r="AD378" s="48">
        <f t="shared" si="631"/>
        <v>2386.6504467280915</v>
      </c>
      <c r="AE378" s="48">
        <f t="shared" si="631"/>
        <v>1616.6001705483793</v>
      </c>
      <c r="AF378" s="48">
        <f t="shared" si="631"/>
        <v>821.26236549772159</v>
      </c>
      <c r="AG378" s="48">
        <f t="shared" si="631"/>
        <v>-3.6566360534140353E-13</v>
      </c>
      <c r="AH378" s="48">
        <f t="shared" si="631"/>
        <v>-3.7114855942152468E-13</v>
      </c>
      <c r="AI378" s="48">
        <f t="shared" si="631"/>
        <v>-3.7671578781284752E-13</v>
      </c>
      <c r="AJ378" s="48">
        <f t="shared" si="631"/>
        <v>-3.8236652463004027E-13</v>
      </c>
      <c r="AK378" s="48">
        <f t="shared" si="631"/>
        <v>-3.8810202249949086E-13</v>
      </c>
      <c r="AL378" s="48">
        <f t="shared" si="631"/>
        <v>-3.9392355283698326E-13</v>
      </c>
      <c r="AM378" s="48">
        <f t="shared" si="631"/>
        <v>-3.9983240612953799E-13</v>
      </c>
      <c r="AN378" s="48">
        <f t="shared" si="631"/>
        <v>-4.0582989222148098E-13</v>
      </c>
      <c r="AO378" s="48">
        <f>(AO368/100)*AO$352</f>
        <v>-4.119173406048034E-13</v>
      </c>
      <c r="AP378" s="48">
        <f t="shared" ref="AP378:BA378" si="632">(AP368/100)*AP$352</f>
        <v>-4.1809610071387537E-13</v>
      </c>
      <c r="AQ378" s="48">
        <f t="shared" si="632"/>
        <v>-4.2436754222458346E-13</v>
      </c>
      <c r="AR378" s="48">
        <f t="shared" si="632"/>
        <v>-4.3073305535795222E-13</v>
      </c>
      <c r="AS378" s="48">
        <f t="shared" si="632"/>
        <v>-4.3719405118832158E-13</v>
      </c>
      <c r="AT378" s="48">
        <f t="shared" si="632"/>
        <v>-4.4375196195614639E-13</v>
      </c>
      <c r="AU378" s="48">
        <f t="shared" si="632"/>
        <v>-4.5040824138548856E-13</v>
      </c>
      <c r="AV378" s="48">
        <f t="shared" si="632"/>
        <v>-4.5716436500627096E-13</v>
      </c>
      <c r="AW378" s="48">
        <f t="shared" si="632"/>
        <v>-4.6402183048136506E-13</v>
      </c>
      <c r="AX378" s="48">
        <f t="shared" si="632"/>
        <v>-4.7098215793858553E-13</v>
      </c>
      <c r="AY378" s="48">
        <f t="shared" si="632"/>
        <v>-4.7804689030766435E-13</v>
      </c>
      <c r="AZ378" s="48">
        <f t="shared" si="632"/>
        <v>-4.8521759366227922E-13</v>
      </c>
      <c r="BA378" s="48">
        <f t="shared" si="632"/>
        <v>-4.9249585756721344E-13</v>
      </c>
    </row>
    <row r="379" spans="19:53" ht="20.100000000000001" customHeight="1">
      <c r="S379" s="466" t="str">
        <f t="shared" si="628"/>
        <v>TRAM</v>
      </c>
      <c r="T379" s="452" t="s">
        <v>133</v>
      </c>
      <c r="U379" s="51"/>
      <c r="V379" s="51"/>
      <c r="W379" s="51"/>
      <c r="X379" s="201"/>
      <c r="Y379" s="48">
        <f>(Y371/100)*Y$352</f>
        <v>938.89718796498403</v>
      </c>
      <c r="Z379" s="48">
        <f t="shared" ref="Z379:AN379" si="633">(Z371/100)*Z$352</f>
        <v>952.98064578445872</v>
      </c>
      <c r="AA379" s="48">
        <f t="shared" si="633"/>
        <v>967.27535547122568</v>
      </c>
      <c r="AB379" s="48">
        <f t="shared" si="633"/>
        <v>818.95717459735067</v>
      </c>
      <c r="AC379" s="48">
        <f t="shared" si="633"/>
        <v>665.65278183068017</v>
      </c>
      <c r="AD379" s="48">
        <f t="shared" si="633"/>
        <v>507.23572821361284</v>
      </c>
      <c r="AE379" s="48">
        <f t="shared" si="633"/>
        <v>343.57664980328786</v>
      </c>
      <c r="AF379" s="48">
        <f t="shared" si="633"/>
        <v>174.54320325322902</v>
      </c>
      <c r="AG379" s="48">
        <f t="shared" si="633"/>
        <v>-1.3712385200302631E-13</v>
      </c>
      <c r="AH379" s="48">
        <f t="shared" si="633"/>
        <v>-1.3904358593106871E-13</v>
      </c>
      <c r="AI379" s="48">
        <f t="shared" si="633"/>
        <v>-1.4099019613410363E-13</v>
      </c>
      <c r="AJ379" s="48">
        <f t="shared" si="633"/>
        <v>-1.4296405887998112E-13</v>
      </c>
      <c r="AK379" s="48">
        <f t="shared" si="633"/>
        <v>-1.4496555570430086E-13</v>
      </c>
      <c r="AL379" s="48">
        <f t="shared" si="633"/>
        <v>-1.4699507348416107E-13</v>
      </c>
      <c r="AM379" s="48">
        <f t="shared" si="633"/>
        <v>-1.4905300451293932E-13</v>
      </c>
      <c r="AN379" s="48">
        <f t="shared" si="633"/>
        <v>-1.5113974657612048E-13</v>
      </c>
      <c r="AO379" s="48">
        <f>(AO371/100)*AO$352</f>
        <v>-1.5325570302818618E-13</v>
      </c>
      <c r="AP379" s="48">
        <f t="shared" ref="AP379:BA379" si="634">(AP371/100)*AP$352</f>
        <v>-1.5540128287058079E-13</v>
      </c>
      <c r="AQ379" s="48">
        <f t="shared" si="634"/>
        <v>-1.5757690083076896E-13</v>
      </c>
      <c r="AR379" s="48">
        <f t="shared" si="634"/>
        <v>-1.5978297744239975E-13</v>
      </c>
      <c r="AS379" s="48">
        <f t="shared" si="634"/>
        <v>-1.6201993912659331E-13</v>
      </c>
      <c r="AT379" s="48">
        <f t="shared" si="634"/>
        <v>-1.6428821827436568E-13</v>
      </c>
      <c r="AU379" s="48">
        <f t="shared" si="634"/>
        <v>-1.6658825333020683E-13</v>
      </c>
      <c r="AV379" s="48">
        <f t="shared" si="634"/>
        <v>-1.6892048887682971E-13</v>
      </c>
      <c r="AW379" s="48">
        <f t="shared" si="634"/>
        <v>-1.7128537572110535E-13</v>
      </c>
      <c r="AX379" s="48">
        <f t="shared" si="634"/>
        <v>-1.7368337098120083E-13</v>
      </c>
      <c r="AY379" s="48">
        <f t="shared" si="634"/>
        <v>-1.7611493817493767E-13</v>
      </c>
      <c r="AZ379" s="48">
        <f t="shared" si="634"/>
        <v>-1.7858054730938674E-13</v>
      </c>
      <c r="BA379" s="48">
        <f t="shared" si="634"/>
        <v>-1.8108067497171822E-13</v>
      </c>
    </row>
    <row r="380" spans="19:53" ht="20.100000000000001" customHeight="1">
      <c r="S380" s="466" t="str">
        <f t="shared" si="628"/>
        <v>PASSENGER TRAIN</v>
      </c>
      <c r="T380" s="452" t="s">
        <v>133</v>
      </c>
      <c r="U380" s="51"/>
      <c r="V380" s="51"/>
      <c r="W380" s="51"/>
      <c r="X380" s="201"/>
      <c r="Y380" s="48">
        <f>(Y374/100)*Y$352</f>
        <v>324.54160675164411</v>
      </c>
      <c r="Z380" s="48">
        <f t="shared" ref="Z380:AN380" si="635">(Z374/100)*Z$352</f>
        <v>329.40973085291881</v>
      </c>
      <c r="AA380" s="48">
        <f t="shared" si="635"/>
        <v>334.35087681571258</v>
      </c>
      <c r="AB380" s="48">
        <f t="shared" si="635"/>
        <v>283.08283453344774</v>
      </c>
      <c r="AC380" s="48">
        <f t="shared" si="635"/>
        <v>230.09124547733492</v>
      </c>
      <c r="AD380" s="48">
        <f t="shared" si="635"/>
        <v>175.33240097682099</v>
      </c>
      <c r="AE380" s="48">
        <f t="shared" si="635"/>
        <v>118.76158476008199</v>
      </c>
      <c r="AF380" s="48">
        <f t="shared" si="635"/>
        <v>60.333050687009262</v>
      </c>
      <c r="AG380" s="48">
        <f t="shared" si="635"/>
        <v>6.8561926001513156E-14</v>
      </c>
      <c r="AH380" s="48">
        <f t="shared" si="635"/>
        <v>6.9521792965534354E-14</v>
      </c>
      <c r="AI380" s="48">
        <f t="shared" si="635"/>
        <v>7.0495098067051853E-14</v>
      </c>
      <c r="AJ380" s="48">
        <f t="shared" si="635"/>
        <v>7.1482029439990599E-14</v>
      </c>
      <c r="AK380" s="48">
        <f t="shared" si="635"/>
        <v>7.248277785215048E-14</v>
      </c>
      <c r="AL380" s="48">
        <f t="shared" si="635"/>
        <v>7.3497536742080587E-14</v>
      </c>
      <c r="AM380" s="48">
        <f t="shared" si="635"/>
        <v>7.4526502256469709E-14</v>
      </c>
      <c r="AN380" s="48">
        <f t="shared" si="635"/>
        <v>7.5569873288060275E-14</v>
      </c>
      <c r="AO380" s="48">
        <f>(AO374/100)*AO$352</f>
        <v>7.6627851514093142E-14</v>
      </c>
      <c r="AP380" s="48">
        <f t="shared" ref="AP380:BA380" si="636">(AP374/100)*AP$352</f>
        <v>7.7700641435290448E-14</v>
      </c>
      <c r="AQ380" s="48">
        <f t="shared" si="636"/>
        <v>7.8788450415384516E-14</v>
      </c>
      <c r="AR380" s="48">
        <f t="shared" si="636"/>
        <v>7.9891488721199912E-14</v>
      </c>
      <c r="AS380" s="48">
        <f t="shared" si="636"/>
        <v>8.1009969563296731E-14</v>
      </c>
      <c r="AT380" s="48">
        <f t="shared" si="636"/>
        <v>8.2144109137182863E-14</v>
      </c>
      <c r="AU380" s="48">
        <f t="shared" si="636"/>
        <v>8.3294126665103453E-14</v>
      </c>
      <c r="AV380" s="48">
        <f t="shared" si="636"/>
        <v>8.4460244438414883E-14</v>
      </c>
      <c r="AW380" s="48">
        <f t="shared" si="636"/>
        <v>8.5642687860552714E-14</v>
      </c>
      <c r="AX380" s="48">
        <f t="shared" si="636"/>
        <v>8.6841685490600453E-14</v>
      </c>
      <c r="AY380" s="48">
        <f t="shared" si="636"/>
        <v>8.805746908746886E-14</v>
      </c>
      <c r="AZ380" s="48">
        <f t="shared" si="636"/>
        <v>8.9290273654693423E-14</v>
      </c>
      <c r="BA380" s="48">
        <f t="shared" si="636"/>
        <v>9.0540337485859136E-14</v>
      </c>
    </row>
    <row r="381" spans="19:53" ht="20.100000000000001" customHeight="1">
      <c r="S381" s="466" t="str">
        <f t="shared" si="628"/>
        <v>PASSENGER CAR</v>
      </c>
      <c r="T381" s="452" t="s">
        <v>133</v>
      </c>
      <c r="U381" s="51"/>
      <c r="V381" s="51"/>
      <c r="W381" s="51"/>
      <c r="X381" s="201"/>
      <c r="Y381" s="48">
        <f>(Y375/100)*Y$352</f>
        <v>2711.2859462812844</v>
      </c>
      <c r="Z381" s="48">
        <f t="shared" ref="Z381:AN381" si="637">(Z375/100)*Z$352</f>
        <v>2765.5116652069091</v>
      </c>
      <c r="AA381" s="48">
        <f t="shared" si="637"/>
        <v>2820.8218985110461</v>
      </c>
      <c r="AB381" s="48">
        <f t="shared" si="637"/>
        <v>2546.7209796764118</v>
      </c>
      <c r="AC381" s="48">
        <f t="shared" si="637"/>
        <v>2263.1509657108109</v>
      </c>
      <c r="AD381" s="48">
        <f t="shared" si="637"/>
        <v>1969.869678116557</v>
      </c>
      <c r="AE381" s="48">
        <f t="shared" si="637"/>
        <v>1666.6293322149215</v>
      </c>
      <c r="AF381" s="48">
        <f t="shared" si="637"/>
        <v>1353.1764129459191</v>
      </c>
      <c r="AG381" s="48">
        <f t="shared" si="637"/>
        <v>1029.2515479740591</v>
      </c>
      <c r="AH381" s="48">
        <f t="shared" si="637"/>
        <v>1105.2914350785518</v>
      </c>
      <c r="AI381" s="48">
        <f t="shared" si="637"/>
        <v>1182.8480450623913</v>
      </c>
      <c r="AJ381" s="48">
        <f t="shared" si="637"/>
        <v>1261.9461265960763</v>
      </c>
      <c r="AK381" s="48">
        <f t="shared" si="637"/>
        <v>1342.610805169908</v>
      </c>
      <c r="AL381" s="48">
        <f t="shared" si="637"/>
        <v>1424.8675886742885</v>
      </c>
      <c r="AM381" s="48">
        <f t="shared" si="637"/>
        <v>1508.74237306183</v>
      </c>
      <c r="AN381" s="48">
        <f t="shared" si="637"/>
        <v>1594.261448092321</v>
      </c>
      <c r="AO381" s="48">
        <f>(AO375/100)*AO$352</f>
        <v>1681.4515031618482</v>
      </c>
      <c r="AP381" s="48">
        <f t="shared" ref="AP381:BA381" si="638">(AP375/100)*AP$352</f>
        <v>1770.339633217284</v>
      </c>
      <c r="AQ381" s="48">
        <f t="shared" si="638"/>
        <v>1860.9533447573604</v>
      </c>
      <c r="AR381" s="48">
        <f t="shared" si="638"/>
        <v>1953.320561921654</v>
      </c>
      <c r="AS381" s="48">
        <f t="shared" si="638"/>
        <v>2047.4696326686644</v>
      </c>
      <c r="AT381" s="48">
        <f t="shared" si="638"/>
        <v>2143.4293350443763</v>
      </c>
      <c r="AU381" s="48">
        <f t="shared" si="638"/>
        <v>2241.2288835426243</v>
      </c>
      <c r="AV381" s="48">
        <f t="shared" si="638"/>
        <v>2340.8979355584902</v>
      </c>
      <c r="AW381" s="48">
        <f t="shared" si="638"/>
        <v>2442.4665979362667</v>
      </c>
      <c r="AX381" s="48">
        <f t="shared" si="638"/>
        <v>2545.9654336131703</v>
      </c>
      <c r="AY381" s="48">
        <f t="shared" si="638"/>
        <v>2651.4254683603899</v>
      </c>
      <c r="AZ381" s="48">
        <f t="shared" si="638"/>
        <v>2758.8781976227438</v>
      </c>
      <c r="BA381" s="48">
        <f t="shared" si="638"/>
        <v>2868.3555934584688</v>
      </c>
    </row>
    <row r="382" spans="19:53" ht="20.100000000000001" customHeight="1" thickBot="1">
      <c r="S382" s="835" t="s">
        <v>2854</v>
      </c>
      <c r="T382" s="836" t="s">
        <v>133</v>
      </c>
      <c r="U382" s="837"/>
      <c r="V382" s="837"/>
      <c r="W382" s="837"/>
      <c r="X382" s="838"/>
      <c r="Y382" s="839">
        <f>SUM(Y377:Y381)</f>
        <v>9064.2548744233172</v>
      </c>
      <c r="Z382" s="839">
        <f t="shared" ref="Z382:BA382" si="639">SUM(Z377:Z381)</f>
        <v>9209.0723731468024</v>
      </c>
      <c r="AA382" s="839">
        <f t="shared" si="639"/>
        <v>9356.2956409127728</v>
      </c>
      <c r="AB382" s="839">
        <f t="shared" si="639"/>
        <v>9505.9658858524963</v>
      </c>
      <c r="AC382" s="839">
        <f t="shared" si="639"/>
        <v>9658.1250402628393</v>
      </c>
      <c r="AD382" s="839">
        <f t="shared" si="639"/>
        <v>9812.8157736185021</v>
      </c>
      <c r="AE382" s="839">
        <f t="shared" si="639"/>
        <v>9970.081505822709</v>
      </c>
      <c r="AF382" s="839">
        <f t="shared" si="639"/>
        <v>10129.966420700692</v>
      </c>
      <c r="AG382" s="839">
        <f t="shared" si="639"/>
        <v>10292.515479740607</v>
      </c>
      <c r="AH382" s="839">
        <f t="shared" si="639"/>
        <v>10433.398214367466</v>
      </c>
      <c r="AI382" s="839">
        <f t="shared" si="639"/>
        <v>10576.251571806328</v>
      </c>
      <c r="AJ382" s="839">
        <f t="shared" si="639"/>
        <v>10721.103478027224</v>
      </c>
      <c r="AK382" s="839">
        <f t="shared" si="639"/>
        <v>10867.982258061073</v>
      </c>
      <c r="AL382" s="839">
        <f t="shared" si="639"/>
        <v>11016.916641735694</v>
      </c>
      <c r="AM382" s="839">
        <f t="shared" si="639"/>
        <v>11167.935769494665</v>
      </c>
      <c r="AN382" s="839">
        <f t="shared" si="639"/>
        <v>11321.069198300183</v>
      </c>
      <c r="AO382" s="839">
        <f t="shared" si="639"/>
        <v>11476.346907621168</v>
      </c>
      <c r="AP382" s="839">
        <f t="shared" si="639"/>
        <v>11633.799305507817</v>
      </c>
      <c r="AQ382" s="839">
        <f t="shared" si="639"/>
        <v>11793.457234753929</v>
      </c>
      <c r="AR382" s="839">
        <f t="shared" si="639"/>
        <v>11955.351979148201</v>
      </c>
      <c r="AS382" s="839">
        <f t="shared" si="639"/>
        <v>12119.515269815794</v>
      </c>
      <c r="AT382" s="839">
        <f t="shared" si="639"/>
        <v>12285.97929165154</v>
      </c>
      <c r="AU382" s="839">
        <f t="shared" si="639"/>
        <v>12454.77668984604</v>
      </c>
      <c r="AV382" s="839">
        <f t="shared" si="639"/>
        <v>12625.940576506033</v>
      </c>
      <c r="AW382" s="839">
        <f t="shared" si="639"/>
        <v>12799.504537370445</v>
      </c>
      <c r="AX382" s="839">
        <f t="shared" si="639"/>
        <v>12975.502638623384</v>
      </c>
      <c r="AY382" s="839">
        <f t="shared" si="639"/>
        <v>13153.969433805676</v>
      </c>
      <c r="AZ382" s="839">
        <f t="shared" si="639"/>
        <v>13334.939970826148</v>
      </c>
      <c r="BA382" s="840">
        <f t="shared" si="639"/>
        <v>13518.449799074298</v>
      </c>
    </row>
    <row r="383" spans="19:53" ht="20.100000000000001" customHeight="1">
      <c r="S383" s="506" t="s">
        <v>2852</v>
      </c>
      <c r="T383" s="492"/>
      <c r="U383" s="202"/>
      <c r="V383" s="202"/>
      <c r="W383" s="202"/>
      <c r="X383" s="462">
        <f>X376</f>
        <v>2021</v>
      </c>
      <c r="Y383" s="462">
        <f t="shared" ref="Y383:BA383" si="640">Y376</f>
        <v>2022</v>
      </c>
      <c r="Z383" s="462">
        <f t="shared" si="640"/>
        <v>2023</v>
      </c>
      <c r="AA383" s="462">
        <f t="shared" si="640"/>
        <v>2024</v>
      </c>
      <c r="AB383" s="462">
        <f t="shared" si="640"/>
        <v>2025</v>
      </c>
      <c r="AC383" s="462">
        <f t="shared" si="640"/>
        <v>2026</v>
      </c>
      <c r="AD383" s="462">
        <f t="shared" si="640"/>
        <v>2027</v>
      </c>
      <c r="AE383" s="462">
        <f t="shared" si="640"/>
        <v>2028</v>
      </c>
      <c r="AF383" s="462">
        <f t="shared" si="640"/>
        <v>2029</v>
      </c>
      <c r="AG383" s="462">
        <f t="shared" si="640"/>
        <v>2030</v>
      </c>
      <c r="AH383" s="462">
        <f t="shared" si="640"/>
        <v>2031</v>
      </c>
      <c r="AI383" s="462">
        <f t="shared" si="640"/>
        <v>2032</v>
      </c>
      <c r="AJ383" s="462">
        <f t="shared" si="640"/>
        <v>2033</v>
      </c>
      <c r="AK383" s="462">
        <f t="shared" si="640"/>
        <v>2034</v>
      </c>
      <c r="AL383" s="462">
        <f t="shared" si="640"/>
        <v>2035</v>
      </c>
      <c r="AM383" s="462">
        <f t="shared" si="640"/>
        <v>2036</v>
      </c>
      <c r="AN383" s="462">
        <f t="shared" si="640"/>
        <v>2037</v>
      </c>
      <c r="AO383" s="462">
        <f t="shared" si="640"/>
        <v>2038</v>
      </c>
      <c r="AP383" s="462">
        <f t="shared" si="640"/>
        <v>2039</v>
      </c>
      <c r="AQ383" s="462">
        <f t="shared" si="640"/>
        <v>2040</v>
      </c>
      <c r="AR383" s="462">
        <f t="shared" si="640"/>
        <v>2041</v>
      </c>
      <c r="AS383" s="462">
        <f t="shared" si="640"/>
        <v>2042</v>
      </c>
      <c r="AT383" s="462">
        <f t="shared" si="640"/>
        <v>2043</v>
      </c>
      <c r="AU383" s="462">
        <f t="shared" si="640"/>
        <v>2044</v>
      </c>
      <c r="AV383" s="462">
        <f t="shared" si="640"/>
        <v>2045</v>
      </c>
      <c r="AW383" s="462">
        <f t="shared" si="640"/>
        <v>2046</v>
      </c>
      <c r="AX383" s="462">
        <f t="shared" si="640"/>
        <v>2047</v>
      </c>
      <c r="AY383" s="462">
        <f t="shared" si="640"/>
        <v>2048</v>
      </c>
      <c r="AZ383" s="462">
        <f t="shared" si="640"/>
        <v>2049</v>
      </c>
      <c r="BA383" s="463">
        <f t="shared" si="640"/>
        <v>2050</v>
      </c>
    </row>
    <row r="384" spans="19:53" ht="20.100000000000001" customHeight="1">
      <c r="S384" s="466" t="str">
        <f>S377</f>
        <v>BUS</v>
      </c>
      <c r="T384" s="816" t="s">
        <v>2855</v>
      </c>
      <c r="U384" s="817"/>
      <c r="V384" s="201"/>
      <c r="W384" s="201"/>
      <c r="X384" s="40">
        <f t="shared" ref="X384:BA384" si="641">((100-$H$170)/100*X347)+($H$170/100*X377)</f>
        <v>0</v>
      </c>
      <c r="Y384" s="48">
        <f t="shared" si="641"/>
        <v>671.82201775280498</v>
      </c>
      <c r="Z384" s="48">
        <f t="shared" si="641"/>
        <v>677.1965938948274</v>
      </c>
      <c r="AA384" s="48">
        <f t="shared" si="641"/>
        <v>682.61416664598596</v>
      </c>
      <c r="AB384" s="48">
        <f t="shared" si="641"/>
        <v>688.07507997915377</v>
      </c>
      <c r="AC384" s="48">
        <f t="shared" si="641"/>
        <v>693.57968061898703</v>
      </c>
      <c r="AD384" s="48">
        <f t="shared" si="641"/>
        <v>699.12831806393888</v>
      </c>
      <c r="AE384" s="48">
        <f t="shared" si="641"/>
        <v>704.72134460845041</v>
      </c>
      <c r="AF384" s="48">
        <f t="shared" si="641"/>
        <v>710.35911536531796</v>
      </c>
      <c r="AG384" s="48">
        <f t="shared" si="641"/>
        <v>716.04198828824053</v>
      </c>
      <c r="AH384" s="48">
        <f t="shared" si="641"/>
        <v>721.05428220625822</v>
      </c>
      <c r="AI384" s="48">
        <f t="shared" si="641"/>
        <v>726.10166218170207</v>
      </c>
      <c r="AJ384" s="48">
        <f t="shared" si="641"/>
        <v>731.18437381697413</v>
      </c>
      <c r="AK384" s="48">
        <f t="shared" si="641"/>
        <v>736.30266443369294</v>
      </c>
      <c r="AL384" s="48">
        <f t="shared" si="641"/>
        <v>741.45678308472884</v>
      </c>
      <c r="AM384" s="48">
        <f t="shared" si="641"/>
        <v>746.64698056632199</v>
      </c>
      <c r="AN384" s="48">
        <f t="shared" si="641"/>
        <v>751.87350943028628</v>
      </c>
      <c r="AO384" s="48">
        <f t="shared" si="641"/>
        <v>757.13662399629823</v>
      </c>
      <c r="AP384" s="48">
        <f t="shared" si="641"/>
        <v>762.43658036427223</v>
      </c>
      <c r="AQ384" s="48">
        <f t="shared" si="641"/>
        <v>767.77363642682224</v>
      </c>
      <c r="AR384" s="48">
        <f t="shared" si="641"/>
        <v>773.14805188181003</v>
      </c>
      <c r="AS384" s="48">
        <f t="shared" si="641"/>
        <v>778.56008824498258</v>
      </c>
      <c r="AT384" s="48">
        <f t="shared" si="641"/>
        <v>784.01000886269765</v>
      </c>
      <c r="AU384" s="48">
        <f t="shared" si="641"/>
        <v>789.49807892473655</v>
      </c>
      <c r="AV384" s="48">
        <f t="shared" si="641"/>
        <v>795.02456547720988</v>
      </c>
      <c r="AW384" s="48">
        <f t="shared" si="641"/>
        <v>800.58973743555043</v>
      </c>
      <c r="AX384" s="48">
        <f t="shared" si="641"/>
        <v>806.19386559759926</v>
      </c>
      <c r="AY384" s="48">
        <f t="shared" si="641"/>
        <v>811.8372226567825</v>
      </c>
      <c r="AZ384" s="48">
        <f t="shared" si="641"/>
        <v>817.52008321538005</v>
      </c>
      <c r="BA384" s="459">
        <f t="shared" si="641"/>
        <v>823.24272379788772</v>
      </c>
    </row>
    <row r="385" spans="19:53" ht="20.100000000000001" customHeight="1">
      <c r="S385" s="466" t="str">
        <f t="shared" ref="S385:S389" si="642">S378</f>
        <v>METRO</v>
      </c>
      <c r="T385" s="816" t="s">
        <v>2856</v>
      </c>
      <c r="U385" s="817"/>
      <c r="V385" s="201"/>
      <c r="W385" s="201"/>
      <c r="X385" s="40">
        <f t="shared" ref="X385:BA385" si="643">((100-$H$170)/100*X348)+($H$170/100*X378)</f>
        <v>0</v>
      </c>
      <c r="Y385" s="48">
        <f t="shared" si="643"/>
        <v>4417.708115672599</v>
      </c>
      <c r="Z385" s="48">
        <f t="shared" si="643"/>
        <v>4483.9737374076876</v>
      </c>
      <c r="AA385" s="48">
        <f t="shared" si="643"/>
        <v>4551.2333434688026</v>
      </c>
      <c r="AB385" s="48">
        <f t="shared" si="643"/>
        <v>4619.5018436208338</v>
      </c>
      <c r="AC385" s="48">
        <f t="shared" si="643"/>
        <v>4688.7943712751457</v>
      </c>
      <c r="AD385" s="48">
        <f t="shared" si="643"/>
        <v>4759.1262868442736</v>
      </c>
      <c r="AE385" s="48">
        <f t="shared" si="643"/>
        <v>4830.5131811469382</v>
      </c>
      <c r="AF385" s="48">
        <f t="shared" si="643"/>
        <v>4902.9708788641419</v>
      </c>
      <c r="AG385" s="48">
        <f t="shared" si="643"/>
        <v>4976.5154420471044</v>
      </c>
      <c r="AH385" s="48">
        <f t="shared" si="643"/>
        <v>5051.1631736778118</v>
      </c>
      <c r="AI385" s="48">
        <f t="shared" si="643"/>
        <v>5126.9306212829788</v>
      </c>
      <c r="AJ385" s="48">
        <f t="shared" si="643"/>
        <v>5203.8345806022244</v>
      </c>
      <c r="AK385" s="48">
        <f t="shared" si="643"/>
        <v>5281.892099311257</v>
      </c>
      <c r="AL385" s="48">
        <f t="shared" si="643"/>
        <v>5361.1204808009261</v>
      </c>
      <c r="AM385" s="48">
        <f t="shared" si="643"/>
        <v>5441.5372880129398</v>
      </c>
      <c r="AN385" s="48">
        <f t="shared" si="643"/>
        <v>5523.1603473331343</v>
      </c>
      <c r="AO385" s="48">
        <f t="shared" si="643"/>
        <v>5606.0077525431316</v>
      </c>
      <c r="AP385" s="48">
        <f t="shared" si="643"/>
        <v>5690.0978688312789</v>
      </c>
      <c r="AQ385" s="48">
        <f t="shared" si="643"/>
        <v>5775.4493368637477</v>
      </c>
      <c r="AR385" s="48">
        <f t="shared" si="643"/>
        <v>5862.0810769167047</v>
      </c>
      <c r="AS385" s="48">
        <f t="shared" si="643"/>
        <v>5950.0122930704556</v>
      </c>
      <c r="AT385" s="48">
        <f t="shared" si="643"/>
        <v>6039.2624774665119</v>
      </c>
      <c r="AU385" s="48">
        <f t="shared" si="643"/>
        <v>6129.8514146285097</v>
      </c>
      <c r="AV385" s="48">
        <f t="shared" si="643"/>
        <v>6221.7991858479381</v>
      </c>
      <c r="AW385" s="48">
        <f t="shared" si="643"/>
        <v>6315.1261736356564</v>
      </c>
      <c r="AX385" s="48">
        <f t="shared" si="643"/>
        <v>6409.8530662401909</v>
      </c>
      <c r="AY385" s="48">
        <f t="shared" si="643"/>
        <v>6506.0008622337937</v>
      </c>
      <c r="AZ385" s="48">
        <f t="shared" si="643"/>
        <v>6603.5908751673005</v>
      </c>
      <c r="BA385" s="459">
        <f t="shared" si="643"/>
        <v>6702.6447382948099</v>
      </c>
    </row>
    <row r="386" spans="19:53" ht="20.100000000000001" customHeight="1">
      <c r="S386" s="466" t="str">
        <f t="shared" si="642"/>
        <v>TRAM</v>
      </c>
      <c r="T386" s="816" t="s">
        <v>2857</v>
      </c>
      <c r="U386" s="817"/>
      <c r="V386" s="201"/>
      <c r="W386" s="201"/>
      <c r="X386" s="40">
        <f t="shared" ref="X386:BA386" si="644">((100-$H$170)/100*X349)+($H$170/100*X379)</f>
        <v>0</v>
      </c>
      <c r="Y386" s="48">
        <f t="shared" si="644"/>
        <v>938.89718796498403</v>
      </c>
      <c r="Z386" s="48">
        <f t="shared" si="644"/>
        <v>952.98064578445883</v>
      </c>
      <c r="AA386" s="48">
        <f t="shared" si="644"/>
        <v>967.27535547122568</v>
      </c>
      <c r="AB386" s="48">
        <f t="shared" si="644"/>
        <v>981.78448580329393</v>
      </c>
      <c r="AC386" s="48">
        <f t="shared" si="644"/>
        <v>996.51125309034342</v>
      </c>
      <c r="AD386" s="48">
        <f t="shared" si="644"/>
        <v>1011.4589218866984</v>
      </c>
      <c r="AE386" s="48">
        <f t="shared" si="644"/>
        <v>1026.6308057149988</v>
      </c>
      <c r="AF386" s="48">
        <f t="shared" si="644"/>
        <v>1042.0302678007238</v>
      </c>
      <c r="AG386" s="48">
        <f t="shared" si="644"/>
        <v>1057.6607218177346</v>
      </c>
      <c r="AH386" s="48">
        <f t="shared" si="644"/>
        <v>1072.4679719231831</v>
      </c>
      <c r="AI386" s="48">
        <f t="shared" si="644"/>
        <v>1087.4825235301075</v>
      </c>
      <c r="AJ386" s="48">
        <f t="shared" si="644"/>
        <v>1102.7072788595292</v>
      </c>
      <c r="AK386" s="48">
        <f t="shared" si="644"/>
        <v>1118.1451807635626</v>
      </c>
      <c r="AL386" s="48">
        <f t="shared" si="644"/>
        <v>1133.7992132942527</v>
      </c>
      <c r="AM386" s="48">
        <f t="shared" si="644"/>
        <v>1149.6724022803721</v>
      </c>
      <c r="AN386" s="48">
        <f t="shared" si="644"/>
        <v>1165.7678159122975</v>
      </c>
      <c r="AO386" s="48">
        <f t="shared" si="644"/>
        <v>1182.0885653350697</v>
      </c>
      <c r="AP386" s="48">
        <f t="shared" si="644"/>
        <v>1198.6378052497607</v>
      </c>
      <c r="AQ386" s="48">
        <f t="shared" si="644"/>
        <v>1215.4187345232574</v>
      </c>
      <c r="AR386" s="48">
        <f t="shared" si="644"/>
        <v>1232.4345968065829</v>
      </c>
      <c r="AS386" s="48">
        <f t="shared" si="644"/>
        <v>1249.6886811618751</v>
      </c>
      <c r="AT386" s="48">
        <f t="shared" si="644"/>
        <v>1267.1843226981416</v>
      </c>
      <c r="AU386" s="48">
        <f t="shared" si="644"/>
        <v>1284.9249032159157</v>
      </c>
      <c r="AV386" s="48">
        <f t="shared" si="644"/>
        <v>1302.9138518609386</v>
      </c>
      <c r="AW386" s="48">
        <f t="shared" si="644"/>
        <v>1321.154645786992</v>
      </c>
      <c r="AX386" s="48">
        <f t="shared" si="644"/>
        <v>1339.6508108280102</v>
      </c>
      <c r="AY386" s="48">
        <f t="shared" si="644"/>
        <v>1358.4059221796024</v>
      </c>
      <c r="AZ386" s="48">
        <f t="shared" si="644"/>
        <v>1377.4236050901168</v>
      </c>
      <c r="BA386" s="459">
        <f t="shared" si="644"/>
        <v>1396.7075355613788</v>
      </c>
    </row>
    <row r="387" spans="19:53" ht="20.100000000000001" customHeight="1">
      <c r="S387" s="466" t="str">
        <f t="shared" si="642"/>
        <v>PASSENGER TRAIN</v>
      </c>
      <c r="T387" s="816" t="s">
        <v>2858</v>
      </c>
      <c r="U387" s="817"/>
      <c r="V387" s="201"/>
      <c r="W387" s="201"/>
      <c r="X387" s="40">
        <f t="shared" ref="X387:BA387" si="645">((100-$H$170)/100*X350)+($H$170/100*X380)</f>
        <v>0</v>
      </c>
      <c r="Y387" s="48">
        <f t="shared" si="645"/>
        <v>324.54160675164411</v>
      </c>
      <c r="Z387" s="48">
        <f t="shared" si="645"/>
        <v>329.40973085291881</v>
      </c>
      <c r="AA387" s="48">
        <f t="shared" si="645"/>
        <v>334.35087681571258</v>
      </c>
      <c r="AB387" s="48">
        <f t="shared" si="645"/>
        <v>339.3661399679483</v>
      </c>
      <c r="AC387" s="48">
        <f t="shared" si="645"/>
        <v>344.45663206746752</v>
      </c>
      <c r="AD387" s="48">
        <f t="shared" si="645"/>
        <v>349.62348154847956</v>
      </c>
      <c r="AE387" s="48">
        <f t="shared" si="645"/>
        <v>354.86783377170673</v>
      </c>
      <c r="AF387" s="48">
        <f t="shared" si="645"/>
        <v>360.19085127828231</v>
      </c>
      <c r="AG387" s="48">
        <f t="shared" si="645"/>
        <v>365.59371404745661</v>
      </c>
      <c r="AH387" s="48">
        <f t="shared" si="645"/>
        <v>370.71202604412105</v>
      </c>
      <c r="AI387" s="48">
        <f t="shared" si="645"/>
        <v>375.9019944087388</v>
      </c>
      <c r="AJ387" s="48">
        <f t="shared" si="645"/>
        <v>381.16462233046116</v>
      </c>
      <c r="AK387" s="48">
        <f t="shared" si="645"/>
        <v>386.5009270430877</v>
      </c>
      <c r="AL387" s="48">
        <f t="shared" si="645"/>
        <v>391.9119400216909</v>
      </c>
      <c r="AM387" s="48">
        <f t="shared" si="645"/>
        <v>397.39870718199455</v>
      </c>
      <c r="AN387" s="48">
        <f t="shared" si="645"/>
        <v>402.9622890825425</v>
      </c>
      <c r="AO387" s="48">
        <f t="shared" si="645"/>
        <v>408.60376112969811</v>
      </c>
      <c r="AP387" s="48">
        <f t="shared" si="645"/>
        <v>414.32421378551396</v>
      </c>
      <c r="AQ387" s="48">
        <f t="shared" si="645"/>
        <v>420.12475277851121</v>
      </c>
      <c r="AR387" s="48">
        <f t="shared" si="645"/>
        <v>426.00649931741037</v>
      </c>
      <c r="AS387" s="48">
        <f t="shared" si="645"/>
        <v>431.97059030785414</v>
      </c>
      <c r="AT387" s="48">
        <f t="shared" si="645"/>
        <v>438.01817857216412</v>
      </c>
      <c r="AU387" s="48">
        <f t="shared" si="645"/>
        <v>444.15043307217445</v>
      </c>
      <c r="AV387" s="48">
        <f t="shared" si="645"/>
        <v>450.3685391351849</v>
      </c>
      <c r="AW387" s="48">
        <f t="shared" si="645"/>
        <v>456.67369868307753</v>
      </c>
      <c r="AX387" s="48">
        <f t="shared" si="645"/>
        <v>463.06713046464063</v>
      </c>
      <c r="AY387" s="48">
        <f t="shared" si="645"/>
        <v>469.55007029114563</v>
      </c>
      <c r="AZ387" s="48">
        <f t="shared" si="645"/>
        <v>476.12377127522177</v>
      </c>
      <c r="BA387" s="459">
        <f t="shared" si="645"/>
        <v>482.78950407307491</v>
      </c>
    </row>
    <row r="388" spans="19:53" ht="20.100000000000001" customHeight="1">
      <c r="S388" s="466" t="str">
        <f t="shared" si="642"/>
        <v>PASSENGER CAR</v>
      </c>
      <c r="T388" s="816" t="s">
        <v>2859</v>
      </c>
      <c r="U388" s="817"/>
      <c r="V388" s="201"/>
      <c r="W388" s="201"/>
      <c r="X388" s="40">
        <f t="shared" ref="X388:BA388" si="646">((100-$H$170)/100*X351)+($H$170/100*X381)</f>
        <v>0</v>
      </c>
      <c r="Y388" s="48">
        <f t="shared" si="646"/>
        <v>2711.2859462812826</v>
      </c>
      <c r="Z388" s="48">
        <f t="shared" si="646"/>
        <v>2765.5116652069082</v>
      </c>
      <c r="AA388" s="48">
        <f t="shared" si="646"/>
        <v>2820.8218985110466</v>
      </c>
      <c r="AB388" s="48">
        <f t="shared" si="646"/>
        <v>2877.2383364812677</v>
      </c>
      <c r="AC388" s="48">
        <f t="shared" si="646"/>
        <v>2934.7831032108929</v>
      </c>
      <c r="AD388" s="48">
        <f t="shared" si="646"/>
        <v>2993.4787652751106</v>
      </c>
      <c r="AE388" s="48">
        <f t="shared" si="646"/>
        <v>3053.3483405806128</v>
      </c>
      <c r="AF388" s="48">
        <f t="shared" si="646"/>
        <v>3114.4153073922253</v>
      </c>
      <c r="AG388" s="48">
        <f t="shared" si="646"/>
        <v>3176.7036135400699</v>
      </c>
      <c r="AH388" s="48">
        <f t="shared" si="646"/>
        <v>3218.0007605160908</v>
      </c>
      <c r="AI388" s="48">
        <f t="shared" si="646"/>
        <v>3259.8347704028006</v>
      </c>
      <c r="AJ388" s="48">
        <f t="shared" si="646"/>
        <v>3302.2126224180365</v>
      </c>
      <c r="AK388" s="48">
        <f t="shared" si="646"/>
        <v>3345.141386509471</v>
      </c>
      <c r="AL388" s="48">
        <f t="shared" si="646"/>
        <v>3388.6282245340935</v>
      </c>
      <c r="AM388" s="48">
        <f t="shared" si="646"/>
        <v>3432.6803914530365</v>
      </c>
      <c r="AN388" s="48">
        <f t="shared" si="646"/>
        <v>3477.3052365419262</v>
      </c>
      <c r="AO388" s="48">
        <f t="shared" si="646"/>
        <v>3522.5102046169709</v>
      </c>
      <c r="AP388" s="48">
        <f t="shared" si="646"/>
        <v>3568.3028372769918</v>
      </c>
      <c r="AQ388" s="48">
        <f t="shared" si="646"/>
        <v>3614.6907741615928</v>
      </c>
      <c r="AR388" s="48">
        <f t="shared" si="646"/>
        <v>3661.6817542256936</v>
      </c>
      <c r="AS388" s="48">
        <f t="shared" si="646"/>
        <v>3709.2836170306277</v>
      </c>
      <c r="AT388" s="48">
        <f t="shared" si="646"/>
        <v>3757.5043040520259</v>
      </c>
      <c r="AU388" s="48">
        <f t="shared" si="646"/>
        <v>3806.3518600047023</v>
      </c>
      <c r="AV388" s="48">
        <f t="shared" si="646"/>
        <v>3855.8344341847633</v>
      </c>
      <c r="AW388" s="48">
        <f t="shared" si="646"/>
        <v>3905.9602818291655</v>
      </c>
      <c r="AX388" s="48">
        <f t="shared" si="646"/>
        <v>3956.7377654929446</v>
      </c>
      <c r="AY388" s="48">
        <f t="shared" si="646"/>
        <v>4008.1753564443525</v>
      </c>
      <c r="AZ388" s="48">
        <f t="shared" si="646"/>
        <v>4060.2816360781294</v>
      </c>
      <c r="BA388" s="459">
        <f t="shared" si="646"/>
        <v>4113.0652973471451</v>
      </c>
    </row>
    <row r="389" spans="19:53" ht="20.100000000000001" customHeight="1" thickBot="1">
      <c r="S389" s="467" t="str">
        <f t="shared" si="642"/>
        <v>TOTAL, pkm / capita, a</v>
      </c>
      <c r="T389" s="513"/>
      <c r="U389" s="203"/>
      <c r="V389" s="203"/>
      <c r="W389" s="203"/>
      <c r="X389" s="464">
        <f>SUM(X384:X388)</f>
        <v>0</v>
      </c>
      <c r="Y389" s="447">
        <f t="shared" ref="Y389:BA389" si="647">SUM(Y384:Y388)</f>
        <v>9064.2548744233154</v>
      </c>
      <c r="Z389" s="447">
        <f t="shared" si="647"/>
        <v>9209.0723731468024</v>
      </c>
      <c r="AA389" s="447">
        <f t="shared" si="647"/>
        <v>9356.2956409127728</v>
      </c>
      <c r="AB389" s="447">
        <f t="shared" si="647"/>
        <v>9505.9658858524981</v>
      </c>
      <c r="AC389" s="447">
        <f t="shared" si="647"/>
        <v>9658.1250402628375</v>
      </c>
      <c r="AD389" s="447">
        <f t="shared" si="647"/>
        <v>9812.8157736185003</v>
      </c>
      <c r="AE389" s="447">
        <f t="shared" si="647"/>
        <v>9970.0815058227072</v>
      </c>
      <c r="AF389" s="447">
        <f t="shared" si="647"/>
        <v>10129.96642070069</v>
      </c>
      <c r="AG389" s="447">
        <f t="shared" si="647"/>
        <v>10292.515479740607</v>
      </c>
      <c r="AH389" s="447">
        <f t="shared" si="647"/>
        <v>10433.398214367466</v>
      </c>
      <c r="AI389" s="447">
        <f t="shared" si="647"/>
        <v>10576.251571806328</v>
      </c>
      <c r="AJ389" s="447">
        <f t="shared" si="647"/>
        <v>10721.103478027224</v>
      </c>
      <c r="AK389" s="447">
        <f t="shared" si="647"/>
        <v>10867.982258061071</v>
      </c>
      <c r="AL389" s="447">
        <f t="shared" si="647"/>
        <v>11016.916641735692</v>
      </c>
      <c r="AM389" s="447">
        <f t="shared" si="647"/>
        <v>11167.935769494665</v>
      </c>
      <c r="AN389" s="447">
        <f t="shared" si="647"/>
        <v>11321.069198300185</v>
      </c>
      <c r="AO389" s="447">
        <f t="shared" si="647"/>
        <v>11476.346907621168</v>
      </c>
      <c r="AP389" s="447">
        <f t="shared" si="647"/>
        <v>11633.799305507817</v>
      </c>
      <c r="AQ389" s="447">
        <f t="shared" si="647"/>
        <v>11793.457234753931</v>
      </c>
      <c r="AR389" s="447">
        <f t="shared" si="647"/>
        <v>11955.351979148201</v>
      </c>
      <c r="AS389" s="447">
        <f t="shared" si="647"/>
        <v>12119.515269815794</v>
      </c>
      <c r="AT389" s="447">
        <f t="shared" si="647"/>
        <v>12285.97929165154</v>
      </c>
      <c r="AU389" s="447">
        <f t="shared" si="647"/>
        <v>12454.77668984604</v>
      </c>
      <c r="AV389" s="447">
        <f t="shared" si="647"/>
        <v>12625.940576506033</v>
      </c>
      <c r="AW389" s="447">
        <f t="shared" si="647"/>
        <v>12799.504537370443</v>
      </c>
      <c r="AX389" s="447">
        <f t="shared" si="647"/>
        <v>12975.502638623384</v>
      </c>
      <c r="AY389" s="447">
        <f t="shared" si="647"/>
        <v>13153.969433805676</v>
      </c>
      <c r="AZ389" s="447">
        <f t="shared" si="647"/>
        <v>13334.939970826148</v>
      </c>
      <c r="BA389" s="461">
        <f t="shared" si="647"/>
        <v>13518.449799074297</v>
      </c>
    </row>
    <row r="392" spans="19:53" ht="20.100000000000001" customHeight="1" thickBot="1">
      <c r="S392" s="885" t="s">
        <v>2751</v>
      </c>
      <c r="T392" s="6" t="s">
        <v>66</v>
      </c>
      <c r="U392" s="6"/>
      <c r="V392" s="6"/>
      <c r="W392" s="6"/>
    </row>
    <row r="393" spans="19:53" ht="20.100000000000001" customHeight="1">
      <c r="S393" s="510"/>
      <c r="T393" s="492"/>
      <c r="U393" s="202"/>
      <c r="V393" s="202"/>
      <c r="W393" s="202"/>
      <c r="X393" s="462">
        <f t="shared" ref="X393:BA393" si="648">X337</f>
        <v>2021</v>
      </c>
      <c r="Y393" s="462">
        <f t="shared" si="648"/>
        <v>2022</v>
      </c>
      <c r="Z393" s="462">
        <f t="shared" si="648"/>
        <v>2023</v>
      </c>
      <c r="AA393" s="462">
        <f t="shared" si="648"/>
        <v>2024</v>
      </c>
      <c r="AB393" s="462">
        <f t="shared" si="648"/>
        <v>2025</v>
      </c>
      <c r="AC393" s="462">
        <f t="shared" si="648"/>
        <v>2026</v>
      </c>
      <c r="AD393" s="462">
        <f t="shared" si="648"/>
        <v>2027</v>
      </c>
      <c r="AE393" s="462">
        <f t="shared" si="648"/>
        <v>2028</v>
      </c>
      <c r="AF393" s="462">
        <f t="shared" si="648"/>
        <v>2029</v>
      </c>
      <c r="AG393" s="462">
        <f t="shared" si="648"/>
        <v>2030</v>
      </c>
      <c r="AH393" s="462">
        <f t="shared" si="648"/>
        <v>2031</v>
      </c>
      <c r="AI393" s="462">
        <f t="shared" si="648"/>
        <v>2032</v>
      </c>
      <c r="AJ393" s="462">
        <f t="shared" si="648"/>
        <v>2033</v>
      </c>
      <c r="AK393" s="462">
        <f t="shared" si="648"/>
        <v>2034</v>
      </c>
      <c r="AL393" s="462">
        <f t="shared" si="648"/>
        <v>2035</v>
      </c>
      <c r="AM393" s="462">
        <f t="shared" si="648"/>
        <v>2036</v>
      </c>
      <c r="AN393" s="462">
        <f t="shared" si="648"/>
        <v>2037</v>
      </c>
      <c r="AO393" s="462">
        <f t="shared" si="648"/>
        <v>2038</v>
      </c>
      <c r="AP393" s="462">
        <f t="shared" si="648"/>
        <v>2039</v>
      </c>
      <c r="AQ393" s="462">
        <f t="shared" si="648"/>
        <v>2040</v>
      </c>
      <c r="AR393" s="462">
        <f t="shared" si="648"/>
        <v>2041</v>
      </c>
      <c r="AS393" s="462">
        <f t="shared" si="648"/>
        <v>2042</v>
      </c>
      <c r="AT393" s="462">
        <f t="shared" si="648"/>
        <v>2043</v>
      </c>
      <c r="AU393" s="462">
        <f t="shared" si="648"/>
        <v>2044</v>
      </c>
      <c r="AV393" s="462">
        <f t="shared" si="648"/>
        <v>2045</v>
      </c>
      <c r="AW393" s="462">
        <f t="shared" si="648"/>
        <v>2046</v>
      </c>
      <c r="AX393" s="462">
        <f t="shared" si="648"/>
        <v>2047</v>
      </c>
      <c r="AY393" s="462">
        <f t="shared" si="648"/>
        <v>2048</v>
      </c>
      <c r="AZ393" s="462">
        <f t="shared" si="648"/>
        <v>2049</v>
      </c>
      <c r="BA393" s="463">
        <f t="shared" si="648"/>
        <v>2050</v>
      </c>
    </row>
    <row r="394" spans="19:53" ht="20.100000000000001" customHeight="1" thickBot="1">
      <c r="S394" s="802" t="s">
        <v>138</v>
      </c>
      <c r="T394" s="500"/>
      <c r="U394" s="483"/>
      <c r="V394" s="483"/>
      <c r="W394" s="483"/>
      <c r="X394" s="483"/>
      <c r="Y394" s="484">
        <f t="shared" ref="Y394:BA394" si="649">IF(AND(Y393&gt;(2020+$F$160),Y393&lt;(2022+$G$160)),X394+($F$158/($G$160-$F$160+1)),X394)</f>
        <v>0</v>
      </c>
      <c r="Z394" s="484">
        <f t="shared" si="649"/>
        <v>0</v>
      </c>
      <c r="AA394" s="484">
        <f t="shared" si="649"/>
        <v>0</v>
      </c>
      <c r="AB394" s="484">
        <f t="shared" si="649"/>
        <v>0</v>
      </c>
      <c r="AC394" s="484">
        <f t="shared" si="649"/>
        <v>0</v>
      </c>
      <c r="AD394" s="484">
        <f t="shared" si="649"/>
        <v>0</v>
      </c>
      <c r="AE394" s="484">
        <f t="shared" si="649"/>
        <v>0</v>
      </c>
      <c r="AF394" s="484">
        <f t="shared" si="649"/>
        <v>0</v>
      </c>
      <c r="AG394" s="484">
        <f t="shared" si="649"/>
        <v>0</v>
      </c>
      <c r="AH394" s="484">
        <f t="shared" si="649"/>
        <v>0</v>
      </c>
      <c r="AI394" s="484">
        <f t="shared" si="649"/>
        <v>0</v>
      </c>
      <c r="AJ394" s="484">
        <f t="shared" si="649"/>
        <v>0</v>
      </c>
      <c r="AK394" s="484">
        <f t="shared" si="649"/>
        <v>0</v>
      </c>
      <c r="AL394" s="484">
        <f t="shared" si="649"/>
        <v>0</v>
      </c>
      <c r="AM394" s="484">
        <f t="shared" si="649"/>
        <v>0</v>
      </c>
      <c r="AN394" s="484">
        <f t="shared" si="649"/>
        <v>0</v>
      </c>
      <c r="AO394" s="484">
        <f t="shared" si="649"/>
        <v>0</v>
      </c>
      <c r="AP394" s="484">
        <f t="shared" si="649"/>
        <v>0</v>
      </c>
      <c r="AQ394" s="484">
        <f t="shared" si="649"/>
        <v>0</v>
      </c>
      <c r="AR394" s="484">
        <f t="shared" si="649"/>
        <v>0</v>
      </c>
      <c r="AS394" s="484">
        <f t="shared" si="649"/>
        <v>0</v>
      </c>
      <c r="AT394" s="484">
        <f t="shared" si="649"/>
        <v>0</v>
      </c>
      <c r="AU394" s="484">
        <f t="shared" si="649"/>
        <v>0</v>
      </c>
      <c r="AV394" s="484">
        <f t="shared" si="649"/>
        <v>0</v>
      </c>
      <c r="AW394" s="484">
        <f t="shared" si="649"/>
        <v>0</v>
      </c>
      <c r="AX394" s="484">
        <f t="shared" si="649"/>
        <v>0</v>
      </c>
      <c r="AY394" s="484">
        <f t="shared" si="649"/>
        <v>0</v>
      </c>
      <c r="AZ394" s="484">
        <f t="shared" si="649"/>
        <v>0</v>
      </c>
      <c r="BA394" s="485">
        <f t="shared" si="649"/>
        <v>0</v>
      </c>
    </row>
    <row r="395" spans="19:53" ht="20.100000000000001" customHeight="1">
      <c r="S395" s="491" t="s">
        <v>2711</v>
      </c>
      <c r="T395" s="495"/>
      <c r="U395" s="486"/>
      <c r="V395" s="486"/>
      <c r="W395" s="486"/>
      <c r="X395" s="497">
        <f>X393</f>
        <v>2021</v>
      </c>
      <c r="Y395" s="497">
        <f t="shared" ref="Y395:BA395" si="650">Y393</f>
        <v>2022</v>
      </c>
      <c r="Z395" s="497">
        <f t="shared" si="650"/>
        <v>2023</v>
      </c>
      <c r="AA395" s="497">
        <f t="shared" si="650"/>
        <v>2024</v>
      </c>
      <c r="AB395" s="497">
        <f t="shared" si="650"/>
        <v>2025</v>
      </c>
      <c r="AC395" s="497">
        <f t="shared" si="650"/>
        <v>2026</v>
      </c>
      <c r="AD395" s="497">
        <f t="shared" si="650"/>
        <v>2027</v>
      </c>
      <c r="AE395" s="497">
        <f t="shared" si="650"/>
        <v>2028</v>
      </c>
      <c r="AF395" s="497">
        <f t="shared" si="650"/>
        <v>2029</v>
      </c>
      <c r="AG395" s="497">
        <f t="shared" si="650"/>
        <v>2030</v>
      </c>
      <c r="AH395" s="497">
        <f t="shared" si="650"/>
        <v>2031</v>
      </c>
      <c r="AI395" s="497">
        <f t="shared" si="650"/>
        <v>2032</v>
      </c>
      <c r="AJ395" s="497">
        <f t="shared" si="650"/>
        <v>2033</v>
      </c>
      <c r="AK395" s="497">
        <f t="shared" si="650"/>
        <v>2034</v>
      </c>
      <c r="AL395" s="497">
        <f t="shared" si="650"/>
        <v>2035</v>
      </c>
      <c r="AM395" s="497">
        <f t="shared" si="650"/>
        <v>2036</v>
      </c>
      <c r="AN395" s="497">
        <f t="shared" si="650"/>
        <v>2037</v>
      </c>
      <c r="AO395" s="497">
        <f t="shared" si="650"/>
        <v>2038</v>
      </c>
      <c r="AP395" s="497">
        <f t="shared" si="650"/>
        <v>2039</v>
      </c>
      <c r="AQ395" s="497">
        <f t="shared" si="650"/>
        <v>2040</v>
      </c>
      <c r="AR395" s="497">
        <f t="shared" si="650"/>
        <v>2041</v>
      </c>
      <c r="AS395" s="497">
        <f t="shared" si="650"/>
        <v>2042</v>
      </c>
      <c r="AT395" s="497">
        <f t="shared" si="650"/>
        <v>2043</v>
      </c>
      <c r="AU395" s="497">
        <f t="shared" si="650"/>
        <v>2044</v>
      </c>
      <c r="AV395" s="497">
        <f t="shared" si="650"/>
        <v>2045</v>
      </c>
      <c r="AW395" s="497">
        <f t="shared" si="650"/>
        <v>2046</v>
      </c>
      <c r="AX395" s="497">
        <f t="shared" si="650"/>
        <v>2047</v>
      </c>
      <c r="AY395" s="497">
        <f t="shared" si="650"/>
        <v>2048</v>
      </c>
      <c r="AZ395" s="497">
        <f t="shared" si="650"/>
        <v>2049</v>
      </c>
      <c r="BA395" s="498">
        <f t="shared" si="650"/>
        <v>2050</v>
      </c>
    </row>
    <row r="396" spans="19:53" ht="20.100000000000001" customHeight="1">
      <c r="S396" s="466" t="s">
        <v>56</v>
      </c>
      <c r="T396" s="455" t="s">
        <v>2680</v>
      </c>
      <c r="U396" s="453"/>
      <c r="V396" s="453"/>
      <c r="W396" s="453"/>
      <c r="X396" s="445">
        <f t="shared" ref="X396:BA396" si="651">(100-X$394)/100*X281</f>
        <v>0</v>
      </c>
      <c r="Y396" s="195">
        <f t="shared" si="651"/>
        <v>0</v>
      </c>
      <c r="Z396" s="195">
        <f t="shared" si="651"/>
        <v>0</v>
      </c>
      <c r="AA396" s="195">
        <f t="shared" si="651"/>
        <v>0</v>
      </c>
      <c r="AB396" s="195">
        <f t="shared" si="651"/>
        <v>0</v>
      </c>
      <c r="AC396" s="195">
        <f t="shared" si="651"/>
        <v>0</v>
      </c>
      <c r="AD396" s="195">
        <f t="shared" si="651"/>
        <v>0</v>
      </c>
      <c r="AE396" s="195">
        <f t="shared" si="651"/>
        <v>0</v>
      </c>
      <c r="AF396" s="195">
        <f t="shared" si="651"/>
        <v>0</v>
      </c>
      <c r="AG396" s="195">
        <f t="shared" si="651"/>
        <v>0</v>
      </c>
      <c r="AH396" s="195">
        <f t="shared" si="651"/>
        <v>0</v>
      </c>
      <c r="AI396" s="195">
        <f t="shared" si="651"/>
        <v>0</v>
      </c>
      <c r="AJ396" s="195">
        <f t="shared" si="651"/>
        <v>0</v>
      </c>
      <c r="AK396" s="195">
        <f t="shared" si="651"/>
        <v>0</v>
      </c>
      <c r="AL396" s="195">
        <f t="shared" si="651"/>
        <v>0</v>
      </c>
      <c r="AM396" s="195">
        <f t="shared" si="651"/>
        <v>0</v>
      </c>
      <c r="AN396" s="195">
        <f t="shared" si="651"/>
        <v>0</v>
      </c>
      <c r="AO396" s="195">
        <f t="shared" si="651"/>
        <v>0</v>
      </c>
      <c r="AP396" s="195">
        <f t="shared" si="651"/>
        <v>0</v>
      </c>
      <c r="AQ396" s="195">
        <f t="shared" si="651"/>
        <v>0</v>
      </c>
      <c r="AR396" s="195">
        <f t="shared" si="651"/>
        <v>0</v>
      </c>
      <c r="AS396" s="195">
        <f t="shared" si="651"/>
        <v>0</v>
      </c>
      <c r="AT396" s="195">
        <f t="shared" si="651"/>
        <v>0</v>
      </c>
      <c r="AU396" s="195">
        <f t="shared" si="651"/>
        <v>0</v>
      </c>
      <c r="AV396" s="195">
        <f t="shared" si="651"/>
        <v>0</v>
      </c>
      <c r="AW396" s="195">
        <f t="shared" si="651"/>
        <v>0</v>
      </c>
      <c r="AX396" s="195">
        <f t="shared" si="651"/>
        <v>0</v>
      </c>
      <c r="AY396" s="195">
        <f t="shared" si="651"/>
        <v>0</v>
      </c>
      <c r="AZ396" s="195">
        <f t="shared" si="651"/>
        <v>0</v>
      </c>
      <c r="BA396" s="707">
        <f t="shared" si="651"/>
        <v>0</v>
      </c>
    </row>
    <row r="397" spans="19:53" ht="20.100000000000001" customHeight="1">
      <c r="S397" s="466" t="s">
        <v>57</v>
      </c>
      <c r="T397" s="455" t="s">
        <v>2681</v>
      </c>
      <c r="U397" s="453"/>
      <c r="V397" s="453"/>
      <c r="W397" s="453"/>
      <c r="X397" s="445">
        <f t="shared" ref="X397:BA397" si="652">(100-X$394)/100*X282</f>
        <v>0</v>
      </c>
      <c r="Y397" s="195">
        <f t="shared" si="652"/>
        <v>54050.262275736604</v>
      </c>
      <c r="Z397" s="195">
        <f t="shared" si="652"/>
        <v>55401.518832630019</v>
      </c>
      <c r="AA397" s="195">
        <f t="shared" si="652"/>
        <v>56786.556803445761</v>
      </c>
      <c r="AB397" s="195">
        <f t="shared" si="652"/>
        <v>58206.220723531907</v>
      </c>
      <c r="AC397" s="195">
        <f t="shared" si="652"/>
        <v>59661.376241620201</v>
      </c>
      <c r="AD397" s="195">
        <f t="shared" si="652"/>
        <v>61152.910647660712</v>
      </c>
      <c r="AE397" s="195">
        <f t="shared" si="652"/>
        <v>62681.733413852227</v>
      </c>
      <c r="AF397" s="195">
        <f t="shared" si="652"/>
        <v>64248.776749198529</v>
      </c>
      <c r="AG397" s="195">
        <f t="shared" si="652"/>
        <v>65854.99616792849</v>
      </c>
      <c r="AH397" s="195">
        <f t="shared" si="652"/>
        <v>66711.111118111556</v>
      </c>
      <c r="AI397" s="195">
        <f t="shared" si="652"/>
        <v>67578.355562647004</v>
      </c>
      <c r="AJ397" s="195">
        <f t="shared" si="652"/>
        <v>68456.874184961416</v>
      </c>
      <c r="AK397" s="195">
        <f t="shared" si="652"/>
        <v>69346.813549365921</v>
      </c>
      <c r="AL397" s="195">
        <f t="shared" si="652"/>
        <v>70248.322125507664</v>
      </c>
      <c r="AM397" s="195">
        <f t="shared" si="652"/>
        <v>71161.550313139276</v>
      </c>
      <c r="AN397" s="195">
        <f t="shared" si="652"/>
        <v>72086.650467210071</v>
      </c>
      <c r="AO397" s="195">
        <f t="shared" si="652"/>
        <v>73023.776923283804</v>
      </c>
      <c r="AP397" s="195">
        <f t="shared" si="652"/>
        <v>73973.086023286494</v>
      </c>
      <c r="AQ397" s="195">
        <f t="shared" si="652"/>
        <v>74934.736141589208</v>
      </c>
      <c r="AR397" s="195">
        <f t="shared" si="652"/>
        <v>75908.887711429867</v>
      </c>
      <c r="AS397" s="195">
        <f t="shared" si="652"/>
        <v>76895.703251678453</v>
      </c>
      <c r="AT397" s="195">
        <f t="shared" si="652"/>
        <v>77895.347393950273</v>
      </c>
      <c r="AU397" s="195">
        <f t="shared" si="652"/>
        <v>78907.986910071631</v>
      </c>
      <c r="AV397" s="195">
        <f t="shared" si="652"/>
        <v>79933.790739902557</v>
      </c>
      <c r="AW397" s="195">
        <f t="shared" si="652"/>
        <v>80972.930019521285</v>
      </c>
      <c r="AX397" s="195">
        <f t="shared" si="652"/>
        <v>82025.578109775059</v>
      </c>
      <c r="AY397" s="195">
        <f t="shared" si="652"/>
        <v>83091.91062520213</v>
      </c>
      <c r="AZ397" s="195">
        <f t="shared" si="652"/>
        <v>84172.105463329761</v>
      </c>
      <c r="BA397" s="707">
        <f t="shared" si="652"/>
        <v>85266.34283435304</v>
      </c>
    </row>
    <row r="398" spans="19:53" ht="20.100000000000001" customHeight="1">
      <c r="S398" s="507" t="s">
        <v>58</v>
      </c>
      <c r="T398" s="803" t="s">
        <v>2681</v>
      </c>
      <c r="U398" s="804"/>
      <c r="V398" s="804"/>
      <c r="W398" s="804"/>
      <c r="X398" s="135">
        <f t="shared" ref="X398:BA398" si="653">(100-X$394)/100*X283</f>
        <v>0</v>
      </c>
      <c r="Y398" s="200">
        <f t="shared" si="653"/>
        <v>0</v>
      </c>
      <c r="Z398" s="200">
        <f t="shared" si="653"/>
        <v>0</v>
      </c>
      <c r="AA398" s="200">
        <f t="shared" si="653"/>
        <v>0</v>
      </c>
      <c r="AB398" s="200">
        <f t="shared" si="653"/>
        <v>0</v>
      </c>
      <c r="AC398" s="200">
        <f t="shared" si="653"/>
        <v>0</v>
      </c>
      <c r="AD398" s="200">
        <f t="shared" si="653"/>
        <v>0</v>
      </c>
      <c r="AE398" s="200">
        <f t="shared" si="653"/>
        <v>0</v>
      </c>
      <c r="AF398" s="200">
        <f t="shared" si="653"/>
        <v>0</v>
      </c>
      <c r="AG398" s="200">
        <f t="shared" si="653"/>
        <v>0</v>
      </c>
      <c r="AH398" s="200">
        <f t="shared" si="653"/>
        <v>0</v>
      </c>
      <c r="AI398" s="200">
        <f t="shared" si="653"/>
        <v>0</v>
      </c>
      <c r="AJ398" s="200">
        <f t="shared" si="653"/>
        <v>0</v>
      </c>
      <c r="AK398" s="200">
        <f t="shared" si="653"/>
        <v>0</v>
      </c>
      <c r="AL398" s="200">
        <f t="shared" si="653"/>
        <v>0</v>
      </c>
      <c r="AM398" s="200">
        <f t="shared" si="653"/>
        <v>0</v>
      </c>
      <c r="AN398" s="200">
        <f t="shared" si="653"/>
        <v>0</v>
      </c>
      <c r="AO398" s="200">
        <f t="shared" si="653"/>
        <v>0</v>
      </c>
      <c r="AP398" s="200">
        <f t="shared" si="653"/>
        <v>0</v>
      </c>
      <c r="AQ398" s="200">
        <f t="shared" si="653"/>
        <v>0</v>
      </c>
      <c r="AR398" s="200">
        <f t="shared" si="653"/>
        <v>0</v>
      </c>
      <c r="AS398" s="200">
        <f t="shared" si="653"/>
        <v>0</v>
      </c>
      <c r="AT398" s="200">
        <f t="shared" si="653"/>
        <v>0</v>
      </c>
      <c r="AU398" s="200">
        <f t="shared" si="653"/>
        <v>0</v>
      </c>
      <c r="AV398" s="200">
        <f t="shared" si="653"/>
        <v>0</v>
      </c>
      <c r="AW398" s="200">
        <f t="shared" si="653"/>
        <v>0</v>
      </c>
      <c r="AX398" s="200">
        <f t="shared" si="653"/>
        <v>0</v>
      </c>
      <c r="AY398" s="200">
        <f t="shared" si="653"/>
        <v>0</v>
      </c>
      <c r="AZ398" s="200">
        <f t="shared" si="653"/>
        <v>0</v>
      </c>
      <c r="BA398" s="805">
        <f t="shared" si="653"/>
        <v>0</v>
      </c>
    </row>
    <row r="399" spans="19:53" ht="20.100000000000001" customHeight="1" thickBot="1">
      <c r="S399" s="301" t="s">
        <v>128</v>
      </c>
      <c r="T399" s="139"/>
      <c r="U399" s="139"/>
      <c r="V399" s="139"/>
      <c r="W399" s="139"/>
      <c r="X399" s="155">
        <f>SUM(X396:X398)</f>
        <v>0</v>
      </c>
      <c r="Y399" s="155">
        <f t="shared" ref="Y399:BA399" si="654">SUM(Y396:Y398)</f>
        <v>54050.262275736604</v>
      </c>
      <c r="Z399" s="155">
        <f t="shared" si="654"/>
        <v>55401.518832630019</v>
      </c>
      <c r="AA399" s="155">
        <f t="shared" si="654"/>
        <v>56786.556803445761</v>
      </c>
      <c r="AB399" s="155">
        <f t="shared" si="654"/>
        <v>58206.220723531907</v>
      </c>
      <c r="AC399" s="155">
        <f t="shared" si="654"/>
        <v>59661.376241620201</v>
      </c>
      <c r="AD399" s="155">
        <f t="shared" si="654"/>
        <v>61152.910647660712</v>
      </c>
      <c r="AE399" s="155">
        <f t="shared" si="654"/>
        <v>62681.733413852227</v>
      </c>
      <c r="AF399" s="155">
        <f t="shared" si="654"/>
        <v>64248.776749198529</v>
      </c>
      <c r="AG399" s="155">
        <f t="shared" si="654"/>
        <v>65854.99616792849</v>
      </c>
      <c r="AH399" s="155">
        <f t="shared" si="654"/>
        <v>66711.111118111556</v>
      </c>
      <c r="AI399" s="155">
        <f t="shared" si="654"/>
        <v>67578.355562647004</v>
      </c>
      <c r="AJ399" s="155">
        <f t="shared" si="654"/>
        <v>68456.874184961416</v>
      </c>
      <c r="AK399" s="155">
        <f t="shared" si="654"/>
        <v>69346.813549365921</v>
      </c>
      <c r="AL399" s="155">
        <f t="shared" si="654"/>
        <v>70248.322125507664</v>
      </c>
      <c r="AM399" s="155">
        <f t="shared" si="654"/>
        <v>71161.550313139276</v>
      </c>
      <c r="AN399" s="155">
        <f t="shared" si="654"/>
        <v>72086.650467210071</v>
      </c>
      <c r="AO399" s="155">
        <f t="shared" si="654"/>
        <v>73023.776923283804</v>
      </c>
      <c r="AP399" s="155">
        <f t="shared" si="654"/>
        <v>73973.086023286494</v>
      </c>
      <c r="AQ399" s="155">
        <f t="shared" si="654"/>
        <v>74934.736141589208</v>
      </c>
      <c r="AR399" s="155">
        <f t="shared" si="654"/>
        <v>75908.887711429867</v>
      </c>
      <c r="AS399" s="155">
        <f t="shared" si="654"/>
        <v>76895.703251678453</v>
      </c>
      <c r="AT399" s="155">
        <f t="shared" si="654"/>
        <v>77895.347393950273</v>
      </c>
      <c r="AU399" s="155">
        <f t="shared" si="654"/>
        <v>78907.986910071631</v>
      </c>
      <c r="AV399" s="155">
        <f t="shared" si="654"/>
        <v>79933.790739902557</v>
      </c>
      <c r="AW399" s="155">
        <f t="shared" si="654"/>
        <v>80972.930019521285</v>
      </c>
      <c r="AX399" s="155">
        <f t="shared" si="654"/>
        <v>82025.578109775059</v>
      </c>
      <c r="AY399" s="155">
        <f t="shared" si="654"/>
        <v>83091.91062520213</v>
      </c>
      <c r="AZ399" s="155">
        <f t="shared" si="654"/>
        <v>84172.105463329761</v>
      </c>
      <c r="BA399" s="156">
        <f t="shared" si="654"/>
        <v>85266.34283435304</v>
      </c>
    </row>
    <row r="400" spans="19:53" ht="20.100000000000001" customHeight="1">
      <c r="S400" s="299" t="s">
        <v>2687</v>
      </c>
      <c r="T400" s="138"/>
      <c r="U400" s="138"/>
      <c r="V400" s="138"/>
      <c r="W400" s="138"/>
      <c r="X400" s="138"/>
      <c r="Y400" s="138"/>
      <c r="Z400" s="138"/>
      <c r="AA400" s="138"/>
      <c r="AB400" s="138"/>
      <c r="AC400" s="138"/>
      <c r="AD400" s="138"/>
      <c r="AE400" s="138"/>
      <c r="AF400" s="138"/>
      <c r="AG400" s="138"/>
      <c r="AH400" s="138"/>
      <c r="AI400" s="138"/>
      <c r="AJ400" s="138"/>
      <c r="AK400" s="138"/>
      <c r="AL400" s="138"/>
      <c r="AM400" s="138"/>
      <c r="AN400" s="138"/>
      <c r="AO400" s="138"/>
      <c r="AP400" s="138"/>
      <c r="AQ400" s="138"/>
      <c r="AR400" s="138"/>
      <c r="AS400" s="138"/>
      <c r="AT400" s="138"/>
      <c r="AU400" s="138"/>
      <c r="AV400" s="138"/>
      <c r="AW400" s="138"/>
      <c r="AX400" s="138"/>
      <c r="AY400" s="138"/>
      <c r="AZ400" s="138"/>
      <c r="BA400" s="556"/>
    </row>
    <row r="401" spans="19:53" ht="20.100000000000001" customHeight="1">
      <c r="S401" s="101" t="s">
        <v>56</v>
      </c>
      <c r="T401" s="131"/>
      <c r="U401" s="131"/>
      <c r="V401" s="131"/>
      <c r="W401" s="131"/>
      <c r="X401" s="445">
        <f t="shared" ref="X401:BA401" si="655">IF(X$399=0,0,X396/X$399*100)</f>
        <v>0</v>
      </c>
      <c r="Y401" s="123">
        <f t="shared" si="655"/>
        <v>0</v>
      </c>
      <c r="Z401" s="123">
        <f t="shared" si="655"/>
        <v>0</v>
      </c>
      <c r="AA401" s="123">
        <f t="shared" si="655"/>
        <v>0</v>
      </c>
      <c r="AB401" s="123">
        <f t="shared" si="655"/>
        <v>0</v>
      </c>
      <c r="AC401" s="123">
        <f t="shared" si="655"/>
        <v>0</v>
      </c>
      <c r="AD401" s="123">
        <f t="shared" si="655"/>
        <v>0</v>
      </c>
      <c r="AE401" s="123">
        <f t="shared" si="655"/>
        <v>0</v>
      </c>
      <c r="AF401" s="123">
        <f t="shared" si="655"/>
        <v>0</v>
      </c>
      <c r="AG401" s="123">
        <f t="shared" si="655"/>
        <v>0</v>
      </c>
      <c r="AH401" s="123">
        <f t="shared" si="655"/>
        <v>0</v>
      </c>
      <c r="AI401" s="123">
        <f t="shared" si="655"/>
        <v>0</v>
      </c>
      <c r="AJ401" s="123">
        <f t="shared" si="655"/>
        <v>0</v>
      </c>
      <c r="AK401" s="123">
        <f t="shared" si="655"/>
        <v>0</v>
      </c>
      <c r="AL401" s="123">
        <f t="shared" si="655"/>
        <v>0</v>
      </c>
      <c r="AM401" s="123">
        <f t="shared" si="655"/>
        <v>0</v>
      </c>
      <c r="AN401" s="123">
        <f t="shared" si="655"/>
        <v>0</v>
      </c>
      <c r="AO401" s="123">
        <f t="shared" si="655"/>
        <v>0</v>
      </c>
      <c r="AP401" s="123">
        <f t="shared" si="655"/>
        <v>0</v>
      </c>
      <c r="AQ401" s="123">
        <f t="shared" si="655"/>
        <v>0</v>
      </c>
      <c r="AR401" s="123">
        <f t="shared" si="655"/>
        <v>0</v>
      </c>
      <c r="AS401" s="123">
        <f t="shared" si="655"/>
        <v>0</v>
      </c>
      <c r="AT401" s="123">
        <f t="shared" si="655"/>
        <v>0</v>
      </c>
      <c r="AU401" s="123">
        <f t="shared" si="655"/>
        <v>0</v>
      </c>
      <c r="AV401" s="123">
        <f t="shared" si="655"/>
        <v>0</v>
      </c>
      <c r="AW401" s="123">
        <f t="shared" si="655"/>
        <v>0</v>
      </c>
      <c r="AX401" s="123">
        <f t="shared" si="655"/>
        <v>0</v>
      </c>
      <c r="AY401" s="123">
        <f t="shared" si="655"/>
        <v>0</v>
      </c>
      <c r="AZ401" s="123">
        <f t="shared" si="655"/>
        <v>0</v>
      </c>
      <c r="BA401" s="159">
        <f t="shared" si="655"/>
        <v>0</v>
      </c>
    </row>
    <row r="402" spans="19:53" ht="20.100000000000001" customHeight="1">
      <c r="S402" s="101" t="s">
        <v>57</v>
      </c>
      <c r="T402" s="131"/>
      <c r="U402" s="131"/>
      <c r="V402" s="131"/>
      <c r="W402" s="131"/>
      <c r="X402" s="445">
        <f t="shared" ref="X402:BA402" si="656">IF(X$399=0,0,X397/X$399*100)</f>
        <v>0</v>
      </c>
      <c r="Y402" s="123">
        <f t="shared" si="656"/>
        <v>100</v>
      </c>
      <c r="Z402" s="123">
        <f t="shared" si="656"/>
        <v>100</v>
      </c>
      <c r="AA402" s="123">
        <f t="shared" si="656"/>
        <v>100</v>
      </c>
      <c r="AB402" s="123">
        <f t="shared" si="656"/>
        <v>100</v>
      </c>
      <c r="AC402" s="123">
        <f t="shared" si="656"/>
        <v>100</v>
      </c>
      <c r="AD402" s="123">
        <f t="shared" si="656"/>
        <v>100</v>
      </c>
      <c r="AE402" s="123">
        <f t="shared" si="656"/>
        <v>100</v>
      </c>
      <c r="AF402" s="123">
        <f t="shared" si="656"/>
        <v>100</v>
      </c>
      <c r="AG402" s="123">
        <f t="shared" si="656"/>
        <v>100</v>
      </c>
      <c r="AH402" s="123">
        <f t="shared" si="656"/>
        <v>100</v>
      </c>
      <c r="AI402" s="123">
        <f t="shared" si="656"/>
        <v>100</v>
      </c>
      <c r="AJ402" s="123">
        <f t="shared" si="656"/>
        <v>100</v>
      </c>
      <c r="AK402" s="123">
        <f t="shared" si="656"/>
        <v>100</v>
      </c>
      <c r="AL402" s="123">
        <f t="shared" si="656"/>
        <v>100</v>
      </c>
      <c r="AM402" s="123">
        <f t="shared" si="656"/>
        <v>100</v>
      </c>
      <c r="AN402" s="123">
        <f t="shared" si="656"/>
        <v>100</v>
      </c>
      <c r="AO402" s="123">
        <f t="shared" si="656"/>
        <v>100</v>
      </c>
      <c r="AP402" s="123">
        <f t="shared" si="656"/>
        <v>100</v>
      </c>
      <c r="AQ402" s="123">
        <f t="shared" si="656"/>
        <v>100</v>
      </c>
      <c r="AR402" s="123">
        <f t="shared" si="656"/>
        <v>100</v>
      </c>
      <c r="AS402" s="123">
        <f t="shared" si="656"/>
        <v>100</v>
      </c>
      <c r="AT402" s="123">
        <f t="shared" si="656"/>
        <v>100</v>
      </c>
      <c r="AU402" s="123">
        <f t="shared" si="656"/>
        <v>100</v>
      </c>
      <c r="AV402" s="123">
        <f t="shared" si="656"/>
        <v>100</v>
      </c>
      <c r="AW402" s="123">
        <f t="shared" si="656"/>
        <v>100</v>
      </c>
      <c r="AX402" s="123">
        <f t="shared" si="656"/>
        <v>100</v>
      </c>
      <c r="AY402" s="123">
        <f t="shared" si="656"/>
        <v>100</v>
      </c>
      <c r="AZ402" s="123">
        <f t="shared" si="656"/>
        <v>100</v>
      </c>
      <c r="BA402" s="159">
        <f t="shared" si="656"/>
        <v>100</v>
      </c>
    </row>
    <row r="403" spans="19:53" ht="20.100000000000001" customHeight="1">
      <c r="S403" s="101" t="s">
        <v>58</v>
      </c>
      <c r="T403" s="131"/>
      <c r="U403" s="131"/>
      <c r="V403" s="131"/>
      <c r="W403" s="131"/>
      <c r="X403" s="445">
        <f t="shared" ref="X403:BA403" si="657">IF(X$399=0,0,X398/X$399*100)</f>
        <v>0</v>
      </c>
      <c r="Y403" s="123">
        <f t="shared" si="657"/>
        <v>0</v>
      </c>
      <c r="Z403" s="123">
        <f t="shared" si="657"/>
        <v>0</v>
      </c>
      <c r="AA403" s="123">
        <f t="shared" si="657"/>
        <v>0</v>
      </c>
      <c r="AB403" s="123">
        <f t="shared" si="657"/>
        <v>0</v>
      </c>
      <c r="AC403" s="123">
        <f t="shared" si="657"/>
        <v>0</v>
      </c>
      <c r="AD403" s="123">
        <f t="shared" si="657"/>
        <v>0</v>
      </c>
      <c r="AE403" s="123">
        <f t="shared" si="657"/>
        <v>0</v>
      </c>
      <c r="AF403" s="123">
        <f t="shared" si="657"/>
        <v>0</v>
      </c>
      <c r="AG403" s="123">
        <f t="shared" si="657"/>
        <v>0</v>
      </c>
      <c r="AH403" s="123">
        <f t="shared" si="657"/>
        <v>0</v>
      </c>
      <c r="AI403" s="123">
        <f t="shared" si="657"/>
        <v>0</v>
      </c>
      <c r="AJ403" s="123">
        <f t="shared" si="657"/>
        <v>0</v>
      </c>
      <c r="AK403" s="123">
        <f t="shared" si="657"/>
        <v>0</v>
      </c>
      <c r="AL403" s="123">
        <f t="shared" si="657"/>
        <v>0</v>
      </c>
      <c r="AM403" s="123">
        <f t="shared" si="657"/>
        <v>0</v>
      </c>
      <c r="AN403" s="123">
        <f t="shared" si="657"/>
        <v>0</v>
      </c>
      <c r="AO403" s="123">
        <f t="shared" si="657"/>
        <v>0</v>
      </c>
      <c r="AP403" s="123">
        <f t="shared" si="657"/>
        <v>0</v>
      </c>
      <c r="AQ403" s="123">
        <f t="shared" si="657"/>
        <v>0</v>
      </c>
      <c r="AR403" s="123">
        <f t="shared" si="657"/>
        <v>0</v>
      </c>
      <c r="AS403" s="123">
        <f t="shared" si="657"/>
        <v>0</v>
      </c>
      <c r="AT403" s="123">
        <f t="shared" si="657"/>
        <v>0</v>
      </c>
      <c r="AU403" s="123">
        <f t="shared" si="657"/>
        <v>0</v>
      </c>
      <c r="AV403" s="123">
        <f t="shared" si="657"/>
        <v>0</v>
      </c>
      <c r="AW403" s="123">
        <f t="shared" si="657"/>
        <v>0</v>
      </c>
      <c r="AX403" s="123">
        <f t="shared" si="657"/>
        <v>0</v>
      </c>
      <c r="AY403" s="123">
        <f t="shared" si="657"/>
        <v>0</v>
      </c>
      <c r="AZ403" s="123">
        <f t="shared" si="657"/>
        <v>0</v>
      </c>
      <c r="BA403" s="159">
        <f t="shared" si="657"/>
        <v>0</v>
      </c>
    </row>
    <row r="404" spans="19:53" ht="20.100000000000001" customHeight="1" thickBot="1">
      <c r="S404" s="301" t="s">
        <v>128</v>
      </c>
      <c r="T404" s="302"/>
      <c r="U404" s="302"/>
      <c r="V404" s="302"/>
      <c r="W404" s="302"/>
      <c r="X404" s="155">
        <f>SUM(X401:X403)</f>
        <v>0</v>
      </c>
      <c r="Y404" s="155">
        <f t="shared" ref="Y404:BA404" si="658">SUM(Y401:Y403)</f>
        <v>100</v>
      </c>
      <c r="Z404" s="155">
        <f t="shared" si="658"/>
        <v>100</v>
      </c>
      <c r="AA404" s="155">
        <f t="shared" si="658"/>
        <v>100</v>
      </c>
      <c r="AB404" s="155">
        <f t="shared" si="658"/>
        <v>100</v>
      </c>
      <c r="AC404" s="155">
        <f t="shared" si="658"/>
        <v>100</v>
      </c>
      <c r="AD404" s="155">
        <f t="shared" si="658"/>
        <v>100</v>
      </c>
      <c r="AE404" s="155">
        <f t="shared" si="658"/>
        <v>100</v>
      </c>
      <c r="AF404" s="155">
        <f t="shared" si="658"/>
        <v>100</v>
      </c>
      <c r="AG404" s="155">
        <f t="shared" si="658"/>
        <v>100</v>
      </c>
      <c r="AH404" s="155">
        <f t="shared" si="658"/>
        <v>100</v>
      </c>
      <c r="AI404" s="155">
        <f t="shared" si="658"/>
        <v>100</v>
      </c>
      <c r="AJ404" s="155">
        <f t="shared" si="658"/>
        <v>100</v>
      </c>
      <c r="AK404" s="155">
        <f t="shared" si="658"/>
        <v>100</v>
      </c>
      <c r="AL404" s="155">
        <f t="shared" si="658"/>
        <v>100</v>
      </c>
      <c r="AM404" s="155">
        <f t="shared" si="658"/>
        <v>100</v>
      </c>
      <c r="AN404" s="155">
        <f t="shared" si="658"/>
        <v>100</v>
      </c>
      <c r="AO404" s="155">
        <f t="shared" si="658"/>
        <v>100</v>
      </c>
      <c r="AP404" s="155">
        <f t="shared" si="658"/>
        <v>100</v>
      </c>
      <c r="AQ404" s="155">
        <f t="shared" si="658"/>
        <v>100</v>
      </c>
      <c r="AR404" s="155">
        <f t="shared" si="658"/>
        <v>100</v>
      </c>
      <c r="AS404" s="155">
        <f t="shared" si="658"/>
        <v>100</v>
      </c>
      <c r="AT404" s="155">
        <f t="shared" si="658"/>
        <v>100</v>
      </c>
      <c r="AU404" s="155">
        <f t="shared" si="658"/>
        <v>100</v>
      </c>
      <c r="AV404" s="155">
        <f t="shared" si="658"/>
        <v>100</v>
      </c>
      <c r="AW404" s="155">
        <f t="shared" si="658"/>
        <v>100</v>
      </c>
      <c r="AX404" s="155">
        <f t="shared" si="658"/>
        <v>100</v>
      </c>
      <c r="AY404" s="155">
        <f t="shared" si="658"/>
        <v>100</v>
      </c>
      <c r="AZ404" s="155">
        <f t="shared" si="658"/>
        <v>100</v>
      </c>
      <c r="BA404" s="156">
        <f t="shared" si="658"/>
        <v>100</v>
      </c>
    </row>
    <row r="406" spans="19:53" ht="20.100000000000001" customHeight="1" thickBot="1">
      <c r="S406" s="884" t="s">
        <v>2750</v>
      </c>
      <c r="W406" s="58"/>
      <c r="X406" s="58"/>
      <c r="Y406" s="58"/>
      <c r="Z406" s="58"/>
      <c r="AA406" s="58"/>
      <c r="AB406" s="58"/>
      <c r="AC406" s="58"/>
      <c r="AD406" s="58"/>
      <c r="AE406" s="58"/>
      <c r="AF406" s="58"/>
      <c r="AG406" s="58"/>
      <c r="AH406" s="58"/>
      <c r="AI406" s="58"/>
      <c r="AJ406" s="58"/>
      <c r="AK406" s="58"/>
      <c r="AL406" s="58"/>
      <c r="AM406" s="58"/>
      <c r="AN406" s="58"/>
      <c r="AO406" s="58"/>
      <c r="AP406" s="58"/>
      <c r="AQ406" s="58"/>
      <c r="AR406" s="58"/>
      <c r="AS406" s="58"/>
      <c r="AT406" s="58"/>
      <c r="AU406" s="58"/>
      <c r="AV406" s="58"/>
      <c r="AW406" s="58"/>
      <c r="AX406" s="58"/>
      <c r="AY406" s="58"/>
      <c r="AZ406" s="58"/>
      <c r="BA406" s="58"/>
    </row>
    <row r="407" spans="19:53" ht="20.100000000000001" customHeight="1">
      <c r="S407" s="299" t="s">
        <v>897</v>
      </c>
      <c r="T407" s="138" t="s">
        <v>2683</v>
      </c>
      <c r="U407" s="138"/>
      <c r="V407" s="138"/>
      <c r="W407" s="138"/>
      <c r="X407" s="815">
        <v>2021</v>
      </c>
      <c r="Y407" s="815">
        <f>X407+1</f>
        <v>2022</v>
      </c>
      <c r="Z407" s="815">
        <f t="shared" ref="Z407:BA407" si="659">Y407+1</f>
        <v>2023</v>
      </c>
      <c r="AA407" s="815">
        <f t="shared" si="659"/>
        <v>2024</v>
      </c>
      <c r="AB407" s="815">
        <f t="shared" si="659"/>
        <v>2025</v>
      </c>
      <c r="AC407" s="815">
        <f t="shared" si="659"/>
        <v>2026</v>
      </c>
      <c r="AD407" s="815">
        <f t="shared" si="659"/>
        <v>2027</v>
      </c>
      <c r="AE407" s="815">
        <f t="shared" si="659"/>
        <v>2028</v>
      </c>
      <c r="AF407" s="815">
        <f t="shared" si="659"/>
        <v>2029</v>
      </c>
      <c r="AG407" s="815">
        <f t="shared" si="659"/>
        <v>2030</v>
      </c>
      <c r="AH407" s="815">
        <f t="shared" si="659"/>
        <v>2031</v>
      </c>
      <c r="AI407" s="815">
        <f t="shared" si="659"/>
        <v>2032</v>
      </c>
      <c r="AJ407" s="815">
        <f t="shared" si="659"/>
        <v>2033</v>
      </c>
      <c r="AK407" s="815">
        <f t="shared" si="659"/>
        <v>2034</v>
      </c>
      <c r="AL407" s="815">
        <f t="shared" si="659"/>
        <v>2035</v>
      </c>
      <c r="AM407" s="815">
        <f t="shared" si="659"/>
        <v>2036</v>
      </c>
      <c r="AN407" s="815">
        <f t="shared" si="659"/>
        <v>2037</v>
      </c>
      <c r="AO407" s="815">
        <f t="shared" si="659"/>
        <v>2038</v>
      </c>
      <c r="AP407" s="815">
        <f t="shared" si="659"/>
        <v>2039</v>
      </c>
      <c r="AQ407" s="815">
        <f t="shared" si="659"/>
        <v>2040</v>
      </c>
      <c r="AR407" s="815">
        <f t="shared" si="659"/>
        <v>2041</v>
      </c>
      <c r="AS407" s="815">
        <f t="shared" si="659"/>
        <v>2042</v>
      </c>
      <c r="AT407" s="815">
        <f t="shared" si="659"/>
        <v>2043</v>
      </c>
      <c r="AU407" s="815">
        <f t="shared" si="659"/>
        <v>2044</v>
      </c>
      <c r="AV407" s="815">
        <f t="shared" si="659"/>
        <v>2045</v>
      </c>
      <c r="AW407" s="815">
        <f t="shared" si="659"/>
        <v>2046</v>
      </c>
      <c r="AX407" s="815">
        <f t="shared" si="659"/>
        <v>2047</v>
      </c>
      <c r="AY407" s="815">
        <f t="shared" si="659"/>
        <v>2048</v>
      </c>
      <c r="AZ407" s="815">
        <f t="shared" si="659"/>
        <v>2049</v>
      </c>
      <c r="BA407" s="153">
        <f t="shared" si="659"/>
        <v>2050</v>
      </c>
    </row>
    <row r="408" spans="19:53" ht="20.100000000000001" customHeight="1">
      <c r="S408" s="101" t="s">
        <v>2691</v>
      </c>
      <c r="T408" s="383" t="s">
        <v>2684</v>
      </c>
      <c r="U408" s="131"/>
      <c r="V408" s="131"/>
      <c r="W408" s="131"/>
      <c r="X408" s="123">
        <f>X401</f>
        <v>0</v>
      </c>
      <c r="Y408" s="123">
        <f t="shared" ref="Y408:BA408" si="660">Y401</f>
        <v>0</v>
      </c>
      <c r="Z408" s="123">
        <f t="shared" si="660"/>
        <v>0</v>
      </c>
      <c r="AA408" s="123">
        <f t="shared" si="660"/>
        <v>0</v>
      </c>
      <c r="AB408" s="123">
        <f t="shared" si="660"/>
        <v>0</v>
      </c>
      <c r="AC408" s="123">
        <f t="shared" si="660"/>
        <v>0</v>
      </c>
      <c r="AD408" s="123">
        <f t="shared" si="660"/>
        <v>0</v>
      </c>
      <c r="AE408" s="123">
        <f t="shared" si="660"/>
        <v>0</v>
      </c>
      <c r="AF408" s="123">
        <f t="shared" si="660"/>
        <v>0</v>
      </c>
      <c r="AG408" s="123">
        <f t="shared" si="660"/>
        <v>0</v>
      </c>
      <c r="AH408" s="123">
        <f t="shared" si="660"/>
        <v>0</v>
      </c>
      <c r="AI408" s="123">
        <f t="shared" si="660"/>
        <v>0</v>
      </c>
      <c r="AJ408" s="123">
        <f t="shared" si="660"/>
        <v>0</v>
      </c>
      <c r="AK408" s="123">
        <f t="shared" si="660"/>
        <v>0</v>
      </c>
      <c r="AL408" s="123">
        <f t="shared" si="660"/>
        <v>0</v>
      </c>
      <c r="AM408" s="123">
        <f t="shared" si="660"/>
        <v>0</v>
      </c>
      <c r="AN408" s="123">
        <f t="shared" si="660"/>
        <v>0</v>
      </c>
      <c r="AO408" s="123">
        <f t="shared" si="660"/>
        <v>0</v>
      </c>
      <c r="AP408" s="123">
        <f t="shared" si="660"/>
        <v>0</v>
      </c>
      <c r="AQ408" s="123">
        <f t="shared" si="660"/>
        <v>0</v>
      </c>
      <c r="AR408" s="123">
        <f t="shared" si="660"/>
        <v>0</v>
      </c>
      <c r="AS408" s="123">
        <f t="shared" si="660"/>
        <v>0</v>
      </c>
      <c r="AT408" s="123">
        <f t="shared" si="660"/>
        <v>0</v>
      </c>
      <c r="AU408" s="123">
        <f t="shared" si="660"/>
        <v>0</v>
      </c>
      <c r="AV408" s="123">
        <f t="shared" si="660"/>
        <v>0</v>
      </c>
      <c r="AW408" s="123">
        <f t="shared" si="660"/>
        <v>0</v>
      </c>
      <c r="AX408" s="123">
        <f t="shared" si="660"/>
        <v>0</v>
      </c>
      <c r="AY408" s="123">
        <f t="shared" si="660"/>
        <v>0</v>
      </c>
      <c r="AZ408" s="123">
        <f t="shared" si="660"/>
        <v>0</v>
      </c>
      <c r="BA408" s="159">
        <f t="shared" si="660"/>
        <v>0</v>
      </c>
    </row>
    <row r="409" spans="19:53" ht="20.100000000000001" customHeight="1">
      <c r="S409" s="101" t="s">
        <v>2690</v>
      </c>
      <c r="T409" s="383" t="s">
        <v>127</v>
      </c>
      <c r="U409" s="131"/>
      <c r="V409" s="131"/>
      <c r="W409" s="131"/>
      <c r="X409" s="201"/>
      <c r="Y409" s="123">
        <f t="shared" ref="Y409:BA409" si="661">IF(AND(Y407&gt;($F$187+2020),Y407&lt;($G$187+2022)),($G$182-INDEX($Y$408:$BA$408,1,($F$187-1)))/($G$187-$F$187+1),0)</f>
        <v>0</v>
      </c>
      <c r="Z409" s="123">
        <f t="shared" si="661"/>
        <v>0</v>
      </c>
      <c r="AA409" s="123">
        <f t="shared" si="661"/>
        <v>0</v>
      </c>
      <c r="AB409" s="123">
        <f t="shared" si="661"/>
        <v>29.3</v>
      </c>
      <c r="AC409" s="123">
        <f t="shared" si="661"/>
        <v>29.3</v>
      </c>
      <c r="AD409" s="123">
        <f t="shared" si="661"/>
        <v>0</v>
      </c>
      <c r="AE409" s="123">
        <f t="shared" si="661"/>
        <v>0</v>
      </c>
      <c r="AF409" s="123">
        <f t="shared" si="661"/>
        <v>0</v>
      </c>
      <c r="AG409" s="123">
        <f t="shared" si="661"/>
        <v>0</v>
      </c>
      <c r="AH409" s="123">
        <f t="shared" si="661"/>
        <v>0</v>
      </c>
      <c r="AI409" s="123">
        <f t="shared" si="661"/>
        <v>0</v>
      </c>
      <c r="AJ409" s="123">
        <f t="shared" si="661"/>
        <v>0</v>
      </c>
      <c r="AK409" s="123">
        <f t="shared" si="661"/>
        <v>0</v>
      </c>
      <c r="AL409" s="123">
        <f t="shared" si="661"/>
        <v>0</v>
      </c>
      <c r="AM409" s="123">
        <f t="shared" si="661"/>
        <v>0</v>
      </c>
      <c r="AN409" s="123">
        <f t="shared" si="661"/>
        <v>0</v>
      </c>
      <c r="AO409" s="123">
        <f t="shared" si="661"/>
        <v>0</v>
      </c>
      <c r="AP409" s="123">
        <f t="shared" si="661"/>
        <v>0</v>
      </c>
      <c r="AQ409" s="123">
        <f t="shared" si="661"/>
        <v>0</v>
      </c>
      <c r="AR409" s="123">
        <f t="shared" si="661"/>
        <v>0</v>
      </c>
      <c r="AS409" s="123">
        <f t="shared" si="661"/>
        <v>0</v>
      </c>
      <c r="AT409" s="123">
        <f t="shared" si="661"/>
        <v>0</v>
      </c>
      <c r="AU409" s="123">
        <f t="shared" si="661"/>
        <v>0</v>
      </c>
      <c r="AV409" s="123">
        <f t="shared" si="661"/>
        <v>0</v>
      </c>
      <c r="AW409" s="123">
        <f t="shared" si="661"/>
        <v>0</v>
      </c>
      <c r="AX409" s="123">
        <f t="shared" si="661"/>
        <v>0</v>
      </c>
      <c r="AY409" s="123">
        <f t="shared" si="661"/>
        <v>0</v>
      </c>
      <c r="AZ409" s="123">
        <f t="shared" si="661"/>
        <v>0</v>
      </c>
      <c r="BA409" s="159">
        <f t="shared" si="661"/>
        <v>0</v>
      </c>
    </row>
    <row r="410" spans="19:53" ht="20.100000000000001" customHeight="1">
      <c r="S410" s="508" t="s">
        <v>2692</v>
      </c>
      <c r="T410" s="383" t="s">
        <v>2682</v>
      </c>
      <c r="U410" s="131"/>
      <c r="V410" s="131"/>
      <c r="W410" s="131"/>
      <c r="X410" s="201"/>
      <c r="Y410" s="807">
        <f>IF(AND(Y407&gt;($F$187+2020),Y407&lt;($G$187+2022)),Y408+Y409,Y408)</f>
        <v>0</v>
      </c>
      <c r="Z410" s="807">
        <f>IF(AND(Z407&gt;($F$187+2020),Z407&lt;($G$187+2022)),Y410+Z409,Y410*IF(Y408=0,1,(Z408/Y408)))</f>
        <v>0</v>
      </c>
      <c r="AA410" s="807">
        <f t="shared" ref="AA410:BA410" si="662">IF(AND(AA407&gt;($F$187+2020),AA407&lt;($G$187+2022)),Z410+AA409,Z410*IF(Z408=0,1,(AA408/Z408)))</f>
        <v>0</v>
      </c>
      <c r="AB410" s="807">
        <f t="shared" si="662"/>
        <v>29.3</v>
      </c>
      <c r="AC410" s="807">
        <f t="shared" si="662"/>
        <v>58.6</v>
      </c>
      <c r="AD410" s="807">
        <f t="shared" si="662"/>
        <v>58.6</v>
      </c>
      <c r="AE410" s="807">
        <f t="shared" si="662"/>
        <v>58.6</v>
      </c>
      <c r="AF410" s="807">
        <f t="shared" si="662"/>
        <v>58.6</v>
      </c>
      <c r="AG410" s="807">
        <f t="shared" si="662"/>
        <v>58.6</v>
      </c>
      <c r="AH410" s="807">
        <f t="shared" si="662"/>
        <v>58.6</v>
      </c>
      <c r="AI410" s="807">
        <f t="shared" si="662"/>
        <v>58.6</v>
      </c>
      <c r="AJ410" s="807">
        <f t="shared" si="662"/>
        <v>58.6</v>
      </c>
      <c r="AK410" s="807">
        <f t="shared" si="662"/>
        <v>58.6</v>
      </c>
      <c r="AL410" s="807">
        <f t="shared" si="662"/>
        <v>58.6</v>
      </c>
      <c r="AM410" s="807">
        <f t="shared" si="662"/>
        <v>58.6</v>
      </c>
      <c r="AN410" s="807">
        <f t="shared" si="662"/>
        <v>58.6</v>
      </c>
      <c r="AO410" s="807">
        <f t="shared" si="662"/>
        <v>58.6</v>
      </c>
      <c r="AP410" s="807">
        <f t="shared" si="662"/>
        <v>58.6</v>
      </c>
      <c r="AQ410" s="807">
        <f t="shared" si="662"/>
        <v>58.6</v>
      </c>
      <c r="AR410" s="807">
        <f t="shared" si="662"/>
        <v>58.6</v>
      </c>
      <c r="AS410" s="807">
        <f t="shared" si="662"/>
        <v>58.6</v>
      </c>
      <c r="AT410" s="807">
        <f t="shared" si="662"/>
        <v>58.6</v>
      </c>
      <c r="AU410" s="807">
        <f t="shared" si="662"/>
        <v>58.6</v>
      </c>
      <c r="AV410" s="807">
        <f t="shared" si="662"/>
        <v>58.6</v>
      </c>
      <c r="AW410" s="807">
        <f t="shared" si="662"/>
        <v>58.6</v>
      </c>
      <c r="AX410" s="807">
        <f t="shared" si="662"/>
        <v>58.6</v>
      </c>
      <c r="AY410" s="807">
        <f t="shared" si="662"/>
        <v>58.6</v>
      </c>
      <c r="AZ410" s="807">
        <f t="shared" si="662"/>
        <v>58.6</v>
      </c>
      <c r="BA410" s="808">
        <f t="shared" si="662"/>
        <v>58.6</v>
      </c>
    </row>
    <row r="411" spans="19:53" ht="20.100000000000001" customHeight="1">
      <c r="S411" s="101" t="s">
        <v>57</v>
      </c>
      <c r="T411" s="383" t="s">
        <v>2682</v>
      </c>
      <c r="U411" s="131"/>
      <c r="V411" s="131"/>
      <c r="W411" s="131"/>
      <c r="X411" s="131"/>
      <c r="Y411" s="807">
        <f t="shared" ref="Y411:BA411" si="663">100-Y410-Y414</f>
        <v>100</v>
      </c>
      <c r="Z411" s="807">
        <f t="shared" si="663"/>
        <v>100</v>
      </c>
      <c r="AA411" s="807">
        <f t="shared" si="663"/>
        <v>100</v>
      </c>
      <c r="AB411" s="807">
        <f t="shared" si="663"/>
        <v>70.7</v>
      </c>
      <c r="AC411" s="807">
        <f t="shared" si="663"/>
        <v>41.4</v>
      </c>
      <c r="AD411" s="807">
        <f t="shared" si="663"/>
        <v>41.4</v>
      </c>
      <c r="AE411" s="807">
        <f t="shared" si="663"/>
        <v>41.4</v>
      </c>
      <c r="AF411" s="807">
        <f t="shared" si="663"/>
        <v>41.4</v>
      </c>
      <c r="AG411" s="807">
        <f t="shared" si="663"/>
        <v>41.4</v>
      </c>
      <c r="AH411" s="807">
        <f t="shared" si="663"/>
        <v>41.4</v>
      </c>
      <c r="AI411" s="807">
        <f t="shared" si="663"/>
        <v>41.4</v>
      </c>
      <c r="AJ411" s="807">
        <f t="shared" si="663"/>
        <v>41.4</v>
      </c>
      <c r="AK411" s="807">
        <f t="shared" si="663"/>
        <v>41.4</v>
      </c>
      <c r="AL411" s="807">
        <f t="shared" si="663"/>
        <v>41.4</v>
      </c>
      <c r="AM411" s="807">
        <f t="shared" si="663"/>
        <v>41.4</v>
      </c>
      <c r="AN411" s="807">
        <f t="shared" si="663"/>
        <v>41.4</v>
      </c>
      <c r="AO411" s="807">
        <f t="shared" si="663"/>
        <v>41.4</v>
      </c>
      <c r="AP411" s="807">
        <f t="shared" si="663"/>
        <v>41.4</v>
      </c>
      <c r="AQ411" s="807">
        <f t="shared" si="663"/>
        <v>41.4</v>
      </c>
      <c r="AR411" s="807">
        <f t="shared" si="663"/>
        <v>41.4</v>
      </c>
      <c r="AS411" s="807">
        <f t="shared" si="663"/>
        <v>41.4</v>
      </c>
      <c r="AT411" s="807">
        <f t="shared" si="663"/>
        <v>41.4</v>
      </c>
      <c r="AU411" s="807">
        <f t="shared" si="663"/>
        <v>41.4</v>
      </c>
      <c r="AV411" s="807">
        <f t="shared" si="663"/>
        <v>41.4</v>
      </c>
      <c r="AW411" s="807">
        <f t="shared" si="663"/>
        <v>41.4</v>
      </c>
      <c r="AX411" s="123">
        <f t="shared" si="663"/>
        <v>41.4</v>
      </c>
      <c r="AY411" s="123">
        <f t="shared" si="663"/>
        <v>41.4</v>
      </c>
      <c r="AZ411" s="123">
        <f t="shared" si="663"/>
        <v>41.4</v>
      </c>
      <c r="BA411" s="159">
        <f t="shared" si="663"/>
        <v>41.4</v>
      </c>
    </row>
    <row r="412" spans="19:53" ht="20.100000000000001" customHeight="1">
      <c r="S412" s="101" t="s">
        <v>2693</v>
      </c>
      <c r="T412" s="383" t="s">
        <v>2684</v>
      </c>
      <c r="U412" s="131"/>
      <c r="V412" s="131"/>
      <c r="W412" s="131"/>
      <c r="X412" s="123">
        <f t="shared" ref="X412:BA412" si="664">X403</f>
        <v>0</v>
      </c>
      <c r="Y412" s="123">
        <f t="shared" si="664"/>
        <v>0</v>
      </c>
      <c r="Z412" s="123">
        <f t="shared" si="664"/>
        <v>0</v>
      </c>
      <c r="AA412" s="123">
        <f t="shared" si="664"/>
        <v>0</v>
      </c>
      <c r="AB412" s="123">
        <f t="shared" si="664"/>
        <v>0</v>
      </c>
      <c r="AC412" s="123">
        <f t="shared" si="664"/>
        <v>0</v>
      </c>
      <c r="AD412" s="123">
        <f t="shared" si="664"/>
        <v>0</v>
      </c>
      <c r="AE412" s="123">
        <f t="shared" si="664"/>
        <v>0</v>
      </c>
      <c r="AF412" s="123">
        <f t="shared" si="664"/>
        <v>0</v>
      </c>
      <c r="AG412" s="123">
        <f t="shared" si="664"/>
        <v>0</v>
      </c>
      <c r="AH412" s="123">
        <f t="shared" si="664"/>
        <v>0</v>
      </c>
      <c r="AI412" s="123">
        <f t="shared" si="664"/>
        <v>0</v>
      </c>
      <c r="AJ412" s="123">
        <f t="shared" si="664"/>
        <v>0</v>
      </c>
      <c r="AK412" s="123">
        <f t="shared" si="664"/>
        <v>0</v>
      </c>
      <c r="AL412" s="123">
        <f t="shared" si="664"/>
        <v>0</v>
      </c>
      <c r="AM412" s="123">
        <f t="shared" si="664"/>
        <v>0</v>
      </c>
      <c r="AN412" s="123">
        <f t="shared" si="664"/>
        <v>0</v>
      </c>
      <c r="AO412" s="123">
        <f t="shared" si="664"/>
        <v>0</v>
      </c>
      <c r="AP412" s="123">
        <f t="shared" si="664"/>
        <v>0</v>
      </c>
      <c r="AQ412" s="123">
        <f t="shared" si="664"/>
        <v>0</v>
      </c>
      <c r="AR412" s="123">
        <f t="shared" si="664"/>
        <v>0</v>
      </c>
      <c r="AS412" s="123">
        <f t="shared" si="664"/>
        <v>0</v>
      </c>
      <c r="AT412" s="123">
        <f t="shared" si="664"/>
        <v>0</v>
      </c>
      <c r="AU412" s="123">
        <f t="shared" si="664"/>
        <v>0</v>
      </c>
      <c r="AV412" s="123">
        <f t="shared" si="664"/>
        <v>0</v>
      </c>
      <c r="AW412" s="123">
        <f t="shared" si="664"/>
        <v>0</v>
      </c>
      <c r="AX412" s="123">
        <f t="shared" si="664"/>
        <v>0</v>
      </c>
      <c r="AY412" s="123">
        <f t="shared" si="664"/>
        <v>0</v>
      </c>
      <c r="AZ412" s="123">
        <f t="shared" si="664"/>
        <v>0</v>
      </c>
      <c r="BA412" s="159">
        <f t="shared" si="664"/>
        <v>0</v>
      </c>
    </row>
    <row r="413" spans="19:53" ht="20.100000000000001" customHeight="1">
      <c r="S413" s="101" t="s">
        <v>2690</v>
      </c>
      <c r="T413" s="383" t="s">
        <v>127</v>
      </c>
      <c r="U413" s="131"/>
      <c r="V413" s="131"/>
      <c r="W413" s="131"/>
      <c r="X413" s="131"/>
      <c r="Y413" s="123">
        <f t="shared" ref="Y413:BA413" si="665">IF(AND(Y407&gt;($F$187+2020),Y407&lt;($G$187+2022)),($G$183-INDEX($Y$412:$BA$412,1,($F$187-1)))/($G$187-$F$187+1),0)</f>
        <v>0</v>
      </c>
      <c r="Z413" s="123">
        <f t="shared" si="665"/>
        <v>0</v>
      </c>
      <c r="AA413" s="123">
        <f t="shared" si="665"/>
        <v>0</v>
      </c>
      <c r="AB413" s="123">
        <f t="shared" si="665"/>
        <v>0</v>
      </c>
      <c r="AC413" s="123">
        <f t="shared" si="665"/>
        <v>0</v>
      </c>
      <c r="AD413" s="123">
        <f t="shared" si="665"/>
        <v>0</v>
      </c>
      <c r="AE413" s="123">
        <f t="shared" si="665"/>
        <v>0</v>
      </c>
      <c r="AF413" s="123">
        <f t="shared" si="665"/>
        <v>0</v>
      </c>
      <c r="AG413" s="123">
        <f t="shared" si="665"/>
        <v>0</v>
      </c>
      <c r="AH413" s="123">
        <f t="shared" si="665"/>
        <v>0</v>
      </c>
      <c r="AI413" s="123">
        <f t="shared" si="665"/>
        <v>0</v>
      </c>
      <c r="AJ413" s="123">
        <f t="shared" si="665"/>
        <v>0</v>
      </c>
      <c r="AK413" s="123">
        <f t="shared" si="665"/>
        <v>0</v>
      </c>
      <c r="AL413" s="123">
        <f t="shared" si="665"/>
        <v>0</v>
      </c>
      <c r="AM413" s="123">
        <f t="shared" si="665"/>
        <v>0</v>
      </c>
      <c r="AN413" s="123">
        <f t="shared" si="665"/>
        <v>0</v>
      </c>
      <c r="AO413" s="123">
        <f t="shared" si="665"/>
        <v>0</v>
      </c>
      <c r="AP413" s="123">
        <f t="shared" si="665"/>
        <v>0</v>
      </c>
      <c r="AQ413" s="123">
        <f t="shared" si="665"/>
        <v>0</v>
      </c>
      <c r="AR413" s="123">
        <f t="shared" si="665"/>
        <v>0</v>
      </c>
      <c r="AS413" s="123">
        <f t="shared" si="665"/>
        <v>0</v>
      </c>
      <c r="AT413" s="123">
        <f t="shared" si="665"/>
        <v>0</v>
      </c>
      <c r="AU413" s="123">
        <f t="shared" si="665"/>
        <v>0</v>
      </c>
      <c r="AV413" s="123">
        <f t="shared" si="665"/>
        <v>0</v>
      </c>
      <c r="AW413" s="123">
        <f t="shared" si="665"/>
        <v>0</v>
      </c>
      <c r="AX413" s="123">
        <f t="shared" si="665"/>
        <v>0</v>
      </c>
      <c r="AY413" s="123">
        <f t="shared" si="665"/>
        <v>0</v>
      </c>
      <c r="AZ413" s="123">
        <f t="shared" si="665"/>
        <v>0</v>
      </c>
      <c r="BA413" s="159">
        <f t="shared" si="665"/>
        <v>0</v>
      </c>
    </row>
    <row r="414" spans="19:53" ht="20.100000000000001" customHeight="1">
      <c r="S414" s="101" t="s">
        <v>2694</v>
      </c>
      <c r="T414" s="383" t="s">
        <v>2682</v>
      </c>
      <c r="U414" s="131"/>
      <c r="V414" s="131"/>
      <c r="W414" s="131"/>
      <c r="X414" s="131"/>
      <c r="Y414" s="807">
        <f>IF(AND(Y407&gt;($F$187+2020),Y407&lt;($G$187+2022)),Y412+Y413,Y412)</f>
        <v>0</v>
      </c>
      <c r="Z414" s="807">
        <f>IF(AND(Z407&gt;($F$187+2020),Z407&lt;($G$187+2022)),Y414+Z413,Y414*IF(Y412=0,1,(Z412/Y412)))</f>
        <v>0</v>
      </c>
      <c r="AA414" s="807">
        <f t="shared" ref="AA414:BA414" si="666">IF(AND(AA407&gt;($F$187+2020),AA407&lt;($G$187+2022)),Z414+AA413,Z414*IF(Z412=0,1,(AA412/Z412)))</f>
        <v>0</v>
      </c>
      <c r="AB414" s="807">
        <f t="shared" si="666"/>
        <v>0</v>
      </c>
      <c r="AC414" s="807">
        <f t="shared" si="666"/>
        <v>0</v>
      </c>
      <c r="AD414" s="807">
        <f t="shared" si="666"/>
        <v>0</v>
      </c>
      <c r="AE414" s="807">
        <f t="shared" si="666"/>
        <v>0</v>
      </c>
      <c r="AF414" s="807">
        <f t="shared" si="666"/>
        <v>0</v>
      </c>
      <c r="AG414" s="807">
        <f t="shared" si="666"/>
        <v>0</v>
      </c>
      <c r="AH414" s="807">
        <f t="shared" si="666"/>
        <v>0</v>
      </c>
      <c r="AI414" s="807">
        <f t="shared" si="666"/>
        <v>0</v>
      </c>
      <c r="AJ414" s="807">
        <f t="shared" si="666"/>
        <v>0</v>
      </c>
      <c r="AK414" s="807">
        <f t="shared" si="666"/>
        <v>0</v>
      </c>
      <c r="AL414" s="807">
        <f t="shared" si="666"/>
        <v>0</v>
      </c>
      <c r="AM414" s="807">
        <f t="shared" si="666"/>
        <v>0</v>
      </c>
      <c r="AN414" s="807">
        <f t="shared" si="666"/>
        <v>0</v>
      </c>
      <c r="AO414" s="807">
        <f t="shared" si="666"/>
        <v>0</v>
      </c>
      <c r="AP414" s="807">
        <f t="shared" si="666"/>
        <v>0</v>
      </c>
      <c r="AQ414" s="807">
        <f t="shared" si="666"/>
        <v>0</v>
      </c>
      <c r="AR414" s="807">
        <f t="shared" si="666"/>
        <v>0</v>
      </c>
      <c r="AS414" s="807">
        <f t="shared" si="666"/>
        <v>0</v>
      </c>
      <c r="AT414" s="807">
        <f t="shared" si="666"/>
        <v>0</v>
      </c>
      <c r="AU414" s="807">
        <f t="shared" si="666"/>
        <v>0</v>
      </c>
      <c r="AV414" s="807">
        <f t="shared" si="666"/>
        <v>0</v>
      </c>
      <c r="AW414" s="807">
        <f t="shared" si="666"/>
        <v>0</v>
      </c>
      <c r="AX414" s="807">
        <f t="shared" si="666"/>
        <v>0</v>
      </c>
      <c r="AY414" s="807">
        <f t="shared" si="666"/>
        <v>0</v>
      </c>
      <c r="AZ414" s="807">
        <f t="shared" si="666"/>
        <v>0</v>
      </c>
      <c r="BA414" s="808">
        <f t="shared" si="666"/>
        <v>0</v>
      </c>
    </row>
    <row r="415" spans="19:53" ht="20.100000000000001" customHeight="1" thickBot="1">
      <c r="S415" s="301" t="s">
        <v>2689</v>
      </c>
      <c r="T415" s="139"/>
      <c r="U415" s="139"/>
      <c r="V415" s="139"/>
      <c r="W415" s="139"/>
      <c r="X415" s="139"/>
      <c r="Y415" s="160">
        <f t="shared" ref="Y415:BA415" si="667">Y410+Y411+Y414</f>
        <v>100</v>
      </c>
      <c r="Z415" s="160">
        <f t="shared" si="667"/>
        <v>100</v>
      </c>
      <c r="AA415" s="160">
        <f t="shared" si="667"/>
        <v>100</v>
      </c>
      <c r="AB415" s="160">
        <f t="shared" si="667"/>
        <v>100</v>
      </c>
      <c r="AC415" s="160">
        <f t="shared" si="667"/>
        <v>100</v>
      </c>
      <c r="AD415" s="160">
        <f t="shared" si="667"/>
        <v>100</v>
      </c>
      <c r="AE415" s="160">
        <f t="shared" si="667"/>
        <v>100</v>
      </c>
      <c r="AF415" s="160">
        <f t="shared" si="667"/>
        <v>100</v>
      </c>
      <c r="AG415" s="160">
        <f t="shared" si="667"/>
        <v>100</v>
      </c>
      <c r="AH415" s="160">
        <f t="shared" si="667"/>
        <v>100</v>
      </c>
      <c r="AI415" s="160">
        <f t="shared" si="667"/>
        <v>100</v>
      </c>
      <c r="AJ415" s="160">
        <f t="shared" si="667"/>
        <v>100</v>
      </c>
      <c r="AK415" s="160">
        <f t="shared" si="667"/>
        <v>100</v>
      </c>
      <c r="AL415" s="160">
        <f t="shared" si="667"/>
        <v>100</v>
      </c>
      <c r="AM415" s="160">
        <f t="shared" si="667"/>
        <v>100</v>
      </c>
      <c r="AN415" s="160">
        <f t="shared" si="667"/>
        <v>100</v>
      </c>
      <c r="AO415" s="160">
        <f t="shared" si="667"/>
        <v>100</v>
      </c>
      <c r="AP415" s="160">
        <f t="shared" si="667"/>
        <v>100</v>
      </c>
      <c r="AQ415" s="160">
        <f t="shared" si="667"/>
        <v>100</v>
      </c>
      <c r="AR415" s="160">
        <f t="shared" si="667"/>
        <v>100</v>
      </c>
      <c r="AS415" s="160">
        <f t="shared" si="667"/>
        <v>100</v>
      </c>
      <c r="AT415" s="160">
        <f t="shared" si="667"/>
        <v>100</v>
      </c>
      <c r="AU415" s="160">
        <f t="shared" si="667"/>
        <v>100</v>
      </c>
      <c r="AV415" s="160">
        <f t="shared" si="667"/>
        <v>100</v>
      </c>
      <c r="AW415" s="160">
        <f t="shared" si="667"/>
        <v>100</v>
      </c>
      <c r="AX415" s="160">
        <f t="shared" si="667"/>
        <v>100</v>
      </c>
      <c r="AY415" s="160">
        <f t="shared" si="667"/>
        <v>100</v>
      </c>
      <c r="AZ415" s="160">
        <f t="shared" si="667"/>
        <v>100</v>
      </c>
      <c r="BA415" s="161">
        <f t="shared" si="667"/>
        <v>100</v>
      </c>
    </row>
    <row r="416" spans="19:53" ht="20.100000000000001" customHeight="1">
      <c r="S416" s="845" t="s">
        <v>2695</v>
      </c>
      <c r="T416" s="136"/>
      <c r="U416" s="136"/>
      <c r="V416" s="136"/>
      <c r="W416" s="136"/>
      <c r="X416" s="151">
        <v>2021</v>
      </c>
      <c r="Y416" s="151">
        <f>X416+1</f>
        <v>2022</v>
      </c>
      <c r="Z416" s="151">
        <f t="shared" ref="Z416" si="668">Y416+1</f>
        <v>2023</v>
      </c>
      <c r="AA416" s="151">
        <f t="shared" ref="AA416" si="669">Z416+1</f>
        <v>2024</v>
      </c>
      <c r="AB416" s="151">
        <f t="shared" ref="AB416" si="670">AA416+1</f>
        <v>2025</v>
      </c>
      <c r="AC416" s="151">
        <f t="shared" ref="AC416" si="671">AB416+1</f>
        <v>2026</v>
      </c>
      <c r="AD416" s="151">
        <f t="shared" ref="AD416" si="672">AC416+1</f>
        <v>2027</v>
      </c>
      <c r="AE416" s="151">
        <f t="shared" ref="AE416" si="673">AD416+1</f>
        <v>2028</v>
      </c>
      <c r="AF416" s="151">
        <f t="shared" ref="AF416" si="674">AE416+1</f>
        <v>2029</v>
      </c>
      <c r="AG416" s="151">
        <f t="shared" ref="AG416" si="675">AF416+1</f>
        <v>2030</v>
      </c>
      <c r="AH416" s="151">
        <f t="shared" ref="AH416" si="676">AG416+1</f>
        <v>2031</v>
      </c>
      <c r="AI416" s="151">
        <f t="shared" ref="AI416" si="677">AH416+1</f>
        <v>2032</v>
      </c>
      <c r="AJ416" s="151">
        <f t="shared" ref="AJ416" si="678">AI416+1</f>
        <v>2033</v>
      </c>
      <c r="AK416" s="151">
        <f t="shared" ref="AK416" si="679">AJ416+1</f>
        <v>2034</v>
      </c>
      <c r="AL416" s="151">
        <f t="shared" ref="AL416" si="680">AK416+1</f>
        <v>2035</v>
      </c>
      <c r="AM416" s="151">
        <f t="shared" ref="AM416" si="681">AL416+1</f>
        <v>2036</v>
      </c>
      <c r="AN416" s="151">
        <f t="shared" ref="AN416" si="682">AM416+1</f>
        <v>2037</v>
      </c>
      <c r="AO416" s="151">
        <f t="shared" ref="AO416" si="683">AN416+1</f>
        <v>2038</v>
      </c>
      <c r="AP416" s="151">
        <f t="shared" ref="AP416" si="684">AO416+1</f>
        <v>2039</v>
      </c>
      <c r="AQ416" s="151">
        <f t="shared" ref="AQ416" si="685">AP416+1</f>
        <v>2040</v>
      </c>
      <c r="AR416" s="151">
        <f t="shared" ref="AR416" si="686">AQ416+1</f>
        <v>2041</v>
      </c>
      <c r="AS416" s="151">
        <f t="shared" ref="AS416" si="687">AR416+1</f>
        <v>2042</v>
      </c>
      <c r="AT416" s="151">
        <f t="shared" ref="AT416" si="688">AS416+1</f>
        <v>2043</v>
      </c>
      <c r="AU416" s="151">
        <f t="shared" ref="AU416" si="689">AT416+1</f>
        <v>2044</v>
      </c>
      <c r="AV416" s="151">
        <f t="shared" ref="AV416" si="690">AU416+1</f>
        <v>2045</v>
      </c>
      <c r="AW416" s="151">
        <f t="shared" ref="AW416" si="691">AV416+1</f>
        <v>2046</v>
      </c>
      <c r="AX416" s="151">
        <f t="shared" ref="AX416" si="692">AW416+1</f>
        <v>2047</v>
      </c>
      <c r="AY416" s="151">
        <f t="shared" ref="AY416" si="693">AX416+1</f>
        <v>2048</v>
      </c>
      <c r="AZ416" s="151">
        <f t="shared" ref="AZ416" si="694">AY416+1</f>
        <v>2049</v>
      </c>
      <c r="BA416" s="846">
        <f t="shared" ref="BA416" si="695">AZ416+1</f>
        <v>2050</v>
      </c>
    </row>
    <row r="417" spans="19:53" ht="20.100000000000001" customHeight="1">
      <c r="S417" s="101" t="s">
        <v>56</v>
      </c>
      <c r="T417" s="131"/>
      <c r="U417" s="131"/>
      <c r="V417" s="131"/>
      <c r="W417" s="131"/>
      <c r="X417" s="131"/>
      <c r="Y417" s="123">
        <f>Y410/100*Y399</f>
        <v>0</v>
      </c>
      <c r="Z417" s="123">
        <f t="shared" ref="Z417:BA417" si="696">Z410/100*Z399</f>
        <v>0</v>
      </c>
      <c r="AA417" s="123">
        <f t="shared" si="696"/>
        <v>0</v>
      </c>
      <c r="AB417" s="123">
        <f t="shared" si="696"/>
        <v>17054.422671994849</v>
      </c>
      <c r="AC417" s="123">
        <f t="shared" si="696"/>
        <v>34961.566477589433</v>
      </c>
      <c r="AD417" s="123">
        <f t="shared" si="696"/>
        <v>35835.605639529174</v>
      </c>
      <c r="AE417" s="123">
        <f t="shared" si="696"/>
        <v>36731.495780517405</v>
      </c>
      <c r="AF417" s="123">
        <f t="shared" si="696"/>
        <v>37649.783175030338</v>
      </c>
      <c r="AG417" s="123">
        <f t="shared" si="696"/>
        <v>38591.027754406095</v>
      </c>
      <c r="AH417" s="123">
        <f t="shared" si="696"/>
        <v>39092.711115213366</v>
      </c>
      <c r="AI417" s="123">
        <f t="shared" si="696"/>
        <v>39600.91635971114</v>
      </c>
      <c r="AJ417" s="123">
        <f t="shared" si="696"/>
        <v>40115.728272387387</v>
      </c>
      <c r="AK417" s="123">
        <f t="shared" si="696"/>
        <v>40637.232739928426</v>
      </c>
      <c r="AL417" s="123">
        <f t="shared" si="696"/>
        <v>41165.516765547487</v>
      </c>
      <c r="AM417" s="123">
        <f t="shared" si="696"/>
        <v>41700.668483499612</v>
      </c>
      <c r="AN417" s="123">
        <f t="shared" si="696"/>
        <v>42242.7771737851</v>
      </c>
      <c r="AO417" s="123">
        <f t="shared" si="696"/>
        <v>42791.933277044307</v>
      </c>
      <c r="AP417" s="123">
        <f t="shared" si="696"/>
        <v>43348.228409645882</v>
      </c>
      <c r="AQ417" s="123">
        <f t="shared" si="696"/>
        <v>43911.755378971277</v>
      </c>
      <c r="AR417" s="123">
        <f t="shared" si="696"/>
        <v>44482.608198897899</v>
      </c>
      <c r="AS417" s="123">
        <f t="shared" si="696"/>
        <v>45060.882105483572</v>
      </c>
      <c r="AT417" s="123">
        <f t="shared" si="696"/>
        <v>45646.673572854859</v>
      </c>
      <c r="AU417" s="123">
        <f t="shared" si="696"/>
        <v>46240.080329301971</v>
      </c>
      <c r="AV417" s="123">
        <f t="shared" si="696"/>
        <v>46841.201373582895</v>
      </c>
      <c r="AW417" s="123">
        <f t="shared" si="696"/>
        <v>47450.136991439467</v>
      </c>
      <c r="AX417" s="123">
        <f t="shared" si="696"/>
        <v>48066.988772328179</v>
      </c>
      <c r="AY417" s="123">
        <f t="shared" si="696"/>
        <v>48691.859626368445</v>
      </c>
      <c r="AZ417" s="123">
        <f t="shared" si="696"/>
        <v>49324.853801511235</v>
      </c>
      <c r="BA417" s="159">
        <f t="shared" si="696"/>
        <v>49966.076900930879</v>
      </c>
    </row>
    <row r="418" spans="19:53" ht="20.100000000000001" customHeight="1">
      <c r="S418" s="101" t="s">
        <v>57</v>
      </c>
      <c r="T418" s="131"/>
      <c r="U418" s="131"/>
      <c r="V418" s="131"/>
      <c r="W418" s="131"/>
      <c r="X418" s="131"/>
      <c r="Y418" s="123">
        <f>Y411/100*Y399</f>
        <v>54050.262275736604</v>
      </c>
      <c r="Z418" s="123">
        <f t="shared" ref="Z418:BA418" si="697">Z411/100*Z399</f>
        <v>55401.518832630019</v>
      </c>
      <c r="AA418" s="123">
        <f t="shared" si="697"/>
        <v>56786.556803445761</v>
      </c>
      <c r="AB418" s="123">
        <f t="shared" si="697"/>
        <v>41151.798051537065</v>
      </c>
      <c r="AC418" s="123">
        <f t="shared" si="697"/>
        <v>24699.809764030761</v>
      </c>
      <c r="AD418" s="123">
        <f t="shared" si="697"/>
        <v>25317.305008131534</v>
      </c>
      <c r="AE418" s="123">
        <f t="shared" si="697"/>
        <v>25950.237633334822</v>
      </c>
      <c r="AF418" s="123">
        <f t="shared" si="697"/>
        <v>26598.993574168191</v>
      </c>
      <c r="AG418" s="123">
        <f t="shared" si="697"/>
        <v>27263.968413522394</v>
      </c>
      <c r="AH418" s="123">
        <f t="shared" si="697"/>
        <v>27618.400002898183</v>
      </c>
      <c r="AI418" s="123">
        <f t="shared" si="697"/>
        <v>27977.439202935857</v>
      </c>
      <c r="AJ418" s="123">
        <f t="shared" si="697"/>
        <v>28341.145912574026</v>
      </c>
      <c r="AK418" s="123">
        <f t="shared" si="697"/>
        <v>28709.580809437492</v>
      </c>
      <c r="AL418" s="123">
        <f t="shared" si="697"/>
        <v>29082.80535996017</v>
      </c>
      <c r="AM418" s="123">
        <f t="shared" si="697"/>
        <v>29460.88182963966</v>
      </c>
      <c r="AN418" s="123">
        <f t="shared" si="697"/>
        <v>29843.873293424967</v>
      </c>
      <c r="AO418" s="123">
        <f t="shared" si="697"/>
        <v>30231.843646239493</v>
      </c>
      <c r="AP418" s="123">
        <f t="shared" si="697"/>
        <v>30624.857613640608</v>
      </c>
      <c r="AQ418" s="123">
        <f t="shared" si="697"/>
        <v>31022.980762617932</v>
      </c>
      <c r="AR418" s="123">
        <f t="shared" si="697"/>
        <v>31426.279512531964</v>
      </c>
      <c r="AS418" s="123">
        <f t="shared" si="697"/>
        <v>31834.821146194878</v>
      </c>
      <c r="AT418" s="123">
        <f t="shared" si="697"/>
        <v>32248.67382109541</v>
      </c>
      <c r="AU418" s="123">
        <f t="shared" si="697"/>
        <v>32667.906580769653</v>
      </c>
      <c r="AV418" s="123">
        <f t="shared" si="697"/>
        <v>33092.589366319655</v>
      </c>
      <c r="AW418" s="123">
        <f t="shared" si="697"/>
        <v>33522.793028081811</v>
      </c>
      <c r="AX418" s="123">
        <f t="shared" si="697"/>
        <v>33958.589337446872</v>
      </c>
      <c r="AY418" s="123">
        <f t="shared" si="697"/>
        <v>34400.050998833678</v>
      </c>
      <c r="AZ418" s="123">
        <f t="shared" si="697"/>
        <v>34847.251661818518</v>
      </c>
      <c r="BA418" s="159">
        <f t="shared" si="697"/>
        <v>35300.265933422153</v>
      </c>
    </row>
    <row r="419" spans="19:53" ht="20.100000000000001" customHeight="1">
      <c r="S419" s="101" t="s">
        <v>58</v>
      </c>
      <c r="T419" s="131"/>
      <c r="U419" s="131"/>
      <c r="V419" s="131"/>
      <c r="W419" s="131"/>
      <c r="X419" s="131"/>
      <c r="Y419" s="123">
        <f>Y414/100*Y399</f>
        <v>0</v>
      </c>
      <c r="Z419" s="123">
        <f t="shared" ref="Z419:BA419" si="698">Z414/100*Z399</f>
        <v>0</v>
      </c>
      <c r="AA419" s="123">
        <f t="shared" si="698"/>
        <v>0</v>
      </c>
      <c r="AB419" s="123">
        <f t="shared" si="698"/>
        <v>0</v>
      </c>
      <c r="AC419" s="123">
        <f t="shared" si="698"/>
        <v>0</v>
      </c>
      <c r="AD419" s="123">
        <f t="shared" si="698"/>
        <v>0</v>
      </c>
      <c r="AE419" s="123">
        <f t="shared" si="698"/>
        <v>0</v>
      </c>
      <c r="AF419" s="123">
        <f t="shared" si="698"/>
        <v>0</v>
      </c>
      <c r="AG419" s="123">
        <f t="shared" si="698"/>
        <v>0</v>
      </c>
      <c r="AH419" s="123">
        <f t="shared" si="698"/>
        <v>0</v>
      </c>
      <c r="AI419" s="123">
        <f t="shared" si="698"/>
        <v>0</v>
      </c>
      <c r="AJ419" s="123">
        <f t="shared" si="698"/>
        <v>0</v>
      </c>
      <c r="AK419" s="123">
        <f t="shared" si="698"/>
        <v>0</v>
      </c>
      <c r="AL419" s="123">
        <f t="shared" si="698"/>
        <v>0</v>
      </c>
      <c r="AM419" s="123">
        <f t="shared" si="698"/>
        <v>0</v>
      </c>
      <c r="AN419" s="123">
        <f t="shared" si="698"/>
        <v>0</v>
      </c>
      <c r="AO419" s="123">
        <f t="shared" si="698"/>
        <v>0</v>
      </c>
      <c r="AP419" s="123">
        <f t="shared" si="698"/>
        <v>0</v>
      </c>
      <c r="AQ419" s="123">
        <f t="shared" si="698"/>
        <v>0</v>
      </c>
      <c r="AR419" s="123">
        <f t="shared" si="698"/>
        <v>0</v>
      </c>
      <c r="AS419" s="123">
        <f t="shared" si="698"/>
        <v>0</v>
      </c>
      <c r="AT419" s="123">
        <f t="shared" si="698"/>
        <v>0</v>
      </c>
      <c r="AU419" s="123">
        <f t="shared" si="698"/>
        <v>0</v>
      </c>
      <c r="AV419" s="123">
        <f t="shared" si="698"/>
        <v>0</v>
      </c>
      <c r="AW419" s="123">
        <f t="shared" si="698"/>
        <v>0</v>
      </c>
      <c r="AX419" s="123">
        <f t="shared" si="698"/>
        <v>0</v>
      </c>
      <c r="AY419" s="123">
        <f t="shared" si="698"/>
        <v>0</v>
      </c>
      <c r="AZ419" s="123">
        <f t="shared" si="698"/>
        <v>0</v>
      </c>
      <c r="BA419" s="159">
        <f t="shared" si="698"/>
        <v>0</v>
      </c>
    </row>
    <row r="420" spans="19:53" ht="20.100000000000001" customHeight="1" thickBot="1">
      <c r="S420" s="806" t="s">
        <v>2688</v>
      </c>
      <c r="T420" s="319"/>
      <c r="U420" s="319"/>
      <c r="V420" s="319"/>
      <c r="W420" s="319"/>
      <c r="X420" s="319"/>
      <c r="Y420" s="750">
        <f>SUM(Y417:Y419)</f>
        <v>54050.262275736604</v>
      </c>
      <c r="Z420" s="750">
        <f t="shared" ref="Z420:BA420" si="699">SUM(Z417:Z419)</f>
        <v>55401.518832630019</v>
      </c>
      <c r="AA420" s="750">
        <f t="shared" si="699"/>
        <v>56786.556803445761</v>
      </c>
      <c r="AB420" s="750">
        <f t="shared" si="699"/>
        <v>58206.220723531915</v>
      </c>
      <c r="AC420" s="750">
        <f t="shared" si="699"/>
        <v>59661.376241620193</v>
      </c>
      <c r="AD420" s="750">
        <f t="shared" si="699"/>
        <v>61152.910647660712</v>
      </c>
      <c r="AE420" s="750">
        <f t="shared" si="699"/>
        <v>62681.733413852227</v>
      </c>
      <c r="AF420" s="750">
        <f t="shared" si="699"/>
        <v>64248.776749198529</v>
      </c>
      <c r="AG420" s="750">
        <f t="shared" si="699"/>
        <v>65854.99616792849</v>
      </c>
      <c r="AH420" s="750">
        <f t="shared" si="699"/>
        <v>66711.111118111556</v>
      </c>
      <c r="AI420" s="750">
        <f t="shared" si="699"/>
        <v>67578.35556264699</v>
      </c>
      <c r="AJ420" s="750">
        <f t="shared" si="699"/>
        <v>68456.874184961416</v>
      </c>
      <c r="AK420" s="750">
        <f t="shared" si="699"/>
        <v>69346.813549365921</v>
      </c>
      <c r="AL420" s="750">
        <f t="shared" si="699"/>
        <v>70248.322125507664</v>
      </c>
      <c r="AM420" s="750">
        <f t="shared" si="699"/>
        <v>71161.550313139276</v>
      </c>
      <c r="AN420" s="750">
        <f t="shared" si="699"/>
        <v>72086.650467210071</v>
      </c>
      <c r="AO420" s="750">
        <f t="shared" si="699"/>
        <v>73023.776923283804</v>
      </c>
      <c r="AP420" s="750">
        <f t="shared" si="699"/>
        <v>73973.086023286494</v>
      </c>
      <c r="AQ420" s="750">
        <f t="shared" si="699"/>
        <v>74934.736141589208</v>
      </c>
      <c r="AR420" s="750">
        <f t="shared" si="699"/>
        <v>75908.887711429867</v>
      </c>
      <c r="AS420" s="750">
        <f t="shared" si="699"/>
        <v>76895.703251678453</v>
      </c>
      <c r="AT420" s="750">
        <f t="shared" si="699"/>
        <v>77895.347393950273</v>
      </c>
      <c r="AU420" s="750">
        <f t="shared" si="699"/>
        <v>78907.986910071631</v>
      </c>
      <c r="AV420" s="750">
        <f t="shared" si="699"/>
        <v>79933.790739902557</v>
      </c>
      <c r="AW420" s="750">
        <f t="shared" si="699"/>
        <v>80972.930019521271</v>
      </c>
      <c r="AX420" s="750">
        <f t="shared" si="699"/>
        <v>82025.578109775059</v>
      </c>
      <c r="AY420" s="750">
        <f t="shared" si="699"/>
        <v>83091.910625202116</v>
      </c>
      <c r="AZ420" s="750">
        <f t="shared" si="699"/>
        <v>84172.105463329761</v>
      </c>
      <c r="BA420" s="766">
        <f t="shared" si="699"/>
        <v>85266.34283435304</v>
      </c>
    </row>
    <row r="421" spans="19:53" ht="20.100000000000001" customHeight="1">
      <c r="S421" s="826" t="s">
        <v>2710</v>
      </c>
      <c r="T421" s="815"/>
      <c r="U421" s="815"/>
      <c r="V421" s="815"/>
      <c r="W421" s="815"/>
      <c r="X421" s="815">
        <v>2021</v>
      </c>
      <c r="Y421" s="815">
        <v>2022</v>
      </c>
      <c r="Z421" s="815">
        <v>2023</v>
      </c>
      <c r="AA421" s="815">
        <v>2024</v>
      </c>
      <c r="AB421" s="815">
        <v>2025</v>
      </c>
      <c r="AC421" s="815">
        <v>2026</v>
      </c>
      <c r="AD421" s="815">
        <v>2027</v>
      </c>
      <c r="AE421" s="815">
        <v>2028</v>
      </c>
      <c r="AF421" s="815">
        <v>2029</v>
      </c>
      <c r="AG421" s="815">
        <v>2030</v>
      </c>
      <c r="AH421" s="815">
        <v>2031</v>
      </c>
      <c r="AI421" s="815">
        <v>2032</v>
      </c>
      <c r="AJ421" s="815">
        <v>2033</v>
      </c>
      <c r="AK421" s="815">
        <v>2034</v>
      </c>
      <c r="AL421" s="815">
        <v>2035</v>
      </c>
      <c r="AM421" s="815">
        <v>2036</v>
      </c>
      <c r="AN421" s="815">
        <v>2037</v>
      </c>
      <c r="AO421" s="815">
        <v>2038</v>
      </c>
      <c r="AP421" s="815">
        <v>2039</v>
      </c>
      <c r="AQ421" s="815">
        <v>2040</v>
      </c>
      <c r="AR421" s="815">
        <v>2041</v>
      </c>
      <c r="AS421" s="815">
        <v>2042</v>
      </c>
      <c r="AT421" s="815">
        <v>2043</v>
      </c>
      <c r="AU421" s="815">
        <v>2044</v>
      </c>
      <c r="AV421" s="815">
        <v>2045</v>
      </c>
      <c r="AW421" s="815">
        <v>2046</v>
      </c>
      <c r="AX421" s="815">
        <v>2047</v>
      </c>
      <c r="AY421" s="815">
        <v>2048</v>
      </c>
      <c r="AZ421" s="815">
        <v>2049</v>
      </c>
      <c r="BA421" s="153">
        <v>2050</v>
      </c>
    </row>
    <row r="422" spans="19:53" ht="20.100000000000001" customHeight="1">
      <c r="S422" s="211" t="s">
        <v>56</v>
      </c>
      <c r="T422" s="445"/>
      <c r="U422" s="445"/>
      <c r="V422" s="445"/>
      <c r="W422" s="445"/>
      <c r="X422" s="445"/>
      <c r="Y422" s="123">
        <f>Y417/INDEX('DEFAULT DATA'!$JV$9:$JV$41,START!$C$3,1)</f>
        <v>0</v>
      </c>
      <c r="Z422" s="123">
        <f>Z417/INDEX('DEFAULT DATA'!$JV$9:$JV$41,START!$C$3,1)</f>
        <v>0</v>
      </c>
      <c r="AA422" s="123">
        <f>AA417/INDEX('DEFAULT DATA'!$JV$9:$JV$41,START!$C$3,1)</f>
        <v>0</v>
      </c>
      <c r="AB422" s="123">
        <f>AB417/INDEX('DEFAULT DATA'!$JV$9:$JV$41,START!$C$3,1)</f>
        <v>8.5272113359974249</v>
      </c>
      <c r="AC422" s="123">
        <f>AC417/INDEX('DEFAULT DATA'!$JV$9:$JV$41,START!$C$3,1)</f>
        <v>17.480783238794718</v>
      </c>
      <c r="AD422" s="123">
        <f>AD417/INDEX('DEFAULT DATA'!$JV$9:$JV$41,START!$C$3,1)</f>
        <v>17.917802819764589</v>
      </c>
      <c r="AE422" s="123">
        <f>AE417/INDEX('DEFAULT DATA'!$JV$9:$JV$41,START!$C$3,1)</f>
        <v>18.365747890258703</v>
      </c>
      <c r="AF422" s="123">
        <f>AF417/INDEX('DEFAULT DATA'!$JV$9:$JV$41,START!$C$3,1)</f>
        <v>18.824891587515168</v>
      </c>
      <c r="AG422" s="123">
        <f>AG417/INDEX('DEFAULT DATA'!$JV$9:$JV$41,START!$C$3,1)</f>
        <v>19.295513877203049</v>
      </c>
      <c r="AH422" s="123">
        <f>AH417/INDEX('DEFAULT DATA'!$JV$9:$JV$41,START!$C$3,1)</f>
        <v>19.546355557606685</v>
      </c>
      <c r="AI422" s="123">
        <f>AI417/INDEX('DEFAULT DATA'!$JV$9:$JV$41,START!$C$3,1)</f>
        <v>19.800458179855571</v>
      </c>
      <c r="AJ422" s="123">
        <f>AJ417/INDEX('DEFAULT DATA'!$JV$9:$JV$41,START!$C$3,1)</f>
        <v>20.057864136193693</v>
      </c>
      <c r="AK422" s="123">
        <f>AK417/INDEX('DEFAULT DATA'!$JV$9:$JV$41,START!$C$3,1)</f>
        <v>20.318616369964214</v>
      </c>
      <c r="AL422" s="123">
        <f>AL417/INDEX('DEFAULT DATA'!$JV$9:$JV$41,START!$C$3,1)</f>
        <v>20.582758382773743</v>
      </c>
      <c r="AM422" s="123">
        <f>AM417/INDEX('DEFAULT DATA'!$JV$9:$JV$41,START!$C$3,1)</f>
        <v>20.850334241749806</v>
      </c>
      <c r="AN422" s="123">
        <f>AN417/INDEX('DEFAULT DATA'!$JV$9:$JV$41,START!$C$3,1)</f>
        <v>21.12138858689255</v>
      </c>
      <c r="AO422" s="123">
        <f>AO417/INDEX('DEFAULT DATA'!$JV$9:$JV$41,START!$C$3,1)</f>
        <v>21.395966638522154</v>
      </c>
      <c r="AP422" s="123">
        <f>AP417/INDEX('DEFAULT DATA'!$JV$9:$JV$41,START!$C$3,1)</f>
        <v>21.674114204822942</v>
      </c>
      <c r="AQ422" s="123">
        <f>AQ417/INDEX('DEFAULT DATA'!$JV$9:$JV$41,START!$C$3,1)</f>
        <v>21.955877689485639</v>
      </c>
      <c r="AR422" s="123">
        <f>AR417/INDEX('DEFAULT DATA'!$JV$9:$JV$41,START!$C$3,1)</f>
        <v>22.24130409944895</v>
      </c>
      <c r="AS422" s="123">
        <f>AS417/INDEX('DEFAULT DATA'!$JV$9:$JV$41,START!$C$3,1)</f>
        <v>22.530441052741786</v>
      </c>
      <c r="AT422" s="123">
        <f>AT417/INDEX('DEFAULT DATA'!$JV$9:$JV$41,START!$C$3,1)</f>
        <v>22.823336786427429</v>
      </c>
      <c r="AU422" s="123">
        <f>AU417/INDEX('DEFAULT DATA'!$JV$9:$JV$41,START!$C$3,1)</f>
        <v>23.120040164650984</v>
      </c>
      <c r="AV422" s="123">
        <f>AV417/INDEX('DEFAULT DATA'!$JV$9:$JV$41,START!$C$3,1)</f>
        <v>23.420600686791449</v>
      </c>
      <c r="AW422" s="123">
        <f>AW417/INDEX('DEFAULT DATA'!$JV$9:$JV$41,START!$C$3,1)</f>
        <v>23.725068495719732</v>
      </c>
      <c r="AX422" s="123">
        <f>AX417/INDEX('DEFAULT DATA'!$JV$9:$JV$41,START!$C$3,1)</f>
        <v>24.03349438616409</v>
      </c>
      <c r="AY422" s="123">
        <f>AY417/INDEX('DEFAULT DATA'!$JV$9:$JV$41,START!$C$3,1)</f>
        <v>24.345929813184224</v>
      </c>
      <c r="AZ422" s="123">
        <f>AZ417/INDEX('DEFAULT DATA'!$JV$9:$JV$41,START!$C$3,1)</f>
        <v>24.662426900755619</v>
      </c>
      <c r="BA422" s="159">
        <f>BA417/INDEX('DEFAULT DATA'!$JV$9:$JV$41,START!$C$3,1)</f>
        <v>24.98303845046544</v>
      </c>
    </row>
    <row r="423" spans="19:53" ht="20.100000000000001" customHeight="1">
      <c r="S423" s="211" t="s">
        <v>57</v>
      </c>
      <c r="T423" s="445"/>
      <c r="U423" s="445"/>
      <c r="V423" s="445"/>
      <c r="W423" s="445"/>
      <c r="X423" s="445"/>
      <c r="Y423" s="123">
        <f>Y418/INDEX('DEFAULT DATA'!$LM$9:$LM$41,START!$C$3,1)</f>
        <v>54.050262275736607</v>
      </c>
      <c r="Z423" s="123">
        <f>Z418/INDEX('DEFAULT DATA'!$LM$9:$LM$41,START!$C$3,1)</f>
        <v>55.401518832630018</v>
      </c>
      <c r="AA423" s="123">
        <f>AA418/INDEX('DEFAULT DATA'!$LM$9:$LM$41,START!$C$3,1)</f>
        <v>56.786556803445762</v>
      </c>
      <c r="AB423" s="123">
        <f>AB418/INDEX('DEFAULT DATA'!$LM$9:$LM$41,START!$C$3,1)</f>
        <v>41.151798051537064</v>
      </c>
      <c r="AC423" s="123">
        <f>AC418/INDEX('DEFAULT DATA'!$LM$9:$LM$41,START!$C$3,1)</f>
        <v>24.699809764030761</v>
      </c>
      <c r="AD423" s="123">
        <f>AD418/INDEX('DEFAULT DATA'!$LM$9:$LM$41,START!$C$3,1)</f>
        <v>25.317305008131534</v>
      </c>
      <c r="AE423" s="123">
        <f>AE418/INDEX('DEFAULT DATA'!$LM$9:$LM$41,START!$C$3,1)</f>
        <v>25.950237633334822</v>
      </c>
      <c r="AF423" s="123">
        <f>AF418/INDEX('DEFAULT DATA'!$LM$9:$LM$41,START!$C$3,1)</f>
        <v>26.59899357416819</v>
      </c>
      <c r="AG423" s="123">
        <f>AG418/INDEX('DEFAULT DATA'!$LM$9:$LM$41,START!$C$3,1)</f>
        <v>27.263968413522395</v>
      </c>
      <c r="AH423" s="123">
        <f>AH418/INDEX('DEFAULT DATA'!$LM$9:$LM$41,START!$C$3,1)</f>
        <v>27.618400002898184</v>
      </c>
      <c r="AI423" s="123">
        <f>AI418/INDEX('DEFAULT DATA'!$LM$9:$LM$41,START!$C$3,1)</f>
        <v>27.977439202935855</v>
      </c>
      <c r="AJ423" s="123">
        <f>AJ418/INDEX('DEFAULT DATA'!$LM$9:$LM$41,START!$C$3,1)</f>
        <v>28.341145912574024</v>
      </c>
      <c r="AK423" s="123">
        <f>AK418/INDEX('DEFAULT DATA'!$LM$9:$LM$41,START!$C$3,1)</f>
        <v>28.70958080943749</v>
      </c>
      <c r="AL423" s="123">
        <f>AL418/INDEX('DEFAULT DATA'!$LM$9:$LM$41,START!$C$3,1)</f>
        <v>29.082805359960169</v>
      </c>
      <c r="AM423" s="123">
        <f>AM418/INDEX('DEFAULT DATA'!$LM$9:$LM$41,START!$C$3,1)</f>
        <v>29.460881829639661</v>
      </c>
      <c r="AN423" s="123">
        <f>AN418/INDEX('DEFAULT DATA'!$LM$9:$LM$41,START!$C$3,1)</f>
        <v>29.843873293424966</v>
      </c>
      <c r="AO423" s="123">
        <f>AO418/INDEX('DEFAULT DATA'!$LM$9:$LM$41,START!$C$3,1)</f>
        <v>30.231843646239493</v>
      </c>
      <c r="AP423" s="123">
        <f>AP418/INDEX('DEFAULT DATA'!$LM$9:$LM$41,START!$C$3,1)</f>
        <v>30.624857613640607</v>
      </c>
      <c r="AQ423" s="123">
        <f>AQ418/INDEX('DEFAULT DATA'!$LM$9:$LM$41,START!$C$3,1)</f>
        <v>31.02298076261793</v>
      </c>
      <c r="AR423" s="123">
        <f>AR418/INDEX('DEFAULT DATA'!$LM$9:$LM$41,START!$C$3,1)</f>
        <v>31.426279512531963</v>
      </c>
      <c r="AS423" s="123">
        <f>AS418/INDEX('DEFAULT DATA'!$LM$9:$LM$41,START!$C$3,1)</f>
        <v>31.834821146194876</v>
      </c>
      <c r="AT423" s="123">
        <f>AT418/INDEX('DEFAULT DATA'!$LM$9:$LM$41,START!$C$3,1)</f>
        <v>32.248673821095409</v>
      </c>
      <c r="AU423" s="123">
        <f>AU418/INDEX('DEFAULT DATA'!$LM$9:$LM$41,START!$C$3,1)</f>
        <v>32.667906580769653</v>
      </c>
      <c r="AV423" s="123">
        <f>AV418/INDEX('DEFAULT DATA'!$LM$9:$LM$41,START!$C$3,1)</f>
        <v>33.092589366319658</v>
      </c>
      <c r="AW423" s="123">
        <f>AW418/INDEX('DEFAULT DATA'!$LM$9:$LM$41,START!$C$3,1)</f>
        <v>33.522793028081814</v>
      </c>
      <c r="AX423" s="123">
        <f>AX418/INDEX('DEFAULT DATA'!$LM$9:$LM$41,START!$C$3,1)</f>
        <v>33.958589337446874</v>
      </c>
      <c r="AY423" s="123">
        <f>AY418/INDEX('DEFAULT DATA'!$LM$9:$LM$41,START!$C$3,1)</f>
        <v>34.400050998833677</v>
      </c>
      <c r="AZ423" s="123">
        <f>AZ418/INDEX('DEFAULT DATA'!$LM$9:$LM$41,START!$C$3,1)</f>
        <v>34.847251661818518</v>
      </c>
      <c r="BA423" s="159">
        <f>BA418/INDEX('DEFAULT DATA'!$LM$9:$LM$41,START!$C$3,1)</f>
        <v>35.300265933422153</v>
      </c>
    </row>
    <row r="424" spans="19:53" ht="20.100000000000001" customHeight="1">
      <c r="S424" s="211" t="s">
        <v>58</v>
      </c>
      <c r="T424" s="445"/>
      <c r="U424" s="445"/>
      <c r="V424" s="445"/>
      <c r="W424" s="445"/>
      <c r="X424" s="445"/>
      <c r="Y424" s="123">
        <f>Y419/INDEX('DEFAULT DATA'!$LX$9:$LX$41,START!$C$3,1)</f>
        <v>0</v>
      </c>
      <c r="Z424" s="123">
        <f>Z419/INDEX('DEFAULT DATA'!$LX$9:$LX$41,START!$C$3,1)</f>
        <v>0</v>
      </c>
      <c r="AA424" s="123">
        <f>AA419/INDEX('DEFAULT DATA'!$LX$9:$LX$41,START!$C$3,1)</f>
        <v>0</v>
      </c>
      <c r="AB424" s="123">
        <f>AB419/INDEX('DEFAULT DATA'!$LX$9:$LX$41,START!$C$3,1)</f>
        <v>0</v>
      </c>
      <c r="AC424" s="123">
        <f>AC419/INDEX('DEFAULT DATA'!$LX$9:$LX$41,START!$C$3,1)</f>
        <v>0</v>
      </c>
      <c r="AD424" s="123">
        <f>AD419/INDEX('DEFAULT DATA'!$LX$9:$LX$41,START!$C$3,1)</f>
        <v>0</v>
      </c>
      <c r="AE424" s="123">
        <f>AE419/INDEX('DEFAULT DATA'!$LX$9:$LX$41,START!$C$3,1)</f>
        <v>0</v>
      </c>
      <c r="AF424" s="123">
        <f>AF419/INDEX('DEFAULT DATA'!$LX$9:$LX$41,START!$C$3,1)</f>
        <v>0</v>
      </c>
      <c r="AG424" s="123">
        <f>AG419/INDEX('DEFAULT DATA'!$LX$9:$LX$41,START!$C$3,1)</f>
        <v>0</v>
      </c>
      <c r="AH424" s="123">
        <f>AH419/INDEX('DEFAULT DATA'!$LX$9:$LX$41,START!$C$3,1)</f>
        <v>0</v>
      </c>
      <c r="AI424" s="123">
        <f>AI419/INDEX('DEFAULT DATA'!$LX$9:$LX$41,START!$C$3,1)</f>
        <v>0</v>
      </c>
      <c r="AJ424" s="123">
        <f>AJ419/INDEX('DEFAULT DATA'!$LX$9:$LX$41,START!$C$3,1)</f>
        <v>0</v>
      </c>
      <c r="AK424" s="123">
        <f>AK419/INDEX('DEFAULT DATA'!$LX$9:$LX$41,START!$C$3,1)</f>
        <v>0</v>
      </c>
      <c r="AL424" s="123">
        <f>AL419/INDEX('DEFAULT DATA'!$LX$9:$LX$41,START!$C$3,1)</f>
        <v>0</v>
      </c>
      <c r="AM424" s="123">
        <f>AM419/INDEX('DEFAULT DATA'!$LX$9:$LX$41,START!$C$3,1)</f>
        <v>0</v>
      </c>
      <c r="AN424" s="123">
        <f>AN419/INDEX('DEFAULT DATA'!$LX$9:$LX$41,START!$C$3,1)</f>
        <v>0</v>
      </c>
      <c r="AO424" s="123">
        <f>AO419/INDEX('DEFAULT DATA'!$LX$9:$LX$41,START!$C$3,1)</f>
        <v>0</v>
      </c>
      <c r="AP424" s="123">
        <f>AP419/INDEX('DEFAULT DATA'!$LX$9:$LX$41,START!$C$3,1)</f>
        <v>0</v>
      </c>
      <c r="AQ424" s="123">
        <f>AQ419/INDEX('DEFAULT DATA'!$LX$9:$LX$41,START!$C$3,1)</f>
        <v>0</v>
      </c>
      <c r="AR424" s="123">
        <f>AR419/INDEX('DEFAULT DATA'!$LX$9:$LX$41,START!$C$3,1)</f>
        <v>0</v>
      </c>
      <c r="AS424" s="123">
        <f>AS419/INDEX('DEFAULT DATA'!$LX$9:$LX$41,START!$C$3,1)</f>
        <v>0</v>
      </c>
      <c r="AT424" s="123">
        <f>AT419/INDEX('DEFAULT DATA'!$LX$9:$LX$41,START!$C$3,1)</f>
        <v>0</v>
      </c>
      <c r="AU424" s="123">
        <f>AU419/INDEX('DEFAULT DATA'!$LX$9:$LX$41,START!$C$3,1)</f>
        <v>0</v>
      </c>
      <c r="AV424" s="123">
        <f>AV419/INDEX('DEFAULT DATA'!$LX$9:$LX$41,START!$C$3,1)</f>
        <v>0</v>
      </c>
      <c r="AW424" s="123">
        <f>AW419/INDEX('DEFAULT DATA'!$LX$9:$LX$41,START!$C$3,1)</f>
        <v>0</v>
      </c>
      <c r="AX424" s="123">
        <f>AX419/INDEX('DEFAULT DATA'!$LX$9:$LX$41,START!$C$3,1)</f>
        <v>0</v>
      </c>
      <c r="AY424" s="123">
        <f>AY419/INDEX('DEFAULT DATA'!$LX$9:$LX$41,START!$C$3,1)</f>
        <v>0</v>
      </c>
      <c r="AZ424" s="123">
        <f>AZ419/INDEX('DEFAULT DATA'!$LX$9:$LX$41,START!$C$3,1)</f>
        <v>0</v>
      </c>
      <c r="BA424" s="159">
        <f>BA419/INDEX('DEFAULT DATA'!$LX$9:$LX$41,START!$C$3,1)</f>
        <v>0</v>
      </c>
    </row>
    <row r="425" spans="19:53" ht="20.100000000000001" customHeight="1" thickBot="1">
      <c r="S425" s="212" t="s">
        <v>2712</v>
      </c>
      <c r="T425" s="155"/>
      <c r="U425" s="155"/>
      <c r="V425" s="155"/>
      <c r="W425" s="155"/>
      <c r="X425" s="155"/>
      <c r="Y425" s="160">
        <f>SUM(Y422:Y424)</f>
        <v>54.050262275736607</v>
      </c>
      <c r="Z425" s="160">
        <f t="shared" ref="Z425:BA425" si="700">SUM(Z422:Z424)</f>
        <v>55.401518832630018</v>
      </c>
      <c r="AA425" s="160">
        <f t="shared" si="700"/>
        <v>56.786556803445762</v>
      </c>
      <c r="AB425" s="160">
        <f t="shared" si="700"/>
        <v>49.679009387534492</v>
      </c>
      <c r="AC425" s="160">
        <f t="shared" si="700"/>
        <v>42.180593002825475</v>
      </c>
      <c r="AD425" s="160">
        <f t="shared" si="700"/>
        <v>43.235107827896123</v>
      </c>
      <c r="AE425" s="160">
        <f t="shared" si="700"/>
        <v>44.315985523593525</v>
      </c>
      <c r="AF425" s="160">
        <f t="shared" si="700"/>
        <v>45.423885161683359</v>
      </c>
      <c r="AG425" s="160">
        <f t="shared" si="700"/>
        <v>46.559482290725441</v>
      </c>
      <c r="AH425" s="160">
        <f t="shared" si="700"/>
        <v>47.164755560504872</v>
      </c>
      <c r="AI425" s="160">
        <f t="shared" si="700"/>
        <v>47.777897382791423</v>
      </c>
      <c r="AJ425" s="160">
        <f t="shared" si="700"/>
        <v>48.399010048767721</v>
      </c>
      <c r="AK425" s="160">
        <f t="shared" si="700"/>
        <v>49.028197179401701</v>
      </c>
      <c r="AL425" s="160">
        <f t="shared" si="700"/>
        <v>49.665563742733909</v>
      </c>
      <c r="AM425" s="160">
        <f t="shared" si="700"/>
        <v>50.311216071389467</v>
      </c>
      <c r="AN425" s="160">
        <f t="shared" si="700"/>
        <v>50.965261880317513</v>
      </c>
      <c r="AO425" s="160">
        <f t="shared" si="700"/>
        <v>51.627810284761651</v>
      </c>
      <c r="AP425" s="160">
        <f t="shared" si="700"/>
        <v>52.298971818463549</v>
      </c>
      <c r="AQ425" s="160">
        <f t="shared" si="700"/>
        <v>52.978858452103566</v>
      </c>
      <c r="AR425" s="160">
        <f t="shared" si="700"/>
        <v>53.667583611980916</v>
      </c>
      <c r="AS425" s="160">
        <f t="shared" si="700"/>
        <v>54.365262198936662</v>
      </c>
      <c r="AT425" s="160">
        <f t="shared" si="700"/>
        <v>55.072010607522841</v>
      </c>
      <c r="AU425" s="160">
        <f t="shared" si="700"/>
        <v>55.787946745420641</v>
      </c>
      <c r="AV425" s="160">
        <f t="shared" si="700"/>
        <v>56.513190053111103</v>
      </c>
      <c r="AW425" s="160">
        <f t="shared" si="700"/>
        <v>57.247861523801546</v>
      </c>
      <c r="AX425" s="160">
        <f t="shared" si="700"/>
        <v>57.992083723610961</v>
      </c>
      <c r="AY425" s="160">
        <f t="shared" si="700"/>
        <v>58.745980812017905</v>
      </c>
      <c r="AZ425" s="160">
        <f t="shared" si="700"/>
        <v>59.509678562574138</v>
      </c>
      <c r="BA425" s="161">
        <f t="shared" si="700"/>
        <v>60.283304383887597</v>
      </c>
    </row>
    <row r="427" spans="19:53" ht="20.100000000000001" customHeight="1" thickBot="1">
      <c r="S427" s="886" t="s">
        <v>2749</v>
      </c>
    </row>
    <row r="428" spans="19:53" ht="20.100000000000001" customHeight="1">
      <c r="S428" s="814" t="s">
        <v>2701</v>
      </c>
      <c r="T428" s="541"/>
      <c r="U428" s="813"/>
      <c r="V428" s="813"/>
      <c r="W428" s="813"/>
      <c r="X428" s="810" t="s">
        <v>632</v>
      </c>
      <c r="Y428" s="810"/>
      <c r="Z428" s="810"/>
      <c r="AA428" s="810"/>
      <c r="AB428" s="810"/>
      <c r="AC428" s="810"/>
      <c r="AD428" s="810"/>
      <c r="AE428" s="810"/>
      <c r="AF428" s="810"/>
      <c r="AG428" s="810"/>
      <c r="AH428" s="810"/>
      <c r="AI428" s="810"/>
      <c r="AJ428" s="810"/>
      <c r="AK428" s="810"/>
      <c r="AL428" s="810"/>
      <c r="AM428" s="810"/>
      <c r="AN428" s="810"/>
      <c r="AO428" s="810"/>
      <c r="AP428" s="810"/>
      <c r="AQ428" s="810"/>
      <c r="AR428" s="810"/>
      <c r="AS428" s="810"/>
      <c r="AT428" s="810"/>
      <c r="AU428" s="810"/>
      <c r="AV428" s="810"/>
      <c r="AW428" s="810"/>
      <c r="AX428" s="810"/>
      <c r="AY428" s="810"/>
      <c r="AZ428" s="810"/>
      <c r="BA428" s="811"/>
    </row>
    <row r="429" spans="19:53" ht="20.100000000000001" customHeight="1">
      <c r="S429" s="542"/>
      <c r="T429" s="383"/>
      <c r="U429" s="389"/>
      <c r="V429" s="389"/>
      <c r="W429" s="389"/>
      <c r="X429" s="390">
        <v>2021</v>
      </c>
      <c r="Y429" s="115">
        <v>2022</v>
      </c>
      <c r="Z429" s="390">
        <v>2023</v>
      </c>
      <c r="AA429" s="115">
        <v>2024</v>
      </c>
      <c r="AB429" s="390">
        <v>2025</v>
      </c>
      <c r="AC429" s="115">
        <v>2026</v>
      </c>
      <c r="AD429" s="390">
        <v>2027</v>
      </c>
      <c r="AE429" s="115">
        <v>2028</v>
      </c>
      <c r="AF429" s="390">
        <v>2029</v>
      </c>
      <c r="AG429" s="115">
        <v>2030</v>
      </c>
      <c r="AH429" s="390">
        <v>2031</v>
      </c>
      <c r="AI429" s="115">
        <v>2032</v>
      </c>
      <c r="AJ429" s="390">
        <v>2033</v>
      </c>
      <c r="AK429" s="115">
        <v>2034</v>
      </c>
      <c r="AL429" s="390">
        <v>2035</v>
      </c>
      <c r="AM429" s="115">
        <v>2036</v>
      </c>
      <c r="AN429" s="390">
        <v>2037</v>
      </c>
      <c r="AO429" s="115">
        <v>2038</v>
      </c>
      <c r="AP429" s="390">
        <v>2039</v>
      </c>
      <c r="AQ429" s="115">
        <v>2040</v>
      </c>
      <c r="AR429" s="390">
        <v>2041</v>
      </c>
      <c r="AS429" s="115">
        <v>2042</v>
      </c>
      <c r="AT429" s="390">
        <v>2043</v>
      </c>
      <c r="AU429" s="115">
        <v>2044</v>
      </c>
      <c r="AV429" s="390">
        <v>2045</v>
      </c>
      <c r="AW429" s="115">
        <v>2046</v>
      </c>
      <c r="AX429" s="390">
        <v>2047</v>
      </c>
      <c r="AY429" s="115">
        <v>2048</v>
      </c>
      <c r="AZ429" s="390">
        <v>2049</v>
      </c>
      <c r="BA429" s="323">
        <v>2050</v>
      </c>
    </row>
    <row r="430" spans="19:53" ht="20.100000000000001" customHeight="1">
      <c r="S430" s="542" t="s">
        <v>583</v>
      </c>
      <c r="T430" s="383" t="s">
        <v>2702</v>
      </c>
      <c r="U430" s="390"/>
      <c r="V430" s="390"/>
      <c r="W430" s="390"/>
      <c r="X430" s="389">
        <f t="shared" ref="X430:BA430" si="701">X29</f>
        <v>0.2</v>
      </c>
      <c r="Y430" s="389">
        <f t="shared" si="701"/>
        <v>0.2</v>
      </c>
      <c r="Z430" s="389">
        <f t="shared" si="701"/>
        <v>0.2</v>
      </c>
      <c r="AA430" s="389">
        <f t="shared" si="701"/>
        <v>0.2</v>
      </c>
      <c r="AB430" s="389">
        <f t="shared" si="701"/>
        <v>0.2</v>
      </c>
      <c r="AC430" s="389">
        <f t="shared" si="701"/>
        <v>0.2</v>
      </c>
      <c r="AD430" s="389">
        <f t="shared" si="701"/>
        <v>0.2</v>
      </c>
      <c r="AE430" s="389">
        <f t="shared" si="701"/>
        <v>0.2</v>
      </c>
      <c r="AF430" s="389">
        <f t="shared" si="701"/>
        <v>0.2</v>
      </c>
      <c r="AG430" s="389">
        <f t="shared" si="701"/>
        <v>0.2</v>
      </c>
      <c r="AH430" s="389">
        <f t="shared" si="701"/>
        <v>0.2</v>
      </c>
      <c r="AI430" s="389">
        <f t="shared" si="701"/>
        <v>0.2</v>
      </c>
      <c r="AJ430" s="389">
        <f t="shared" si="701"/>
        <v>0.2</v>
      </c>
      <c r="AK430" s="389">
        <f t="shared" si="701"/>
        <v>0.2</v>
      </c>
      <c r="AL430" s="389">
        <f t="shared" si="701"/>
        <v>0.2</v>
      </c>
      <c r="AM430" s="389">
        <f t="shared" si="701"/>
        <v>0.2</v>
      </c>
      <c r="AN430" s="389">
        <f t="shared" si="701"/>
        <v>0.2</v>
      </c>
      <c r="AO430" s="389">
        <f t="shared" si="701"/>
        <v>0.2</v>
      </c>
      <c r="AP430" s="389">
        <f t="shared" si="701"/>
        <v>0.2</v>
      </c>
      <c r="AQ430" s="389">
        <f t="shared" si="701"/>
        <v>0.2</v>
      </c>
      <c r="AR430" s="389">
        <f t="shared" si="701"/>
        <v>0.2</v>
      </c>
      <c r="AS430" s="389">
        <f t="shared" si="701"/>
        <v>0.2</v>
      </c>
      <c r="AT430" s="389">
        <f t="shared" si="701"/>
        <v>0.2</v>
      </c>
      <c r="AU430" s="389">
        <f t="shared" si="701"/>
        <v>0.2</v>
      </c>
      <c r="AV430" s="389">
        <f t="shared" si="701"/>
        <v>0.2</v>
      </c>
      <c r="AW430" s="389">
        <f t="shared" si="701"/>
        <v>0.2</v>
      </c>
      <c r="AX430" s="389">
        <f t="shared" si="701"/>
        <v>0.2</v>
      </c>
      <c r="AY430" s="389">
        <f t="shared" si="701"/>
        <v>0.2</v>
      </c>
      <c r="AZ430" s="389">
        <f t="shared" si="701"/>
        <v>0.2</v>
      </c>
      <c r="BA430" s="543">
        <f t="shared" si="701"/>
        <v>0.2</v>
      </c>
    </row>
    <row r="431" spans="19:53" ht="20.100000000000001" customHeight="1">
      <c r="S431" s="101" t="s">
        <v>2690</v>
      </c>
      <c r="T431" s="383"/>
      <c r="U431" s="131"/>
      <c r="V431" s="131"/>
      <c r="W431" s="131"/>
      <c r="X431" s="123">
        <f>IF(AND(X429&gt;(2020+TRANSPORT!$F$198),X429&lt;(2022+$G$198)),(TRANSPORT!$G$191-INDEX(TRANSPORT!$Y$430:$BA$430,1,($F$198-1)))/($G$198-$F$198+1),0)</f>
        <v>0</v>
      </c>
      <c r="Y431" s="123">
        <f>IF(AND(Y429&gt;(2020+TRANSPORT!$F$198),Y429&lt;(2022+$G$198)),(TRANSPORT!$G$191-INDEX(TRANSPORT!$Y$430:$BA$430,1,($F$198-1)))/($G$198-$F$198+1),0)</f>
        <v>0</v>
      </c>
      <c r="Z431" s="123">
        <f>IF(AND(Z429&gt;(2020+TRANSPORT!$F$198),Z429&lt;(2022+$G$198)),(TRANSPORT!$G$191-INDEX(TRANSPORT!$Y$430:$BA$430,1,($F$198-1)))/($G$198-$F$198+1),0)</f>
        <v>0</v>
      </c>
      <c r="AA431" s="123">
        <f>IF(AND(AA429&gt;(2020+TRANSPORT!$F$198),AA429&lt;(2022+$G$198)),(TRANSPORT!$G$191-INDEX(TRANSPORT!$Y$430:$BA$430,1,($F$198-1)))/($G$198-$F$198+1),0)</f>
        <v>0</v>
      </c>
      <c r="AB431" s="123">
        <f>IF(AND(AB429&gt;(2020+TRANSPORT!$F$198),AB429&lt;(2022+$G$198)),(TRANSPORT!$G$191-INDEX(TRANSPORT!$Y$430:$BA$430,1,($F$198-1)))/($G$198-$F$198+1),0)</f>
        <v>-0.02</v>
      </c>
      <c r="AC431" s="123">
        <f>IF(AND(AC429&gt;(2020+TRANSPORT!$F$198),AC429&lt;(2022+$G$198)),(TRANSPORT!$G$191-INDEX(TRANSPORT!$Y$430:$BA$430,1,($F$198-1)))/($G$198-$F$198+1),0)</f>
        <v>-0.02</v>
      </c>
      <c r="AD431" s="123">
        <f>IF(AND(AD429&gt;(2020+TRANSPORT!$F$198),AD429&lt;(2022+$G$198)),(TRANSPORT!$G$191-INDEX(TRANSPORT!$Y$430:$BA$430,1,($F$198-1)))/($G$198-$F$198+1),0)</f>
        <v>-0.02</v>
      </c>
      <c r="AE431" s="123">
        <f>IF(AND(AE429&gt;(2020+TRANSPORT!$F$198),AE429&lt;(2022+$G$198)),(TRANSPORT!$G$191-INDEX(TRANSPORT!$Y$430:$BA$430,1,($F$198-1)))/($G$198-$F$198+1),0)</f>
        <v>-0.02</v>
      </c>
      <c r="AF431" s="123">
        <f>IF(AND(AF429&gt;(2020+TRANSPORT!$F$198),AF429&lt;(2022+$G$198)),(TRANSPORT!$G$191-INDEX(TRANSPORT!$Y$430:$BA$430,1,($F$198-1)))/($G$198-$F$198+1),0)</f>
        <v>-0.02</v>
      </c>
      <c r="AG431" s="123">
        <f>IF(AND(AG429&gt;(2020+TRANSPORT!$F$198),AG429&lt;(2022+$G$198)),(TRANSPORT!$G$191-INDEX(TRANSPORT!$Y$430:$BA$430,1,($F$198-1)))/($G$198-$F$198+1),0)</f>
        <v>-0.02</v>
      </c>
      <c r="AH431" s="123">
        <f>IF(AND(AH429&gt;(2020+TRANSPORT!$F$198),AH429&lt;(2022+$G$198)),(TRANSPORT!$G$191-INDEX(TRANSPORT!$Y$430:$BA$430,1,($F$198-1)))/($G$198-$F$198+1),0)</f>
        <v>-0.02</v>
      </c>
      <c r="AI431" s="123">
        <f>IF(AND(AI429&gt;(2020+TRANSPORT!$F$198),AI429&lt;(2022+$G$198)),(TRANSPORT!$G$191-INDEX(TRANSPORT!$Y$430:$BA$430,1,($F$198-1)))/($G$198-$F$198+1),0)</f>
        <v>-0.02</v>
      </c>
      <c r="AJ431" s="123">
        <f>IF(AND(AJ429&gt;(2020+TRANSPORT!$F$198),AJ429&lt;(2022+$G$198)),(TRANSPORT!$G$191-INDEX(TRANSPORT!$Y$430:$BA$430,1,($F$198-1)))/($G$198-$F$198+1),0)</f>
        <v>-0.02</v>
      </c>
      <c r="AK431" s="123">
        <f>IF(AND(AK429&gt;(2020+TRANSPORT!$F$198),AK429&lt;(2022+$G$198)),(TRANSPORT!$G$191-INDEX(TRANSPORT!$Y$430:$BA$430,1,($F$198-1)))/($G$198-$F$198+1),0)</f>
        <v>-0.02</v>
      </c>
      <c r="AL431" s="123">
        <f>IF(AND(AL429&gt;(2020+TRANSPORT!$F$198),AL429&lt;(2022+$G$198)),(TRANSPORT!$G$191-INDEX(TRANSPORT!$Y$430:$BA$430,1,($F$198-1)))/($G$198-$F$198+1),0)</f>
        <v>0</v>
      </c>
      <c r="AM431" s="123">
        <f>IF(AND(AM429&gt;(2020+TRANSPORT!$F$198),AM429&lt;(2022+$G$198)),(TRANSPORT!$G$191-INDEX(TRANSPORT!$Y$430:$BA$430,1,($F$198-1)))/($G$198-$F$198+1),0)</f>
        <v>0</v>
      </c>
      <c r="AN431" s="123">
        <f>IF(AND(AN429&gt;(2020+TRANSPORT!$F$198),AN429&lt;(2022+$G$198)),(TRANSPORT!$G$191-INDEX(TRANSPORT!$Y$430:$BA$430,1,($F$198-1)))/($G$198-$F$198+1),0)</f>
        <v>0</v>
      </c>
      <c r="AO431" s="123">
        <f>IF(AND(AO429&gt;(2020+TRANSPORT!$F$198),AO429&lt;(2022+$G$198)),(TRANSPORT!$G$191-INDEX(TRANSPORT!$Y$430:$BA$430,1,($F$198-1)))/($G$198-$F$198+1),0)</f>
        <v>0</v>
      </c>
      <c r="AP431" s="123">
        <f>IF(AND(AP429&gt;(2020+TRANSPORT!$F$198),AP429&lt;(2022+$G$198)),(TRANSPORT!$G$191-INDEX(TRANSPORT!$Y$430:$BA$430,1,($F$198-1)))/($G$198-$F$198+1),0)</f>
        <v>0</v>
      </c>
      <c r="AQ431" s="123">
        <f>IF(AND(AQ429&gt;(2020+TRANSPORT!$F$198),AQ429&lt;(2022+$G$198)),(TRANSPORT!$G$191-INDEX(TRANSPORT!$Y$430:$BA$430,1,($F$198-1)))/($G$198-$F$198+1),0)</f>
        <v>0</v>
      </c>
      <c r="AR431" s="123">
        <f>IF(AND(AR429&gt;(2020+TRANSPORT!$F$198),AR429&lt;(2022+$G$198)),(TRANSPORT!$G$191-INDEX(TRANSPORT!$Y$430:$BA$430,1,($F$198-1)))/($G$198-$F$198+1),0)</f>
        <v>0</v>
      </c>
      <c r="AS431" s="123">
        <f>IF(AND(AS429&gt;(2020+TRANSPORT!$F$198),AS429&lt;(2022+$G$198)),(TRANSPORT!$G$191-INDEX(TRANSPORT!$Y$430:$BA$430,1,($F$198-1)))/($G$198-$F$198+1),0)</f>
        <v>0</v>
      </c>
      <c r="AT431" s="123">
        <f>IF(AND(AT429&gt;(2020+TRANSPORT!$F$198),AT429&lt;(2022+$G$198)),(TRANSPORT!$G$191-INDEX(TRANSPORT!$Y$430:$BA$430,1,($F$198-1)))/($G$198-$F$198+1),0)</f>
        <v>0</v>
      </c>
      <c r="AU431" s="123">
        <f>IF(AND(AU429&gt;(2020+TRANSPORT!$F$198),AU429&lt;(2022+$G$198)),(TRANSPORT!$G$191-INDEX(TRANSPORT!$Y$430:$BA$430,1,($F$198-1)))/($G$198-$F$198+1),0)</f>
        <v>0</v>
      </c>
      <c r="AV431" s="123">
        <f>IF(AND(AV429&gt;(2020+TRANSPORT!$F$198),AV429&lt;(2022+$G$198)),(TRANSPORT!$G$191-INDEX(TRANSPORT!$Y$430:$BA$430,1,($F$198-1)))/($G$198-$F$198+1),0)</f>
        <v>0</v>
      </c>
      <c r="AW431" s="123">
        <f>IF(AND(AW429&gt;(2020+TRANSPORT!$F$198),AW429&lt;(2022+$G$198)),(TRANSPORT!$G$191-INDEX(TRANSPORT!$Y$430:$BA$430,1,($F$198-1)))/($G$198-$F$198+1),0)</f>
        <v>0</v>
      </c>
      <c r="AX431" s="123">
        <f>IF(AND(AX429&gt;(2020+TRANSPORT!$F$198),AX429&lt;(2022+$G$198)),(TRANSPORT!$G$191-INDEX(TRANSPORT!$Y$430:$BA$430,1,($F$198-1)))/($G$198-$F$198+1),0)</f>
        <v>0</v>
      </c>
      <c r="AY431" s="123">
        <f>IF(AND(AY429&gt;(2020+TRANSPORT!$F$198),AY429&lt;(2022+$G$198)),(TRANSPORT!$G$191-INDEX(TRANSPORT!$Y$430:$BA$430,1,($F$198-1)))/($G$198-$F$198+1),0)</f>
        <v>0</v>
      </c>
      <c r="AZ431" s="123">
        <f>IF(AND(AZ429&gt;(2020+TRANSPORT!$F$198),AZ429&lt;(2022+$G$198)),(TRANSPORT!$G$191-INDEX(TRANSPORT!$Y$430:$BA$430,1,($F$198-1)))/($G$198-$F$198+1),0)</f>
        <v>0</v>
      </c>
      <c r="BA431" s="159">
        <f>IF(AND(BA429&gt;(2020+TRANSPORT!$F$198),BA429&lt;(2022+$G$198)),(TRANSPORT!$G$191-INDEX(TRANSPORT!$Y$430:$BA$430,1,($F$198-1)))/($G$198-$F$198+1),0)</f>
        <v>0</v>
      </c>
    </row>
    <row r="432" spans="19:53" ht="20.100000000000001" customHeight="1">
      <c r="S432" s="862" t="s">
        <v>2697</v>
      </c>
      <c r="T432" s="383" t="s">
        <v>2696</v>
      </c>
      <c r="U432" s="131"/>
      <c r="V432" s="131"/>
      <c r="W432" s="131"/>
      <c r="X432" s="807">
        <f>X430+X431</f>
        <v>0.2</v>
      </c>
      <c r="Y432" s="807">
        <f>IF(Y431=0,X432*(IF(X430=0,0,Y430/X430)),X432+Y431)</f>
        <v>0.2</v>
      </c>
      <c r="Z432" s="807">
        <f t="shared" ref="Z432:BA432" si="702">IF(Z431=0,Y432*(IF(Y430=0,0,Z430/Y430)),Y432+Z431)</f>
        <v>0.2</v>
      </c>
      <c r="AA432" s="807">
        <f t="shared" si="702"/>
        <v>0.2</v>
      </c>
      <c r="AB432" s="807">
        <f t="shared" si="702"/>
        <v>0.18000000000000002</v>
      </c>
      <c r="AC432" s="807">
        <f t="shared" si="702"/>
        <v>0.16000000000000003</v>
      </c>
      <c r="AD432" s="807">
        <f t="shared" si="702"/>
        <v>0.14000000000000004</v>
      </c>
      <c r="AE432" s="807">
        <f t="shared" si="702"/>
        <v>0.12000000000000004</v>
      </c>
      <c r="AF432" s="807">
        <f t="shared" si="702"/>
        <v>0.10000000000000003</v>
      </c>
      <c r="AG432" s="807">
        <f t="shared" si="702"/>
        <v>8.0000000000000029E-2</v>
      </c>
      <c r="AH432" s="807">
        <f t="shared" si="702"/>
        <v>6.0000000000000026E-2</v>
      </c>
      <c r="AI432" s="807">
        <f t="shared" si="702"/>
        <v>4.0000000000000022E-2</v>
      </c>
      <c r="AJ432" s="807">
        <f t="shared" si="702"/>
        <v>2.0000000000000021E-2</v>
      </c>
      <c r="AK432" s="807">
        <f t="shared" si="702"/>
        <v>2.0816681711721685E-17</v>
      </c>
      <c r="AL432" s="807">
        <f t="shared" si="702"/>
        <v>2.0816681711721685E-17</v>
      </c>
      <c r="AM432" s="807">
        <f t="shared" si="702"/>
        <v>2.0816681711721685E-17</v>
      </c>
      <c r="AN432" s="807">
        <f t="shared" si="702"/>
        <v>2.0816681711721685E-17</v>
      </c>
      <c r="AO432" s="807">
        <f t="shared" si="702"/>
        <v>2.0816681711721685E-17</v>
      </c>
      <c r="AP432" s="807">
        <f t="shared" si="702"/>
        <v>2.0816681711721685E-17</v>
      </c>
      <c r="AQ432" s="807">
        <f t="shared" si="702"/>
        <v>2.0816681711721685E-17</v>
      </c>
      <c r="AR432" s="807">
        <f t="shared" si="702"/>
        <v>2.0816681711721685E-17</v>
      </c>
      <c r="AS432" s="807">
        <f t="shared" si="702"/>
        <v>2.0816681711721685E-17</v>
      </c>
      <c r="AT432" s="807">
        <f t="shared" si="702"/>
        <v>2.0816681711721685E-17</v>
      </c>
      <c r="AU432" s="807">
        <f t="shared" si="702"/>
        <v>2.0816681711721685E-17</v>
      </c>
      <c r="AV432" s="807">
        <f t="shared" si="702"/>
        <v>2.0816681711721685E-17</v>
      </c>
      <c r="AW432" s="807">
        <f t="shared" si="702"/>
        <v>2.0816681711721685E-17</v>
      </c>
      <c r="AX432" s="807">
        <f t="shared" si="702"/>
        <v>2.0816681711721685E-17</v>
      </c>
      <c r="AY432" s="807">
        <f t="shared" si="702"/>
        <v>2.0816681711721685E-17</v>
      </c>
      <c r="AZ432" s="807">
        <f t="shared" si="702"/>
        <v>2.0816681711721685E-17</v>
      </c>
      <c r="BA432" s="808">
        <f t="shared" si="702"/>
        <v>2.0816681711721685E-17</v>
      </c>
    </row>
    <row r="433" spans="18:54" ht="20.100000000000001" customHeight="1">
      <c r="S433" s="542" t="s">
        <v>1693</v>
      </c>
      <c r="T433" s="383" t="s">
        <v>2703</v>
      </c>
      <c r="U433" s="390"/>
      <c r="V433" s="390"/>
      <c r="W433" s="390"/>
      <c r="X433" s="401">
        <f t="shared" ref="X433:BA433" si="703">X30</f>
        <v>0.1</v>
      </c>
      <c r="Y433" s="401">
        <f t="shared" si="703"/>
        <v>0.1</v>
      </c>
      <c r="Z433" s="401">
        <f t="shared" si="703"/>
        <v>0.1</v>
      </c>
      <c r="AA433" s="401">
        <f t="shared" si="703"/>
        <v>0.1</v>
      </c>
      <c r="AB433" s="401">
        <f t="shared" si="703"/>
        <v>0.1</v>
      </c>
      <c r="AC433" s="401">
        <f t="shared" si="703"/>
        <v>0.1</v>
      </c>
      <c r="AD433" s="401">
        <f t="shared" si="703"/>
        <v>0.1</v>
      </c>
      <c r="AE433" s="401">
        <f t="shared" si="703"/>
        <v>0.1</v>
      </c>
      <c r="AF433" s="401">
        <f t="shared" si="703"/>
        <v>0.1</v>
      </c>
      <c r="AG433" s="401">
        <f t="shared" si="703"/>
        <v>0.1</v>
      </c>
      <c r="AH433" s="401">
        <f t="shared" si="703"/>
        <v>0.1</v>
      </c>
      <c r="AI433" s="401">
        <f t="shared" si="703"/>
        <v>0.1</v>
      </c>
      <c r="AJ433" s="401">
        <f t="shared" si="703"/>
        <v>0.1</v>
      </c>
      <c r="AK433" s="401">
        <f t="shared" si="703"/>
        <v>0.1</v>
      </c>
      <c r="AL433" s="401">
        <f t="shared" si="703"/>
        <v>0.1</v>
      </c>
      <c r="AM433" s="401">
        <f t="shared" si="703"/>
        <v>0.1</v>
      </c>
      <c r="AN433" s="401">
        <f t="shared" si="703"/>
        <v>0.1</v>
      </c>
      <c r="AO433" s="401">
        <f t="shared" si="703"/>
        <v>0.1</v>
      </c>
      <c r="AP433" s="401">
        <f t="shared" si="703"/>
        <v>0.1</v>
      </c>
      <c r="AQ433" s="401">
        <f t="shared" si="703"/>
        <v>0.1</v>
      </c>
      <c r="AR433" s="401">
        <f t="shared" si="703"/>
        <v>0.1</v>
      </c>
      <c r="AS433" s="401">
        <f t="shared" si="703"/>
        <v>0.1</v>
      </c>
      <c r="AT433" s="401">
        <f t="shared" si="703"/>
        <v>0.1</v>
      </c>
      <c r="AU433" s="401">
        <f t="shared" si="703"/>
        <v>0.1</v>
      </c>
      <c r="AV433" s="401">
        <f t="shared" si="703"/>
        <v>0.1</v>
      </c>
      <c r="AW433" s="401">
        <f t="shared" si="703"/>
        <v>0.1</v>
      </c>
      <c r="AX433" s="401">
        <f t="shared" si="703"/>
        <v>0.1</v>
      </c>
      <c r="AY433" s="401">
        <f t="shared" si="703"/>
        <v>0.1</v>
      </c>
      <c r="AZ433" s="401">
        <f t="shared" si="703"/>
        <v>0.1</v>
      </c>
      <c r="BA433" s="563">
        <f t="shared" si="703"/>
        <v>0.1</v>
      </c>
    </row>
    <row r="434" spans="18:54" ht="20.100000000000001" customHeight="1">
      <c r="S434" s="101" t="s">
        <v>2690</v>
      </c>
      <c r="T434" s="383"/>
      <c r="U434" s="131"/>
      <c r="V434" s="131"/>
      <c r="W434" s="131"/>
      <c r="X434" s="123">
        <f>IF(AND(X429&gt;(2020+TRANSPORT!$F$198),X429&lt;(2022+$G$198)),(TRANSPORT!$G$192-INDEX(TRANSPORT!$X$433:$BA$433,1,($F$198-1)))/($G$198-$F$198+1),0)</f>
        <v>0</v>
      </c>
      <c r="Y434" s="123">
        <f>IF(AND(Y429&gt;(2020+TRANSPORT!$F$198),Y429&lt;(2022+$G$198)),(TRANSPORT!$G$192-INDEX(TRANSPORT!$X$433:$BA$433,1,($F$198-1)))/($G$198-$F$198+1),0)</f>
        <v>0</v>
      </c>
      <c r="Z434" s="123">
        <f>IF(AND(Z429&gt;(2020+TRANSPORT!$F$198),Z429&lt;(2022+$G$198)),(TRANSPORT!$G$192-INDEX(TRANSPORT!$X$433:$BA$433,1,($F$198-1)))/($G$198-$F$198+1),0)</f>
        <v>0</v>
      </c>
      <c r="AA434" s="123">
        <f>IF(AND(AA429&gt;(2020+TRANSPORT!$F$198),AA429&lt;(2022+$G$198)),(TRANSPORT!$G$192-INDEX(TRANSPORT!$X$433:$BA$433,1,($F$198-1)))/($G$198-$F$198+1),0)</f>
        <v>0</v>
      </c>
      <c r="AB434" s="123">
        <f>IF(AND(AB429&gt;(2020+TRANSPORT!$F$198),AB429&lt;(2022+$G$198)),(TRANSPORT!$G$192-INDEX(TRANSPORT!$X$433:$BA$433,1,($F$198-1)))/($G$198-$F$198+1),0)</f>
        <v>-0.01</v>
      </c>
      <c r="AC434" s="123">
        <f>IF(AND(AC429&gt;(2020+TRANSPORT!$F$198),AC429&lt;(2022+$G$198)),(TRANSPORT!$G$192-INDEX(TRANSPORT!$X$433:$BA$433,1,($F$198-1)))/($G$198-$F$198+1),0)</f>
        <v>-0.01</v>
      </c>
      <c r="AD434" s="123">
        <f>IF(AND(AD429&gt;(2020+TRANSPORT!$F$198),AD429&lt;(2022+$G$198)),(TRANSPORT!$G$192-INDEX(TRANSPORT!$X$433:$BA$433,1,($F$198-1)))/($G$198-$F$198+1),0)</f>
        <v>-0.01</v>
      </c>
      <c r="AE434" s="123">
        <f>IF(AND(AE429&gt;(2020+TRANSPORT!$F$198),AE429&lt;(2022+$G$198)),(TRANSPORT!$G$192-INDEX(TRANSPORT!$X$433:$BA$433,1,($F$198-1)))/($G$198-$F$198+1),0)</f>
        <v>-0.01</v>
      </c>
      <c r="AF434" s="123">
        <f>IF(AND(AF429&gt;(2020+TRANSPORT!$F$198),AF429&lt;(2022+$G$198)),(TRANSPORT!$G$192-INDEX(TRANSPORT!$X$433:$BA$433,1,($F$198-1)))/($G$198-$F$198+1),0)</f>
        <v>-0.01</v>
      </c>
      <c r="AG434" s="123">
        <f>IF(AND(AG429&gt;(2020+TRANSPORT!$F$198),AG429&lt;(2022+$G$198)),(TRANSPORT!$G$192-INDEX(TRANSPORT!$X$433:$BA$433,1,($F$198-1)))/($G$198-$F$198+1),0)</f>
        <v>-0.01</v>
      </c>
      <c r="AH434" s="123">
        <f>IF(AND(AH429&gt;(2020+TRANSPORT!$F$198),AH429&lt;(2022+$G$198)),(TRANSPORT!$G$192-INDEX(TRANSPORT!$X$433:$BA$433,1,($F$198-1)))/($G$198-$F$198+1),0)</f>
        <v>-0.01</v>
      </c>
      <c r="AI434" s="123">
        <f>IF(AND(AI429&gt;(2020+TRANSPORT!$F$198),AI429&lt;(2022+$G$198)),(TRANSPORT!$G$192-INDEX(TRANSPORT!$X$433:$BA$433,1,($F$198-1)))/($G$198-$F$198+1),0)</f>
        <v>-0.01</v>
      </c>
      <c r="AJ434" s="123">
        <f>IF(AND(AJ429&gt;(2020+TRANSPORT!$F$198),AJ429&lt;(2022+$G$198)),(TRANSPORT!$G$192-INDEX(TRANSPORT!$X$433:$BA$433,1,($F$198-1)))/($G$198-$F$198+1),0)</f>
        <v>-0.01</v>
      </c>
      <c r="AK434" s="123">
        <f>IF(AND(AK429&gt;(2020+TRANSPORT!$F$198),AK429&lt;(2022+$G$198)),(TRANSPORT!$G$192-INDEX(TRANSPORT!$X$433:$BA$433,1,($F$198-1)))/($G$198-$F$198+1),0)</f>
        <v>-0.01</v>
      </c>
      <c r="AL434" s="123">
        <f>IF(AND(AL429&gt;(2020+TRANSPORT!$F$198),AL429&lt;(2022+$G$198)),(TRANSPORT!$G$192-INDEX(TRANSPORT!$X$433:$BA$433,1,($F$198-1)))/($G$198-$F$198+1),0)</f>
        <v>0</v>
      </c>
      <c r="AM434" s="123">
        <f>IF(AND(AM429&gt;(2020+TRANSPORT!$F$198),AM429&lt;(2022+$G$198)),(TRANSPORT!$G$192-INDEX(TRANSPORT!$X$433:$BA$433,1,($F$198-1)))/($G$198-$F$198+1),0)</f>
        <v>0</v>
      </c>
      <c r="AN434" s="123">
        <f>IF(AND(AN429&gt;(2020+TRANSPORT!$F$198),AN429&lt;(2022+$G$198)),(TRANSPORT!$G$192-INDEX(TRANSPORT!$X$433:$BA$433,1,($F$198-1)))/($G$198-$F$198+1),0)</f>
        <v>0</v>
      </c>
      <c r="AO434" s="123">
        <f>IF(AND(AO429&gt;(2020+TRANSPORT!$F$198),AO429&lt;(2022+$G$198)),(TRANSPORT!$G$192-INDEX(TRANSPORT!$X$433:$BA$433,1,($F$198-1)))/($G$198-$F$198+1),0)</f>
        <v>0</v>
      </c>
      <c r="AP434" s="123">
        <f>IF(AND(AP429&gt;(2020+TRANSPORT!$F$198),AP429&lt;(2022+$G$198)),(TRANSPORT!$G$192-INDEX(TRANSPORT!$X$433:$BA$433,1,($F$198-1)))/($G$198-$F$198+1),0)</f>
        <v>0</v>
      </c>
      <c r="AQ434" s="123">
        <f>IF(AND(AQ429&gt;(2020+TRANSPORT!$F$198),AQ429&lt;(2022+$G$198)),(TRANSPORT!$G$192-INDEX(TRANSPORT!$X$433:$BA$433,1,($F$198-1)))/($G$198-$F$198+1),0)</f>
        <v>0</v>
      </c>
      <c r="AR434" s="123">
        <f>IF(AND(AR429&gt;(2020+TRANSPORT!$F$198),AR429&lt;(2022+$G$198)),(TRANSPORT!$G$192-INDEX(TRANSPORT!$X$433:$BA$433,1,($F$198-1)))/($G$198-$F$198+1),0)</f>
        <v>0</v>
      </c>
      <c r="AS434" s="123">
        <f>IF(AND(AS429&gt;(2020+TRANSPORT!$F$198),AS429&lt;(2022+$G$198)),(TRANSPORT!$G$192-INDEX(TRANSPORT!$X$433:$BA$433,1,($F$198-1)))/($G$198-$F$198+1),0)</f>
        <v>0</v>
      </c>
      <c r="AT434" s="123">
        <f>IF(AND(AT429&gt;(2020+TRANSPORT!$F$198),AT429&lt;(2022+$G$198)),(TRANSPORT!$G$192-INDEX(TRANSPORT!$X$433:$BA$433,1,($F$198-1)))/($G$198-$F$198+1),0)</f>
        <v>0</v>
      </c>
      <c r="AU434" s="123">
        <f>IF(AND(AU429&gt;(2020+TRANSPORT!$F$198),AU429&lt;(2022+$G$198)),(TRANSPORT!$G$192-INDEX(TRANSPORT!$X$433:$BA$433,1,($F$198-1)))/($G$198-$F$198+1),0)</f>
        <v>0</v>
      </c>
      <c r="AV434" s="123">
        <f>IF(AND(AV429&gt;(2020+TRANSPORT!$F$198),AV429&lt;(2022+$G$198)),(TRANSPORT!$G$192-INDEX(TRANSPORT!$X$433:$BA$433,1,($F$198-1)))/($G$198-$F$198+1),0)</f>
        <v>0</v>
      </c>
      <c r="AW434" s="123">
        <f>IF(AND(AW429&gt;(2020+TRANSPORT!$F$198),AW429&lt;(2022+$G$198)),(TRANSPORT!$G$192-INDEX(TRANSPORT!$X$433:$BA$433,1,($F$198-1)))/($G$198-$F$198+1),0)</f>
        <v>0</v>
      </c>
      <c r="AX434" s="123">
        <f>IF(AND(AX429&gt;(2020+TRANSPORT!$F$198),AX429&lt;(2022+$G$198)),(TRANSPORT!$G$192-INDEX(TRANSPORT!$X$433:$BA$433,1,($F$198-1)))/($G$198-$F$198+1),0)</f>
        <v>0</v>
      </c>
      <c r="AY434" s="123">
        <f>IF(AND(AY429&gt;(2020+TRANSPORT!$F$198),AY429&lt;(2022+$G$198)),(TRANSPORT!$G$192-INDEX(TRANSPORT!$X$433:$BA$433,1,($F$198-1)))/($G$198-$F$198+1),0)</f>
        <v>0</v>
      </c>
      <c r="AZ434" s="123">
        <f>IF(AND(AZ429&gt;(2020+TRANSPORT!$F$198),AZ429&lt;(2022+$G$198)),(TRANSPORT!$G$192-INDEX(TRANSPORT!$X$433:$BA$433,1,($F$198-1)))/($G$198-$F$198+1),0)</f>
        <v>0</v>
      </c>
      <c r="BA434" s="159">
        <f>IF(AND(BA429&gt;(2020+TRANSPORT!$F$198),BA429&lt;(2022+$G$198)),(TRANSPORT!$G$192-INDEX(TRANSPORT!$X$433:$BA$433,1,($F$198-1)))/($G$198-$F$198+1),0)</f>
        <v>0</v>
      </c>
    </row>
    <row r="435" spans="18:54" ht="20.100000000000001" customHeight="1">
      <c r="S435" s="862" t="s">
        <v>2698</v>
      </c>
      <c r="T435" s="383" t="s">
        <v>2696</v>
      </c>
      <c r="U435" s="131"/>
      <c r="V435" s="131"/>
      <c r="W435" s="131"/>
      <c r="X435" s="807">
        <f>SUM(X433:X434)</f>
        <v>0.1</v>
      </c>
      <c r="Y435" s="807">
        <f>IF(Y434=0,X435*(IF(X433=0,1,Y433/X433)),X435+Y434)</f>
        <v>0.1</v>
      </c>
      <c r="Z435" s="807">
        <f t="shared" ref="Z435:BA435" si="704">IF(Z434=0,Y435*(IF(Y433=0,1,Z433/Y433)),Y435+Z434)</f>
        <v>0.1</v>
      </c>
      <c r="AA435" s="807">
        <f t="shared" si="704"/>
        <v>0.1</v>
      </c>
      <c r="AB435" s="807">
        <f t="shared" si="704"/>
        <v>9.0000000000000011E-2</v>
      </c>
      <c r="AC435" s="807">
        <f t="shared" si="704"/>
        <v>8.0000000000000016E-2</v>
      </c>
      <c r="AD435" s="807">
        <f t="shared" si="704"/>
        <v>7.0000000000000021E-2</v>
      </c>
      <c r="AE435" s="807">
        <f t="shared" si="704"/>
        <v>6.0000000000000019E-2</v>
      </c>
      <c r="AF435" s="807">
        <f t="shared" si="704"/>
        <v>5.0000000000000017E-2</v>
      </c>
      <c r="AG435" s="807">
        <f t="shared" si="704"/>
        <v>4.0000000000000015E-2</v>
      </c>
      <c r="AH435" s="807">
        <f t="shared" si="704"/>
        <v>3.0000000000000013E-2</v>
      </c>
      <c r="AI435" s="807">
        <f t="shared" si="704"/>
        <v>2.0000000000000011E-2</v>
      </c>
      <c r="AJ435" s="807">
        <f t="shared" si="704"/>
        <v>1.0000000000000011E-2</v>
      </c>
      <c r="AK435" s="807">
        <f t="shared" si="704"/>
        <v>1.0408340855860843E-17</v>
      </c>
      <c r="AL435" s="807">
        <f t="shared" si="704"/>
        <v>1.0408340855860843E-17</v>
      </c>
      <c r="AM435" s="807">
        <f t="shared" si="704"/>
        <v>1.0408340855860843E-17</v>
      </c>
      <c r="AN435" s="807">
        <f t="shared" si="704"/>
        <v>1.0408340855860843E-17</v>
      </c>
      <c r="AO435" s="807">
        <f t="shared" si="704"/>
        <v>1.0408340855860843E-17</v>
      </c>
      <c r="AP435" s="807">
        <f t="shared" si="704"/>
        <v>1.0408340855860843E-17</v>
      </c>
      <c r="AQ435" s="807">
        <f t="shared" si="704"/>
        <v>1.0408340855860843E-17</v>
      </c>
      <c r="AR435" s="807">
        <f t="shared" si="704"/>
        <v>1.0408340855860843E-17</v>
      </c>
      <c r="AS435" s="807">
        <f t="shared" si="704"/>
        <v>1.0408340855860843E-17</v>
      </c>
      <c r="AT435" s="807">
        <f t="shared" si="704"/>
        <v>1.0408340855860843E-17</v>
      </c>
      <c r="AU435" s="807">
        <f t="shared" si="704"/>
        <v>1.0408340855860843E-17</v>
      </c>
      <c r="AV435" s="807">
        <f t="shared" si="704"/>
        <v>1.0408340855860843E-17</v>
      </c>
      <c r="AW435" s="807">
        <f t="shared" si="704"/>
        <v>1.0408340855860843E-17</v>
      </c>
      <c r="AX435" s="807">
        <f t="shared" si="704"/>
        <v>1.0408340855860843E-17</v>
      </c>
      <c r="AY435" s="807">
        <f t="shared" si="704"/>
        <v>1.0408340855860843E-17</v>
      </c>
      <c r="AZ435" s="807">
        <f t="shared" si="704"/>
        <v>1.0408340855860843E-17</v>
      </c>
      <c r="BA435" s="808">
        <f t="shared" si="704"/>
        <v>1.0408340855860843E-17</v>
      </c>
    </row>
    <row r="436" spans="18:54" ht="20.100000000000001" customHeight="1">
      <c r="S436" s="542" t="s">
        <v>2706</v>
      </c>
      <c r="T436" s="383" t="s">
        <v>2704</v>
      </c>
      <c r="U436" s="390"/>
      <c r="V436" s="390"/>
      <c r="W436" s="390"/>
      <c r="X436" s="389">
        <f t="shared" ref="X436:BA436" si="705">X32</f>
        <v>0.1</v>
      </c>
      <c r="Y436" s="389">
        <f t="shared" si="705"/>
        <v>0.1</v>
      </c>
      <c r="Z436" s="389">
        <f t="shared" si="705"/>
        <v>0.1</v>
      </c>
      <c r="AA436" s="389">
        <f t="shared" si="705"/>
        <v>0.1</v>
      </c>
      <c r="AB436" s="389">
        <f t="shared" si="705"/>
        <v>0.1</v>
      </c>
      <c r="AC436" s="389">
        <f t="shared" si="705"/>
        <v>0.1</v>
      </c>
      <c r="AD436" s="389">
        <f t="shared" si="705"/>
        <v>0.1</v>
      </c>
      <c r="AE436" s="389">
        <f t="shared" si="705"/>
        <v>0.1</v>
      </c>
      <c r="AF436" s="389">
        <f t="shared" si="705"/>
        <v>0.1</v>
      </c>
      <c r="AG436" s="389">
        <f t="shared" si="705"/>
        <v>0.1</v>
      </c>
      <c r="AH436" s="389">
        <f t="shared" si="705"/>
        <v>0.1</v>
      </c>
      <c r="AI436" s="389">
        <f t="shared" si="705"/>
        <v>0.1</v>
      </c>
      <c r="AJ436" s="389">
        <f t="shared" si="705"/>
        <v>0.1</v>
      </c>
      <c r="AK436" s="389">
        <f t="shared" si="705"/>
        <v>0.1</v>
      </c>
      <c r="AL436" s="389">
        <f t="shared" si="705"/>
        <v>0.1</v>
      </c>
      <c r="AM436" s="389">
        <f t="shared" si="705"/>
        <v>0.1</v>
      </c>
      <c r="AN436" s="389">
        <f t="shared" si="705"/>
        <v>0.1</v>
      </c>
      <c r="AO436" s="389">
        <f t="shared" si="705"/>
        <v>0.1</v>
      </c>
      <c r="AP436" s="389">
        <f t="shared" si="705"/>
        <v>0.1</v>
      </c>
      <c r="AQ436" s="389">
        <f t="shared" si="705"/>
        <v>0.1</v>
      </c>
      <c r="AR436" s="389">
        <f t="shared" si="705"/>
        <v>0.1</v>
      </c>
      <c r="AS436" s="389">
        <f t="shared" si="705"/>
        <v>0.1</v>
      </c>
      <c r="AT436" s="389">
        <f t="shared" si="705"/>
        <v>0.1</v>
      </c>
      <c r="AU436" s="389">
        <f t="shared" si="705"/>
        <v>0.1</v>
      </c>
      <c r="AV436" s="389">
        <f t="shared" si="705"/>
        <v>0.1</v>
      </c>
      <c r="AW436" s="389">
        <f t="shared" si="705"/>
        <v>0.1</v>
      </c>
      <c r="AX436" s="389">
        <f t="shared" si="705"/>
        <v>0.1</v>
      </c>
      <c r="AY436" s="389">
        <f t="shared" si="705"/>
        <v>0.1</v>
      </c>
      <c r="AZ436" s="389">
        <f t="shared" si="705"/>
        <v>0.1</v>
      </c>
      <c r="BA436" s="543">
        <f t="shared" si="705"/>
        <v>0.1</v>
      </c>
    </row>
    <row r="437" spans="18:54" ht="20.100000000000001" customHeight="1">
      <c r="R437" s="708"/>
      <c r="S437" s="101" t="s">
        <v>2690</v>
      </c>
      <c r="T437" s="383"/>
      <c r="U437" s="131"/>
      <c r="V437" s="131"/>
      <c r="W437" s="131"/>
      <c r="X437" s="123">
        <f>IF(AND(X429&gt;(2020+TRANSPORT!$F$198),X429&lt;(2022+$G$198)),(TRANSPORT!$G$193-INDEX(TRANSPORT!$Y$436:$BA$436,1,($F$198-1)))/($G$198-$F$198+1),0)</f>
        <v>0</v>
      </c>
      <c r="Y437" s="123">
        <f>IF(AND(Y429&gt;(2020+TRANSPORT!$F$198),Y429&lt;(2022+$G$198)),(TRANSPORT!$G$193-INDEX(TRANSPORT!$Y$436:$BA$436,1,($F$198-1)))/($G$198-$F$198+1),0)</f>
        <v>0</v>
      </c>
      <c r="Z437" s="123">
        <f>IF(AND(Z429&gt;(2020+TRANSPORT!$F$198),Z429&lt;(2022+$G$198)),(TRANSPORT!$G$193-INDEX(TRANSPORT!$Y$436:$BA$436,1,($F$198-1)))/($G$198-$F$198+1),0)</f>
        <v>0</v>
      </c>
      <c r="AA437" s="123">
        <f>IF(AND(AA429&gt;(2020+TRANSPORT!$F$198),AA429&lt;(2022+$G$198)),(TRANSPORT!$G$193-INDEX(TRANSPORT!$Y$436:$BA$436,1,($F$198-1)))/($G$198-$F$198+1),0)</f>
        <v>0</v>
      </c>
      <c r="AB437" s="123">
        <f>IF(AND(AB429&gt;(2020+TRANSPORT!$F$198),AB429&lt;(2022+$G$198)),(TRANSPORT!$G$193-INDEX(TRANSPORT!$Y$436:$BA$436,1,($F$198-1)))/($G$198-$F$198+1),0)</f>
        <v>-0.01</v>
      </c>
      <c r="AC437" s="123">
        <f>IF(AND(AC429&gt;(2020+TRANSPORT!$F$198),AC429&lt;(2022+$G$198)),(TRANSPORT!$G$193-INDEX(TRANSPORT!$Y$436:$BA$436,1,($F$198-1)))/($G$198-$F$198+1),0)</f>
        <v>-0.01</v>
      </c>
      <c r="AD437" s="123">
        <f>IF(AND(AD429&gt;(2020+TRANSPORT!$F$198),AD429&lt;(2022+$G$198)),(TRANSPORT!$G$193-INDEX(TRANSPORT!$Y$436:$BA$436,1,($F$198-1)))/($G$198-$F$198+1),0)</f>
        <v>-0.01</v>
      </c>
      <c r="AE437" s="123">
        <f>IF(AND(AE429&gt;(2020+TRANSPORT!$F$198),AE429&lt;(2022+$G$198)),(TRANSPORT!$G$193-INDEX(TRANSPORT!$Y$436:$BA$436,1,($F$198-1)))/($G$198-$F$198+1),0)</f>
        <v>-0.01</v>
      </c>
      <c r="AF437" s="123">
        <f>IF(AND(AF429&gt;(2020+TRANSPORT!$F$198),AF429&lt;(2022+$G$198)),(TRANSPORT!$G$193-INDEX(TRANSPORT!$Y$436:$BA$436,1,($F$198-1)))/($G$198-$F$198+1),0)</f>
        <v>-0.01</v>
      </c>
      <c r="AG437" s="123">
        <f>IF(AND(AG429&gt;(2020+TRANSPORT!$F$198),AG429&lt;(2022+$G$198)),(TRANSPORT!$G$193-INDEX(TRANSPORT!$Y$436:$BA$436,1,($F$198-1)))/($G$198-$F$198+1),0)</f>
        <v>-0.01</v>
      </c>
      <c r="AH437" s="123">
        <f>IF(AND(AH429&gt;(2020+TRANSPORT!$F$198),AH429&lt;(2022+$G$198)),(TRANSPORT!$G$193-INDEX(TRANSPORT!$Y$436:$BA$436,1,($F$198-1)))/($G$198-$F$198+1),0)</f>
        <v>-0.01</v>
      </c>
      <c r="AI437" s="123">
        <f>IF(AND(AI429&gt;(2020+TRANSPORT!$F$198),AI429&lt;(2022+$G$198)),(TRANSPORT!$G$193-INDEX(TRANSPORT!$Y$436:$BA$436,1,($F$198-1)))/($G$198-$F$198+1),0)</f>
        <v>-0.01</v>
      </c>
      <c r="AJ437" s="123">
        <f>IF(AND(AJ429&gt;(2020+TRANSPORT!$F$198),AJ429&lt;(2022+$G$198)),(TRANSPORT!$G$193-INDEX(TRANSPORT!$Y$436:$BA$436,1,($F$198-1)))/($G$198-$F$198+1),0)</f>
        <v>-0.01</v>
      </c>
      <c r="AK437" s="123">
        <f>IF(AND(AK429&gt;(2020+TRANSPORT!$F$198),AK429&lt;(2022+$G$198)),(TRANSPORT!$G$193-INDEX(TRANSPORT!$Y$436:$BA$436,1,($F$198-1)))/($G$198-$F$198+1),0)</f>
        <v>-0.01</v>
      </c>
      <c r="AL437" s="123">
        <f>IF(AND(AL429&gt;(2020+TRANSPORT!$F$198),AL429&lt;(2022+$G$198)),(TRANSPORT!$G$193-INDEX(TRANSPORT!$Y$436:$BA$436,1,($F$198-1)))/($G$198-$F$198+1),0)</f>
        <v>0</v>
      </c>
      <c r="AM437" s="123">
        <f>IF(AND(AM429&gt;(2020+TRANSPORT!$F$198),AM429&lt;(2022+$G$198)),(TRANSPORT!$G$193-INDEX(TRANSPORT!$Y$436:$BA$436,1,($F$198-1)))/($G$198-$F$198+1),0)</f>
        <v>0</v>
      </c>
      <c r="AN437" s="123">
        <f>IF(AND(AN429&gt;(2020+TRANSPORT!$F$198),AN429&lt;(2022+$G$198)),(TRANSPORT!$G$193-INDEX(TRANSPORT!$Y$436:$BA$436,1,($F$198-1)))/($G$198-$F$198+1),0)</f>
        <v>0</v>
      </c>
      <c r="AO437" s="123">
        <f>IF(AND(AO429&gt;(2020+TRANSPORT!$F$198),AO429&lt;(2022+$G$198)),(TRANSPORT!$G$193-INDEX(TRANSPORT!$Y$436:$BA$436,1,($F$198-1)))/($G$198-$F$198+1),0)</f>
        <v>0</v>
      </c>
      <c r="AP437" s="123">
        <f>IF(AND(AP429&gt;(2020+TRANSPORT!$F$198),AP429&lt;(2022+$G$198)),(TRANSPORT!$G$193-INDEX(TRANSPORT!$Y$436:$BA$436,1,($F$198-1)))/($G$198-$F$198+1),0)</f>
        <v>0</v>
      </c>
      <c r="AQ437" s="123">
        <f>IF(AND(AQ429&gt;(2020+TRANSPORT!$F$198),AQ429&lt;(2022+$G$198)),(TRANSPORT!$G$193-INDEX(TRANSPORT!$Y$436:$BA$436,1,($F$198-1)))/($G$198-$F$198+1),0)</f>
        <v>0</v>
      </c>
      <c r="AR437" s="123">
        <f>IF(AND(AR429&gt;(2020+TRANSPORT!$F$198),AR429&lt;(2022+$G$198)),(TRANSPORT!$G$193-INDEX(TRANSPORT!$Y$436:$BA$436,1,($F$198-1)))/($G$198-$F$198+1),0)</f>
        <v>0</v>
      </c>
      <c r="AS437" s="123">
        <f>IF(AND(AS429&gt;(2020+TRANSPORT!$F$198),AS429&lt;(2022+$G$198)),(TRANSPORT!$G$193-INDEX(TRANSPORT!$Y$436:$BA$436,1,($F$198-1)))/($G$198-$F$198+1),0)</f>
        <v>0</v>
      </c>
      <c r="AT437" s="123">
        <f>IF(AND(AT429&gt;(2020+TRANSPORT!$F$198),AT429&lt;(2022+$G$198)),(TRANSPORT!$G$193-INDEX(TRANSPORT!$Y$436:$BA$436,1,($F$198-1)))/($G$198-$F$198+1),0)</f>
        <v>0</v>
      </c>
      <c r="AU437" s="123">
        <f>IF(AND(AU429&gt;(2020+TRANSPORT!$F$198),AU429&lt;(2022+$G$198)),(TRANSPORT!$G$193-INDEX(TRANSPORT!$Y$436:$BA$436,1,($F$198-1)))/($G$198-$F$198+1),0)</f>
        <v>0</v>
      </c>
      <c r="AV437" s="123">
        <f>IF(AND(AV429&gt;(2020+TRANSPORT!$F$198),AV429&lt;(2022+$G$198)),(TRANSPORT!$G$193-INDEX(TRANSPORT!$Y$436:$BA$436,1,($F$198-1)))/($G$198-$F$198+1),0)</f>
        <v>0</v>
      </c>
      <c r="AW437" s="123">
        <f>IF(AND(AW429&gt;(2020+TRANSPORT!$F$198),AW429&lt;(2022+$G$198)),(TRANSPORT!$G$193-INDEX(TRANSPORT!$Y$436:$BA$436,1,($F$198-1)))/($G$198-$F$198+1),0)</f>
        <v>0</v>
      </c>
      <c r="AX437" s="123">
        <f>IF(AND(AX429&gt;(2020+TRANSPORT!$F$198),AX429&lt;(2022+$G$198)),(TRANSPORT!$G$193-INDEX(TRANSPORT!$Y$436:$BA$436,1,($F$198-1)))/($G$198-$F$198+1),0)</f>
        <v>0</v>
      </c>
      <c r="AY437" s="123">
        <f>IF(AND(AY429&gt;(2020+TRANSPORT!$F$198),AY429&lt;(2022+$G$198)),(TRANSPORT!$G$193-INDEX(TRANSPORT!$Y$436:$BA$436,1,($F$198-1)))/($G$198-$F$198+1),0)</f>
        <v>0</v>
      </c>
      <c r="AZ437" s="123">
        <f>IF(AND(AZ429&gt;(2020+TRANSPORT!$F$198),AZ429&lt;(2022+$G$198)),(TRANSPORT!$G$193-INDEX(TRANSPORT!$Y$436:$BA$436,1,($F$198-1)))/($G$198-$F$198+1),0)</f>
        <v>0</v>
      </c>
      <c r="BA437" s="159">
        <f>IF(AND(BA429&gt;(2020+TRANSPORT!$F$198),BA429&lt;(2022+$G$198)),(TRANSPORT!$G$193-INDEX(TRANSPORT!$Y$436:$BA$436,1,($F$198-1)))/($G$198-$F$198+1),0)</f>
        <v>0</v>
      </c>
      <c r="BB437" s="708"/>
    </row>
    <row r="438" spans="18:54" ht="20.100000000000001" customHeight="1">
      <c r="S438" s="862" t="s">
        <v>2699</v>
      </c>
      <c r="T438" s="383" t="s">
        <v>2696</v>
      </c>
      <c r="U438" s="131"/>
      <c r="V438" s="131"/>
      <c r="W438" s="131"/>
      <c r="X438" s="819">
        <f>SUM(X436:X437)</f>
        <v>0.1</v>
      </c>
      <c r="Y438" s="807">
        <f>IF(Y437=0,X438*(IF(X436=0,1,Y436/X436)),X438+Y437)</f>
        <v>0.1</v>
      </c>
      <c r="Z438" s="807">
        <f t="shared" ref="Z438:BA438" si="706">IF(Z437=0,Y438*(IF(Y436=0,1,Z436/Y436)),Y438+Z437)</f>
        <v>0.1</v>
      </c>
      <c r="AA438" s="807">
        <f t="shared" si="706"/>
        <v>0.1</v>
      </c>
      <c r="AB438" s="807">
        <f t="shared" si="706"/>
        <v>9.0000000000000011E-2</v>
      </c>
      <c r="AC438" s="807">
        <f t="shared" si="706"/>
        <v>8.0000000000000016E-2</v>
      </c>
      <c r="AD438" s="807">
        <f t="shared" si="706"/>
        <v>7.0000000000000021E-2</v>
      </c>
      <c r="AE438" s="807">
        <f t="shared" si="706"/>
        <v>6.0000000000000019E-2</v>
      </c>
      <c r="AF438" s="807">
        <f t="shared" si="706"/>
        <v>5.0000000000000017E-2</v>
      </c>
      <c r="AG438" s="807">
        <f t="shared" si="706"/>
        <v>4.0000000000000015E-2</v>
      </c>
      <c r="AH438" s="807">
        <f t="shared" si="706"/>
        <v>3.0000000000000013E-2</v>
      </c>
      <c r="AI438" s="807">
        <f t="shared" si="706"/>
        <v>2.0000000000000011E-2</v>
      </c>
      <c r="AJ438" s="807">
        <f t="shared" si="706"/>
        <v>1.0000000000000011E-2</v>
      </c>
      <c r="AK438" s="807">
        <f t="shared" si="706"/>
        <v>1.0408340855860843E-17</v>
      </c>
      <c r="AL438" s="807">
        <f t="shared" si="706"/>
        <v>1.0408340855860843E-17</v>
      </c>
      <c r="AM438" s="807">
        <f t="shared" si="706"/>
        <v>1.0408340855860843E-17</v>
      </c>
      <c r="AN438" s="807">
        <f t="shared" si="706"/>
        <v>1.0408340855860843E-17</v>
      </c>
      <c r="AO438" s="807">
        <f t="shared" si="706"/>
        <v>1.0408340855860843E-17</v>
      </c>
      <c r="AP438" s="807">
        <f t="shared" si="706"/>
        <v>1.0408340855860843E-17</v>
      </c>
      <c r="AQ438" s="807">
        <f t="shared" si="706"/>
        <v>1.0408340855860843E-17</v>
      </c>
      <c r="AR438" s="807">
        <f t="shared" si="706"/>
        <v>1.0408340855860843E-17</v>
      </c>
      <c r="AS438" s="807">
        <f t="shared" si="706"/>
        <v>1.0408340855860843E-17</v>
      </c>
      <c r="AT438" s="807">
        <f t="shared" si="706"/>
        <v>1.0408340855860843E-17</v>
      </c>
      <c r="AU438" s="807">
        <f t="shared" si="706"/>
        <v>1.0408340855860843E-17</v>
      </c>
      <c r="AV438" s="807">
        <f t="shared" si="706"/>
        <v>1.0408340855860843E-17</v>
      </c>
      <c r="AW438" s="807">
        <f t="shared" si="706"/>
        <v>1.0408340855860843E-17</v>
      </c>
      <c r="AX438" s="807">
        <f t="shared" si="706"/>
        <v>1.0408340855860843E-17</v>
      </c>
      <c r="AY438" s="807">
        <f t="shared" si="706"/>
        <v>1.0408340855860843E-17</v>
      </c>
      <c r="AZ438" s="807">
        <f t="shared" si="706"/>
        <v>1.0408340855860843E-17</v>
      </c>
      <c r="BA438" s="808">
        <f t="shared" si="706"/>
        <v>1.0408340855860843E-17</v>
      </c>
    </row>
    <row r="439" spans="18:54" ht="20.100000000000001" customHeight="1">
      <c r="S439" s="542" t="s">
        <v>578</v>
      </c>
      <c r="T439" s="383" t="s">
        <v>2705</v>
      </c>
      <c r="U439" s="389"/>
      <c r="V439" s="809"/>
      <c r="W439" s="809"/>
      <c r="X439" s="389">
        <f t="shared" ref="X439:BA439" si="707">X33</f>
        <v>0.02</v>
      </c>
      <c r="Y439" s="389">
        <f t="shared" si="707"/>
        <v>0.04</v>
      </c>
      <c r="Z439" s="389">
        <f t="shared" si="707"/>
        <v>0.06</v>
      </c>
      <c r="AA439" s="389">
        <f t="shared" si="707"/>
        <v>0.08</v>
      </c>
      <c r="AB439" s="389">
        <f t="shared" si="707"/>
        <v>0.1</v>
      </c>
      <c r="AC439" s="389">
        <f t="shared" si="707"/>
        <v>0.14000000000000001</v>
      </c>
      <c r="AD439" s="389">
        <f t="shared" si="707"/>
        <v>0.18</v>
      </c>
      <c r="AE439" s="389">
        <f t="shared" si="707"/>
        <v>0.21999999999999997</v>
      </c>
      <c r="AF439" s="389">
        <f t="shared" si="707"/>
        <v>0.25999999999999995</v>
      </c>
      <c r="AG439" s="389">
        <f t="shared" si="707"/>
        <v>0.29999999999999993</v>
      </c>
      <c r="AH439" s="389">
        <f t="shared" si="707"/>
        <v>0.33999999999999991</v>
      </c>
      <c r="AI439" s="389">
        <f t="shared" si="707"/>
        <v>0.37999999999999989</v>
      </c>
      <c r="AJ439" s="389">
        <f t="shared" si="707"/>
        <v>0.41999999999999987</v>
      </c>
      <c r="AK439" s="389">
        <f t="shared" si="707"/>
        <v>0.45999999999999985</v>
      </c>
      <c r="AL439" s="389">
        <f t="shared" si="707"/>
        <v>0.49999999999999983</v>
      </c>
      <c r="AM439" s="389">
        <f t="shared" si="707"/>
        <v>0.55999999999999983</v>
      </c>
      <c r="AN439" s="389">
        <f t="shared" si="707"/>
        <v>0.61999999999999988</v>
      </c>
      <c r="AO439" s="389">
        <f t="shared" si="707"/>
        <v>0.67999999999999994</v>
      </c>
      <c r="AP439" s="389">
        <f t="shared" si="707"/>
        <v>0.74</v>
      </c>
      <c r="AQ439" s="389">
        <f t="shared" si="707"/>
        <v>0.8</v>
      </c>
      <c r="AR439" s="389">
        <f t="shared" si="707"/>
        <v>0.8600000000000001</v>
      </c>
      <c r="AS439" s="389">
        <f t="shared" si="707"/>
        <v>0.92000000000000015</v>
      </c>
      <c r="AT439" s="389">
        <f t="shared" si="707"/>
        <v>0.9800000000000002</v>
      </c>
      <c r="AU439" s="389">
        <f t="shared" si="707"/>
        <v>1.0400000000000003</v>
      </c>
      <c r="AV439" s="389">
        <f t="shared" si="707"/>
        <v>1.1000000000000003</v>
      </c>
      <c r="AW439" s="389">
        <f t="shared" si="707"/>
        <v>1.1400000000000003</v>
      </c>
      <c r="AX439" s="389">
        <f t="shared" si="707"/>
        <v>1.1800000000000004</v>
      </c>
      <c r="AY439" s="389">
        <f t="shared" si="707"/>
        <v>1.2200000000000004</v>
      </c>
      <c r="AZ439" s="389">
        <f t="shared" si="707"/>
        <v>1.2600000000000005</v>
      </c>
      <c r="BA439" s="543">
        <f t="shared" si="707"/>
        <v>1.3000000000000005</v>
      </c>
    </row>
    <row r="440" spans="18:54" ht="20.100000000000001" customHeight="1">
      <c r="S440" s="101" t="s">
        <v>2690</v>
      </c>
      <c r="T440" s="383"/>
      <c r="U440" s="131"/>
      <c r="V440" s="131"/>
      <c r="W440" s="131"/>
      <c r="X440" s="123">
        <f>IF(AND(X429&gt;(2020+TRANSPORT!$F$198),X429&lt;(2022+$G$198)),(TRANSPORT!$G$194-INDEX(TRANSPORT!$Y$439:$BA$439,1,($F$198-1)))/($G$198-$F$198+1),0)</f>
        <v>0</v>
      </c>
      <c r="Y440" s="123">
        <f>IF(AND(Y429&gt;(2020+TRANSPORT!$F$198),Y429&lt;(2022+$G$198)),(TRANSPORT!$G$194-INDEX(TRANSPORT!$Y$439:$BA$439,1,($F$198-1)))/($G$198-$F$198+1),0)</f>
        <v>0</v>
      </c>
      <c r="Z440" s="123">
        <f>IF(AND(Z429&gt;(2020+TRANSPORT!$F$198),Z429&lt;(2022+$G$198)),(TRANSPORT!$G$194-INDEX(TRANSPORT!$Y$439:$BA$439,1,($F$198-1)))/($G$198-$F$198+1),0)</f>
        <v>0</v>
      </c>
      <c r="AA440" s="123">
        <f>IF(AND(AA429&gt;(2020+TRANSPORT!$F$198),AA429&lt;(2022+$G$198)),(TRANSPORT!$G$194-INDEX(TRANSPORT!$Y$439:$BA$439,1,($F$198-1)))/($G$198-$F$198+1),0)</f>
        <v>0</v>
      </c>
      <c r="AB440" s="123">
        <f>IF(AND(AB429&gt;(2020+TRANSPORT!$F$198),AB429&lt;(2022+$G$198)),(TRANSPORT!$G$194-INDEX(TRANSPORT!$Y$439:$BA$439,1,($F$198-1)))/($G$198-$F$198+1),0)</f>
        <v>9.9920000000000009</v>
      </c>
      <c r="AC440" s="123">
        <f>IF(AND(AC429&gt;(2020+TRANSPORT!$F$198),AC429&lt;(2022+$G$198)),(TRANSPORT!$G$194-INDEX(TRANSPORT!$Y$439:$BA$439,1,($F$198-1)))/($G$198-$F$198+1),0)</f>
        <v>9.9920000000000009</v>
      </c>
      <c r="AD440" s="123">
        <f>IF(AND(AD429&gt;(2020+TRANSPORT!$F$198),AD429&lt;(2022+$G$198)),(TRANSPORT!$G$194-INDEX(TRANSPORT!$Y$439:$BA$439,1,($F$198-1)))/($G$198-$F$198+1),0)</f>
        <v>9.9920000000000009</v>
      </c>
      <c r="AE440" s="123">
        <f>IF(AND(AE429&gt;(2020+TRANSPORT!$F$198),AE429&lt;(2022+$G$198)),(TRANSPORT!$G$194-INDEX(TRANSPORT!$Y$439:$BA$439,1,($F$198-1)))/($G$198-$F$198+1),0)</f>
        <v>9.9920000000000009</v>
      </c>
      <c r="AF440" s="123">
        <f>IF(AND(AF429&gt;(2020+TRANSPORT!$F$198),AF429&lt;(2022+$G$198)),(TRANSPORT!$G$194-INDEX(TRANSPORT!$Y$439:$BA$439,1,($F$198-1)))/($G$198-$F$198+1),0)</f>
        <v>9.9920000000000009</v>
      </c>
      <c r="AG440" s="123">
        <f>IF(AND(AG429&gt;(2020+TRANSPORT!$F$198),AG429&lt;(2022+$G$198)),(TRANSPORT!$G$194-INDEX(TRANSPORT!$Y$439:$BA$439,1,($F$198-1)))/($G$198-$F$198+1),0)</f>
        <v>9.9920000000000009</v>
      </c>
      <c r="AH440" s="123">
        <f>IF(AND(AH429&gt;(2020+TRANSPORT!$F$198),AH429&lt;(2022+$G$198)),(TRANSPORT!$G$194-INDEX(TRANSPORT!$Y$439:$BA$439,1,($F$198-1)))/($G$198-$F$198+1),0)</f>
        <v>9.9920000000000009</v>
      </c>
      <c r="AI440" s="123">
        <f>IF(AND(AI429&gt;(2020+TRANSPORT!$F$198),AI429&lt;(2022+$G$198)),(TRANSPORT!$G$194-INDEX(TRANSPORT!$Y$439:$BA$439,1,($F$198-1)))/($G$198-$F$198+1),0)</f>
        <v>9.9920000000000009</v>
      </c>
      <c r="AJ440" s="123">
        <f>IF(AND(AJ429&gt;(2020+TRANSPORT!$F$198),AJ429&lt;(2022+$G$198)),(TRANSPORT!$G$194-INDEX(TRANSPORT!$Y$439:$BA$439,1,($F$198-1)))/($G$198-$F$198+1),0)</f>
        <v>9.9920000000000009</v>
      </c>
      <c r="AK440" s="123">
        <f>IF(AND(AK429&gt;(2020+TRANSPORT!$F$198),AK429&lt;(2022+$G$198)),(TRANSPORT!$G$194-INDEX(TRANSPORT!$Y$439:$BA$439,1,($F$198-1)))/($G$198-$F$198+1),0)</f>
        <v>9.9920000000000009</v>
      </c>
      <c r="AL440" s="123">
        <f>IF(AND(AL429&gt;(2020+TRANSPORT!$F$198),AL429&lt;(2022+$G$198)),(TRANSPORT!$G$194-INDEX(TRANSPORT!$Y$439:$BA$439,1,($F$198-1)))/($G$198-$F$198+1),0)</f>
        <v>0</v>
      </c>
      <c r="AM440" s="123">
        <f>IF(AND(AM429&gt;(2020+TRANSPORT!$F$198),AM429&lt;(2022+$G$198)),(TRANSPORT!$G$194-INDEX(TRANSPORT!$Y$439:$BA$439,1,($F$198-1)))/($G$198-$F$198+1),0)</f>
        <v>0</v>
      </c>
      <c r="AN440" s="123">
        <f>IF(AND(AN429&gt;(2020+TRANSPORT!$F$198),AN429&lt;(2022+$G$198)),(TRANSPORT!$G$194-INDEX(TRANSPORT!$Y$439:$BA$439,1,($F$198-1)))/($G$198-$F$198+1),0)</f>
        <v>0</v>
      </c>
      <c r="AO440" s="123">
        <f>IF(AND(AO429&gt;(2020+TRANSPORT!$F$198),AO429&lt;(2022+$G$198)),(TRANSPORT!$G$194-INDEX(TRANSPORT!$Y$439:$BA$439,1,($F$198-1)))/($G$198-$F$198+1),0)</f>
        <v>0</v>
      </c>
      <c r="AP440" s="123">
        <f>IF(AND(AP429&gt;(2020+TRANSPORT!$F$198),AP429&lt;(2022+$G$198)),(TRANSPORT!$G$194-INDEX(TRANSPORT!$Y$439:$BA$439,1,($F$198-1)))/($G$198-$F$198+1),0)</f>
        <v>0</v>
      </c>
      <c r="AQ440" s="123">
        <f>IF(AND(AQ429&gt;(2020+TRANSPORT!$F$198),AQ429&lt;(2022+$G$198)),(TRANSPORT!$G$194-INDEX(TRANSPORT!$Y$439:$BA$439,1,($F$198-1)))/($G$198-$F$198+1),0)</f>
        <v>0</v>
      </c>
      <c r="AR440" s="123">
        <f>IF(AND(AR429&gt;(2020+TRANSPORT!$F$198),AR429&lt;(2022+$G$198)),(TRANSPORT!$G$194-INDEX(TRANSPORT!$Y$439:$BA$439,1,($F$198-1)))/($G$198-$F$198+1),0)</f>
        <v>0</v>
      </c>
      <c r="AS440" s="123">
        <f>IF(AND(AS429&gt;(2020+TRANSPORT!$F$198),AS429&lt;(2022+$G$198)),(TRANSPORT!$G$194-INDEX(TRANSPORT!$Y$439:$BA$439,1,($F$198-1)))/($G$198-$F$198+1),0)</f>
        <v>0</v>
      </c>
      <c r="AT440" s="123">
        <f>IF(AND(AT429&gt;(2020+TRANSPORT!$F$198),AT429&lt;(2022+$G$198)),(TRANSPORT!$G$194-INDEX(TRANSPORT!$Y$439:$BA$439,1,($F$198-1)))/($G$198-$F$198+1),0)</f>
        <v>0</v>
      </c>
      <c r="AU440" s="123">
        <f>IF(AND(AU429&gt;(2020+TRANSPORT!$F$198),AU429&lt;(2022+$G$198)),(TRANSPORT!$G$194-INDEX(TRANSPORT!$Y$439:$BA$439,1,($F$198-1)))/($G$198-$F$198+1),0)</f>
        <v>0</v>
      </c>
      <c r="AV440" s="123">
        <f>IF(AND(AV429&gt;(2020+TRANSPORT!$F$198),AV429&lt;(2022+$G$198)),(TRANSPORT!$G$194-INDEX(TRANSPORT!$Y$439:$BA$439,1,($F$198-1)))/($G$198-$F$198+1),0)</f>
        <v>0</v>
      </c>
      <c r="AW440" s="123">
        <f>IF(AND(AW429&gt;(2020+TRANSPORT!$F$198),AW429&lt;(2022+$G$198)),(TRANSPORT!$G$194-INDEX(TRANSPORT!$Y$439:$BA$439,1,($F$198-1)))/($G$198-$F$198+1),0)</f>
        <v>0</v>
      </c>
      <c r="AX440" s="123">
        <f>IF(AND(AX429&gt;(2020+TRANSPORT!$F$198),AX429&lt;(2022+$G$198)),(TRANSPORT!$G$194-INDEX(TRANSPORT!$Y$439:$BA$439,1,($F$198-1)))/($G$198-$F$198+1),0)</f>
        <v>0</v>
      </c>
      <c r="AY440" s="123">
        <f>IF(AND(AY429&gt;(2020+TRANSPORT!$F$198),AY429&lt;(2022+$G$198)),(TRANSPORT!$G$194-INDEX(TRANSPORT!$Y$439:$BA$439,1,($F$198-1)))/($G$198-$F$198+1),0)</f>
        <v>0</v>
      </c>
      <c r="AZ440" s="123">
        <f>IF(AND(AZ429&gt;(2020+TRANSPORT!$F$198),AZ429&lt;(2022+$G$198)),(TRANSPORT!$G$194-INDEX(TRANSPORT!$Y$439:$BA$439,1,($F$198-1)))/($G$198-$F$198+1),0)</f>
        <v>0</v>
      </c>
      <c r="BA440" s="159">
        <f>IF(AND(BA429&gt;(2020+TRANSPORT!$F$198),BA429&lt;(2022+$G$198)),(TRANSPORT!$G$194-INDEX(TRANSPORT!$Y$439:$BA$439,1,($F$198-1)))/($G$198-$F$198+1),0)</f>
        <v>0</v>
      </c>
    </row>
    <row r="441" spans="18:54" ht="20.100000000000001" customHeight="1">
      <c r="S441" s="862" t="s">
        <v>2700</v>
      </c>
      <c r="T441" s="383" t="s">
        <v>2696</v>
      </c>
      <c r="U441" s="131"/>
      <c r="V441" s="131"/>
      <c r="W441" s="131"/>
      <c r="X441" s="819">
        <f>SUM(X439:X440)</f>
        <v>0.02</v>
      </c>
      <c r="Y441" s="807">
        <f>IF(Y440=0,X441*(IF(X439=0,1,Y439/X439)),X441+Y440)</f>
        <v>0.04</v>
      </c>
      <c r="Z441" s="807">
        <f t="shared" ref="Z441:BA441" si="708">IF(Z440=0,Y441*(IF(Y439=0,1,Z439/Y439)),Y441+Z440)</f>
        <v>0.06</v>
      </c>
      <c r="AA441" s="807">
        <f t="shared" si="708"/>
        <v>0.08</v>
      </c>
      <c r="AB441" s="807">
        <f t="shared" si="708"/>
        <v>10.072000000000001</v>
      </c>
      <c r="AC441" s="807">
        <f t="shared" si="708"/>
        <v>20.064</v>
      </c>
      <c r="AD441" s="807">
        <f t="shared" si="708"/>
        <v>30.056000000000001</v>
      </c>
      <c r="AE441" s="807">
        <f t="shared" si="708"/>
        <v>40.048000000000002</v>
      </c>
      <c r="AF441" s="807">
        <f t="shared" si="708"/>
        <v>50.040000000000006</v>
      </c>
      <c r="AG441" s="807">
        <f t="shared" si="708"/>
        <v>60.032000000000011</v>
      </c>
      <c r="AH441" s="807">
        <f t="shared" si="708"/>
        <v>70.024000000000015</v>
      </c>
      <c r="AI441" s="807">
        <f t="shared" si="708"/>
        <v>80.01600000000002</v>
      </c>
      <c r="AJ441" s="807">
        <f t="shared" si="708"/>
        <v>90.008000000000024</v>
      </c>
      <c r="AK441" s="807">
        <f t="shared" si="708"/>
        <v>100.00000000000003</v>
      </c>
      <c r="AL441" s="807">
        <f t="shared" si="708"/>
        <v>108.69565217391307</v>
      </c>
      <c r="AM441" s="807">
        <f t="shared" si="708"/>
        <v>121.73913043478265</v>
      </c>
      <c r="AN441" s="807">
        <f t="shared" si="708"/>
        <v>134.78260869565224</v>
      </c>
      <c r="AO441" s="807">
        <f t="shared" si="708"/>
        <v>147.82608695652183</v>
      </c>
      <c r="AP441" s="807">
        <f t="shared" si="708"/>
        <v>160.86956521739143</v>
      </c>
      <c r="AQ441" s="807">
        <f t="shared" si="708"/>
        <v>173.91304347826102</v>
      </c>
      <c r="AR441" s="807">
        <f t="shared" si="708"/>
        <v>186.95652173913058</v>
      </c>
      <c r="AS441" s="807">
        <f t="shared" si="708"/>
        <v>200.00000000000017</v>
      </c>
      <c r="AT441" s="807">
        <f t="shared" si="708"/>
        <v>213.04347826086976</v>
      </c>
      <c r="AU441" s="807">
        <f t="shared" si="708"/>
        <v>226.08695652173935</v>
      </c>
      <c r="AV441" s="807">
        <f t="shared" si="708"/>
        <v>239.13043478260894</v>
      </c>
      <c r="AW441" s="807">
        <f t="shared" si="708"/>
        <v>247.826086956522</v>
      </c>
      <c r="AX441" s="807">
        <f t="shared" si="708"/>
        <v>256.52173913043509</v>
      </c>
      <c r="AY441" s="807">
        <f t="shared" si="708"/>
        <v>265.2173913043481</v>
      </c>
      <c r="AZ441" s="807">
        <f t="shared" si="708"/>
        <v>273.91304347826116</v>
      </c>
      <c r="BA441" s="808">
        <f t="shared" si="708"/>
        <v>282.60869565217422</v>
      </c>
    </row>
    <row r="442" spans="18:54" ht="20.100000000000001" customHeight="1">
      <c r="S442" s="806" t="s">
        <v>577</v>
      </c>
      <c r="T442" s="383" t="s">
        <v>2705</v>
      </c>
      <c r="U442" s="319"/>
      <c r="V442" s="319"/>
      <c r="W442" s="319"/>
      <c r="X442" s="820">
        <f t="shared" ref="X442:BA442" si="709">X31</f>
        <v>99.58</v>
      </c>
      <c r="Y442" s="820">
        <f t="shared" si="709"/>
        <v>99.56</v>
      </c>
      <c r="Z442" s="820">
        <f t="shared" si="709"/>
        <v>99.54</v>
      </c>
      <c r="AA442" s="820">
        <f t="shared" si="709"/>
        <v>99.52</v>
      </c>
      <c r="AB442" s="820">
        <f t="shared" si="709"/>
        <v>99.5</v>
      </c>
      <c r="AC442" s="820">
        <f t="shared" si="709"/>
        <v>99.46</v>
      </c>
      <c r="AD442" s="820">
        <f t="shared" si="709"/>
        <v>99.42</v>
      </c>
      <c r="AE442" s="820">
        <f t="shared" si="709"/>
        <v>99.38</v>
      </c>
      <c r="AF442" s="820">
        <f t="shared" si="709"/>
        <v>99.34</v>
      </c>
      <c r="AG442" s="820">
        <f t="shared" si="709"/>
        <v>99.3</v>
      </c>
      <c r="AH442" s="820">
        <f t="shared" si="709"/>
        <v>99.26</v>
      </c>
      <c r="AI442" s="820">
        <f t="shared" si="709"/>
        <v>99.22</v>
      </c>
      <c r="AJ442" s="820">
        <f t="shared" si="709"/>
        <v>99.18</v>
      </c>
      <c r="AK442" s="820">
        <f t="shared" si="709"/>
        <v>99.14</v>
      </c>
      <c r="AL442" s="820">
        <f t="shared" si="709"/>
        <v>99.1</v>
      </c>
      <c r="AM442" s="820">
        <f t="shared" si="709"/>
        <v>99.04</v>
      </c>
      <c r="AN442" s="820">
        <f t="shared" si="709"/>
        <v>98.98</v>
      </c>
      <c r="AO442" s="820">
        <f t="shared" si="709"/>
        <v>98.92</v>
      </c>
      <c r="AP442" s="820">
        <f t="shared" si="709"/>
        <v>98.86</v>
      </c>
      <c r="AQ442" s="820">
        <f t="shared" si="709"/>
        <v>98.8</v>
      </c>
      <c r="AR442" s="820">
        <f t="shared" si="709"/>
        <v>98.74</v>
      </c>
      <c r="AS442" s="820">
        <f t="shared" si="709"/>
        <v>98.68</v>
      </c>
      <c r="AT442" s="820">
        <f t="shared" si="709"/>
        <v>98.62</v>
      </c>
      <c r="AU442" s="820">
        <f t="shared" si="709"/>
        <v>98.56</v>
      </c>
      <c r="AV442" s="820">
        <f t="shared" si="709"/>
        <v>98.5</v>
      </c>
      <c r="AW442" s="820">
        <f t="shared" si="709"/>
        <v>98.46</v>
      </c>
      <c r="AX442" s="820">
        <f t="shared" si="709"/>
        <v>98.42</v>
      </c>
      <c r="AY442" s="820">
        <f t="shared" si="709"/>
        <v>98.38</v>
      </c>
      <c r="AZ442" s="820">
        <f t="shared" si="709"/>
        <v>98.34</v>
      </c>
      <c r="BA442" s="821">
        <f t="shared" si="709"/>
        <v>98.3</v>
      </c>
    </row>
    <row r="443" spans="18:54" ht="20.100000000000001" customHeight="1" thickBot="1">
      <c r="S443" s="955" t="s">
        <v>2735</v>
      </c>
      <c r="T443" s="383" t="s">
        <v>2696</v>
      </c>
      <c r="U443" s="812"/>
      <c r="V443" s="812"/>
      <c r="W443" s="812"/>
      <c r="X443" s="822">
        <f>100-X432-X435-X438-X441</f>
        <v>99.580000000000013</v>
      </c>
      <c r="Y443" s="822">
        <f t="shared" ref="Y443:BA443" si="710">100-Y432-Y435-Y438-Y441</f>
        <v>99.56</v>
      </c>
      <c r="Z443" s="822">
        <f t="shared" si="710"/>
        <v>99.54</v>
      </c>
      <c r="AA443" s="822">
        <f t="shared" si="710"/>
        <v>99.52000000000001</v>
      </c>
      <c r="AB443" s="822">
        <f t="shared" si="710"/>
        <v>89.567999999999984</v>
      </c>
      <c r="AC443" s="822">
        <f t="shared" si="710"/>
        <v>79.616000000000014</v>
      </c>
      <c r="AD443" s="822">
        <f t="shared" si="710"/>
        <v>69.664000000000016</v>
      </c>
      <c r="AE443" s="822">
        <f t="shared" si="710"/>
        <v>59.711999999999989</v>
      </c>
      <c r="AF443" s="822">
        <f t="shared" si="710"/>
        <v>49.760000000000005</v>
      </c>
      <c r="AG443" s="822">
        <f t="shared" si="710"/>
        <v>39.807999999999979</v>
      </c>
      <c r="AH443" s="822">
        <f t="shared" si="710"/>
        <v>29.85599999999998</v>
      </c>
      <c r="AI443" s="822">
        <f t="shared" si="710"/>
        <v>19.903999999999982</v>
      </c>
      <c r="AJ443" s="822">
        <f t="shared" si="710"/>
        <v>9.9519999999999698</v>
      </c>
      <c r="AK443" s="822">
        <f t="shared" si="710"/>
        <v>0</v>
      </c>
      <c r="AL443" s="822">
        <f t="shared" si="710"/>
        <v>-8.695652173913075</v>
      </c>
      <c r="AM443" s="822">
        <f t="shared" si="710"/>
        <v>-21.739130434782652</v>
      </c>
      <c r="AN443" s="822">
        <f t="shared" si="710"/>
        <v>-34.782608695652243</v>
      </c>
      <c r="AO443" s="822">
        <f t="shared" si="710"/>
        <v>-47.826086956521834</v>
      </c>
      <c r="AP443" s="822">
        <f t="shared" si="710"/>
        <v>-60.869565217391425</v>
      </c>
      <c r="AQ443" s="822">
        <f t="shared" si="710"/>
        <v>-73.913043478261017</v>
      </c>
      <c r="AR443" s="822">
        <f t="shared" si="710"/>
        <v>-86.956521739130579</v>
      </c>
      <c r="AS443" s="822">
        <f t="shared" si="710"/>
        <v>-100.00000000000017</v>
      </c>
      <c r="AT443" s="822">
        <f t="shared" si="710"/>
        <v>-113.04347826086976</v>
      </c>
      <c r="AU443" s="822">
        <f t="shared" si="710"/>
        <v>-126.08695652173935</v>
      </c>
      <c r="AV443" s="822">
        <f t="shared" si="710"/>
        <v>-139.13043478260894</v>
      </c>
      <c r="AW443" s="822">
        <f t="shared" si="710"/>
        <v>-147.826086956522</v>
      </c>
      <c r="AX443" s="822">
        <f t="shared" si="710"/>
        <v>-156.52173913043509</v>
      </c>
      <c r="AY443" s="822">
        <f t="shared" si="710"/>
        <v>-165.2173913043481</v>
      </c>
      <c r="AZ443" s="822">
        <f t="shared" si="710"/>
        <v>-173.91304347826116</v>
      </c>
      <c r="BA443" s="823">
        <f t="shared" si="710"/>
        <v>-182.60869565217422</v>
      </c>
    </row>
    <row r="444" spans="18:54" ht="20.100000000000001" customHeight="1" thickBot="1"/>
    <row r="445" spans="18:54" ht="20.100000000000001" customHeight="1">
      <c r="S445" s="849" t="s">
        <v>2723</v>
      </c>
      <c r="T445" s="541" t="s">
        <v>2034</v>
      </c>
      <c r="U445" s="851" t="s">
        <v>2031</v>
      </c>
      <c r="V445" s="851"/>
      <c r="W445" s="851"/>
      <c r="X445" s="854" t="s">
        <v>632</v>
      </c>
      <c r="Y445" s="855"/>
      <c r="Z445" s="855"/>
      <c r="AA445" s="855"/>
      <c r="AB445" s="855"/>
      <c r="AC445" s="855"/>
      <c r="AD445" s="855"/>
      <c r="AE445" s="855"/>
      <c r="AF445" s="855"/>
      <c r="AG445" s="855"/>
      <c r="AH445" s="855"/>
      <c r="AI445" s="855"/>
      <c r="AJ445" s="855"/>
      <c r="AK445" s="855"/>
      <c r="AL445" s="855"/>
      <c r="AM445" s="855"/>
      <c r="AN445" s="855"/>
      <c r="AO445" s="855"/>
      <c r="AP445" s="855"/>
      <c r="AQ445" s="855"/>
      <c r="AR445" s="855"/>
      <c r="AS445" s="855"/>
      <c r="AT445" s="855"/>
      <c r="AU445" s="855"/>
      <c r="AV445" s="855"/>
      <c r="AW445" s="855"/>
      <c r="AX445" s="855"/>
      <c r="AY445" s="855"/>
      <c r="AZ445" s="855"/>
      <c r="BA445" s="856"/>
    </row>
    <row r="446" spans="18:54" ht="20.100000000000001" customHeight="1">
      <c r="S446" s="542" t="s">
        <v>579</v>
      </c>
      <c r="T446" s="383"/>
      <c r="U446" s="878" t="s">
        <v>580</v>
      </c>
      <c r="V446" s="389" t="s">
        <v>581</v>
      </c>
      <c r="W446" s="389" t="s">
        <v>582</v>
      </c>
      <c r="X446" s="390">
        <v>2021</v>
      </c>
      <c r="Y446" s="115">
        <v>2022</v>
      </c>
      <c r="Z446" s="390">
        <v>2023</v>
      </c>
      <c r="AA446" s="115">
        <v>2024</v>
      </c>
      <c r="AB446" s="390">
        <v>2025</v>
      </c>
      <c r="AC446" s="115">
        <v>2026</v>
      </c>
      <c r="AD446" s="390">
        <v>2027</v>
      </c>
      <c r="AE446" s="115">
        <v>2028</v>
      </c>
      <c r="AF446" s="390">
        <v>2029</v>
      </c>
      <c r="AG446" s="115">
        <v>2030</v>
      </c>
      <c r="AH446" s="390">
        <v>2031</v>
      </c>
      <c r="AI446" s="115">
        <v>2032</v>
      </c>
      <c r="AJ446" s="390">
        <v>2033</v>
      </c>
      <c r="AK446" s="115">
        <v>2034</v>
      </c>
      <c r="AL446" s="390">
        <v>2035</v>
      </c>
      <c r="AM446" s="115">
        <v>2036</v>
      </c>
      <c r="AN446" s="390">
        <v>2037</v>
      </c>
      <c r="AO446" s="115">
        <v>2038</v>
      </c>
      <c r="AP446" s="390">
        <v>2039</v>
      </c>
      <c r="AQ446" s="115">
        <v>2040</v>
      </c>
      <c r="AR446" s="390">
        <v>2041</v>
      </c>
      <c r="AS446" s="115">
        <v>2042</v>
      </c>
      <c r="AT446" s="390">
        <v>2043</v>
      </c>
      <c r="AU446" s="115">
        <v>2044</v>
      </c>
      <c r="AV446" s="390">
        <v>2045</v>
      </c>
      <c r="AW446" s="115">
        <v>2046</v>
      </c>
      <c r="AX446" s="390">
        <v>2047</v>
      </c>
      <c r="AY446" s="115">
        <v>2048</v>
      </c>
      <c r="AZ446" s="390">
        <v>2049</v>
      </c>
      <c r="BA446" s="323">
        <v>2050</v>
      </c>
    </row>
    <row r="447" spans="18:54" ht="20.100000000000001" customHeight="1">
      <c r="S447" s="542" t="s">
        <v>583</v>
      </c>
      <c r="T447" s="383"/>
      <c r="U447" s="879">
        <f>0.4*V447+0.6*W447</f>
        <v>364.57793568343214</v>
      </c>
      <c r="V447" s="76">
        <f>INDEX('DEFAULT DATA'!$AJ$9:$AN$41,START!$C$3,1)</f>
        <v>261.91600618637949</v>
      </c>
      <c r="W447" s="76">
        <f>INDEX('DEFAULT DATA'!$AE$9:$AI$41,START!$C$3,1)</f>
        <v>433.01922201480062</v>
      </c>
      <c r="X447" s="75">
        <f>X432</f>
        <v>0.2</v>
      </c>
      <c r="Y447" s="75">
        <f t="shared" ref="Y447:BA447" si="711">Y432</f>
        <v>0.2</v>
      </c>
      <c r="Z447" s="75">
        <f t="shared" si="711"/>
        <v>0.2</v>
      </c>
      <c r="AA447" s="75">
        <f t="shared" si="711"/>
        <v>0.2</v>
      </c>
      <c r="AB447" s="75">
        <f t="shared" si="711"/>
        <v>0.18000000000000002</v>
      </c>
      <c r="AC447" s="75">
        <f t="shared" si="711"/>
        <v>0.16000000000000003</v>
      </c>
      <c r="AD447" s="75">
        <f t="shared" si="711"/>
        <v>0.14000000000000004</v>
      </c>
      <c r="AE447" s="75">
        <f t="shared" si="711"/>
        <v>0.12000000000000004</v>
      </c>
      <c r="AF447" s="75">
        <f t="shared" si="711"/>
        <v>0.10000000000000003</v>
      </c>
      <c r="AG447" s="75">
        <f t="shared" si="711"/>
        <v>8.0000000000000029E-2</v>
      </c>
      <c r="AH447" s="75">
        <f t="shared" si="711"/>
        <v>6.0000000000000026E-2</v>
      </c>
      <c r="AI447" s="75">
        <f t="shared" si="711"/>
        <v>4.0000000000000022E-2</v>
      </c>
      <c r="AJ447" s="75">
        <f t="shared" si="711"/>
        <v>2.0000000000000021E-2</v>
      </c>
      <c r="AK447" s="75">
        <f t="shared" si="711"/>
        <v>2.0816681711721685E-17</v>
      </c>
      <c r="AL447" s="75">
        <f t="shared" si="711"/>
        <v>2.0816681711721685E-17</v>
      </c>
      <c r="AM447" s="75">
        <f t="shared" si="711"/>
        <v>2.0816681711721685E-17</v>
      </c>
      <c r="AN447" s="75">
        <f t="shared" si="711"/>
        <v>2.0816681711721685E-17</v>
      </c>
      <c r="AO447" s="75">
        <f t="shared" si="711"/>
        <v>2.0816681711721685E-17</v>
      </c>
      <c r="AP447" s="75">
        <f t="shared" si="711"/>
        <v>2.0816681711721685E-17</v>
      </c>
      <c r="AQ447" s="75">
        <f t="shared" si="711"/>
        <v>2.0816681711721685E-17</v>
      </c>
      <c r="AR447" s="75">
        <f t="shared" si="711"/>
        <v>2.0816681711721685E-17</v>
      </c>
      <c r="AS447" s="75">
        <f t="shared" si="711"/>
        <v>2.0816681711721685E-17</v>
      </c>
      <c r="AT447" s="75">
        <f t="shared" si="711"/>
        <v>2.0816681711721685E-17</v>
      </c>
      <c r="AU447" s="75">
        <f t="shared" si="711"/>
        <v>2.0816681711721685E-17</v>
      </c>
      <c r="AV447" s="75">
        <f t="shared" si="711"/>
        <v>2.0816681711721685E-17</v>
      </c>
      <c r="AW447" s="75">
        <f t="shared" si="711"/>
        <v>2.0816681711721685E-17</v>
      </c>
      <c r="AX447" s="75">
        <f t="shared" si="711"/>
        <v>2.0816681711721685E-17</v>
      </c>
      <c r="AY447" s="75">
        <f t="shared" si="711"/>
        <v>2.0816681711721685E-17</v>
      </c>
      <c r="AZ447" s="75">
        <f t="shared" si="711"/>
        <v>2.0816681711721685E-17</v>
      </c>
      <c r="BA447" s="824">
        <f t="shared" si="711"/>
        <v>2.0816681711721685E-17</v>
      </c>
    </row>
    <row r="448" spans="18:54" ht="20.100000000000001" customHeight="1">
      <c r="S448" s="542" t="s">
        <v>584</v>
      </c>
      <c r="T448" s="383"/>
      <c r="U448" s="879">
        <f t="shared" ref="U448:U450" si="712">0.4*V448+0.6*W448</f>
        <v>396.28036487329581</v>
      </c>
      <c r="V448" s="76">
        <f>INDEX('DEFAULT DATA'!$AJ$9:$AN$41,START!$C$3,2)</f>
        <v>284.69131107215162</v>
      </c>
      <c r="W448" s="390">
        <f>INDEX('DEFAULT DATA'!$AE$9:$AI$41,START!$C$3,2)</f>
        <v>470.67306740739195</v>
      </c>
      <c r="X448" s="401">
        <f>X435</f>
        <v>0.1</v>
      </c>
      <c r="Y448" s="401">
        <f t="shared" ref="Y448:BA448" si="713">Y435</f>
        <v>0.1</v>
      </c>
      <c r="Z448" s="401">
        <f t="shared" si="713"/>
        <v>0.1</v>
      </c>
      <c r="AA448" s="401">
        <f t="shared" si="713"/>
        <v>0.1</v>
      </c>
      <c r="AB448" s="401">
        <f t="shared" si="713"/>
        <v>9.0000000000000011E-2</v>
      </c>
      <c r="AC448" s="401">
        <f t="shared" si="713"/>
        <v>8.0000000000000016E-2</v>
      </c>
      <c r="AD448" s="401">
        <f t="shared" si="713"/>
        <v>7.0000000000000021E-2</v>
      </c>
      <c r="AE448" s="401">
        <f t="shared" si="713"/>
        <v>6.0000000000000019E-2</v>
      </c>
      <c r="AF448" s="401">
        <f t="shared" si="713"/>
        <v>5.0000000000000017E-2</v>
      </c>
      <c r="AG448" s="401">
        <f t="shared" si="713"/>
        <v>4.0000000000000015E-2</v>
      </c>
      <c r="AH448" s="401">
        <f t="shared" si="713"/>
        <v>3.0000000000000013E-2</v>
      </c>
      <c r="AI448" s="401">
        <f t="shared" si="713"/>
        <v>2.0000000000000011E-2</v>
      </c>
      <c r="AJ448" s="401">
        <f t="shared" si="713"/>
        <v>1.0000000000000011E-2</v>
      </c>
      <c r="AK448" s="401">
        <f t="shared" si="713"/>
        <v>1.0408340855860843E-17</v>
      </c>
      <c r="AL448" s="401">
        <f t="shared" si="713"/>
        <v>1.0408340855860843E-17</v>
      </c>
      <c r="AM448" s="401">
        <f t="shared" si="713"/>
        <v>1.0408340855860843E-17</v>
      </c>
      <c r="AN448" s="401">
        <f t="shared" si="713"/>
        <v>1.0408340855860843E-17</v>
      </c>
      <c r="AO448" s="401">
        <f t="shared" si="713"/>
        <v>1.0408340855860843E-17</v>
      </c>
      <c r="AP448" s="401">
        <f t="shared" si="713"/>
        <v>1.0408340855860843E-17</v>
      </c>
      <c r="AQ448" s="401">
        <f t="shared" si="713"/>
        <v>1.0408340855860843E-17</v>
      </c>
      <c r="AR448" s="401">
        <f t="shared" si="713"/>
        <v>1.0408340855860843E-17</v>
      </c>
      <c r="AS448" s="401">
        <f t="shared" si="713"/>
        <v>1.0408340855860843E-17</v>
      </c>
      <c r="AT448" s="401">
        <f t="shared" si="713"/>
        <v>1.0408340855860843E-17</v>
      </c>
      <c r="AU448" s="401">
        <f t="shared" si="713"/>
        <v>1.0408340855860843E-17</v>
      </c>
      <c r="AV448" s="401">
        <f t="shared" si="713"/>
        <v>1.0408340855860843E-17</v>
      </c>
      <c r="AW448" s="401">
        <f t="shared" si="713"/>
        <v>1.0408340855860843E-17</v>
      </c>
      <c r="AX448" s="401">
        <f t="shared" si="713"/>
        <v>1.0408340855860843E-17</v>
      </c>
      <c r="AY448" s="401">
        <f t="shared" si="713"/>
        <v>1.0408340855860843E-17</v>
      </c>
      <c r="AZ448" s="401">
        <f t="shared" si="713"/>
        <v>1.0408340855860843E-17</v>
      </c>
      <c r="BA448" s="563">
        <f t="shared" si="713"/>
        <v>1.0408340855860843E-17</v>
      </c>
    </row>
    <row r="449" spans="19:53" ht="20.100000000000001" customHeight="1">
      <c r="S449" s="542" t="s">
        <v>577</v>
      </c>
      <c r="T449" s="383"/>
      <c r="U449" s="879">
        <f t="shared" si="712"/>
        <v>364.87514595708711</v>
      </c>
      <c r="V449" s="76">
        <f>INDEX('DEFAULT DATA'!$AJ$9:$AN$41,START!$C$3,3)</f>
        <v>262.12952466968363</v>
      </c>
      <c r="W449" s="390">
        <f>INDEX('DEFAULT DATA'!$AE$9:$AI$41,START!$C$3,3)</f>
        <v>433.37222681535616</v>
      </c>
      <c r="X449" s="401">
        <f>X443</f>
        <v>99.580000000000013</v>
      </c>
      <c r="Y449" s="401">
        <f t="shared" ref="Y449:BA449" si="714">Y443</f>
        <v>99.56</v>
      </c>
      <c r="Z449" s="401">
        <f t="shared" si="714"/>
        <v>99.54</v>
      </c>
      <c r="AA449" s="401">
        <f t="shared" si="714"/>
        <v>99.52000000000001</v>
      </c>
      <c r="AB449" s="401">
        <f t="shared" si="714"/>
        <v>89.567999999999984</v>
      </c>
      <c r="AC449" s="401">
        <f t="shared" si="714"/>
        <v>79.616000000000014</v>
      </c>
      <c r="AD449" s="401">
        <f t="shared" si="714"/>
        <v>69.664000000000016</v>
      </c>
      <c r="AE449" s="401">
        <f t="shared" si="714"/>
        <v>59.711999999999989</v>
      </c>
      <c r="AF449" s="401">
        <f t="shared" si="714"/>
        <v>49.760000000000005</v>
      </c>
      <c r="AG449" s="401">
        <f t="shared" si="714"/>
        <v>39.807999999999979</v>
      </c>
      <c r="AH449" s="401">
        <f t="shared" si="714"/>
        <v>29.85599999999998</v>
      </c>
      <c r="AI449" s="401">
        <f t="shared" si="714"/>
        <v>19.903999999999982</v>
      </c>
      <c r="AJ449" s="401">
        <f t="shared" si="714"/>
        <v>9.9519999999999698</v>
      </c>
      <c r="AK449" s="401">
        <f t="shared" si="714"/>
        <v>0</v>
      </c>
      <c r="AL449" s="401">
        <f t="shared" si="714"/>
        <v>-8.695652173913075</v>
      </c>
      <c r="AM449" s="401">
        <f t="shared" si="714"/>
        <v>-21.739130434782652</v>
      </c>
      <c r="AN449" s="401">
        <f t="shared" si="714"/>
        <v>-34.782608695652243</v>
      </c>
      <c r="AO449" s="401">
        <f t="shared" si="714"/>
        <v>-47.826086956521834</v>
      </c>
      <c r="AP449" s="401">
        <f t="shared" si="714"/>
        <v>-60.869565217391425</v>
      </c>
      <c r="AQ449" s="401">
        <f t="shared" si="714"/>
        <v>-73.913043478261017</v>
      </c>
      <c r="AR449" s="401">
        <f t="shared" si="714"/>
        <v>-86.956521739130579</v>
      </c>
      <c r="AS449" s="401">
        <f t="shared" si="714"/>
        <v>-100.00000000000017</v>
      </c>
      <c r="AT449" s="401">
        <f t="shared" si="714"/>
        <v>-113.04347826086976</v>
      </c>
      <c r="AU449" s="401">
        <f t="shared" si="714"/>
        <v>-126.08695652173935</v>
      </c>
      <c r="AV449" s="401">
        <f t="shared" si="714"/>
        <v>-139.13043478260894</v>
      </c>
      <c r="AW449" s="401">
        <f t="shared" si="714"/>
        <v>-147.826086956522</v>
      </c>
      <c r="AX449" s="401">
        <f t="shared" si="714"/>
        <v>-156.52173913043509</v>
      </c>
      <c r="AY449" s="401">
        <f t="shared" si="714"/>
        <v>-165.2173913043481</v>
      </c>
      <c r="AZ449" s="401">
        <f t="shared" si="714"/>
        <v>-173.91304347826116</v>
      </c>
      <c r="BA449" s="563">
        <f t="shared" si="714"/>
        <v>-182.60869565217422</v>
      </c>
    </row>
    <row r="450" spans="19:53" ht="20.100000000000001" customHeight="1">
      <c r="S450" s="542" t="s">
        <v>585</v>
      </c>
      <c r="T450" s="383"/>
      <c r="U450" s="879">
        <f t="shared" si="712"/>
        <v>546.47062316027495</v>
      </c>
      <c r="V450" s="76">
        <f>INDEX('DEFAULT DATA'!$AJ$9:$AN$41,START!$C$3,4)</f>
        <v>392.58931796849708</v>
      </c>
      <c r="W450" s="390">
        <f>INDEX('DEFAULT DATA'!$AE$9:$AI$41,START!$C$3,4)</f>
        <v>649.0581599547935</v>
      </c>
      <c r="X450" s="401">
        <f>X438</f>
        <v>0.1</v>
      </c>
      <c r="Y450" s="401">
        <f t="shared" ref="Y450:BA450" si="715">Y438</f>
        <v>0.1</v>
      </c>
      <c r="Z450" s="401">
        <f t="shared" si="715"/>
        <v>0.1</v>
      </c>
      <c r="AA450" s="401">
        <f t="shared" si="715"/>
        <v>0.1</v>
      </c>
      <c r="AB450" s="401">
        <f t="shared" si="715"/>
        <v>9.0000000000000011E-2</v>
      </c>
      <c r="AC450" s="401">
        <f t="shared" si="715"/>
        <v>8.0000000000000016E-2</v>
      </c>
      <c r="AD450" s="401">
        <f t="shared" si="715"/>
        <v>7.0000000000000021E-2</v>
      </c>
      <c r="AE450" s="401">
        <f t="shared" si="715"/>
        <v>6.0000000000000019E-2</v>
      </c>
      <c r="AF450" s="401">
        <f t="shared" si="715"/>
        <v>5.0000000000000017E-2</v>
      </c>
      <c r="AG450" s="401">
        <f t="shared" si="715"/>
        <v>4.0000000000000015E-2</v>
      </c>
      <c r="AH450" s="401">
        <f t="shared" si="715"/>
        <v>3.0000000000000013E-2</v>
      </c>
      <c r="AI450" s="401">
        <f t="shared" si="715"/>
        <v>2.0000000000000011E-2</v>
      </c>
      <c r="AJ450" s="401">
        <f t="shared" si="715"/>
        <v>1.0000000000000011E-2</v>
      </c>
      <c r="AK450" s="401">
        <f t="shared" si="715"/>
        <v>1.0408340855860843E-17</v>
      </c>
      <c r="AL450" s="401">
        <f t="shared" si="715"/>
        <v>1.0408340855860843E-17</v>
      </c>
      <c r="AM450" s="401">
        <f t="shared" si="715"/>
        <v>1.0408340855860843E-17</v>
      </c>
      <c r="AN450" s="401">
        <f t="shared" si="715"/>
        <v>1.0408340855860843E-17</v>
      </c>
      <c r="AO450" s="401">
        <f t="shared" si="715"/>
        <v>1.0408340855860843E-17</v>
      </c>
      <c r="AP450" s="401">
        <f t="shared" si="715"/>
        <v>1.0408340855860843E-17</v>
      </c>
      <c r="AQ450" s="401">
        <f t="shared" si="715"/>
        <v>1.0408340855860843E-17</v>
      </c>
      <c r="AR450" s="401">
        <f t="shared" si="715"/>
        <v>1.0408340855860843E-17</v>
      </c>
      <c r="AS450" s="401">
        <f t="shared" si="715"/>
        <v>1.0408340855860843E-17</v>
      </c>
      <c r="AT450" s="401">
        <f t="shared" si="715"/>
        <v>1.0408340855860843E-17</v>
      </c>
      <c r="AU450" s="401">
        <f t="shared" si="715"/>
        <v>1.0408340855860843E-17</v>
      </c>
      <c r="AV450" s="401">
        <f t="shared" si="715"/>
        <v>1.0408340855860843E-17</v>
      </c>
      <c r="AW450" s="401">
        <f t="shared" si="715"/>
        <v>1.0408340855860843E-17</v>
      </c>
      <c r="AX450" s="401">
        <f t="shared" si="715"/>
        <v>1.0408340855860843E-17</v>
      </c>
      <c r="AY450" s="401">
        <f t="shared" si="715"/>
        <v>1.0408340855860843E-17</v>
      </c>
      <c r="AZ450" s="401">
        <f t="shared" si="715"/>
        <v>1.0408340855860843E-17</v>
      </c>
      <c r="BA450" s="563">
        <f t="shared" si="715"/>
        <v>1.0408340855860843E-17</v>
      </c>
    </row>
    <row r="451" spans="19:53" ht="20.100000000000001" customHeight="1" thickBot="1">
      <c r="S451" s="544" t="s">
        <v>578</v>
      </c>
      <c r="T451" s="448" t="s">
        <v>2860</v>
      </c>
      <c r="U451" s="880">
        <v>0.92799999999999994</v>
      </c>
      <c r="V451" s="672">
        <f>INDEX('DEFAULT DATA'!$AJ$9:$AN$41,START!$C$3,5)</f>
        <v>0.96717040125065135</v>
      </c>
      <c r="W451" s="672">
        <f>INDEX('DEFAULT DATA'!$AE$9:$AI$41,START!$C$3,5)</f>
        <v>0.82209484106305364</v>
      </c>
      <c r="X451" s="772">
        <f>X441</f>
        <v>0.02</v>
      </c>
      <c r="Y451" s="772">
        <f t="shared" ref="Y451:BA451" si="716">Y441</f>
        <v>0.04</v>
      </c>
      <c r="Z451" s="772">
        <f t="shared" si="716"/>
        <v>0.06</v>
      </c>
      <c r="AA451" s="772">
        <f t="shared" si="716"/>
        <v>0.08</v>
      </c>
      <c r="AB451" s="772">
        <f t="shared" si="716"/>
        <v>10.072000000000001</v>
      </c>
      <c r="AC451" s="772">
        <f t="shared" si="716"/>
        <v>20.064</v>
      </c>
      <c r="AD451" s="772">
        <f t="shared" si="716"/>
        <v>30.056000000000001</v>
      </c>
      <c r="AE451" s="772">
        <f t="shared" si="716"/>
        <v>40.048000000000002</v>
      </c>
      <c r="AF451" s="772">
        <f t="shared" si="716"/>
        <v>50.040000000000006</v>
      </c>
      <c r="AG451" s="772">
        <f t="shared" si="716"/>
        <v>60.032000000000011</v>
      </c>
      <c r="AH451" s="772">
        <f t="shared" si="716"/>
        <v>70.024000000000015</v>
      </c>
      <c r="AI451" s="772">
        <f t="shared" si="716"/>
        <v>80.01600000000002</v>
      </c>
      <c r="AJ451" s="772">
        <f t="shared" si="716"/>
        <v>90.008000000000024</v>
      </c>
      <c r="AK451" s="772">
        <f t="shared" si="716"/>
        <v>100.00000000000003</v>
      </c>
      <c r="AL451" s="772">
        <f t="shared" si="716"/>
        <v>108.69565217391307</v>
      </c>
      <c r="AM451" s="772">
        <f t="shared" si="716"/>
        <v>121.73913043478265</v>
      </c>
      <c r="AN451" s="772">
        <f t="shared" si="716"/>
        <v>134.78260869565224</v>
      </c>
      <c r="AO451" s="772">
        <f t="shared" si="716"/>
        <v>147.82608695652183</v>
      </c>
      <c r="AP451" s="772">
        <f t="shared" si="716"/>
        <v>160.86956521739143</v>
      </c>
      <c r="AQ451" s="772">
        <f t="shared" si="716"/>
        <v>173.91304347826102</v>
      </c>
      <c r="AR451" s="772">
        <f t="shared" si="716"/>
        <v>186.95652173913058</v>
      </c>
      <c r="AS451" s="772">
        <f t="shared" si="716"/>
        <v>200.00000000000017</v>
      </c>
      <c r="AT451" s="772">
        <f t="shared" si="716"/>
        <v>213.04347826086976</v>
      </c>
      <c r="AU451" s="772">
        <f t="shared" si="716"/>
        <v>226.08695652173935</v>
      </c>
      <c r="AV451" s="772">
        <f t="shared" si="716"/>
        <v>239.13043478260894</v>
      </c>
      <c r="AW451" s="772">
        <f t="shared" si="716"/>
        <v>247.826086956522</v>
      </c>
      <c r="AX451" s="772">
        <f t="shared" si="716"/>
        <v>256.52173913043509</v>
      </c>
      <c r="AY451" s="772">
        <f t="shared" si="716"/>
        <v>265.2173913043481</v>
      </c>
      <c r="AZ451" s="772">
        <f t="shared" si="716"/>
        <v>273.91304347826116</v>
      </c>
      <c r="BA451" s="825">
        <f t="shared" si="716"/>
        <v>282.60869565217422</v>
      </c>
    </row>
    <row r="452" spans="19:53" ht="20.100000000000001" customHeight="1">
      <c r="S452" s="435" t="s">
        <v>2707</v>
      </c>
      <c r="T452" s="450" t="s">
        <v>2767</v>
      </c>
      <c r="U452" s="881"/>
      <c r="V452" s="881"/>
      <c r="W452" s="881"/>
      <c r="X452" s="179">
        <f>(X447/100*$U$447)+(X448/100*$U$448)+(X449/100*$U$449)+(X450/100*$U$450)+(X451*X594/100*$U$451)</f>
        <v>365.08217628291993</v>
      </c>
      <c r="Y452" s="179">
        <f t="shared" ref="Y452:BA452" si="717">(Y447/100*$U$447)+(Y448/100*$U$448)+(Y449/100*$U$449)+(Y450/100*$U$450)+(Y451*Y594/100*$U$451)</f>
        <v>365.06652527310382</v>
      </c>
      <c r="Z452" s="179">
        <f t="shared" si="717"/>
        <v>365.04177056005977</v>
      </c>
      <c r="AA452" s="179">
        <f t="shared" si="717"/>
        <v>365.00896480314248</v>
      </c>
      <c r="AB452" s="179">
        <f t="shared" si="717"/>
        <v>353.13109311227055</v>
      </c>
      <c r="AC452" s="179">
        <f t="shared" si="717"/>
        <v>337.51253191216819</v>
      </c>
      <c r="AD452" s="179">
        <f t="shared" si="717"/>
        <v>318.57976662646263</v>
      </c>
      <c r="AE452" s="179">
        <f t="shared" si="717"/>
        <v>296.71606311699497</v>
      </c>
      <c r="AF452" s="179">
        <f t="shared" si="717"/>
        <v>272.26557367740548</v>
      </c>
      <c r="AG452" s="179">
        <f t="shared" si="717"/>
        <v>245.53706855188096</v>
      </c>
      <c r="AH452" s="179">
        <f t="shared" si="717"/>
        <v>218.08552416574207</v>
      </c>
      <c r="AI452" s="179">
        <f t="shared" si="717"/>
        <v>189.03944760973874</v>
      </c>
      <c r="AJ452" s="179">
        <f t="shared" si="717"/>
        <v>158.56798467796582</v>
      </c>
      <c r="AK452" s="179">
        <f t="shared" si="717"/>
        <v>126.82502910970369</v>
      </c>
      <c r="AL452" s="179">
        <f t="shared" si="717"/>
        <v>97.164554935875955</v>
      </c>
      <c r="AM452" s="179">
        <f t="shared" si="717"/>
        <v>55.655886098722647</v>
      </c>
      <c r="AN452" s="179">
        <f t="shared" si="717"/>
        <v>12.811758665508165</v>
      </c>
      <c r="AO452" s="179">
        <f t="shared" si="717"/>
        <v>-31.219921554138494</v>
      </c>
      <c r="AP452" s="179">
        <f t="shared" si="717"/>
        <v>-76.304834193271716</v>
      </c>
      <c r="AQ452" s="179">
        <f t="shared" si="717"/>
        <v>-122.32110312212615</v>
      </c>
      <c r="AR452" s="179">
        <f t="shared" si="717"/>
        <v>-169.15824620083356</v>
      </c>
      <c r="AS452" s="179">
        <f t="shared" si="717"/>
        <v>-216.7162089873847</v>
      </c>
      <c r="AT452" s="179">
        <f t="shared" si="717"/>
        <v>-264.90447592394821</v>
      </c>
      <c r="AU452" s="179">
        <f t="shared" si="717"/>
        <v>-313.6412530119452</v>
      </c>
      <c r="AV452" s="179">
        <f t="shared" si="717"/>
        <v>-362.85271643757824</v>
      </c>
      <c r="AW452" s="179">
        <f t="shared" si="717"/>
        <v>-399.06977947599614</v>
      </c>
      <c r="AX452" s="179">
        <f t="shared" si="717"/>
        <v>-435.3150784482209</v>
      </c>
      <c r="AY452" s="179">
        <f t="shared" si="717"/>
        <v>-471.56597754731672</v>
      </c>
      <c r="AZ452" s="179">
        <f t="shared" si="717"/>
        <v>-507.80266432443079</v>
      </c>
      <c r="BA452" s="891">
        <f t="shared" si="717"/>
        <v>-544.0078782885239</v>
      </c>
    </row>
    <row r="453" spans="19:53" ht="20.100000000000001" customHeight="1">
      <c r="S453" s="101" t="s">
        <v>2708</v>
      </c>
      <c r="T453" s="450" t="s">
        <v>2766</v>
      </c>
      <c r="U453" s="392"/>
      <c r="V453" s="393"/>
      <c r="W453" s="393"/>
      <c r="X453" s="123">
        <f>(X447/100*$V$447)+(X448/100*$V$448)+(X449/100*$V$449)+(X450/100*$V$450)+(X451*X594/100*$V$451)</f>
        <v>262.30014570920616</v>
      </c>
      <c r="Y453" s="123">
        <f t="shared" ref="Y453:BA453" si="718">(Y447/100*$V$447)+(Y448/100*$V$448)+(Y449/100*$V$449)+(Y450/100*$V$450)+(Y451*Y594/100*$V$451)</f>
        <v>262.30746344093228</v>
      </c>
      <c r="Z453" s="123">
        <f t="shared" si="718"/>
        <v>262.30529320681376</v>
      </c>
      <c r="AA453" s="123">
        <f t="shared" si="718"/>
        <v>262.29473209841359</v>
      </c>
      <c r="AB453" s="123">
        <f t="shared" si="718"/>
        <v>261.72760885151371</v>
      </c>
      <c r="AC453" s="123">
        <f t="shared" si="718"/>
        <v>257.2619035209969</v>
      </c>
      <c r="AD453" s="123">
        <f t="shared" si="718"/>
        <v>249.34210326020045</v>
      </c>
      <c r="AE453" s="123">
        <f t="shared" si="718"/>
        <v>238.36765138526965</v>
      </c>
      <c r="AF453" s="123">
        <f t="shared" si="718"/>
        <v>224.69722668061297</v>
      </c>
      <c r="AG453" s="123">
        <f t="shared" si="718"/>
        <v>208.65263242313199</v>
      </c>
      <c r="AH453" s="123">
        <f t="shared" si="718"/>
        <v>191.85447979085745</v>
      </c>
      <c r="AI453" s="123">
        <f t="shared" si="718"/>
        <v>173.39449060843756</v>
      </c>
      <c r="AJ453" s="123">
        <f t="shared" si="718"/>
        <v>153.44895022667473</v>
      </c>
      <c r="AK453" s="123">
        <f t="shared" si="718"/>
        <v>132.17824816019146</v>
      </c>
      <c r="AL453" s="123">
        <f t="shared" si="718"/>
        <v>111.5394565828307</v>
      </c>
      <c r="AM453" s="123">
        <f t="shared" si="718"/>
        <v>83.689182112660617</v>
      </c>
      <c r="AN453" s="123">
        <f t="shared" si="718"/>
        <v>54.447080028044255</v>
      </c>
      <c r="AO453" s="123">
        <f t="shared" si="718"/>
        <v>23.967299166531461</v>
      </c>
      <c r="AP453" s="123">
        <f t="shared" si="718"/>
        <v>-7.6101705115384561</v>
      </c>
      <c r="AQ453" s="123">
        <f t="shared" si="718"/>
        <v>-40.158308547837919</v>
      </c>
      <c r="AR453" s="123">
        <f t="shared" si="718"/>
        <v>-73.56196940837188</v>
      </c>
      <c r="AS453" s="123">
        <f t="shared" si="718"/>
        <v>-107.71687540475128</v>
      </c>
      <c r="AT453" s="123">
        <f t="shared" si="718"/>
        <v>-142.52869036414509</v>
      </c>
      <c r="AU453" s="123">
        <f t="shared" si="718"/>
        <v>-177.91216780549152</v>
      </c>
      <c r="AV453" s="123">
        <f t="shared" si="718"/>
        <v>-213.7903678498979</v>
      </c>
      <c r="AW453" s="123">
        <f t="shared" si="718"/>
        <v>-241.26249852532041</v>
      </c>
      <c r="AX453" s="123">
        <f t="shared" si="718"/>
        <v>-268.76405695874871</v>
      </c>
      <c r="AY453" s="123">
        <f t="shared" si="718"/>
        <v>-296.27145189751457</v>
      </c>
      <c r="AZ453" s="123">
        <f t="shared" si="718"/>
        <v>-323.76403461951986</v>
      </c>
      <c r="BA453" s="159">
        <f t="shared" si="718"/>
        <v>-351.22381607730318</v>
      </c>
    </row>
    <row r="454" spans="19:53" ht="20.100000000000001" customHeight="1" thickBot="1">
      <c r="S454" s="301" t="s">
        <v>2709</v>
      </c>
      <c r="T454" s="547" t="s">
        <v>2766</v>
      </c>
      <c r="U454" s="548"/>
      <c r="V454" s="549"/>
      <c r="W454" s="549"/>
      <c r="X454" s="160">
        <f>(X447/100*$W$447)+(X448/100*$W$448)+(X449/100*$W$449)+(X450/100*$W$450)+(X451*X594/100*$W$451)</f>
        <v>433.59771767558703</v>
      </c>
      <c r="Y454" s="160">
        <f t="shared" ref="Y454:BA454" si="719">(Y447/100*$W$447)+(Y448/100*$W$448)+(Y449/100*$W$449)+(Y450/100*$W$450)+(Y451*Y594/100*$W$451)</f>
        <v>433.56182532138496</v>
      </c>
      <c r="Z454" s="160">
        <f t="shared" si="719"/>
        <v>433.51786819621498</v>
      </c>
      <c r="AA454" s="160">
        <f t="shared" si="719"/>
        <v>433.46677882790561</v>
      </c>
      <c r="AB454" s="160">
        <f t="shared" si="719"/>
        <v>411.93309841361531</v>
      </c>
      <c r="AC454" s="160">
        <f t="shared" si="719"/>
        <v>387.0856232282506</v>
      </c>
      <c r="AD454" s="160">
        <f t="shared" si="719"/>
        <v>359.30216735214822</v>
      </c>
      <c r="AE454" s="160">
        <f t="shared" si="719"/>
        <v>328.92225760403159</v>
      </c>
      <c r="AF454" s="160">
        <f t="shared" si="719"/>
        <v>296.25077095064808</v>
      </c>
      <c r="AG454" s="160">
        <f t="shared" si="719"/>
        <v>261.56124017736374</v>
      </c>
      <c r="AH454" s="160">
        <f t="shared" si="719"/>
        <v>226.23118478550498</v>
      </c>
      <c r="AI454" s="160">
        <f t="shared" si="719"/>
        <v>189.48856832602272</v>
      </c>
      <c r="AJ454" s="160">
        <f t="shared" si="719"/>
        <v>151.48323334709886</v>
      </c>
      <c r="AK454" s="160">
        <f t="shared" si="719"/>
        <v>112.35151093616273</v>
      </c>
      <c r="AL454" s="160">
        <f t="shared" si="719"/>
        <v>76.498787587047332</v>
      </c>
      <c r="AM454" s="160">
        <f t="shared" si="719"/>
        <v>25.361428524864678</v>
      </c>
      <c r="AN454" s="160">
        <f t="shared" si="719"/>
        <v>-26.95898400959733</v>
      </c>
      <c r="AO454" s="160">
        <f t="shared" si="719"/>
        <v>-80.331423504421309</v>
      </c>
      <c r="AP454" s="160">
        <f t="shared" si="719"/>
        <v>-134.63689849331891</v>
      </c>
      <c r="AQ454" s="160">
        <f t="shared" si="719"/>
        <v>-189.76744158671153</v>
      </c>
      <c r="AR454" s="160">
        <f t="shared" si="719"/>
        <v>-245.62517908070342</v>
      </c>
      <c r="AS454" s="160">
        <f t="shared" si="719"/>
        <v>-302.12147494016403</v>
      </c>
      <c r="AT454" s="160">
        <f t="shared" si="719"/>
        <v>-359.17614341818683</v>
      </c>
      <c r="AU454" s="160">
        <f t="shared" si="719"/>
        <v>-416.71672500586942</v>
      </c>
      <c r="AV454" s="160">
        <f t="shared" si="719"/>
        <v>-474.67782080615291</v>
      </c>
      <c r="AW454" s="160">
        <f t="shared" si="719"/>
        <v>-516.33888238862073</v>
      </c>
      <c r="AX454" s="160">
        <f t="shared" si="719"/>
        <v>-558.02495756539372</v>
      </c>
      <c r="AY454" s="160">
        <f t="shared" si="719"/>
        <v>-599.71599377170332</v>
      </c>
      <c r="AZ454" s="160">
        <f t="shared" si="719"/>
        <v>-641.39443959376649</v>
      </c>
      <c r="BA454" s="161">
        <f t="shared" si="719"/>
        <v>-683.04500434124111</v>
      </c>
    </row>
    <row r="455" spans="19:53" ht="20.100000000000001" customHeight="1" thickBot="1"/>
    <row r="456" spans="19:53" ht="20.100000000000001" customHeight="1">
      <c r="S456" s="299" t="s">
        <v>2761</v>
      </c>
      <c r="T456" s="890"/>
      <c r="U456" s="1457" t="s">
        <v>631</v>
      </c>
      <c r="V456" s="1457"/>
      <c r="W456" s="1039"/>
      <c r="X456" s="138"/>
      <c r="Y456" s="138"/>
      <c r="Z456" s="138"/>
      <c r="AA456" s="138"/>
      <c r="AB456" s="138"/>
      <c r="AC456" s="138"/>
      <c r="AD456" s="138"/>
      <c r="AE456" s="138"/>
      <c r="AF456" s="138"/>
      <c r="AG456" s="138"/>
      <c r="AH456" s="138"/>
      <c r="AI456" s="138"/>
      <c r="AJ456" s="138"/>
      <c r="AK456" s="138"/>
      <c r="AL456" s="138"/>
      <c r="AM456" s="138"/>
      <c r="AN456" s="138"/>
      <c r="AO456" s="138"/>
      <c r="AP456" s="138"/>
      <c r="AQ456" s="138"/>
      <c r="AR456" s="138"/>
      <c r="AS456" s="138"/>
      <c r="AT456" s="138"/>
      <c r="AU456" s="138"/>
      <c r="AV456" s="138"/>
      <c r="AW456" s="138"/>
      <c r="AX456" s="138"/>
      <c r="AY456" s="138"/>
      <c r="AZ456" s="138"/>
      <c r="BA456" s="556"/>
    </row>
    <row r="457" spans="19:53" ht="20.100000000000001" customHeight="1">
      <c r="S457" s="101" t="s">
        <v>586</v>
      </c>
      <c r="T457" s="1074"/>
      <c r="U457" s="445" t="s">
        <v>581</v>
      </c>
      <c r="V457" s="445" t="s">
        <v>582</v>
      </c>
      <c r="W457" s="445" t="s">
        <v>588</v>
      </c>
      <c r="X457" s="115">
        <f>X446</f>
        <v>2021</v>
      </c>
      <c r="Y457" s="115">
        <f>Y446</f>
        <v>2022</v>
      </c>
      <c r="Z457" s="115">
        <f t="shared" ref="Z457:BA457" si="720">Z446</f>
        <v>2023</v>
      </c>
      <c r="AA457" s="115">
        <f t="shared" si="720"/>
        <v>2024</v>
      </c>
      <c r="AB457" s="115">
        <f t="shared" si="720"/>
        <v>2025</v>
      </c>
      <c r="AC457" s="115">
        <f t="shared" si="720"/>
        <v>2026</v>
      </c>
      <c r="AD457" s="115">
        <f t="shared" si="720"/>
        <v>2027</v>
      </c>
      <c r="AE457" s="115">
        <f t="shared" si="720"/>
        <v>2028</v>
      </c>
      <c r="AF457" s="115">
        <f t="shared" si="720"/>
        <v>2029</v>
      </c>
      <c r="AG457" s="115">
        <f t="shared" si="720"/>
        <v>2030</v>
      </c>
      <c r="AH457" s="115">
        <f t="shared" si="720"/>
        <v>2031</v>
      </c>
      <c r="AI457" s="115">
        <f t="shared" si="720"/>
        <v>2032</v>
      </c>
      <c r="AJ457" s="115">
        <f t="shared" si="720"/>
        <v>2033</v>
      </c>
      <c r="AK457" s="115">
        <f t="shared" si="720"/>
        <v>2034</v>
      </c>
      <c r="AL457" s="115">
        <f t="shared" si="720"/>
        <v>2035</v>
      </c>
      <c r="AM457" s="115">
        <f t="shared" si="720"/>
        <v>2036</v>
      </c>
      <c r="AN457" s="115">
        <f t="shared" si="720"/>
        <v>2037</v>
      </c>
      <c r="AO457" s="115">
        <f t="shared" si="720"/>
        <v>2038</v>
      </c>
      <c r="AP457" s="115">
        <f t="shared" si="720"/>
        <v>2039</v>
      </c>
      <c r="AQ457" s="115">
        <f t="shared" si="720"/>
        <v>2040</v>
      </c>
      <c r="AR457" s="115">
        <f t="shared" si="720"/>
        <v>2041</v>
      </c>
      <c r="AS457" s="115">
        <f t="shared" si="720"/>
        <v>2042</v>
      </c>
      <c r="AT457" s="115">
        <f t="shared" si="720"/>
        <v>2043</v>
      </c>
      <c r="AU457" s="115">
        <f t="shared" si="720"/>
        <v>2044</v>
      </c>
      <c r="AV457" s="115">
        <f t="shared" si="720"/>
        <v>2045</v>
      </c>
      <c r="AW457" s="115">
        <f t="shared" si="720"/>
        <v>2046</v>
      </c>
      <c r="AX457" s="115">
        <f t="shared" si="720"/>
        <v>2047</v>
      </c>
      <c r="AY457" s="115">
        <f t="shared" si="720"/>
        <v>2048</v>
      </c>
      <c r="AZ457" s="115">
        <f t="shared" si="720"/>
        <v>2049</v>
      </c>
      <c r="BA457" s="323">
        <f t="shared" si="720"/>
        <v>2050</v>
      </c>
    </row>
    <row r="458" spans="19:53" ht="20.100000000000001" customHeight="1">
      <c r="S458" s="101" t="s">
        <v>60</v>
      </c>
      <c r="T458" s="383" t="s">
        <v>587</v>
      </c>
      <c r="U458" s="389">
        <f>INDEX('DEFAULT DATA'!$AV$9:$AZ$41,START!$C$3,1)</f>
        <v>0</v>
      </c>
      <c r="V458" s="389">
        <f>100-U458</f>
        <v>100</v>
      </c>
      <c r="W458" s="133" t="s">
        <v>2720</v>
      </c>
      <c r="X458" s="123">
        <f>($U458/100*X$453)+($V458/100*X$454)</f>
        <v>433.59771767558703</v>
      </c>
      <c r="Y458" s="123">
        <f t="shared" ref="Y458:BA462" si="721">($U458/100*Y$453)+($V458/100*Y$454)</f>
        <v>433.56182532138496</v>
      </c>
      <c r="Z458" s="123">
        <f t="shared" si="721"/>
        <v>433.51786819621498</v>
      </c>
      <c r="AA458" s="123">
        <f t="shared" si="721"/>
        <v>433.46677882790561</v>
      </c>
      <c r="AB458" s="123">
        <f t="shared" si="721"/>
        <v>411.93309841361531</v>
      </c>
      <c r="AC458" s="123">
        <f t="shared" si="721"/>
        <v>387.0856232282506</v>
      </c>
      <c r="AD458" s="123">
        <f t="shared" si="721"/>
        <v>359.30216735214822</v>
      </c>
      <c r="AE458" s="123">
        <f t="shared" si="721"/>
        <v>328.92225760403159</v>
      </c>
      <c r="AF458" s="123">
        <f t="shared" si="721"/>
        <v>296.25077095064808</v>
      </c>
      <c r="AG458" s="123">
        <f t="shared" si="721"/>
        <v>261.56124017736374</v>
      </c>
      <c r="AH458" s="123">
        <f t="shared" si="721"/>
        <v>226.23118478550498</v>
      </c>
      <c r="AI458" s="123">
        <f t="shared" si="721"/>
        <v>189.48856832602272</v>
      </c>
      <c r="AJ458" s="123">
        <f t="shared" si="721"/>
        <v>151.48323334709886</v>
      </c>
      <c r="AK458" s="123">
        <f t="shared" si="721"/>
        <v>112.35151093616273</v>
      </c>
      <c r="AL458" s="123">
        <f t="shared" si="721"/>
        <v>76.498787587047332</v>
      </c>
      <c r="AM458" s="123">
        <f t="shared" si="721"/>
        <v>25.361428524864678</v>
      </c>
      <c r="AN458" s="123">
        <f t="shared" si="721"/>
        <v>-26.95898400959733</v>
      </c>
      <c r="AO458" s="123">
        <f t="shared" si="721"/>
        <v>-80.331423504421309</v>
      </c>
      <c r="AP458" s="123">
        <f t="shared" si="721"/>
        <v>-134.63689849331891</v>
      </c>
      <c r="AQ458" s="123">
        <f t="shared" si="721"/>
        <v>-189.76744158671153</v>
      </c>
      <c r="AR458" s="123">
        <f t="shared" si="721"/>
        <v>-245.62517908070342</v>
      </c>
      <c r="AS458" s="123">
        <f t="shared" si="721"/>
        <v>-302.12147494016403</v>
      </c>
      <c r="AT458" s="123">
        <f t="shared" si="721"/>
        <v>-359.17614341818683</v>
      </c>
      <c r="AU458" s="123">
        <f t="shared" si="721"/>
        <v>-416.71672500586942</v>
      </c>
      <c r="AV458" s="123">
        <f t="shared" si="721"/>
        <v>-474.67782080615291</v>
      </c>
      <c r="AW458" s="123">
        <f t="shared" si="721"/>
        <v>-516.33888238862073</v>
      </c>
      <c r="AX458" s="123">
        <f t="shared" si="721"/>
        <v>-558.02495756539372</v>
      </c>
      <c r="AY458" s="123">
        <f t="shared" si="721"/>
        <v>-599.71599377170332</v>
      </c>
      <c r="AZ458" s="123">
        <f t="shared" si="721"/>
        <v>-641.39443959376649</v>
      </c>
      <c r="BA458" s="159">
        <f t="shared" si="721"/>
        <v>-683.04500434124111</v>
      </c>
    </row>
    <row r="459" spans="19:53" ht="20.100000000000001" customHeight="1">
      <c r="S459" s="101" t="s">
        <v>61</v>
      </c>
      <c r="T459" s="383" t="s">
        <v>587</v>
      </c>
      <c r="U459" s="389">
        <f>INDEX('DEFAULT DATA'!$AV$9:$AZ$41,START!$C$3,2)</f>
        <v>10</v>
      </c>
      <c r="V459" s="389">
        <f t="shared" ref="V459:V462" si="722">100-U459</f>
        <v>90</v>
      </c>
      <c r="W459" s="133" t="s">
        <v>2721</v>
      </c>
      <c r="X459" s="123">
        <f t="shared" ref="X459:AM462" si="723">($U459/100*X$453)+($V459/100*X$454)</f>
        <v>416.46796047894895</v>
      </c>
      <c r="Y459" s="123">
        <f t="shared" si="723"/>
        <v>416.43638913333973</v>
      </c>
      <c r="Z459" s="123">
        <f t="shared" si="723"/>
        <v>416.39661069727487</v>
      </c>
      <c r="AA459" s="123">
        <f t="shared" si="723"/>
        <v>416.34957415495637</v>
      </c>
      <c r="AB459" s="123">
        <f t="shared" si="723"/>
        <v>396.91254945740519</v>
      </c>
      <c r="AC459" s="123">
        <f t="shared" si="723"/>
        <v>374.10325125752524</v>
      </c>
      <c r="AD459" s="123">
        <f t="shared" si="723"/>
        <v>348.30616094295345</v>
      </c>
      <c r="AE459" s="123">
        <f t="shared" si="723"/>
        <v>319.86679698215539</v>
      </c>
      <c r="AF459" s="123">
        <f t="shared" si="723"/>
        <v>289.09541652364459</v>
      </c>
      <c r="AG459" s="123">
        <f t="shared" si="723"/>
        <v>256.27037940194054</v>
      </c>
      <c r="AH459" s="123">
        <f t="shared" si="723"/>
        <v>222.79351428604025</v>
      </c>
      <c r="AI459" s="123">
        <f t="shared" si="723"/>
        <v>187.87916055426419</v>
      </c>
      <c r="AJ459" s="123">
        <f t="shared" si="723"/>
        <v>151.67980503505646</v>
      </c>
      <c r="AK459" s="123">
        <f t="shared" si="723"/>
        <v>114.3341846585656</v>
      </c>
      <c r="AL459" s="123">
        <f t="shared" si="723"/>
        <v>80.002854486625665</v>
      </c>
      <c r="AM459" s="123">
        <f t="shared" si="723"/>
        <v>31.194203883644271</v>
      </c>
      <c r="AN459" s="123">
        <f t="shared" si="721"/>
        <v>-18.818377605833174</v>
      </c>
      <c r="AO459" s="123">
        <f t="shared" si="721"/>
        <v>-69.901551237326032</v>
      </c>
      <c r="AP459" s="123">
        <f t="shared" si="721"/>
        <v>-121.93422569514087</v>
      </c>
      <c r="AQ459" s="123">
        <f t="shared" si="721"/>
        <v>-174.80652828282416</v>
      </c>
      <c r="AR459" s="123">
        <f t="shared" si="721"/>
        <v>-228.41885811347026</v>
      </c>
      <c r="AS459" s="123">
        <f t="shared" si="721"/>
        <v>-282.68101498662276</v>
      </c>
      <c r="AT459" s="123">
        <f t="shared" si="721"/>
        <v>-337.51139811278267</v>
      </c>
      <c r="AU459" s="123">
        <f t="shared" si="721"/>
        <v>-392.83626928583169</v>
      </c>
      <c r="AV459" s="123">
        <f t="shared" si="721"/>
        <v>-448.58907551052744</v>
      </c>
      <c r="AW459" s="123">
        <f t="shared" si="721"/>
        <v>-488.8312440022907</v>
      </c>
      <c r="AX459" s="123">
        <f t="shared" si="721"/>
        <v>-529.09886750472924</v>
      </c>
      <c r="AY459" s="123">
        <f t="shared" si="721"/>
        <v>-569.37153958428451</v>
      </c>
      <c r="AZ459" s="123">
        <f t="shared" si="721"/>
        <v>-609.63139909634185</v>
      </c>
      <c r="BA459" s="159">
        <f t="shared" si="721"/>
        <v>-649.86288551484733</v>
      </c>
    </row>
    <row r="460" spans="19:53" ht="20.100000000000001" customHeight="1">
      <c r="S460" s="101" t="s">
        <v>62</v>
      </c>
      <c r="T460" s="383" t="s">
        <v>587</v>
      </c>
      <c r="U460" s="389">
        <f>INDEX('DEFAULT DATA'!$AV$9:$AZ$41,START!$C$3,3)</f>
        <v>20</v>
      </c>
      <c r="V460" s="389">
        <f t="shared" si="722"/>
        <v>80</v>
      </c>
      <c r="W460" s="133" t="s">
        <v>2722</v>
      </c>
      <c r="X460" s="123">
        <f t="shared" si="723"/>
        <v>399.33820328231087</v>
      </c>
      <c r="Y460" s="123">
        <f t="shared" si="721"/>
        <v>399.31095294529445</v>
      </c>
      <c r="Z460" s="123">
        <f t="shared" si="721"/>
        <v>399.27535319833476</v>
      </c>
      <c r="AA460" s="123">
        <f t="shared" si="721"/>
        <v>399.23236948200724</v>
      </c>
      <c r="AB460" s="123">
        <f t="shared" si="721"/>
        <v>381.89200050119501</v>
      </c>
      <c r="AC460" s="123">
        <f t="shared" si="721"/>
        <v>361.12087928679989</v>
      </c>
      <c r="AD460" s="123">
        <f t="shared" si="721"/>
        <v>337.31015453375863</v>
      </c>
      <c r="AE460" s="123">
        <f t="shared" si="721"/>
        <v>310.8113363602792</v>
      </c>
      <c r="AF460" s="123">
        <f t="shared" si="721"/>
        <v>281.9400620966411</v>
      </c>
      <c r="AG460" s="123">
        <f t="shared" si="721"/>
        <v>250.9795186265174</v>
      </c>
      <c r="AH460" s="123">
        <f t="shared" si="721"/>
        <v>219.35584378657549</v>
      </c>
      <c r="AI460" s="123">
        <f t="shared" si="721"/>
        <v>186.26975278250569</v>
      </c>
      <c r="AJ460" s="123">
        <f t="shared" si="721"/>
        <v>151.87637672301403</v>
      </c>
      <c r="AK460" s="123">
        <f t="shared" si="721"/>
        <v>116.31685838096848</v>
      </c>
      <c r="AL460" s="123">
        <f t="shared" si="721"/>
        <v>83.506921386204013</v>
      </c>
      <c r="AM460" s="123">
        <f t="shared" si="721"/>
        <v>37.026979242423863</v>
      </c>
      <c r="AN460" s="123">
        <f t="shared" si="721"/>
        <v>-10.677771202069014</v>
      </c>
      <c r="AO460" s="123">
        <f t="shared" si="721"/>
        <v>-59.471678970230762</v>
      </c>
      <c r="AP460" s="123">
        <f t="shared" si="721"/>
        <v>-109.23155289696282</v>
      </c>
      <c r="AQ460" s="123">
        <f t="shared" si="721"/>
        <v>-159.84561497893679</v>
      </c>
      <c r="AR460" s="123">
        <f t="shared" si="721"/>
        <v>-211.21253714623714</v>
      </c>
      <c r="AS460" s="123">
        <f t="shared" si="721"/>
        <v>-263.24055503308148</v>
      </c>
      <c r="AT460" s="123">
        <f t="shared" si="721"/>
        <v>-315.84665280737852</v>
      </c>
      <c r="AU460" s="123">
        <f t="shared" si="721"/>
        <v>-368.95581356579385</v>
      </c>
      <c r="AV460" s="123">
        <f t="shared" si="721"/>
        <v>-422.50033021490196</v>
      </c>
      <c r="AW460" s="123">
        <f t="shared" si="721"/>
        <v>-461.32360561596067</v>
      </c>
      <c r="AX460" s="123">
        <f t="shared" si="721"/>
        <v>-500.17277744406471</v>
      </c>
      <c r="AY460" s="123">
        <f t="shared" si="721"/>
        <v>-539.02708539686557</v>
      </c>
      <c r="AZ460" s="123">
        <f t="shared" si="721"/>
        <v>-577.86835859891721</v>
      </c>
      <c r="BA460" s="159">
        <f t="shared" si="721"/>
        <v>-616.68076668845356</v>
      </c>
    </row>
    <row r="461" spans="19:53" ht="20.100000000000001" customHeight="1">
      <c r="S461" s="101" t="s">
        <v>63</v>
      </c>
      <c r="T461" s="383" t="s">
        <v>587</v>
      </c>
      <c r="U461" s="389">
        <f>INDEX('DEFAULT DATA'!$AV$9:$AZ$41,START!$C$3,4)</f>
        <v>70</v>
      </c>
      <c r="V461" s="389">
        <f t="shared" si="722"/>
        <v>30</v>
      </c>
      <c r="W461" s="133" t="s">
        <v>2861</v>
      </c>
      <c r="X461" s="123">
        <f t="shared" si="723"/>
        <v>313.68941729912041</v>
      </c>
      <c r="Y461" s="123">
        <f t="shared" si="721"/>
        <v>313.68377200506802</v>
      </c>
      <c r="Z461" s="123">
        <f t="shared" si="721"/>
        <v>313.66906570363415</v>
      </c>
      <c r="AA461" s="123">
        <f t="shared" si="721"/>
        <v>313.6463461172612</v>
      </c>
      <c r="AB461" s="123">
        <f t="shared" si="721"/>
        <v>306.78925572014418</v>
      </c>
      <c r="AC461" s="123">
        <f t="shared" si="721"/>
        <v>296.20901943317301</v>
      </c>
      <c r="AD461" s="123">
        <f t="shared" si="721"/>
        <v>282.33012248778476</v>
      </c>
      <c r="AE461" s="123">
        <f t="shared" si="721"/>
        <v>265.53403325089823</v>
      </c>
      <c r="AF461" s="123">
        <f t="shared" si="721"/>
        <v>246.16328996162349</v>
      </c>
      <c r="AG461" s="123">
        <f t="shared" si="721"/>
        <v>224.5252147494015</v>
      </c>
      <c r="AH461" s="123">
        <f t="shared" si="721"/>
        <v>202.1674912892517</v>
      </c>
      <c r="AI461" s="123">
        <f t="shared" si="721"/>
        <v>178.22271392371312</v>
      </c>
      <c r="AJ461" s="123">
        <f t="shared" si="721"/>
        <v>152.85923516280195</v>
      </c>
      <c r="AK461" s="123">
        <f t="shared" si="721"/>
        <v>126.23022699298284</v>
      </c>
      <c r="AL461" s="123">
        <f t="shared" si="721"/>
        <v>101.02725588409567</v>
      </c>
      <c r="AM461" s="123">
        <f t="shared" si="721"/>
        <v>66.190856036321833</v>
      </c>
      <c r="AN461" s="123">
        <f t="shared" si="721"/>
        <v>30.025260816751782</v>
      </c>
      <c r="AO461" s="123">
        <f t="shared" si="721"/>
        <v>-7.3223176347543699</v>
      </c>
      <c r="AP461" s="123">
        <f t="shared" si="721"/>
        <v>-45.718188906072591</v>
      </c>
      <c r="AQ461" s="123">
        <f t="shared" si="721"/>
        <v>-85.041048459500004</v>
      </c>
      <c r="AR461" s="123">
        <f t="shared" si="721"/>
        <v>-125.18093231007134</v>
      </c>
      <c r="AS461" s="123">
        <f t="shared" si="721"/>
        <v>-166.03825526537508</v>
      </c>
      <c r="AT461" s="123">
        <f t="shared" si="721"/>
        <v>-207.52292628035761</v>
      </c>
      <c r="AU461" s="123">
        <f t="shared" si="721"/>
        <v>-249.55353496560488</v>
      </c>
      <c r="AV461" s="123">
        <f t="shared" si="721"/>
        <v>-292.05660373677438</v>
      </c>
      <c r="AW461" s="123">
        <f t="shared" si="721"/>
        <v>-323.78541368431047</v>
      </c>
      <c r="AX461" s="123">
        <f t="shared" si="721"/>
        <v>-355.5423271407422</v>
      </c>
      <c r="AY461" s="123">
        <f t="shared" si="721"/>
        <v>-387.30481445977114</v>
      </c>
      <c r="AZ461" s="123">
        <f t="shared" si="721"/>
        <v>-419.05315611179384</v>
      </c>
      <c r="BA461" s="159">
        <f t="shared" si="721"/>
        <v>-450.77017255648457</v>
      </c>
    </row>
    <row r="462" spans="19:53" ht="20.100000000000001" customHeight="1">
      <c r="S462" s="101" t="s">
        <v>64</v>
      </c>
      <c r="T462" s="383" t="s">
        <v>587</v>
      </c>
      <c r="U462" s="389">
        <f>INDEX('DEFAULT DATA'!$AV$9:$AZ$41,START!$C$3,5)</f>
        <v>100</v>
      </c>
      <c r="V462" s="389">
        <f t="shared" si="722"/>
        <v>0</v>
      </c>
      <c r="W462" s="133" t="s">
        <v>2862</v>
      </c>
      <c r="X462" s="123">
        <f t="shared" si="723"/>
        <v>262.30014570920616</v>
      </c>
      <c r="Y462" s="123">
        <f t="shared" si="721"/>
        <v>262.30746344093228</v>
      </c>
      <c r="Z462" s="123">
        <f t="shared" si="721"/>
        <v>262.30529320681376</v>
      </c>
      <c r="AA462" s="123">
        <f t="shared" si="721"/>
        <v>262.29473209841359</v>
      </c>
      <c r="AB462" s="123">
        <f t="shared" si="721"/>
        <v>261.72760885151371</v>
      </c>
      <c r="AC462" s="123">
        <f t="shared" si="721"/>
        <v>257.2619035209969</v>
      </c>
      <c r="AD462" s="123">
        <f t="shared" si="721"/>
        <v>249.34210326020045</v>
      </c>
      <c r="AE462" s="123">
        <f t="shared" si="721"/>
        <v>238.36765138526965</v>
      </c>
      <c r="AF462" s="123">
        <f t="shared" si="721"/>
        <v>224.69722668061297</v>
      </c>
      <c r="AG462" s="123">
        <f t="shared" si="721"/>
        <v>208.65263242313199</v>
      </c>
      <c r="AH462" s="123">
        <f t="shared" si="721"/>
        <v>191.85447979085745</v>
      </c>
      <c r="AI462" s="123">
        <f t="shared" si="721"/>
        <v>173.39449060843756</v>
      </c>
      <c r="AJ462" s="123">
        <f t="shared" si="721"/>
        <v>153.44895022667473</v>
      </c>
      <c r="AK462" s="123">
        <f t="shared" si="721"/>
        <v>132.17824816019146</v>
      </c>
      <c r="AL462" s="123">
        <f t="shared" si="721"/>
        <v>111.5394565828307</v>
      </c>
      <c r="AM462" s="123">
        <f t="shared" si="721"/>
        <v>83.689182112660617</v>
      </c>
      <c r="AN462" s="123">
        <f t="shared" si="721"/>
        <v>54.447080028044255</v>
      </c>
      <c r="AO462" s="123">
        <f t="shared" si="721"/>
        <v>23.967299166531461</v>
      </c>
      <c r="AP462" s="123">
        <f t="shared" si="721"/>
        <v>-7.6101705115384561</v>
      </c>
      <c r="AQ462" s="123">
        <f t="shared" si="721"/>
        <v>-40.158308547837919</v>
      </c>
      <c r="AR462" s="123">
        <f t="shared" si="721"/>
        <v>-73.56196940837188</v>
      </c>
      <c r="AS462" s="123">
        <f t="shared" si="721"/>
        <v>-107.71687540475128</v>
      </c>
      <c r="AT462" s="123">
        <f t="shared" si="721"/>
        <v>-142.52869036414509</v>
      </c>
      <c r="AU462" s="123">
        <f t="shared" si="721"/>
        <v>-177.91216780549152</v>
      </c>
      <c r="AV462" s="123">
        <f t="shared" si="721"/>
        <v>-213.7903678498979</v>
      </c>
      <c r="AW462" s="123">
        <f t="shared" si="721"/>
        <v>-241.26249852532041</v>
      </c>
      <c r="AX462" s="123">
        <f t="shared" si="721"/>
        <v>-268.76405695874871</v>
      </c>
      <c r="AY462" s="123">
        <f t="shared" si="721"/>
        <v>-296.27145189751457</v>
      </c>
      <c r="AZ462" s="123">
        <f t="shared" si="721"/>
        <v>-323.76403461951986</v>
      </c>
      <c r="BA462" s="159">
        <f t="shared" si="721"/>
        <v>-351.22381607730318</v>
      </c>
    </row>
    <row r="463" spans="19:53" ht="20.100000000000001" customHeight="1" thickBot="1">
      <c r="S463" s="301" t="s">
        <v>2757</v>
      </c>
      <c r="T463" s="1075" t="s">
        <v>2756</v>
      </c>
      <c r="U463" s="139"/>
      <c r="V463" s="139"/>
      <c r="W463" s="155" t="s">
        <v>845</v>
      </c>
      <c r="X463" s="160">
        <f t="shared" ref="X463:BA463" si="724">(X294/100*X458)+(X295/100*X459)+(X296/100*X460)+(X297/100*X461)+(X298/100*X462)</f>
        <v>0</v>
      </c>
      <c r="Y463" s="160">
        <f t="shared" si="724"/>
        <v>407.87367103931706</v>
      </c>
      <c r="Z463" s="160">
        <f t="shared" si="724"/>
        <v>407.83598194780484</v>
      </c>
      <c r="AA463" s="160">
        <f t="shared" si="724"/>
        <v>407.79097181848181</v>
      </c>
      <c r="AB463" s="160">
        <f t="shared" si="724"/>
        <v>389.4022749793001</v>
      </c>
      <c r="AC463" s="160">
        <f t="shared" si="724"/>
        <v>367.61206527216257</v>
      </c>
      <c r="AD463" s="160">
        <f t="shared" si="724"/>
        <v>342.80815773835604</v>
      </c>
      <c r="AE463" s="160">
        <f t="shared" si="724"/>
        <v>315.33906667121732</v>
      </c>
      <c r="AF463" s="160">
        <f t="shared" si="724"/>
        <v>285.51773931014282</v>
      </c>
      <c r="AG463" s="160">
        <f t="shared" si="724"/>
        <v>253.62494901422897</v>
      </c>
      <c r="AH463" s="160">
        <f t="shared" si="724"/>
        <v>221.07467903630788</v>
      </c>
      <c r="AI463" s="160">
        <f t="shared" si="724"/>
        <v>187.07445666838493</v>
      </c>
      <c r="AJ463" s="160">
        <f t="shared" si="724"/>
        <v>151.77809087903523</v>
      </c>
      <c r="AK463" s="160">
        <f t="shared" si="724"/>
        <v>115.32552151976705</v>
      </c>
      <c r="AL463" s="160">
        <f t="shared" si="724"/>
        <v>81.754887936414832</v>
      </c>
      <c r="AM463" s="160">
        <f t="shared" si="724"/>
        <v>34.110591563034063</v>
      </c>
      <c r="AN463" s="160">
        <f t="shared" si="724"/>
        <v>-14.748074403951094</v>
      </c>
      <c r="AO463" s="160">
        <f t="shared" si="724"/>
        <v>-64.686615103778394</v>
      </c>
      <c r="AP463" s="160">
        <f t="shared" si="724"/>
        <v>-115.58288929605185</v>
      </c>
      <c r="AQ463" s="160">
        <f t="shared" si="724"/>
        <v>-167.32607163088048</v>
      </c>
      <c r="AR463" s="160">
        <f t="shared" si="724"/>
        <v>-219.8156976298537</v>
      </c>
      <c r="AS463" s="160">
        <f t="shared" si="724"/>
        <v>-272.96078500985209</v>
      </c>
      <c r="AT463" s="160">
        <f t="shared" si="724"/>
        <v>-326.6790254600806</v>
      </c>
      <c r="AU463" s="160">
        <f t="shared" si="724"/>
        <v>-380.89604142581277</v>
      </c>
      <c r="AV463" s="160">
        <f t="shared" si="724"/>
        <v>-435.5447028627147</v>
      </c>
      <c r="AW463" s="160">
        <f t="shared" si="724"/>
        <v>-475.07742480912566</v>
      </c>
      <c r="AX463" s="160">
        <f t="shared" si="724"/>
        <v>-514.63582247439695</v>
      </c>
      <c r="AY463" s="160">
        <f t="shared" si="724"/>
        <v>-554.19931249057504</v>
      </c>
      <c r="AZ463" s="160">
        <f t="shared" si="724"/>
        <v>-593.74987884762959</v>
      </c>
      <c r="BA463" s="161">
        <f t="shared" si="724"/>
        <v>-633.2718261016505</v>
      </c>
    </row>
    <row r="464" spans="19:53" ht="20.100000000000001" customHeight="1">
      <c r="S464" s="299" t="s">
        <v>2762</v>
      </c>
      <c r="T464" s="890"/>
      <c r="U464" s="1455" t="s">
        <v>631</v>
      </c>
      <c r="V464" s="1456"/>
      <c r="W464" s="1039"/>
      <c r="X464" s="138"/>
      <c r="Y464" s="138"/>
      <c r="Z464" s="138"/>
      <c r="AA464" s="138"/>
      <c r="AB464" s="138"/>
      <c r="AC464" s="138"/>
      <c r="AD464" s="138"/>
      <c r="AE464" s="138"/>
      <c r="AF464" s="138"/>
      <c r="AG464" s="138"/>
      <c r="AH464" s="138"/>
      <c r="AI464" s="138"/>
      <c r="AJ464" s="138"/>
      <c r="AK464" s="138"/>
      <c r="AL464" s="138"/>
      <c r="AM464" s="138"/>
      <c r="AN464" s="138"/>
      <c r="AO464" s="138"/>
      <c r="AP464" s="138"/>
      <c r="AQ464" s="138"/>
      <c r="AR464" s="138"/>
      <c r="AS464" s="138"/>
      <c r="AT464" s="138"/>
      <c r="AU464" s="138"/>
      <c r="AV464" s="138"/>
      <c r="AW464" s="138"/>
      <c r="AX464" s="138"/>
      <c r="AY464" s="138"/>
      <c r="AZ464" s="138"/>
      <c r="BA464" s="556"/>
    </row>
    <row r="465" spans="19:53" ht="20.100000000000001" customHeight="1">
      <c r="S465" s="101" t="s">
        <v>586</v>
      </c>
      <c r="T465" s="1074"/>
      <c r="U465" s="445" t="s">
        <v>581</v>
      </c>
      <c r="V465" s="445" t="s">
        <v>582</v>
      </c>
      <c r="W465" s="445" t="s">
        <v>588</v>
      </c>
      <c r="X465" s="115">
        <v>2021</v>
      </c>
      <c r="Y465" s="115">
        <v>2022</v>
      </c>
      <c r="Z465" s="115">
        <v>2023</v>
      </c>
      <c r="AA465" s="115">
        <v>2024</v>
      </c>
      <c r="AB465" s="115">
        <v>2025</v>
      </c>
      <c r="AC465" s="115">
        <v>2026</v>
      </c>
      <c r="AD465" s="115">
        <v>2027</v>
      </c>
      <c r="AE465" s="115">
        <v>2028</v>
      </c>
      <c r="AF465" s="115">
        <v>2029</v>
      </c>
      <c r="AG465" s="115">
        <v>2030</v>
      </c>
      <c r="AH465" s="115">
        <v>2031</v>
      </c>
      <c r="AI465" s="115">
        <v>2032</v>
      </c>
      <c r="AJ465" s="115">
        <v>2033</v>
      </c>
      <c r="AK465" s="115">
        <v>2034</v>
      </c>
      <c r="AL465" s="115">
        <v>2035</v>
      </c>
      <c r="AM465" s="115">
        <v>2036</v>
      </c>
      <c r="AN465" s="115">
        <v>2037</v>
      </c>
      <c r="AO465" s="115">
        <v>2038</v>
      </c>
      <c r="AP465" s="115">
        <v>2039</v>
      </c>
      <c r="AQ465" s="115">
        <v>2040</v>
      </c>
      <c r="AR465" s="115">
        <v>2041</v>
      </c>
      <c r="AS465" s="115">
        <v>2042</v>
      </c>
      <c r="AT465" s="115">
        <v>2043</v>
      </c>
      <c r="AU465" s="115">
        <v>2044</v>
      </c>
      <c r="AV465" s="115">
        <v>2045</v>
      </c>
      <c r="AW465" s="115">
        <v>2046</v>
      </c>
      <c r="AX465" s="115">
        <v>2047</v>
      </c>
      <c r="AY465" s="115">
        <v>2048</v>
      </c>
      <c r="AZ465" s="115">
        <v>2049</v>
      </c>
      <c r="BA465" s="323">
        <v>2050</v>
      </c>
    </row>
    <row r="466" spans="19:53" ht="20.100000000000001" customHeight="1">
      <c r="S466" s="101" t="s">
        <v>60</v>
      </c>
      <c r="T466" s="383" t="s">
        <v>587</v>
      </c>
      <c r="U466" s="389">
        <f>INDEX('DEFAULT DATA'!$AV$9:$AZ$41,START!$C$3,1)</f>
        <v>0</v>
      </c>
      <c r="V466" s="389">
        <f>100-U466</f>
        <v>100</v>
      </c>
      <c r="W466" s="133" t="s">
        <v>2720</v>
      </c>
      <c r="X466" s="123">
        <f>($U466/100*X$35)+($V466/100*X$36)</f>
        <v>433.59771767558698</v>
      </c>
      <c r="Y466" s="123">
        <f t="shared" ref="Y466:AN470" si="725">($U466/100*Y$35)+($V466/100*Y$36)</f>
        <v>433.56182532138496</v>
      </c>
      <c r="Z466" s="123">
        <f t="shared" si="725"/>
        <v>433.51786819621498</v>
      </c>
      <c r="AA466" s="123">
        <f t="shared" si="725"/>
        <v>433.46677882790561</v>
      </c>
      <c r="AB466" s="123">
        <f t="shared" si="725"/>
        <v>433.40939458217258</v>
      </c>
      <c r="AC466" s="123">
        <f t="shared" si="725"/>
        <v>433.30012660122804</v>
      </c>
      <c r="AD466" s="123">
        <f t="shared" si="725"/>
        <v>433.17985765668715</v>
      </c>
      <c r="AE466" s="123">
        <f t="shared" si="725"/>
        <v>433.04988976368151</v>
      </c>
      <c r="AF466" s="123">
        <f t="shared" si="725"/>
        <v>432.91139057260881</v>
      </c>
      <c r="AG466" s="123">
        <f t="shared" si="725"/>
        <v>432.76540627213222</v>
      </c>
      <c r="AH466" s="123">
        <f t="shared" si="725"/>
        <v>432.61837129866723</v>
      </c>
      <c r="AI466" s="123">
        <f t="shared" si="725"/>
        <v>432.46605222600698</v>
      </c>
      <c r="AJ466" s="123">
        <f t="shared" si="725"/>
        <v>432.30902481074639</v>
      </c>
      <c r="AK466" s="123">
        <f t="shared" si="725"/>
        <v>432.14781228644227</v>
      </c>
      <c r="AL466" s="123">
        <f t="shared" si="725"/>
        <v>431.98288975903631</v>
      </c>
      <c r="AM466" s="123">
        <f t="shared" si="725"/>
        <v>431.74765790735029</v>
      </c>
      <c r="AN466" s="123">
        <f t="shared" si="725"/>
        <v>431.50698400969173</v>
      </c>
      <c r="AO466" s="123">
        <f t="shared" ref="AH466:BA470" si="726">($U466/100*AO$35)+($V466/100*AO$36)</f>
        <v>431.26147078801552</v>
      </c>
      <c r="AP466" s="123">
        <f t="shared" si="726"/>
        <v>431.0116656030666</v>
      </c>
      <c r="AQ466" s="123">
        <f t="shared" si="726"/>
        <v>430.75806510483699</v>
      </c>
      <c r="AR466" s="123">
        <f t="shared" si="726"/>
        <v>430.5011195123646</v>
      </c>
      <c r="AS466" s="123">
        <f t="shared" si="726"/>
        <v>430.24123655141113</v>
      </c>
      <c r="AT466" s="123">
        <f t="shared" si="726"/>
        <v>429.97878507641224</v>
      </c>
      <c r="AU466" s="123">
        <f t="shared" si="726"/>
        <v>429.71409840110886</v>
      </c>
      <c r="AV466" s="123">
        <f t="shared" si="726"/>
        <v>429.44747736042757</v>
      </c>
      <c r="AW466" s="123">
        <f t="shared" si="726"/>
        <v>429.25583647714819</v>
      </c>
      <c r="AX466" s="123">
        <f t="shared" si="726"/>
        <v>429.06408053133504</v>
      </c>
      <c r="AY466" s="123">
        <f t="shared" si="726"/>
        <v>428.87230176478607</v>
      </c>
      <c r="AZ466" s="123">
        <f t="shared" si="726"/>
        <v>428.68058091400457</v>
      </c>
      <c r="BA466" s="159">
        <f t="shared" si="726"/>
        <v>428.48898831616617</v>
      </c>
    </row>
    <row r="467" spans="19:53" ht="20.100000000000001" customHeight="1">
      <c r="S467" s="101" t="s">
        <v>61</v>
      </c>
      <c r="T467" s="383" t="s">
        <v>587</v>
      </c>
      <c r="U467" s="389">
        <f>INDEX('DEFAULT DATA'!$AV$9:$AZ$41,START!$C$3,2)</f>
        <v>10</v>
      </c>
      <c r="V467" s="389">
        <f t="shared" ref="V467:V470" si="727">100-U467</f>
        <v>90</v>
      </c>
      <c r="W467" s="133" t="s">
        <v>2721</v>
      </c>
      <c r="X467" s="123">
        <f>($U467/100*X$35)+($V467/100*X$36)</f>
        <v>416.4679604789489</v>
      </c>
      <c r="Y467" s="123">
        <f t="shared" si="725"/>
        <v>416.43638913333973</v>
      </c>
      <c r="Z467" s="123">
        <f t="shared" si="725"/>
        <v>416.39661069727487</v>
      </c>
      <c r="AA467" s="123">
        <f t="shared" si="725"/>
        <v>416.34957415495637</v>
      </c>
      <c r="AB467" s="123">
        <f t="shared" si="725"/>
        <v>416.29613164914213</v>
      </c>
      <c r="AC467" s="123">
        <f t="shared" si="725"/>
        <v>416.19484421586776</v>
      </c>
      <c r="AD467" s="123">
        <f t="shared" si="725"/>
        <v>416.08236168434541</v>
      </c>
      <c r="AE467" s="123">
        <f t="shared" si="725"/>
        <v>415.96000904644421</v>
      </c>
      <c r="AF467" s="123">
        <f t="shared" si="725"/>
        <v>415.82897455815709</v>
      </c>
      <c r="AG467" s="123">
        <f t="shared" si="725"/>
        <v>415.69032287030018</v>
      </c>
      <c r="AH467" s="123">
        <f t="shared" si="726"/>
        <v>415.55060196816675</v>
      </c>
      <c r="AI467" s="123">
        <f t="shared" si="726"/>
        <v>415.4055037180288</v>
      </c>
      <c r="AJ467" s="123">
        <f t="shared" si="726"/>
        <v>415.25561403689164</v>
      </c>
      <c r="AK467" s="123">
        <f t="shared" si="726"/>
        <v>415.10146539184552</v>
      </c>
      <c r="AL467" s="123">
        <f t="shared" si="726"/>
        <v>414.94354127305456</v>
      </c>
      <c r="AM467" s="123">
        <f t="shared" si="726"/>
        <v>414.71902148028084</v>
      </c>
      <c r="AN467" s="123">
        <f t="shared" si="726"/>
        <v>414.48896360542921</v>
      </c>
      <c r="AO467" s="123">
        <f t="shared" si="726"/>
        <v>414.25398100672436</v>
      </c>
      <c r="AP467" s="123">
        <f t="shared" si="726"/>
        <v>414.0146307042184</v>
      </c>
      <c r="AQ467" s="123">
        <f t="shared" si="726"/>
        <v>413.77141811231508</v>
      </c>
      <c r="AR467" s="123">
        <f t="shared" si="726"/>
        <v>413.52480139509407</v>
      </c>
      <c r="AS467" s="123">
        <f t="shared" si="726"/>
        <v>413.27519547347759</v>
      </c>
      <c r="AT467" s="123">
        <f t="shared" si="726"/>
        <v>413.02297571109733</v>
      </c>
      <c r="AU467" s="123">
        <f t="shared" si="726"/>
        <v>412.76848130370121</v>
      </c>
      <c r="AV467" s="123">
        <f t="shared" si="726"/>
        <v>412.51201839506763</v>
      </c>
      <c r="AW467" s="123">
        <f t="shared" si="726"/>
        <v>412.32690442000552</v>
      </c>
      <c r="AX467" s="123">
        <f t="shared" si="726"/>
        <v>412.14167335189433</v>
      </c>
      <c r="AY467" s="123">
        <f t="shared" si="726"/>
        <v>411.95641906032836</v>
      </c>
      <c r="AZ467" s="123">
        <f t="shared" si="726"/>
        <v>411.77122370657293</v>
      </c>
      <c r="BA467" s="159">
        <f t="shared" si="726"/>
        <v>411.58615886904778</v>
      </c>
    </row>
    <row r="468" spans="19:53" ht="20.100000000000001" customHeight="1">
      <c r="S468" s="101" t="s">
        <v>62</v>
      </c>
      <c r="T468" s="383" t="s">
        <v>587</v>
      </c>
      <c r="U468" s="389">
        <f>INDEX('DEFAULT DATA'!$AV$9:$AZ$41,START!$C$3,3)</f>
        <v>20</v>
      </c>
      <c r="V468" s="389">
        <f t="shared" si="727"/>
        <v>80</v>
      </c>
      <c r="W468" s="133" t="s">
        <v>2722</v>
      </c>
      <c r="X468" s="123">
        <f>($U468/100*X$35)+($V468/100*X$36)</f>
        <v>399.33820328231081</v>
      </c>
      <c r="Y468" s="123">
        <f t="shared" si="725"/>
        <v>399.31095294529445</v>
      </c>
      <c r="Z468" s="123">
        <f t="shared" si="725"/>
        <v>399.27535319833476</v>
      </c>
      <c r="AA468" s="123">
        <f t="shared" si="725"/>
        <v>399.23236948200724</v>
      </c>
      <c r="AB468" s="123">
        <f t="shared" si="725"/>
        <v>399.18286871611167</v>
      </c>
      <c r="AC468" s="123">
        <f t="shared" si="725"/>
        <v>399.08956183050753</v>
      </c>
      <c r="AD468" s="123">
        <f t="shared" si="725"/>
        <v>398.98486571200363</v>
      </c>
      <c r="AE468" s="123">
        <f t="shared" si="725"/>
        <v>398.87012832920686</v>
      </c>
      <c r="AF468" s="123">
        <f t="shared" si="725"/>
        <v>398.74655854370536</v>
      </c>
      <c r="AG468" s="123">
        <f t="shared" si="725"/>
        <v>398.61523946846808</v>
      </c>
      <c r="AH468" s="123">
        <f t="shared" si="726"/>
        <v>398.48283263766632</v>
      </c>
      <c r="AI468" s="123">
        <f t="shared" si="726"/>
        <v>398.34495521005061</v>
      </c>
      <c r="AJ468" s="123">
        <f t="shared" si="726"/>
        <v>398.20220326303695</v>
      </c>
      <c r="AK468" s="123">
        <f t="shared" si="726"/>
        <v>398.05511849724877</v>
      </c>
      <c r="AL468" s="123">
        <f t="shared" si="726"/>
        <v>397.90419278707282</v>
      </c>
      <c r="AM468" s="123">
        <f t="shared" si="726"/>
        <v>397.69038505321146</v>
      </c>
      <c r="AN468" s="123">
        <f t="shared" si="726"/>
        <v>397.47094320116673</v>
      </c>
      <c r="AO468" s="123">
        <f t="shared" si="726"/>
        <v>397.24649122543315</v>
      </c>
      <c r="AP468" s="123">
        <f t="shared" si="726"/>
        <v>397.01759580537026</v>
      </c>
      <c r="AQ468" s="123">
        <f t="shared" si="726"/>
        <v>396.78477111979316</v>
      </c>
      <c r="AR468" s="123">
        <f t="shared" si="726"/>
        <v>396.54848327782349</v>
      </c>
      <c r="AS468" s="123">
        <f t="shared" si="726"/>
        <v>396.30915439554411</v>
      </c>
      <c r="AT468" s="123">
        <f t="shared" si="726"/>
        <v>396.06716634578231</v>
      </c>
      <c r="AU468" s="123">
        <f t="shared" si="726"/>
        <v>395.82286420629362</v>
      </c>
      <c r="AV468" s="123">
        <f t="shared" si="726"/>
        <v>395.57655942970769</v>
      </c>
      <c r="AW468" s="123">
        <f t="shared" si="726"/>
        <v>395.39797236286284</v>
      </c>
      <c r="AX468" s="123">
        <f t="shared" si="726"/>
        <v>395.21926617245356</v>
      </c>
      <c r="AY468" s="123">
        <f t="shared" si="726"/>
        <v>395.0405363558707</v>
      </c>
      <c r="AZ468" s="123">
        <f t="shared" si="726"/>
        <v>394.86186649914123</v>
      </c>
      <c r="BA468" s="159">
        <f t="shared" si="726"/>
        <v>394.68332942192944</v>
      </c>
    </row>
    <row r="469" spans="19:53" ht="20.100000000000001" customHeight="1">
      <c r="S469" s="101" t="s">
        <v>63</v>
      </c>
      <c r="T469" s="383" t="s">
        <v>587</v>
      </c>
      <c r="U469" s="389">
        <f>INDEX('DEFAULT DATA'!$AV$9:$AZ$41,START!$C$3,4)</f>
        <v>70</v>
      </c>
      <c r="V469" s="389">
        <f t="shared" si="727"/>
        <v>30</v>
      </c>
      <c r="W469" s="133" t="s">
        <v>2861</v>
      </c>
      <c r="X469" s="123">
        <f>($U469/100*X$35)+($V469/100*X$36)</f>
        <v>313.68941729912041</v>
      </c>
      <c r="Y469" s="123">
        <f t="shared" si="725"/>
        <v>313.68377200506802</v>
      </c>
      <c r="Z469" s="123">
        <f t="shared" si="725"/>
        <v>313.66906570363415</v>
      </c>
      <c r="AA469" s="123">
        <f t="shared" si="725"/>
        <v>313.6463461172612</v>
      </c>
      <c r="AB469" s="123">
        <f t="shared" si="725"/>
        <v>313.61655405095928</v>
      </c>
      <c r="AC469" s="123">
        <f t="shared" si="725"/>
        <v>313.56314990370618</v>
      </c>
      <c r="AD469" s="123">
        <f t="shared" si="725"/>
        <v>313.49738585029479</v>
      </c>
      <c r="AE469" s="123">
        <f t="shared" si="725"/>
        <v>313.42072474302017</v>
      </c>
      <c r="AF469" s="123">
        <f t="shared" si="725"/>
        <v>313.33447847144669</v>
      </c>
      <c r="AG469" s="123">
        <f t="shared" si="725"/>
        <v>313.23982245930756</v>
      </c>
      <c r="AH469" s="123">
        <f t="shared" si="726"/>
        <v>313.14398598516385</v>
      </c>
      <c r="AI469" s="123">
        <f t="shared" si="726"/>
        <v>313.04221267015953</v>
      </c>
      <c r="AJ469" s="123">
        <f t="shared" si="726"/>
        <v>312.93514939376314</v>
      </c>
      <c r="AK469" s="123">
        <f t="shared" si="726"/>
        <v>312.8233840242649</v>
      </c>
      <c r="AL469" s="123">
        <f t="shared" si="726"/>
        <v>312.70745035716396</v>
      </c>
      <c r="AM469" s="123">
        <f t="shared" si="726"/>
        <v>312.5472029178643</v>
      </c>
      <c r="AN469" s="123">
        <f t="shared" si="726"/>
        <v>312.3808411798542</v>
      </c>
      <c r="AO469" s="123">
        <f t="shared" si="726"/>
        <v>312.20904231897725</v>
      </c>
      <c r="AP469" s="123">
        <f t="shared" si="726"/>
        <v>312.03242131112916</v>
      </c>
      <c r="AQ469" s="123">
        <f t="shared" si="726"/>
        <v>311.85153615718343</v>
      </c>
      <c r="AR469" s="123">
        <f t="shared" si="726"/>
        <v>311.66689269147082</v>
      </c>
      <c r="AS469" s="123">
        <f t="shared" si="726"/>
        <v>311.47894900587647</v>
      </c>
      <c r="AT469" s="123">
        <f t="shared" si="726"/>
        <v>311.2881195192075</v>
      </c>
      <c r="AU469" s="123">
        <f t="shared" si="726"/>
        <v>311.09477871925537</v>
      </c>
      <c r="AV469" s="123">
        <f t="shared" si="726"/>
        <v>310.89926460290803</v>
      </c>
      <c r="AW469" s="123">
        <f t="shared" si="726"/>
        <v>310.7533120771493</v>
      </c>
      <c r="AX469" s="123">
        <f t="shared" si="726"/>
        <v>310.60723027524972</v>
      </c>
      <c r="AY469" s="123">
        <f t="shared" si="726"/>
        <v>310.46112283358218</v>
      </c>
      <c r="AZ469" s="123">
        <f t="shared" si="726"/>
        <v>310.31508046198292</v>
      </c>
      <c r="BA469" s="159">
        <f t="shared" si="726"/>
        <v>310.16918218633731</v>
      </c>
    </row>
    <row r="470" spans="19:53" ht="20.100000000000001" customHeight="1">
      <c r="S470" s="101" t="s">
        <v>64</v>
      </c>
      <c r="T470" s="383" t="s">
        <v>587</v>
      </c>
      <c r="U470" s="389">
        <f>INDEX('DEFAULT DATA'!$AV$9:$AZ$41,START!$C$3,5)</f>
        <v>100</v>
      </c>
      <c r="V470" s="389">
        <f t="shared" si="727"/>
        <v>0</v>
      </c>
      <c r="W470" s="133" t="s">
        <v>2862</v>
      </c>
      <c r="X470" s="123">
        <f>($U470/100*X$35)+($V470/100*X$36)</f>
        <v>262.30014570920616</v>
      </c>
      <c r="Y470" s="123">
        <f t="shared" si="725"/>
        <v>262.30746344093228</v>
      </c>
      <c r="Z470" s="123">
        <f t="shared" si="725"/>
        <v>262.30529320681376</v>
      </c>
      <c r="AA470" s="123">
        <f t="shared" si="725"/>
        <v>262.29473209841359</v>
      </c>
      <c r="AB470" s="123">
        <f t="shared" si="725"/>
        <v>262.27676525186791</v>
      </c>
      <c r="AC470" s="123">
        <f t="shared" si="725"/>
        <v>262.24730274762544</v>
      </c>
      <c r="AD470" s="123">
        <f t="shared" si="725"/>
        <v>262.20489793326959</v>
      </c>
      <c r="AE470" s="123">
        <f t="shared" si="725"/>
        <v>262.15108259130824</v>
      </c>
      <c r="AF470" s="123">
        <f t="shared" si="725"/>
        <v>262.08723042809146</v>
      </c>
      <c r="AG470" s="123">
        <f t="shared" si="725"/>
        <v>262.01457225381131</v>
      </c>
      <c r="AH470" s="123">
        <f t="shared" si="726"/>
        <v>261.9406779936624</v>
      </c>
      <c r="AI470" s="123">
        <f t="shared" si="726"/>
        <v>261.86056714622498</v>
      </c>
      <c r="AJ470" s="123">
        <f t="shared" si="726"/>
        <v>261.77491707219895</v>
      </c>
      <c r="AK470" s="123">
        <f t="shared" si="726"/>
        <v>261.68434334047464</v>
      </c>
      <c r="AL470" s="123">
        <f t="shared" si="726"/>
        <v>261.58940489921872</v>
      </c>
      <c r="AM470" s="123">
        <f t="shared" si="726"/>
        <v>261.46129363665602</v>
      </c>
      <c r="AN470" s="123">
        <f t="shared" si="726"/>
        <v>261.32677996706673</v>
      </c>
      <c r="AO470" s="123">
        <f t="shared" si="726"/>
        <v>261.18657297510379</v>
      </c>
      <c r="AP470" s="123">
        <f t="shared" si="726"/>
        <v>261.04131661458462</v>
      </c>
      <c r="AQ470" s="123">
        <f t="shared" si="726"/>
        <v>260.8915951796177</v>
      </c>
      <c r="AR470" s="123">
        <f t="shared" si="726"/>
        <v>260.73793833965919</v>
      </c>
      <c r="AS470" s="123">
        <f t="shared" si="726"/>
        <v>260.58082577207591</v>
      </c>
      <c r="AT470" s="123">
        <f t="shared" si="726"/>
        <v>260.42069142326267</v>
      </c>
      <c r="AU470" s="123">
        <f t="shared" si="726"/>
        <v>260.25792742703248</v>
      </c>
      <c r="AV470" s="123">
        <f t="shared" si="726"/>
        <v>260.09288770682821</v>
      </c>
      <c r="AW470" s="123">
        <f t="shared" si="726"/>
        <v>259.96651590572122</v>
      </c>
      <c r="AX470" s="123">
        <f t="shared" si="726"/>
        <v>259.84000873692747</v>
      </c>
      <c r="AY470" s="123">
        <f t="shared" si="726"/>
        <v>259.71347472020915</v>
      </c>
      <c r="AZ470" s="123">
        <f t="shared" si="726"/>
        <v>259.587008839688</v>
      </c>
      <c r="BA470" s="159">
        <f t="shared" si="726"/>
        <v>259.46069384498213</v>
      </c>
    </row>
    <row r="471" spans="19:53" ht="20.100000000000001" customHeight="1" thickBot="1">
      <c r="S471" s="301" t="s">
        <v>2759</v>
      </c>
      <c r="T471" s="1075" t="s">
        <v>2758</v>
      </c>
      <c r="U471" s="139"/>
      <c r="V471" s="139"/>
      <c r="W471" s="155" t="s">
        <v>845</v>
      </c>
      <c r="X471" s="160">
        <f t="shared" ref="X471:BA471" si="728">(X294/100*X466)+(X295/100*X467)+(X296/100*X468)+(X297/100*X469)+(X298/100*X470)</f>
        <v>0</v>
      </c>
      <c r="Y471" s="160">
        <f t="shared" si="728"/>
        <v>407.87367103931706</v>
      </c>
      <c r="Z471" s="160">
        <f t="shared" si="728"/>
        <v>407.83598194780484</v>
      </c>
      <c r="AA471" s="160">
        <f t="shared" si="728"/>
        <v>407.79097181848181</v>
      </c>
      <c r="AB471" s="160">
        <f t="shared" si="728"/>
        <v>407.7395001826269</v>
      </c>
      <c r="AC471" s="160">
        <f t="shared" si="728"/>
        <v>407.64220302318768</v>
      </c>
      <c r="AD471" s="160">
        <f t="shared" si="728"/>
        <v>407.53361369817452</v>
      </c>
      <c r="AE471" s="160">
        <f t="shared" si="728"/>
        <v>407.41506868782551</v>
      </c>
      <c r="AF471" s="160">
        <f t="shared" si="728"/>
        <v>407.28776655093122</v>
      </c>
      <c r="AG471" s="160">
        <f t="shared" si="728"/>
        <v>407.15278116938413</v>
      </c>
      <c r="AH471" s="160">
        <f t="shared" si="728"/>
        <v>407.0167173029165</v>
      </c>
      <c r="AI471" s="160">
        <f t="shared" si="728"/>
        <v>406.87522946403971</v>
      </c>
      <c r="AJ471" s="160">
        <f t="shared" si="728"/>
        <v>406.7289086499643</v>
      </c>
      <c r="AK471" s="160">
        <f t="shared" si="728"/>
        <v>406.57829194454712</v>
      </c>
      <c r="AL471" s="160">
        <f t="shared" si="728"/>
        <v>406.42386703006366</v>
      </c>
      <c r="AM471" s="160">
        <f t="shared" si="728"/>
        <v>406.20470326674615</v>
      </c>
      <c r="AN471" s="160">
        <f t="shared" si="728"/>
        <v>405.97995340329794</v>
      </c>
      <c r="AO471" s="160">
        <f t="shared" si="728"/>
        <v>405.75023611607878</v>
      </c>
      <c r="AP471" s="160">
        <f t="shared" si="728"/>
        <v>405.51611325479433</v>
      </c>
      <c r="AQ471" s="160">
        <f t="shared" si="728"/>
        <v>405.27809461605409</v>
      </c>
      <c r="AR471" s="160">
        <f t="shared" si="728"/>
        <v>405.03664233645878</v>
      </c>
      <c r="AS471" s="160">
        <f t="shared" si="728"/>
        <v>404.79217493451085</v>
      </c>
      <c r="AT471" s="160">
        <f t="shared" si="728"/>
        <v>404.54507102843979</v>
      </c>
      <c r="AU471" s="160">
        <f t="shared" si="728"/>
        <v>404.29567275499744</v>
      </c>
      <c r="AV471" s="160">
        <f t="shared" si="728"/>
        <v>404.04428891238763</v>
      </c>
      <c r="AW471" s="160">
        <f t="shared" si="728"/>
        <v>403.86243839143418</v>
      </c>
      <c r="AX471" s="160">
        <f t="shared" si="728"/>
        <v>403.68046976217397</v>
      </c>
      <c r="AY471" s="160">
        <f t="shared" si="728"/>
        <v>403.49847770809953</v>
      </c>
      <c r="AZ471" s="160">
        <f t="shared" si="728"/>
        <v>403.31654510285705</v>
      </c>
      <c r="BA471" s="160">
        <f t="shared" si="728"/>
        <v>403.13474414548864</v>
      </c>
    </row>
    <row r="472" spans="19:53" ht="20.100000000000001" customHeight="1">
      <c r="S472" s="299" t="s">
        <v>2760</v>
      </c>
      <c r="T472" s="890"/>
      <c r="U472" s="1457"/>
      <c r="V472" s="1457"/>
      <c r="W472" s="1039"/>
      <c r="X472" s="138"/>
      <c r="Y472" s="138"/>
      <c r="Z472" s="138"/>
      <c r="AA472" s="138"/>
      <c r="AB472" s="138"/>
      <c r="AC472" s="138"/>
      <c r="AD472" s="138"/>
      <c r="AE472" s="138"/>
      <c r="AF472" s="138"/>
      <c r="AG472" s="138"/>
      <c r="AH472" s="138"/>
      <c r="AI472" s="138"/>
      <c r="AJ472" s="138"/>
      <c r="AK472" s="138"/>
      <c r="AL472" s="138"/>
      <c r="AM472" s="138"/>
      <c r="AN472" s="138"/>
      <c r="AO472" s="138"/>
      <c r="AP472" s="138"/>
      <c r="AQ472" s="138"/>
      <c r="AR472" s="138"/>
      <c r="AS472" s="138"/>
      <c r="AT472" s="138"/>
      <c r="AU472" s="138"/>
      <c r="AV472" s="138"/>
      <c r="AW472" s="138"/>
      <c r="AX472" s="138"/>
      <c r="AY472" s="138"/>
      <c r="AZ472" s="138"/>
      <c r="BA472" s="556"/>
    </row>
    <row r="473" spans="19:53" ht="20.100000000000001" customHeight="1">
      <c r="S473" s="101" t="s">
        <v>586</v>
      </c>
      <c r="T473" s="918" t="s">
        <v>2629</v>
      </c>
      <c r="U473" s="445"/>
      <c r="V473" s="445"/>
      <c r="W473" s="445" t="s">
        <v>588</v>
      </c>
      <c r="X473" s="115">
        <v>2021</v>
      </c>
      <c r="Y473" s="115">
        <v>2022</v>
      </c>
      <c r="Z473" s="115">
        <v>2023</v>
      </c>
      <c r="AA473" s="115">
        <v>2024</v>
      </c>
      <c r="AB473" s="115">
        <v>2025</v>
      </c>
      <c r="AC473" s="115">
        <v>2026</v>
      </c>
      <c r="AD473" s="115">
        <v>2027</v>
      </c>
      <c r="AE473" s="115">
        <v>2028</v>
      </c>
      <c r="AF473" s="115">
        <v>2029</v>
      </c>
      <c r="AG473" s="115">
        <v>2030</v>
      </c>
      <c r="AH473" s="115">
        <v>2031</v>
      </c>
      <c r="AI473" s="115">
        <v>2032</v>
      </c>
      <c r="AJ473" s="115">
        <v>2033</v>
      </c>
      <c r="AK473" s="115">
        <v>2034</v>
      </c>
      <c r="AL473" s="115">
        <v>2035</v>
      </c>
      <c r="AM473" s="115">
        <v>2036</v>
      </c>
      <c r="AN473" s="115">
        <v>2037</v>
      </c>
      <c r="AO473" s="115">
        <v>2038</v>
      </c>
      <c r="AP473" s="115">
        <v>2039</v>
      </c>
      <c r="AQ473" s="115">
        <v>2040</v>
      </c>
      <c r="AR473" s="115">
        <v>2041</v>
      </c>
      <c r="AS473" s="115">
        <v>2042</v>
      </c>
      <c r="AT473" s="115">
        <v>2043</v>
      </c>
      <c r="AU473" s="115">
        <v>2044</v>
      </c>
      <c r="AV473" s="115">
        <v>2045</v>
      </c>
      <c r="AW473" s="115">
        <v>2046</v>
      </c>
      <c r="AX473" s="115">
        <v>2047</v>
      </c>
      <c r="AY473" s="115">
        <v>2048</v>
      </c>
      <c r="AZ473" s="115">
        <v>2049</v>
      </c>
      <c r="BA473" s="323">
        <v>2050</v>
      </c>
    </row>
    <row r="474" spans="19:53" ht="20.100000000000001" customHeight="1">
      <c r="S474" s="101" t="s">
        <v>60</v>
      </c>
      <c r="T474" s="383" t="s">
        <v>587</v>
      </c>
      <c r="U474" s="389"/>
      <c r="V474" s="389"/>
      <c r="W474" s="133" t="s">
        <v>2720</v>
      </c>
      <c r="X474" s="123">
        <f>($H$191/100*X458)+((100-$H$191)/100*X466)</f>
        <v>433.59771767558698</v>
      </c>
      <c r="Y474" s="123">
        <f t="shared" ref="Y474:BA478" si="729">($H$191/100*Y458)+((100-$H$191)/100*Y466)</f>
        <v>433.56182532138496</v>
      </c>
      <c r="Z474" s="123">
        <f t="shared" si="729"/>
        <v>433.51786819621498</v>
      </c>
      <c r="AA474" s="123">
        <f t="shared" si="729"/>
        <v>433.46677882790561</v>
      </c>
      <c r="AB474" s="123">
        <f t="shared" si="729"/>
        <v>433.40939458217258</v>
      </c>
      <c r="AC474" s="123">
        <f t="shared" si="729"/>
        <v>433.30012660122804</v>
      </c>
      <c r="AD474" s="123">
        <f t="shared" si="729"/>
        <v>433.17985765668715</v>
      </c>
      <c r="AE474" s="123">
        <f t="shared" si="729"/>
        <v>433.04988976368151</v>
      </c>
      <c r="AF474" s="123">
        <f t="shared" si="729"/>
        <v>432.91139057260881</v>
      </c>
      <c r="AG474" s="123">
        <f t="shared" si="729"/>
        <v>432.76540627213222</v>
      </c>
      <c r="AH474" s="123">
        <f t="shared" si="729"/>
        <v>432.61837129866723</v>
      </c>
      <c r="AI474" s="123">
        <f t="shared" si="729"/>
        <v>432.46605222600698</v>
      </c>
      <c r="AJ474" s="123">
        <f t="shared" si="729"/>
        <v>432.30902481074639</v>
      </c>
      <c r="AK474" s="123">
        <f t="shared" si="729"/>
        <v>432.14781228644227</v>
      </c>
      <c r="AL474" s="123">
        <f t="shared" si="729"/>
        <v>431.98288975903631</v>
      </c>
      <c r="AM474" s="123">
        <f t="shared" si="729"/>
        <v>431.74765790735029</v>
      </c>
      <c r="AN474" s="123">
        <f t="shared" si="729"/>
        <v>431.50698400969173</v>
      </c>
      <c r="AO474" s="123">
        <f t="shared" si="729"/>
        <v>431.26147078801552</v>
      </c>
      <c r="AP474" s="123">
        <f t="shared" si="729"/>
        <v>431.0116656030666</v>
      </c>
      <c r="AQ474" s="123">
        <f t="shared" si="729"/>
        <v>430.75806510483699</v>
      </c>
      <c r="AR474" s="123">
        <f t="shared" si="729"/>
        <v>430.5011195123646</v>
      </c>
      <c r="AS474" s="123">
        <f t="shared" si="729"/>
        <v>430.24123655141113</v>
      </c>
      <c r="AT474" s="123">
        <f t="shared" si="729"/>
        <v>429.97878507641224</v>
      </c>
      <c r="AU474" s="123">
        <f t="shared" si="729"/>
        <v>429.71409840110886</v>
      </c>
      <c r="AV474" s="123">
        <f t="shared" si="729"/>
        <v>429.44747736042757</v>
      </c>
      <c r="AW474" s="123">
        <f t="shared" si="729"/>
        <v>429.25583647714819</v>
      </c>
      <c r="AX474" s="123">
        <f t="shared" si="729"/>
        <v>429.06408053133504</v>
      </c>
      <c r="AY474" s="123">
        <f t="shared" si="729"/>
        <v>428.87230176478607</v>
      </c>
      <c r="AZ474" s="123">
        <f t="shared" si="729"/>
        <v>428.68058091400457</v>
      </c>
      <c r="BA474" s="159">
        <f t="shared" si="729"/>
        <v>428.48898831616617</v>
      </c>
    </row>
    <row r="475" spans="19:53" ht="20.100000000000001" customHeight="1">
      <c r="S475" s="101" t="s">
        <v>61</v>
      </c>
      <c r="T475" s="383" t="s">
        <v>587</v>
      </c>
      <c r="U475" s="389"/>
      <c r="V475" s="389"/>
      <c r="W475" s="133" t="s">
        <v>2721</v>
      </c>
      <c r="X475" s="123">
        <f t="shared" ref="X475:AM478" si="730">($H$191/100*X459)+((100-$H$191)/100*X467)</f>
        <v>416.4679604789489</v>
      </c>
      <c r="Y475" s="123">
        <f t="shared" si="730"/>
        <v>416.43638913333973</v>
      </c>
      <c r="Z475" s="123">
        <f t="shared" si="730"/>
        <v>416.39661069727487</v>
      </c>
      <c r="AA475" s="123">
        <f t="shared" si="730"/>
        <v>416.34957415495637</v>
      </c>
      <c r="AB475" s="123">
        <f t="shared" si="730"/>
        <v>416.29613164914213</v>
      </c>
      <c r="AC475" s="123">
        <f t="shared" si="730"/>
        <v>416.19484421586776</v>
      </c>
      <c r="AD475" s="123">
        <f t="shared" si="730"/>
        <v>416.08236168434541</v>
      </c>
      <c r="AE475" s="123">
        <f t="shared" si="730"/>
        <v>415.96000904644421</v>
      </c>
      <c r="AF475" s="123">
        <f t="shared" si="730"/>
        <v>415.82897455815709</v>
      </c>
      <c r="AG475" s="123">
        <f t="shared" si="730"/>
        <v>415.69032287030018</v>
      </c>
      <c r="AH475" s="123">
        <f t="shared" si="730"/>
        <v>415.55060196816675</v>
      </c>
      <c r="AI475" s="123">
        <f t="shared" si="730"/>
        <v>415.4055037180288</v>
      </c>
      <c r="AJ475" s="123">
        <f t="shared" si="730"/>
        <v>415.25561403689164</v>
      </c>
      <c r="AK475" s="123">
        <f t="shared" si="730"/>
        <v>415.10146539184552</v>
      </c>
      <c r="AL475" s="123">
        <f t="shared" si="730"/>
        <v>414.94354127305456</v>
      </c>
      <c r="AM475" s="123">
        <f t="shared" si="730"/>
        <v>414.71902148028084</v>
      </c>
      <c r="AN475" s="123">
        <f t="shared" si="729"/>
        <v>414.48896360542921</v>
      </c>
      <c r="AO475" s="123">
        <f t="shared" si="729"/>
        <v>414.25398100672436</v>
      </c>
      <c r="AP475" s="123">
        <f t="shared" si="729"/>
        <v>414.0146307042184</v>
      </c>
      <c r="AQ475" s="123">
        <f t="shared" si="729"/>
        <v>413.77141811231508</v>
      </c>
      <c r="AR475" s="123">
        <f t="shared" si="729"/>
        <v>413.52480139509407</v>
      </c>
      <c r="AS475" s="123">
        <f t="shared" si="729"/>
        <v>413.27519547347759</v>
      </c>
      <c r="AT475" s="123">
        <f t="shared" si="729"/>
        <v>413.02297571109733</v>
      </c>
      <c r="AU475" s="123">
        <f t="shared" si="729"/>
        <v>412.76848130370121</v>
      </c>
      <c r="AV475" s="123">
        <f t="shared" si="729"/>
        <v>412.51201839506763</v>
      </c>
      <c r="AW475" s="123">
        <f t="shared" si="729"/>
        <v>412.32690442000552</v>
      </c>
      <c r="AX475" s="123">
        <f t="shared" si="729"/>
        <v>412.14167335189433</v>
      </c>
      <c r="AY475" s="123">
        <f t="shared" si="729"/>
        <v>411.95641906032836</v>
      </c>
      <c r="AZ475" s="123">
        <f t="shared" si="729"/>
        <v>411.77122370657293</v>
      </c>
      <c r="BA475" s="159">
        <f t="shared" si="729"/>
        <v>411.58615886904778</v>
      </c>
    </row>
    <row r="476" spans="19:53" ht="20.100000000000001" customHeight="1">
      <c r="S476" s="101" t="s">
        <v>62</v>
      </c>
      <c r="T476" s="383" t="s">
        <v>587</v>
      </c>
      <c r="U476" s="389"/>
      <c r="V476" s="389"/>
      <c r="W476" s="133" t="s">
        <v>2722</v>
      </c>
      <c r="X476" s="123">
        <f t="shared" si="730"/>
        <v>399.33820328231081</v>
      </c>
      <c r="Y476" s="123">
        <f t="shared" si="729"/>
        <v>399.31095294529445</v>
      </c>
      <c r="Z476" s="123">
        <f t="shared" si="729"/>
        <v>399.27535319833476</v>
      </c>
      <c r="AA476" s="123">
        <f t="shared" si="729"/>
        <v>399.23236948200724</v>
      </c>
      <c r="AB476" s="123">
        <f t="shared" si="729"/>
        <v>399.18286871611167</v>
      </c>
      <c r="AC476" s="123">
        <f t="shared" si="729"/>
        <v>399.08956183050753</v>
      </c>
      <c r="AD476" s="123">
        <f t="shared" si="729"/>
        <v>398.98486571200363</v>
      </c>
      <c r="AE476" s="123">
        <f t="shared" si="729"/>
        <v>398.87012832920686</v>
      </c>
      <c r="AF476" s="123">
        <f t="shared" si="729"/>
        <v>398.74655854370536</v>
      </c>
      <c r="AG476" s="123">
        <f t="shared" si="729"/>
        <v>398.61523946846808</v>
      </c>
      <c r="AH476" s="123">
        <f t="shared" si="729"/>
        <v>398.48283263766632</v>
      </c>
      <c r="AI476" s="123">
        <f t="shared" si="729"/>
        <v>398.34495521005061</v>
      </c>
      <c r="AJ476" s="123">
        <f t="shared" si="729"/>
        <v>398.20220326303695</v>
      </c>
      <c r="AK476" s="123">
        <f t="shared" si="729"/>
        <v>398.05511849724877</v>
      </c>
      <c r="AL476" s="123">
        <f t="shared" si="729"/>
        <v>397.90419278707282</v>
      </c>
      <c r="AM476" s="123">
        <f t="shared" si="729"/>
        <v>397.69038505321146</v>
      </c>
      <c r="AN476" s="123">
        <f t="shared" si="729"/>
        <v>397.47094320116673</v>
      </c>
      <c r="AO476" s="123">
        <f t="shared" si="729"/>
        <v>397.24649122543315</v>
      </c>
      <c r="AP476" s="123">
        <f t="shared" si="729"/>
        <v>397.01759580537026</v>
      </c>
      <c r="AQ476" s="123">
        <f t="shared" si="729"/>
        <v>396.78477111979316</v>
      </c>
      <c r="AR476" s="123">
        <f t="shared" si="729"/>
        <v>396.54848327782349</v>
      </c>
      <c r="AS476" s="123">
        <f t="shared" si="729"/>
        <v>396.30915439554411</v>
      </c>
      <c r="AT476" s="123">
        <f t="shared" si="729"/>
        <v>396.06716634578231</v>
      </c>
      <c r="AU476" s="123">
        <f t="shared" si="729"/>
        <v>395.82286420629362</v>
      </c>
      <c r="AV476" s="123">
        <f t="shared" si="729"/>
        <v>395.57655942970769</v>
      </c>
      <c r="AW476" s="123">
        <f t="shared" si="729"/>
        <v>395.39797236286284</v>
      </c>
      <c r="AX476" s="123">
        <f t="shared" si="729"/>
        <v>395.21926617245356</v>
      </c>
      <c r="AY476" s="123">
        <f t="shared" si="729"/>
        <v>395.0405363558707</v>
      </c>
      <c r="AZ476" s="123">
        <f t="shared" si="729"/>
        <v>394.86186649914123</v>
      </c>
      <c r="BA476" s="159">
        <f t="shared" si="729"/>
        <v>394.68332942192944</v>
      </c>
    </row>
    <row r="477" spans="19:53" ht="20.100000000000001" customHeight="1">
      <c r="S477" s="101" t="s">
        <v>63</v>
      </c>
      <c r="T477" s="383" t="s">
        <v>587</v>
      </c>
      <c r="U477" s="389"/>
      <c r="V477" s="389"/>
      <c r="W477" s="133" t="s">
        <v>2861</v>
      </c>
      <c r="X477" s="123">
        <f t="shared" si="730"/>
        <v>313.68941729912041</v>
      </c>
      <c r="Y477" s="123">
        <f t="shared" si="729"/>
        <v>313.68377200506802</v>
      </c>
      <c r="Z477" s="123">
        <f t="shared" si="729"/>
        <v>313.66906570363415</v>
      </c>
      <c r="AA477" s="123">
        <f t="shared" si="729"/>
        <v>313.6463461172612</v>
      </c>
      <c r="AB477" s="123">
        <f t="shared" si="729"/>
        <v>313.61655405095928</v>
      </c>
      <c r="AC477" s="123">
        <f t="shared" si="729"/>
        <v>313.56314990370618</v>
      </c>
      <c r="AD477" s="123">
        <f t="shared" si="729"/>
        <v>313.49738585029479</v>
      </c>
      <c r="AE477" s="123">
        <f t="shared" si="729"/>
        <v>313.42072474302017</v>
      </c>
      <c r="AF477" s="123">
        <f t="shared" si="729"/>
        <v>313.33447847144669</v>
      </c>
      <c r="AG477" s="123">
        <f t="shared" si="729"/>
        <v>313.23982245930756</v>
      </c>
      <c r="AH477" s="123">
        <f t="shared" si="729"/>
        <v>313.14398598516385</v>
      </c>
      <c r="AI477" s="123">
        <f t="shared" si="729"/>
        <v>313.04221267015953</v>
      </c>
      <c r="AJ477" s="123">
        <f t="shared" si="729"/>
        <v>312.93514939376314</v>
      </c>
      <c r="AK477" s="123">
        <f t="shared" si="729"/>
        <v>312.8233840242649</v>
      </c>
      <c r="AL477" s="123">
        <f t="shared" si="729"/>
        <v>312.70745035716396</v>
      </c>
      <c r="AM477" s="123">
        <f t="shared" si="729"/>
        <v>312.5472029178643</v>
      </c>
      <c r="AN477" s="123">
        <f t="shared" si="729"/>
        <v>312.3808411798542</v>
      </c>
      <c r="AO477" s="123">
        <f t="shared" si="729"/>
        <v>312.20904231897725</v>
      </c>
      <c r="AP477" s="123">
        <f t="shared" si="729"/>
        <v>312.03242131112916</v>
      </c>
      <c r="AQ477" s="123">
        <f t="shared" si="729"/>
        <v>311.85153615718343</v>
      </c>
      <c r="AR477" s="123">
        <f t="shared" si="729"/>
        <v>311.66689269147082</v>
      </c>
      <c r="AS477" s="123">
        <f t="shared" si="729"/>
        <v>311.47894900587647</v>
      </c>
      <c r="AT477" s="123">
        <f t="shared" si="729"/>
        <v>311.2881195192075</v>
      </c>
      <c r="AU477" s="123">
        <f t="shared" si="729"/>
        <v>311.09477871925537</v>
      </c>
      <c r="AV477" s="123">
        <f t="shared" si="729"/>
        <v>310.89926460290803</v>
      </c>
      <c r="AW477" s="123">
        <f t="shared" si="729"/>
        <v>310.7533120771493</v>
      </c>
      <c r="AX477" s="123">
        <f t="shared" si="729"/>
        <v>310.60723027524972</v>
      </c>
      <c r="AY477" s="123">
        <f t="shared" si="729"/>
        <v>310.46112283358218</v>
      </c>
      <c r="AZ477" s="123">
        <f t="shared" si="729"/>
        <v>310.31508046198292</v>
      </c>
      <c r="BA477" s="159">
        <f t="shared" si="729"/>
        <v>310.16918218633731</v>
      </c>
    </row>
    <row r="478" spans="19:53" ht="20.100000000000001" customHeight="1">
      <c r="S478" s="101" t="s">
        <v>64</v>
      </c>
      <c r="T478" s="383" t="s">
        <v>587</v>
      </c>
      <c r="U478" s="389"/>
      <c r="V478" s="389"/>
      <c r="W478" s="133" t="s">
        <v>2862</v>
      </c>
      <c r="X478" s="123">
        <f t="shared" si="730"/>
        <v>262.30014570920616</v>
      </c>
      <c r="Y478" s="123">
        <f t="shared" si="729"/>
        <v>262.30746344093228</v>
      </c>
      <c r="Z478" s="123">
        <f t="shared" si="729"/>
        <v>262.30529320681376</v>
      </c>
      <c r="AA478" s="123">
        <f t="shared" si="729"/>
        <v>262.29473209841359</v>
      </c>
      <c r="AB478" s="123">
        <f t="shared" si="729"/>
        <v>262.27676525186791</v>
      </c>
      <c r="AC478" s="123">
        <f t="shared" si="729"/>
        <v>262.24730274762544</v>
      </c>
      <c r="AD478" s="123">
        <f t="shared" si="729"/>
        <v>262.20489793326959</v>
      </c>
      <c r="AE478" s="123">
        <f t="shared" si="729"/>
        <v>262.15108259130824</v>
      </c>
      <c r="AF478" s="123">
        <f t="shared" si="729"/>
        <v>262.08723042809146</v>
      </c>
      <c r="AG478" s="123">
        <f t="shared" si="729"/>
        <v>262.01457225381131</v>
      </c>
      <c r="AH478" s="123">
        <f t="shared" si="729"/>
        <v>261.9406779936624</v>
      </c>
      <c r="AI478" s="123">
        <f t="shared" si="729"/>
        <v>261.86056714622498</v>
      </c>
      <c r="AJ478" s="123">
        <f t="shared" si="729"/>
        <v>261.77491707219895</v>
      </c>
      <c r="AK478" s="123">
        <f t="shared" si="729"/>
        <v>261.68434334047464</v>
      </c>
      <c r="AL478" s="123">
        <f t="shared" si="729"/>
        <v>261.58940489921872</v>
      </c>
      <c r="AM478" s="123">
        <f t="shared" si="729"/>
        <v>261.46129363665602</v>
      </c>
      <c r="AN478" s="123">
        <f t="shared" si="729"/>
        <v>261.32677996706673</v>
      </c>
      <c r="AO478" s="123">
        <f t="shared" si="729"/>
        <v>261.18657297510379</v>
      </c>
      <c r="AP478" s="123">
        <f t="shared" si="729"/>
        <v>261.04131661458462</v>
      </c>
      <c r="AQ478" s="123">
        <f t="shared" si="729"/>
        <v>260.8915951796177</v>
      </c>
      <c r="AR478" s="123">
        <f t="shared" si="729"/>
        <v>260.73793833965919</v>
      </c>
      <c r="AS478" s="123">
        <f t="shared" si="729"/>
        <v>260.58082577207591</v>
      </c>
      <c r="AT478" s="123">
        <f t="shared" si="729"/>
        <v>260.42069142326267</v>
      </c>
      <c r="AU478" s="123">
        <f t="shared" si="729"/>
        <v>260.25792742703248</v>
      </c>
      <c r="AV478" s="123">
        <f t="shared" si="729"/>
        <v>260.09288770682821</v>
      </c>
      <c r="AW478" s="123">
        <f t="shared" si="729"/>
        <v>259.96651590572122</v>
      </c>
      <c r="AX478" s="123">
        <f t="shared" si="729"/>
        <v>259.84000873692747</v>
      </c>
      <c r="AY478" s="123">
        <f t="shared" si="729"/>
        <v>259.71347472020915</v>
      </c>
      <c r="AZ478" s="123">
        <f t="shared" si="729"/>
        <v>259.587008839688</v>
      </c>
      <c r="BA478" s="159">
        <f t="shared" si="729"/>
        <v>259.46069384498213</v>
      </c>
    </row>
    <row r="479" spans="19:53" ht="20.100000000000001" customHeight="1" thickBot="1">
      <c r="S479" s="301" t="s">
        <v>2040</v>
      </c>
      <c r="T479" s="448" t="s">
        <v>2725</v>
      </c>
      <c r="U479" s="139"/>
      <c r="V479" s="139"/>
      <c r="W479" s="155" t="s">
        <v>845</v>
      </c>
      <c r="X479" s="160">
        <f t="shared" ref="X479:BA479" si="731">(X294/100*X474)+(X295/100*X475)+(X296/100*X476)+(X297/100*X477)+(X298/100*X478)</f>
        <v>0</v>
      </c>
      <c r="Y479" s="160">
        <f t="shared" si="731"/>
        <v>407.87367103931706</v>
      </c>
      <c r="Z479" s="160">
        <f t="shared" si="731"/>
        <v>407.83598194780484</v>
      </c>
      <c r="AA479" s="160">
        <f t="shared" si="731"/>
        <v>407.79097181848181</v>
      </c>
      <c r="AB479" s="160">
        <f t="shared" si="731"/>
        <v>407.7395001826269</v>
      </c>
      <c r="AC479" s="160">
        <f t="shared" si="731"/>
        <v>407.64220302318768</v>
      </c>
      <c r="AD479" s="160">
        <f t="shared" si="731"/>
        <v>407.53361369817452</v>
      </c>
      <c r="AE479" s="160">
        <f t="shared" si="731"/>
        <v>407.41506868782551</v>
      </c>
      <c r="AF479" s="160">
        <f t="shared" si="731"/>
        <v>407.28776655093122</v>
      </c>
      <c r="AG479" s="160">
        <f t="shared" si="731"/>
        <v>407.15278116938413</v>
      </c>
      <c r="AH479" s="160">
        <f t="shared" si="731"/>
        <v>407.0167173029165</v>
      </c>
      <c r="AI479" s="160">
        <f t="shared" si="731"/>
        <v>406.87522946403971</v>
      </c>
      <c r="AJ479" s="160">
        <f t="shared" si="731"/>
        <v>406.7289086499643</v>
      </c>
      <c r="AK479" s="160">
        <f t="shared" si="731"/>
        <v>406.57829194454712</v>
      </c>
      <c r="AL479" s="160">
        <f t="shared" si="731"/>
        <v>406.42386703006366</v>
      </c>
      <c r="AM479" s="160">
        <f t="shared" si="731"/>
        <v>406.20470326674615</v>
      </c>
      <c r="AN479" s="160">
        <f t="shared" si="731"/>
        <v>405.97995340329794</v>
      </c>
      <c r="AO479" s="160">
        <f t="shared" si="731"/>
        <v>405.75023611607878</v>
      </c>
      <c r="AP479" s="160">
        <f t="shared" si="731"/>
        <v>405.51611325479433</v>
      </c>
      <c r="AQ479" s="160">
        <f t="shared" si="731"/>
        <v>405.27809461605409</v>
      </c>
      <c r="AR479" s="160">
        <f t="shared" si="731"/>
        <v>405.03664233645878</v>
      </c>
      <c r="AS479" s="160">
        <f t="shared" si="731"/>
        <v>404.79217493451085</v>
      </c>
      <c r="AT479" s="160">
        <f t="shared" si="731"/>
        <v>404.54507102843979</v>
      </c>
      <c r="AU479" s="160">
        <f t="shared" si="731"/>
        <v>404.29567275499744</v>
      </c>
      <c r="AV479" s="160">
        <f t="shared" si="731"/>
        <v>404.04428891238763</v>
      </c>
      <c r="AW479" s="160">
        <f t="shared" si="731"/>
        <v>403.86243839143418</v>
      </c>
      <c r="AX479" s="160">
        <f t="shared" si="731"/>
        <v>403.68046976217397</v>
      </c>
      <c r="AY479" s="160">
        <f t="shared" si="731"/>
        <v>403.49847770809953</v>
      </c>
      <c r="AZ479" s="160">
        <f t="shared" si="731"/>
        <v>403.31654510285705</v>
      </c>
      <c r="BA479" s="161">
        <f t="shared" si="731"/>
        <v>403.13474414548864</v>
      </c>
    </row>
    <row r="480" spans="19:53" ht="20.100000000000001" customHeight="1" thickBot="1"/>
    <row r="481" spans="19:53" ht="20.100000000000001" customHeight="1">
      <c r="S481" s="299" t="s">
        <v>2724</v>
      </c>
      <c r="T481" s="887" t="s">
        <v>2039</v>
      </c>
      <c r="U481" s="138"/>
      <c r="V481" s="1039">
        <v>2019</v>
      </c>
      <c r="W481" s="1039">
        <v>2020</v>
      </c>
      <c r="X481" s="1039">
        <v>2021</v>
      </c>
      <c r="Y481" s="1039">
        <f>X481+1</f>
        <v>2022</v>
      </c>
      <c r="Z481" s="1039">
        <f t="shared" ref="Z481" si="732">Y481+1</f>
        <v>2023</v>
      </c>
      <c r="AA481" s="1039">
        <f t="shared" ref="AA481" si="733">Z481+1</f>
        <v>2024</v>
      </c>
      <c r="AB481" s="1039">
        <f t="shared" ref="AB481" si="734">AA481+1</f>
        <v>2025</v>
      </c>
      <c r="AC481" s="1039">
        <f t="shared" ref="AC481" si="735">AB481+1</f>
        <v>2026</v>
      </c>
      <c r="AD481" s="1039">
        <f t="shared" ref="AD481" si="736">AC481+1</f>
        <v>2027</v>
      </c>
      <c r="AE481" s="1039">
        <f t="shared" ref="AE481" si="737">AD481+1</f>
        <v>2028</v>
      </c>
      <c r="AF481" s="1039">
        <f t="shared" ref="AF481" si="738">AE481+1</f>
        <v>2029</v>
      </c>
      <c r="AG481" s="1039">
        <f t="shared" ref="AG481" si="739">AF481+1</f>
        <v>2030</v>
      </c>
      <c r="AH481" s="1039">
        <f t="shared" ref="AH481" si="740">AG481+1</f>
        <v>2031</v>
      </c>
      <c r="AI481" s="1039">
        <f t="shared" ref="AI481" si="741">AH481+1</f>
        <v>2032</v>
      </c>
      <c r="AJ481" s="1039">
        <f t="shared" ref="AJ481" si="742">AI481+1</f>
        <v>2033</v>
      </c>
      <c r="AK481" s="1039">
        <f t="shared" ref="AK481" si="743">AJ481+1</f>
        <v>2034</v>
      </c>
      <c r="AL481" s="1039">
        <f t="shared" ref="AL481" si="744">AK481+1</f>
        <v>2035</v>
      </c>
      <c r="AM481" s="1039">
        <f t="shared" ref="AM481" si="745">AL481+1</f>
        <v>2036</v>
      </c>
      <c r="AN481" s="1039">
        <f t="shared" ref="AN481" si="746">AM481+1</f>
        <v>2037</v>
      </c>
      <c r="AO481" s="1039">
        <f t="shared" ref="AO481" si="747">AN481+1</f>
        <v>2038</v>
      </c>
      <c r="AP481" s="1039">
        <f t="shared" ref="AP481" si="748">AO481+1</f>
        <v>2039</v>
      </c>
      <c r="AQ481" s="1039">
        <f t="shared" ref="AQ481" si="749">AP481+1</f>
        <v>2040</v>
      </c>
      <c r="AR481" s="1039">
        <f t="shared" ref="AR481" si="750">AQ481+1</f>
        <v>2041</v>
      </c>
      <c r="AS481" s="1039">
        <f t="shared" ref="AS481" si="751">AR481+1</f>
        <v>2042</v>
      </c>
      <c r="AT481" s="1039">
        <f t="shared" ref="AT481" si="752">AS481+1</f>
        <v>2043</v>
      </c>
      <c r="AU481" s="1039">
        <f t="shared" ref="AU481" si="753">AT481+1</f>
        <v>2044</v>
      </c>
      <c r="AV481" s="1039">
        <f t="shared" ref="AV481" si="754">AU481+1</f>
        <v>2045</v>
      </c>
      <c r="AW481" s="1039">
        <f t="shared" ref="AW481" si="755">AV481+1</f>
        <v>2046</v>
      </c>
      <c r="AX481" s="1039">
        <f t="shared" ref="AX481" si="756">AW481+1</f>
        <v>2047</v>
      </c>
      <c r="AY481" s="1039">
        <f t="shared" ref="AY481" si="757">AX481+1</f>
        <v>2048</v>
      </c>
      <c r="AZ481" s="1039">
        <f t="shared" ref="AZ481" si="758">AY481+1</f>
        <v>2049</v>
      </c>
      <c r="BA481" s="153">
        <f t="shared" ref="BA481" si="759">AZ481+1</f>
        <v>2050</v>
      </c>
    </row>
    <row r="482" spans="19:53" ht="20.100000000000001" customHeight="1" thickBot="1">
      <c r="S482" s="301" t="s">
        <v>2755</v>
      </c>
      <c r="T482" s="888" t="s">
        <v>2863</v>
      </c>
      <c r="U482" s="847" t="s">
        <v>846</v>
      </c>
      <c r="V482" s="827"/>
      <c r="W482" s="827"/>
      <c r="X482" s="828">
        <f>X384/INDEX('DEFAULT DATA'!$Q$9:$Q$41,START!$C$3,1)*X479/1000</f>
        <v>0</v>
      </c>
      <c r="Y482" s="828">
        <f>Y384/INDEX('DEFAULT DATA'!$Q$9:$Q$41,START!$C$3,1)*Y479/1000</f>
        <v>22.834876055489818</v>
      </c>
      <c r="Z482" s="828">
        <f>Z384/INDEX('DEFAULT DATA'!$Q$9:$Q$41,START!$C$3,1)*Z479/1000</f>
        <v>23.015428153567143</v>
      </c>
      <c r="AA482" s="828">
        <f>AA384/INDEX('DEFAULT DATA'!$Q$9:$Q$41,START!$C$3,1)*AA479/1000</f>
        <v>23.196991199469142</v>
      </c>
      <c r="AB482" s="828">
        <f>AB384/INDEX('DEFAULT DATA'!$Q$9:$Q$41,START!$C$3,1)*AB479/1000</f>
        <v>23.379615766568435</v>
      </c>
      <c r="AC482" s="828">
        <f>AC384/INDEX('DEFAULT DATA'!$Q$9:$Q$41,START!$C$3,1)*AC479/1000</f>
        <v>23.561029081636899</v>
      </c>
      <c r="AD482" s="828">
        <f>AD384/INDEX('DEFAULT DATA'!$Q$9:$Q$41,START!$C$3,1)*AD479/1000</f>
        <v>23.743190824943646</v>
      </c>
      <c r="AE482" s="828">
        <f>AE384/INDEX('DEFAULT DATA'!$Q$9:$Q$41,START!$C$3,1)*AE479/1000</f>
        <v>23.926174584952385</v>
      </c>
      <c r="AF482" s="828">
        <f>AF384/INDEX('DEFAULT DATA'!$Q$9:$Q$41,START!$C$3,1)*AF479/1000</f>
        <v>24.11004812885297</v>
      </c>
      <c r="AG482" s="828">
        <f>AG384/INDEX('DEFAULT DATA'!$Q$9:$Q$41,START!$C$3,1)*AG479/1000</f>
        <v>24.294873913801055</v>
      </c>
      <c r="AH482" s="828">
        <f>AH384/INDEX('DEFAULT DATA'!$Q$9:$Q$41,START!$C$3,1)*AH479/1000</f>
        <v>24.45676224506683</v>
      </c>
      <c r="AI482" s="828">
        <f>AI384/INDEX('DEFAULT DATA'!$Q$9:$Q$41,START!$C$3,1)*AI479/1000</f>
        <v>24.619398367866726</v>
      </c>
      <c r="AJ482" s="828">
        <f>AJ384/INDEX('DEFAULT DATA'!$Q$9:$Q$41,START!$C$3,1)*AJ479/1000</f>
        <v>24.782818532040451</v>
      </c>
      <c r="AK482" s="828">
        <f>AK384/INDEX('DEFAULT DATA'!$Q$9:$Q$41,START!$C$3,1)*AK479/1000</f>
        <v>24.947056638305824</v>
      </c>
      <c r="AL482" s="828">
        <f>AL384/INDEX('DEFAULT DATA'!$Q$9:$Q$41,START!$C$3,1)*AL479/1000</f>
        <v>25.112144418080547</v>
      </c>
      <c r="AM482" s="828">
        <f>AM384/INDEX('DEFAULT DATA'!$Q$9:$Q$41,START!$C$3,1)*AM479/1000</f>
        <v>25.274292932162897</v>
      </c>
      <c r="AN482" s="828">
        <f>AN384/INDEX('DEFAULT DATA'!$Q$9:$Q$41,START!$C$3,1)*AN479/1000</f>
        <v>25.437131026973478</v>
      </c>
      <c r="AO482" s="828">
        <f>AO384/INDEX('DEFAULT DATA'!$Q$9:$Q$41,START!$C$3,1)*AO479/1000</f>
        <v>25.600696996552397</v>
      </c>
      <c r="AP482" s="828">
        <f>AP384/INDEX('DEFAULT DATA'!$Q$9:$Q$41,START!$C$3,1)*AP479/1000</f>
        <v>25.76502655604969</v>
      </c>
      <c r="AQ482" s="828">
        <f>AQ384/INDEX('DEFAULT DATA'!$Q$9:$Q$41,START!$C$3,1)*AQ479/1000</f>
        <v>25.930153038958462</v>
      </c>
      <c r="AR482" s="828">
        <f>AR384/INDEX('DEFAULT DATA'!$Q$9:$Q$41,START!$C$3,1)*AR479/1000</f>
        <v>26.096107580265212</v>
      </c>
      <c r="AS482" s="828">
        <f>AS384/INDEX('DEFAULT DATA'!$Q$9:$Q$41,START!$C$3,1)*AS479/1000</f>
        <v>26.262919286490934</v>
      </c>
      <c r="AT482" s="828">
        <f>AT384/INDEX('DEFAULT DATA'!$Q$9:$Q$41,START!$C$3,1)*AT479/1000</f>
        <v>26.430615393530644</v>
      </c>
      <c r="AU482" s="828">
        <f>AU384/INDEX('DEFAULT DATA'!$Q$9:$Q$41,START!$C$3,1)*AU479/1000</f>
        <v>26.599221413137872</v>
      </c>
      <c r="AV482" s="828">
        <f>AV384/INDEX('DEFAULT DATA'!$Q$9:$Q$41,START!$C$3,1)*AV479/1000</f>
        <v>26.768761268843267</v>
      </c>
      <c r="AW482" s="828">
        <f>AW384/INDEX('DEFAULT DATA'!$Q$9:$Q$41,START!$C$3,1)*AW479/1000</f>
        <v>26.944010292656621</v>
      </c>
      <c r="AX482" s="828">
        <f>AX384/INDEX('DEFAULT DATA'!$Q$9:$Q$41,START!$C$3,1)*AX479/1000</f>
        <v>27.120393198651819</v>
      </c>
      <c r="AY482" s="828">
        <f>AY384/INDEX('DEFAULT DATA'!$Q$9:$Q$41,START!$C$3,1)*AY479/1000</f>
        <v>27.297923624065266</v>
      </c>
      <c r="AZ482" s="828">
        <f>AZ384/INDEX('DEFAULT DATA'!$Q$9:$Q$41,START!$C$3,1)*AZ479/1000</f>
        <v>27.476614626218939</v>
      </c>
      <c r="BA482" s="829">
        <f>BA384/INDEX('DEFAULT DATA'!$Q$9:$Q$41,START!$C$3,1)*BA479/1000</f>
        <v>27.656478735658052</v>
      </c>
    </row>
    <row r="490" spans="19:53" ht="20.100000000000001" customHeight="1" thickBot="1">
      <c r="S490" s="886" t="s">
        <v>2865</v>
      </c>
    </row>
    <row r="491" spans="19:53" ht="20.100000000000001" customHeight="1">
      <c r="S491" s="832" t="s">
        <v>2864</v>
      </c>
      <c r="T491" s="861"/>
      <c r="U491" s="831" t="s">
        <v>2031</v>
      </c>
      <c r="V491" s="831"/>
      <c r="W491" s="831"/>
      <c r="X491" s="810" t="s">
        <v>632</v>
      </c>
      <c r="Y491" s="810"/>
      <c r="Z491" s="810"/>
      <c r="AA491" s="810"/>
      <c r="AB491" s="810"/>
      <c r="AC491" s="810"/>
      <c r="AD491" s="810"/>
      <c r="AE491" s="810"/>
      <c r="AF491" s="810"/>
      <c r="AG491" s="810"/>
      <c r="AH491" s="810"/>
      <c r="AI491" s="810"/>
      <c r="AJ491" s="810"/>
      <c r="AK491" s="810"/>
      <c r="AL491" s="810"/>
      <c r="AM491" s="810"/>
      <c r="AN491" s="810"/>
      <c r="AO491" s="810"/>
      <c r="AP491" s="810"/>
      <c r="AQ491" s="810"/>
      <c r="AR491" s="810"/>
      <c r="AS491" s="810"/>
      <c r="AT491" s="810"/>
      <c r="AU491" s="810"/>
      <c r="AV491" s="810"/>
      <c r="AW491" s="810"/>
      <c r="AX491" s="810"/>
      <c r="AY491" s="810"/>
      <c r="AZ491" s="810"/>
      <c r="BA491" s="811"/>
    </row>
    <row r="492" spans="19:53" ht="20.100000000000001" customHeight="1">
      <c r="S492" s="542"/>
      <c r="T492" s="131"/>
      <c r="U492" s="389"/>
      <c r="V492" s="389"/>
      <c r="W492" s="389"/>
      <c r="X492" s="390">
        <v>2021</v>
      </c>
      <c r="Y492" s="115">
        <v>2022</v>
      </c>
      <c r="Z492" s="390">
        <v>2023</v>
      </c>
      <c r="AA492" s="115">
        <v>2024</v>
      </c>
      <c r="AB492" s="390">
        <v>2025</v>
      </c>
      <c r="AC492" s="115">
        <v>2026</v>
      </c>
      <c r="AD492" s="390">
        <v>2027</v>
      </c>
      <c r="AE492" s="115">
        <v>2028</v>
      </c>
      <c r="AF492" s="390">
        <v>2029</v>
      </c>
      <c r="AG492" s="115">
        <v>2030</v>
      </c>
      <c r="AH492" s="390">
        <v>2031</v>
      </c>
      <c r="AI492" s="115">
        <v>2032</v>
      </c>
      <c r="AJ492" s="390">
        <v>2033</v>
      </c>
      <c r="AK492" s="115">
        <v>2034</v>
      </c>
      <c r="AL492" s="390">
        <v>2035</v>
      </c>
      <c r="AM492" s="115">
        <v>2036</v>
      </c>
      <c r="AN492" s="390">
        <v>2037</v>
      </c>
      <c r="AO492" s="115">
        <v>2038</v>
      </c>
      <c r="AP492" s="390">
        <v>2039</v>
      </c>
      <c r="AQ492" s="115">
        <v>2040</v>
      </c>
      <c r="AR492" s="390">
        <v>2041</v>
      </c>
      <c r="AS492" s="115">
        <v>2042</v>
      </c>
      <c r="AT492" s="390">
        <v>2043</v>
      </c>
      <c r="AU492" s="115">
        <v>2044</v>
      </c>
      <c r="AV492" s="390">
        <v>2045</v>
      </c>
      <c r="AW492" s="115">
        <v>2046</v>
      </c>
      <c r="AX492" s="390">
        <v>2047</v>
      </c>
      <c r="AY492" s="115">
        <v>2048</v>
      </c>
      <c r="AZ492" s="390">
        <v>2049</v>
      </c>
      <c r="BA492" s="323">
        <v>2050</v>
      </c>
    </row>
    <row r="493" spans="19:53" ht="20.100000000000001" customHeight="1">
      <c r="S493" s="864" t="s">
        <v>584</v>
      </c>
      <c r="T493" s="860"/>
      <c r="U493" s="860"/>
      <c r="V493" s="860"/>
      <c r="W493" s="860"/>
      <c r="X493" s="180">
        <f t="shared" ref="X493:BA493" si="760">X56</f>
        <v>2.4466324694609898E-4</v>
      </c>
      <c r="Y493" s="180">
        <f t="shared" si="760"/>
        <v>2.4466324694609898E-4</v>
      </c>
      <c r="Z493" s="180">
        <f t="shared" si="760"/>
        <v>2.4466324694609898E-4</v>
      </c>
      <c r="AA493" s="180">
        <f t="shared" si="760"/>
        <v>2.4466324694609898E-4</v>
      </c>
      <c r="AB493" s="180">
        <f t="shared" si="760"/>
        <v>2.4466324694609898E-4</v>
      </c>
      <c r="AC493" s="180">
        <f t="shared" si="760"/>
        <v>2.4466324694609898E-4</v>
      </c>
      <c r="AD493" s="180">
        <f t="shared" si="760"/>
        <v>2.4466324694609898E-4</v>
      </c>
      <c r="AE493" s="180">
        <f t="shared" si="760"/>
        <v>2.4466324694609898E-4</v>
      </c>
      <c r="AF493" s="180">
        <f t="shared" si="760"/>
        <v>2.4466324694609898E-4</v>
      </c>
      <c r="AG493" s="180">
        <f t="shared" si="760"/>
        <v>2.4466324694609898E-4</v>
      </c>
      <c r="AH493" s="180">
        <f t="shared" si="760"/>
        <v>2.4466324694609898E-4</v>
      </c>
      <c r="AI493" s="180">
        <f t="shared" si="760"/>
        <v>2.4466324694609898E-4</v>
      </c>
      <c r="AJ493" s="180">
        <f t="shared" si="760"/>
        <v>2.4466324694609898E-4</v>
      </c>
      <c r="AK493" s="180">
        <f t="shared" si="760"/>
        <v>2.4466324694609898E-4</v>
      </c>
      <c r="AL493" s="180">
        <f t="shared" si="760"/>
        <v>2.4466324694609898E-4</v>
      </c>
      <c r="AM493" s="180">
        <f t="shared" si="760"/>
        <v>2.4466324694609898E-4</v>
      </c>
      <c r="AN493" s="180">
        <f t="shared" si="760"/>
        <v>2.4466324694609898E-4</v>
      </c>
      <c r="AO493" s="180">
        <f t="shared" si="760"/>
        <v>2.4466324694609898E-4</v>
      </c>
      <c r="AP493" s="180">
        <f t="shared" si="760"/>
        <v>2.4466324694609898E-4</v>
      </c>
      <c r="AQ493" s="180">
        <f t="shared" si="760"/>
        <v>2.4466324694609898E-4</v>
      </c>
      <c r="AR493" s="180">
        <f t="shared" si="760"/>
        <v>2.4466324694609898E-4</v>
      </c>
      <c r="AS493" s="180">
        <f t="shared" si="760"/>
        <v>2.4466324694609898E-4</v>
      </c>
      <c r="AT493" s="180">
        <f t="shared" si="760"/>
        <v>2.4466324694609898E-4</v>
      </c>
      <c r="AU493" s="180">
        <f t="shared" si="760"/>
        <v>2.4466324694609898E-4</v>
      </c>
      <c r="AV493" s="180">
        <f t="shared" si="760"/>
        <v>2.4466324694609898E-4</v>
      </c>
      <c r="AW493" s="180">
        <f t="shared" si="760"/>
        <v>2.4466324694609898E-4</v>
      </c>
      <c r="AX493" s="180">
        <f t="shared" si="760"/>
        <v>2.4466324694609898E-4</v>
      </c>
      <c r="AY493" s="180">
        <f t="shared" si="760"/>
        <v>2.4466324694609898E-4</v>
      </c>
      <c r="AZ493" s="180">
        <f t="shared" si="760"/>
        <v>2.4466324694609898E-4</v>
      </c>
      <c r="BA493" s="865">
        <f t="shared" si="760"/>
        <v>2.4466324694609898E-4</v>
      </c>
    </row>
    <row r="494" spans="19:53" ht="20.100000000000001" customHeight="1">
      <c r="S494" s="866" t="s">
        <v>2690</v>
      </c>
      <c r="T494" s="860"/>
      <c r="U494" s="860"/>
      <c r="V494" s="860"/>
      <c r="W494" s="860"/>
      <c r="X494" s="180">
        <f>IF(AND(X492&gt;(2020+TRANSPORT!$F$220),X492&lt;(2022+$G$220)),(TRANSPORT!$G$203-INDEX(TRANSPORT!$Y$493:$BA$493,1,($F$220-1)))/($G$220-$F$220+1),0)</f>
        <v>0</v>
      </c>
      <c r="Y494" s="180">
        <f>IF(AND(Y492&gt;(2020+TRANSPORT!$F$220),Y492&lt;(2022+$G$220)),(TRANSPORT!$G$203-INDEX(TRANSPORT!$Y$493:$BA$493,1,($F$220-1)))/($G$220-$F$220+1),0)</f>
        <v>-6.1165811736524746E-5</v>
      </c>
      <c r="Z494" s="180">
        <f>IF(AND(Z492&gt;(2020+TRANSPORT!$F$220),Z492&lt;(2022+$G$220)),(TRANSPORT!$G$203-INDEX(TRANSPORT!$Y$493:$BA$493,1,($F$220-1)))/($G$220-$F$220+1),0)</f>
        <v>-6.1165811736524746E-5</v>
      </c>
      <c r="AA494" s="180">
        <f>IF(AND(AA492&gt;(2020+TRANSPORT!$F$220),AA492&lt;(2022+$G$220)),(TRANSPORT!$G$203-INDEX(TRANSPORT!$Y$493:$BA$493,1,($F$220-1)))/($G$220-$F$220+1),0)</f>
        <v>-6.1165811736524746E-5</v>
      </c>
      <c r="AB494" s="180">
        <f>IF(AND(AB492&gt;(2020+TRANSPORT!$F$220),AB492&lt;(2022+$G$220)),(TRANSPORT!$G$203-INDEX(TRANSPORT!$Y$493:$BA$493,1,($F$220-1)))/($G$220-$F$220+1),0)</f>
        <v>-6.1165811736524746E-5</v>
      </c>
      <c r="AC494" s="180">
        <f>IF(AND(AC492&gt;(2020+TRANSPORT!$F$220),AC492&lt;(2022+$G$220)),(TRANSPORT!$G$203-INDEX(TRANSPORT!$Y$493:$BA$493,1,($F$220-1)))/($G$220-$F$220+1),0)</f>
        <v>0</v>
      </c>
      <c r="AD494" s="180">
        <f>IF(AND(AD492&gt;(2020+TRANSPORT!$F$220),AD492&lt;(2022+$G$220)),(TRANSPORT!$G$203-INDEX(TRANSPORT!$Y$493:$BA$493,1,($F$220-1)))/($G$220-$F$220+1),0)</f>
        <v>0</v>
      </c>
      <c r="AE494" s="180">
        <f>IF(AND(AE492&gt;(2020+TRANSPORT!$F$220),AE492&lt;(2022+$G$220)),(TRANSPORT!$G$203-INDEX(TRANSPORT!$Y$493:$BA$493,1,($F$220-1)))/($G$220-$F$220+1),0)</f>
        <v>0</v>
      </c>
      <c r="AF494" s="180">
        <f>IF(AND(AF492&gt;(2020+TRANSPORT!$F$220),AF492&lt;(2022+$G$220)),(TRANSPORT!$G$203-INDEX(TRANSPORT!$Y$493:$BA$493,1,($F$220-1)))/($G$220-$F$220+1),0)</f>
        <v>0</v>
      </c>
      <c r="AG494" s="180">
        <f>IF(AND(AG492&gt;(2020+TRANSPORT!$F$220),AG492&lt;(2022+$G$220)),(TRANSPORT!$G$203-INDEX(TRANSPORT!$Y$493:$BA$493,1,($F$220-1)))/($G$220-$F$220+1),0)</f>
        <v>0</v>
      </c>
      <c r="AH494" s="180">
        <f>IF(AND(AH492&gt;(2020+TRANSPORT!$F$220),AH492&lt;(2022+$G$220)),(TRANSPORT!$G$203-INDEX(TRANSPORT!$Y$493:$BA$493,1,($F$220-1)))/($G$220-$F$220+1),0)</f>
        <v>0</v>
      </c>
      <c r="AI494" s="180">
        <f>IF(AND(AI492&gt;(2020+TRANSPORT!$F$220),AI492&lt;(2022+$G$220)),(TRANSPORT!$G$203-INDEX(TRANSPORT!$Y$493:$BA$493,1,($F$220-1)))/($G$220-$F$220+1),0)</f>
        <v>0</v>
      </c>
      <c r="AJ494" s="180">
        <f>IF(AND(AJ492&gt;(2020+TRANSPORT!$F$220),AJ492&lt;(2022+$G$220)),(TRANSPORT!$G$203-INDEX(TRANSPORT!$Y$493:$BA$493,1,($F$220-1)))/($G$220-$F$220+1),0)</f>
        <v>0</v>
      </c>
      <c r="AK494" s="180">
        <f>IF(AND(AK492&gt;(2020+TRANSPORT!$F$220),AK492&lt;(2022+$G$220)),(TRANSPORT!$G$203-INDEX(TRANSPORT!$Y$493:$BA$493,1,($F$220-1)))/($G$220-$F$220+1),0)</f>
        <v>0</v>
      </c>
      <c r="AL494" s="180">
        <f>IF(AND(AL492&gt;(2020+TRANSPORT!$F$220),AL492&lt;(2022+$G$220)),(TRANSPORT!$G$203-INDEX(TRANSPORT!$Y$493:$BA$493,1,($F$220-1)))/($G$220-$F$220+1),0)</f>
        <v>0</v>
      </c>
      <c r="AM494" s="180">
        <f>IF(AND(AM492&gt;(2020+TRANSPORT!$F$220),AM492&lt;(2022+$G$220)),(TRANSPORT!$G$203-INDEX(TRANSPORT!$Y$493:$BA$493,1,($F$220-1)))/($G$220-$F$220+1),0)</f>
        <v>0</v>
      </c>
      <c r="AN494" s="180">
        <f>IF(AND(AN492&gt;(2020+TRANSPORT!$F$220),AN492&lt;(2022+$G$220)),(TRANSPORT!$G$203-INDEX(TRANSPORT!$Y$493:$BA$493,1,($F$220-1)))/($G$220-$F$220+1),0)</f>
        <v>0</v>
      </c>
      <c r="AO494" s="180">
        <f>IF(AND(AO492&gt;(2020+TRANSPORT!$F$220),AO492&lt;(2022+$G$220)),(TRANSPORT!$G$203-INDEX(TRANSPORT!$Y$493:$BA$493,1,($F$220-1)))/($G$220-$F$220+1),0)</f>
        <v>0</v>
      </c>
      <c r="AP494" s="180">
        <f>IF(AND(AP492&gt;(2020+TRANSPORT!$F$220),AP492&lt;(2022+$G$220)),(TRANSPORT!$G$203-INDEX(TRANSPORT!$Y$493:$BA$493,1,($F$220-1)))/($G$220-$F$220+1),0)</f>
        <v>0</v>
      </c>
      <c r="AQ494" s="180">
        <f>IF(AND(AQ492&gt;(2020+TRANSPORT!$F$220),AQ492&lt;(2022+$G$220)),(TRANSPORT!$G$203-INDEX(TRANSPORT!$Y$493:$BA$493,1,($F$220-1)))/($G$220-$F$220+1),0)</f>
        <v>0</v>
      </c>
      <c r="AR494" s="180">
        <f>IF(AND(AR492&gt;(2020+TRANSPORT!$F$220),AR492&lt;(2022+$G$220)),(TRANSPORT!$G$203-INDEX(TRANSPORT!$Y$493:$BA$493,1,($F$220-1)))/($G$220-$F$220+1),0)</f>
        <v>0</v>
      </c>
      <c r="AS494" s="180">
        <f>IF(AND(AS492&gt;(2020+TRANSPORT!$F$220),AS492&lt;(2022+$G$220)),(TRANSPORT!$G$203-INDEX(TRANSPORT!$Y$493:$BA$493,1,($F$220-1)))/($G$220-$F$220+1),0)</f>
        <v>0</v>
      </c>
      <c r="AT494" s="180">
        <f>IF(AND(AT492&gt;(2020+TRANSPORT!$F$220),AT492&lt;(2022+$G$220)),(TRANSPORT!$G$203-INDEX(TRANSPORT!$Y$493:$BA$493,1,($F$220-1)))/($G$220-$F$220+1),0)</f>
        <v>0</v>
      </c>
      <c r="AU494" s="180">
        <f>IF(AND(AU492&gt;(2020+TRANSPORT!$F$220),AU492&lt;(2022+$G$220)),(TRANSPORT!$G$203-INDEX(TRANSPORT!$Y$493:$BA$493,1,($F$220-1)))/($G$220-$F$220+1),0)</f>
        <v>0</v>
      </c>
      <c r="AV494" s="180">
        <f>IF(AND(AV492&gt;(2020+TRANSPORT!$F$220),AV492&lt;(2022+$G$220)),(TRANSPORT!$G$203-INDEX(TRANSPORT!$Y$493:$BA$493,1,($F$220-1)))/($G$220-$F$220+1),0)</f>
        <v>0</v>
      </c>
      <c r="AW494" s="180">
        <f>IF(AND(AW492&gt;(2020+TRANSPORT!$F$220),AW492&lt;(2022+$G$220)),(TRANSPORT!$G$203-INDEX(TRANSPORT!$Y$493:$BA$493,1,($F$220-1)))/($G$220-$F$220+1),0)</f>
        <v>0</v>
      </c>
      <c r="AX494" s="180">
        <f>IF(AND(AX492&gt;(2020+TRANSPORT!$F$220),AX492&lt;(2022+$G$220)),(TRANSPORT!$G$203-INDEX(TRANSPORT!$Y$493:$BA$493,1,($F$220-1)))/($G$220-$F$220+1),0)</f>
        <v>0</v>
      </c>
      <c r="AY494" s="180">
        <f>IF(AND(AY492&gt;(2020+TRANSPORT!$F$220),AY492&lt;(2022+$G$220)),(TRANSPORT!$G$203-INDEX(TRANSPORT!$Y$493:$BA$493,1,($F$220-1)))/($G$220-$F$220+1),0)</f>
        <v>0</v>
      </c>
      <c r="AZ494" s="180">
        <f>IF(AND(AZ492&gt;(2020+TRANSPORT!$F$220),AZ492&lt;(2022+$G$220)),(TRANSPORT!$G$203-INDEX(TRANSPORT!$Y$493:$BA$493,1,($F$220-1)))/($G$220-$F$220+1),0)</f>
        <v>0</v>
      </c>
      <c r="BA494" s="865">
        <f>IF(AND(BA492&gt;(2020+TRANSPORT!$F$220),BA492&lt;(2022+$G$220)),(TRANSPORT!$G$203-INDEX(TRANSPORT!$Y$493:$BA$493,1,($F$220-1)))/($G$220-$F$220+1),0)</f>
        <v>0</v>
      </c>
    </row>
    <row r="495" spans="19:53" ht="20.100000000000001" customHeight="1">
      <c r="S495" s="867" t="s">
        <v>2698</v>
      </c>
      <c r="T495" s="868" t="s">
        <v>2730</v>
      </c>
      <c r="U495" s="860"/>
      <c r="V495" s="860"/>
      <c r="W495" s="860"/>
      <c r="X495" s="869">
        <f>X493+X494</f>
        <v>2.4466324694609898E-4</v>
      </c>
      <c r="Y495" s="869">
        <f>IF(Y494=0,X495*(IF(X493=0,1,Y493/X493)),X495+Y494)</f>
        <v>1.8349743520957424E-4</v>
      </c>
      <c r="Z495" s="869">
        <f t="shared" ref="Z495:BA495" si="761">IF(Z494=0,Y495*(IF(Y493=0,1,Z493/Y493)),Y495+Z494)</f>
        <v>1.2233162347304949E-4</v>
      </c>
      <c r="AA495" s="869">
        <f t="shared" si="761"/>
        <v>6.1165811736524746E-5</v>
      </c>
      <c r="AB495" s="869">
        <f t="shared" si="761"/>
        <v>0</v>
      </c>
      <c r="AC495" s="869">
        <f t="shared" si="761"/>
        <v>0</v>
      </c>
      <c r="AD495" s="869">
        <f t="shared" si="761"/>
        <v>0</v>
      </c>
      <c r="AE495" s="869">
        <f t="shared" si="761"/>
        <v>0</v>
      </c>
      <c r="AF495" s="869">
        <f t="shared" si="761"/>
        <v>0</v>
      </c>
      <c r="AG495" s="869">
        <f t="shared" si="761"/>
        <v>0</v>
      </c>
      <c r="AH495" s="869">
        <f t="shared" si="761"/>
        <v>0</v>
      </c>
      <c r="AI495" s="869">
        <f t="shared" si="761"/>
        <v>0</v>
      </c>
      <c r="AJ495" s="869">
        <f t="shared" si="761"/>
        <v>0</v>
      </c>
      <c r="AK495" s="869">
        <f t="shared" si="761"/>
        <v>0</v>
      </c>
      <c r="AL495" s="869">
        <f t="shared" si="761"/>
        <v>0</v>
      </c>
      <c r="AM495" s="869">
        <f t="shared" si="761"/>
        <v>0</v>
      </c>
      <c r="AN495" s="869">
        <f t="shared" si="761"/>
        <v>0</v>
      </c>
      <c r="AO495" s="869">
        <f t="shared" si="761"/>
        <v>0</v>
      </c>
      <c r="AP495" s="869">
        <f t="shared" si="761"/>
        <v>0</v>
      </c>
      <c r="AQ495" s="869">
        <f t="shared" si="761"/>
        <v>0</v>
      </c>
      <c r="AR495" s="869">
        <f t="shared" si="761"/>
        <v>0</v>
      </c>
      <c r="AS495" s="869">
        <f t="shared" si="761"/>
        <v>0</v>
      </c>
      <c r="AT495" s="869">
        <f t="shared" si="761"/>
        <v>0</v>
      </c>
      <c r="AU495" s="869">
        <f t="shared" si="761"/>
        <v>0</v>
      </c>
      <c r="AV495" s="869">
        <f t="shared" si="761"/>
        <v>0</v>
      </c>
      <c r="AW495" s="869">
        <f t="shared" si="761"/>
        <v>0</v>
      </c>
      <c r="AX495" s="869">
        <f t="shared" si="761"/>
        <v>0</v>
      </c>
      <c r="AY495" s="869">
        <f t="shared" si="761"/>
        <v>0</v>
      </c>
      <c r="AZ495" s="869">
        <f t="shared" si="761"/>
        <v>0</v>
      </c>
      <c r="BA495" s="870">
        <f t="shared" si="761"/>
        <v>0</v>
      </c>
    </row>
    <row r="496" spans="19:53" ht="20.100000000000001" customHeight="1">
      <c r="S496" s="542" t="s">
        <v>585</v>
      </c>
      <c r="T496" s="131"/>
      <c r="U496" s="131"/>
      <c r="V496" s="131"/>
      <c r="W496" s="131"/>
      <c r="X496" s="123">
        <f t="shared" ref="X496:BA496" si="762">X57</f>
        <v>3.065486564677593E-3</v>
      </c>
      <c r="Y496" s="123">
        <f t="shared" si="762"/>
        <v>3.065486564677593E-3</v>
      </c>
      <c r="Z496" s="123">
        <f t="shared" si="762"/>
        <v>3.065486564677593E-3</v>
      </c>
      <c r="AA496" s="123">
        <f t="shared" si="762"/>
        <v>3.065486564677593E-3</v>
      </c>
      <c r="AB496" s="123">
        <f t="shared" si="762"/>
        <v>3.065486564677593E-3</v>
      </c>
      <c r="AC496" s="123">
        <f t="shared" si="762"/>
        <v>3.065486564677593E-3</v>
      </c>
      <c r="AD496" s="123">
        <f t="shared" si="762"/>
        <v>3.065486564677593E-3</v>
      </c>
      <c r="AE496" s="123">
        <f t="shared" si="762"/>
        <v>3.065486564677593E-3</v>
      </c>
      <c r="AF496" s="123">
        <f t="shared" si="762"/>
        <v>3.065486564677593E-3</v>
      </c>
      <c r="AG496" s="123">
        <f t="shared" si="762"/>
        <v>3.065486564677593E-3</v>
      </c>
      <c r="AH496" s="123">
        <f t="shared" si="762"/>
        <v>3.065486564677593E-3</v>
      </c>
      <c r="AI496" s="123">
        <f t="shared" si="762"/>
        <v>3.065486564677593E-3</v>
      </c>
      <c r="AJ496" s="123">
        <f t="shared" si="762"/>
        <v>3.065486564677593E-3</v>
      </c>
      <c r="AK496" s="123">
        <f t="shared" si="762"/>
        <v>3.065486564677593E-3</v>
      </c>
      <c r="AL496" s="123">
        <f t="shared" si="762"/>
        <v>3.065486564677593E-3</v>
      </c>
      <c r="AM496" s="123">
        <f t="shared" si="762"/>
        <v>3.065486564677593E-3</v>
      </c>
      <c r="AN496" s="123">
        <f t="shared" si="762"/>
        <v>3.065486564677593E-3</v>
      </c>
      <c r="AO496" s="123">
        <f t="shared" si="762"/>
        <v>3.065486564677593E-3</v>
      </c>
      <c r="AP496" s="123">
        <f t="shared" si="762"/>
        <v>3.065486564677593E-3</v>
      </c>
      <c r="AQ496" s="123">
        <f t="shared" si="762"/>
        <v>3.065486564677593E-3</v>
      </c>
      <c r="AR496" s="123">
        <f t="shared" si="762"/>
        <v>3.065486564677593E-3</v>
      </c>
      <c r="AS496" s="123">
        <f t="shared" si="762"/>
        <v>3.065486564677593E-3</v>
      </c>
      <c r="AT496" s="123">
        <f t="shared" si="762"/>
        <v>3.065486564677593E-3</v>
      </c>
      <c r="AU496" s="123">
        <f t="shared" si="762"/>
        <v>3.065486564677593E-3</v>
      </c>
      <c r="AV496" s="123">
        <f t="shared" si="762"/>
        <v>3.065486564677593E-3</v>
      </c>
      <c r="AW496" s="123">
        <f t="shared" si="762"/>
        <v>3.065486564677593E-3</v>
      </c>
      <c r="AX496" s="123">
        <f t="shared" si="762"/>
        <v>3.065486564677593E-3</v>
      </c>
      <c r="AY496" s="123">
        <f t="shared" si="762"/>
        <v>3.065486564677593E-3</v>
      </c>
      <c r="AZ496" s="123">
        <f t="shared" si="762"/>
        <v>3.065486564677593E-3</v>
      </c>
      <c r="BA496" s="159">
        <f t="shared" si="762"/>
        <v>3.065486564677593E-3</v>
      </c>
    </row>
    <row r="497" spans="19:53" ht="20.100000000000001" customHeight="1">
      <c r="S497" s="101" t="s">
        <v>2690</v>
      </c>
      <c r="T497" s="131"/>
      <c r="U497" s="131"/>
      <c r="V497" s="131"/>
      <c r="W497" s="131"/>
      <c r="X497" s="123">
        <f>IF(AND(X492&gt;(2020+TRANSPORT!$F$220),X492&lt;(2022+$G$220)),(TRANSPORT!$G$204-INDEX(TRANSPORT!$Y$496:$BA$496,1,($F$220-1)))/($G$220-$F$220+1),0)</f>
        <v>0</v>
      </c>
      <c r="Y497" s="123">
        <f>IF(AND(Y492&gt;(2020+TRANSPORT!$F$220),Y492&lt;(2022+$G$220)),(TRANSPORT!$G$204-INDEX(TRANSPORT!$Y$496:$BA$496,1,($F$220-1)))/($G$220-$F$220+1),0)</f>
        <v>4.9233628358830606E-2</v>
      </c>
      <c r="Z497" s="123">
        <f>IF(AND(Z492&gt;(2020+TRANSPORT!$F$220),Z492&lt;(2022+$G$220)),(TRANSPORT!$G$204-INDEX(TRANSPORT!$Y$496:$BA$496,1,($F$220-1)))/($G$220-$F$220+1),0)</f>
        <v>4.9233628358830606E-2</v>
      </c>
      <c r="AA497" s="123">
        <f>IF(AND(AA492&gt;(2020+TRANSPORT!$F$220),AA492&lt;(2022+$G$220)),(TRANSPORT!$G$204-INDEX(TRANSPORT!$Y$496:$BA$496,1,($F$220-1)))/($G$220-$F$220+1),0)</f>
        <v>4.9233628358830606E-2</v>
      </c>
      <c r="AB497" s="123">
        <f>IF(AND(AB492&gt;(2020+TRANSPORT!$F$220),AB492&lt;(2022+$G$220)),(TRANSPORT!$G$204-INDEX(TRANSPORT!$Y$496:$BA$496,1,($F$220-1)))/($G$220-$F$220+1),0)</f>
        <v>4.9233628358830606E-2</v>
      </c>
      <c r="AC497" s="123">
        <f>IF(AND(AC492&gt;(2020+TRANSPORT!$F$220),AC492&lt;(2022+$G$220)),(TRANSPORT!$G$204-INDEX(TRANSPORT!$Y$496:$BA$496,1,($F$220-1)))/($G$220-$F$220+1),0)</f>
        <v>0</v>
      </c>
      <c r="AD497" s="123">
        <f>IF(AND(AD492&gt;(2020+TRANSPORT!$F$220),AD492&lt;(2022+$G$220)),(TRANSPORT!$G$204-INDEX(TRANSPORT!$Y$496:$BA$496,1,($F$220-1)))/($G$220-$F$220+1),0)</f>
        <v>0</v>
      </c>
      <c r="AE497" s="123">
        <f>IF(AND(AE492&gt;(2020+TRANSPORT!$F$220),AE492&lt;(2022+$G$220)),(TRANSPORT!$G$204-INDEX(TRANSPORT!$Y$496:$BA$496,1,($F$220-1)))/($G$220-$F$220+1),0)</f>
        <v>0</v>
      </c>
      <c r="AF497" s="123">
        <f>IF(AND(AF492&gt;(2020+TRANSPORT!$F$220),AF492&lt;(2022+$G$220)),(TRANSPORT!$G$204-INDEX(TRANSPORT!$Y$496:$BA$496,1,($F$220-1)))/($G$220-$F$220+1),0)</f>
        <v>0</v>
      </c>
      <c r="AG497" s="123">
        <f>IF(AND(AG492&gt;(2020+TRANSPORT!$F$220),AG492&lt;(2022+$G$220)),(TRANSPORT!$G$204-INDEX(TRANSPORT!$Y$496:$BA$496,1,($F$220-1)))/($G$220-$F$220+1),0)</f>
        <v>0</v>
      </c>
      <c r="AH497" s="123">
        <f>IF(AND(AH492&gt;(2020+TRANSPORT!$F$220),AH492&lt;(2022+$G$220)),(TRANSPORT!$G$204-INDEX(TRANSPORT!$Y$496:$BA$496,1,($F$220-1)))/($G$220-$F$220+1),0)</f>
        <v>0</v>
      </c>
      <c r="AI497" s="123">
        <f>IF(AND(AI492&gt;(2020+TRANSPORT!$F$220),AI492&lt;(2022+$G$220)),(TRANSPORT!$G$204-INDEX(TRANSPORT!$Y$496:$BA$496,1,($F$220-1)))/($G$220-$F$220+1),0)</f>
        <v>0</v>
      </c>
      <c r="AJ497" s="123">
        <f>IF(AND(AJ492&gt;(2020+TRANSPORT!$F$220),AJ492&lt;(2022+$G$220)),(TRANSPORT!$G$204-INDEX(TRANSPORT!$Y$496:$BA$496,1,($F$220-1)))/($G$220-$F$220+1),0)</f>
        <v>0</v>
      </c>
      <c r="AK497" s="123">
        <f>IF(AND(AK492&gt;(2020+TRANSPORT!$F$220),AK492&lt;(2022+$G$220)),(TRANSPORT!$G$204-INDEX(TRANSPORT!$Y$496:$BA$496,1,($F$220-1)))/($G$220-$F$220+1),0)</f>
        <v>0</v>
      </c>
      <c r="AL497" s="123">
        <f>IF(AND(AL492&gt;(2020+TRANSPORT!$F$220),AL492&lt;(2022+$G$220)),(TRANSPORT!$G$204-INDEX(TRANSPORT!$Y$496:$BA$496,1,($F$220-1)))/($G$220-$F$220+1),0)</f>
        <v>0</v>
      </c>
      <c r="AM497" s="123">
        <f>IF(AND(AM492&gt;(2020+TRANSPORT!$F$220),AM492&lt;(2022+$G$220)),(TRANSPORT!$G$204-INDEX(TRANSPORT!$Y$496:$BA$496,1,($F$220-1)))/($G$220-$F$220+1),0)</f>
        <v>0</v>
      </c>
      <c r="AN497" s="123">
        <f>IF(AND(AN492&gt;(2020+TRANSPORT!$F$220),AN492&lt;(2022+$G$220)),(TRANSPORT!$G$204-INDEX(TRANSPORT!$Y$496:$BA$496,1,($F$220-1)))/($G$220-$F$220+1),0)</f>
        <v>0</v>
      </c>
      <c r="AO497" s="123">
        <f>IF(AND(AO492&gt;(2020+TRANSPORT!$F$220),AO492&lt;(2022+$G$220)),(TRANSPORT!$G$204-INDEX(TRANSPORT!$Y$496:$BA$496,1,($F$220-1)))/($G$220-$F$220+1),0)</f>
        <v>0</v>
      </c>
      <c r="AP497" s="123">
        <f>IF(AND(AP492&gt;(2020+TRANSPORT!$F$220),AP492&lt;(2022+$G$220)),(TRANSPORT!$G$204-INDEX(TRANSPORT!$Y$496:$BA$496,1,($F$220-1)))/($G$220-$F$220+1),0)</f>
        <v>0</v>
      </c>
      <c r="AQ497" s="123">
        <f>IF(AND(AQ492&gt;(2020+TRANSPORT!$F$220),AQ492&lt;(2022+$G$220)),(TRANSPORT!$G$204-INDEX(TRANSPORT!$Y$496:$BA$496,1,($F$220-1)))/($G$220-$F$220+1),0)</f>
        <v>0</v>
      </c>
      <c r="AR497" s="123">
        <f>IF(AND(AR492&gt;(2020+TRANSPORT!$F$220),AR492&lt;(2022+$G$220)),(TRANSPORT!$G$204-INDEX(TRANSPORT!$Y$496:$BA$496,1,($F$220-1)))/($G$220-$F$220+1),0)</f>
        <v>0</v>
      </c>
      <c r="AS497" s="123">
        <f>IF(AND(AS492&gt;(2020+TRANSPORT!$F$220),AS492&lt;(2022+$G$220)),(TRANSPORT!$G$204-INDEX(TRANSPORT!$Y$496:$BA$496,1,($F$220-1)))/($G$220-$F$220+1),0)</f>
        <v>0</v>
      </c>
      <c r="AT497" s="123">
        <f>IF(AND(AT492&gt;(2020+TRANSPORT!$F$220),AT492&lt;(2022+$G$220)),(TRANSPORT!$G$204-INDEX(TRANSPORT!$Y$496:$BA$496,1,($F$220-1)))/($G$220-$F$220+1),0)</f>
        <v>0</v>
      </c>
      <c r="AU497" s="123">
        <f>IF(AND(AU492&gt;(2020+TRANSPORT!$F$220),AU492&lt;(2022+$G$220)),(TRANSPORT!$G$204-INDEX(TRANSPORT!$Y$496:$BA$496,1,($F$220-1)))/($G$220-$F$220+1),0)</f>
        <v>0</v>
      </c>
      <c r="AV497" s="123">
        <f>IF(AND(AV492&gt;(2020+TRANSPORT!$F$220),AV492&lt;(2022+$G$220)),(TRANSPORT!$G$204-INDEX(TRANSPORT!$Y$496:$BA$496,1,($F$220-1)))/($G$220-$F$220+1),0)</f>
        <v>0</v>
      </c>
      <c r="AW497" s="123">
        <f>IF(AND(AW492&gt;(2020+TRANSPORT!$F$220),AW492&lt;(2022+$G$220)),(TRANSPORT!$G$204-INDEX(TRANSPORT!$Y$496:$BA$496,1,($F$220-1)))/($G$220-$F$220+1),0)</f>
        <v>0</v>
      </c>
      <c r="AX497" s="123">
        <f>IF(AND(AX492&gt;(2020+TRANSPORT!$F$220),AX492&lt;(2022+$G$220)),(TRANSPORT!$G$204-INDEX(TRANSPORT!$Y$496:$BA$496,1,($F$220-1)))/($G$220-$F$220+1),0)</f>
        <v>0</v>
      </c>
      <c r="AY497" s="123">
        <f>IF(AND(AY492&gt;(2020+TRANSPORT!$F$220),AY492&lt;(2022+$G$220)),(TRANSPORT!$G$204-INDEX(TRANSPORT!$Y$496:$BA$496,1,($F$220-1)))/($G$220-$F$220+1),0)</f>
        <v>0</v>
      </c>
      <c r="AZ497" s="123">
        <f>IF(AND(AZ492&gt;(2020+TRANSPORT!$F$220),AZ492&lt;(2022+$G$220)),(TRANSPORT!$G$204-INDEX(TRANSPORT!$Y$496:$BA$496,1,($F$220-1)))/($G$220-$F$220+1),0)</f>
        <v>0</v>
      </c>
      <c r="BA497" s="159">
        <f>IF(AND(BA492&gt;(2020+TRANSPORT!$F$220),BA492&lt;(2022+$G$220)),(TRANSPORT!$G$204-INDEX(TRANSPORT!$Y$496:$BA$496,1,($F$220-1)))/($G$220-$F$220+1),0)</f>
        <v>0</v>
      </c>
    </row>
    <row r="498" spans="19:53" ht="20.100000000000001" customHeight="1">
      <c r="S498" s="862" t="s">
        <v>2699</v>
      </c>
      <c r="T498" s="392" t="s">
        <v>2730</v>
      </c>
      <c r="U498" s="131"/>
      <c r="V498" s="131"/>
      <c r="W498" s="131"/>
      <c r="X498" s="807">
        <f>SUM(X496:X497)</f>
        <v>3.065486564677593E-3</v>
      </c>
      <c r="Y498" s="807">
        <f>IF(Y497=0,X498*(IF(X496=0,1,Y496/X496)),X498+Y497)</f>
        <v>5.2299114923508201E-2</v>
      </c>
      <c r="Z498" s="807">
        <f t="shared" ref="Z498:AL498" si="763">IF(Z497=0,Y498*(IF(Y496=0,1,Z496/Y496)),Y498+Z497)</f>
        <v>0.1015327432823388</v>
      </c>
      <c r="AA498" s="807">
        <f t="shared" si="763"/>
        <v>0.15076637164116941</v>
      </c>
      <c r="AB498" s="807">
        <f t="shared" si="763"/>
        <v>0.2</v>
      </c>
      <c r="AC498" s="807">
        <f t="shared" si="763"/>
        <v>0.2</v>
      </c>
      <c r="AD498" s="807">
        <f t="shared" si="763"/>
        <v>0.2</v>
      </c>
      <c r="AE498" s="807">
        <f t="shared" si="763"/>
        <v>0.2</v>
      </c>
      <c r="AF498" s="807">
        <f t="shared" si="763"/>
        <v>0.2</v>
      </c>
      <c r="AG498" s="807">
        <f t="shared" si="763"/>
        <v>0.2</v>
      </c>
      <c r="AH498" s="807">
        <f t="shared" si="763"/>
        <v>0.2</v>
      </c>
      <c r="AI498" s="807">
        <f t="shared" si="763"/>
        <v>0.2</v>
      </c>
      <c r="AJ498" s="807">
        <f t="shared" si="763"/>
        <v>0.2</v>
      </c>
      <c r="AK498" s="807">
        <f t="shared" si="763"/>
        <v>0.2</v>
      </c>
      <c r="AL498" s="807">
        <f t="shared" si="763"/>
        <v>0.2</v>
      </c>
      <c r="AM498" s="807">
        <f t="shared" ref="AM498" si="764">IF(AM497=0,AL498*(IF(AL496=0,1,AM496/AL496)),AL498+AM497)</f>
        <v>0.2</v>
      </c>
      <c r="AN498" s="807">
        <f t="shared" ref="AN498" si="765">IF(AN497=0,AM498*(IF(AM496=0,1,AN496/AM496)),AM498+AN497)</f>
        <v>0.2</v>
      </c>
      <c r="AO498" s="807">
        <f t="shared" ref="AO498" si="766">IF(AO497=0,AN498*(IF(AN496=0,1,AO496/AN496)),AN498+AO497)</f>
        <v>0.2</v>
      </c>
      <c r="AP498" s="807">
        <f t="shared" ref="AP498" si="767">IF(AP497=0,AO498*(IF(AO496=0,1,AP496/AO496)),AO498+AP497)</f>
        <v>0.2</v>
      </c>
      <c r="AQ498" s="807">
        <f t="shared" ref="AQ498" si="768">IF(AQ497=0,AP498*(IF(AP496=0,1,AQ496/AP496)),AP498+AQ497)</f>
        <v>0.2</v>
      </c>
      <c r="AR498" s="807">
        <f t="shared" ref="AR498" si="769">IF(AR497=0,AQ498*(IF(AQ496=0,1,AR496/AQ496)),AQ498+AR497)</f>
        <v>0.2</v>
      </c>
      <c r="AS498" s="807">
        <f t="shared" ref="AS498" si="770">IF(AS497=0,AR498*(IF(AR496=0,1,AS496/AR496)),AR498+AS497)</f>
        <v>0.2</v>
      </c>
      <c r="AT498" s="807">
        <f t="shared" ref="AT498" si="771">IF(AT497=0,AS498*(IF(AS496=0,1,AT496/AS496)),AS498+AT497)</f>
        <v>0.2</v>
      </c>
      <c r="AU498" s="807">
        <f t="shared" ref="AU498" si="772">IF(AU497=0,AT498*(IF(AT496=0,1,AU496/AT496)),AT498+AU497)</f>
        <v>0.2</v>
      </c>
      <c r="AV498" s="807">
        <f t="shared" ref="AV498" si="773">IF(AV497=0,AU498*(IF(AU496=0,1,AV496/AU496)),AU498+AV497)</f>
        <v>0.2</v>
      </c>
      <c r="AW498" s="807">
        <f t="shared" ref="AW498" si="774">IF(AW497=0,AV498*(IF(AV496=0,1,AW496/AV496)),AV498+AW497)</f>
        <v>0.2</v>
      </c>
      <c r="AX498" s="807">
        <f t="shared" ref="AX498:AY498" si="775">IF(AX497=0,AW498*(IF(AW496=0,1,AX496/AW496)),AW498+AX497)</f>
        <v>0.2</v>
      </c>
      <c r="AY498" s="807">
        <f t="shared" si="775"/>
        <v>0.2</v>
      </c>
      <c r="AZ498" s="807">
        <f t="shared" ref="AZ498" si="776">IF(AZ497=0,AY498*(IF(AY496=0,1,AZ496/AY496)),AY498+AZ497)</f>
        <v>0.2</v>
      </c>
      <c r="BA498" s="808">
        <f t="shared" ref="BA498" si="777">IF(BA497=0,AZ498*(IF(AZ496=0,1,BA496/AZ496)),AZ498+BA497)</f>
        <v>0.2</v>
      </c>
    </row>
    <row r="499" spans="19:53" ht="20.100000000000001" customHeight="1">
      <c r="S499" s="864" t="s">
        <v>637</v>
      </c>
      <c r="T499" s="860"/>
      <c r="U499" s="860"/>
      <c r="V499" s="860"/>
      <c r="W499" s="860"/>
      <c r="X499" s="180">
        <f t="shared" ref="X499:BA499" si="778">X58</f>
        <v>0.22152098217613855</v>
      </c>
      <c r="Y499" s="180">
        <f t="shared" si="778"/>
        <v>0.22152098217613855</v>
      </c>
      <c r="Z499" s="180">
        <f t="shared" si="778"/>
        <v>0.22152098217613855</v>
      </c>
      <c r="AA499" s="180">
        <f t="shared" si="778"/>
        <v>0.22152098217613855</v>
      </c>
      <c r="AB499" s="180">
        <f t="shared" si="778"/>
        <v>0.22152098217613855</v>
      </c>
      <c r="AC499" s="180">
        <f t="shared" si="778"/>
        <v>0.22152098217613855</v>
      </c>
      <c r="AD499" s="180">
        <f t="shared" si="778"/>
        <v>0.22152098217613855</v>
      </c>
      <c r="AE499" s="180">
        <f t="shared" si="778"/>
        <v>0.22152098217613855</v>
      </c>
      <c r="AF499" s="180">
        <f t="shared" si="778"/>
        <v>0.22152098217613855</v>
      </c>
      <c r="AG499" s="180">
        <f t="shared" si="778"/>
        <v>0.22152098217613855</v>
      </c>
      <c r="AH499" s="180">
        <f t="shared" si="778"/>
        <v>0.22152098217613855</v>
      </c>
      <c r="AI499" s="180">
        <f t="shared" si="778"/>
        <v>0.22152098217613855</v>
      </c>
      <c r="AJ499" s="180">
        <f t="shared" si="778"/>
        <v>0.22152098217613855</v>
      </c>
      <c r="AK499" s="180">
        <f t="shared" si="778"/>
        <v>0.22152098217613855</v>
      </c>
      <c r="AL499" s="180">
        <f t="shared" si="778"/>
        <v>0.22152098217613855</v>
      </c>
      <c r="AM499" s="180">
        <f t="shared" si="778"/>
        <v>0.22152098217613855</v>
      </c>
      <c r="AN499" s="180">
        <f t="shared" si="778"/>
        <v>0.22152098217613855</v>
      </c>
      <c r="AO499" s="180">
        <f t="shared" si="778"/>
        <v>0.22152098217613855</v>
      </c>
      <c r="AP499" s="180">
        <f t="shared" si="778"/>
        <v>0.22152098217613855</v>
      </c>
      <c r="AQ499" s="180">
        <f t="shared" si="778"/>
        <v>0.22152098217613855</v>
      </c>
      <c r="AR499" s="180">
        <f t="shared" si="778"/>
        <v>0.22152098217613855</v>
      </c>
      <c r="AS499" s="180">
        <f t="shared" si="778"/>
        <v>0.22152098217613855</v>
      </c>
      <c r="AT499" s="180">
        <f t="shared" si="778"/>
        <v>0.22152098217613855</v>
      </c>
      <c r="AU499" s="180">
        <f t="shared" si="778"/>
        <v>0.22152098217613855</v>
      </c>
      <c r="AV499" s="180">
        <f t="shared" si="778"/>
        <v>0.22152098217613855</v>
      </c>
      <c r="AW499" s="180">
        <f t="shared" si="778"/>
        <v>0.22152098217613855</v>
      </c>
      <c r="AX499" s="180">
        <f t="shared" si="778"/>
        <v>0.22152098217613855</v>
      </c>
      <c r="AY499" s="180">
        <f t="shared" si="778"/>
        <v>0.22152098217613855</v>
      </c>
      <c r="AZ499" s="180">
        <f t="shared" si="778"/>
        <v>0.22152098217613855</v>
      </c>
      <c r="BA499" s="865">
        <f t="shared" si="778"/>
        <v>0.22152098217613855</v>
      </c>
    </row>
    <row r="500" spans="19:53" ht="20.100000000000001" customHeight="1">
      <c r="S500" s="866" t="s">
        <v>2690</v>
      </c>
      <c r="T500" s="860"/>
      <c r="U500" s="860"/>
      <c r="V500" s="860"/>
      <c r="W500" s="860"/>
      <c r="X500" s="180">
        <f>IF(AND(X492&gt;(2020+TRANSPORT!$F$220),X492&lt;(2022+$G$220)),(TRANSPORT!$G$205-INDEX(TRANSPORT!$Y$499:$BA$499,1,($F$220-1)))/($G$220-$F$220+1),0)</f>
        <v>0</v>
      </c>
      <c r="Y500" s="180">
        <f>IF(AND(Y492&gt;(2020+TRANSPORT!$F$220),Y492&lt;(2022+$G$220)),(TRANSPORT!$G$205-INDEX(TRANSPORT!$Y$499:$BA$499,1,($F$220-1)))/($G$220-$F$220+1),0)</f>
        <v>1.2696197544559653</v>
      </c>
      <c r="Z500" s="180">
        <f>IF(AND(Z492&gt;(2020+TRANSPORT!$F$220),Z492&lt;(2022+$G$220)),(TRANSPORT!$G$205-INDEX(TRANSPORT!$Y$499:$BA$499,1,($F$220-1)))/($G$220-$F$220+1),0)</f>
        <v>1.2696197544559653</v>
      </c>
      <c r="AA500" s="180">
        <f>IF(AND(AA492&gt;(2020+TRANSPORT!$F$220),AA492&lt;(2022+$G$220)),(TRANSPORT!$G$205-INDEX(TRANSPORT!$Y$499:$BA$499,1,($F$220-1)))/($G$220-$F$220+1),0)</f>
        <v>1.2696197544559653</v>
      </c>
      <c r="AB500" s="180">
        <f>IF(AND(AB492&gt;(2020+TRANSPORT!$F$220),AB492&lt;(2022+$G$220)),(TRANSPORT!$G$205-INDEX(TRANSPORT!$Y$499:$BA$499,1,($F$220-1)))/($G$220-$F$220+1),0)</f>
        <v>1.2696197544559653</v>
      </c>
      <c r="AC500" s="180">
        <f>IF(AND(AC492&gt;(2020+TRANSPORT!$F$220),AC492&lt;(2022+$G$220)),(TRANSPORT!$G$205-INDEX(TRANSPORT!$Y$499:$BA$499,1,($F$220-1)))/($G$220-$F$220+1),0)</f>
        <v>0</v>
      </c>
      <c r="AD500" s="180">
        <f>IF(AND(AD492&gt;(2020+TRANSPORT!$F$220),AD492&lt;(2022+$G$220)),(TRANSPORT!$G$205-INDEX(TRANSPORT!$Y$499:$BA$499,1,($F$220-1)))/($G$220-$F$220+1),0)</f>
        <v>0</v>
      </c>
      <c r="AE500" s="180">
        <f>IF(AND(AE492&gt;(2020+TRANSPORT!$F$220),AE492&lt;(2022+$G$220)),(TRANSPORT!$G$205-INDEX(TRANSPORT!$Y$499:$BA$499,1,($F$220-1)))/($G$220-$F$220+1),0)</f>
        <v>0</v>
      </c>
      <c r="AF500" s="180">
        <f>IF(AND(AF492&gt;(2020+TRANSPORT!$F$220),AF492&lt;(2022+$G$220)),(TRANSPORT!$G$205-INDEX(TRANSPORT!$Y$499:$BA$499,1,($F$220-1)))/($G$220-$F$220+1),0)</f>
        <v>0</v>
      </c>
      <c r="AG500" s="180">
        <f>IF(AND(AG492&gt;(2020+TRANSPORT!$F$220),AG492&lt;(2022+$G$220)),(TRANSPORT!$G$205-INDEX(TRANSPORT!$Y$499:$BA$499,1,($F$220-1)))/($G$220-$F$220+1),0)</f>
        <v>0</v>
      </c>
      <c r="AH500" s="180">
        <f>IF(AND(AH492&gt;(2020+TRANSPORT!$F$220),AH492&lt;(2022+$G$220)),(TRANSPORT!$G$205-INDEX(TRANSPORT!$Y$499:$BA$499,1,($F$220-1)))/($G$220-$F$220+1),0)</f>
        <v>0</v>
      </c>
      <c r="AI500" s="180">
        <f>IF(AND(AI492&gt;(2020+TRANSPORT!$F$220),AI492&lt;(2022+$G$220)),(TRANSPORT!$G$205-INDEX(TRANSPORT!$Y$499:$BA$499,1,($F$220-1)))/($G$220-$F$220+1),0)</f>
        <v>0</v>
      </c>
      <c r="AJ500" s="180">
        <f>IF(AND(AJ492&gt;(2020+TRANSPORT!$F$220),AJ492&lt;(2022+$G$220)),(TRANSPORT!$G$205-INDEX(TRANSPORT!$Y$499:$BA$499,1,($F$220-1)))/($G$220-$F$220+1),0)</f>
        <v>0</v>
      </c>
      <c r="AK500" s="180">
        <f>IF(AND(AK492&gt;(2020+TRANSPORT!$F$220),AK492&lt;(2022+$G$220)),(TRANSPORT!$G$205-INDEX(TRANSPORT!$Y$499:$BA$499,1,($F$220-1)))/($G$220-$F$220+1),0)</f>
        <v>0</v>
      </c>
      <c r="AL500" s="180">
        <f>IF(AND(AL492&gt;(2020+TRANSPORT!$F$220),AL492&lt;(2022+$G$220)),(TRANSPORT!$G$205-INDEX(TRANSPORT!$Y$499:$BA$499,1,($F$220-1)))/($G$220-$F$220+1),0)</f>
        <v>0</v>
      </c>
      <c r="AM500" s="180">
        <f>IF(AND(AM492&gt;(2020+TRANSPORT!$F$220),AM492&lt;(2022+$G$220)),(TRANSPORT!$G$205-INDEX(TRANSPORT!$Y$499:$BA$499,1,($F$220-1)))/($G$220-$F$220+1),0)</f>
        <v>0</v>
      </c>
      <c r="AN500" s="180">
        <f>IF(AND(AN492&gt;(2020+TRANSPORT!$F$220),AN492&lt;(2022+$G$220)),(TRANSPORT!$G$205-INDEX(TRANSPORT!$Y$499:$BA$499,1,($F$220-1)))/($G$220-$F$220+1),0)</f>
        <v>0</v>
      </c>
      <c r="AO500" s="180">
        <f>IF(AND(AO492&gt;(2020+TRANSPORT!$F$220),AO492&lt;(2022+$G$220)),(TRANSPORT!$G$205-INDEX(TRANSPORT!$Y$499:$BA$499,1,($F$220-1)))/($G$220-$F$220+1),0)</f>
        <v>0</v>
      </c>
      <c r="AP500" s="180">
        <f>IF(AND(AP492&gt;(2020+TRANSPORT!$F$220),AP492&lt;(2022+$G$220)),(TRANSPORT!$G$205-INDEX(TRANSPORT!$Y$499:$BA$499,1,($F$220-1)))/($G$220-$F$220+1),0)</f>
        <v>0</v>
      </c>
      <c r="AQ500" s="180">
        <f>IF(AND(AQ492&gt;(2020+TRANSPORT!$F$220),AQ492&lt;(2022+$G$220)),(TRANSPORT!$G$205-INDEX(TRANSPORT!$Y$499:$BA$499,1,($F$220-1)))/($G$220-$F$220+1),0)</f>
        <v>0</v>
      </c>
      <c r="AR500" s="180">
        <f>IF(AND(AR492&gt;(2020+TRANSPORT!$F$220),AR492&lt;(2022+$G$220)),(TRANSPORT!$G$205-INDEX(TRANSPORT!$Y$499:$BA$499,1,($F$220-1)))/($G$220-$F$220+1),0)</f>
        <v>0</v>
      </c>
      <c r="AS500" s="180">
        <f>IF(AND(AS492&gt;(2020+TRANSPORT!$F$220),AS492&lt;(2022+$G$220)),(TRANSPORT!$G$205-INDEX(TRANSPORT!$Y$499:$BA$499,1,($F$220-1)))/($G$220-$F$220+1),0)</f>
        <v>0</v>
      </c>
      <c r="AT500" s="180">
        <f>IF(AND(AT492&gt;(2020+TRANSPORT!$F$220),AT492&lt;(2022+$G$220)),(TRANSPORT!$G$205-INDEX(TRANSPORT!$Y$499:$BA$499,1,($F$220-1)))/($G$220-$F$220+1),0)</f>
        <v>0</v>
      </c>
      <c r="AU500" s="180">
        <f>IF(AND(AU492&gt;(2020+TRANSPORT!$F$220),AU492&lt;(2022+$G$220)),(TRANSPORT!$G$205-INDEX(TRANSPORT!$Y$499:$BA$499,1,($F$220-1)))/($G$220-$F$220+1),0)</f>
        <v>0</v>
      </c>
      <c r="AV500" s="180">
        <f>IF(AND(AV492&gt;(2020+TRANSPORT!$F$220),AV492&lt;(2022+$G$220)),(TRANSPORT!$G$205-INDEX(TRANSPORT!$Y$499:$BA$499,1,($F$220-1)))/($G$220-$F$220+1),0)</f>
        <v>0</v>
      </c>
      <c r="AW500" s="180">
        <f>IF(AND(AW492&gt;(2020+TRANSPORT!$F$220),AW492&lt;(2022+$G$220)),(TRANSPORT!$G$205-INDEX(TRANSPORT!$Y$499:$BA$499,1,($F$220-1)))/($G$220-$F$220+1),0)</f>
        <v>0</v>
      </c>
      <c r="AX500" s="180">
        <f>IF(AND(AX492&gt;(2020+TRANSPORT!$F$220),AX492&lt;(2022+$G$220)),(TRANSPORT!$G$205-INDEX(TRANSPORT!$Y$499:$BA$499,1,($F$220-1)))/($G$220-$F$220+1),0)</f>
        <v>0</v>
      </c>
      <c r="AY500" s="180">
        <f>IF(AND(AY492&gt;(2020+TRANSPORT!$F$220),AY492&lt;(2022+$G$220)),(TRANSPORT!$G$205-INDEX(TRANSPORT!$Y$499:$BA$499,1,($F$220-1)))/($G$220-$F$220+1),0)</f>
        <v>0</v>
      </c>
      <c r="AZ500" s="180">
        <f>IF(AND(AZ492&gt;(2020+TRANSPORT!$F$220),AZ492&lt;(2022+$G$220)),(TRANSPORT!$G$205-INDEX(TRANSPORT!$Y$499:$BA$499,1,($F$220-1)))/($G$220-$F$220+1),0)</f>
        <v>0</v>
      </c>
      <c r="BA500" s="865">
        <f>IF(AND(BA492&gt;(2020+TRANSPORT!$F$220),BA492&lt;(2022+$G$220)),(TRANSPORT!$G$205-INDEX(TRANSPORT!$Y$499:$BA$499,1,($F$220-1)))/($G$220-$F$220+1),0)</f>
        <v>0</v>
      </c>
    </row>
    <row r="501" spans="19:53" ht="20.100000000000001" customHeight="1">
      <c r="S501" s="871" t="s">
        <v>2731</v>
      </c>
      <c r="T501" s="868" t="s">
        <v>2730</v>
      </c>
      <c r="U501" s="860"/>
      <c r="V501" s="860"/>
      <c r="W501" s="860"/>
      <c r="X501" s="869">
        <f>SUM(X499:X500)</f>
        <v>0.22152098217613855</v>
      </c>
      <c r="Y501" s="869">
        <f>IF(Y500=0,X501*(IF(X499=0,1,Y499/X499)),X501+Y500)</f>
        <v>1.4911407366321039</v>
      </c>
      <c r="Z501" s="869">
        <f t="shared" ref="Z501:BA501" si="779">IF(Z500=0,Y501*(IF(Y499=0,1,Z499/Y499)),Y501+Z500)</f>
        <v>2.7607604910880692</v>
      </c>
      <c r="AA501" s="869">
        <f t="shared" si="779"/>
        <v>4.0303802455440341</v>
      </c>
      <c r="AB501" s="869">
        <f t="shared" si="779"/>
        <v>5.2999999999999989</v>
      </c>
      <c r="AC501" s="869">
        <f t="shared" si="779"/>
        <v>5.2999999999999989</v>
      </c>
      <c r="AD501" s="869">
        <f t="shared" si="779"/>
        <v>5.2999999999999989</v>
      </c>
      <c r="AE501" s="869">
        <f t="shared" si="779"/>
        <v>5.2999999999999989</v>
      </c>
      <c r="AF501" s="869">
        <f t="shared" si="779"/>
        <v>5.2999999999999989</v>
      </c>
      <c r="AG501" s="869">
        <f t="shared" si="779"/>
        <v>5.2999999999999989</v>
      </c>
      <c r="AH501" s="869">
        <f t="shared" si="779"/>
        <v>5.2999999999999989</v>
      </c>
      <c r="AI501" s="869">
        <f t="shared" si="779"/>
        <v>5.2999999999999989</v>
      </c>
      <c r="AJ501" s="869">
        <f t="shared" si="779"/>
        <v>5.2999999999999989</v>
      </c>
      <c r="AK501" s="869">
        <f t="shared" si="779"/>
        <v>5.2999999999999989</v>
      </c>
      <c r="AL501" s="869">
        <f t="shared" si="779"/>
        <v>5.2999999999999989</v>
      </c>
      <c r="AM501" s="869">
        <f t="shared" si="779"/>
        <v>5.2999999999999989</v>
      </c>
      <c r="AN501" s="869">
        <f t="shared" si="779"/>
        <v>5.2999999999999989</v>
      </c>
      <c r="AO501" s="869">
        <f t="shared" si="779"/>
        <v>5.2999999999999989</v>
      </c>
      <c r="AP501" s="869">
        <f t="shared" si="779"/>
        <v>5.2999999999999989</v>
      </c>
      <c r="AQ501" s="869">
        <f t="shared" si="779"/>
        <v>5.2999999999999989</v>
      </c>
      <c r="AR501" s="869">
        <f t="shared" si="779"/>
        <v>5.2999999999999989</v>
      </c>
      <c r="AS501" s="869">
        <f t="shared" si="779"/>
        <v>5.2999999999999989</v>
      </c>
      <c r="AT501" s="869">
        <f t="shared" si="779"/>
        <v>5.2999999999999989</v>
      </c>
      <c r="AU501" s="869">
        <f t="shared" si="779"/>
        <v>5.2999999999999989</v>
      </c>
      <c r="AV501" s="869">
        <f t="shared" si="779"/>
        <v>5.2999999999999989</v>
      </c>
      <c r="AW501" s="869">
        <f t="shared" si="779"/>
        <v>5.2999999999999989</v>
      </c>
      <c r="AX501" s="869">
        <f t="shared" si="779"/>
        <v>5.2999999999999989</v>
      </c>
      <c r="AY501" s="869">
        <f t="shared" si="779"/>
        <v>5.2999999999999989</v>
      </c>
      <c r="AZ501" s="869">
        <f t="shared" si="779"/>
        <v>5.2999999999999989</v>
      </c>
      <c r="BA501" s="870">
        <f t="shared" si="779"/>
        <v>5.2999999999999989</v>
      </c>
    </row>
    <row r="502" spans="19:53" ht="20.100000000000001" customHeight="1">
      <c r="S502" s="542" t="s">
        <v>623</v>
      </c>
      <c r="T502" s="131"/>
      <c r="U502" s="131"/>
      <c r="V502" s="131"/>
      <c r="W502" s="131"/>
      <c r="X502" s="123">
        <f t="shared" ref="X502:BA502" si="780">X59</f>
        <v>52.250412545410221</v>
      </c>
      <c r="Y502" s="123">
        <f t="shared" si="780"/>
        <v>52.250412545410214</v>
      </c>
      <c r="Z502" s="123">
        <f t="shared" si="780"/>
        <v>52.250412545410214</v>
      </c>
      <c r="AA502" s="123">
        <f t="shared" si="780"/>
        <v>52.250412545410214</v>
      </c>
      <c r="AB502" s="123">
        <f t="shared" si="780"/>
        <v>52.250412545410214</v>
      </c>
      <c r="AC502" s="123">
        <f t="shared" si="780"/>
        <v>52.250412545410214</v>
      </c>
      <c r="AD502" s="123">
        <f t="shared" si="780"/>
        <v>52.250412545410214</v>
      </c>
      <c r="AE502" s="123">
        <f t="shared" si="780"/>
        <v>52.250412545410214</v>
      </c>
      <c r="AF502" s="123">
        <f t="shared" si="780"/>
        <v>52.250412545410214</v>
      </c>
      <c r="AG502" s="123">
        <f t="shared" si="780"/>
        <v>52.250412545410214</v>
      </c>
      <c r="AH502" s="123">
        <f t="shared" si="780"/>
        <v>52.250412545410214</v>
      </c>
      <c r="AI502" s="123">
        <f t="shared" si="780"/>
        <v>52.250412545410214</v>
      </c>
      <c r="AJ502" s="123">
        <f t="shared" si="780"/>
        <v>52.250412545410214</v>
      </c>
      <c r="AK502" s="123">
        <f t="shared" si="780"/>
        <v>52.250412545410214</v>
      </c>
      <c r="AL502" s="123">
        <f t="shared" si="780"/>
        <v>52.250412545410214</v>
      </c>
      <c r="AM502" s="123">
        <f t="shared" si="780"/>
        <v>52.250412545410214</v>
      </c>
      <c r="AN502" s="123">
        <f t="shared" si="780"/>
        <v>52.250412545410214</v>
      </c>
      <c r="AO502" s="123">
        <f t="shared" si="780"/>
        <v>52.250412545410214</v>
      </c>
      <c r="AP502" s="123">
        <f t="shared" si="780"/>
        <v>52.250412545410214</v>
      </c>
      <c r="AQ502" s="123">
        <f t="shared" si="780"/>
        <v>52.250412545410214</v>
      </c>
      <c r="AR502" s="123">
        <f t="shared" si="780"/>
        <v>52.250412545410214</v>
      </c>
      <c r="AS502" s="123">
        <f t="shared" si="780"/>
        <v>52.250412545410214</v>
      </c>
      <c r="AT502" s="123">
        <f t="shared" si="780"/>
        <v>52.250412545410214</v>
      </c>
      <c r="AU502" s="123">
        <f t="shared" si="780"/>
        <v>52.250412545410214</v>
      </c>
      <c r="AV502" s="123">
        <f t="shared" si="780"/>
        <v>52.250412545410214</v>
      </c>
      <c r="AW502" s="123">
        <f t="shared" si="780"/>
        <v>52.250412545410214</v>
      </c>
      <c r="AX502" s="123">
        <f t="shared" si="780"/>
        <v>52.250412545410214</v>
      </c>
      <c r="AY502" s="123">
        <f t="shared" si="780"/>
        <v>52.250412545410214</v>
      </c>
      <c r="AZ502" s="123">
        <f t="shared" si="780"/>
        <v>52.250412545410214</v>
      </c>
      <c r="BA502" s="159">
        <f t="shared" si="780"/>
        <v>52.250412545410214</v>
      </c>
    </row>
    <row r="503" spans="19:53" ht="20.100000000000001" customHeight="1">
      <c r="S503" s="863" t="s">
        <v>2732</v>
      </c>
      <c r="T503" s="392" t="s">
        <v>2730</v>
      </c>
      <c r="U503" s="131"/>
      <c r="V503" s="131"/>
      <c r="W503" s="131"/>
      <c r="X503" s="807">
        <f t="shared" ref="X503:BA503" si="781">(100-X495-X498-X501-X506-X509-X514-X517-X520-X523-X526-X529-X532-X535)*($X$502/($X$502+$X$510))</f>
        <v>52.250412545410214</v>
      </c>
      <c r="Y503" s="807">
        <f t="shared" si="781"/>
        <v>50.643760477581772</v>
      </c>
      <c r="Z503" s="807">
        <f t="shared" si="781"/>
        <v>49.037108409753351</v>
      </c>
      <c r="AA503" s="807">
        <f t="shared" si="781"/>
        <v>47.430456341924902</v>
      </c>
      <c r="AB503" s="807">
        <f t="shared" si="781"/>
        <v>45.823804274096489</v>
      </c>
      <c r="AC503" s="807">
        <f t="shared" si="781"/>
        <v>45.823804274096489</v>
      </c>
      <c r="AD503" s="807">
        <f t="shared" si="781"/>
        <v>45.823804274096489</v>
      </c>
      <c r="AE503" s="807">
        <f t="shared" si="781"/>
        <v>45.823804274096489</v>
      </c>
      <c r="AF503" s="807">
        <f t="shared" si="781"/>
        <v>45.823804274096489</v>
      </c>
      <c r="AG503" s="807">
        <f t="shared" si="781"/>
        <v>45.823804274096489</v>
      </c>
      <c r="AH503" s="807">
        <f t="shared" si="781"/>
        <v>45.823804274096489</v>
      </c>
      <c r="AI503" s="807">
        <f t="shared" si="781"/>
        <v>45.823804274096489</v>
      </c>
      <c r="AJ503" s="807">
        <f t="shared" si="781"/>
        <v>45.823804274096489</v>
      </c>
      <c r="AK503" s="807">
        <f t="shared" si="781"/>
        <v>45.823804274096489</v>
      </c>
      <c r="AL503" s="807">
        <f t="shared" si="781"/>
        <v>45.823804274096489</v>
      </c>
      <c r="AM503" s="807">
        <f t="shared" si="781"/>
        <v>45.823804274096489</v>
      </c>
      <c r="AN503" s="807">
        <f t="shared" si="781"/>
        <v>45.823804274096489</v>
      </c>
      <c r="AO503" s="807">
        <f t="shared" si="781"/>
        <v>45.823804274096489</v>
      </c>
      <c r="AP503" s="807">
        <f t="shared" si="781"/>
        <v>45.823804274096489</v>
      </c>
      <c r="AQ503" s="807">
        <f t="shared" si="781"/>
        <v>45.823804274096489</v>
      </c>
      <c r="AR503" s="807">
        <f t="shared" si="781"/>
        <v>45.823804274096489</v>
      </c>
      <c r="AS503" s="807">
        <f t="shared" si="781"/>
        <v>45.823804274096489</v>
      </c>
      <c r="AT503" s="807">
        <f t="shared" si="781"/>
        <v>45.823804274096489</v>
      </c>
      <c r="AU503" s="807">
        <f t="shared" si="781"/>
        <v>45.823804274096489</v>
      </c>
      <c r="AV503" s="807">
        <f t="shared" si="781"/>
        <v>45.823804274096489</v>
      </c>
      <c r="AW503" s="807">
        <f t="shared" si="781"/>
        <v>45.823804274096489</v>
      </c>
      <c r="AX503" s="807">
        <f t="shared" si="781"/>
        <v>45.823804274096489</v>
      </c>
      <c r="AY503" s="807">
        <f t="shared" si="781"/>
        <v>45.823804274096489</v>
      </c>
      <c r="AZ503" s="807">
        <f t="shared" si="781"/>
        <v>45.823804274096489</v>
      </c>
      <c r="BA503" s="808">
        <f t="shared" si="781"/>
        <v>45.823804274096489</v>
      </c>
    </row>
    <row r="504" spans="19:53" ht="20.100000000000001" customHeight="1">
      <c r="S504" s="864" t="s">
        <v>624</v>
      </c>
      <c r="T504" s="860"/>
      <c r="U504" s="860"/>
      <c r="V504" s="860"/>
      <c r="W504" s="860"/>
      <c r="X504" s="180">
        <f t="shared" ref="X504:BA504" si="782">X60</f>
        <v>0.33272762389099186</v>
      </c>
      <c r="Y504" s="180">
        <f t="shared" si="782"/>
        <v>0.33272762389099186</v>
      </c>
      <c r="Z504" s="180">
        <f t="shared" si="782"/>
        <v>0.33272762389099186</v>
      </c>
      <c r="AA504" s="180">
        <f t="shared" si="782"/>
        <v>0.33272762389099186</v>
      </c>
      <c r="AB504" s="180">
        <f t="shared" si="782"/>
        <v>0.33272762389099186</v>
      </c>
      <c r="AC504" s="180">
        <f t="shared" si="782"/>
        <v>0.33272762389099186</v>
      </c>
      <c r="AD504" s="180">
        <f t="shared" si="782"/>
        <v>0.33272762389099186</v>
      </c>
      <c r="AE504" s="180">
        <f t="shared" si="782"/>
        <v>0.33272762389099186</v>
      </c>
      <c r="AF504" s="180">
        <f t="shared" si="782"/>
        <v>0.33272762389099186</v>
      </c>
      <c r="AG504" s="180">
        <f t="shared" si="782"/>
        <v>0.33272762389099186</v>
      </c>
      <c r="AH504" s="180">
        <f t="shared" si="782"/>
        <v>0.33272762389099186</v>
      </c>
      <c r="AI504" s="180">
        <f t="shared" si="782"/>
        <v>0.33272762389099186</v>
      </c>
      <c r="AJ504" s="180">
        <f t="shared" si="782"/>
        <v>0.33272762389099186</v>
      </c>
      <c r="AK504" s="180">
        <f t="shared" si="782"/>
        <v>0.33272762389099186</v>
      </c>
      <c r="AL504" s="180">
        <f t="shared" si="782"/>
        <v>0.33272762389099186</v>
      </c>
      <c r="AM504" s="180">
        <f t="shared" si="782"/>
        <v>0.33272762389099186</v>
      </c>
      <c r="AN504" s="180">
        <f t="shared" si="782"/>
        <v>0.33272762389099186</v>
      </c>
      <c r="AO504" s="180">
        <f t="shared" si="782"/>
        <v>0.33272762389099186</v>
      </c>
      <c r="AP504" s="180">
        <f t="shared" si="782"/>
        <v>0.33272762389099186</v>
      </c>
      <c r="AQ504" s="180">
        <f t="shared" si="782"/>
        <v>0.33272762389099186</v>
      </c>
      <c r="AR504" s="180">
        <f t="shared" si="782"/>
        <v>0.33272762389099186</v>
      </c>
      <c r="AS504" s="180">
        <f t="shared" si="782"/>
        <v>0.33272762389099186</v>
      </c>
      <c r="AT504" s="180">
        <f t="shared" si="782"/>
        <v>0.33272762389099186</v>
      </c>
      <c r="AU504" s="180">
        <f t="shared" si="782"/>
        <v>0.33272762389099186</v>
      </c>
      <c r="AV504" s="180">
        <f t="shared" si="782"/>
        <v>0.33272762389099186</v>
      </c>
      <c r="AW504" s="180">
        <f t="shared" si="782"/>
        <v>0.33272762389099186</v>
      </c>
      <c r="AX504" s="180">
        <f t="shared" si="782"/>
        <v>0.33272762389099186</v>
      </c>
      <c r="AY504" s="180">
        <f t="shared" si="782"/>
        <v>0.33272762389099186</v>
      </c>
      <c r="AZ504" s="180">
        <f t="shared" si="782"/>
        <v>0.33272762389099186</v>
      </c>
      <c r="BA504" s="865">
        <f t="shared" si="782"/>
        <v>0.33272762389099186</v>
      </c>
    </row>
    <row r="505" spans="19:53" ht="20.100000000000001" customHeight="1">
      <c r="S505" s="864" t="s">
        <v>2690</v>
      </c>
      <c r="T505" s="860"/>
      <c r="U505" s="860"/>
      <c r="V505" s="860"/>
      <c r="W505" s="860"/>
      <c r="X505" s="180">
        <f>IF(AND(X492&gt;(2020+TRANSPORT!$F$220),X492&lt;(2022+$G$220)),(TRANSPORT!$G$206-INDEX(TRANSPORT!$Y$504:$BA$504,1,($F$220-1)))/($G$220-$F$220+1),0)</f>
        <v>0</v>
      </c>
      <c r="Y505" s="180">
        <f>IF(AND(Y492&gt;(2020+TRANSPORT!$F$220),Y492&lt;(2022+$G$220)),(TRANSPORT!$G$206-INDEX(TRANSPORT!$Y$504:$BA$504,1,($F$220-1)))/($G$220-$F$220+1),0)</f>
        <v>0.46681809402725205</v>
      </c>
      <c r="Z505" s="180">
        <f>IF(AND(Z492&gt;(2020+TRANSPORT!$F$220),Z492&lt;(2022+$G$220)),(TRANSPORT!$G$206-INDEX(TRANSPORT!$Y$504:$BA$504,1,($F$220-1)))/($G$220-$F$220+1),0)</f>
        <v>0.46681809402725205</v>
      </c>
      <c r="AA505" s="180">
        <f>IF(AND(AA492&gt;(2020+TRANSPORT!$F$220),AA492&lt;(2022+$G$220)),(TRANSPORT!$G$206-INDEX(TRANSPORT!$Y$504:$BA$504,1,($F$220-1)))/($G$220-$F$220+1),0)</f>
        <v>0.46681809402725205</v>
      </c>
      <c r="AB505" s="180">
        <f>IF(AND(AB492&gt;(2020+TRANSPORT!$F$220),AB492&lt;(2022+$G$220)),(TRANSPORT!$G$206-INDEX(TRANSPORT!$Y$504:$BA$504,1,($F$220-1)))/($G$220-$F$220+1),0)</f>
        <v>0.46681809402725205</v>
      </c>
      <c r="AC505" s="180">
        <f>IF(AND(AC492&gt;(2020+TRANSPORT!$F$220),AC492&lt;(2022+$G$220)),(TRANSPORT!$G$206-INDEX(TRANSPORT!$Y$504:$BA$504,1,($F$220-1)))/($G$220-$F$220+1),0)</f>
        <v>0</v>
      </c>
      <c r="AD505" s="180">
        <f>IF(AND(AD492&gt;(2020+TRANSPORT!$F$220),AD492&lt;(2022+$G$220)),(TRANSPORT!$G$206-INDEX(TRANSPORT!$Y$504:$BA$504,1,($F$220-1)))/($G$220-$F$220+1),0)</f>
        <v>0</v>
      </c>
      <c r="AE505" s="180">
        <f>IF(AND(AE492&gt;(2020+TRANSPORT!$F$220),AE492&lt;(2022+$G$220)),(TRANSPORT!$G$206-INDEX(TRANSPORT!$Y$504:$BA$504,1,($F$220-1)))/($G$220-$F$220+1),0)</f>
        <v>0</v>
      </c>
      <c r="AF505" s="180">
        <f>IF(AND(AF492&gt;(2020+TRANSPORT!$F$220),AF492&lt;(2022+$G$220)),(TRANSPORT!$G$206-INDEX(TRANSPORT!$Y$504:$BA$504,1,($F$220-1)))/($G$220-$F$220+1),0)</f>
        <v>0</v>
      </c>
      <c r="AG505" s="180">
        <f>IF(AND(AG492&gt;(2020+TRANSPORT!$F$220),AG492&lt;(2022+$G$220)),(TRANSPORT!$G$206-INDEX(TRANSPORT!$Y$504:$BA$504,1,($F$220-1)))/($G$220-$F$220+1),0)</f>
        <v>0</v>
      </c>
      <c r="AH505" s="180">
        <f>IF(AND(AH492&gt;(2020+TRANSPORT!$F$220),AH492&lt;(2022+$G$220)),(TRANSPORT!$G$206-INDEX(TRANSPORT!$Y$504:$BA$504,1,($F$220-1)))/($G$220-$F$220+1),0)</f>
        <v>0</v>
      </c>
      <c r="AI505" s="180">
        <f>IF(AND(AI492&gt;(2020+TRANSPORT!$F$220),AI492&lt;(2022+$G$220)),(TRANSPORT!$G$206-INDEX(TRANSPORT!$Y$504:$BA$504,1,($F$220-1)))/($G$220-$F$220+1),0)</f>
        <v>0</v>
      </c>
      <c r="AJ505" s="180">
        <f>IF(AND(AJ492&gt;(2020+TRANSPORT!$F$220),AJ492&lt;(2022+$G$220)),(TRANSPORT!$G$206-INDEX(TRANSPORT!$Y$504:$BA$504,1,($F$220-1)))/($G$220-$F$220+1),0)</f>
        <v>0</v>
      </c>
      <c r="AK505" s="180">
        <f>IF(AND(AK492&gt;(2020+TRANSPORT!$F$220),AK492&lt;(2022+$G$220)),(TRANSPORT!$G$206-INDEX(TRANSPORT!$Y$504:$BA$504,1,($F$220-1)))/($G$220-$F$220+1),0)</f>
        <v>0</v>
      </c>
      <c r="AL505" s="180">
        <f>IF(AND(AL492&gt;(2020+TRANSPORT!$F$220),AL492&lt;(2022+$G$220)),(TRANSPORT!$G$206-INDEX(TRANSPORT!$Y$504:$BA$504,1,($F$220-1)))/($G$220-$F$220+1),0)</f>
        <v>0</v>
      </c>
      <c r="AM505" s="180">
        <f>IF(AND(AM492&gt;(2020+TRANSPORT!$F$220),AM492&lt;(2022+$G$220)),(TRANSPORT!$G$206-INDEX(TRANSPORT!$Y$504:$BA$504,1,($F$220-1)))/($G$220-$F$220+1),0)</f>
        <v>0</v>
      </c>
      <c r="AN505" s="180">
        <f>IF(AND(AN492&gt;(2020+TRANSPORT!$F$220),AN492&lt;(2022+$G$220)),(TRANSPORT!$G$206-INDEX(TRANSPORT!$Y$504:$BA$504,1,($F$220-1)))/($G$220-$F$220+1),0)</f>
        <v>0</v>
      </c>
      <c r="AO505" s="180">
        <f>IF(AND(AO492&gt;(2020+TRANSPORT!$F$220),AO492&lt;(2022+$G$220)),(TRANSPORT!$G$206-INDEX(TRANSPORT!$Y$504:$BA$504,1,($F$220-1)))/($G$220-$F$220+1),0)</f>
        <v>0</v>
      </c>
      <c r="AP505" s="180">
        <f>IF(AND(AP492&gt;(2020+TRANSPORT!$F$220),AP492&lt;(2022+$G$220)),(TRANSPORT!$G$206-INDEX(TRANSPORT!$Y$504:$BA$504,1,($F$220-1)))/($G$220-$F$220+1),0)</f>
        <v>0</v>
      </c>
      <c r="AQ505" s="180">
        <f>IF(AND(AQ492&gt;(2020+TRANSPORT!$F$220),AQ492&lt;(2022+$G$220)),(TRANSPORT!$G$206-INDEX(TRANSPORT!$Y$504:$BA$504,1,($F$220-1)))/($G$220-$F$220+1),0)</f>
        <v>0</v>
      </c>
      <c r="AR505" s="180">
        <f>IF(AND(AR492&gt;(2020+TRANSPORT!$F$220),AR492&lt;(2022+$G$220)),(TRANSPORT!$G$206-INDEX(TRANSPORT!$Y$504:$BA$504,1,($F$220-1)))/($G$220-$F$220+1),0)</f>
        <v>0</v>
      </c>
      <c r="AS505" s="180">
        <f>IF(AND(AS492&gt;(2020+TRANSPORT!$F$220),AS492&lt;(2022+$G$220)),(TRANSPORT!$G$206-INDEX(TRANSPORT!$Y$504:$BA$504,1,($F$220-1)))/($G$220-$F$220+1),0)</f>
        <v>0</v>
      </c>
      <c r="AT505" s="180">
        <f>IF(AND(AT492&gt;(2020+TRANSPORT!$F$220),AT492&lt;(2022+$G$220)),(TRANSPORT!$G$206-INDEX(TRANSPORT!$Y$504:$BA$504,1,($F$220-1)))/($G$220-$F$220+1),0)</f>
        <v>0</v>
      </c>
      <c r="AU505" s="180">
        <f>IF(AND(AU492&gt;(2020+TRANSPORT!$F$220),AU492&lt;(2022+$G$220)),(TRANSPORT!$G$206-INDEX(TRANSPORT!$Y$504:$BA$504,1,($F$220-1)))/($G$220-$F$220+1),0)</f>
        <v>0</v>
      </c>
      <c r="AV505" s="180">
        <f>IF(AND(AV492&gt;(2020+TRANSPORT!$F$220),AV492&lt;(2022+$G$220)),(TRANSPORT!$G$206-INDEX(TRANSPORT!$Y$504:$BA$504,1,($F$220-1)))/($G$220-$F$220+1),0)</f>
        <v>0</v>
      </c>
      <c r="AW505" s="180">
        <f>IF(AND(AW492&gt;(2020+TRANSPORT!$F$220),AW492&lt;(2022+$G$220)),(TRANSPORT!$G$206-INDEX(TRANSPORT!$Y$504:$BA$504,1,($F$220-1)))/($G$220-$F$220+1),0)</f>
        <v>0</v>
      </c>
      <c r="AX505" s="180">
        <f>IF(AND(AX492&gt;(2020+TRANSPORT!$F$220),AX492&lt;(2022+$G$220)),(TRANSPORT!$G$206-INDEX(TRANSPORT!$Y$504:$BA$504,1,($F$220-1)))/($G$220-$F$220+1),0)</f>
        <v>0</v>
      </c>
      <c r="AY505" s="180">
        <f>IF(AND(AY492&gt;(2020+TRANSPORT!$F$220),AY492&lt;(2022+$G$220)),(TRANSPORT!$G$206-INDEX(TRANSPORT!$Y$504:$BA$504,1,($F$220-1)))/($G$220-$F$220+1),0)</f>
        <v>0</v>
      </c>
      <c r="AZ505" s="180">
        <f>IF(AND(AZ492&gt;(2020+TRANSPORT!$F$220),AZ492&lt;(2022+$G$220)),(TRANSPORT!$G$206-INDEX(TRANSPORT!$Y$504:$BA$504,1,($F$220-1)))/($G$220-$F$220+1),0)</f>
        <v>0</v>
      </c>
      <c r="BA505" s="865">
        <f>IF(AND(BA492&gt;(2020+TRANSPORT!$F$220),BA492&lt;(2022+$G$220)),(TRANSPORT!$G$206-INDEX(TRANSPORT!$Y$504:$BA$504,1,($F$220-1)))/($G$220-$F$220+1),0)</f>
        <v>0</v>
      </c>
    </row>
    <row r="506" spans="19:53" ht="20.100000000000001" customHeight="1">
      <c r="S506" s="871" t="s">
        <v>2733</v>
      </c>
      <c r="T506" s="868" t="s">
        <v>2730</v>
      </c>
      <c r="U506" s="860"/>
      <c r="V506" s="860"/>
      <c r="W506" s="860"/>
      <c r="X506" s="869">
        <f>SUM(X504:X505)</f>
        <v>0.33272762389099186</v>
      </c>
      <c r="Y506" s="869">
        <f>IF(Y505=0,X506*(IF(X504=0,1,Y504/X504)),X506+Y505)</f>
        <v>0.79954571791824391</v>
      </c>
      <c r="Z506" s="869">
        <f t="shared" ref="Z506:BA506" si="783">IF(Z505=0,Y506*(IF(Y504=0,1,Z504/Y504)),Y506+Z505)</f>
        <v>1.2663638119454959</v>
      </c>
      <c r="AA506" s="869">
        <f t="shared" si="783"/>
        <v>1.733181905972748</v>
      </c>
      <c r="AB506" s="869">
        <f t="shared" si="783"/>
        <v>2.2000000000000002</v>
      </c>
      <c r="AC506" s="869">
        <f t="shared" si="783"/>
        <v>2.2000000000000002</v>
      </c>
      <c r="AD506" s="869">
        <f t="shared" si="783"/>
        <v>2.2000000000000002</v>
      </c>
      <c r="AE506" s="869">
        <f t="shared" si="783"/>
        <v>2.2000000000000002</v>
      </c>
      <c r="AF506" s="869">
        <f t="shared" si="783"/>
        <v>2.2000000000000002</v>
      </c>
      <c r="AG506" s="869">
        <f t="shared" si="783"/>
        <v>2.2000000000000002</v>
      </c>
      <c r="AH506" s="869">
        <f t="shared" si="783"/>
        <v>2.2000000000000002</v>
      </c>
      <c r="AI506" s="869">
        <f t="shared" si="783"/>
        <v>2.2000000000000002</v>
      </c>
      <c r="AJ506" s="869">
        <f t="shared" si="783"/>
        <v>2.2000000000000002</v>
      </c>
      <c r="AK506" s="869">
        <f t="shared" si="783"/>
        <v>2.2000000000000002</v>
      </c>
      <c r="AL506" s="869">
        <f t="shared" si="783"/>
        <v>2.2000000000000002</v>
      </c>
      <c r="AM506" s="869">
        <f t="shared" si="783"/>
        <v>2.2000000000000002</v>
      </c>
      <c r="AN506" s="869">
        <f t="shared" si="783"/>
        <v>2.2000000000000002</v>
      </c>
      <c r="AO506" s="869">
        <f t="shared" si="783"/>
        <v>2.2000000000000002</v>
      </c>
      <c r="AP506" s="869">
        <f t="shared" si="783"/>
        <v>2.2000000000000002</v>
      </c>
      <c r="AQ506" s="869">
        <f t="shared" si="783"/>
        <v>2.2000000000000002</v>
      </c>
      <c r="AR506" s="869">
        <f t="shared" si="783"/>
        <v>2.2000000000000002</v>
      </c>
      <c r="AS506" s="869">
        <f t="shared" si="783"/>
        <v>2.2000000000000002</v>
      </c>
      <c r="AT506" s="869">
        <f t="shared" si="783"/>
        <v>2.2000000000000002</v>
      </c>
      <c r="AU506" s="869">
        <f t="shared" si="783"/>
        <v>2.2000000000000002</v>
      </c>
      <c r="AV506" s="869">
        <f t="shared" si="783"/>
        <v>2.2000000000000002</v>
      </c>
      <c r="AW506" s="869">
        <f t="shared" si="783"/>
        <v>2.2000000000000002</v>
      </c>
      <c r="AX506" s="869">
        <f t="shared" si="783"/>
        <v>2.2000000000000002</v>
      </c>
      <c r="AY506" s="869">
        <f t="shared" si="783"/>
        <v>2.2000000000000002</v>
      </c>
      <c r="AZ506" s="869">
        <f t="shared" si="783"/>
        <v>2.2000000000000002</v>
      </c>
      <c r="BA506" s="870">
        <f t="shared" si="783"/>
        <v>2.2000000000000002</v>
      </c>
    </row>
    <row r="507" spans="19:53" ht="20.100000000000001" customHeight="1">
      <c r="S507" s="542" t="s">
        <v>625</v>
      </c>
      <c r="T507" s="131"/>
      <c r="U507" s="131"/>
      <c r="V507" s="131"/>
      <c r="W507" s="131"/>
      <c r="X507" s="123">
        <f t="shared" ref="X507:BA507" si="784">X61</f>
        <v>0</v>
      </c>
      <c r="Y507" s="123">
        <f t="shared" si="784"/>
        <v>0</v>
      </c>
      <c r="Z507" s="123">
        <f t="shared" si="784"/>
        <v>0</v>
      </c>
      <c r="AA507" s="123">
        <f t="shared" si="784"/>
        <v>0</v>
      </c>
      <c r="AB507" s="123">
        <f t="shared" si="784"/>
        <v>0</v>
      </c>
      <c r="AC507" s="123">
        <f t="shared" si="784"/>
        <v>0</v>
      </c>
      <c r="AD507" s="123">
        <f t="shared" si="784"/>
        <v>0</v>
      </c>
      <c r="AE507" s="123">
        <f t="shared" si="784"/>
        <v>0</v>
      </c>
      <c r="AF507" s="123">
        <f t="shared" si="784"/>
        <v>0</v>
      </c>
      <c r="AG507" s="123">
        <f t="shared" si="784"/>
        <v>0</v>
      </c>
      <c r="AH507" s="123">
        <f t="shared" si="784"/>
        <v>0</v>
      </c>
      <c r="AI507" s="123">
        <f t="shared" si="784"/>
        <v>0</v>
      </c>
      <c r="AJ507" s="123">
        <f t="shared" si="784"/>
        <v>0</v>
      </c>
      <c r="AK507" s="123">
        <f t="shared" si="784"/>
        <v>0</v>
      </c>
      <c r="AL507" s="123">
        <f t="shared" si="784"/>
        <v>0</v>
      </c>
      <c r="AM507" s="123">
        <f t="shared" si="784"/>
        <v>0</v>
      </c>
      <c r="AN507" s="123">
        <f t="shared" si="784"/>
        <v>0</v>
      </c>
      <c r="AO507" s="123">
        <f t="shared" si="784"/>
        <v>0</v>
      </c>
      <c r="AP507" s="123">
        <f t="shared" si="784"/>
        <v>0</v>
      </c>
      <c r="AQ507" s="123">
        <f t="shared" si="784"/>
        <v>0</v>
      </c>
      <c r="AR507" s="123">
        <f t="shared" si="784"/>
        <v>0</v>
      </c>
      <c r="AS507" s="123">
        <f t="shared" si="784"/>
        <v>0</v>
      </c>
      <c r="AT507" s="123">
        <f t="shared" si="784"/>
        <v>0</v>
      </c>
      <c r="AU507" s="123">
        <f t="shared" si="784"/>
        <v>0</v>
      </c>
      <c r="AV507" s="123">
        <f t="shared" si="784"/>
        <v>0</v>
      </c>
      <c r="AW507" s="123">
        <f t="shared" si="784"/>
        <v>0</v>
      </c>
      <c r="AX507" s="123">
        <f t="shared" si="784"/>
        <v>0</v>
      </c>
      <c r="AY507" s="123">
        <f t="shared" si="784"/>
        <v>0</v>
      </c>
      <c r="AZ507" s="123">
        <f t="shared" si="784"/>
        <v>0</v>
      </c>
      <c r="BA507" s="159">
        <f t="shared" si="784"/>
        <v>0</v>
      </c>
    </row>
    <row r="508" spans="19:53" ht="20.100000000000001" customHeight="1">
      <c r="S508" s="542" t="s">
        <v>2690</v>
      </c>
      <c r="T508" s="131"/>
      <c r="U508" s="131"/>
      <c r="V508" s="131"/>
      <c r="W508" s="131"/>
      <c r="X508" s="123">
        <f>IF(AND(X492&gt;(2020+TRANSPORT!$F$220),X492&lt;(2022+$G$220)),(TRANSPORT!$G$207-INDEX(TRANSPORT!$Y$507:$BA$507,1,($F$220-1)))/($G$220-$F$220+1),0)</f>
        <v>0</v>
      </c>
      <c r="Y508" s="123">
        <f>IF(AND(Y492&gt;(2020+TRANSPORT!$F$220),Y492&lt;(2022+$G$220)),(TRANSPORT!$G$207-INDEX(TRANSPORT!$Y$507:$BA$507,1,($F$220-1)))/($G$220-$F$220+1),0)</f>
        <v>0.15</v>
      </c>
      <c r="Z508" s="123">
        <f>IF(AND(Z492&gt;(2020+TRANSPORT!$F$220),Z492&lt;(2022+$G$220)),(TRANSPORT!$G$207-INDEX(TRANSPORT!$Y$507:$BA$507,1,($F$220-1)))/($G$220-$F$220+1),0)</f>
        <v>0.15</v>
      </c>
      <c r="AA508" s="123">
        <f>IF(AND(AA492&gt;(2020+TRANSPORT!$F$220),AA492&lt;(2022+$G$220)),(TRANSPORT!$G$207-INDEX(TRANSPORT!$Y$507:$BA$507,1,($F$220-1)))/($G$220-$F$220+1),0)</f>
        <v>0.15</v>
      </c>
      <c r="AB508" s="123">
        <f>IF(AND(AB492&gt;(2020+TRANSPORT!$F$220),AB492&lt;(2022+$G$220)),(TRANSPORT!$G$207-INDEX(TRANSPORT!$Y$507:$BA$507,1,($F$220-1)))/($G$220-$F$220+1),0)</f>
        <v>0.15</v>
      </c>
      <c r="AC508" s="123">
        <f>IF(AND(AC492&gt;(2020+TRANSPORT!$F$220),AC492&lt;(2022+$G$220)),(TRANSPORT!$G$207-INDEX(TRANSPORT!$Y$507:$BA$507,1,($F$220-1)))/($G$220-$F$220+1),0)</f>
        <v>0</v>
      </c>
      <c r="AD508" s="123">
        <f>IF(AND(AD492&gt;(2020+TRANSPORT!$F$220),AD492&lt;(2022+$G$220)),(TRANSPORT!$G$207-INDEX(TRANSPORT!$Y$507:$BA$507,1,($F$220-1)))/($G$220-$F$220+1),0)</f>
        <v>0</v>
      </c>
      <c r="AE508" s="123">
        <f>IF(AND(AE492&gt;(2020+TRANSPORT!$F$220),AE492&lt;(2022+$G$220)),(TRANSPORT!$G$207-INDEX(TRANSPORT!$Y$507:$BA$507,1,($F$220-1)))/($G$220-$F$220+1),0)</f>
        <v>0</v>
      </c>
      <c r="AF508" s="123">
        <f>IF(AND(AF492&gt;(2020+TRANSPORT!$F$220),AF492&lt;(2022+$G$220)),(TRANSPORT!$G$207-INDEX(TRANSPORT!$Y$507:$BA$507,1,($F$220-1)))/($G$220-$F$220+1),0)</f>
        <v>0</v>
      </c>
      <c r="AG508" s="123">
        <f>IF(AND(AG492&gt;(2020+TRANSPORT!$F$220),AG492&lt;(2022+$G$220)),(TRANSPORT!$G$207-INDEX(TRANSPORT!$Y$507:$BA$507,1,($F$220-1)))/($G$220-$F$220+1),0)</f>
        <v>0</v>
      </c>
      <c r="AH508" s="123">
        <f>IF(AND(AH492&gt;(2020+TRANSPORT!$F$220),AH492&lt;(2022+$G$220)),(TRANSPORT!$G$207-INDEX(TRANSPORT!$Y$507:$BA$507,1,($F$220-1)))/($G$220-$F$220+1),0)</f>
        <v>0</v>
      </c>
      <c r="AI508" s="123">
        <f>IF(AND(AI492&gt;(2020+TRANSPORT!$F$220),AI492&lt;(2022+$G$220)),(TRANSPORT!$G$207-INDEX(TRANSPORT!$Y$507:$BA$507,1,($F$220-1)))/($G$220-$F$220+1),0)</f>
        <v>0</v>
      </c>
      <c r="AJ508" s="123">
        <f>IF(AND(AJ492&gt;(2020+TRANSPORT!$F$220),AJ492&lt;(2022+$G$220)),(TRANSPORT!$G$207-INDEX(TRANSPORT!$Y$507:$BA$507,1,($F$220-1)))/($G$220-$F$220+1),0)</f>
        <v>0</v>
      </c>
      <c r="AK508" s="123">
        <f>IF(AND(AK492&gt;(2020+TRANSPORT!$F$220),AK492&lt;(2022+$G$220)),(TRANSPORT!$G$207-INDEX(TRANSPORT!$Y$507:$BA$507,1,($F$220-1)))/($G$220-$F$220+1),0)</f>
        <v>0</v>
      </c>
      <c r="AL508" s="123">
        <f>IF(AND(AL492&gt;(2020+TRANSPORT!$F$220),AL492&lt;(2022+$G$220)),(TRANSPORT!$G$207-INDEX(TRANSPORT!$Y$507:$BA$507,1,($F$220-1)))/($G$220-$F$220+1),0)</f>
        <v>0</v>
      </c>
      <c r="AM508" s="123">
        <f>IF(AND(AM492&gt;(2020+TRANSPORT!$F$220),AM492&lt;(2022+$G$220)),(TRANSPORT!$G$207-INDEX(TRANSPORT!$Y$507:$BA$507,1,($F$220-1)))/($G$220-$F$220+1),0)</f>
        <v>0</v>
      </c>
      <c r="AN508" s="123">
        <f>IF(AND(AN492&gt;(2020+TRANSPORT!$F$220),AN492&lt;(2022+$G$220)),(TRANSPORT!$G$207-INDEX(TRANSPORT!$Y$507:$BA$507,1,($F$220-1)))/($G$220-$F$220+1),0)</f>
        <v>0</v>
      </c>
      <c r="AO508" s="123">
        <f>IF(AND(AO492&gt;(2020+TRANSPORT!$F$220),AO492&lt;(2022+$G$220)),(TRANSPORT!$G$207-INDEX(TRANSPORT!$Y$507:$BA$507,1,($F$220-1)))/($G$220-$F$220+1),0)</f>
        <v>0</v>
      </c>
      <c r="AP508" s="123">
        <f>IF(AND(AP492&gt;(2020+TRANSPORT!$F$220),AP492&lt;(2022+$G$220)),(TRANSPORT!$G$207-INDEX(TRANSPORT!$Y$507:$BA$507,1,($F$220-1)))/($G$220-$F$220+1),0)</f>
        <v>0</v>
      </c>
      <c r="AQ508" s="123">
        <f>IF(AND(AQ492&gt;(2020+TRANSPORT!$F$220),AQ492&lt;(2022+$G$220)),(TRANSPORT!$G$207-INDEX(TRANSPORT!$Y$507:$BA$507,1,($F$220-1)))/($G$220-$F$220+1),0)</f>
        <v>0</v>
      </c>
      <c r="AR508" s="123">
        <f>IF(AND(AR492&gt;(2020+TRANSPORT!$F$220),AR492&lt;(2022+$G$220)),(TRANSPORT!$G$207-INDEX(TRANSPORT!$Y$507:$BA$507,1,($F$220-1)))/($G$220-$F$220+1),0)</f>
        <v>0</v>
      </c>
      <c r="AS508" s="123">
        <f>IF(AND(AS492&gt;(2020+TRANSPORT!$F$220),AS492&lt;(2022+$G$220)),(TRANSPORT!$G$207-INDEX(TRANSPORT!$Y$507:$BA$507,1,($F$220-1)))/($G$220-$F$220+1),0)</f>
        <v>0</v>
      </c>
      <c r="AT508" s="123">
        <f>IF(AND(AT492&gt;(2020+TRANSPORT!$F$220),AT492&lt;(2022+$G$220)),(TRANSPORT!$G$207-INDEX(TRANSPORT!$Y$507:$BA$507,1,($F$220-1)))/($G$220-$F$220+1),0)</f>
        <v>0</v>
      </c>
      <c r="AU508" s="123">
        <f>IF(AND(AU492&gt;(2020+TRANSPORT!$F$220),AU492&lt;(2022+$G$220)),(TRANSPORT!$G$207-INDEX(TRANSPORT!$Y$507:$BA$507,1,($F$220-1)))/($G$220-$F$220+1),0)</f>
        <v>0</v>
      </c>
      <c r="AV508" s="123">
        <f>IF(AND(AV492&gt;(2020+TRANSPORT!$F$220),AV492&lt;(2022+$G$220)),(TRANSPORT!$G$207-INDEX(TRANSPORT!$Y$507:$BA$507,1,($F$220-1)))/($G$220-$F$220+1),0)</f>
        <v>0</v>
      </c>
      <c r="AW508" s="123">
        <f>IF(AND(AW492&gt;(2020+TRANSPORT!$F$220),AW492&lt;(2022+$G$220)),(TRANSPORT!$G$207-INDEX(TRANSPORT!$Y$507:$BA$507,1,($F$220-1)))/($G$220-$F$220+1),0)</f>
        <v>0</v>
      </c>
      <c r="AX508" s="123">
        <f>IF(AND(AX492&gt;(2020+TRANSPORT!$F$220),AX492&lt;(2022+$G$220)),(TRANSPORT!$G$207-INDEX(TRANSPORT!$Y$507:$BA$507,1,($F$220-1)))/($G$220-$F$220+1),0)</f>
        <v>0</v>
      </c>
      <c r="AY508" s="123">
        <f>IF(AND(AY492&gt;(2020+TRANSPORT!$F$220),AY492&lt;(2022+$G$220)),(TRANSPORT!$G$207-INDEX(TRANSPORT!$Y$507:$BA$507,1,($F$220-1)))/($G$220-$F$220+1),0)</f>
        <v>0</v>
      </c>
      <c r="AZ508" s="123">
        <f>IF(AND(AZ492&gt;(2020+TRANSPORT!$F$220),AZ492&lt;(2022+$G$220)),(TRANSPORT!$G$207-INDEX(TRANSPORT!$Y$507:$BA$507,1,($F$220-1)))/($G$220-$F$220+1),0)</f>
        <v>0</v>
      </c>
      <c r="BA508" s="159">
        <f>IF(AND(BA492&gt;(2020+TRANSPORT!$F$220),BA492&lt;(2022+$G$220)),(TRANSPORT!$G$207-INDEX(TRANSPORT!$Y$507:$BA$507,1,($F$220-1)))/($G$220-$F$220+1),0)</f>
        <v>0</v>
      </c>
    </row>
    <row r="509" spans="19:53" ht="20.100000000000001" customHeight="1">
      <c r="S509" s="863" t="s">
        <v>2734</v>
      </c>
      <c r="T509" s="392" t="s">
        <v>2730</v>
      </c>
      <c r="U509" s="131"/>
      <c r="V509" s="131"/>
      <c r="W509" s="131"/>
      <c r="X509" s="807">
        <f>SUM(X507:X508)</f>
        <v>0</v>
      </c>
      <c r="Y509" s="807">
        <f>IF(Y508=0,X509*(IF(X507=0,1,Y507/X507)),X509+Y508)</f>
        <v>0.15</v>
      </c>
      <c r="Z509" s="807">
        <f t="shared" ref="Z509:BA509" si="785">IF(Z508=0,Y509*(IF(Y507=0,1,Z507/Y507)),Y509+Z508)</f>
        <v>0.3</v>
      </c>
      <c r="AA509" s="807">
        <f t="shared" si="785"/>
        <v>0.44999999999999996</v>
      </c>
      <c r="AB509" s="807">
        <f t="shared" si="785"/>
        <v>0.6</v>
      </c>
      <c r="AC509" s="807">
        <f t="shared" si="785"/>
        <v>0.6</v>
      </c>
      <c r="AD509" s="807">
        <f t="shared" si="785"/>
        <v>0.6</v>
      </c>
      <c r="AE509" s="807">
        <f t="shared" si="785"/>
        <v>0.6</v>
      </c>
      <c r="AF509" s="807">
        <f t="shared" si="785"/>
        <v>0.6</v>
      </c>
      <c r="AG509" s="807">
        <f t="shared" si="785"/>
        <v>0.6</v>
      </c>
      <c r="AH509" s="807">
        <f t="shared" si="785"/>
        <v>0.6</v>
      </c>
      <c r="AI509" s="807">
        <f t="shared" si="785"/>
        <v>0.6</v>
      </c>
      <c r="AJ509" s="807">
        <f t="shared" si="785"/>
        <v>0.6</v>
      </c>
      <c r="AK509" s="807">
        <f t="shared" si="785"/>
        <v>0.6</v>
      </c>
      <c r="AL509" s="807">
        <f t="shared" si="785"/>
        <v>0.6</v>
      </c>
      <c r="AM509" s="807">
        <f t="shared" si="785"/>
        <v>0.6</v>
      </c>
      <c r="AN509" s="807">
        <f t="shared" si="785"/>
        <v>0.6</v>
      </c>
      <c r="AO509" s="807">
        <f t="shared" si="785"/>
        <v>0.6</v>
      </c>
      <c r="AP509" s="807">
        <f t="shared" si="785"/>
        <v>0.6</v>
      </c>
      <c r="AQ509" s="807">
        <f t="shared" si="785"/>
        <v>0.6</v>
      </c>
      <c r="AR509" s="807">
        <f t="shared" si="785"/>
        <v>0.6</v>
      </c>
      <c r="AS509" s="807">
        <f t="shared" si="785"/>
        <v>0.6</v>
      </c>
      <c r="AT509" s="807">
        <f t="shared" si="785"/>
        <v>0.6</v>
      </c>
      <c r="AU509" s="807">
        <f t="shared" si="785"/>
        <v>0.6</v>
      </c>
      <c r="AV509" s="807">
        <f t="shared" si="785"/>
        <v>0.6</v>
      </c>
      <c r="AW509" s="807">
        <f t="shared" si="785"/>
        <v>0.6</v>
      </c>
      <c r="AX509" s="807">
        <f t="shared" si="785"/>
        <v>0.6</v>
      </c>
      <c r="AY509" s="807">
        <f t="shared" si="785"/>
        <v>0.6</v>
      </c>
      <c r="AZ509" s="807">
        <f t="shared" si="785"/>
        <v>0.6</v>
      </c>
      <c r="BA509" s="808">
        <f t="shared" si="785"/>
        <v>0.6</v>
      </c>
    </row>
    <row r="510" spans="19:53" ht="20.100000000000001" customHeight="1">
      <c r="S510" s="864" t="s">
        <v>577</v>
      </c>
      <c r="T510" s="860"/>
      <c r="U510" s="860"/>
      <c r="V510" s="860"/>
      <c r="W510" s="860"/>
      <c r="X510" s="180">
        <f t="shared" ref="X510:BA510" si="786">X62</f>
        <v>46.494896756427373</v>
      </c>
      <c r="Y510" s="180">
        <f t="shared" si="786"/>
        <v>46.494896756427373</v>
      </c>
      <c r="Z510" s="180">
        <f t="shared" si="786"/>
        <v>46.494896756427373</v>
      </c>
      <c r="AA510" s="180">
        <f t="shared" si="786"/>
        <v>46.494896756427373</v>
      </c>
      <c r="AB510" s="180">
        <f t="shared" si="786"/>
        <v>46.494896756427373</v>
      </c>
      <c r="AC510" s="180">
        <f t="shared" si="786"/>
        <v>46.494896756427373</v>
      </c>
      <c r="AD510" s="180">
        <f t="shared" si="786"/>
        <v>46.494896756427373</v>
      </c>
      <c r="AE510" s="180">
        <f t="shared" si="786"/>
        <v>46.494896756427373</v>
      </c>
      <c r="AF510" s="180">
        <f t="shared" si="786"/>
        <v>46.494896756427373</v>
      </c>
      <c r="AG510" s="180">
        <f t="shared" si="786"/>
        <v>46.494896756427373</v>
      </c>
      <c r="AH510" s="180">
        <f t="shared" si="786"/>
        <v>46.494896756427373</v>
      </c>
      <c r="AI510" s="180">
        <f t="shared" si="786"/>
        <v>46.494896756427373</v>
      </c>
      <c r="AJ510" s="180">
        <f t="shared" si="786"/>
        <v>46.494896756427373</v>
      </c>
      <c r="AK510" s="180">
        <f t="shared" si="786"/>
        <v>46.494896756427373</v>
      </c>
      <c r="AL510" s="180">
        <f t="shared" si="786"/>
        <v>46.494896756427373</v>
      </c>
      <c r="AM510" s="180">
        <f t="shared" si="786"/>
        <v>46.494896756427373</v>
      </c>
      <c r="AN510" s="180">
        <f t="shared" si="786"/>
        <v>46.494896756427373</v>
      </c>
      <c r="AO510" s="180">
        <f t="shared" si="786"/>
        <v>46.494896756427373</v>
      </c>
      <c r="AP510" s="180">
        <f t="shared" si="786"/>
        <v>46.494896756427373</v>
      </c>
      <c r="AQ510" s="180">
        <f t="shared" si="786"/>
        <v>46.494896756427373</v>
      </c>
      <c r="AR510" s="180">
        <f t="shared" si="786"/>
        <v>46.494896756427373</v>
      </c>
      <c r="AS510" s="180">
        <f t="shared" si="786"/>
        <v>46.494896756427373</v>
      </c>
      <c r="AT510" s="180">
        <f t="shared" si="786"/>
        <v>46.494896756427373</v>
      </c>
      <c r="AU510" s="180">
        <f t="shared" si="786"/>
        <v>46.494896756427373</v>
      </c>
      <c r="AV510" s="180">
        <f t="shared" si="786"/>
        <v>46.494896756427373</v>
      </c>
      <c r="AW510" s="180">
        <f t="shared" si="786"/>
        <v>46.494896756427373</v>
      </c>
      <c r="AX510" s="180">
        <f t="shared" si="786"/>
        <v>46.494896756427373</v>
      </c>
      <c r="AY510" s="180">
        <f t="shared" si="786"/>
        <v>46.494896756427373</v>
      </c>
      <c r="AZ510" s="180">
        <f t="shared" si="786"/>
        <v>46.494896756427373</v>
      </c>
      <c r="BA510" s="865">
        <f t="shared" si="786"/>
        <v>46.494896756427373</v>
      </c>
    </row>
    <row r="511" spans="19:53" ht="20.100000000000001" customHeight="1">
      <c r="S511" s="871" t="s">
        <v>2735</v>
      </c>
      <c r="T511" s="868" t="s">
        <v>2730</v>
      </c>
      <c r="U511" s="860"/>
      <c r="V511" s="860"/>
      <c r="W511" s="860"/>
      <c r="X511" s="869">
        <f t="shared" ref="X511:BA511" si="787">(100-X495-X498-X501-X506-X509-X514-X517-X520-X523-X526-X529-X532-X535)*($X$510/($X$502+$X$510))</f>
        <v>46.494896756427373</v>
      </c>
      <c r="Y511" s="869">
        <f t="shared" si="787"/>
        <v>45.065221498796397</v>
      </c>
      <c r="Z511" s="869">
        <f t="shared" si="787"/>
        <v>43.635546241165443</v>
      </c>
      <c r="AA511" s="869">
        <f t="shared" si="787"/>
        <v>42.205870983534467</v>
      </c>
      <c r="AB511" s="869">
        <f t="shared" si="787"/>
        <v>40.776195725903513</v>
      </c>
      <c r="AC511" s="869">
        <f t="shared" si="787"/>
        <v>40.776195725903513</v>
      </c>
      <c r="AD511" s="869">
        <f t="shared" si="787"/>
        <v>40.776195725903513</v>
      </c>
      <c r="AE511" s="869">
        <f t="shared" si="787"/>
        <v>40.776195725903513</v>
      </c>
      <c r="AF511" s="869">
        <f t="shared" si="787"/>
        <v>40.776195725903513</v>
      </c>
      <c r="AG511" s="869">
        <f t="shared" si="787"/>
        <v>40.776195725903513</v>
      </c>
      <c r="AH511" s="869">
        <f t="shared" si="787"/>
        <v>40.776195725903513</v>
      </c>
      <c r="AI511" s="869">
        <f t="shared" si="787"/>
        <v>40.776195725903513</v>
      </c>
      <c r="AJ511" s="869">
        <f t="shared" si="787"/>
        <v>40.776195725903513</v>
      </c>
      <c r="AK511" s="869">
        <f t="shared" si="787"/>
        <v>40.776195725903513</v>
      </c>
      <c r="AL511" s="869">
        <f t="shared" si="787"/>
        <v>40.776195725903513</v>
      </c>
      <c r="AM511" s="869">
        <f t="shared" si="787"/>
        <v>40.776195725903513</v>
      </c>
      <c r="AN511" s="869">
        <f t="shared" si="787"/>
        <v>40.776195725903513</v>
      </c>
      <c r="AO511" s="869">
        <f t="shared" si="787"/>
        <v>40.776195725903513</v>
      </c>
      <c r="AP511" s="869">
        <f t="shared" si="787"/>
        <v>40.776195725903513</v>
      </c>
      <c r="AQ511" s="869">
        <f t="shared" si="787"/>
        <v>40.776195725903513</v>
      </c>
      <c r="AR511" s="869">
        <f t="shared" si="787"/>
        <v>40.776195725903513</v>
      </c>
      <c r="AS511" s="869">
        <f t="shared" si="787"/>
        <v>40.776195725903513</v>
      </c>
      <c r="AT511" s="869">
        <f t="shared" si="787"/>
        <v>40.776195725903513</v>
      </c>
      <c r="AU511" s="869">
        <f t="shared" si="787"/>
        <v>40.776195725903513</v>
      </c>
      <c r="AV511" s="869">
        <f t="shared" si="787"/>
        <v>40.776195725903513</v>
      </c>
      <c r="AW511" s="869">
        <f t="shared" si="787"/>
        <v>40.776195725903513</v>
      </c>
      <c r="AX511" s="869">
        <f t="shared" si="787"/>
        <v>40.776195725903513</v>
      </c>
      <c r="AY511" s="869">
        <f t="shared" si="787"/>
        <v>40.776195725903513</v>
      </c>
      <c r="AZ511" s="869">
        <f t="shared" si="787"/>
        <v>40.776195725903513</v>
      </c>
      <c r="BA511" s="870">
        <f t="shared" si="787"/>
        <v>40.776195725903513</v>
      </c>
    </row>
    <row r="512" spans="19:53" ht="20.100000000000001" customHeight="1">
      <c r="S512" s="542" t="s">
        <v>626</v>
      </c>
      <c r="T512" s="131"/>
      <c r="U512" s="131"/>
      <c r="V512" s="131"/>
      <c r="W512" s="131"/>
      <c r="X512" s="123">
        <f t="shared" ref="X512:BA512" si="788">X63</f>
        <v>0.47892110991913739</v>
      </c>
      <c r="Y512" s="123">
        <f t="shared" si="788"/>
        <v>0.47892110991913739</v>
      </c>
      <c r="Z512" s="123">
        <f t="shared" si="788"/>
        <v>0.47892110991913739</v>
      </c>
      <c r="AA512" s="123">
        <f t="shared" si="788"/>
        <v>0.47892110991913739</v>
      </c>
      <c r="AB512" s="123">
        <f t="shared" si="788"/>
        <v>0.47892110991913739</v>
      </c>
      <c r="AC512" s="123">
        <f t="shared" si="788"/>
        <v>0.47892110991913739</v>
      </c>
      <c r="AD512" s="123">
        <f t="shared" si="788"/>
        <v>0.47892110991913739</v>
      </c>
      <c r="AE512" s="123">
        <f t="shared" si="788"/>
        <v>0.47892110991913739</v>
      </c>
      <c r="AF512" s="123">
        <f t="shared" si="788"/>
        <v>0.47892110991913739</v>
      </c>
      <c r="AG512" s="123">
        <f t="shared" si="788"/>
        <v>0.47892110991913739</v>
      </c>
      <c r="AH512" s="123">
        <f t="shared" si="788"/>
        <v>0.47892110991913739</v>
      </c>
      <c r="AI512" s="123">
        <f t="shared" si="788"/>
        <v>0.47892110991913739</v>
      </c>
      <c r="AJ512" s="123">
        <f t="shared" si="788"/>
        <v>0.47892110991913739</v>
      </c>
      <c r="AK512" s="123">
        <f t="shared" si="788"/>
        <v>0.47892110991913739</v>
      </c>
      <c r="AL512" s="123">
        <f t="shared" si="788"/>
        <v>0.47892110991913739</v>
      </c>
      <c r="AM512" s="123">
        <f t="shared" si="788"/>
        <v>0.47892110991913739</v>
      </c>
      <c r="AN512" s="123">
        <f t="shared" si="788"/>
        <v>0.47892110991913739</v>
      </c>
      <c r="AO512" s="123">
        <f t="shared" si="788"/>
        <v>0.47892110991913739</v>
      </c>
      <c r="AP512" s="123">
        <f t="shared" si="788"/>
        <v>0.47892110991913739</v>
      </c>
      <c r="AQ512" s="123">
        <f t="shared" si="788"/>
        <v>0.47892110991913739</v>
      </c>
      <c r="AR512" s="123">
        <f t="shared" si="788"/>
        <v>0.47892110991913739</v>
      </c>
      <c r="AS512" s="123">
        <f t="shared" si="788"/>
        <v>0.47892110991913739</v>
      </c>
      <c r="AT512" s="123">
        <f t="shared" si="788"/>
        <v>0.47892110991913739</v>
      </c>
      <c r="AU512" s="123">
        <f t="shared" si="788"/>
        <v>0.47892110991913739</v>
      </c>
      <c r="AV512" s="123">
        <f t="shared" si="788"/>
        <v>0.47892110991913739</v>
      </c>
      <c r="AW512" s="123">
        <f t="shared" si="788"/>
        <v>0.47892110991913739</v>
      </c>
      <c r="AX512" s="123">
        <f t="shared" si="788"/>
        <v>0.47892110991913739</v>
      </c>
      <c r="AY512" s="123">
        <f t="shared" si="788"/>
        <v>0.47892110991913739</v>
      </c>
      <c r="AZ512" s="123">
        <f t="shared" si="788"/>
        <v>0.47892110991913739</v>
      </c>
      <c r="BA512" s="159">
        <f t="shared" si="788"/>
        <v>0.47892110991913739</v>
      </c>
    </row>
    <row r="513" spans="19:53" ht="20.100000000000001" customHeight="1">
      <c r="S513" s="542" t="s">
        <v>2690</v>
      </c>
      <c r="T513" s="131"/>
      <c r="U513" s="131"/>
      <c r="V513" s="131"/>
      <c r="W513" s="131"/>
      <c r="X513" s="123">
        <f>IF(AND(X492&gt;(2020+TRANSPORT!$F$220),X492&lt;(2022+$G$220)),(TRANSPORT!$G$208-INDEX(TRANSPORT!$Y$512:$BA$512,1,($F$220-1)))/($G$220-$F$220+1),0)</f>
        <v>0</v>
      </c>
      <c r="Y513" s="123">
        <f>IF(AND(Y492&gt;(2020+TRANSPORT!$F$220),Y492&lt;(2022+$G$220)),(TRANSPORT!$G$208-INDEX(TRANSPORT!$Y$512:$BA$512,1,($F$220-1)))/($G$220-$F$220+1),0)</f>
        <v>-0.11973027747978435</v>
      </c>
      <c r="Z513" s="123">
        <f>IF(AND(Z492&gt;(2020+TRANSPORT!$F$220),Z492&lt;(2022+$G$220)),(TRANSPORT!$G$208-INDEX(TRANSPORT!$Y$512:$BA$512,1,($F$220-1)))/($G$220-$F$220+1),0)</f>
        <v>-0.11973027747978435</v>
      </c>
      <c r="AA513" s="123">
        <f>IF(AND(AA492&gt;(2020+TRANSPORT!$F$220),AA492&lt;(2022+$G$220)),(TRANSPORT!$G$208-INDEX(TRANSPORT!$Y$512:$BA$512,1,($F$220-1)))/($G$220-$F$220+1),0)</f>
        <v>-0.11973027747978435</v>
      </c>
      <c r="AB513" s="123">
        <f>IF(AND(AB492&gt;(2020+TRANSPORT!$F$220),AB492&lt;(2022+$G$220)),(TRANSPORT!$G$208-INDEX(TRANSPORT!$Y$512:$BA$512,1,($F$220-1)))/($G$220-$F$220+1),0)</f>
        <v>-0.11973027747978435</v>
      </c>
      <c r="AC513" s="123">
        <f>IF(AND(AC492&gt;(2020+TRANSPORT!$F$220),AC492&lt;(2022+$G$220)),(TRANSPORT!$G$208-INDEX(TRANSPORT!$Y$512:$BA$512,1,($F$220-1)))/($G$220-$F$220+1),0)</f>
        <v>0</v>
      </c>
      <c r="AD513" s="123">
        <f>IF(AND(AD492&gt;(2020+TRANSPORT!$F$220),AD492&lt;(2022+$G$220)),(TRANSPORT!$G$208-INDEX(TRANSPORT!$Y$512:$BA$512,1,($F$220-1)))/($G$220-$F$220+1),0)</f>
        <v>0</v>
      </c>
      <c r="AE513" s="123">
        <f>IF(AND(AE492&gt;(2020+TRANSPORT!$F$220),AE492&lt;(2022+$G$220)),(TRANSPORT!$G$208-INDEX(TRANSPORT!$Y$512:$BA$512,1,($F$220-1)))/($G$220-$F$220+1),0)</f>
        <v>0</v>
      </c>
      <c r="AF513" s="123">
        <f>IF(AND(AF492&gt;(2020+TRANSPORT!$F$220),AF492&lt;(2022+$G$220)),(TRANSPORT!$G$208-INDEX(TRANSPORT!$Y$512:$BA$512,1,($F$220-1)))/($G$220-$F$220+1),0)</f>
        <v>0</v>
      </c>
      <c r="AG513" s="123">
        <f>IF(AND(AG492&gt;(2020+TRANSPORT!$F$220),AG492&lt;(2022+$G$220)),(TRANSPORT!$G$208-INDEX(TRANSPORT!$Y$512:$BA$512,1,($F$220-1)))/($G$220-$F$220+1),0)</f>
        <v>0</v>
      </c>
      <c r="AH513" s="123">
        <f>IF(AND(AH492&gt;(2020+TRANSPORT!$F$220),AH492&lt;(2022+$G$220)),(TRANSPORT!$G$208-INDEX(TRANSPORT!$Y$512:$BA$512,1,($F$220-1)))/($G$220-$F$220+1),0)</f>
        <v>0</v>
      </c>
      <c r="AI513" s="123">
        <f>IF(AND(AI492&gt;(2020+TRANSPORT!$F$220),AI492&lt;(2022+$G$220)),(TRANSPORT!$G$208-INDEX(TRANSPORT!$Y$512:$BA$512,1,($F$220-1)))/($G$220-$F$220+1),0)</f>
        <v>0</v>
      </c>
      <c r="AJ513" s="123">
        <f>IF(AND(AJ492&gt;(2020+TRANSPORT!$F$220),AJ492&lt;(2022+$G$220)),(TRANSPORT!$G$208-INDEX(TRANSPORT!$Y$512:$BA$512,1,($F$220-1)))/($G$220-$F$220+1),0)</f>
        <v>0</v>
      </c>
      <c r="AK513" s="123">
        <f>IF(AND(AK492&gt;(2020+TRANSPORT!$F$220),AK492&lt;(2022+$G$220)),(TRANSPORT!$G$208-INDEX(TRANSPORT!$Y$512:$BA$512,1,($F$220-1)))/($G$220-$F$220+1),0)</f>
        <v>0</v>
      </c>
      <c r="AL513" s="123">
        <f>IF(AND(AL492&gt;(2020+TRANSPORT!$F$220),AL492&lt;(2022+$G$220)),(TRANSPORT!$G$208-INDEX(TRANSPORT!$Y$512:$BA$512,1,($F$220-1)))/($G$220-$F$220+1),0)</f>
        <v>0</v>
      </c>
      <c r="AM513" s="123">
        <f>IF(AND(AM492&gt;(2020+TRANSPORT!$F$220),AM492&lt;(2022+$G$220)),(TRANSPORT!$G$208-INDEX(TRANSPORT!$Y$512:$BA$512,1,($F$220-1)))/($G$220-$F$220+1),0)</f>
        <v>0</v>
      </c>
      <c r="AN513" s="123">
        <f>IF(AND(AN492&gt;(2020+TRANSPORT!$F$220),AN492&lt;(2022+$G$220)),(TRANSPORT!$G$208-INDEX(TRANSPORT!$Y$512:$BA$512,1,($F$220-1)))/($G$220-$F$220+1),0)</f>
        <v>0</v>
      </c>
      <c r="AO513" s="123">
        <f>IF(AND(AO492&gt;(2020+TRANSPORT!$F$220),AO492&lt;(2022+$G$220)),(TRANSPORT!$G$208-INDEX(TRANSPORT!$Y$512:$BA$512,1,($F$220-1)))/($G$220-$F$220+1),0)</f>
        <v>0</v>
      </c>
      <c r="AP513" s="123">
        <f>IF(AND(AP492&gt;(2020+TRANSPORT!$F$220),AP492&lt;(2022+$G$220)),(TRANSPORT!$G$208-INDEX(TRANSPORT!$Y$512:$BA$512,1,($F$220-1)))/($G$220-$F$220+1),0)</f>
        <v>0</v>
      </c>
      <c r="AQ513" s="123">
        <f>IF(AND(AQ492&gt;(2020+TRANSPORT!$F$220),AQ492&lt;(2022+$G$220)),(TRANSPORT!$G$208-INDEX(TRANSPORT!$Y$512:$BA$512,1,($F$220-1)))/($G$220-$F$220+1),0)</f>
        <v>0</v>
      </c>
      <c r="AR513" s="123">
        <f>IF(AND(AR492&gt;(2020+TRANSPORT!$F$220),AR492&lt;(2022+$G$220)),(TRANSPORT!$G$208-INDEX(TRANSPORT!$Y$512:$BA$512,1,($F$220-1)))/($G$220-$F$220+1),0)</f>
        <v>0</v>
      </c>
      <c r="AS513" s="123">
        <f>IF(AND(AS492&gt;(2020+TRANSPORT!$F$220),AS492&lt;(2022+$G$220)),(TRANSPORT!$G$208-INDEX(TRANSPORT!$Y$512:$BA$512,1,($F$220-1)))/($G$220-$F$220+1),0)</f>
        <v>0</v>
      </c>
      <c r="AT513" s="123">
        <f>IF(AND(AT492&gt;(2020+TRANSPORT!$F$220),AT492&lt;(2022+$G$220)),(TRANSPORT!$G$208-INDEX(TRANSPORT!$Y$512:$BA$512,1,($F$220-1)))/($G$220-$F$220+1),0)</f>
        <v>0</v>
      </c>
      <c r="AU513" s="123">
        <f>IF(AND(AU492&gt;(2020+TRANSPORT!$F$220),AU492&lt;(2022+$G$220)),(TRANSPORT!$G$208-INDEX(TRANSPORT!$Y$512:$BA$512,1,($F$220-1)))/($G$220-$F$220+1),0)</f>
        <v>0</v>
      </c>
      <c r="AV513" s="123">
        <f>IF(AND(AV492&gt;(2020+TRANSPORT!$F$220),AV492&lt;(2022+$G$220)),(TRANSPORT!$G$208-INDEX(TRANSPORT!$Y$512:$BA$512,1,($F$220-1)))/($G$220-$F$220+1),0)</f>
        <v>0</v>
      </c>
      <c r="AW513" s="123">
        <f>IF(AND(AW492&gt;(2020+TRANSPORT!$F$220),AW492&lt;(2022+$G$220)),(TRANSPORT!$G$208-INDEX(TRANSPORT!$Y$512:$BA$512,1,($F$220-1)))/($G$220-$F$220+1),0)</f>
        <v>0</v>
      </c>
      <c r="AX513" s="123">
        <f>IF(AND(AX492&gt;(2020+TRANSPORT!$F$220),AX492&lt;(2022+$G$220)),(TRANSPORT!$G$208-INDEX(TRANSPORT!$Y$512:$BA$512,1,($F$220-1)))/($G$220-$F$220+1),0)</f>
        <v>0</v>
      </c>
      <c r="AY513" s="123">
        <f>IF(AND(AY492&gt;(2020+TRANSPORT!$F$220),AY492&lt;(2022+$G$220)),(TRANSPORT!$G$208-INDEX(TRANSPORT!$Y$512:$BA$512,1,($F$220-1)))/($G$220-$F$220+1),0)</f>
        <v>0</v>
      </c>
      <c r="AZ513" s="123">
        <f>IF(AND(AZ492&gt;(2020+TRANSPORT!$F$220),AZ492&lt;(2022+$G$220)),(TRANSPORT!$G$208-INDEX(TRANSPORT!$Y$512:$BA$512,1,($F$220-1)))/($G$220-$F$220+1),0)</f>
        <v>0</v>
      </c>
      <c r="BA513" s="159">
        <f>IF(AND(BA492&gt;(2020+TRANSPORT!$F$220),BA492&lt;(2022+$G$220)),(TRANSPORT!$G$208-INDEX(TRANSPORT!$Y$512:$BA$512,1,($F$220-1)))/($G$220-$F$220+1),0)</f>
        <v>0</v>
      </c>
    </row>
    <row r="514" spans="19:53" ht="20.100000000000001" customHeight="1">
      <c r="S514" s="863" t="s">
        <v>2736</v>
      </c>
      <c r="T514" s="392" t="s">
        <v>2730</v>
      </c>
      <c r="U514" s="131"/>
      <c r="V514" s="131"/>
      <c r="W514" s="131"/>
      <c r="X514" s="807">
        <f>SUM(X512:X513)</f>
        <v>0.47892110991913739</v>
      </c>
      <c r="Y514" s="807">
        <f>IF(Y513=0,X514*(IF(X512=0,1,Y512/X512)),X514+Y513)</f>
        <v>0.35919083243935301</v>
      </c>
      <c r="Z514" s="807">
        <f t="shared" ref="Z514:BA514" si="789">IF(Z513=0,Y514*(IF(Y512=0,1,Z512/Y512)),Y514+Z513)</f>
        <v>0.23946055495956867</v>
      </c>
      <c r="AA514" s="807">
        <f t="shared" si="789"/>
        <v>0.11973027747978432</v>
      </c>
      <c r="AB514" s="807">
        <f t="shared" si="789"/>
        <v>-2.7755575615628914E-17</v>
      </c>
      <c r="AC514" s="807">
        <f t="shared" si="789"/>
        <v>-2.7755575615628914E-17</v>
      </c>
      <c r="AD514" s="807">
        <f t="shared" si="789"/>
        <v>-2.7755575615628914E-17</v>
      </c>
      <c r="AE514" s="807">
        <f t="shared" si="789"/>
        <v>-2.7755575615628914E-17</v>
      </c>
      <c r="AF514" s="807">
        <f t="shared" si="789"/>
        <v>-2.7755575615628914E-17</v>
      </c>
      <c r="AG514" s="807">
        <f t="shared" si="789"/>
        <v>-2.7755575615628914E-17</v>
      </c>
      <c r="AH514" s="807">
        <f t="shared" si="789"/>
        <v>-2.7755575615628914E-17</v>
      </c>
      <c r="AI514" s="807">
        <f t="shared" si="789"/>
        <v>-2.7755575615628914E-17</v>
      </c>
      <c r="AJ514" s="807">
        <f t="shared" si="789"/>
        <v>-2.7755575615628914E-17</v>
      </c>
      <c r="AK514" s="807">
        <f t="shared" si="789"/>
        <v>-2.7755575615628914E-17</v>
      </c>
      <c r="AL514" s="807">
        <f t="shared" si="789"/>
        <v>-2.7755575615628914E-17</v>
      </c>
      <c r="AM514" s="807">
        <f t="shared" si="789"/>
        <v>-2.7755575615628914E-17</v>
      </c>
      <c r="AN514" s="807">
        <f t="shared" si="789"/>
        <v>-2.7755575615628914E-17</v>
      </c>
      <c r="AO514" s="807">
        <f t="shared" si="789"/>
        <v>-2.7755575615628914E-17</v>
      </c>
      <c r="AP514" s="807">
        <f t="shared" si="789"/>
        <v>-2.7755575615628914E-17</v>
      </c>
      <c r="AQ514" s="807">
        <f t="shared" si="789"/>
        <v>-2.7755575615628914E-17</v>
      </c>
      <c r="AR514" s="807">
        <f t="shared" si="789"/>
        <v>-2.7755575615628914E-17</v>
      </c>
      <c r="AS514" s="807">
        <f t="shared" si="789"/>
        <v>-2.7755575615628914E-17</v>
      </c>
      <c r="AT514" s="807">
        <f t="shared" si="789"/>
        <v>-2.7755575615628914E-17</v>
      </c>
      <c r="AU514" s="807">
        <f t="shared" si="789"/>
        <v>-2.7755575615628914E-17</v>
      </c>
      <c r="AV514" s="807">
        <f t="shared" si="789"/>
        <v>-2.7755575615628914E-17</v>
      </c>
      <c r="AW514" s="807">
        <f t="shared" si="789"/>
        <v>-2.7755575615628914E-17</v>
      </c>
      <c r="AX514" s="807">
        <f t="shared" si="789"/>
        <v>-2.7755575615628914E-17</v>
      </c>
      <c r="AY514" s="807">
        <f t="shared" si="789"/>
        <v>-2.7755575615628914E-17</v>
      </c>
      <c r="AZ514" s="807">
        <f t="shared" si="789"/>
        <v>-2.7755575615628914E-17</v>
      </c>
      <c r="BA514" s="808">
        <f t="shared" si="789"/>
        <v>-2.7755575615628914E-17</v>
      </c>
    </row>
    <row r="515" spans="19:53" ht="20.100000000000001" customHeight="1">
      <c r="S515" s="864" t="s">
        <v>627</v>
      </c>
      <c r="T515" s="860"/>
      <c r="U515" s="860"/>
      <c r="V515" s="860"/>
      <c r="W515" s="860"/>
      <c r="X515" s="180">
        <f t="shared" ref="X515:BA515" si="790">X64</f>
        <v>0</v>
      </c>
      <c r="Y515" s="180">
        <f t="shared" si="790"/>
        <v>0</v>
      </c>
      <c r="Z515" s="180">
        <f t="shared" si="790"/>
        <v>0</v>
      </c>
      <c r="AA515" s="180">
        <f t="shared" si="790"/>
        <v>0</v>
      </c>
      <c r="AB515" s="180">
        <f t="shared" si="790"/>
        <v>0</v>
      </c>
      <c r="AC515" s="180">
        <f t="shared" si="790"/>
        <v>0</v>
      </c>
      <c r="AD515" s="180">
        <f t="shared" si="790"/>
        <v>0</v>
      </c>
      <c r="AE515" s="180">
        <f t="shared" si="790"/>
        <v>0</v>
      </c>
      <c r="AF515" s="180">
        <f t="shared" si="790"/>
        <v>0</v>
      </c>
      <c r="AG515" s="180">
        <f t="shared" si="790"/>
        <v>0</v>
      </c>
      <c r="AH515" s="180">
        <f t="shared" si="790"/>
        <v>0</v>
      </c>
      <c r="AI515" s="180">
        <f t="shared" si="790"/>
        <v>0</v>
      </c>
      <c r="AJ515" s="180">
        <f t="shared" si="790"/>
        <v>0</v>
      </c>
      <c r="AK515" s="180">
        <f t="shared" si="790"/>
        <v>0</v>
      </c>
      <c r="AL515" s="180">
        <f t="shared" si="790"/>
        <v>0</v>
      </c>
      <c r="AM515" s="180">
        <f t="shared" si="790"/>
        <v>0</v>
      </c>
      <c r="AN515" s="180">
        <f t="shared" si="790"/>
        <v>0</v>
      </c>
      <c r="AO515" s="180">
        <f t="shared" si="790"/>
        <v>0</v>
      </c>
      <c r="AP515" s="180">
        <f t="shared" si="790"/>
        <v>0</v>
      </c>
      <c r="AQ515" s="180">
        <f t="shared" si="790"/>
        <v>0</v>
      </c>
      <c r="AR515" s="180">
        <f t="shared" si="790"/>
        <v>0</v>
      </c>
      <c r="AS515" s="180">
        <f t="shared" si="790"/>
        <v>0</v>
      </c>
      <c r="AT515" s="180">
        <f t="shared" si="790"/>
        <v>0</v>
      </c>
      <c r="AU515" s="180">
        <f t="shared" si="790"/>
        <v>0</v>
      </c>
      <c r="AV515" s="180">
        <f t="shared" si="790"/>
        <v>0</v>
      </c>
      <c r="AW515" s="180">
        <f t="shared" si="790"/>
        <v>0</v>
      </c>
      <c r="AX515" s="180">
        <f t="shared" si="790"/>
        <v>0</v>
      </c>
      <c r="AY515" s="180">
        <f t="shared" si="790"/>
        <v>0</v>
      </c>
      <c r="AZ515" s="180">
        <f t="shared" si="790"/>
        <v>0</v>
      </c>
      <c r="BA515" s="865">
        <f t="shared" si="790"/>
        <v>0</v>
      </c>
    </row>
    <row r="516" spans="19:53" ht="19.5" customHeight="1">
      <c r="S516" s="864" t="s">
        <v>2690</v>
      </c>
      <c r="T516" s="860"/>
      <c r="U516" s="860"/>
      <c r="V516" s="860"/>
      <c r="W516" s="860"/>
      <c r="X516" s="180">
        <f>IF(AND(X492&gt;(2020+TRANSPORT!$F$220),X492&lt;(2022+$G$220)),(TRANSPORT!$G$209-INDEX(TRANSPORT!$Y$515:$BA$515,1,($F$220-1)))/($G$220-$F$220+1),0)</f>
        <v>0</v>
      </c>
      <c r="Y516" s="180">
        <f>IF(AND(Y492&gt;(2020+TRANSPORT!$F$220),Y492&lt;(2022+$G$220)),(TRANSPORT!$G$209-INDEX(TRANSPORT!$Y$515:$BA$515,1,($F$220-1)))/($G$220-$F$220+1),0)</f>
        <v>0</v>
      </c>
      <c r="Z516" s="180">
        <f>IF(AND(Z492&gt;(2020+TRANSPORT!$F$220),Z492&lt;(2022+$G$220)),(TRANSPORT!$G$209-INDEX(TRANSPORT!$Y$515:$BA$515,1,($F$220-1)))/($G$220-$F$220+1),0)</f>
        <v>0</v>
      </c>
      <c r="AA516" s="180">
        <f>IF(AND(AA492&gt;(2020+TRANSPORT!$F$220),AA492&lt;(2022+$G$220)),(TRANSPORT!$G$209-INDEX(TRANSPORT!$Y$515:$BA$515,1,($F$220-1)))/($G$220-$F$220+1),0)</f>
        <v>0</v>
      </c>
      <c r="AB516" s="180">
        <f>IF(AND(AB492&gt;(2020+TRANSPORT!$F$220),AB492&lt;(2022+$G$220)),(TRANSPORT!$G$209-INDEX(TRANSPORT!$Y$515:$BA$515,1,($F$220-1)))/($G$220-$F$220+1),0)</f>
        <v>0</v>
      </c>
      <c r="AC516" s="180">
        <f>IF(AND(AC492&gt;(2020+TRANSPORT!$F$220),AC492&lt;(2022+$G$220)),(TRANSPORT!$G$209-INDEX(TRANSPORT!$Y$515:$BA$515,1,($F$220-1)))/($G$220-$F$220+1),0)</f>
        <v>0</v>
      </c>
      <c r="AD516" s="180">
        <f>IF(AND(AD492&gt;(2020+TRANSPORT!$F$220),AD492&lt;(2022+$G$220)),(TRANSPORT!$G$209-INDEX(TRANSPORT!$Y$515:$BA$515,1,($F$220-1)))/($G$220-$F$220+1),0)</f>
        <v>0</v>
      </c>
      <c r="AE516" s="180">
        <f>IF(AND(AE492&gt;(2020+TRANSPORT!$F$220),AE492&lt;(2022+$G$220)),(TRANSPORT!$G$209-INDEX(TRANSPORT!$Y$515:$BA$515,1,($F$220-1)))/($G$220-$F$220+1),0)</f>
        <v>0</v>
      </c>
      <c r="AF516" s="180">
        <f>IF(AND(AF492&gt;(2020+TRANSPORT!$F$220),AF492&lt;(2022+$G$220)),(TRANSPORT!$G$209-INDEX(TRANSPORT!$Y$515:$BA$515,1,($F$220-1)))/($G$220-$F$220+1),0)</f>
        <v>0</v>
      </c>
      <c r="AG516" s="180">
        <f>IF(AND(AG492&gt;(2020+TRANSPORT!$F$220),AG492&lt;(2022+$G$220)),(TRANSPORT!$G$209-INDEX(TRANSPORT!$Y$515:$BA$515,1,($F$220-1)))/($G$220-$F$220+1),0)</f>
        <v>0</v>
      </c>
      <c r="AH516" s="180">
        <f>IF(AND(AH492&gt;(2020+TRANSPORT!$F$220),AH492&lt;(2022+$G$220)),(TRANSPORT!$G$209-INDEX(TRANSPORT!$Y$515:$BA$515,1,($F$220-1)))/($G$220-$F$220+1),0)</f>
        <v>0</v>
      </c>
      <c r="AI516" s="180">
        <f>IF(AND(AI492&gt;(2020+TRANSPORT!$F$220),AI492&lt;(2022+$G$220)),(TRANSPORT!$G$209-INDEX(TRANSPORT!$Y$515:$BA$515,1,($F$220-1)))/($G$220-$F$220+1),0)</f>
        <v>0</v>
      </c>
      <c r="AJ516" s="180">
        <f>IF(AND(AJ492&gt;(2020+TRANSPORT!$F$220),AJ492&lt;(2022+$G$220)),(TRANSPORT!$G$209-INDEX(TRANSPORT!$Y$515:$BA$515,1,($F$220-1)))/($G$220-$F$220+1),0)</f>
        <v>0</v>
      </c>
      <c r="AK516" s="180">
        <f>IF(AND(AK492&gt;(2020+TRANSPORT!$F$220),AK492&lt;(2022+$G$220)),(TRANSPORT!$G$209-INDEX(TRANSPORT!$Y$515:$BA$515,1,($F$220-1)))/($G$220-$F$220+1),0)</f>
        <v>0</v>
      </c>
      <c r="AL516" s="180">
        <f>IF(AND(AL492&gt;(2020+TRANSPORT!$F$220),AL492&lt;(2022+$G$220)),(TRANSPORT!$G$209-INDEX(TRANSPORT!$Y$515:$BA$515,1,($F$220-1)))/($G$220-$F$220+1),0)</f>
        <v>0</v>
      </c>
      <c r="AM516" s="180">
        <f>IF(AND(AM492&gt;(2020+TRANSPORT!$F$220),AM492&lt;(2022+$G$220)),(TRANSPORT!$G$209-INDEX(TRANSPORT!$Y$515:$BA$515,1,($F$220-1)))/($G$220-$F$220+1),0)</f>
        <v>0</v>
      </c>
      <c r="AN516" s="180">
        <f>IF(AND(AN492&gt;(2020+TRANSPORT!$F$220),AN492&lt;(2022+$G$220)),(TRANSPORT!$G$209-INDEX(TRANSPORT!$Y$515:$BA$515,1,($F$220-1)))/($G$220-$F$220+1),0)</f>
        <v>0</v>
      </c>
      <c r="AO516" s="180">
        <f>IF(AND(AO492&gt;(2020+TRANSPORT!$F$220),AO492&lt;(2022+$G$220)),(TRANSPORT!$G$209-INDEX(TRANSPORT!$Y$515:$BA$515,1,($F$220-1)))/($G$220-$F$220+1),0)</f>
        <v>0</v>
      </c>
      <c r="AP516" s="180">
        <f>IF(AND(AP492&gt;(2020+TRANSPORT!$F$220),AP492&lt;(2022+$G$220)),(TRANSPORT!$G$209-INDEX(TRANSPORT!$Y$515:$BA$515,1,($F$220-1)))/($G$220-$F$220+1),0)</f>
        <v>0</v>
      </c>
      <c r="AQ516" s="180">
        <f>IF(AND(AQ492&gt;(2020+TRANSPORT!$F$220),AQ492&lt;(2022+$G$220)),(TRANSPORT!$G$209-INDEX(TRANSPORT!$Y$515:$BA$515,1,($F$220-1)))/($G$220-$F$220+1),0)</f>
        <v>0</v>
      </c>
      <c r="AR516" s="180">
        <f>IF(AND(AR492&gt;(2020+TRANSPORT!$F$220),AR492&lt;(2022+$G$220)),(TRANSPORT!$G$209-INDEX(TRANSPORT!$Y$515:$BA$515,1,($F$220-1)))/($G$220-$F$220+1),0)</f>
        <v>0</v>
      </c>
      <c r="AS516" s="180">
        <f>IF(AND(AS492&gt;(2020+TRANSPORT!$F$220),AS492&lt;(2022+$G$220)),(TRANSPORT!$G$209-INDEX(TRANSPORT!$Y$515:$BA$515,1,($F$220-1)))/($G$220-$F$220+1),0)</f>
        <v>0</v>
      </c>
      <c r="AT516" s="180">
        <f>IF(AND(AT492&gt;(2020+TRANSPORT!$F$220),AT492&lt;(2022+$G$220)),(TRANSPORT!$G$209-INDEX(TRANSPORT!$Y$515:$BA$515,1,($F$220-1)))/($G$220-$F$220+1),0)</f>
        <v>0</v>
      </c>
      <c r="AU516" s="180">
        <f>IF(AND(AU492&gt;(2020+TRANSPORT!$F$220),AU492&lt;(2022+$G$220)),(TRANSPORT!$G$209-INDEX(TRANSPORT!$Y$515:$BA$515,1,($F$220-1)))/($G$220-$F$220+1),0)</f>
        <v>0</v>
      </c>
      <c r="AV516" s="180">
        <f>IF(AND(AV492&gt;(2020+TRANSPORT!$F$220),AV492&lt;(2022+$G$220)),(TRANSPORT!$G$209-INDEX(TRANSPORT!$Y$515:$BA$515,1,($F$220-1)))/($G$220-$F$220+1),0)</f>
        <v>0</v>
      </c>
      <c r="AW516" s="180">
        <f>IF(AND(AW492&gt;(2020+TRANSPORT!$F$220),AW492&lt;(2022+$G$220)),(TRANSPORT!$G$209-INDEX(TRANSPORT!$Y$515:$BA$515,1,($F$220-1)))/($G$220-$F$220+1),0)</f>
        <v>0</v>
      </c>
      <c r="AX516" s="180">
        <f>IF(AND(AX492&gt;(2020+TRANSPORT!$F$220),AX492&lt;(2022+$G$220)),(TRANSPORT!$G$209-INDEX(TRANSPORT!$Y$515:$BA$515,1,($F$220-1)))/($G$220-$F$220+1),0)</f>
        <v>0</v>
      </c>
      <c r="AY516" s="180">
        <f>IF(AND(AY492&gt;(2020+TRANSPORT!$F$220),AY492&lt;(2022+$G$220)),(TRANSPORT!$G$209-INDEX(TRANSPORT!$Y$515:$BA$515,1,($F$220-1)))/($G$220-$F$220+1),0)</f>
        <v>0</v>
      </c>
      <c r="AZ516" s="180">
        <f>IF(AND(AZ492&gt;(2020+TRANSPORT!$F$220),AZ492&lt;(2022+$G$220)),(TRANSPORT!$G$209-INDEX(TRANSPORT!$Y$515:$BA$515,1,($F$220-1)))/($G$220-$F$220+1),0)</f>
        <v>0</v>
      </c>
      <c r="BA516" s="865">
        <f>IF(AND(BA492&gt;(2020+TRANSPORT!$F$220),BA492&lt;(2022+$G$220)),(TRANSPORT!$G$209-INDEX(TRANSPORT!$Y$515:$BA$515,1,($F$220-1)))/($G$220-$F$220+1),0)</f>
        <v>0</v>
      </c>
    </row>
    <row r="517" spans="19:53" ht="19.5" customHeight="1">
      <c r="S517" s="871" t="s">
        <v>2737</v>
      </c>
      <c r="T517" s="868" t="s">
        <v>2730</v>
      </c>
      <c r="U517" s="860"/>
      <c r="V517" s="860"/>
      <c r="W517" s="860"/>
      <c r="X517" s="869">
        <f>SUM(X515:X516)</f>
        <v>0</v>
      </c>
      <c r="Y517" s="869">
        <f>IF(Y516=0,X517*(IF(X515=0,1,Y515/X515)),X517+Y516)</f>
        <v>0</v>
      </c>
      <c r="Z517" s="869">
        <f t="shared" ref="Z517:BA517" si="791">IF(Z516=0,Y517*(IF(Y515=0,1,Z515/Y515)),Y517+Z516)</f>
        <v>0</v>
      </c>
      <c r="AA517" s="869">
        <f t="shared" si="791"/>
        <v>0</v>
      </c>
      <c r="AB517" s="869">
        <f t="shared" si="791"/>
        <v>0</v>
      </c>
      <c r="AC517" s="869">
        <f t="shared" si="791"/>
        <v>0</v>
      </c>
      <c r="AD517" s="869">
        <f t="shared" si="791"/>
        <v>0</v>
      </c>
      <c r="AE517" s="869">
        <f t="shared" si="791"/>
        <v>0</v>
      </c>
      <c r="AF517" s="869">
        <f t="shared" si="791"/>
        <v>0</v>
      </c>
      <c r="AG517" s="869">
        <f t="shared" si="791"/>
        <v>0</v>
      </c>
      <c r="AH517" s="869">
        <f t="shared" si="791"/>
        <v>0</v>
      </c>
      <c r="AI517" s="869">
        <f t="shared" si="791"/>
        <v>0</v>
      </c>
      <c r="AJ517" s="869">
        <f t="shared" si="791"/>
        <v>0</v>
      </c>
      <c r="AK517" s="869">
        <f t="shared" si="791"/>
        <v>0</v>
      </c>
      <c r="AL517" s="869">
        <f t="shared" si="791"/>
        <v>0</v>
      </c>
      <c r="AM517" s="869">
        <f t="shared" si="791"/>
        <v>0</v>
      </c>
      <c r="AN517" s="869">
        <f t="shared" si="791"/>
        <v>0</v>
      </c>
      <c r="AO517" s="869">
        <f t="shared" si="791"/>
        <v>0</v>
      </c>
      <c r="AP517" s="869">
        <f t="shared" si="791"/>
        <v>0</v>
      </c>
      <c r="AQ517" s="869">
        <f t="shared" si="791"/>
        <v>0</v>
      </c>
      <c r="AR517" s="869">
        <f t="shared" si="791"/>
        <v>0</v>
      </c>
      <c r="AS517" s="869">
        <f t="shared" si="791"/>
        <v>0</v>
      </c>
      <c r="AT517" s="869">
        <f t="shared" si="791"/>
        <v>0</v>
      </c>
      <c r="AU517" s="869">
        <f t="shared" si="791"/>
        <v>0</v>
      </c>
      <c r="AV517" s="869">
        <f t="shared" si="791"/>
        <v>0</v>
      </c>
      <c r="AW517" s="869">
        <f t="shared" si="791"/>
        <v>0</v>
      </c>
      <c r="AX517" s="869">
        <f t="shared" si="791"/>
        <v>0</v>
      </c>
      <c r="AY517" s="869">
        <f t="shared" si="791"/>
        <v>0</v>
      </c>
      <c r="AZ517" s="869">
        <f t="shared" si="791"/>
        <v>0</v>
      </c>
      <c r="BA517" s="870">
        <f t="shared" si="791"/>
        <v>0</v>
      </c>
    </row>
    <row r="518" spans="19:53" ht="19.5" customHeight="1">
      <c r="S518" s="542" t="s">
        <v>628</v>
      </c>
      <c r="T518" s="131"/>
      <c r="U518" s="131"/>
      <c r="V518" s="131"/>
      <c r="W518" s="131"/>
      <c r="X518" s="123">
        <f t="shared" ref="X518:BA518" si="792">X65</f>
        <v>0</v>
      </c>
      <c r="Y518" s="123">
        <f t="shared" si="792"/>
        <v>0</v>
      </c>
      <c r="Z518" s="123">
        <f t="shared" si="792"/>
        <v>0</v>
      </c>
      <c r="AA518" s="123">
        <f t="shared" si="792"/>
        <v>0</v>
      </c>
      <c r="AB518" s="123">
        <f t="shared" si="792"/>
        <v>0</v>
      </c>
      <c r="AC518" s="123">
        <f t="shared" si="792"/>
        <v>0</v>
      </c>
      <c r="AD518" s="123">
        <f t="shared" si="792"/>
        <v>0</v>
      </c>
      <c r="AE518" s="123">
        <f t="shared" si="792"/>
        <v>0</v>
      </c>
      <c r="AF518" s="123">
        <f t="shared" si="792"/>
        <v>0</v>
      </c>
      <c r="AG518" s="123">
        <f t="shared" si="792"/>
        <v>0</v>
      </c>
      <c r="AH518" s="123">
        <f t="shared" si="792"/>
        <v>0</v>
      </c>
      <c r="AI518" s="123">
        <f t="shared" si="792"/>
        <v>0</v>
      </c>
      <c r="AJ518" s="123">
        <f t="shared" si="792"/>
        <v>0</v>
      </c>
      <c r="AK518" s="123">
        <f t="shared" si="792"/>
        <v>0</v>
      </c>
      <c r="AL518" s="123">
        <f t="shared" si="792"/>
        <v>0</v>
      </c>
      <c r="AM518" s="123">
        <f t="shared" si="792"/>
        <v>0</v>
      </c>
      <c r="AN518" s="123">
        <f t="shared" si="792"/>
        <v>0</v>
      </c>
      <c r="AO518" s="123">
        <f t="shared" si="792"/>
        <v>0</v>
      </c>
      <c r="AP518" s="123">
        <f t="shared" si="792"/>
        <v>0</v>
      </c>
      <c r="AQ518" s="123">
        <f t="shared" si="792"/>
        <v>0</v>
      </c>
      <c r="AR518" s="123">
        <f t="shared" si="792"/>
        <v>0</v>
      </c>
      <c r="AS518" s="123">
        <f t="shared" si="792"/>
        <v>0</v>
      </c>
      <c r="AT518" s="123">
        <f t="shared" si="792"/>
        <v>0</v>
      </c>
      <c r="AU518" s="123">
        <f t="shared" si="792"/>
        <v>0</v>
      </c>
      <c r="AV518" s="123">
        <f t="shared" si="792"/>
        <v>0</v>
      </c>
      <c r="AW518" s="123">
        <f t="shared" si="792"/>
        <v>0</v>
      </c>
      <c r="AX518" s="123">
        <f t="shared" si="792"/>
        <v>0</v>
      </c>
      <c r="AY518" s="123">
        <f t="shared" si="792"/>
        <v>0</v>
      </c>
      <c r="AZ518" s="123">
        <f t="shared" si="792"/>
        <v>0</v>
      </c>
      <c r="BA518" s="159">
        <f t="shared" si="792"/>
        <v>0</v>
      </c>
    </row>
    <row r="519" spans="19:53" ht="20.100000000000001" customHeight="1">
      <c r="S519" s="542" t="s">
        <v>2690</v>
      </c>
      <c r="T519" s="131"/>
      <c r="U519" s="131"/>
      <c r="V519" s="131"/>
      <c r="W519" s="131"/>
      <c r="X519" s="123">
        <f>IF(AND(X492&gt;(2020+TRANSPORT!$F$220),X492&lt;(2022+$G$220)),(TRANSPORT!$G$210-INDEX(TRANSPORT!$Y$518:$BA$518,1,($F$220-1)))/($G$220-$F$220+1),0)</f>
        <v>0</v>
      </c>
      <c r="Y519" s="123">
        <f>IF(AND(Y492&gt;(2020+TRANSPORT!$F$220),Y492&lt;(2022+$G$220)),(TRANSPORT!$G$210-INDEX(TRANSPORT!$Y$518:$BA$518,1,($F$220-1)))/($G$220-$F$220+1),0)</f>
        <v>0</v>
      </c>
      <c r="Z519" s="123">
        <f>IF(AND(Z492&gt;(2020+TRANSPORT!$F$220),Z492&lt;(2022+$G$220)),(TRANSPORT!$G$210-INDEX(TRANSPORT!$Y$518:$BA$518,1,($F$220-1)))/($G$220-$F$220+1),0)</f>
        <v>0</v>
      </c>
      <c r="AA519" s="123">
        <f>IF(AND(AA492&gt;(2020+TRANSPORT!$F$220),AA492&lt;(2022+$G$220)),(TRANSPORT!$G$210-INDEX(TRANSPORT!$Y$518:$BA$518,1,($F$220-1)))/($G$220-$F$220+1),0)</f>
        <v>0</v>
      </c>
      <c r="AB519" s="123">
        <f>IF(AND(AB492&gt;(2020+TRANSPORT!$F$220),AB492&lt;(2022+$G$220)),(TRANSPORT!$G$210-INDEX(TRANSPORT!$Y$518:$BA$518,1,($F$220-1)))/($G$220-$F$220+1),0)</f>
        <v>0</v>
      </c>
      <c r="AC519" s="123">
        <f>IF(AND(AC492&gt;(2020+TRANSPORT!$F$220),AC492&lt;(2022+$G$220)),(TRANSPORT!$G$210-INDEX(TRANSPORT!$Y$518:$BA$518,1,($F$220-1)))/($G$220-$F$220+1),0)</f>
        <v>0</v>
      </c>
      <c r="AD519" s="123">
        <f>IF(AND(AD492&gt;(2020+TRANSPORT!$F$220),AD492&lt;(2022+$G$220)),(TRANSPORT!$G$210-INDEX(TRANSPORT!$Y$518:$BA$518,1,($F$220-1)))/($G$220-$F$220+1),0)</f>
        <v>0</v>
      </c>
      <c r="AE519" s="123">
        <f>IF(AND(AE492&gt;(2020+TRANSPORT!$F$220),AE492&lt;(2022+$G$220)),(TRANSPORT!$G$210-INDEX(TRANSPORT!$Y$518:$BA$518,1,($F$220-1)))/($G$220-$F$220+1),0)</f>
        <v>0</v>
      </c>
      <c r="AF519" s="123">
        <f>IF(AND(AF492&gt;(2020+TRANSPORT!$F$220),AF492&lt;(2022+$G$220)),(TRANSPORT!$G$210-INDEX(TRANSPORT!$Y$518:$BA$518,1,($F$220-1)))/($G$220-$F$220+1),0)</f>
        <v>0</v>
      </c>
      <c r="AG519" s="123">
        <f>IF(AND(AG492&gt;(2020+TRANSPORT!$F$220),AG492&lt;(2022+$G$220)),(TRANSPORT!$G$210-INDEX(TRANSPORT!$Y$518:$BA$518,1,($F$220-1)))/($G$220-$F$220+1),0)</f>
        <v>0</v>
      </c>
      <c r="AH519" s="123">
        <f>IF(AND(AH492&gt;(2020+TRANSPORT!$F$220),AH492&lt;(2022+$G$220)),(TRANSPORT!$G$210-INDEX(TRANSPORT!$Y$518:$BA$518,1,($F$220-1)))/($G$220-$F$220+1),0)</f>
        <v>0</v>
      </c>
      <c r="AI519" s="123">
        <f>IF(AND(AI492&gt;(2020+TRANSPORT!$F$220),AI492&lt;(2022+$G$220)),(TRANSPORT!$G$210-INDEX(TRANSPORT!$Y$518:$BA$518,1,($F$220-1)))/($G$220-$F$220+1),0)</f>
        <v>0</v>
      </c>
      <c r="AJ519" s="123">
        <f>IF(AND(AJ492&gt;(2020+TRANSPORT!$F$220),AJ492&lt;(2022+$G$220)),(TRANSPORT!$G$210-INDEX(TRANSPORT!$Y$518:$BA$518,1,($F$220-1)))/($G$220-$F$220+1),0)</f>
        <v>0</v>
      </c>
      <c r="AK519" s="123">
        <f>IF(AND(AK492&gt;(2020+TRANSPORT!$F$220),AK492&lt;(2022+$G$220)),(TRANSPORT!$G$210-INDEX(TRANSPORT!$Y$518:$BA$518,1,($F$220-1)))/($G$220-$F$220+1),0)</f>
        <v>0</v>
      </c>
      <c r="AL519" s="123">
        <f>IF(AND(AL492&gt;(2020+TRANSPORT!$F$220),AL492&lt;(2022+$G$220)),(TRANSPORT!$G$210-INDEX(TRANSPORT!$Y$518:$BA$518,1,($F$220-1)))/($G$220-$F$220+1),0)</f>
        <v>0</v>
      </c>
      <c r="AM519" s="123">
        <f>IF(AND(AM492&gt;(2020+TRANSPORT!$F$220),AM492&lt;(2022+$G$220)),(TRANSPORT!$G$210-INDEX(TRANSPORT!$Y$518:$BA$518,1,($F$220-1)))/($G$220-$F$220+1),0)</f>
        <v>0</v>
      </c>
      <c r="AN519" s="123">
        <f>IF(AND(AN492&gt;(2020+TRANSPORT!$F$220),AN492&lt;(2022+$G$220)),(TRANSPORT!$G$210-INDEX(TRANSPORT!$Y$518:$BA$518,1,($F$220-1)))/($G$220-$F$220+1),0)</f>
        <v>0</v>
      </c>
      <c r="AO519" s="123">
        <f>IF(AND(AO492&gt;(2020+TRANSPORT!$F$220),AO492&lt;(2022+$G$220)),(TRANSPORT!$G$210-INDEX(TRANSPORT!$Y$518:$BA$518,1,($F$220-1)))/($G$220-$F$220+1),0)</f>
        <v>0</v>
      </c>
      <c r="AP519" s="123">
        <f>IF(AND(AP492&gt;(2020+TRANSPORT!$F$220),AP492&lt;(2022+$G$220)),(TRANSPORT!$G$210-INDEX(TRANSPORT!$Y$518:$BA$518,1,($F$220-1)))/($G$220-$F$220+1),0)</f>
        <v>0</v>
      </c>
      <c r="AQ519" s="123">
        <f>IF(AND(AQ492&gt;(2020+TRANSPORT!$F$220),AQ492&lt;(2022+$G$220)),(TRANSPORT!$G$210-INDEX(TRANSPORT!$Y$518:$BA$518,1,($F$220-1)))/($G$220-$F$220+1),0)</f>
        <v>0</v>
      </c>
      <c r="AR519" s="123">
        <f>IF(AND(AR492&gt;(2020+TRANSPORT!$F$220),AR492&lt;(2022+$G$220)),(TRANSPORT!$G$210-INDEX(TRANSPORT!$Y$518:$BA$518,1,($F$220-1)))/($G$220-$F$220+1),0)</f>
        <v>0</v>
      </c>
      <c r="AS519" s="123">
        <f>IF(AND(AS492&gt;(2020+TRANSPORT!$F$220),AS492&lt;(2022+$G$220)),(TRANSPORT!$G$210-INDEX(TRANSPORT!$Y$518:$BA$518,1,($F$220-1)))/($G$220-$F$220+1),0)</f>
        <v>0</v>
      </c>
      <c r="AT519" s="123">
        <f>IF(AND(AT492&gt;(2020+TRANSPORT!$F$220),AT492&lt;(2022+$G$220)),(TRANSPORT!$G$210-INDEX(TRANSPORT!$Y$518:$BA$518,1,($F$220-1)))/($G$220-$F$220+1),0)</f>
        <v>0</v>
      </c>
      <c r="AU519" s="123">
        <f>IF(AND(AU492&gt;(2020+TRANSPORT!$F$220),AU492&lt;(2022+$G$220)),(TRANSPORT!$G$210-INDEX(TRANSPORT!$Y$518:$BA$518,1,($F$220-1)))/($G$220-$F$220+1),0)</f>
        <v>0</v>
      </c>
      <c r="AV519" s="123">
        <f>IF(AND(AV492&gt;(2020+TRANSPORT!$F$220),AV492&lt;(2022+$G$220)),(TRANSPORT!$G$210-INDEX(TRANSPORT!$Y$518:$BA$518,1,($F$220-1)))/($G$220-$F$220+1),0)</f>
        <v>0</v>
      </c>
      <c r="AW519" s="123">
        <f>IF(AND(AW492&gt;(2020+TRANSPORT!$F$220),AW492&lt;(2022+$G$220)),(TRANSPORT!$G$210-INDEX(TRANSPORT!$Y$518:$BA$518,1,($F$220-1)))/($G$220-$F$220+1),0)</f>
        <v>0</v>
      </c>
      <c r="AX519" s="123">
        <f>IF(AND(AX492&gt;(2020+TRANSPORT!$F$220),AX492&lt;(2022+$G$220)),(TRANSPORT!$G$210-INDEX(TRANSPORT!$Y$518:$BA$518,1,($F$220-1)))/($G$220-$F$220+1),0)</f>
        <v>0</v>
      </c>
      <c r="AY519" s="123">
        <f>IF(AND(AY492&gt;(2020+TRANSPORT!$F$220),AY492&lt;(2022+$G$220)),(TRANSPORT!$G$210-INDEX(TRANSPORT!$Y$518:$BA$518,1,($F$220-1)))/($G$220-$F$220+1),0)</f>
        <v>0</v>
      </c>
      <c r="AZ519" s="123">
        <f>IF(AND(AZ492&gt;(2020+TRANSPORT!$F$220),AZ492&lt;(2022+$G$220)),(TRANSPORT!$G$210-INDEX(TRANSPORT!$Y$518:$BA$518,1,($F$220-1)))/($G$220-$F$220+1),0)</f>
        <v>0</v>
      </c>
      <c r="BA519" s="159">
        <f>IF(AND(BA492&gt;(2020+TRANSPORT!$F$220),BA492&lt;(2022+$G$220)),(TRANSPORT!$G$210-INDEX(TRANSPORT!$Y$518:$BA$518,1,($F$220-1)))/($G$220-$F$220+1),0)</f>
        <v>0</v>
      </c>
    </row>
    <row r="520" spans="19:53" ht="20.100000000000001" customHeight="1">
      <c r="S520" s="863" t="s">
        <v>2738</v>
      </c>
      <c r="T520" s="392" t="s">
        <v>2730</v>
      </c>
      <c r="U520" s="131"/>
      <c r="V520" s="131"/>
      <c r="W520" s="131"/>
      <c r="X520" s="807">
        <f>SUM(X518:X519)</f>
        <v>0</v>
      </c>
      <c r="Y520" s="807">
        <f>IF(Y519=0,X520*(IF(X518=0,1,Y518/X518)),X520+Y519)</f>
        <v>0</v>
      </c>
      <c r="Z520" s="807">
        <f t="shared" ref="Z520:BA520" si="793">IF(Z519=0,Y520*(IF(Y518=0,1,Z518/Y518)),Y520+Z519)</f>
        <v>0</v>
      </c>
      <c r="AA520" s="807">
        <f t="shared" si="793"/>
        <v>0</v>
      </c>
      <c r="AB520" s="807">
        <f t="shared" si="793"/>
        <v>0</v>
      </c>
      <c r="AC520" s="807">
        <f t="shared" si="793"/>
        <v>0</v>
      </c>
      <c r="AD520" s="807">
        <f t="shared" si="793"/>
        <v>0</v>
      </c>
      <c r="AE520" s="807">
        <f t="shared" si="793"/>
        <v>0</v>
      </c>
      <c r="AF520" s="807">
        <f t="shared" si="793"/>
        <v>0</v>
      </c>
      <c r="AG520" s="807">
        <f t="shared" si="793"/>
        <v>0</v>
      </c>
      <c r="AH520" s="807">
        <f t="shared" si="793"/>
        <v>0</v>
      </c>
      <c r="AI520" s="807">
        <f t="shared" si="793"/>
        <v>0</v>
      </c>
      <c r="AJ520" s="807">
        <f t="shared" si="793"/>
        <v>0</v>
      </c>
      <c r="AK520" s="807">
        <f t="shared" si="793"/>
        <v>0</v>
      </c>
      <c r="AL520" s="807">
        <f t="shared" si="793"/>
        <v>0</v>
      </c>
      <c r="AM520" s="807">
        <f t="shared" si="793"/>
        <v>0</v>
      </c>
      <c r="AN520" s="807">
        <f t="shared" si="793"/>
        <v>0</v>
      </c>
      <c r="AO520" s="807">
        <f t="shared" si="793"/>
        <v>0</v>
      </c>
      <c r="AP520" s="807">
        <f t="shared" si="793"/>
        <v>0</v>
      </c>
      <c r="AQ520" s="807">
        <f t="shared" si="793"/>
        <v>0</v>
      </c>
      <c r="AR520" s="807">
        <f t="shared" si="793"/>
        <v>0</v>
      </c>
      <c r="AS520" s="807">
        <f t="shared" si="793"/>
        <v>0</v>
      </c>
      <c r="AT520" s="807">
        <f t="shared" si="793"/>
        <v>0</v>
      </c>
      <c r="AU520" s="807">
        <f t="shared" si="793"/>
        <v>0</v>
      </c>
      <c r="AV520" s="807">
        <f t="shared" si="793"/>
        <v>0</v>
      </c>
      <c r="AW520" s="807">
        <f t="shared" si="793"/>
        <v>0</v>
      </c>
      <c r="AX520" s="807">
        <f t="shared" si="793"/>
        <v>0</v>
      </c>
      <c r="AY520" s="807">
        <f t="shared" si="793"/>
        <v>0</v>
      </c>
      <c r="AZ520" s="807">
        <f t="shared" si="793"/>
        <v>0</v>
      </c>
      <c r="BA520" s="808">
        <f t="shared" si="793"/>
        <v>0</v>
      </c>
    </row>
    <row r="521" spans="19:53" ht="20.100000000000001" customHeight="1">
      <c r="S521" s="864" t="s">
        <v>629</v>
      </c>
      <c r="T521" s="860"/>
      <c r="U521" s="860"/>
      <c r="V521" s="860"/>
      <c r="W521" s="860"/>
      <c r="X521" s="180">
        <f t="shared" ref="X521:BA521" si="794">X66</f>
        <v>0</v>
      </c>
      <c r="Y521" s="180">
        <f t="shared" si="794"/>
        <v>0</v>
      </c>
      <c r="Z521" s="180">
        <f t="shared" si="794"/>
        <v>0</v>
      </c>
      <c r="AA521" s="180">
        <f t="shared" si="794"/>
        <v>0</v>
      </c>
      <c r="AB521" s="180">
        <f t="shared" si="794"/>
        <v>0</v>
      </c>
      <c r="AC521" s="180">
        <f t="shared" si="794"/>
        <v>0</v>
      </c>
      <c r="AD521" s="180">
        <f t="shared" si="794"/>
        <v>0</v>
      </c>
      <c r="AE521" s="180">
        <f t="shared" si="794"/>
        <v>0</v>
      </c>
      <c r="AF521" s="180">
        <f t="shared" si="794"/>
        <v>0</v>
      </c>
      <c r="AG521" s="180">
        <f t="shared" si="794"/>
        <v>0</v>
      </c>
      <c r="AH521" s="180">
        <f t="shared" si="794"/>
        <v>0</v>
      </c>
      <c r="AI521" s="180">
        <f t="shared" si="794"/>
        <v>0</v>
      </c>
      <c r="AJ521" s="180">
        <f t="shared" si="794"/>
        <v>0</v>
      </c>
      <c r="AK521" s="180">
        <f t="shared" si="794"/>
        <v>0</v>
      </c>
      <c r="AL521" s="180">
        <f t="shared" si="794"/>
        <v>0</v>
      </c>
      <c r="AM521" s="180">
        <f t="shared" si="794"/>
        <v>0</v>
      </c>
      <c r="AN521" s="180">
        <f t="shared" si="794"/>
        <v>0</v>
      </c>
      <c r="AO521" s="180">
        <f t="shared" si="794"/>
        <v>0</v>
      </c>
      <c r="AP521" s="180">
        <f t="shared" si="794"/>
        <v>0</v>
      </c>
      <c r="AQ521" s="180">
        <f t="shared" si="794"/>
        <v>0</v>
      </c>
      <c r="AR521" s="180">
        <f t="shared" si="794"/>
        <v>0</v>
      </c>
      <c r="AS521" s="180">
        <f t="shared" si="794"/>
        <v>0</v>
      </c>
      <c r="AT521" s="180">
        <f t="shared" si="794"/>
        <v>0</v>
      </c>
      <c r="AU521" s="180">
        <f t="shared" si="794"/>
        <v>0</v>
      </c>
      <c r="AV521" s="180">
        <f t="shared" si="794"/>
        <v>0</v>
      </c>
      <c r="AW521" s="180">
        <f t="shared" si="794"/>
        <v>0</v>
      </c>
      <c r="AX521" s="180">
        <f t="shared" si="794"/>
        <v>0</v>
      </c>
      <c r="AY521" s="180">
        <f t="shared" si="794"/>
        <v>0</v>
      </c>
      <c r="AZ521" s="180">
        <f t="shared" si="794"/>
        <v>0</v>
      </c>
      <c r="BA521" s="865">
        <f t="shared" si="794"/>
        <v>0</v>
      </c>
    </row>
    <row r="522" spans="19:53" ht="20.100000000000001" customHeight="1">
      <c r="S522" s="864" t="s">
        <v>2690</v>
      </c>
      <c r="T522" s="860"/>
      <c r="U522" s="860"/>
      <c r="V522" s="860"/>
      <c r="W522" s="860"/>
      <c r="X522" s="180">
        <f>IF(AND(X492&gt;(2020+TRANSPORT!$F$220),X492&lt;(2022+$G$220)),(TRANSPORT!$G$211-INDEX(TRANSPORT!$Y$521:$BA$521,1,($F$220-1)))/($G$220-$F$220+1),0)</f>
        <v>0</v>
      </c>
      <c r="Y522" s="180">
        <f>IF(AND(Y492&gt;(2020+TRANSPORT!$F$220),Y492&lt;(2022+$G$220)),(TRANSPORT!$G$211-INDEX(TRANSPORT!$Y$521:$BA$521,1,($F$220-1)))/($G$220-$F$220+1),0)</f>
        <v>0</v>
      </c>
      <c r="Z522" s="180">
        <f>IF(AND(Z492&gt;(2020+TRANSPORT!$F$220),Z492&lt;(2022+$G$220)),(TRANSPORT!$G$211-INDEX(TRANSPORT!$Y$521:$BA$521,1,($F$220-1)))/($G$220-$F$220+1),0)</f>
        <v>0</v>
      </c>
      <c r="AA522" s="180">
        <f>IF(AND(AA492&gt;(2020+TRANSPORT!$F$220),AA492&lt;(2022+$G$220)),(TRANSPORT!$G$211-INDEX(TRANSPORT!$Y$521:$BA$521,1,($F$220-1)))/($G$220-$F$220+1),0)</f>
        <v>0</v>
      </c>
      <c r="AB522" s="180">
        <f>IF(AND(AB492&gt;(2020+TRANSPORT!$F$220),AB492&lt;(2022+$G$220)),(TRANSPORT!$G$211-INDEX(TRANSPORT!$Y$521:$BA$521,1,($F$220-1)))/($G$220-$F$220+1),0)</f>
        <v>0</v>
      </c>
      <c r="AC522" s="180">
        <f>IF(AND(AC492&gt;(2020+TRANSPORT!$F$220),AC492&lt;(2022+$G$220)),(TRANSPORT!$G$211-INDEX(TRANSPORT!$Y$521:$BA$521,1,($F$220-1)))/($G$220-$F$220+1),0)</f>
        <v>0</v>
      </c>
      <c r="AD522" s="180">
        <f>IF(AND(AD492&gt;(2020+TRANSPORT!$F$220),AD492&lt;(2022+$G$220)),(TRANSPORT!$G$211-INDEX(TRANSPORT!$Y$521:$BA$521,1,($F$220-1)))/($G$220-$F$220+1),0)</f>
        <v>0</v>
      </c>
      <c r="AE522" s="180">
        <f>IF(AND(AE492&gt;(2020+TRANSPORT!$F$220),AE492&lt;(2022+$G$220)),(TRANSPORT!$G$211-INDEX(TRANSPORT!$Y$521:$BA$521,1,($F$220-1)))/($G$220-$F$220+1),0)</f>
        <v>0</v>
      </c>
      <c r="AF522" s="180">
        <f>IF(AND(AF492&gt;(2020+TRANSPORT!$F$220),AF492&lt;(2022+$G$220)),(TRANSPORT!$G$211-INDEX(TRANSPORT!$Y$521:$BA$521,1,($F$220-1)))/($G$220-$F$220+1),0)</f>
        <v>0</v>
      </c>
      <c r="AG522" s="180">
        <f>IF(AND(AG492&gt;(2020+TRANSPORT!$F$220),AG492&lt;(2022+$G$220)),(TRANSPORT!$G$211-INDEX(TRANSPORT!$Y$521:$BA$521,1,($F$220-1)))/($G$220-$F$220+1),0)</f>
        <v>0</v>
      </c>
      <c r="AH522" s="180">
        <f>IF(AND(AH492&gt;(2020+TRANSPORT!$F$220),AH492&lt;(2022+$G$220)),(TRANSPORT!$G$211-INDEX(TRANSPORT!$Y$521:$BA$521,1,($F$220-1)))/($G$220-$F$220+1),0)</f>
        <v>0</v>
      </c>
      <c r="AI522" s="180">
        <f>IF(AND(AI492&gt;(2020+TRANSPORT!$F$220),AI492&lt;(2022+$G$220)),(TRANSPORT!$G$211-INDEX(TRANSPORT!$Y$521:$BA$521,1,($F$220-1)))/($G$220-$F$220+1),0)</f>
        <v>0</v>
      </c>
      <c r="AJ522" s="180">
        <f>IF(AND(AJ492&gt;(2020+TRANSPORT!$F$220),AJ492&lt;(2022+$G$220)),(TRANSPORT!$G$211-INDEX(TRANSPORT!$Y$521:$BA$521,1,($F$220-1)))/($G$220-$F$220+1),0)</f>
        <v>0</v>
      </c>
      <c r="AK522" s="180">
        <f>IF(AND(AK492&gt;(2020+TRANSPORT!$F$220),AK492&lt;(2022+$G$220)),(TRANSPORT!$G$211-INDEX(TRANSPORT!$Y$521:$BA$521,1,($F$220-1)))/($G$220-$F$220+1),0)</f>
        <v>0</v>
      </c>
      <c r="AL522" s="180">
        <f>IF(AND(AL492&gt;(2020+TRANSPORT!$F$220),AL492&lt;(2022+$G$220)),(TRANSPORT!$G$211-INDEX(TRANSPORT!$Y$521:$BA$521,1,($F$220-1)))/($G$220-$F$220+1),0)</f>
        <v>0</v>
      </c>
      <c r="AM522" s="180">
        <f>IF(AND(AM492&gt;(2020+TRANSPORT!$F$220),AM492&lt;(2022+$G$220)),(TRANSPORT!$G$211-INDEX(TRANSPORT!$Y$521:$BA$521,1,($F$220-1)))/($G$220-$F$220+1),0)</f>
        <v>0</v>
      </c>
      <c r="AN522" s="180">
        <f>IF(AND(AN492&gt;(2020+TRANSPORT!$F$220),AN492&lt;(2022+$G$220)),(TRANSPORT!$G$211-INDEX(TRANSPORT!$Y$521:$BA$521,1,($F$220-1)))/($G$220-$F$220+1),0)</f>
        <v>0</v>
      </c>
      <c r="AO522" s="180">
        <f>IF(AND(AO492&gt;(2020+TRANSPORT!$F$220),AO492&lt;(2022+$G$220)),(TRANSPORT!$G$211-INDEX(TRANSPORT!$Y$521:$BA$521,1,($F$220-1)))/($G$220-$F$220+1),0)</f>
        <v>0</v>
      </c>
      <c r="AP522" s="180">
        <f>IF(AND(AP492&gt;(2020+TRANSPORT!$F$220),AP492&lt;(2022+$G$220)),(TRANSPORT!$G$211-INDEX(TRANSPORT!$Y$521:$BA$521,1,($F$220-1)))/($G$220-$F$220+1),0)</f>
        <v>0</v>
      </c>
      <c r="AQ522" s="180">
        <f>IF(AND(AQ492&gt;(2020+TRANSPORT!$F$220),AQ492&lt;(2022+$G$220)),(TRANSPORT!$G$211-INDEX(TRANSPORT!$Y$521:$BA$521,1,($F$220-1)))/($G$220-$F$220+1),0)</f>
        <v>0</v>
      </c>
      <c r="AR522" s="180">
        <f>IF(AND(AR492&gt;(2020+TRANSPORT!$F$220),AR492&lt;(2022+$G$220)),(TRANSPORT!$G$211-INDEX(TRANSPORT!$Y$521:$BA$521,1,($F$220-1)))/($G$220-$F$220+1),0)</f>
        <v>0</v>
      </c>
      <c r="AS522" s="180">
        <f>IF(AND(AS492&gt;(2020+TRANSPORT!$F$220),AS492&lt;(2022+$G$220)),(TRANSPORT!$G$211-INDEX(TRANSPORT!$Y$521:$BA$521,1,($F$220-1)))/($G$220-$F$220+1),0)</f>
        <v>0</v>
      </c>
      <c r="AT522" s="180">
        <f>IF(AND(AT492&gt;(2020+TRANSPORT!$F$220),AT492&lt;(2022+$G$220)),(TRANSPORT!$G$211-INDEX(TRANSPORT!$Y$521:$BA$521,1,($F$220-1)))/($G$220-$F$220+1),0)</f>
        <v>0</v>
      </c>
      <c r="AU522" s="180">
        <f>IF(AND(AU492&gt;(2020+TRANSPORT!$F$220),AU492&lt;(2022+$G$220)),(TRANSPORT!$G$211-INDEX(TRANSPORT!$Y$521:$BA$521,1,($F$220-1)))/($G$220-$F$220+1),0)</f>
        <v>0</v>
      </c>
      <c r="AV522" s="180">
        <f>IF(AND(AV492&gt;(2020+TRANSPORT!$F$220),AV492&lt;(2022+$G$220)),(TRANSPORT!$G$211-INDEX(TRANSPORT!$Y$521:$BA$521,1,($F$220-1)))/($G$220-$F$220+1),0)</f>
        <v>0</v>
      </c>
      <c r="AW522" s="180">
        <f>IF(AND(AW492&gt;(2020+TRANSPORT!$F$220),AW492&lt;(2022+$G$220)),(TRANSPORT!$G$211-INDEX(TRANSPORT!$Y$521:$BA$521,1,($F$220-1)))/($G$220-$F$220+1),0)</f>
        <v>0</v>
      </c>
      <c r="AX522" s="180">
        <f>IF(AND(AX492&gt;(2020+TRANSPORT!$F$220),AX492&lt;(2022+$G$220)),(TRANSPORT!$G$211-INDEX(TRANSPORT!$Y$521:$BA$521,1,($F$220-1)))/($G$220-$F$220+1),0)</f>
        <v>0</v>
      </c>
      <c r="AY522" s="180">
        <f>IF(AND(AY492&gt;(2020+TRANSPORT!$F$220),AY492&lt;(2022+$G$220)),(TRANSPORT!$G$211-INDEX(TRANSPORT!$Y$521:$BA$521,1,($F$220-1)))/($G$220-$F$220+1),0)</f>
        <v>0</v>
      </c>
      <c r="AZ522" s="180">
        <f>IF(AND(AZ492&gt;(2020+TRANSPORT!$F$220),AZ492&lt;(2022+$G$220)),(TRANSPORT!$G$211-INDEX(TRANSPORT!$Y$521:$BA$521,1,($F$220-1)))/($G$220-$F$220+1),0)</f>
        <v>0</v>
      </c>
      <c r="BA522" s="865">
        <f>IF(AND(BA492&gt;(2020+TRANSPORT!$F$220),BA492&lt;(2022+$G$220)),(TRANSPORT!$G$211-INDEX(TRANSPORT!$Y$521:$BA$521,1,($F$220-1)))/($G$220-$F$220+1),0)</f>
        <v>0</v>
      </c>
    </row>
    <row r="523" spans="19:53" ht="20.100000000000001" customHeight="1">
      <c r="S523" s="871" t="s">
        <v>2739</v>
      </c>
      <c r="T523" s="868" t="s">
        <v>2730</v>
      </c>
      <c r="U523" s="860"/>
      <c r="V523" s="860"/>
      <c r="W523" s="860"/>
      <c r="X523" s="869">
        <f>SUM(X521:X522)</f>
        <v>0</v>
      </c>
      <c r="Y523" s="869">
        <f>IF(Y522=0,X523*(IF(X521=0,1,Y521/X521)),X523+Y522)</f>
        <v>0</v>
      </c>
      <c r="Z523" s="869">
        <f t="shared" ref="Z523:BA523" si="795">IF(Z522=0,Y523*(IF(Y521=0,1,Z521/Y521)),Y523+Z522)</f>
        <v>0</v>
      </c>
      <c r="AA523" s="869">
        <f t="shared" si="795"/>
        <v>0</v>
      </c>
      <c r="AB523" s="869">
        <f t="shared" si="795"/>
        <v>0</v>
      </c>
      <c r="AC523" s="869">
        <f t="shared" si="795"/>
        <v>0</v>
      </c>
      <c r="AD523" s="869">
        <f t="shared" si="795"/>
        <v>0</v>
      </c>
      <c r="AE523" s="869">
        <f t="shared" si="795"/>
        <v>0</v>
      </c>
      <c r="AF523" s="869">
        <f t="shared" si="795"/>
        <v>0</v>
      </c>
      <c r="AG523" s="869">
        <f t="shared" si="795"/>
        <v>0</v>
      </c>
      <c r="AH523" s="869">
        <f t="shared" si="795"/>
        <v>0</v>
      </c>
      <c r="AI523" s="869">
        <f t="shared" si="795"/>
        <v>0</v>
      </c>
      <c r="AJ523" s="869">
        <f t="shared" si="795"/>
        <v>0</v>
      </c>
      <c r="AK523" s="869">
        <f t="shared" si="795"/>
        <v>0</v>
      </c>
      <c r="AL523" s="869">
        <f t="shared" si="795"/>
        <v>0</v>
      </c>
      <c r="AM523" s="869">
        <f t="shared" si="795"/>
        <v>0</v>
      </c>
      <c r="AN523" s="869">
        <f t="shared" si="795"/>
        <v>0</v>
      </c>
      <c r="AO523" s="869">
        <f t="shared" si="795"/>
        <v>0</v>
      </c>
      <c r="AP523" s="869">
        <f t="shared" si="795"/>
        <v>0</v>
      </c>
      <c r="AQ523" s="869">
        <f t="shared" si="795"/>
        <v>0</v>
      </c>
      <c r="AR523" s="869">
        <f t="shared" si="795"/>
        <v>0</v>
      </c>
      <c r="AS523" s="869">
        <f t="shared" si="795"/>
        <v>0</v>
      </c>
      <c r="AT523" s="869">
        <f t="shared" si="795"/>
        <v>0</v>
      </c>
      <c r="AU523" s="869">
        <f t="shared" si="795"/>
        <v>0</v>
      </c>
      <c r="AV523" s="869">
        <f t="shared" si="795"/>
        <v>0</v>
      </c>
      <c r="AW523" s="869">
        <f t="shared" si="795"/>
        <v>0</v>
      </c>
      <c r="AX523" s="869">
        <f t="shared" si="795"/>
        <v>0</v>
      </c>
      <c r="AY523" s="869">
        <f t="shared" si="795"/>
        <v>0</v>
      </c>
      <c r="AZ523" s="869">
        <f t="shared" si="795"/>
        <v>0</v>
      </c>
      <c r="BA523" s="870">
        <f t="shared" si="795"/>
        <v>0</v>
      </c>
    </row>
    <row r="524" spans="19:53" ht="20.100000000000001" customHeight="1">
      <c r="S524" s="542" t="s">
        <v>630</v>
      </c>
      <c r="T524" s="131"/>
      <c r="U524" s="131"/>
      <c r="V524" s="131"/>
      <c r="W524" s="131"/>
      <c r="X524" s="123">
        <f t="shared" ref="X524:BA524" si="796">X67</f>
        <v>0</v>
      </c>
      <c r="Y524" s="123">
        <f t="shared" si="796"/>
        <v>0</v>
      </c>
      <c r="Z524" s="123">
        <f t="shared" si="796"/>
        <v>0</v>
      </c>
      <c r="AA524" s="123">
        <f t="shared" si="796"/>
        <v>0</v>
      </c>
      <c r="AB524" s="123">
        <f t="shared" si="796"/>
        <v>0</v>
      </c>
      <c r="AC524" s="123">
        <f t="shared" si="796"/>
        <v>0</v>
      </c>
      <c r="AD524" s="123">
        <f t="shared" si="796"/>
        <v>0</v>
      </c>
      <c r="AE524" s="123">
        <f t="shared" si="796"/>
        <v>0</v>
      </c>
      <c r="AF524" s="123">
        <f t="shared" si="796"/>
        <v>0</v>
      </c>
      <c r="AG524" s="123">
        <f t="shared" si="796"/>
        <v>0</v>
      </c>
      <c r="AH524" s="123">
        <f t="shared" si="796"/>
        <v>0</v>
      </c>
      <c r="AI524" s="123">
        <f t="shared" si="796"/>
        <v>0</v>
      </c>
      <c r="AJ524" s="123">
        <f t="shared" si="796"/>
        <v>0</v>
      </c>
      <c r="AK524" s="123">
        <f t="shared" si="796"/>
        <v>0</v>
      </c>
      <c r="AL524" s="123">
        <f t="shared" si="796"/>
        <v>0</v>
      </c>
      <c r="AM524" s="123">
        <f t="shared" si="796"/>
        <v>0</v>
      </c>
      <c r="AN524" s="123">
        <f t="shared" si="796"/>
        <v>0</v>
      </c>
      <c r="AO524" s="123">
        <f t="shared" si="796"/>
        <v>0</v>
      </c>
      <c r="AP524" s="123">
        <f t="shared" si="796"/>
        <v>0</v>
      </c>
      <c r="AQ524" s="123">
        <f t="shared" si="796"/>
        <v>0</v>
      </c>
      <c r="AR524" s="123">
        <f t="shared" si="796"/>
        <v>0</v>
      </c>
      <c r="AS524" s="123">
        <f t="shared" si="796"/>
        <v>0</v>
      </c>
      <c r="AT524" s="123">
        <f t="shared" si="796"/>
        <v>0</v>
      </c>
      <c r="AU524" s="123">
        <f t="shared" si="796"/>
        <v>0</v>
      </c>
      <c r="AV524" s="123">
        <f t="shared" si="796"/>
        <v>0</v>
      </c>
      <c r="AW524" s="123">
        <f t="shared" si="796"/>
        <v>0</v>
      </c>
      <c r="AX524" s="123">
        <f t="shared" si="796"/>
        <v>0</v>
      </c>
      <c r="AY524" s="123">
        <f t="shared" si="796"/>
        <v>0</v>
      </c>
      <c r="AZ524" s="123">
        <f t="shared" si="796"/>
        <v>0</v>
      </c>
      <c r="BA524" s="159">
        <f t="shared" si="796"/>
        <v>0</v>
      </c>
    </row>
    <row r="525" spans="19:53" ht="20.100000000000001" customHeight="1">
      <c r="S525" s="542" t="s">
        <v>2690</v>
      </c>
      <c r="T525" s="131"/>
      <c r="U525" s="131"/>
      <c r="V525" s="131"/>
      <c r="W525" s="131"/>
      <c r="X525" s="123">
        <f>IF(AND(X492&gt;(2020+TRANSPORT!$F$220),X492&lt;(2022+$G$220)),(TRANSPORT!$G$212-INDEX(TRANSPORT!$Y$524:$BA$524,1,($F$220-1)))/($G$220-$F$220+1),0)</f>
        <v>0</v>
      </c>
      <c r="Y525" s="123">
        <f>IF(AND(Y492&gt;(2020+TRANSPORT!$F$220),Y492&lt;(2022+$G$220)),(TRANSPORT!$G$212-INDEX(TRANSPORT!$Y$524:$BA$524,1,($F$220-1)))/($G$220-$F$220+1),0)</f>
        <v>0</v>
      </c>
      <c r="Z525" s="123">
        <f>IF(AND(Z492&gt;(2020+TRANSPORT!$F$220),Z492&lt;(2022+$G$220)),(TRANSPORT!$G$212-INDEX(TRANSPORT!$Y$524:$BA$524,1,($F$220-1)))/($G$220-$F$220+1),0)</f>
        <v>0</v>
      </c>
      <c r="AA525" s="123">
        <f>IF(AND(AA492&gt;(2020+TRANSPORT!$F$220),AA492&lt;(2022+$G$220)),(TRANSPORT!$G$212-INDEX(TRANSPORT!$Y$524:$BA$524,1,($F$220-1)))/($G$220-$F$220+1),0)</f>
        <v>0</v>
      </c>
      <c r="AB525" s="123">
        <f>IF(AND(AB492&gt;(2020+TRANSPORT!$F$220),AB492&lt;(2022+$G$220)),(TRANSPORT!$G$212-INDEX(TRANSPORT!$Y$524:$BA$524,1,($F$220-1)))/($G$220-$F$220+1),0)</f>
        <v>0</v>
      </c>
      <c r="AC525" s="123">
        <f>IF(AND(AC492&gt;(2020+TRANSPORT!$F$220),AC492&lt;(2022+$G$220)),(TRANSPORT!$G$212-INDEX(TRANSPORT!$Y$524:$BA$524,1,($F$220-1)))/($G$220-$F$220+1),0)</f>
        <v>0</v>
      </c>
      <c r="AD525" s="123">
        <f>IF(AND(AD492&gt;(2020+TRANSPORT!$F$220),AD492&lt;(2022+$G$220)),(TRANSPORT!$G$212-INDEX(TRANSPORT!$Y$524:$BA$524,1,($F$220-1)))/($G$220-$F$220+1),0)</f>
        <v>0</v>
      </c>
      <c r="AE525" s="123">
        <f>IF(AND(AE492&gt;(2020+TRANSPORT!$F$220),AE492&lt;(2022+$G$220)),(TRANSPORT!$G$212-INDEX(TRANSPORT!$Y$524:$BA$524,1,($F$220-1)))/($G$220-$F$220+1),0)</f>
        <v>0</v>
      </c>
      <c r="AF525" s="123">
        <f>IF(AND(AF492&gt;(2020+TRANSPORT!$F$220),AF492&lt;(2022+$G$220)),(TRANSPORT!$G$212-INDEX(TRANSPORT!$Y$524:$BA$524,1,($F$220-1)))/($G$220-$F$220+1),0)</f>
        <v>0</v>
      </c>
      <c r="AG525" s="123">
        <f>IF(AND(AG492&gt;(2020+TRANSPORT!$F$220),AG492&lt;(2022+$G$220)),(TRANSPORT!$G$212-INDEX(TRANSPORT!$Y$524:$BA$524,1,($F$220-1)))/($G$220-$F$220+1),0)</f>
        <v>0</v>
      </c>
      <c r="AH525" s="123">
        <f>IF(AND(AH492&gt;(2020+TRANSPORT!$F$220),AH492&lt;(2022+$G$220)),(TRANSPORT!$G$212-INDEX(TRANSPORT!$Y$524:$BA$524,1,($F$220-1)))/($G$220-$F$220+1),0)</f>
        <v>0</v>
      </c>
      <c r="AI525" s="123">
        <f>IF(AND(AI492&gt;(2020+TRANSPORT!$F$220),AI492&lt;(2022+$G$220)),(TRANSPORT!$G$212-INDEX(TRANSPORT!$Y$524:$BA$524,1,($F$220-1)))/($G$220-$F$220+1),0)</f>
        <v>0</v>
      </c>
      <c r="AJ525" s="123">
        <f>IF(AND(AJ492&gt;(2020+TRANSPORT!$F$220),AJ492&lt;(2022+$G$220)),(TRANSPORT!$G$212-INDEX(TRANSPORT!$Y$524:$BA$524,1,($F$220-1)))/($G$220-$F$220+1),0)</f>
        <v>0</v>
      </c>
      <c r="AK525" s="123">
        <f>IF(AND(AK492&gt;(2020+TRANSPORT!$F$220),AK492&lt;(2022+$G$220)),(TRANSPORT!$G$212-INDEX(TRANSPORT!$Y$524:$BA$524,1,($F$220-1)))/($G$220-$F$220+1),0)</f>
        <v>0</v>
      </c>
      <c r="AL525" s="123">
        <f>IF(AND(AL492&gt;(2020+TRANSPORT!$F$220),AL492&lt;(2022+$G$220)),(TRANSPORT!$G$212-INDEX(TRANSPORT!$Y$524:$BA$524,1,($F$220-1)))/($G$220-$F$220+1),0)</f>
        <v>0</v>
      </c>
      <c r="AM525" s="123">
        <f>IF(AND(AM492&gt;(2020+TRANSPORT!$F$220),AM492&lt;(2022+$G$220)),(TRANSPORT!$G$212-INDEX(TRANSPORT!$Y$524:$BA$524,1,($F$220-1)))/($G$220-$F$220+1),0)</f>
        <v>0</v>
      </c>
      <c r="AN525" s="123">
        <f>IF(AND(AN492&gt;(2020+TRANSPORT!$F$220),AN492&lt;(2022+$G$220)),(TRANSPORT!$G$212-INDEX(TRANSPORT!$Y$524:$BA$524,1,($F$220-1)))/($G$220-$F$220+1),0)</f>
        <v>0</v>
      </c>
      <c r="AO525" s="123">
        <f>IF(AND(AO492&gt;(2020+TRANSPORT!$F$220),AO492&lt;(2022+$G$220)),(TRANSPORT!$G$212-INDEX(TRANSPORT!$Y$524:$BA$524,1,($F$220-1)))/($G$220-$F$220+1),0)</f>
        <v>0</v>
      </c>
      <c r="AP525" s="123">
        <f>IF(AND(AP492&gt;(2020+TRANSPORT!$F$220),AP492&lt;(2022+$G$220)),(TRANSPORT!$G$212-INDEX(TRANSPORT!$Y$524:$BA$524,1,($F$220-1)))/($G$220-$F$220+1),0)</f>
        <v>0</v>
      </c>
      <c r="AQ525" s="123">
        <f>IF(AND(AQ492&gt;(2020+TRANSPORT!$F$220),AQ492&lt;(2022+$G$220)),(TRANSPORT!$G$212-INDEX(TRANSPORT!$Y$524:$BA$524,1,($F$220-1)))/($G$220-$F$220+1),0)</f>
        <v>0</v>
      </c>
      <c r="AR525" s="123">
        <f>IF(AND(AR492&gt;(2020+TRANSPORT!$F$220),AR492&lt;(2022+$G$220)),(TRANSPORT!$G$212-INDEX(TRANSPORT!$Y$524:$BA$524,1,($F$220-1)))/($G$220-$F$220+1),0)</f>
        <v>0</v>
      </c>
      <c r="AS525" s="123">
        <f>IF(AND(AS492&gt;(2020+TRANSPORT!$F$220),AS492&lt;(2022+$G$220)),(TRANSPORT!$G$212-INDEX(TRANSPORT!$Y$524:$BA$524,1,($F$220-1)))/($G$220-$F$220+1),0)</f>
        <v>0</v>
      </c>
      <c r="AT525" s="123">
        <f>IF(AND(AT492&gt;(2020+TRANSPORT!$F$220),AT492&lt;(2022+$G$220)),(TRANSPORT!$G$212-INDEX(TRANSPORT!$Y$524:$BA$524,1,($F$220-1)))/($G$220-$F$220+1),0)</f>
        <v>0</v>
      </c>
      <c r="AU525" s="123">
        <f>IF(AND(AU492&gt;(2020+TRANSPORT!$F$220),AU492&lt;(2022+$G$220)),(TRANSPORT!$G$212-INDEX(TRANSPORT!$Y$524:$BA$524,1,($F$220-1)))/($G$220-$F$220+1),0)</f>
        <v>0</v>
      </c>
      <c r="AV525" s="123">
        <f>IF(AND(AV492&gt;(2020+TRANSPORT!$F$220),AV492&lt;(2022+$G$220)),(TRANSPORT!$G$212-INDEX(TRANSPORT!$Y$524:$BA$524,1,($F$220-1)))/($G$220-$F$220+1),0)</f>
        <v>0</v>
      </c>
      <c r="AW525" s="123">
        <f>IF(AND(AW492&gt;(2020+TRANSPORT!$F$220),AW492&lt;(2022+$G$220)),(TRANSPORT!$G$212-INDEX(TRANSPORT!$Y$524:$BA$524,1,($F$220-1)))/($G$220-$F$220+1),0)</f>
        <v>0</v>
      </c>
      <c r="AX525" s="123">
        <f>IF(AND(AX492&gt;(2020+TRANSPORT!$F$220),AX492&lt;(2022+$G$220)),(TRANSPORT!$G$212-INDEX(TRANSPORT!$Y$524:$BA$524,1,($F$220-1)))/($G$220-$F$220+1),0)</f>
        <v>0</v>
      </c>
      <c r="AY525" s="123">
        <f>IF(AND(AY492&gt;(2020+TRANSPORT!$F$220),AY492&lt;(2022+$G$220)),(TRANSPORT!$G$212-INDEX(TRANSPORT!$Y$524:$BA$524,1,($F$220-1)))/($G$220-$F$220+1),0)</f>
        <v>0</v>
      </c>
      <c r="AZ525" s="123">
        <f>IF(AND(AZ492&gt;(2020+TRANSPORT!$F$220),AZ492&lt;(2022+$G$220)),(TRANSPORT!$G$212-INDEX(TRANSPORT!$Y$524:$BA$524,1,($F$220-1)))/($G$220-$F$220+1),0)</f>
        <v>0</v>
      </c>
      <c r="BA525" s="159">
        <f>IF(AND(BA492&gt;(2020+TRANSPORT!$F$220),BA492&lt;(2022+$G$220)),(TRANSPORT!$G$212-INDEX(TRANSPORT!$Y$524:$BA$524,1,($F$220-1)))/($G$220-$F$220+1),0)</f>
        <v>0</v>
      </c>
    </row>
    <row r="526" spans="19:53" ht="20.100000000000001" customHeight="1">
      <c r="S526" s="863" t="s">
        <v>2740</v>
      </c>
      <c r="T526" s="392" t="s">
        <v>2730</v>
      </c>
      <c r="U526" s="131"/>
      <c r="V526" s="131"/>
      <c r="W526" s="131"/>
      <c r="X526" s="807">
        <f>SUM(X524:X525)</f>
        <v>0</v>
      </c>
      <c r="Y526" s="807">
        <f>IF(Y525=0,X526*(IF(X524=0,1,Y524/X524)),X526+Y525)</f>
        <v>0</v>
      </c>
      <c r="Z526" s="807">
        <f t="shared" ref="Z526:BA526" si="797">IF(Z525=0,Y526*(IF(Y524=0,1,Z524/Y524)),Y526+Z525)</f>
        <v>0</v>
      </c>
      <c r="AA526" s="807">
        <f t="shared" si="797"/>
        <v>0</v>
      </c>
      <c r="AB526" s="807">
        <f t="shared" si="797"/>
        <v>0</v>
      </c>
      <c r="AC526" s="807">
        <f t="shared" si="797"/>
        <v>0</v>
      </c>
      <c r="AD526" s="807">
        <f t="shared" si="797"/>
        <v>0</v>
      </c>
      <c r="AE526" s="807">
        <f t="shared" si="797"/>
        <v>0</v>
      </c>
      <c r="AF526" s="807">
        <f t="shared" si="797"/>
        <v>0</v>
      </c>
      <c r="AG526" s="807">
        <f t="shared" si="797"/>
        <v>0</v>
      </c>
      <c r="AH526" s="807">
        <f t="shared" si="797"/>
        <v>0</v>
      </c>
      <c r="AI526" s="807">
        <f t="shared" si="797"/>
        <v>0</v>
      </c>
      <c r="AJ526" s="807">
        <f t="shared" si="797"/>
        <v>0</v>
      </c>
      <c r="AK526" s="807">
        <f t="shared" si="797"/>
        <v>0</v>
      </c>
      <c r="AL526" s="807">
        <f t="shared" si="797"/>
        <v>0</v>
      </c>
      <c r="AM526" s="807">
        <f t="shared" si="797"/>
        <v>0</v>
      </c>
      <c r="AN526" s="807">
        <f t="shared" si="797"/>
        <v>0</v>
      </c>
      <c r="AO526" s="807">
        <f t="shared" si="797"/>
        <v>0</v>
      </c>
      <c r="AP526" s="807">
        <f t="shared" si="797"/>
        <v>0</v>
      </c>
      <c r="AQ526" s="807">
        <f t="shared" si="797"/>
        <v>0</v>
      </c>
      <c r="AR526" s="807">
        <f t="shared" si="797"/>
        <v>0</v>
      </c>
      <c r="AS526" s="807">
        <f t="shared" si="797"/>
        <v>0</v>
      </c>
      <c r="AT526" s="807">
        <f t="shared" si="797"/>
        <v>0</v>
      </c>
      <c r="AU526" s="807">
        <f t="shared" si="797"/>
        <v>0</v>
      </c>
      <c r="AV526" s="807">
        <f t="shared" si="797"/>
        <v>0</v>
      </c>
      <c r="AW526" s="807">
        <f t="shared" si="797"/>
        <v>0</v>
      </c>
      <c r="AX526" s="807">
        <f t="shared" si="797"/>
        <v>0</v>
      </c>
      <c r="AY526" s="807">
        <f t="shared" si="797"/>
        <v>0</v>
      </c>
      <c r="AZ526" s="807">
        <f t="shared" si="797"/>
        <v>0</v>
      </c>
      <c r="BA526" s="808">
        <f t="shared" si="797"/>
        <v>0</v>
      </c>
    </row>
    <row r="527" spans="19:53" ht="20.100000000000001" customHeight="1">
      <c r="S527" s="864" t="s">
        <v>2042</v>
      </c>
      <c r="T527" s="860"/>
      <c r="U527" s="860"/>
      <c r="V527" s="860"/>
      <c r="W527" s="860"/>
      <c r="X527" s="180">
        <f t="shared" ref="X527:BA527" si="798">X68</f>
        <v>0.1778413966184085</v>
      </c>
      <c r="Y527" s="180">
        <f t="shared" si="798"/>
        <v>0.1778413966184085</v>
      </c>
      <c r="Z527" s="180">
        <f t="shared" si="798"/>
        <v>0.1778413966184085</v>
      </c>
      <c r="AA527" s="180">
        <f t="shared" si="798"/>
        <v>0.1778413966184085</v>
      </c>
      <c r="AB527" s="180">
        <f t="shared" si="798"/>
        <v>0.1778413966184085</v>
      </c>
      <c r="AC527" s="180">
        <f t="shared" si="798"/>
        <v>0.1778413966184085</v>
      </c>
      <c r="AD527" s="180">
        <f t="shared" si="798"/>
        <v>0.1778413966184085</v>
      </c>
      <c r="AE527" s="180">
        <f t="shared" si="798"/>
        <v>0.1778413966184085</v>
      </c>
      <c r="AF527" s="180">
        <f t="shared" si="798"/>
        <v>0.1778413966184085</v>
      </c>
      <c r="AG527" s="180">
        <f t="shared" si="798"/>
        <v>0.1778413966184085</v>
      </c>
      <c r="AH527" s="180">
        <f t="shared" si="798"/>
        <v>0.1778413966184085</v>
      </c>
      <c r="AI527" s="180">
        <f t="shared" si="798"/>
        <v>0.1778413966184085</v>
      </c>
      <c r="AJ527" s="180">
        <f t="shared" si="798"/>
        <v>0.1778413966184085</v>
      </c>
      <c r="AK527" s="180">
        <f t="shared" si="798"/>
        <v>0.1778413966184085</v>
      </c>
      <c r="AL527" s="180">
        <f t="shared" si="798"/>
        <v>0.1778413966184085</v>
      </c>
      <c r="AM527" s="180">
        <f t="shared" si="798"/>
        <v>0.1778413966184085</v>
      </c>
      <c r="AN527" s="180">
        <f t="shared" si="798"/>
        <v>0.1778413966184085</v>
      </c>
      <c r="AO527" s="180">
        <f t="shared" si="798"/>
        <v>0.1778413966184085</v>
      </c>
      <c r="AP527" s="180">
        <f t="shared" si="798"/>
        <v>0.1778413966184085</v>
      </c>
      <c r="AQ527" s="180">
        <f t="shared" si="798"/>
        <v>0.1778413966184085</v>
      </c>
      <c r="AR527" s="180">
        <f t="shared" si="798"/>
        <v>0.1778413966184085</v>
      </c>
      <c r="AS527" s="180">
        <f t="shared" si="798"/>
        <v>0.1778413966184085</v>
      </c>
      <c r="AT527" s="180">
        <f t="shared" si="798"/>
        <v>0.1778413966184085</v>
      </c>
      <c r="AU527" s="180">
        <f t="shared" si="798"/>
        <v>0.1778413966184085</v>
      </c>
      <c r="AV527" s="180">
        <f t="shared" si="798"/>
        <v>0.1778413966184085</v>
      </c>
      <c r="AW527" s="180">
        <f t="shared" si="798"/>
        <v>0.1778413966184085</v>
      </c>
      <c r="AX527" s="180">
        <f t="shared" si="798"/>
        <v>0.1778413966184085</v>
      </c>
      <c r="AY527" s="180">
        <f t="shared" si="798"/>
        <v>0.1778413966184085</v>
      </c>
      <c r="AZ527" s="180">
        <f t="shared" si="798"/>
        <v>0.1778413966184085</v>
      </c>
      <c r="BA527" s="865">
        <f t="shared" si="798"/>
        <v>0.1778413966184085</v>
      </c>
    </row>
    <row r="528" spans="19:53" ht="20.100000000000001" customHeight="1">
      <c r="S528" s="864" t="s">
        <v>2690</v>
      </c>
      <c r="T528" s="860"/>
      <c r="U528" s="860"/>
      <c r="V528" s="860"/>
      <c r="W528" s="860"/>
      <c r="X528" s="180">
        <f>IF(AND(X492&gt;(2020+TRANSPORT!$F$220),X492&lt;(2022+$G$220)),(TRANSPORT!$G$213-INDEX(TRANSPORT!$Y$527:$BA$527,1,($F$220-1)))/($G$220-$F$220+1),0)</f>
        <v>0</v>
      </c>
      <c r="Y528" s="180">
        <f>IF(AND(Y492&gt;(2020+TRANSPORT!$F$220),Y492&lt;(2022+$G$220)),(TRANSPORT!$G$213-INDEX(TRANSPORT!$Y$527:$BA$527,1,($F$220-1)))/($G$220-$F$220+1),0)</f>
        <v>0.10553965084539788</v>
      </c>
      <c r="Z528" s="180">
        <f>IF(AND(Z492&gt;(2020+TRANSPORT!$F$220),Z492&lt;(2022+$G$220)),(TRANSPORT!$G$213-INDEX(TRANSPORT!$Y$527:$BA$527,1,($F$220-1)))/($G$220-$F$220+1),0)</f>
        <v>0.10553965084539788</v>
      </c>
      <c r="AA528" s="180">
        <f>IF(AND(AA492&gt;(2020+TRANSPORT!$F$220),AA492&lt;(2022+$G$220)),(TRANSPORT!$G$213-INDEX(TRANSPORT!$Y$527:$BA$527,1,($F$220-1)))/($G$220-$F$220+1),0)</f>
        <v>0.10553965084539788</v>
      </c>
      <c r="AB528" s="180">
        <f>IF(AND(AB492&gt;(2020+TRANSPORT!$F$220),AB492&lt;(2022+$G$220)),(TRANSPORT!$G$213-INDEX(TRANSPORT!$Y$527:$BA$527,1,($F$220-1)))/($G$220-$F$220+1),0)</f>
        <v>0.10553965084539788</v>
      </c>
      <c r="AC528" s="180">
        <f>IF(AND(AC492&gt;(2020+TRANSPORT!$F$220),AC492&lt;(2022+$G$220)),(TRANSPORT!$G$213-INDEX(TRANSPORT!$Y$527:$BA$527,1,($F$220-1)))/($G$220-$F$220+1),0)</f>
        <v>0</v>
      </c>
      <c r="AD528" s="180">
        <f>IF(AND(AD492&gt;(2020+TRANSPORT!$F$220),AD492&lt;(2022+$G$220)),(TRANSPORT!$G$213-INDEX(TRANSPORT!$Y$527:$BA$527,1,($F$220-1)))/($G$220-$F$220+1),0)</f>
        <v>0</v>
      </c>
      <c r="AE528" s="180">
        <f>IF(AND(AE492&gt;(2020+TRANSPORT!$F$220),AE492&lt;(2022+$G$220)),(TRANSPORT!$G$213-INDEX(TRANSPORT!$Y$527:$BA$527,1,($F$220-1)))/($G$220-$F$220+1),0)</f>
        <v>0</v>
      </c>
      <c r="AF528" s="180">
        <f>IF(AND(AF492&gt;(2020+TRANSPORT!$F$220),AF492&lt;(2022+$G$220)),(TRANSPORT!$G$213-INDEX(TRANSPORT!$Y$527:$BA$527,1,($F$220-1)))/($G$220-$F$220+1),0)</f>
        <v>0</v>
      </c>
      <c r="AG528" s="180">
        <f>IF(AND(AG492&gt;(2020+TRANSPORT!$F$220),AG492&lt;(2022+$G$220)),(TRANSPORT!$G$213-INDEX(TRANSPORT!$Y$527:$BA$527,1,($F$220-1)))/($G$220-$F$220+1),0)</f>
        <v>0</v>
      </c>
      <c r="AH528" s="180">
        <f>IF(AND(AH492&gt;(2020+TRANSPORT!$F$220),AH492&lt;(2022+$G$220)),(TRANSPORT!$G$213-INDEX(TRANSPORT!$Y$527:$BA$527,1,($F$220-1)))/($G$220-$F$220+1),0)</f>
        <v>0</v>
      </c>
      <c r="AI528" s="180">
        <f>IF(AND(AI492&gt;(2020+TRANSPORT!$F$220),AI492&lt;(2022+$G$220)),(TRANSPORT!$G$213-INDEX(TRANSPORT!$Y$527:$BA$527,1,($F$220-1)))/($G$220-$F$220+1),0)</f>
        <v>0</v>
      </c>
      <c r="AJ528" s="180">
        <f>IF(AND(AJ492&gt;(2020+TRANSPORT!$F$220),AJ492&lt;(2022+$G$220)),(TRANSPORT!$G$213-INDEX(TRANSPORT!$Y$527:$BA$527,1,($F$220-1)))/($G$220-$F$220+1),0)</f>
        <v>0</v>
      </c>
      <c r="AK528" s="180">
        <f>IF(AND(AK492&gt;(2020+TRANSPORT!$F$220),AK492&lt;(2022+$G$220)),(TRANSPORT!$G$213-INDEX(TRANSPORT!$Y$527:$BA$527,1,($F$220-1)))/($G$220-$F$220+1),0)</f>
        <v>0</v>
      </c>
      <c r="AL528" s="180">
        <f>IF(AND(AL492&gt;(2020+TRANSPORT!$F$220),AL492&lt;(2022+$G$220)),(TRANSPORT!$G$213-INDEX(TRANSPORT!$Y$527:$BA$527,1,($F$220-1)))/($G$220-$F$220+1),0)</f>
        <v>0</v>
      </c>
      <c r="AM528" s="180">
        <f>IF(AND(AM492&gt;(2020+TRANSPORT!$F$220),AM492&lt;(2022+$G$220)),(TRANSPORT!$G$213-INDEX(TRANSPORT!$Y$527:$BA$527,1,($F$220-1)))/($G$220-$F$220+1),0)</f>
        <v>0</v>
      </c>
      <c r="AN528" s="180">
        <f>IF(AND(AN492&gt;(2020+TRANSPORT!$F$220),AN492&lt;(2022+$G$220)),(TRANSPORT!$G$213-INDEX(TRANSPORT!$Y$527:$BA$527,1,($F$220-1)))/($G$220-$F$220+1),0)</f>
        <v>0</v>
      </c>
      <c r="AO528" s="180">
        <f>IF(AND(AO492&gt;(2020+TRANSPORT!$F$220),AO492&lt;(2022+$G$220)),(TRANSPORT!$G$213-INDEX(TRANSPORT!$Y$527:$BA$527,1,($F$220-1)))/($G$220-$F$220+1),0)</f>
        <v>0</v>
      </c>
      <c r="AP528" s="180">
        <f>IF(AND(AP492&gt;(2020+TRANSPORT!$F$220),AP492&lt;(2022+$G$220)),(TRANSPORT!$G$213-INDEX(TRANSPORT!$Y$527:$BA$527,1,($F$220-1)))/($G$220-$F$220+1),0)</f>
        <v>0</v>
      </c>
      <c r="AQ528" s="180">
        <f>IF(AND(AQ492&gt;(2020+TRANSPORT!$F$220),AQ492&lt;(2022+$G$220)),(TRANSPORT!$G$213-INDEX(TRANSPORT!$Y$527:$BA$527,1,($F$220-1)))/($G$220-$F$220+1),0)</f>
        <v>0</v>
      </c>
      <c r="AR528" s="180">
        <f>IF(AND(AR492&gt;(2020+TRANSPORT!$F$220),AR492&lt;(2022+$G$220)),(TRANSPORT!$G$213-INDEX(TRANSPORT!$Y$527:$BA$527,1,($F$220-1)))/($G$220-$F$220+1),0)</f>
        <v>0</v>
      </c>
      <c r="AS528" s="180">
        <f>IF(AND(AS492&gt;(2020+TRANSPORT!$F$220),AS492&lt;(2022+$G$220)),(TRANSPORT!$G$213-INDEX(TRANSPORT!$Y$527:$BA$527,1,($F$220-1)))/($G$220-$F$220+1),0)</f>
        <v>0</v>
      </c>
      <c r="AT528" s="180">
        <f>IF(AND(AT492&gt;(2020+TRANSPORT!$F$220),AT492&lt;(2022+$G$220)),(TRANSPORT!$G$213-INDEX(TRANSPORT!$Y$527:$BA$527,1,($F$220-1)))/($G$220-$F$220+1),0)</f>
        <v>0</v>
      </c>
      <c r="AU528" s="180">
        <f>IF(AND(AU492&gt;(2020+TRANSPORT!$F$220),AU492&lt;(2022+$G$220)),(TRANSPORT!$G$213-INDEX(TRANSPORT!$Y$527:$BA$527,1,($F$220-1)))/($G$220-$F$220+1),0)</f>
        <v>0</v>
      </c>
      <c r="AV528" s="180">
        <f>IF(AND(AV492&gt;(2020+TRANSPORT!$F$220),AV492&lt;(2022+$G$220)),(TRANSPORT!$G$213-INDEX(TRANSPORT!$Y$527:$BA$527,1,($F$220-1)))/($G$220-$F$220+1),0)</f>
        <v>0</v>
      </c>
      <c r="AW528" s="180">
        <f>IF(AND(AW492&gt;(2020+TRANSPORT!$F$220),AW492&lt;(2022+$G$220)),(TRANSPORT!$G$213-INDEX(TRANSPORT!$Y$527:$BA$527,1,($F$220-1)))/($G$220-$F$220+1),0)</f>
        <v>0</v>
      </c>
      <c r="AX528" s="180">
        <f>IF(AND(AX492&gt;(2020+TRANSPORT!$F$220),AX492&lt;(2022+$G$220)),(TRANSPORT!$G$213-INDEX(TRANSPORT!$Y$527:$BA$527,1,($F$220-1)))/($G$220-$F$220+1),0)</f>
        <v>0</v>
      </c>
      <c r="AY528" s="180">
        <f>IF(AND(AY492&gt;(2020+TRANSPORT!$F$220),AY492&lt;(2022+$G$220)),(TRANSPORT!$G$213-INDEX(TRANSPORT!$Y$527:$BA$527,1,($F$220-1)))/($G$220-$F$220+1),0)</f>
        <v>0</v>
      </c>
      <c r="AZ528" s="180">
        <f>IF(AND(AZ492&gt;(2020+TRANSPORT!$F$220),AZ492&lt;(2022+$G$220)),(TRANSPORT!$G$213-INDEX(TRANSPORT!$Y$527:$BA$527,1,($F$220-1)))/($G$220-$F$220+1),0)</f>
        <v>0</v>
      </c>
      <c r="BA528" s="865">
        <f>IF(AND(BA492&gt;(2020+TRANSPORT!$F$220),BA492&lt;(2022+$G$220)),(TRANSPORT!$G$213-INDEX(TRANSPORT!$Y$527:$BA$527,1,($F$220-1)))/($G$220-$F$220+1),0)</f>
        <v>0</v>
      </c>
    </row>
    <row r="529" spans="19:54" ht="20.100000000000001" customHeight="1">
      <c r="S529" s="871" t="s">
        <v>2741</v>
      </c>
      <c r="T529" s="868" t="s">
        <v>2730</v>
      </c>
      <c r="U529" s="860"/>
      <c r="V529" s="860"/>
      <c r="W529" s="860"/>
      <c r="X529" s="869">
        <f>SUM(X527:X528)</f>
        <v>0.1778413966184085</v>
      </c>
      <c r="Y529" s="869">
        <f>IF(Y528=0,X529*(IF(X527=0,1,Y527/X527)),X529+Y528)</f>
        <v>0.28338104746380638</v>
      </c>
      <c r="Z529" s="869">
        <f t="shared" ref="Z529:BA529" si="799">IF(Z528=0,Y529*(IF(Y527=0,1,Z527/Y527)),Y529+Z528)</f>
        <v>0.38892069830920428</v>
      </c>
      <c r="AA529" s="869">
        <f t="shared" si="799"/>
        <v>0.49446034915460213</v>
      </c>
      <c r="AB529" s="869">
        <f t="shared" si="799"/>
        <v>0.6</v>
      </c>
      <c r="AC529" s="869">
        <f t="shared" si="799"/>
        <v>0.6</v>
      </c>
      <c r="AD529" s="869">
        <f t="shared" si="799"/>
        <v>0.6</v>
      </c>
      <c r="AE529" s="869">
        <f t="shared" si="799"/>
        <v>0.6</v>
      </c>
      <c r="AF529" s="869">
        <f t="shared" si="799"/>
        <v>0.6</v>
      </c>
      <c r="AG529" s="869">
        <f t="shared" si="799"/>
        <v>0.6</v>
      </c>
      <c r="AH529" s="869">
        <f t="shared" si="799"/>
        <v>0.6</v>
      </c>
      <c r="AI529" s="869">
        <f t="shared" si="799"/>
        <v>0.6</v>
      </c>
      <c r="AJ529" s="869">
        <f t="shared" si="799"/>
        <v>0.6</v>
      </c>
      <c r="AK529" s="869">
        <f t="shared" si="799"/>
        <v>0.6</v>
      </c>
      <c r="AL529" s="869">
        <f t="shared" si="799"/>
        <v>0.6</v>
      </c>
      <c r="AM529" s="869">
        <f t="shared" si="799"/>
        <v>0.6</v>
      </c>
      <c r="AN529" s="869">
        <f t="shared" si="799"/>
        <v>0.6</v>
      </c>
      <c r="AO529" s="869">
        <f t="shared" si="799"/>
        <v>0.6</v>
      </c>
      <c r="AP529" s="869">
        <f t="shared" si="799"/>
        <v>0.6</v>
      </c>
      <c r="AQ529" s="869">
        <f t="shared" si="799"/>
        <v>0.6</v>
      </c>
      <c r="AR529" s="869">
        <f t="shared" si="799"/>
        <v>0.6</v>
      </c>
      <c r="AS529" s="869">
        <f t="shared" si="799"/>
        <v>0.6</v>
      </c>
      <c r="AT529" s="869">
        <f t="shared" si="799"/>
        <v>0.6</v>
      </c>
      <c r="AU529" s="869">
        <f t="shared" si="799"/>
        <v>0.6</v>
      </c>
      <c r="AV529" s="869">
        <f t="shared" si="799"/>
        <v>0.6</v>
      </c>
      <c r="AW529" s="869">
        <f t="shared" si="799"/>
        <v>0.6</v>
      </c>
      <c r="AX529" s="869">
        <f t="shared" si="799"/>
        <v>0.6</v>
      </c>
      <c r="AY529" s="869">
        <f t="shared" si="799"/>
        <v>0.6</v>
      </c>
      <c r="AZ529" s="869">
        <f t="shared" si="799"/>
        <v>0.6</v>
      </c>
      <c r="BA529" s="870">
        <f t="shared" si="799"/>
        <v>0.6</v>
      </c>
    </row>
    <row r="530" spans="19:54" ht="20.100000000000001" customHeight="1">
      <c r="S530" s="542" t="s">
        <v>486</v>
      </c>
      <c r="T530" s="131"/>
      <c r="U530" s="131"/>
      <c r="V530" s="131"/>
      <c r="W530" s="131"/>
      <c r="X530" s="123">
        <f t="shared" ref="X530:BA530" si="800">X69</f>
        <v>1.0074368991898192E-4</v>
      </c>
      <c r="Y530" s="123">
        <f t="shared" si="800"/>
        <v>1.0074368991898192E-4</v>
      </c>
      <c r="Z530" s="123">
        <f t="shared" si="800"/>
        <v>1.0074368991898192E-4</v>
      </c>
      <c r="AA530" s="123">
        <f t="shared" si="800"/>
        <v>1.0074368991898192E-4</v>
      </c>
      <c r="AB530" s="123">
        <f t="shared" si="800"/>
        <v>1.0074368991898192E-4</v>
      </c>
      <c r="AC530" s="123">
        <f t="shared" si="800"/>
        <v>1.0074368991898192E-4</v>
      </c>
      <c r="AD530" s="123">
        <f t="shared" si="800"/>
        <v>1.0074368991898192E-4</v>
      </c>
      <c r="AE530" s="123">
        <f t="shared" si="800"/>
        <v>1.0074368991898192E-4</v>
      </c>
      <c r="AF530" s="123">
        <f t="shared" si="800"/>
        <v>1.0074368991898192E-4</v>
      </c>
      <c r="AG530" s="123">
        <f t="shared" si="800"/>
        <v>1.0074368991898192E-4</v>
      </c>
      <c r="AH530" s="123">
        <f t="shared" si="800"/>
        <v>1.0074368991898192E-4</v>
      </c>
      <c r="AI530" s="123">
        <f t="shared" si="800"/>
        <v>1.0074368991898192E-4</v>
      </c>
      <c r="AJ530" s="123">
        <f t="shared" si="800"/>
        <v>1.0074368991898192E-4</v>
      </c>
      <c r="AK530" s="123">
        <f t="shared" si="800"/>
        <v>1.0074368991898192E-4</v>
      </c>
      <c r="AL530" s="123">
        <f t="shared" si="800"/>
        <v>1.0074368991898192E-4</v>
      </c>
      <c r="AM530" s="123">
        <f t="shared" si="800"/>
        <v>1.0074368991898192E-4</v>
      </c>
      <c r="AN530" s="123">
        <f t="shared" si="800"/>
        <v>1.0074368991898192E-4</v>
      </c>
      <c r="AO530" s="123">
        <f t="shared" si="800"/>
        <v>1.0074368991898192E-4</v>
      </c>
      <c r="AP530" s="123">
        <f t="shared" si="800"/>
        <v>1.0074368991898192E-4</v>
      </c>
      <c r="AQ530" s="123">
        <f t="shared" si="800"/>
        <v>1.0074368991898192E-4</v>
      </c>
      <c r="AR530" s="123">
        <f t="shared" si="800"/>
        <v>1.0074368991898192E-4</v>
      </c>
      <c r="AS530" s="123">
        <f t="shared" si="800"/>
        <v>1.0074368991898192E-4</v>
      </c>
      <c r="AT530" s="123">
        <f t="shared" si="800"/>
        <v>1.0074368991898192E-4</v>
      </c>
      <c r="AU530" s="123">
        <f t="shared" si="800"/>
        <v>1.0074368991898192E-4</v>
      </c>
      <c r="AV530" s="123">
        <f t="shared" si="800"/>
        <v>1.0074368991898192E-4</v>
      </c>
      <c r="AW530" s="123">
        <f t="shared" si="800"/>
        <v>1.0074368991898192E-4</v>
      </c>
      <c r="AX530" s="123">
        <f t="shared" si="800"/>
        <v>1.0074368991898192E-4</v>
      </c>
      <c r="AY530" s="123">
        <f t="shared" si="800"/>
        <v>1.0074368991898192E-4</v>
      </c>
      <c r="AZ530" s="123">
        <f t="shared" si="800"/>
        <v>1.0074368991898192E-4</v>
      </c>
      <c r="BA530" s="159">
        <f t="shared" si="800"/>
        <v>1.0074368991898192E-4</v>
      </c>
    </row>
    <row r="531" spans="19:54" ht="20.100000000000001" customHeight="1">
      <c r="S531" s="542" t="s">
        <v>2690</v>
      </c>
      <c r="T531" s="131"/>
      <c r="U531" s="131"/>
      <c r="V531" s="131"/>
      <c r="W531" s="131"/>
      <c r="X531" s="123">
        <f>IF(AND(X492&gt;(2020+TRANSPORT!$F$220),X492&lt;(2022+$G$220)),(TRANSPORT!$G$214-INDEX(TRANSPORT!$Y$530:$BA$530,1,($F$220-1)))/($G$220-$F$220+1),0)</f>
        <v>0</v>
      </c>
      <c r="Y531" s="123">
        <f>IF(AND(Y492&gt;(2020+TRANSPORT!$F$220),Y492&lt;(2022+$G$220)),(TRANSPORT!$G$214-INDEX(TRANSPORT!$Y$530:$BA$530,1,($F$220-1)))/($G$220-$F$220+1),0)</f>
        <v>0.97497481407752018</v>
      </c>
      <c r="Z531" s="123">
        <f>IF(AND(Z492&gt;(2020+TRANSPORT!$F$220),Z492&lt;(2022+$G$220)),(TRANSPORT!$G$214-INDEX(TRANSPORT!$Y$530:$BA$530,1,($F$220-1)))/($G$220-$F$220+1),0)</f>
        <v>0.97497481407752018</v>
      </c>
      <c r="AA531" s="123">
        <f>IF(AND(AA492&gt;(2020+TRANSPORT!$F$220),AA492&lt;(2022+$G$220)),(TRANSPORT!$G$214-INDEX(TRANSPORT!$Y$530:$BA$530,1,($F$220-1)))/($G$220-$F$220+1),0)</f>
        <v>0.97497481407752018</v>
      </c>
      <c r="AB531" s="123">
        <f>IF(AND(AB492&gt;(2020+TRANSPORT!$F$220),AB492&lt;(2022+$G$220)),(TRANSPORT!$G$214-INDEX(TRANSPORT!$Y$530:$BA$530,1,($F$220-1)))/($G$220-$F$220+1),0)</f>
        <v>0.97497481407752018</v>
      </c>
      <c r="AC531" s="123">
        <f>IF(AND(AC492&gt;(2020+TRANSPORT!$F$220),AC492&lt;(2022+$G$220)),(TRANSPORT!$G$214-INDEX(TRANSPORT!$Y$530:$BA$530,1,($F$220-1)))/($G$220-$F$220+1),0)</f>
        <v>0</v>
      </c>
      <c r="AD531" s="123">
        <f>IF(AND(AD492&gt;(2020+TRANSPORT!$F$220),AD492&lt;(2022+$G$220)),(TRANSPORT!$G$214-INDEX(TRANSPORT!$Y$530:$BA$530,1,($F$220-1)))/($G$220-$F$220+1),0)</f>
        <v>0</v>
      </c>
      <c r="AE531" s="123">
        <f>IF(AND(AE492&gt;(2020+TRANSPORT!$F$220),AE492&lt;(2022+$G$220)),(TRANSPORT!$G$214-INDEX(TRANSPORT!$Y$530:$BA$530,1,($F$220-1)))/($G$220-$F$220+1),0)</f>
        <v>0</v>
      </c>
      <c r="AF531" s="123">
        <f>IF(AND(AF492&gt;(2020+TRANSPORT!$F$220),AF492&lt;(2022+$G$220)),(TRANSPORT!$G$214-INDEX(TRANSPORT!$Y$530:$BA$530,1,($F$220-1)))/($G$220-$F$220+1),0)</f>
        <v>0</v>
      </c>
      <c r="AG531" s="123">
        <f>IF(AND(AG492&gt;(2020+TRANSPORT!$F$220),AG492&lt;(2022+$G$220)),(TRANSPORT!$G$214-INDEX(TRANSPORT!$Y$530:$BA$530,1,($F$220-1)))/($G$220-$F$220+1),0)</f>
        <v>0</v>
      </c>
      <c r="AH531" s="123">
        <f>IF(AND(AH492&gt;(2020+TRANSPORT!$F$220),AH492&lt;(2022+$G$220)),(TRANSPORT!$G$214-INDEX(TRANSPORT!$Y$530:$BA$530,1,($F$220-1)))/($G$220-$F$220+1),0)</f>
        <v>0</v>
      </c>
      <c r="AI531" s="123">
        <f>IF(AND(AI492&gt;(2020+TRANSPORT!$F$220),AI492&lt;(2022+$G$220)),(TRANSPORT!$G$214-INDEX(TRANSPORT!$Y$530:$BA$530,1,($F$220-1)))/($G$220-$F$220+1),0)</f>
        <v>0</v>
      </c>
      <c r="AJ531" s="123">
        <f>IF(AND(AJ492&gt;(2020+TRANSPORT!$F$220),AJ492&lt;(2022+$G$220)),(TRANSPORT!$G$214-INDEX(TRANSPORT!$Y$530:$BA$530,1,($F$220-1)))/($G$220-$F$220+1),0)</f>
        <v>0</v>
      </c>
      <c r="AK531" s="123">
        <f>IF(AND(AK492&gt;(2020+TRANSPORT!$F$220),AK492&lt;(2022+$G$220)),(TRANSPORT!$G$214-INDEX(TRANSPORT!$Y$530:$BA$530,1,($F$220-1)))/($G$220-$F$220+1),0)</f>
        <v>0</v>
      </c>
      <c r="AL531" s="123">
        <f>IF(AND(AL492&gt;(2020+TRANSPORT!$F$220),AL492&lt;(2022+$G$220)),(TRANSPORT!$G$214-INDEX(TRANSPORT!$Y$530:$BA$530,1,($F$220-1)))/($G$220-$F$220+1),0)</f>
        <v>0</v>
      </c>
      <c r="AM531" s="123">
        <f>IF(AND(AM492&gt;(2020+TRANSPORT!$F$220),AM492&lt;(2022+$G$220)),(TRANSPORT!$G$214-INDEX(TRANSPORT!$Y$530:$BA$530,1,($F$220-1)))/($G$220-$F$220+1),0)</f>
        <v>0</v>
      </c>
      <c r="AN531" s="123">
        <f>IF(AND(AN492&gt;(2020+TRANSPORT!$F$220),AN492&lt;(2022+$G$220)),(TRANSPORT!$G$214-INDEX(TRANSPORT!$Y$530:$BA$530,1,($F$220-1)))/($G$220-$F$220+1),0)</f>
        <v>0</v>
      </c>
      <c r="AO531" s="123">
        <f>IF(AND(AO492&gt;(2020+TRANSPORT!$F$220),AO492&lt;(2022+$G$220)),(TRANSPORT!$G$214-INDEX(TRANSPORT!$Y$530:$BA$530,1,($F$220-1)))/($G$220-$F$220+1),0)</f>
        <v>0</v>
      </c>
      <c r="AP531" s="123">
        <f>IF(AND(AP492&gt;(2020+TRANSPORT!$F$220),AP492&lt;(2022+$G$220)),(TRANSPORT!$G$214-INDEX(TRANSPORT!$Y$530:$BA$530,1,($F$220-1)))/($G$220-$F$220+1),0)</f>
        <v>0</v>
      </c>
      <c r="AQ531" s="123">
        <f>IF(AND(AQ492&gt;(2020+TRANSPORT!$F$220),AQ492&lt;(2022+$G$220)),(TRANSPORT!$G$214-INDEX(TRANSPORT!$Y$530:$BA$530,1,($F$220-1)))/($G$220-$F$220+1),0)</f>
        <v>0</v>
      </c>
      <c r="AR531" s="123">
        <f>IF(AND(AR492&gt;(2020+TRANSPORT!$F$220),AR492&lt;(2022+$G$220)),(TRANSPORT!$G$214-INDEX(TRANSPORT!$Y$530:$BA$530,1,($F$220-1)))/($G$220-$F$220+1),0)</f>
        <v>0</v>
      </c>
      <c r="AS531" s="123">
        <f>IF(AND(AS492&gt;(2020+TRANSPORT!$F$220),AS492&lt;(2022+$G$220)),(TRANSPORT!$G$214-INDEX(TRANSPORT!$Y$530:$BA$530,1,($F$220-1)))/($G$220-$F$220+1),0)</f>
        <v>0</v>
      </c>
      <c r="AT531" s="123">
        <f>IF(AND(AT492&gt;(2020+TRANSPORT!$F$220),AT492&lt;(2022+$G$220)),(TRANSPORT!$G$214-INDEX(TRANSPORT!$Y$530:$BA$530,1,($F$220-1)))/($G$220-$F$220+1),0)</f>
        <v>0</v>
      </c>
      <c r="AU531" s="123">
        <f>IF(AND(AU492&gt;(2020+TRANSPORT!$F$220),AU492&lt;(2022+$G$220)),(TRANSPORT!$G$214-INDEX(TRANSPORT!$Y$530:$BA$530,1,($F$220-1)))/($G$220-$F$220+1),0)</f>
        <v>0</v>
      </c>
      <c r="AV531" s="123">
        <f>IF(AND(AV492&gt;(2020+TRANSPORT!$F$220),AV492&lt;(2022+$G$220)),(TRANSPORT!$G$214-INDEX(TRANSPORT!$Y$530:$BA$530,1,($F$220-1)))/($G$220-$F$220+1),0)</f>
        <v>0</v>
      </c>
      <c r="AW531" s="123">
        <f>IF(AND(AW492&gt;(2020+TRANSPORT!$F$220),AW492&lt;(2022+$G$220)),(TRANSPORT!$G$214-INDEX(TRANSPORT!$Y$530:$BA$530,1,($F$220-1)))/($G$220-$F$220+1),0)</f>
        <v>0</v>
      </c>
      <c r="AX531" s="123">
        <f>IF(AND(AX492&gt;(2020+TRANSPORT!$F$220),AX492&lt;(2022+$G$220)),(TRANSPORT!$G$214-INDEX(TRANSPORT!$Y$530:$BA$530,1,($F$220-1)))/($G$220-$F$220+1),0)</f>
        <v>0</v>
      </c>
      <c r="AY531" s="123">
        <f>IF(AND(AY492&gt;(2020+TRANSPORT!$F$220),AY492&lt;(2022+$G$220)),(TRANSPORT!$G$214-INDEX(TRANSPORT!$Y$530:$BA$530,1,($F$220-1)))/($G$220-$F$220+1),0)</f>
        <v>0</v>
      </c>
      <c r="AZ531" s="123">
        <f>IF(AND(AZ492&gt;(2020+TRANSPORT!$F$220),AZ492&lt;(2022+$G$220)),(TRANSPORT!$G$214-INDEX(TRANSPORT!$Y$530:$BA$530,1,($F$220-1)))/($G$220-$F$220+1),0)</f>
        <v>0</v>
      </c>
      <c r="BA531" s="159">
        <f>IF(AND(BA492&gt;(2020+TRANSPORT!$F$220),BA492&lt;(2022+$G$220)),(TRANSPORT!$G$214-INDEX(TRANSPORT!$Y$530:$BA$530,1,($F$220-1)))/($G$220-$F$220+1),0)</f>
        <v>0</v>
      </c>
    </row>
    <row r="532" spans="19:54" ht="20.100000000000001" customHeight="1">
      <c r="S532" s="863" t="s">
        <v>2742</v>
      </c>
      <c r="T532" s="392" t="s">
        <v>2730</v>
      </c>
      <c r="U532" s="131"/>
      <c r="V532" s="131"/>
      <c r="W532" s="131"/>
      <c r="X532" s="807">
        <f>SUM(X530:X531)</f>
        <v>1.0074368991898192E-4</v>
      </c>
      <c r="Y532" s="807">
        <f>IF(Y531=0,X532*(IF(X530=0,1,Y530/X530)),X532+Y531)</f>
        <v>0.97507555776743915</v>
      </c>
      <c r="Z532" s="807">
        <f t="shared" ref="Z532:BA532" si="801">IF(Z531=0,Y532*(IF(Y530=0,1,Z530/Y530)),Y532+Z531)</f>
        <v>1.9500503718449593</v>
      </c>
      <c r="AA532" s="807">
        <f t="shared" si="801"/>
        <v>2.9250251859224794</v>
      </c>
      <c r="AB532" s="807">
        <f t="shared" si="801"/>
        <v>3.8999999999999995</v>
      </c>
      <c r="AC532" s="807">
        <f t="shared" si="801"/>
        <v>3.8999999999999995</v>
      </c>
      <c r="AD532" s="807">
        <f t="shared" si="801"/>
        <v>3.8999999999999995</v>
      </c>
      <c r="AE532" s="807">
        <f t="shared" si="801"/>
        <v>3.8999999999999995</v>
      </c>
      <c r="AF532" s="807">
        <f t="shared" si="801"/>
        <v>3.8999999999999995</v>
      </c>
      <c r="AG532" s="807">
        <f t="shared" si="801"/>
        <v>3.8999999999999995</v>
      </c>
      <c r="AH532" s="807">
        <f t="shared" si="801"/>
        <v>3.8999999999999995</v>
      </c>
      <c r="AI532" s="807">
        <f t="shared" si="801"/>
        <v>3.8999999999999995</v>
      </c>
      <c r="AJ532" s="807">
        <f t="shared" si="801"/>
        <v>3.8999999999999995</v>
      </c>
      <c r="AK532" s="807">
        <f t="shared" si="801"/>
        <v>3.8999999999999995</v>
      </c>
      <c r="AL532" s="807">
        <f t="shared" si="801"/>
        <v>3.8999999999999995</v>
      </c>
      <c r="AM532" s="807">
        <f t="shared" si="801"/>
        <v>3.8999999999999995</v>
      </c>
      <c r="AN532" s="807">
        <f t="shared" si="801"/>
        <v>3.8999999999999995</v>
      </c>
      <c r="AO532" s="807">
        <f t="shared" si="801"/>
        <v>3.8999999999999995</v>
      </c>
      <c r="AP532" s="807">
        <f t="shared" si="801"/>
        <v>3.8999999999999995</v>
      </c>
      <c r="AQ532" s="807">
        <f t="shared" si="801"/>
        <v>3.8999999999999995</v>
      </c>
      <c r="AR532" s="807">
        <f t="shared" si="801"/>
        <v>3.8999999999999995</v>
      </c>
      <c r="AS532" s="807">
        <f t="shared" si="801"/>
        <v>3.8999999999999995</v>
      </c>
      <c r="AT532" s="807">
        <f t="shared" si="801"/>
        <v>3.8999999999999995</v>
      </c>
      <c r="AU532" s="807">
        <f t="shared" si="801"/>
        <v>3.8999999999999995</v>
      </c>
      <c r="AV532" s="807">
        <f t="shared" si="801"/>
        <v>3.8999999999999995</v>
      </c>
      <c r="AW532" s="807">
        <f t="shared" si="801"/>
        <v>3.8999999999999995</v>
      </c>
      <c r="AX532" s="807">
        <f t="shared" si="801"/>
        <v>3.8999999999999995</v>
      </c>
      <c r="AY532" s="807">
        <f t="shared" si="801"/>
        <v>3.8999999999999995</v>
      </c>
      <c r="AZ532" s="807">
        <f t="shared" si="801"/>
        <v>3.8999999999999995</v>
      </c>
      <c r="BA532" s="808">
        <f t="shared" si="801"/>
        <v>3.8999999999999995</v>
      </c>
    </row>
    <row r="533" spans="19:54" ht="20.100000000000001" customHeight="1">
      <c r="S533" s="864" t="s">
        <v>2630</v>
      </c>
      <c r="T533" s="860"/>
      <c r="U533" s="860"/>
      <c r="V533" s="860"/>
      <c r="W533" s="860"/>
      <c r="X533" s="180">
        <f t="shared" ref="X533:BA533" si="802">X70</f>
        <v>4.0268692056187341E-2</v>
      </c>
      <c r="Y533" s="180">
        <f t="shared" si="802"/>
        <v>4.0268692056187341E-2</v>
      </c>
      <c r="Z533" s="180">
        <f t="shared" si="802"/>
        <v>4.0268692056187341E-2</v>
      </c>
      <c r="AA533" s="180">
        <f t="shared" si="802"/>
        <v>4.0268692056187341E-2</v>
      </c>
      <c r="AB533" s="180">
        <f t="shared" si="802"/>
        <v>4.0268692056187341E-2</v>
      </c>
      <c r="AC533" s="180">
        <f t="shared" si="802"/>
        <v>4.0268692056187341E-2</v>
      </c>
      <c r="AD533" s="180">
        <f t="shared" si="802"/>
        <v>4.0268692056187341E-2</v>
      </c>
      <c r="AE533" s="180">
        <f t="shared" si="802"/>
        <v>4.0268692056187341E-2</v>
      </c>
      <c r="AF533" s="180">
        <f t="shared" si="802"/>
        <v>4.0268692056187341E-2</v>
      </c>
      <c r="AG533" s="180">
        <f t="shared" si="802"/>
        <v>4.0268692056187341E-2</v>
      </c>
      <c r="AH533" s="180">
        <f t="shared" si="802"/>
        <v>4.0268692056187341E-2</v>
      </c>
      <c r="AI533" s="180">
        <f t="shared" si="802"/>
        <v>4.0268692056187341E-2</v>
      </c>
      <c r="AJ533" s="180">
        <f t="shared" si="802"/>
        <v>4.0268692056187341E-2</v>
      </c>
      <c r="AK533" s="180">
        <f t="shared" si="802"/>
        <v>4.0268692056187341E-2</v>
      </c>
      <c r="AL533" s="180">
        <f t="shared" si="802"/>
        <v>4.0268692056187341E-2</v>
      </c>
      <c r="AM533" s="180">
        <f t="shared" si="802"/>
        <v>4.0268692056187341E-2</v>
      </c>
      <c r="AN533" s="180">
        <f t="shared" si="802"/>
        <v>4.0268692056187341E-2</v>
      </c>
      <c r="AO533" s="180">
        <f t="shared" si="802"/>
        <v>4.0268692056187341E-2</v>
      </c>
      <c r="AP533" s="180">
        <f t="shared" si="802"/>
        <v>4.0268692056187341E-2</v>
      </c>
      <c r="AQ533" s="180">
        <f t="shared" si="802"/>
        <v>4.0268692056187341E-2</v>
      </c>
      <c r="AR533" s="180">
        <f t="shared" si="802"/>
        <v>4.0268692056187341E-2</v>
      </c>
      <c r="AS533" s="180">
        <f t="shared" si="802"/>
        <v>4.0268692056187341E-2</v>
      </c>
      <c r="AT533" s="180">
        <f t="shared" si="802"/>
        <v>4.0268692056187341E-2</v>
      </c>
      <c r="AU533" s="180">
        <f t="shared" si="802"/>
        <v>4.0268692056187341E-2</v>
      </c>
      <c r="AV533" s="180">
        <f t="shared" si="802"/>
        <v>4.0268692056187341E-2</v>
      </c>
      <c r="AW533" s="180">
        <f t="shared" si="802"/>
        <v>4.0268692056187341E-2</v>
      </c>
      <c r="AX533" s="180">
        <f t="shared" si="802"/>
        <v>4.0268692056187341E-2</v>
      </c>
      <c r="AY533" s="180">
        <f t="shared" si="802"/>
        <v>4.0268692056187341E-2</v>
      </c>
      <c r="AZ533" s="180">
        <f t="shared" si="802"/>
        <v>4.0268692056187341E-2</v>
      </c>
      <c r="BA533" s="865">
        <f t="shared" si="802"/>
        <v>4.0268692056187341E-2</v>
      </c>
    </row>
    <row r="534" spans="19:54" ht="20.100000000000001" customHeight="1">
      <c r="S534" s="864" t="s">
        <v>2690</v>
      </c>
      <c r="T534" s="860"/>
      <c r="U534" s="860"/>
      <c r="V534" s="860"/>
      <c r="W534" s="860"/>
      <c r="X534" s="180">
        <f>IF(AND(X492&gt;(2020+TRANSPORT!$F$220),X492&lt;(2022+$G$220)),(TRANSPORT!$G$215-INDEX(TRANSPORT!$Y$533:$BA$533,1,($F$220-1)))/($G$220-$F$220+1),0)</f>
        <v>0</v>
      </c>
      <c r="Y534" s="180">
        <f>IF(AND(Y492&gt;(2020+TRANSPORT!$F$220),Y492&lt;(2022+$G$220)),(TRANSPORT!$G$215-INDEX(TRANSPORT!$Y$533:$BA$533,1,($F$220-1)))/($G$220-$F$220+1),0)</f>
        <v>0.13993282698595316</v>
      </c>
      <c r="Z534" s="180">
        <f>IF(AND(Z492&gt;(2020+TRANSPORT!$F$220),Z492&lt;(2022+$G$220)),(TRANSPORT!$G$215-INDEX(TRANSPORT!$Y$533:$BA$533,1,($F$220-1)))/($G$220-$F$220+1),0)</f>
        <v>0.13993282698595316</v>
      </c>
      <c r="AA534" s="180">
        <f>IF(AND(AA492&gt;(2020+TRANSPORT!$F$220),AA492&lt;(2022+$G$220)),(TRANSPORT!$G$215-INDEX(TRANSPORT!$Y$533:$BA$533,1,($F$220-1)))/($G$220-$F$220+1),0)</f>
        <v>0.13993282698595316</v>
      </c>
      <c r="AB534" s="180">
        <f>IF(AND(AB492&gt;(2020+TRANSPORT!$F$220),AB492&lt;(2022+$G$220)),(TRANSPORT!$G$215-INDEX(TRANSPORT!$Y$533:$BA$533,1,($F$220-1)))/($G$220-$F$220+1),0)</f>
        <v>0.13993282698595316</v>
      </c>
      <c r="AC534" s="180">
        <f>IF(AND(AC492&gt;(2020+TRANSPORT!$F$220),AC492&lt;(2022+$G$220)),(TRANSPORT!$G$215-INDEX(TRANSPORT!$Y$533:$BA$533,1,($F$220-1)))/($G$220-$F$220+1),0)</f>
        <v>0</v>
      </c>
      <c r="AD534" s="180">
        <f>IF(AND(AD492&gt;(2020+TRANSPORT!$F$220),AD492&lt;(2022+$G$220)),(TRANSPORT!$G$215-INDEX(TRANSPORT!$Y$533:$BA$533,1,($F$220-1)))/($G$220-$F$220+1),0)</f>
        <v>0</v>
      </c>
      <c r="AE534" s="180">
        <f>IF(AND(AE492&gt;(2020+TRANSPORT!$F$220),AE492&lt;(2022+$G$220)),(TRANSPORT!$G$215-INDEX(TRANSPORT!$Y$533:$BA$533,1,($F$220-1)))/($G$220-$F$220+1),0)</f>
        <v>0</v>
      </c>
      <c r="AF534" s="180">
        <f>IF(AND(AF492&gt;(2020+TRANSPORT!$F$220),AF492&lt;(2022+$G$220)),(TRANSPORT!$G$215-INDEX(TRANSPORT!$Y$533:$BA$533,1,($F$220-1)))/($G$220-$F$220+1),0)</f>
        <v>0</v>
      </c>
      <c r="AG534" s="180">
        <f>IF(AND(AG492&gt;(2020+TRANSPORT!$F$220),AG492&lt;(2022+$G$220)),(TRANSPORT!$G$215-INDEX(TRANSPORT!$Y$533:$BA$533,1,($F$220-1)))/($G$220-$F$220+1),0)</f>
        <v>0</v>
      </c>
      <c r="AH534" s="180">
        <f>IF(AND(AH492&gt;(2020+TRANSPORT!$F$220),AH492&lt;(2022+$G$220)),(TRANSPORT!$G$215-INDEX(TRANSPORT!$Y$533:$BA$533,1,($F$220-1)))/($G$220-$F$220+1),0)</f>
        <v>0</v>
      </c>
      <c r="AI534" s="180">
        <f>IF(AND(AI492&gt;(2020+TRANSPORT!$F$220),AI492&lt;(2022+$G$220)),(TRANSPORT!$G$215-INDEX(TRANSPORT!$Y$533:$BA$533,1,($F$220-1)))/($G$220-$F$220+1),0)</f>
        <v>0</v>
      </c>
      <c r="AJ534" s="180">
        <f>IF(AND(AJ492&gt;(2020+TRANSPORT!$F$220),AJ492&lt;(2022+$G$220)),(TRANSPORT!$G$215-INDEX(TRANSPORT!$Y$533:$BA$533,1,($F$220-1)))/($G$220-$F$220+1),0)</f>
        <v>0</v>
      </c>
      <c r="AK534" s="180">
        <f>IF(AND(AK492&gt;(2020+TRANSPORT!$F$220),AK492&lt;(2022+$G$220)),(TRANSPORT!$G$215-INDEX(TRANSPORT!$Y$533:$BA$533,1,($F$220-1)))/($G$220-$F$220+1),0)</f>
        <v>0</v>
      </c>
      <c r="AL534" s="180">
        <f>IF(AND(AL492&gt;(2020+TRANSPORT!$F$220),AL492&lt;(2022+$G$220)),(TRANSPORT!$G$215-INDEX(TRANSPORT!$Y$533:$BA$533,1,($F$220-1)))/($G$220-$F$220+1),0)</f>
        <v>0</v>
      </c>
      <c r="AM534" s="180">
        <f>IF(AND(AM492&gt;(2020+TRANSPORT!$F$220),AM492&lt;(2022+$G$220)),(TRANSPORT!$G$215-INDEX(TRANSPORT!$Y$533:$BA$533,1,($F$220-1)))/($G$220-$F$220+1),0)</f>
        <v>0</v>
      </c>
      <c r="AN534" s="180">
        <f>IF(AND(AN492&gt;(2020+TRANSPORT!$F$220),AN492&lt;(2022+$G$220)),(TRANSPORT!$G$215-INDEX(TRANSPORT!$Y$533:$BA$533,1,($F$220-1)))/($G$220-$F$220+1),0)</f>
        <v>0</v>
      </c>
      <c r="AO534" s="180">
        <f>IF(AND(AO492&gt;(2020+TRANSPORT!$F$220),AO492&lt;(2022+$G$220)),(TRANSPORT!$G$215-INDEX(TRANSPORT!$Y$533:$BA$533,1,($F$220-1)))/($G$220-$F$220+1),0)</f>
        <v>0</v>
      </c>
      <c r="AP534" s="180">
        <f>IF(AND(AP492&gt;(2020+TRANSPORT!$F$220),AP492&lt;(2022+$G$220)),(TRANSPORT!$G$215-INDEX(TRANSPORT!$Y$533:$BA$533,1,($F$220-1)))/($G$220-$F$220+1),0)</f>
        <v>0</v>
      </c>
      <c r="AQ534" s="180">
        <f>IF(AND(AQ492&gt;(2020+TRANSPORT!$F$220),AQ492&lt;(2022+$G$220)),(TRANSPORT!$G$215-INDEX(TRANSPORT!$Y$533:$BA$533,1,($F$220-1)))/($G$220-$F$220+1),0)</f>
        <v>0</v>
      </c>
      <c r="AR534" s="180">
        <f>IF(AND(AR492&gt;(2020+TRANSPORT!$F$220),AR492&lt;(2022+$G$220)),(TRANSPORT!$G$215-INDEX(TRANSPORT!$Y$533:$BA$533,1,($F$220-1)))/($G$220-$F$220+1),0)</f>
        <v>0</v>
      </c>
      <c r="AS534" s="180">
        <f>IF(AND(AS492&gt;(2020+TRANSPORT!$F$220),AS492&lt;(2022+$G$220)),(TRANSPORT!$G$215-INDEX(TRANSPORT!$Y$533:$BA$533,1,($F$220-1)))/($G$220-$F$220+1),0)</f>
        <v>0</v>
      </c>
      <c r="AT534" s="180">
        <f>IF(AND(AT492&gt;(2020+TRANSPORT!$F$220),AT492&lt;(2022+$G$220)),(TRANSPORT!$G$215-INDEX(TRANSPORT!$Y$533:$BA$533,1,($F$220-1)))/($G$220-$F$220+1),0)</f>
        <v>0</v>
      </c>
      <c r="AU534" s="180">
        <f>IF(AND(AU492&gt;(2020+TRANSPORT!$F$220),AU492&lt;(2022+$G$220)),(TRANSPORT!$G$215-INDEX(TRANSPORT!$Y$533:$BA$533,1,($F$220-1)))/($G$220-$F$220+1),0)</f>
        <v>0</v>
      </c>
      <c r="AV534" s="180">
        <f>IF(AND(AV492&gt;(2020+TRANSPORT!$F$220),AV492&lt;(2022+$G$220)),(TRANSPORT!$G$215-INDEX(TRANSPORT!$Y$533:$BA$533,1,($F$220-1)))/($G$220-$F$220+1),0)</f>
        <v>0</v>
      </c>
      <c r="AW534" s="180">
        <f>IF(AND(AW492&gt;(2020+TRANSPORT!$F$220),AW492&lt;(2022+$G$220)),(TRANSPORT!$G$215-INDEX(TRANSPORT!$Y$533:$BA$533,1,($F$220-1)))/($G$220-$F$220+1),0)</f>
        <v>0</v>
      </c>
      <c r="AX534" s="180">
        <f>IF(AND(AX492&gt;(2020+TRANSPORT!$F$220),AX492&lt;(2022+$G$220)),(TRANSPORT!$G$215-INDEX(TRANSPORT!$Y$533:$BA$533,1,($F$220-1)))/($G$220-$F$220+1),0)</f>
        <v>0</v>
      </c>
      <c r="AY534" s="180">
        <f>IF(AND(AY492&gt;(2020+TRANSPORT!$F$220),AY492&lt;(2022+$G$220)),(TRANSPORT!$G$215-INDEX(TRANSPORT!$Y$533:$BA$533,1,($F$220-1)))/($G$220-$F$220+1),0)</f>
        <v>0</v>
      </c>
      <c r="AZ534" s="180">
        <f>IF(AND(AZ492&gt;(2020+TRANSPORT!$F$220),AZ492&lt;(2022+$G$220)),(TRANSPORT!$G$215-INDEX(TRANSPORT!$Y$533:$BA$533,1,($F$220-1)))/($G$220-$F$220+1),0)</f>
        <v>0</v>
      </c>
      <c r="BA534" s="865">
        <f>IF(AND(BA492&gt;(2020+TRANSPORT!$F$220),BA492&lt;(2022+$G$220)),(TRANSPORT!$G$215-INDEX(TRANSPORT!$Y$533:$BA$533,1,($F$220-1)))/($G$220-$F$220+1),0)</f>
        <v>0</v>
      </c>
    </row>
    <row r="535" spans="19:54" ht="20.100000000000001" customHeight="1" thickBot="1">
      <c r="S535" s="872" t="s">
        <v>2743</v>
      </c>
      <c r="T535" s="876" t="s">
        <v>2730</v>
      </c>
      <c r="U535" s="873"/>
      <c r="V535" s="873"/>
      <c r="W535" s="873"/>
      <c r="X535" s="875">
        <f>SUM(X533:X534)</f>
        <v>4.0268692056187341E-2</v>
      </c>
      <c r="Y535" s="875">
        <f>IF(Y534=0,X535*(IF(X533=0,1,Y533/X533)),X535+Y534)</f>
        <v>0.18020151904214049</v>
      </c>
      <c r="Z535" s="875">
        <f t="shared" ref="Z535:BA535" si="803">IF(Z534=0,Y535*(IF(Y533=0,1,Z533/Y533)),Y535+Z534)</f>
        <v>0.32013434602809365</v>
      </c>
      <c r="AA535" s="875">
        <f t="shared" si="803"/>
        <v>0.46006717301404682</v>
      </c>
      <c r="AB535" s="875">
        <f t="shared" si="803"/>
        <v>0.6</v>
      </c>
      <c r="AC535" s="875">
        <f t="shared" si="803"/>
        <v>0.6</v>
      </c>
      <c r="AD535" s="875">
        <f t="shared" si="803"/>
        <v>0.6</v>
      </c>
      <c r="AE535" s="875">
        <f t="shared" si="803"/>
        <v>0.6</v>
      </c>
      <c r="AF535" s="875">
        <f t="shared" si="803"/>
        <v>0.6</v>
      </c>
      <c r="AG535" s="875">
        <f t="shared" si="803"/>
        <v>0.6</v>
      </c>
      <c r="AH535" s="875">
        <f t="shared" si="803"/>
        <v>0.6</v>
      </c>
      <c r="AI535" s="875">
        <f t="shared" si="803"/>
        <v>0.6</v>
      </c>
      <c r="AJ535" s="875">
        <f t="shared" si="803"/>
        <v>0.6</v>
      </c>
      <c r="AK535" s="875">
        <f t="shared" si="803"/>
        <v>0.6</v>
      </c>
      <c r="AL535" s="875">
        <f t="shared" si="803"/>
        <v>0.6</v>
      </c>
      <c r="AM535" s="875">
        <f t="shared" si="803"/>
        <v>0.6</v>
      </c>
      <c r="AN535" s="875">
        <f t="shared" si="803"/>
        <v>0.6</v>
      </c>
      <c r="AO535" s="875">
        <f t="shared" si="803"/>
        <v>0.6</v>
      </c>
      <c r="AP535" s="875">
        <f t="shared" si="803"/>
        <v>0.6</v>
      </c>
      <c r="AQ535" s="875">
        <f t="shared" si="803"/>
        <v>0.6</v>
      </c>
      <c r="AR535" s="875">
        <f t="shared" si="803"/>
        <v>0.6</v>
      </c>
      <c r="AS535" s="875">
        <f t="shared" si="803"/>
        <v>0.6</v>
      </c>
      <c r="AT535" s="875">
        <f t="shared" si="803"/>
        <v>0.6</v>
      </c>
      <c r="AU535" s="875">
        <f t="shared" si="803"/>
        <v>0.6</v>
      </c>
      <c r="AV535" s="875">
        <f t="shared" si="803"/>
        <v>0.6</v>
      </c>
      <c r="AW535" s="875">
        <f t="shared" si="803"/>
        <v>0.6</v>
      </c>
      <c r="AX535" s="875">
        <f t="shared" si="803"/>
        <v>0.6</v>
      </c>
      <c r="AY535" s="875">
        <f t="shared" si="803"/>
        <v>0.6</v>
      </c>
      <c r="AZ535" s="875">
        <f t="shared" si="803"/>
        <v>0.6</v>
      </c>
      <c r="BA535" s="877">
        <f t="shared" si="803"/>
        <v>0.6</v>
      </c>
    </row>
    <row r="536" spans="19:54" ht="20.100000000000001" customHeight="1" thickBot="1">
      <c r="X536" s="604"/>
      <c r="Y536" s="604"/>
      <c r="Z536" s="604"/>
      <c r="AA536" s="604"/>
      <c r="AB536" s="604"/>
      <c r="AC536" s="604"/>
      <c r="AD536" s="604"/>
      <c r="AE536" s="604"/>
      <c r="AF536" s="604"/>
      <c r="AG536" s="604"/>
      <c r="AH536" s="604"/>
      <c r="AI536" s="604"/>
      <c r="AJ536" s="604"/>
      <c r="AK536" s="604"/>
      <c r="AL536" s="604"/>
      <c r="AM536" s="604"/>
      <c r="AN536" s="604"/>
      <c r="AO536" s="604"/>
      <c r="AP536" s="604"/>
      <c r="AQ536" s="604"/>
      <c r="AR536" s="604"/>
      <c r="AS536" s="604"/>
      <c r="AT536" s="604"/>
      <c r="AU536" s="604"/>
      <c r="AV536" s="604"/>
      <c r="AW536" s="604"/>
      <c r="AX536" s="604"/>
      <c r="AY536" s="604"/>
      <c r="AZ536" s="604"/>
      <c r="BA536" s="604"/>
      <c r="BB536" s="604"/>
    </row>
    <row r="537" spans="19:54" ht="20.100000000000001" customHeight="1">
      <c r="S537" s="849" t="s">
        <v>2744</v>
      </c>
      <c r="T537" s="850"/>
      <c r="U537" s="851" t="s">
        <v>849</v>
      </c>
      <c r="V537" s="851"/>
      <c r="W537" s="851"/>
      <c r="X537" s="854" t="s">
        <v>633</v>
      </c>
      <c r="Y537" s="855"/>
      <c r="Z537" s="855"/>
      <c r="AA537" s="855"/>
      <c r="AB537" s="855"/>
      <c r="AC537" s="855"/>
      <c r="AD537" s="855"/>
      <c r="AE537" s="855"/>
      <c r="AF537" s="855"/>
      <c r="AG537" s="855"/>
      <c r="AH537" s="855"/>
      <c r="AI537" s="855"/>
      <c r="AJ537" s="855"/>
      <c r="AK537" s="855"/>
      <c r="AL537" s="855"/>
      <c r="AM537" s="855"/>
      <c r="AN537" s="855"/>
      <c r="AO537" s="855"/>
      <c r="AP537" s="855"/>
      <c r="AQ537" s="855"/>
      <c r="AR537" s="855"/>
      <c r="AS537" s="855"/>
      <c r="AT537" s="855"/>
      <c r="AU537" s="855"/>
      <c r="AV537" s="855"/>
      <c r="AW537" s="855"/>
      <c r="AX537" s="855"/>
      <c r="AY537" s="855"/>
      <c r="AZ537" s="855"/>
      <c r="BA537" s="856"/>
    </row>
    <row r="538" spans="19:54" ht="20.100000000000001" customHeight="1">
      <c r="S538" s="542" t="s">
        <v>579</v>
      </c>
      <c r="T538" s="383"/>
      <c r="U538" s="878" t="s">
        <v>580</v>
      </c>
      <c r="V538" s="389" t="s">
        <v>581</v>
      </c>
      <c r="W538" s="389" t="s">
        <v>582</v>
      </c>
      <c r="X538" s="390">
        <v>2021</v>
      </c>
      <c r="Y538" s="115">
        <v>2022</v>
      </c>
      <c r="Z538" s="390">
        <v>2023</v>
      </c>
      <c r="AA538" s="115">
        <v>2024</v>
      </c>
      <c r="AB538" s="390">
        <v>2025</v>
      </c>
      <c r="AC538" s="115">
        <v>2026</v>
      </c>
      <c r="AD538" s="390">
        <v>2027</v>
      </c>
      <c r="AE538" s="115">
        <v>2028</v>
      </c>
      <c r="AF538" s="390">
        <v>2029</v>
      </c>
      <c r="AG538" s="115">
        <v>2030</v>
      </c>
      <c r="AH538" s="390">
        <v>2031</v>
      </c>
      <c r="AI538" s="115">
        <v>2032</v>
      </c>
      <c r="AJ538" s="390">
        <v>2033</v>
      </c>
      <c r="AK538" s="115">
        <v>2034</v>
      </c>
      <c r="AL538" s="390">
        <v>2035</v>
      </c>
      <c r="AM538" s="115">
        <v>2036</v>
      </c>
      <c r="AN538" s="390">
        <v>2037</v>
      </c>
      <c r="AO538" s="115">
        <v>2038</v>
      </c>
      <c r="AP538" s="390">
        <v>2039</v>
      </c>
      <c r="AQ538" s="115">
        <v>2040</v>
      </c>
      <c r="AR538" s="390">
        <v>2041</v>
      </c>
      <c r="AS538" s="115">
        <v>2042</v>
      </c>
      <c r="AT538" s="390">
        <v>2043</v>
      </c>
      <c r="AU538" s="115">
        <v>2044</v>
      </c>
      <c r="AV538" s="390">
        <v>2045</v>
      </c>
      <c r="AW538" s="115">
        <v>2046</v>
      </c>
      <c r="AX538" s="390">
        <v>2047</v>
      </c>
      <c r="AY538" s="115">
        <v>2048</v>
      </c>
      <c r="AZ538" s="390">
        <v>2049</v>
      </c>
      <c r="BA538" s="115">
        <v>2050</v>
      </c>
    </row>
    <row r="539" spans="19:54" ht="20.100000000000001" customHeight="1">
      <c r="S539" s="542" t="s">
        <v>584</v>
      </c>
      <c r="T539" s="383"/>
      <c r="U539" s="882">
        <f>0.8*V539+0.2*W539</f>
        <v>192.291944</v>
      </c>
      <c r="V539" s="115">
        <f>INDEX('DEFAULT DATA'!$CL$9:$CZ$41,START!$C$3,1)</f>
        <v>175.08124000000001</v>
      </c>
      <c r="W539" s="115">
        <f>INDEX('DEFAULT DATA'!$BW$9:$CK$41,START!$C$3,1)</f>
        <v>261.13475999999997</v>
      </c>
      <c r="X539" s="401">
        <f>X495</f>
        <v>2.4466324694609898E-4</v>
      </c>
      <c r="Y539" s="401">
        <f t="shared" ref="Y539:BA539" si="804">Y495</f>
        <v>1.8349743520957424E-4</v>
      </c>
      <c r="Z539" s="401">
        <f t="shared" si="804"/>
        <v>1.2233162347304949E-4</v>
      </c>
      <c r="AA539" s="401">
        <f t="shared" si="804"/>
        <v>6.1165811736524746E-5</v>
      </c>
      <c r="AB539" s="401">
        <f t="shared" si="804"/>
        <v>0</v>
      </c>
      <c r="AC539" s="401">
        <f t="shared" si="804"/>
        <v>0</v>
      </c>
      <c r="AD539" s="401">
        <f t="shared" si="804"/>
        <v>0</v>
      </c>
      <c r="AE539" s="401">
        <f t="shared" si="804"/>
        <v>0</v>
      </c>
      <c r="AF539" s="401">
        <f t="shared" si="804"/>
        <v>0</v>
      </c>
      <c r="AG539" s="401">
        <f t="shared" si="804"/>
        <v>0</v>
      </c>
      <c r="AH539" s="401">
        <f t="shared" si="804"/>
        <v>0</v>
      </c>
      <c r="AI539" s="401">
        <f t="shared" si="804"/>
        <v>0</v>
      </c>
      <c r="AJ539" s="401">
        <f t="shared" si="804"/>
        <v>0</v>
      </c>
      <c r="AK539" s="401">
        <f t="shared" si="804"/>
        <v>0</v>
      </c>
      <c r="AL539" s="401">
        <f t="shared" si="804"/>
        <v>0</v>
      </c>
      <c r="AM539" s="401">
        <f t="shared" si="804"/>
        <v>0</v>
      </c>
      <c r="AN539" s="401">
        <f t="shared" si="804"/>
        <v>0</v>
      </c>
      <c r="AO539" s="401">
        <f t="shared" si="804"/>
        <v>0</v>
      </c>
      <c r="AP539" s="401">
        <f t="shared" si="804"/>
        <v>0</v>
      </c>
      <c r="AQ539" s="401">
        <f t="shared" si="804"/>
        <v>0</v>
      </c>
      <c r="AR539" s="401">
        <f t="shared" si="804"/>
        <v>0</v>
      </c>
      <c r="AS539" s="401">
        <f t="shared" si="804"/>
        <v>0</v>
      </c>
      <c r="AT539" s="401">
        <f t="shared" si="804"/>
        <v>0</v>
      </c>
      <c r="AU539" s="401">
        <f t="shared" si="804"/>
        <v>0</v>
      </c>
      <c r="AV539" s="401">
        <f t="shared" si="804"/>
        <v>0</v>
      </c>
      <c r="AW539" s="401">
        <f t="shared" si="804"/>
        <v>0</v>
      </c>
      <c r="AX539" s="401">
        <f t="shared" si="804"/>
        <v>0</v>
      </c>
      <c r="AY539" s="401">
        <f t="shared" si="804"/>
        <v>0</v>
      </c>
      <c r="AZ539" s="401">
        <f t="shared" si="804"/>
        <v>0</v>
      </c>
      <c r="BA539" s="401">
        <f t="shared" si="804"/>
        <v>0</v>
      </c>
    </row>
    <row r="540" spans="19:54" ht="20.100000000000001" customHeight="1">
      <c r="S540" s="542" t="s">
        <v>585</v>
      </c>
      <c r="T540" s="383"/>
      <c r="U540" s="882">
        <f t="shared" ref="U540:U552" si="805">0.8*V540+0.2*W540</f>
        <v>67.62</v>
      </c>
      <c r="V540" s="115">
        <f>INDEX('DEFAULT DATA'!$CL$9:$CZ$41,START!$C$3,2)</f>
        <v>60.4</v>
      </c>
      <c r="W540" s="115">
        <f>INDEX('DEFAULT DATA'!$BW$9:$CK$41,START!$C$3,2)</f>
        <v>96.5</v>
      </c>
      <c r="X540" s="401">
        <f>X498</f>
        <v>3.065486564677593E-3</v>
      </c>
      <c r="Y540" s="401">
        <f t="shared" ref="Y540:BA540" si="806">Y498</f>
        <v>5.2299114923508201E-2</v>
      </c>
      <c r="Z540" s="401">
        <f t="shared" si="806"/>
        <v>0.1015327432823388</v>
      </c>
      <c r="AA540" s="401">
        <f t="shared" si="806"/>
        <v>0.15076637164116941</v>
      </c>
      <c r="AB540" s="401">
        <f t="shared" si="806"/>
        <v>0.2</v>
      </c>
      <c r="AC540" s="401">
        <f t="shared" si="806"/>
        <v>0.2</v>
      </c>
      <c r="AD540" s="401">
        <f t="shared" si="806"/>
        <v>0.2</v>
      </c>
      <c r="AE540" s="401">
        <f t="shared" si="806"/>
        <v>0.2</v>
      </c>
      <c r="AF540" s="401">
        <f t="shared" si="806"/>
        <v>0.2</v>
      </c>
      <c r="AG540" s="401">
        <f t="shared" si="806"/>
        <v>0.2</v>
      </c>
      <c r="AH540" s="401">
        <f t="shared" si="806"/>
        <v>0.2</v>
      </c>
      <c r="AI540" s="401">
        <f t="shared" si="806"/>
        <v>0.2</v>
      </c>
      <c r="AJ540" s="401">
        <f t="shared" si="806"/>
        <v>0.2</v>
      </c>
      <c r="AK540" s="401">
        <f t="shared" si="806"/>
        <v>0.2</v>
      </c>
      <c r="AL540" s="401">
        <f t="shared" si="806"/>
        <v>0.2</v>
      </c>
      <c r="AM540" s="401">
        <f t="shared" si="806"/>
        <v>0.2</v>
      </c>
      <c r="AN540" s="401">
        <f t="shared" si="806"/>
        <v>0.2</v>
      </c>
      <c r="AO540" s="401">
        <f t="shared" si="806"/>
        <v>0.2</v>
      </c>
      <c r="AP540" s="401">
        <f t="shared" si="806"/>
        <v>0.2</v>
      </c>
      <c r="AQ540" s="401">
        <f t="shared" si="806"/>
        <v>0.2</v>
      </c>
      <c r="AR540" s="401">
        <f t="shared" si="806"/>
        <v>0.2</v>
      </c>
      <c r="AS540" s="401">
        <f t="shared" si="806"/>
        <v>0.2</v>
      </c>
      <c r="AT540" s="401">
        <f t="shared" si="806"/>
        <v>0.2</v>
      </c>
      <c r="AU540" s="401">
        <f t="shared" si="806"/>
        <v>0.2</v>
      </c>
      <c r="AV540" s="401">
        <f t="shared" si="806"/>
        <v>0.2</v>
      </c>
      <c r="AW540" s="401">
        <f t="shared" si="806"/>
        <v>0.2</v>
      </c>
      <c r="AX540" s="401">
        <f t="shared" si="806"/>
        <v>0.2</v>
      </c>
      <c r="AY540" s="401">
        <f t="shared" si="806"/>
        <v>0.2</v>
      </c>
      <c r="AZ540" s="401">
        <f t="shared" si="806"/>
        <v>0.2</v>
      </c>
      <c r="BA540" s="401">
        <f t="shared" si="806"/>
        <v>0.2</v>
      </c>
    </row>
    <row r="541" spans="19:54" ht="20.100000000000001" customHeight="1">
      <c r="S541" s="542" t="s">
        <v>637</v>
      </c>
      <c r="T541" s="383"/>
      <c r="U541" s="882">
        <f t="shared" si="805"/>
        <v>46.550400000000003</v>
      </c>
      <c r="V541" s="115">
        <f>INDEX('DEFAULT DATA'!$CL$9:$CZ$41,START!$C$3,3)</f>
        <v>42.384</v>
      </c>
      <c r="W541" s="115">
        <f>INDEX('DEFAULT DATA'!$BW$9:$CK$41,START!$C$3,3)</f>
        <v>63.215999999999994</v>
      </c>
      <c r="X541" s="401">
        <f>X501</f>
        <v>0.22152098217613855</v>
      </c>
      <c r="Y541" s="401">
        <f t="shared" ref="Y541:BA541" si="807">Y501</f>
        <v>1.4911407366321039</v>
      </c>
      <c r="Z541" s="401">
        <f t="shared" si="807"/>
        <v>2.7607604910880692</v>
      </c>
      <c r="AA541" s="401">
        <f t="shared" si="807"/>
        <v>4.0303802455440341</v>
      </c>
      <c r="AB541" s="401">
        <f t="shared" si="807"/>
        <v>5.2999999999999989</v>
      </c>
      <c r="AC541" s="401">
        <f t="shared" si="807"/>
        <v>5.2999999999999989</v>
      </c>
      <c r="AD541" s="401">
        <f t="shared" si="807"/>
        <v>5.2999999999999989</v>
      </c>
      <c r="AE541" s="401">
        <f t="shared" si="807"/>
        <v>5.2999999999999989</v>
      </c>
      <c r="AF541" s="401">
        <f t="shared" si="807"/>
        <v>5.2999999999999989</v>
      </c>
      <c r="AG541" s="401">
        <f t="shared" si="807"/>
        <v>5.2999999999999989</v>
      </c>
      <c r="AH541" s="401">
        <f t="shared" si="807"/>
        <v>5.2999999999999989</v>
      </c>
      <c r="AI541" s="401">
        <f t="shared" si="807"/>
        <v>5.2999999999999989</v>
      </c>
      <c r="AJ541" s="401">
        <f t="shared" si="807"/>
        <v>5.2999999999999989</v>
      </c>
      <c r="AK541" s="401">
        <f t="shared" si="807"/>
        <v>5.2999999999999989</v>
      </c>
      <c r="AL541" s="401">
        <f t="shared" si="807"/>
        <v>5.2999999999999989</v>
      </c>
      <c r="AM541" s="401">
        <f t="shared" si="807"/>
        <v>5.2999999999999989</v>
      </c>
      <c r="AN541" s="401">
        <f t="shared" si="807"/>
        <v>5.2999999999999989</v>
      </c>
      <c r="AO541" s="401">
        <f t="shared" si="807"/>
        <v>5.2999999999999989</v>
      </c>
      <c r="AP541" s="401">
        <f t="shared" si="807"/>
        <v>5.2999999999999989</v>
      </c>
      <c r="AQ541" s="401">
        <f t="shared" si="807"/>
        <v>5.2999999999999989</v>
      </c>
      <c r="AR541" s="401">
        <f t="shared" si="807"/>
        <v>5.2999999999999989</v>
      </c>
      <c r="AS541" s="401">
        <f t="shared" si="807"/>
        <v>5.2999999999999989</v>
      </c>
      <c r="AT541" s="401">
        <f t="shared" si="807"/>
        <v>5.2999999999999989</v>
      </c>
      <c r="AU541" s="401">
        <f t="shared" si="807"/>
        <v>5.2999999999999989</v>
      </c>
      <c r="AV541" s="401">
        <f t="shared" si="807"/>
        <v>5.2999999999999989</v>
      </c>
      <c r="AW541" s="401">
        <f t="shared" si="807"/>
        <v>5.2999999999999989</v>
      </c>
      <c r="AX541" s="401">
        <f t="shared" si="807"/>
        <v>5.2999999999999989</v>
      </c>
      <c r="AY541" s="401">
        <f t="shared" si="807"/>
        <v>5.2999999999999989</v>
      </c>
      <c r="AZ541" s="401">
        <f t="shared" si="807"/>
        <v>5.2999999999999989</v>
      </c>
      <c r="BA541" s="401">
        <f t="shared" si="807"/>
        <v>5.2999999999999989</v>
      </c>
    </row>
    <row r="542" spans="19:54" ht="20.100000000000001" customHeight="1">
      <c r="S542" s="542" t="s">
        <v>623</v>
      </c>
      <c r="T542" s="383"/>
      <c r="U542" s="882">
        <f t="shared" si="805"/>
        <v>171.83905706996126</v>
      </c>
      <c r="V542" s="115">
        <f>INDEX('DEFAULT DATA'!$CL$9:$CZ$41,START!$C$3,4)</f>
        <v>156.45894761061641</v>
      </c>
      <c r="W542" s="115">
        <f>INDEX('DEFAULT DATA'!$BW$9:$CK$41,START!$C$3,4)</f>
        <v>233.35949490734063</v>
      </c>
      <c r="X542" s="401">
        <f>X503</f>
        <v>52.250412545410214</v>
      </c>
      <c r="Y542" s="401">
        <f t="shared" ref="Y542:BA542" si="808">Y503</f>
        <v>50.643760477581772</v>
      </c>
      <c r="Z542" s="401">
        <f t="shared" si="808"/>
        <v>49.037108409753351</v>
      </c>
      <c r="AA542" s="401">
        <f t="shared" si="808"/>
        <v>47.430456341924902</v>
      </c>
      <c r="AB542" s="401">
        <f t="shared" si="808"/>
        <v>45.823804274096489</v>
      </c>
      <c r="AC542" s="401">
        <f t="shared" si="808"/>
        <v>45.823804274096489</v>
      </c>
      <c r="AD542" s="401">
        <f t="shared" si="808"/>
        <v>45.823804274096489</v>
      </c>
      <c r="AE542" s="401">
        <f t="shared" si="808"/>
        <v>45.823804274096489</v>
      </c>
      <c r="AF542" s="401">
        <f t="shared" si="808"/>
        <v>45.823804274096489</v>
      </c>
      <c r="AG542" s="401">
        <f t="shared" si="808"/>
        <v>45.823804274096489</v>
      </c>
      <c r="AH542" s="401">
        <f t="shared" si="808"/>
        <v>45.823804274096489</v>
      </c>
      <c r="AI542" s="401">
        <f t="shared" si="808"/>
        <v>45.823804274096489</v>
      </c>
      <c r="AJ542" s="401">
        <f t="shared" si="808"/>
        <v>45.823804274096489</v>
      </c>
      <c r="AK542" s="401">
        <f t="shared" si="808"/>
        <v>45.823804274096489</v>
      </c>
      <c r="AL542" s="401">
        <f t="shared" si="808"/>
        <v>45.823804274096489</v>
      </c>
      <c r="AM542" s="401">
        <f t="shared" si="808"/>
        <v>45.823804274096489</v>
      </c>
      <c r="AN542" s="401">
        <f t="shared" si="808"/>
        <v>45.823804274096489</v>
      </c>
      <c r="AO542" s="401">
        <f t="shared" si="808"/>
        <v>45.823804274096489</v>
      </c>
      <c r="AP542" s="401">
        <f t="shared" si="808"/>
        <v>45.823804274096489</v>
      </c>
      <c r="AQ542" s="401">
        <f t="shared" si="808"/>
        <v>45.823804274096489</v>
      </c>
      <c r="AR542" s="401">
        <f t="shared" si="808"/>
        <v>45.823804274096489</v>
      </c>
      <c r="AS542" s="401">
        <f t="shared" si="808"/>
        <v>45.823804274096489</v>
      </c>
      <c r="AT542" s="401">
        <f t="shared" si="808"/>
        <v>45.823804274096489</v>
      </c>
      <c r="AU542" s="401">
        <f t="shared" si="808"/>
        <v>45.823804274096489</v>
      </c>
      <c r="AV542" s="401">
        <f t="shared" si="808"/>
        <v>45.823804274096489</v>
      </c>
      <c r="AW542" s="401">
        <f t="shared" si="808"/>
        <v>45.823804274096489</v>
      </c>
      <c r="AX542" s="401">
        <f t="shared" si="808"/>
        <v>45.823804274096489</v>
      </c>
      <c r="AY542" s="401">
        <f t="shared" si="808"/>
        <v>45.823804274096489</v>
      </c>
      <c r="AZ542" s="401">
        <f t="shared" si="808"/>
        <v>45.823804274096489</v>
      </c>
      <c r="BA542" s="401">
        <f t="shared" si="808"/>
        <v>45.823804274096489</v>
      </c>
    </row>
    <row r="543" spans="19:54" ht="20.100000000000001" customHeight="1">
      <c r="S543" s="542" t="s">
        <v>624</v>
      </c>
      <c r="T543" s="383"/>
      <c r="U543" s="882">
        <f t="shared" si="805"/>
        <v>115.91049599999999</v>
      </c>
      <c r="V543" s="115">
        <f>INDEX('DEFAULT DATA'!$CL$9:$CZ$41,START!$C$3,5)</f>
        <v>105.53616</v>
      </c>
      <c r="W543" s="115">
        <f>INDEX('DEFAULT DATA'!$BW$9:$CK$41,START!$C$3,5)</f>
        <v>157.40783999999999</v>
      </c>
      <c r="X543" s="401">
        <f>X506</f>
        <v>0.33272762389099186</v>
      </c>
      <c r="Y543" s="401">
        <f t="shared" ref="Y543:BA543" si="809">Y506</f>
        <v>0.79954571791824391</v>
      </c>
      <c r="Z543" s="401">
        <f t="shared" si="809"/>
        <v>1.2663638119454959</v>
      </c>
      <c r="AA543" s="401">
        <f t="shared" si="809"/>
        <v>1.733181905972748</v>
      </c>
      <c r="AB543" s="401">
        <f t="shared" si="809"/>
        <v>2.2000000000000002</v>
      </c>
      <c r="AC543" s="401">
        <f t="shared" si="809"/>
        <v>2.2000000000000002</v>
      </c>
      <c r="AD543" s="401">
        <f t="shared" si="809"/>
        <v>2.2000000000000002</v>
      </c>
      <c r="AE543" s="401">
        <f t="shared" si="809"/>
        <v>2.2000000000000002</v>
      </c>
      <c r="AF543" s="401">
        <f t="shared" si="809"/>
        <v>2.2000000000000002</v>
      </c>
      <c r="AG543" s="401">
        <f t="shared" si="809"/>
        <v>2.2000000000000002</v>
      </c>
      <c r="AH543" s="401">
        <f t="shared" si="809"/>
        <v>2.2000000000000002</v>
      </c>
      <c r="AI543" s="401">
        <f t="shared" si="809"/>
        <v>2.2000000000000002</v>
      </c>
      <c r="AJ543" s="401">
        <f t="shared" si="809"/>
        <v>2.2000000000000002</v>
      </c>
      <c r="AK543" s="401">
        <f t="shared" si="809"/>
        <v>2.2000000000000002</v>
      </c>
      <c r="AL543" s="401">
        <f t="shared" si="809"/>
        <v>2.2000000000000002</v>
      </c>
      <c r="AM543" s="401">
        <f t="shared" si="809"/>
        <v>2.2000000000000002</v>
      </c>
      <c r="AN543" s="401">
        <f t="shared" si="809"/>
        <v>2.2000000000000002</v>
      </c>
      <c r="AO543" s="401">
        <f t="shared" si="809"/>
        <v>2.2000000000000002</v>
      </c>
      <c r="AP543" s="401">
        <f t="shared" si="809"/>
        <v>2.2000000000000002</v>
      </c>
      <c r="AQ543" s="401">
        <f t="shared" si="809"/>
        <v>2.2000000000000002</v>
      </c>
      <c r="AR543" s="401">
        <f t="shared" si="809"/>
        <v>2.2000000000000002</v>
      </c>
      <c r="AS543" s="401">
        <f t="shared" si="809"/>
        <v>2.2000000000000002</v>
      </c>
      <c r="AT543" s="401">
        <f t="shared" si="809"/>
        <v>2.2000000000000002</v>
      </c>
      <c r="AU543" s="401">
        <f t="shared" si="809"/>
        <v>2.2000000000000002</v>
      </c>
      <c r="AV543" s="401">
        <f t="shared" si="809"/>
        <v>2.2000000000000002</v>
      </c>
      <c r="AW543" s="401">
        <f t="shared" si="809"/>
        <v>2.2000000000000002</v>
      </c>
      <c r="AX543" s="401">
        <f t="shared" si="809"/>
        <v>2.2000000000000002</v>
      </c>
      <c r="AY543" s="401">
        <f t="shared" si="809"/>
        <v>2.2000000000000002</v>
      </c>
      <c r="AZ543" s="401">
        <f t="shared" si="809"/>
        <v>2.2000000000000002</v>
      </c>
      <c r="BA543" s="401">
        <f t="shared" si="809"/>
        <v>2.2000000000000002</v>
      </c>
    </row>
    <row r="544" spans="19:54" ht="20.100000000000001" customHeight="1">
      <c r="S544" s="542" t="s">
        <v>625</v>
      </c>
      <c r="T544" s="383"/>
      <c r="U544" s="882">
        <f t="shared" si="805"/>
        <v>0</v>
      </c>
      <c r="V544" s="115">
        <f>INDEX('DEFAULT DATA'!$CL$9:$CZ$41,START!$C$3,6)</f>
        <v>0</v>
      </c>
      <c r="W544" s="115">
        <f>INDEX('DEFAULT DATA'!$BW$9:$CK$41,START!$C$3,6)</f>
        <v>0</v>
      </c>
      <c r="X544" s="401">
        <f>X509</f>
        <v>0</v>
      </c>
      <c r="Y544" s="401">
        <f t="shared" ref="Y544:BA544" si="810">Y509</f>
        <v>0.15</v>
      </c>
      <c r="Z544" s="401">
        <f t="shared" si="810"/>
        <v>0.3</v>
      </c>
      <c r="AA544" s="401">
        <f t="shared" si="810"/>
        <v>0.44999999999999996</v>
      </c>
      <c r="AB544" s="401">
        <f t="shared" si="810"/>
        <v>0.6</v>
      </c>
      <c r="AC544" s="401">
        <f t="shared" si="810"/>
        <v>0.6</v>
      </c>
      <c r="AD544" s="401">
        <f t="shared" si="810"/>
        <v>0.6</v>
      </c>
      <c r="AE544" s="401">
        <f t="shared" si="810"/>
        <v>0.6</v>
      </c>
      <c r="AF544" s="401">
        <f t="shared" si="810"/>
        <v>0.6</v>
      </c>
      <c r="AG544" s="401">
        <f t="shared" si="810"/>
        <v>0.6</v>
      </c>
      <c r="AH544" s="401">
        <f t="shared" si="810"/>
        <v>0.6</v>
      </c>
      <c r="AI544" s="401">
        <f t="shared" si="810"/>
        <v>0.6</v>
      </c>
      <c r="AJ544" s="401">
        <f t="shared" si="810"/>
        <v>0.6</v>
      </c>
      <c r="AK544" s="401">
        <f t="shared" si="810"/>
        <v>0.6</v>
      </c>
      <c r="AL544" s="401">
        <f t="shared" si="810"/>
        <v>0.6</v>
      </c>
      <c r="AM544" s="401">
        <f t="shared" si="810"/>
        <v>0.6</v>
      </c>
      <c r="AN544" s="401">
        <f t="shared" si="810"/>
        <v>0.6</v>
      </c>
      <c r="AO544" s="401">
        <f t="shared" si="810"/>
        <v>0.6</v>
      </c>
      <c r="AP544" s="401">
        <f t="shared" si="810"/>
        <v>0.6</v>
      </c>
      <c r="AQ544" s="401">
        <f t="shared" si="810"/>
        <v>0.6</v>
      </c>
      <c r="AR544" s="401">
        <f t="shared" si="810"/>
        <v>0.6</v>
      </c>
      <c r="AS544" s="401">
        <f t="shared" si="810"/>
        <v>0.6</v>
      </c>
      <c r="AT544" s="401">
        <f t="shared" si="810"/>
        <v>0.6</v>
      </c>
      <c r="AU544" s="401">
        <f t="shared" si="810"/>
        <v>0.6</v>
      </c>
      <c r="AV544" s="401">
        <f t="shared" si="810"/>
        <v>0.6</v>
      </c>
      <c r="AW544" s="401">
        <f t="shared" si="810"/>
        <v>0.6</v>
      </c>
      <c r="AX544" s="401">
        <f t="shared" si="810"/>
        <v>0.6</v>
      </c>
      <c r="AY544" s="401">
        <f t="shared" si="810"/>
        <v>0.6</v>
      </c>
      <c r="AZ544" s="401">
        <f t="shared" si="810"/>
        <v>0.6</v>
      </c>
      <c r="BA544" s="401">
        <f t="shared" si="810"/>
        <v>0.6</v>
      </c>
    </row>
    <row r="545" spans="19:53" ht="20.100000000000001" customHeight="1">
      <c r="S545" s="542" t="s">
        <v>577</v>
      </c>
      <c r="T545" s="383"/>
      <c r="U545" s="882">
        <f t="shared" si="805"/>
        <v>178.64117655678925</v>
      </c>
      <c r="V545" s="115">
        <f>INDEX('DEFAULT DATA'!$CL$9:$CZ$41,START!$C$3,7)</f>
        <v>159.24945066654416</v>
      </c>
      <c r="W545" s="115">
        <f>INDEX('DEFAULT DATA'!$BW$9:$CK$41,START!$C$3,7)</f>
        <v>256.20808011776955</v>
      </c>
      <c r="X545" s="401">
        <f>X511</f>
        <v>46.494896756427373</v>
      </c>
      <c r="Y545" s="401">
        <f t="shared" ref="Y545:BA545" si="811">Y511</f>
        <v>45.065221498796397</v>
      </c>
      <c r="Z545" s="401">
        <f t="shared" si="811"/>
        <v>43.635546241165443</v>
      </c>
      <c r="AA545" s="401">
        <f t="shared" si="811"/>
        <v>42.205870983534467</v>
      </c>
      <c r="AB545" s="401">
        <f t="shared" si="811"/>
        <v>40.776195725903513</v>
      </c>
      <c r="AC545" s="401">
        <f t="shared" si="811"/>
        <v>40.776195725903513</v>
      </c>
      <c r="AD545" s="401">
        <f t="shared" si="811"/>
        <v>40.776195725903513</v>
      </c>
      <c r="AE545" s="401">
        <f t="shared" si="811"/>
        <v>40.776195725903513</v>
      </c>
      <c r="AF545" s="401">
        <f t="shared" si="811"/>
        <v>40.776195725903513</v>
      </c>
      <c r="AG545" s="401">
        <f t="shared" si="811"/>
        <v>40.776195725903513</v>
      </c>
      <c r="AH545" s="401">
        <f t="shared" si="811"/>
        <v>40.776195725903513</v>
      </c>
      <c r="AI545" s="401">
        <f t="shared" si="811"/>
        <v>40.776195725903513</v>
      </c>
      <c r="AJ545" s="401">
        <f t="shared" si="811"/>
        <v>40.776195725903513</v>
      </c>
      <c r="AK545" s="401">
        <f t="shared" si="811"/>
        <v>40.776195725903513</v>
      </c>
      <c r="AL545" s="401">
        <f t="shared" si="811"/>
        <v>40.776195725903513</v>
      </c>
      <c r="AM545" s="401">
        <f t="shared" si="811"/>
        <v>40.776195725903513</v>
      </c>
      <c r="AN545" s="401">
        <f t="shared" si="811"/>
        <v>40.776195725903513</v>
      </c>
      <c r="AO545" s="401">
        <f t="shared" si="811"/>
        <v>40.776195725903513</v>
      </c>
      <c r="AP545" s="401">
        <f t="shared" si="811"/>
        <v>40.776195725903513</v>
      </c>
      <c r="AQ545" s="401">
        <f t="shared" si="811"/>
        <v>40.776195725903513</v>
      </c>
      <c r="AR545" s="401">
        <f t="shared" si="811"/>
        <v>40.776195725903513</v>
      </c>
      <c r="AS545" s="401">
        <f t="shared" si="811"/>
        <v>40.776195725903513</v>
      </c>
      <c r="AT545" s="401">
        <f t="shared" si="811"/>
        <v>40.776195725903513</v>
      </c>
      <c r="AU545" s="401">
        <f t="shared" si="811"/>
        <v>40.776195725903513</v>
      </c>
      <c r="AV545" s="401">
        <f t="shared" si="811"/>
        <v>40.776195725903513</v>
      </c>
      <c r="AW545" s="401">
        <f t="shared" si="811"/>
        <v>40.776195725903513</v>
      </c>
      <c r="AX545" s="401">
        <f t="shared" si="811"/>
        <v>40.776195725903513</v>
      </c>
      <c r="AY545" s="401">
        <f t="shared" si="811"/>
        <v>40.776195725903513</v>
      </c>
      <c r="AZ545" s="401">
        <f t="shared" si="811"/>
        <v>40.776195725903513</v>
      </c>
      <c r="BA545" s="401">
        <f t="shared" si="811"/>
        <v>40.776195725903513</v>
      </c>
    </row>
    <row r="546" spans="19:53" ht="20.100000000000001" customHeight="1">
      <c r="S546" s="542" t="s">
        <v>626</v>
      </c>
      <c r="T546" s="383"/>
      <c r="U546" s="882">
        <f t="shared" si="805"/>
        <v>115.16947199999998</v>
      </c>
      <c r="V546" s="115">
        <f>INDEX('DEFAULT DATA'!$CL$9:$CZ$41,START!$C$3,8)</f>
        <v>102.66767999999999</v>
      </c>
      <c r="W546" s="115">
        <f>INDEX('DEFAULT DATA'!$BW$9:$CK$41,START!$C$3,8)</f>
        <v>165.17663999999999</v>
      </c>
      <c r="X546" s="401">
        <f>X514</f>
        <v>0.47892110991913739</v>
      </c>
      <c r="Y546" s="401">
        <f t="shared" ref="Y546:BA546" si="812">Y514</f>
        <v>0.35919083243935301</v>
      </c>
      <c r="Z546" s="401">
        <f t="shared" si="812"/>
        <v>0.23946055495956867</v>
      </c>
      <c r="AA546" s="401">
        <f t="shared" si="812"/>
        <v>0.11973027747978432</v>
      </c>
      <c r="AB546" s="401">
        <f t="shared" si="812"/>
        <v>-2.7755575615628914E-17</v>
      </c>
      <c r="AC546" s="401">
        <f t="shared" si="812"/>
        <v>-2.7755575615628914E-17</v>
      </c>
      <c r="AD546" s="401">
        <f t="shared" si="812"/>
        <v>-2.7755575615628914E-17</v>
      </c>
      <c r="AE546" s="401">
        <f t="shared" si="812"/>
        <v>-2.7755575615628914E-17</v>
      </c>
      <c r="AF546" s="401">
        <f t="shared" si="812"/>
        <v>-2.7755575615628914E-17</v>
      </c>
      <c r="AG546" s="401">
        <f t="shared" si="812"/>
        <v>-2.7755575615628914E-17</v>
      </c>
      <c r="AH546" s="401">
        <f t="shared" si="812"/>
        <v>-2.7755575615628914E-17</v>
      </c>
      <c r="AI546" s="401">
        <f t="shared" si="812"/>
        <v>-2.7755575615628914E-17</v>
      </c>
      <c r="AJ546" s="401">
        <f t="shared" si="812"/>
        <v>-2.7755575615628914E-17</v>
      </c>
      <c r="AK546" s="401">
        <f t="shared" si="812"/>
        <v>-2.7755575615628914E-17</v>
      </c>
      <c r="AL546" s="401">
        <f t="shared" si="812"/>
        <v>-2.7755575615628914E-17</v>
      </c>
      <c r="AM546" s="401">
        <f t="shared" si="812"/>
        <v>-2.7755575615628914E-17</v>
      </c>
      <c r="AN546" s="401">
        <f t="shared" si="812"/>
        <v>-2.7755575615628914E-17</v>
      </c>
      <c r="AO546" s="401">
        <f t="shared" si="812"/>
        <v>-2.7755575615628914E-17</v>
      </c>
      <c r="AP546" s="401">
        <f t="shared" si="812"/>
        <v>-2.7755575615628914E-17</v>
      </c>
      <c r="AQ546" s="401">
        <f t="shared" si="812"/>
        <v>-2.7755575615628914E-17</v>
      </c>
      <c r="AR546" s="401">
        <f t="shared" si="812"/>
        <v>-2.7755575615628914E-17</v>
      </c>
      <c r="AS546" s="401">
        <f t="shared" si="812"/>
        <v>-2.7755575615628914E-17</v>
      </c>
      <c r="AT546" s="401">
        <f t="shared" si="812"/>
        <v>-2.7755575615628914E-17</v>
      </c>
      <c r="AU546" s="401">
        <f t="shared" si="812"/>
        <v>-2.7755575615628914E-17</v>
      </c>
      <c r="AV546" s="401">
        <f t="shared" si="812"/>
        <v>-2.7755575615628914E-17</v>
      </c>
      <c r="AW546" s="401">
        <f t="shared" si="812"/>
        <v>-2.7755575615628914E-17</v>
      </c>
      <c r="AX546" s="401">
        <f t="shared" si="812"/>
        <v>-2.7755575615628914E-17</v>
      </c>
      <c r="AY546" s="401">
        <f t="shared" si="812"/>
        <v>-2.7755575615628914E-17</v>
      </c>
      <c r="AZ546" s="401">
        <f t="shared" si="812"/>
        <v>-2.7755575615628914E-17</v>
      </c>
      <c r="BA546" s="401">
        <f t="shared" si="812"/>
        <v>-2.7755575615628914E-17</v>
      </c>
    </row>
    <row r="547" spans="19:53" ht="20.100000000000001" customHeight="1">
      <c r="S547" s="542" t="s">
        <v>627</v>
      </c>
      <c r="T547" s="383"/>
      <c r="U547" s="882">
        <f t="shared" si="805"/>
        <v>0</v>
      </c>
      <c r="V547" s="115">
        <f>INDEX('DEFAULT DATA'!$CL$9:$CZ$41,START!$C$3,9)</f>
        <v>0</v>
      </c>
      <c r="W547" s="115">
        <f>INDEX('DEFAULT DATA'!$BW$9:$CK$41,START!$C$3,9)</f>
        <v>0</v>
      </c>
      <c r="X547" s="401">
        <f>X517</f>
        <v>0</v>
      </c>
      <c r="Y547" s="401">
        <f t="shared" ref="Y547:BA547" si="813">Y517</f>
        <v>0</v>
      </c>
      <c r="Z547" s="401">
        <f t="shared" si="813"/>
        <v>0</v>
      </c>
      <c r="AA547" s="401">
        <f t="shared" si="813"/>
        <v>0</v>
      </c>
      <c r="AB547" s="401">
        <f t="shared" si="813"/>
        <v>0</v>
      </c>
      <c r="AC547" s="401">
        <f t="shared" si="813"/>
        <v>0</v>
      </c>
      <c r="AD547" s="401">
        <f t="shared" si="813"/>
        <v>0</v>
      </c>
      <c r="AE547" s="401">
        <f t="shared" si="813"/>
        <v>0</v>
      </c>
      <c r="AF547" s="401">
        <f t="shared" si="813"/>
        <v>0</v>
      </c>
      <c r="AG547" s="401">
        <f t="shared" si="813"/>
        <v>0</v>
      </c>
      <c r="AH547" s="401">
        <f t="shared" si="813"/>
        <v>0</v>
      </c>
      <c r="AI547" s="401">
        <f t="shared" si="813"/>
        <v>0</v>
      </c>
      <c r="AJ547" s="401">
        <f t="shared" si="813"/>
        <v>0</v>
      </c>
      <c r="AK547" s="401">
        <f t="shared" si="813"/>
        <v>0</v>
      </c>
      <c r="AL547" s="401">
        <f t="shared" si="813"/>
        <v>0</v>
      </c>
      <c r="AM547" s="401">
        <f t="shared" si="813"/>
        <v>0</v>
      </c>
      <c r="AN547" s="401">
        <f t="shared" si="813"/>
        <v>0</v>
      </c>
      <c r="AO547" s="401">
        <f t="shared" si="813"/>
        <v>0</v>
      </c>
      <c r="AP547" s="401">
        <f t="shared" si="813"/>
        <v>0</v>
      </c>
      <c r="AQ547" s="401">
        <f t="shared" si="813"/>
        <v>0</v>
      </c>
      <c r="AR547" s="401">
        <f t="shared" si="813"/>
        <v>0</v>
      </c>
      <c r="AS547" s="401">
        <f t="shared" si="813"/>
        <v>0</v>
      </c>
      <c r="AT547" s="401">
        <f t="shared" si="813"/>
        <v>0</v>
      </c>
      <c r="AU547" s="401">
        <f t="shared" si="813"/>
        <v>0</v>
      </c>
      <c r="AV547" s="401">
        <f t="shared" si="813"/>
        <v>0</v>
      </c>
      <c r="AW547" s="401">
        <f t="shared" si="813"/>
        <v>0</v>
      </c>
      <c r="AX547" s="401">
        <f t="shared" si="813"/>
        <v>0</v>
      </c>
      <c r="AY547" s="401">
        <f t="shared" si="813"/>
        <v>0</v>
      </c>
      <c r="AZ547" s="401">
        <f t="shared" si="813"/>
        <v>0</v>
      </c>
      <c r="BA547" s="401">
        <f t="shared" si="813"/>
        <v>0</v>
      </c>
    </row>
    <row r="548" spans="19:53" ht="20.100000000000001" customHeight="1">
      <c r="S548" s="542" t="s">
        <v>628</v>
      </c>
      <c r="T548" s="383"/>
      <c r="U548" s="882">
        <f t="shared" si="805"/>
        <v>0</v>
      </c>
      <c r="V548" s="115">
        <f>INDEX('DEFAULT DATA'!$CL$9:$CZ$41,START!$C$3,10)</f>
        <v>0</v>
      </c>
      <c r="W548" s="115">
        <f>INDEX('DEFAULT DATA'!$BW$9:$CK$41,START!$C$3,10)</f>
        <v>0</v>
      </c>
      <c r="X548" s="401">
        <f>X520</f>
        <v>0</v>
      </c>
      <c r="Y548" s="401">
        <f t="shared" ref="Y548:BA548" si="814">Y520</f>
        <v>0</v>
      </c>
      <c r="Z548" s="401">
        <f t="shared" si="814"/>
        <v>0</v>
      </c>
      <c r="AA548" s="401">
        <f t="shared" si="814"/>
        <v>0</v>
      </c>
      <c r="AB548" s="401">
        <f t="shared" si="814"/>
        <v>0</v>
      </c>
      <c r="AC548" s="401">
        <f t="shared" si="814"/>
        <v>0</v>
      </c>
      <c r="AD548" s="401">
        <f t="shared" si="814"/>
        <v>0</v>
      </c>
      <c r="AE548" s="401">
        <f t="shared" si="814"/>
        <v>0</v>
      </c>
      <c r="AF548" s="401">
        <f t="shared" si="814"/>
        <v>0</v>
      </c>
      <c r="AG548" s="401">
        <f t="shared" si="814"/>
        <v>0</v>
      </c>
      <c r="AH548" s="401">
        <f t="shared" si="814"/>
        <v>0</v>
      </c>
      <c r="AI548" s="401">
        <f t="shared" si="814"/>
        <v>0</v>
      </c>
      <c r="AJ548" s="401">
        <f t="shared" si="814"/>
        <v>0</v>
      </c>
      <c r="AK548" s="401">
        <f t="shared" si="814"/>
        <v>0</v>
      </c>
      <c r="AL548" s="401">
        <f t="shared" si="814"/>
        <v>0</v>
      </c>
      <c r="AM548" s="401">
        <f t="shared" si="814"/>
        <v>0</v>
      </c>
      <c r="AN548" s="401">
        <f t="shared" si="814"/>
        <v>0</v>
      </c>
      <c r="AO548" s="401">
        <f t="shared" si="814"/>
        <v>0</v>
      </c>
      <c r="AP548" s="401">
        <f t="shared" si="814"/>
        <v>0</v>
      </c>
      <c r="AQ548" s="401">
        <f t="shared" si="814"/>
        <v>0</v>
      </c>
      <c r="AR548" s="401">
        <f t="shared" si="814"/>
        <v>0</v>
      </c>
      <c r="AS548" s="401">
        <f t="shared" si="814"/>
        <v>0</v>
      </c>
      <c r="AT548" s="401">
        <f t="shared" si="814"/>
        <v>0</v>
      </c>
      <c r="AU548" s="401">
        <f t="shared" si="814"/>
        <v>0</v>
      </c>
      <c r="AV548" s="401">
        <f t="shared" si="814"/>
        <v>0</v>
      </c>
      <c r="AW548" s="401">
        <f t="shared" si="814"/>
        <v>0</v>
      </c>
      <c r="AX548" s="401">
        <f t="shared" si="814"/>
        <v>0</v>
      </c>
      <c r="AY548" s="401">
        <f t="shared" si="814"/>
        <v>0</v>
      </c>
      <c r="AZ548" s="401">
        <f t="shared" si="814"/>
        <v>0</v>
      </c>
      <c r="BA548" s="401">
        <f t="shared" si="814"/>
        <v>0</v>
      </c>
    </row>
    <row r="549" spans="19:53" ht="20.100000000000001" customHeight="1">
      <c r="S549" s="542" t="s">
        <v>629</v>
      </c>
      <c r="T549" s="383"/>
      <c r="U549" s="882">
        <f t="shared" si="805"/>
        <v>4.8490000000000002</v>
      </c>
      <c r="V549" s="115">
        <f>INDEX('DEFAULT DATA'!$CL$9:$CZ$41,START!$C$3,11)</f>
        <v>4.415</v>
      </c>
      <c r="W549" s="115">
        <f>INDEX('DEFAULT DATA'!$BW$9:$CK$41,START!$C$3,11)</f>
        <v>6.585</v>
      </c>
      <c r="X549" s="401">
        <f>X523</f>
        <v>0</v>
      </c>
      <c r="Y549" s="401">
        <f t="shared" ref="Y549:BA549" si="815">Y523</f>
        <v>0</v>
      </c>
      <c r="Z549" s="401">
        <f t="shared" si="815"/>
        <v>0</v>
      </c>
      <c r="AA549" s="401">
        <f t="shared" si="815"/>
        <v>0</v>
      </c>
      <c r="AB549" s="401">
        <f t="shared" si="815"/>
        <v>0</v>
      </c>
      <c r="AC549" s="401">
        <f t="shared" si="815"/>
        <v>0</v>
      </c>
      <c r="AD549" s="401">
        <f t="shared" si="815"/>
        <v>0</v>
      </c>
      <c r="AE549" s="401">
        <f t="shared" si="815"/>
        <v>0</v>
      </c>
      <c r="AF549" s="401">
        <f t="shared" si="815"/>
        <v>0</v>
      </c>
      <c r="AG549" s="401">
        <f t="shared" si="815"/>
        <v>0</v>
      </c>
      <c r="AH549" s="401">
        <f t="shared" si="815"/>
        <v>0</v>
      </c>
      <c r="AI549" s="401">
        <f t="shared" si="815"/>
        <v>0</v>
      </c>
      <c r="AJ549" s="401">
        <f t="shared" si="815"/>
        <v>0</v>
      </c>
      <c r="AK549" s="401">
        <f t="shared" si="815"/>
        <v>0</v>
      </c>
      <c r="AL549" s="401">
        <f t="shared" si="815"/>
        <v>0</v>
      </c>
      <c r="AM549" s="401">
        <f t="shared" si="815"/>
        <v>0</v>
      </c>
      <c r="AN549" s="401">
        <f t="shared" si="815"/>
        <v>0</v>
      </c>
      <c r="AO549" s="401">
        <f t="shared" si="815"/>
        <v>0</v>
      </c>
      <c r="AP549" s="401">
        <f t="shared" si="815"/>
        <v>0</v>
      </c>
      <c r="AQ549" s="401">
        <f t="shared" si="815"/>
        <v>0</v>
      </c>
      <c r="AR549" s="401">
        <f t="shared" si="815"/>
        <v>0</v>
      </c>
      <c r="AS549" s="401">
        <f t="shared" si="815"/>
        <v>0</v>
      </c>
      <c r="AT549" s="401">
        <f t="shared" si="815"/>
        <v>0</v>
      </c>
      <c r="AU549" s="401">
        <f t="shared" si="815"/>
        <v>0</v>
      </c>
      <c r="AV549" s="401">
        <f t="shared" si="815"/>
        <v>0</v>
      </c>
      <c r="AW549" s="401">
        <f t="shared" si="815"/>
        <v>0</v>
      </c>
      <c r="AX549" s="401">
        <f t="shared" si="815"/>
        <v>0</v>
      </c>
      <c r="AY549" s="401">
        <f t="shared" si="815"/>
        <v>0</v>
      </c>
      <c r="AZ549" s="401">
        <f t="shared" si="815"/>
        <v>0</v>
      </c>
      <c r="BA549" s="401">
        <f t="shared" si="815"/>
        <v>0</v>
      </c>
    </row>
    <row r="550" spans="19:53" ht="20.100000000000001" customHeight="1">
      <c r="S550" s="542" t="s">
        <v>630</v>
      </c>
      <c r="T550" s="383"/>
      <c r="U550" s="882">
        <f t="shared" si="805"/>
        <v>0.9698</v>
      </c>
      <c r="V550" s="115">
        <f>INDEX('DEFAULT DATA'!$CL$9:$CZ$41,START!$C$3,12)</f>
        <v>0.88300000000000001</v>
      </c>
      <c r="W550" s="115">
        <f>INDEX('DEFAULT DATA'!$BW$9:$CK$41,START!$C$3,12)</f>
        <v>1.3169999999999999</v>
      </c>
      <c r="X550" s="401">
        <f>X526</f>
        <v>0</v>
      </c>
      <c r="Y550" s="401">
        <f t="shared" ref="Y550:BA550" si="816">Y526</f>
        <v>0</v>
      </c>
      <c r="Z550" s="401">
        <f t="shared" si="816"/>
        <v>0</v>
      </c>
      <c r="AA550" s="401">
        <f t="shared" si="816"/>
        <v>0</v>
      </c>
      <c r="AB550" s="401">
        <f t="shared" si="816"/>
        <v>0</v>
      </c>
      <c r="AC550" s="401">
        <f t="shared" si="816"/>
        <v>0</v>
      </c>
      <c r="AD550" s="401">
        <f t="shared" si="816"/>
        <v>0</v>
      </c>
      <c r="AE550" s="401">
        <f t="shared" si="816"/>
        <v>0</v>
      </c>
      <c r="AF550" s="401">
        <f t="shared" si="816"/>
        <v>0</v>
      </c>
      <c r="AG550" s="401">
        <f t="shared" si="816"/>
        <v>0</v>
      </c>
      <c r="AH550" s="401">
        <f t="shared" si="816"/>
        <v>0</v>
      </c>
      <c r="AI550" s="401">
        <f t="shared" si="816"/>
        <v>0</v>
      </c>
      <c r="AJ550" s="401">
        <f t="shared" si="816"/>
        <v>0</v>
      </c>
      <c r="AK550" s="401">
        <f t="shared" si="816"/>
        <v>0</v>
      </c>
      <c r="AL550" s="401">
        <f t="shared" si="816"/>
        <v>0</v>
      </c>
      <c r="AM550" s="401">
        <f t="shared" si="816"/>
        <v>0</v>
      </c>
      <c r="AN550" s="401">
        <f t="shared" si="816"/>
        <v>0</v>
      </c>
      <c r="AO550" s="401">
        <f t="shared" si="816"/>
        <v>0</v>
      </c>
      <c r="AP550" s="401">
        <f t="shared" si="816"/>
        <v>0</v>
      </c>
      <c r="AQ550" s="401">
        <f t="shared" si="816"/>
        <v>0</v>
      </c>
      <c r="AR550" s="401">
        <f t="shared" si="816"/>
        <v>0</v>
      </c>
      <c r="AS550" s="401">
        <f t="shared" si="816"/>
        <v>0</v>
      </c>
      <c r="AT550" s="401">
        <f t="shared" si="816"/>
        <v>0</v>
      </c>
      <c r="AU550" s="401">
        <f t="shared" si="816"/>
        <v>0</v>
      </c>
      <c r="AV550" s="401">
        <f t="shared" si="816"/>
        <v>0</v>
      </c>
      <c r="AW550" s="401">
        <f t="shared" si="816"/>
        <v>0</v>
      </c>
      <c r="AX550" s="401">
        <f t="shared" si="816"/>
        <v>0</v>
      </c>
      <c r="AY550" s="401">
        <f t="shared" si="816"/>
        <v>0</v>
      </c>
      <c r="AZ550" s="401">
        <f t="shared" si="816"/>
        <v>0</v>
      </c>
      <c r="BA550" s="401">
        <f t="shared" si="816"/>
        <v>0</v>
      </c>
    </row>
    <row r="551" spans="19:53" ht="20.100000000000001" customHeight="1">
      <c r="S551" s="542" t="s">
        <v>2042</v>
      </c>
      <c r="T551" s="383"/>
      <c r="U551" s="882">
        <f t="shared" si="805"/>
        <v>29.200000000000003</v>
      </c>
      <c r="V551" s="115">
        <f>INDEX('DEFAULT DATA'!$CL$9:$CZ$41,START!$C$3,13)</f>
        <v>27</v>
      </c>
      <c r="W551" s="115">
        <f>INDEX('DEFAULT DATA'!$BW$9:$CK$41,START!$C$3,13)</f>
        <v>38</v>
      </c>
      <c r="X551" s="401">
        <f>X529</f>
        <v>0.1778413966184085</v>
      </c>
      <c r="Y551" s="401">
        <f t="shared" ref="Y551:BA551" si="817">Y529</f>
        <v>0.28338104746380638</v>
      </c>
      <c r="Z551" s="401">
        <f t="shared" si="817"/>
        <v>0.38892069830920428</v>
      </c>
      <c r="AA551" s="401">
        <f t="shared" si="817"/>
        <v>0.49446034915460213</v>
      </c>
      <c r="AB551" s="401">
        <f t="shared" si="817"/>
        <v>0.6</v>
      </c>
      <c r="AC551" s="401">
        <f t="shared" si="817"/>
        <v>0.6</v>
      </c>
      <c r="AD551" s="401">
        <f t="shared" si="817"/>
        <v>0.6</v>
      </c>
      <c r="AE551" s="401">
        <f t="shared" si="817"/>
        <v>0.6</v>
      </c>
      <c r="AF551" s="401">
        <f t="shared" si="817"/>
        <v>0.6</v>
      </c>
      <c r="AG551" s="401">
        <f t="shared" si="817"/>
        <v>0.6</v>
      </c>
      <c r="AH551" s="401">
        <f t="shared" si="817"/>
        <v>0.6</v>
      </c>
      <c r="AI551" s="401">
        <f t="shared" si="817"/>
        <v>0.6</v>
      </c>
      <c r="AJ551" s="401">
        <f t="shared" si="817"/>
        <v>0.6</v>
      </c>
      <c r="AK551" s="401">
        <f t="shared" si="817"/>
        <v>0.6</v>
      </c>
      <c r="AL551" s="401">
        <f t="shared" si="817"/>
        <v>0.6</v>
      </c>
      <c r="AM551" s="401">
        <f t="shared" si="817"/>
        <v>0.6</v>
      </c>
      <c r="AN551" s="401">
        <f t="shared" si="817"/>
        <v>0.6</v>
      </c>
      <c r="AO551" s="401">
        <f t="shared" si="817"/>
        <v>0.6</v>
      </c>
      <c r="AP551" s="401">
        <f t="shared" si="817"/>
        <v>0.6</v>
      </c>
      <c r="AQ551" s="401">
        <f t="shared" si="817"/>
        <v>0.6</v>
      </c>
      <c r="AR551" s="401">
        <f t="shared" si="817"/>
        <v>0.6</v>
      </c>
      <c r="AS551" s="401">
        <f t="shared" si="817"/>
        <v>0.6</v>
      </c>
      <c r="AT551" s="401">
        <f t="shared" si="817"/>
        <v>0.6</v>
      </c>
      <c r="AU551" s="401">
        <f t="shared" si="817"/>
        <v>0.6</v>
      </c>
      <c r="AV551" s="401">
        <f t="shared" si="817"/>
        <v>0.6</v>
      </c>
      <c r="AW551" s="401">
        <f t="shared" si="817"/>
        <v>0.6</v>
      </c>
      <c r="AX551" s="401">
        <f t="shared" si="817"/>
        <v>0.6</v>
      </c>
      <c r="AY551" s="401">
        <f t="shared" si="817"/>
        <v>0.6</v>
      </c>
      <c r="AZ551" s="401">
        <f t="shared" si="817"/>
        <v>0.6</v>
      </c>
      <c r="BA551" s="401">
        <f t="shared" si="817"/>
        <v>0.6</v>
      </c>
    </row>
    <row r="552" spans="19:53" ht="20.100000000000001" customHeight="1">
      <c r="S552" s="542" t="s">
        <v>486</v>
      </c>
      <c r="T552" s="383"/>
      <c r="U552" s="882">
        <f t="shared" si="805"/>
        <v>166.30130399999999</v>
      </c>
      <c r="V552" s="115">
        <f>INDEX('DEFAULT DATA'!$CL$9:$CZ$41,START!$C$3,14)</f>
        <v>151.41683999999998</v>
      </c>
      <c r="W552" s="115">
        <f>INDEX('DEFAULT DATA'!$BW$9:$CK$41,START!$C$3,14)</f>
        <v>225.83915999999996</v>
      </c>
      <c r="X552" s="401">
        <f>X532</f>
        <v>1.0074368991898192E-4</v>
      </c>
      <c r="Y552" s="401">
        <f t="shared" ref="Y552:BA552" si="818">Y532</f>
        <v>0.97507555776743915</v>
      </c>
      <c r="Z552" s="401">
        <f t="shared" si="818"/>
        <v>1.9500503718449593</v>
      </c>
      <c r="AA552" s="401">
        <f t="shared" si="818"/>
        <v>2.9250251859224794</v>
      </c>
      <c r="AB552" s="401">
        <f t="shared" si="818"/>
        <v>3.8999999999999995</v>
      </c>
      <c r="AC552" s="401">
        <f t="shared" si="818"/>
        <v>3.8999999999999995</v>
      </c>
      <c r="AD552" s="401">
        <f t="shared" si="818"/>
        <v>3.8999999999999995</v>
      </c>
      <c r="AE552" s="401">
        <f t="shared" si="818"/>
        <v>3.8999999999999995</v>
      </c>
      <c r="AF552" s="401">
        <f t="shared" si="818"/>
        <v>3.8999999999999995</v>
      </c>
      <c r="AG552" s="401">
        <f t="shared" si="818"/>
        <v>3.8999999999999995</v>
      </c>
      <c r="AH552" s="401">
        <f t="shared" si="818"/>
        <v>3.8999999999999995</v>
      </c>
      <c r="AI552" s="401">
        <f t="shared" si="818"/>
        <v>3.8999999999999995</v>
      </c>
      <c r="AJ552" s="401">
        <f t="shared" si="818"/>
        <v>3.8999999999999995</v>
      </c>
      <c r="AK552" s="401">
        <f t="shared" si="818"/>
        <v>3.8999999999999995</v>
      </c>
      <c r="AL552" s="401">
        <f t="shared" si="818"/>
        <v>3.8999999999999995</v>
      </c>
      <c r="AM552" s="401">
        <f t="shared" si="818"/>
        <v>3.8999999999999995</v>
      </c>
      <c r="AN552" s="401">
        <f t="shared" si="818"/>
        <v>3.8999999999999995</v>
      </c>
      <c r="AO552" s="401">
        <f t="shared" si="818"/>
        <v>3.8999999999999995</v>
      </c>
      <c r="AP552" s="401">
        <f t="shared" si="818"/>
        <v>3.8999999999999995</v>
      </c>
      <c r="AQ552" s="401">
        <f t="shared" si="818"/>
        <v>3.8999999999999995</v>
      </c>
      <c r="AR552" s="401">
        <f t="shared" si="818"/>
        <v>3.8999999999999995</v>
      </c>
      <c r="AS552" s="401">
        <f t="shared" si="818"/>
        <v>3.8999999999999995</v>
      </c>
      <c r="AT552" s="401">
        <f t="shared" si="818"/>
        <v>3.8999999999999995</v>
      </c>
      <c r="AU552" s="401">
        <f t="shared" si="818"/>
        <v>3.8999999999999995</v>
      </c>
      <c r="AV552" s="401">
        <f t="shared" si="818"/>
        <v>3.8999999999999995</v>
      </c>
      <c r="AW552" s="401">
        <f t="shared" si="818"/>
        <v>3.8999999999999995</v>
      </c>
      <c r="AX552" s="401">
        <f t="shared" si="818"/>
        <v>3.8999999999999995</v>
      </c>
      <c r="AY552" s="401">
        <f t="shared" si="818"/>
        <v>3.8999999999999995</v>
      </c>
      <c r="AZ552" s="401">
        <f t="shared" si="818"/>
        <v>3.8999999999999995</v>
      </c>
      <c r="BA552" s="401">
        <f t="shared" si="818"/>
        <v>3.8999999999999995</v>
      </c>
    </row>
    <row r="553" spans="19:53" ht="20.100000000000001" customHeight="1">
      <c r="S553" s="542" t="s">
        <v>2630</v>
      </c>
      <c r="T553" s="383"/>
      <c r="U553" s="874">
        <f>0.8*V553+0.2*W553</f>
        <v>0.20000000000000004</v>
      </c>
      <c r="V553" s="432">
        <f>INDEX('DEFAULT DATA'!$CL$9:$CZ$41,START!$C$3,15)</f>
        <v>0.2</v>
      </c>
      <c r="W553" s="432">
        <f>INDEX('DEFAULT DATA'!$BW$9:$CK$41,START!$C$3,15)</f>
        <v>0.2</v>
      </c>
      <c r="X553" s="401">
        <f>X535</f>
        <v>4.0268692056187341E-2</v>
      </c>
      <c r="Y553" s="401">
        <f t="shared" ref="Y553:BA553" si="819">Y535</f>
        <v>0.18020151904214049</v>
      </c>
      <c r="Z553" s="401">
        <f t="shared" si="819"/>
        <v>0.32013434602809365</v>
      </c>
      <c r="AA553" s="401">
        <f t="shared" si="819"/>
        <v>0.46006717301404682</v>
      </c>
      <c r="AB553" s="401">
        <f t="shared" si="819"/>
        <v>0.6</v>
      </c>
      <c r="AC553" s="401">
        <f t="shared" si="819"/>
        <v>0.6</v>
      </c>
      <c r="AD553" s="401">
        <f t="shared" si="819"/>
        <v>0.6</v>
      </c>
      <c r="AE553" s="401">
        <f t="shared" si="819"/>
        <v>0.6</v>
      </c>
      <c r="AF553" s="401">
        <f t="shared" si="819"/>
        <v>0.6</v>
      </c>
      <c r="AG553" s="401">
        <f t="shared" si="819"/>
        <v>0.6</v>
      </c>
      <c r="AH553" s="401">
        <f t="shared" si="819"/>
        <v>0.6</v>
      </c>
      <c r="AI553" s="401">
        <f t="shared" si="819"/>
        <v>0.6</v>
      </c>
      <c r="AJ553" s="401">
        <f t="shared" si="819"/>
        <v>0.6</v>
      </c>
      <c r="AK553" s="401">
        <f t="shared" si="819"/>
        <v>0.6</v>
      </c>
      <c r="AL553" s="401">
        <f t="shared" si="819"/>
        <v>0.6</v>
      </c>
      <c r="AM553" s="401">
        <f t="shared" si="819"/>
        <v>0.6</v>
      </c>
      <c r="AN553" s="401">
        <f t="shared" si="819"/>
        <v>0.6</v>
      </c>
      <c r="AO553" s="401">
        <f t="shared" si="819"/>
        <v>0.6</v>
      </c>
      <c r="AP553" s="401">
        <f t="shared" si="819"/>
        <v>0.6</v>
      </c>
      <c r="AQ553" s="401">
        <f t="shared" si="819"/>
        <v>0.6</v>
      </c>
      <c r="AR553" s="401">
        <f t="shared" si="819"/>
        <v>0.6</v>
      </c>
      <c r="AS553" s="401">
        <f t="shared" si="819"/>
        <v>0.6</v>
      </c>
      <c r="AT553" s="401">
        <f t="shared" si="819"/>
        <v>0.6</v>
      </c>
      <c r="AU553" s="401">
        <f t="shared" si="819"/>
        <v>0.6</v>
      </c>
      <c r="AV553" s="401">
        <f t="shared" si="819"/>
        <v>0.6</v>
      </c>
      <c r="AW553" s="401">
        <f t="shared" si="819"/>
        <v>0.6</v>
      </c>
      <c r="AX553" s="401">
        <f t="shared" si="819"/>
        <v>0.6</v>
      </c>
      <c r="AY553" s="401">
        <f t="shared" si="819"/>
        <v>0.6</v>
      </c>
      <c r="AZ553" s="401">
        <f t="shared" si="819"/>
        <v>0.6</v>
      </c>
      <c r="BA553" s="401">
        <f t="shared" si="819"/>
        <v>0.6</v>
      </c>
    </row>
    <row r="554" spans="19:53" ht="20.100000000000001" customHeight="1">
      <c r="S554" s="101" t="s">
        <v>2631</v>
      </c>
      <c r="T554" s="383" t="s">
        <v>2745</v>
      </c>
      <c r="U554" s="874">
        <f t="shared" ref="U554:U555" si="820">0.8*V554+0.2*W554</f>
        <v>0.20000000000000004</v>
      </c>
      <c r="V554" s="432">
        <f>INDEX('DEFAULT DATA'!$CL$9:$CZ$41,START!$C$3,15)</f>
        <v>0.2</v>
      </c>
      <c r="W554" s="432">
        <f>INDEX('DEFAULT DATA'!$BW$9:$CK$41,START!$C$3,15)</f>
        <v>0.2</v>
      </c>
      <c r="X554" s="162">
        <f>X544</f>
        <v>0</v>
      </c>
      <c r="Y554" s="162">
        <f t="shared" ref="Y554:BA554" si="821">Y544</f>
        <v>0.15</v>
      </c>
      <c r="Z554" s="162">
        <f t="shared" si="821"/>
        <v>0.3</v>
      </c>
      <c r="AA554" s="162">
        <f t="shared" si="821"/>
        <v>0.44999999999999996</v>
      </c>
      <c r="AB554" s="162">
        <f t="shared" si="821"/>
        <v>0.6</v>
      </c>
      <c r="AC554" s="162">
        <f t="shared" si="821"/>
        <v>0.6</v>
      </c>
      <c r="AD554" s="162">
        <f t="shared" si="821"/>
        <v>0.6</v>
      </c>
      <c r="AE554" s="162">
        <f t="shared" si="821"/>
        <v>0.6</v>
      </c>
      <c r="AF554" s="162">
        <f t="shared" si="821"/>
        <v>0.6</v>
      </c>
      <c r="AG554" s="162">
        <f t="shared" si="821"/>
        <v>0.6</v>
      </c>
      <c r="AH554" s="162">
        <f t="shared" si="821"/>
        <v>0.6</v>
      </c>
      <c r="AI554" s="162">
        <f t="shared" si="821"/>
        <v>0.6</v>
      </c>
      <c r="AJ554" s="162">
        <f t="shared" si="821"/>
        <v>0.6</v>
      </c>
      <c r="AK554" s="162">
        <f t="shared" si="821"/>
        <v>0.6</v>
      </c>
      <c r="AL554" s="162">
        <f t="shared" si="821"/>
        <v>0.6</v>
      </c>
      <c r="AM554" s="162">
        <f t="shared" si="821"/>
        <v>0.6</v>
      </c>
      <c r="AN554" s="162">
        <f t="shared" si="821"/>
        <v>0.6</v>
      </c>
      <c r="AO554" s="162">
        <f t="shared" si="821"/>
        <v>0.6</v>
      </c>
      <c r="AP554" s="162">
        <f t="shared" si="821"/>
        <v>0.6</v>
      </c>
      <c r="AQ554" s="162">
        <f t="shared" si="821"/>
        <v>0.6</v>
      </c>
      <c r="AR554" s="162">
        <f t="shared" si="821"/>
        <v>0.6</v>
      </c>
      <c r="AS554" s="162">
        <f t="shared" si="821"/>
        <v>0.6</v>
      </c>
      <c r="AT554" s="162">
        <f t="shared" si="821"/>
        <v>0.6</v>
      </c>
      <c r="AU554" s="162">
        <f t="shared" si="821"/>
        <v>0.6</v>
      </c>
      <c r="AV554" s="162">
        <f t="shared" si="821"/>
        <v>0.6</v>
      </c>
      <c r="AW554" s="162">
        <f t="shared" si="821"/>
        <v>0.6</v>
      </c>
      <c r="AX554" s="162">
        <f t="shared" si="821"/>
        <v>0.6</v>
      </c>
      <c r="AY554" s="162">
        <f t="shared" si="821"/>
        <v>0.6</v>
      </c>
      <c r="AZ554" s="162">
        <f t="shared" si="821"/>
        <v>0.6</v>
      </c>
      <c r="BA554" s="162">
        <f t="shared" si="821"/>
        <v>0.6</v>
      </c>
    </row>
    <row r="555" spans="19:53" ht="20.100000000000001" customHeight="1" thickBot="1">
      <c r="S555" s="301" t="s">
        <v>2632</v>
      </c>
      <c r="T555" s="448" t="s">
        <v>2745</v>
      </c>
      <c r="U555" s="883">
        <f t="shared" si="820"/>
        <v>0.20000000000000004</v>
      </c>
      <c r="V555" s="451">
        <f>INDEX('DEFAULT DATA'!$CL$9:$CZ$41,START!$C$3,15)</f>
        <v>0.2</v>
      </c>
      <c r="W555" s="451">
        <f>INDEX('DEFAULT DATA'!$BW$9:$CK$41,START!$C$3,15)</f>
        <v>0.2</v>
      </c>
      <c r="X555" s="160">
        <f>X547</f>
        <v>0</v>
      </c>
      <c r="Y555" s="160">
        <f t="shared" ref="Y555:BA555" si="822">Y547</f>
        <v>0</v>
      </c>
      <c r="Z555" s="160">
        <f t="shared" si="822"/>
        <v>0</v>
      </c>
      <c r="AA555" s="160">
        <f t="shared" si="822"/>
        <v>0</v>
      </c>
      <c r="AB555" s="160">
        <f t="shared" si="822"/>
        <v>0</v>
      </c>
      <c r="AC555" s="160">
        <f t="shared" si="822"/>
        <v>0</v>
      </c>
      <c r="AD555" s="160">
        <f t="shared" si="822"/>
        <v>0</v>
      </c>
      <c r="AE555" s="160">
        <f t="shared" si="822"/>
        <v>0</v>
      </c>
      <c r="AF555" s="160">
        <f t="shared" si="822"/>
        <v>0</v>
      </c>
      <c r="AG555" s="160">
        <f t="shared" si="822"/>
        <v>0</v>
      </c>
      <c r="AH555" s="160">
        <f t="shared" si="822"/>
        <v>0</v>
      </c>
      <c r="AI555" s="160">
        <f t="shared" si="822"/>
        <v>0</v>
      </c>
      <c r="AJ555" s="160">
        <f t="shared" si="822"/>
        <v>0</v>
      </c>
      <c r="AK555" s="160">
        <f t="shared" si="822"/>
        <v>0</v>
      </c>
      <c r="AL555" s="160">
        <f t="shared" si="822"/>
        <v>0</v>
      </c>
      <c r="AM555" s="160">
        <f t="shared" si="822"/>
        <v>0</v>
      </c>
      <c r="AN555" s="160">
        <f t="shared" si="822"/>
        <v>0</v>
      </c>
      <c r="AO555" s="160">
        <f t="shared" si="822"/>
        <v>0</v>
      </c>
      <c r="AP555" s="160">
        <f t="shared" si="822"/>
        <v>0</v>
      </c>
      <c r="AQ555" s="160">
        <f t="shared" si="822"/>
        <v>0</v>
      </c>
      <c r="AR555" s="160">
        <f t="shared" si="822"/>
        <v>0</v>
      </c>
      <c r="AS555" s="160">
        <f t="shared" si="822"/>
        <v>0</v>
      </c>
      <c r="AT555" s="160">
        <f t="shared" si="822"/>
        <v>0</v>
      </c>
      <c r="AU555" s="160">
        <f t="shared" si="822"/>
        <v>0</v>
      </c>
      <c r="AV555" s="160">
        <f t="shared" si="822"/>
        <v>0</v>
      </c>
      <c r="AW555" s="160">
        <f t="shared" si="822"/>
        <v>0</v>
      </c>
      <c r="AX555" s="160">
        <f t="shared" si="822"/>
        <v>0</v>
      </c>
      <c r="AY555" s="160">
        <f t="shared" si="822"/>
        <v>0</v>
      </c>
      <c r="AZ555" s="160">
        <f t="shared" si="822"/>
        <v>0</v>
      </c>
      <c r="BA555" s="160">
        <f t="shared" si="822"/>
        <v>0</v>
      </c>
    </row>
    <row r="556" spans="19:53" ht="20.100000000000001" customHeight="1">
      <c r="S556" s="435" t="s">
        <v>2045</v>
      </c>
      <c r="T556" s="450" t="s">
        <v>2765</v>
      </c>
      <c r="U556" s="881"/>
      <c r="V556" s="881"/>
      <c r="W556" s="881"/>
      <c r="X556" s="179">
        <f>(X539/100*$U$539)+(X540/100*$U$540)+(X541/100*$U$541)+(X542/100*$U$542)+(X543/100*$U$543)+(X544/100*$U$544*0.5)+(X545/100*$U$545)+(X546/100*$U$546)+(X547/100*$U$547*0.5)+(X548/100*$U$548)+(X549/100*$U$549)+(X550/100*$U$550)+(X551/100*$U$551)+(X552/100*$U$552)+(X553/100*X$594*U553)+(X554/100*X$594*U554*0.5)+(X555/100*X$594*U555*0.5)</f>
        <v>173.96997672926014</v>
      </c>
      <c r="Y556" s="179">
        <f t="shared" ref="Y556:BA556" si="823">(Y539/100*$U$539)+(Y540/100*$U$540)+(Y541/100*$U$541)+(Y542/100*$U$542)+(Y543/100*$U$543)+(Y544/100*$U$544*0.5)+(Y545/100*$U$545)+(Y546/100*$U$546)+(Y547/100*$U$547*0.5)+(Y548/100*$U$548)+(Y549/100*$U$549)+(Y550/100*$U$550)+(Y551/100*$U$551)+(Y552/100*$U$552)+(Y553/100*Y$594*V553)+(Y554/100*Y$594*V554*0.5)+(Y555/100*Y$594*V555*0.5)</f>
        <v>171.47716837189168</v>
      </c>
      <c r="Z556" s="179">
        <f t="shared" si="823"/>
        <v>168.96254015804647</v>
      </c>
      <c r="AA556" s="179">
        <f t="shared" si="823"/>
        <v>166.08813867851674</v>
      </c>
      <c r="AB556" s="179">
        <f t="shared" si="823"/>
        <v>163.80618501952699</v>
      </c>
      <c r="AC556" s="179">
        <f t="shared" si="823"/>
        <v>164.09164569697643</v>
      </c>
      <c r="AD556" s="179">
        <f t="shared" si="823"/>
        <v>164.3313682741811</v>
      </c>
      <c r="AE556" s="179">
        <f t="shared" si="823"/>
        <v>164.5306561215053</v>
      </c>
      <c r="AF556" s="179">
        <f t="shared" si="823"/>
        <v>164.44470056417035</v>
      </c>
      <c r="AG556" s="179">
        <f t="shared" si="823"/>
        <v>164.36527762919286</v>
      </c>
      <c r="AH556" s="179">
        <f t="shared" si="823"/>
        <v>164.30251260978827</v>
      </c>
      <c r="AI556" s="179">
        <f t="shared" si="823"/>
        <v>164.24382731664494</v>
      </c>
      <c r="AJ556" s="179">
        <f t="shared" si="823"/>
        <v>164.18895656755598</v>
      </c>
      <c r="AK556" s="179">
        <f t="shared" si="823"/>
        <v>164.13765241715777</v>
      </c>
      <c r="AL556" s="179">
        <f t="shared" si="823"/>
        <v>164.08968303653546</v>
      </c>
      <c r="AM556" s="179">
        <f t="shared" si="823"/>
        <v>164.04483166565362</v>
      </c>
      <c r="AN556" s="179">
        <f t="shared" si="823"/>
        <v>164.00289563387906</v>
      </c>
      <c r="AO556" s="179">
        <f t="shared" si="823"/>
        <v>163.96368544416987</v>
      </c>
      <c r="AP556" s="179">
        <f t="shared" si="823"/>
        <v>163.92702391679177</v>
      </c>
      <c r="AQ556" s="179">
        <f t="shared" si="823"/>
        <v>163.89274538869327</v>
      </c>
      <c r="AR556" s="179">
        <f t="shared" si="823"/>
        <v>163.86069496492115</v>
      </c>
      <c r="AS556" s="179">
        <f t="shared" si="823"/>
        <v>163.83072781869421</v>
      </c>
      <c r="AT556" s="179">
        <f t="shared" si="823"/>
        <v>163.80270853697203</v>
      </c>
      <c r="AU556" s="179">
        <f t="shared" si="823"/>
        <v>163.77651050856178</v>
      </c>
      <c r="AV556" s="179">
        <f t="shared" si="823"/>
        <v>163.75201535199821</v>
      </c>
      <c r="AW556" s="179">
        <f t="shared" si="823"/>
        <v>163.72911238061127</v>
      </c>
      <c r="AX556" s="179">
        <f t="shared" si="823"/>
        <v>163.70769810236447</v>
      </c>
      <c r="AY556" s="179">
        <f t="shared" si="823"/>
        <v>163.68767575220375</v>
      </c>
      <c r="AZ556" s="179">
        <f t="shared" si="823"/>
        <v>163.66895485480342</v>
      </c>
      <c r="BA556" s="179">
        <f t="shared" si="823"/>
        <v>163.65145081573417</v>
      </c>
    </row>
    <row r="557" spans="19:53" ht="20.100000000000001" customHeight="1">
      <c r="S557" s="101" t="s">
        <v>2046</v>
      </c>
      <c r="T557" s="383" t="s">
        <v>2766</v>
      </c>
      <c r="U557" s="868"/>
      <c r="V557" s="393"/>
      <c r="W557" s="393"/>
      <c r="X557" s="162">
        <f>(X539/100*$V$539)+(X540/100*$V$540)+(X541/100*$V$541)+(X542/100*$V$542)+(X543/100*$V$543)+(X544/100*$V$544*0.5)+(X545/100*$V$545)+(X546/100*$V$546)+(X547/100*$V$547*0.5)+(X548/100*$V$548)+(X549/100*$V$549)+(X550/100*$V$550)+(X551/100*$V$551)+(X552/100*$V$552)+(X553/100*X$594*V553)+(X554/100*X$594*V554*0.5)+(X555/100*X$594*V555*0.5)</f>
        <v>156.80983075970201</v>
      </c>
      <c r="Y557" s="162">
        <f t="shared" ref="Y557:BA557" si="824">(Y539/100*$V$539)+(Y540/100*$V$540)+(Y541/100*$V$541)+(Y542/100*$V$542)+(Y543/100*$V$543)+(Y544/100*$V$544*0.5)+(Y545/100*$V$545)+(Y546/100*$V$546)+(Y547/100*$V$547*0.5)+(Y548/100*$V$548)+(Y549/100*$V$549)+(Y550/100*$V$550)+(Y551/100*$V$551)+(Y552/100*$V$552)+(Y553/100*Y$594*W553)+(Y554/100*Y$594*W554*0.5)+(Y555/100*Y$594*W555*0.5)</f>
        <v>154.60402188286588</v>
      </c>
      <c r="Z557" s="162">
        <f t="shared" si="824"/>
        <v>152.1240929752816</v>
      </c>
      <c r="AA557" s="162">
        <f t="shared" si="824"/>
        <v>150.07094230972848</v>
      </c>
      <c r="AB557" s="162">
        <f t="shared" si="824"/>
        <v>148.1364140619616</v>
      </c>
      <c r="AC557" s="162">
        <f t="shared" si="824"/>
        <v>148.39585408058139</v>
      </c>
      <c r="AD557" s="162">
        <f t="shared" si="824"/>
        <v>148.6115335690275</v>
      </c>
      <c r="AE557" s="162">
        <f t="shared" si="824"/>
        <v>148.51850807407624</v>
      </c>
      <c r="AF557" s="162">
        <f t="shared" si="824"/>
        <v>148.43255251674128</v>
      </c>
      <c r="AG557" s="162">
        <f t="shared" si="824"/>
        <v>148.3531295817638</v>
      </c>
      <c r="AH557" s="162">
        <f t="shared" si="824"/>
        <v>148.2903645623592</v>
      </c>
      <c r="AI557" s="162">
        <f t="shared" si="824"/>
        <v>148.23167926921587</v>
      </c>
      <c r="AJ557" s="162">
        <f t="shared" si="824"/>
        <v>148.17680852012691</v>
      </c>
      <c r="AK557" s="162">
        <f t="shared" si="824"/>
        <v>148.1255043697287</v>
      </c>
      <c r="AL557" s="162">
        <f t="shared" si="824"/>
        <v>148.0775349891064</v>
      </c>
      <c r="AM557" s="162">
        <f t="shared" si="824"/>
        <v>148.03268361822455</v>
      </c>
      <c r="AN557" s="162">
        <f t="shared" si="824"/>
        <v>147.99074758645</v>
      </c>
      <c r="AO557" s="162">
        <f t="shared" si="824"/>
        <v>147.9515373967408</v>
      </c>
      <c r="AP557" s="162">
        <f t="shared" si="824"/>
        <v>147.9148758693627</v>
      </c>
      <c r="AQ557" s="162">
        <f t="shared" si="824"/>
        <v>147.88059734126421</v>
      </c>
      <c r="AR557" s="162">
        <f t="shared" si="824"/>
        <v>147.84854691749209</v>
      </c>
      <c r="AS557" s="162">
        <f t="shared" si="824"/>
        <v>147.81857977126515</v>
      </c>
      <c r="AT557" s="162">
        <f t="shared" si="824"/>
        <v>147.79056048954297</v>
      </c>
      <c r="AU557" s="162">
        <f t="shared" si="824"/>
        <v>147.76436246113272</v>
      </c>
      <c r="AV557" s="162">
        <f t="shared" si="824"/>
        <v>147.73986730456915</v>
      </c>
      <c r="AW557" s="162">
        <f t="shared" si="824"/>
        <v>147.7169643331822</v>
      </c>
      <c r="AX557" s="162">
        <f t="shared" si="824"/>
        <v>147.69555005493541</v>
      </c>
      <c r="AY557" s="162">
        <f t="shared" si="824"/>
        <v>147.67552770477468</v>
      </c>
      <c r="AZ557" s="162">
        <f t="shared" si="824"/>
        <v>147.65680680737435</v>
      </c>
      <c r="BA557" s="162">
        <f t="shared" si="824"/>
        <v>147.6393027683051</v>
      </c>
    </row>
    <row r="558" spans="19:53" ht="20.100000000000001" customHeight="1" thickBot="1">
      <c r="S558" s="301" t="s">
        <v>2047</v>
      </c>
      <c r="T558" s="448" t="s">
        <v>2766</v>
      </c>
      <c r="U558" s="876"/>
      <c r="V558" s="549"/>
      <c r="W558" s="549"/>
      <c r="X558" s="160">
        <f>(X539/100*$W$539)+(X540/100*$W$540)+(X541/100*$W$541)+(X542/100*$W$542)+(X543/100*$W$543)+(X544/100*$W$544*0.5)+(X545/100*$W$545)+(X546/100*$W$546)+(X547/100*$W$547*0.5)+(X548/100*$W$548)+(X549/100*$W$549)+(X550/100*$W$550)+(X551/100*$W$551)+(X552/100*$W$552)+(X553/100*X$594*W553)+(X554/100*X$594*W554*0.5)+(X555/100*X$594*W555*0.5)</f>
        <v>242.61056060749246</v>
      </c>
      <c r="Y558" s="160">
        <f t="shared" ref="Y558:BA558" si="825">(Y539/100*$W$539)+(Y540/100*$W$540)+(Y541/100*$W$541)+(Y542/100*$W$542)+(Y543/100*$W$543)+(Y544/100*$W$544*0.5)+(Y545/100*$W$545)+(Y546/100*$W$546)+(Y547/100*$W$547*0.5)+(Y548/100*$W$548)+(Y549/100*$W$549)+(Y550/100*$W$550)+(Y551/100*$W$551)+(Y552/100*$W$552)+(Y553/100*Y$594*X553)+(Y554/100*Y$594*X554*0.5)+(Y555/100*Y$594*X555*0.5)</f>
        <v>238.82240489335527</v>
      </c>
      <c r="Z558" s="160">
        <f t="shared" si="825"/>
        <v>235.26409678647565</v>
      </c>
      <c r="AA558" s="160">
        <f t="shared" si="825"/>
        <v>231.84863110870791</v>
      </c>
      <c r="AB558" s="160">
        <f t="shared" si="825"/>
        <v>228.5395313889704</v>
      </c>
      <c r="AC558" s="160">
        <f t="shared" si="825"/>
        <v>228.77295074876056</v>
      </c>
      <c r="AD558" s="160">
        <f t="shared" si="825"/>
        <v>228.67227380617263</v>
      </c>
      <c r="AE558" s="160">
        <f t="shared" si="825"/>
        <v>228.57924831122136</v>
      </c>
      <c r="AF558" s="160">
        <f t="shared" si="825"/>
        <v>228.49329275388641</v>
      </c>
      <c r="AG558" s="160">
        <f t="shared" si="825"/>
        <v>228.41386981890892</v>
      </c>
      <c r="AH558" s="160">
        <f t="shared" si="825"/>
        <v>228.35110479950433</v>
      </c>
      <c r="AI558" s="160">
        <f t="shared" si="825"/>
        <v>228.292419506361</v>
      </c>
      <c r="AJ558" s="160">
        <f t="shared" si="825"/>
        <v>228.23754875727204</v>
      </c>
      <c r="AK558" s="160">
        <f t="shared" si="825"/>
        <v>228.18624460687383</v>
      </c>
      <c r="AL558" s="160">
        <f t="shared" si="825"/>
        <v>228.13827522625152</v>
      </c>
      <c r="AM558" s="160">
        <f t="shared" si="825"/>
        <v>228.09342385536968</v>
      </c>
      <c r="AN558" s="160">
        <f t="shared" si="825"/>
        <v>228.05148782359512</v>
      </c>
      <c r="AO558" s="160">
        <f t="shared" si="825"/>
        <v>228.01227763388593</v>
      </c>
      <c r="AP558" s="160">
        <f t="shared" si="825"/>
        <v>227.97561610650783</v>
      </c>
      <c r="AQ558" s="160">
        <f t="shared" si="825"/>
        <v>227.94133757840933</v>
      </c>
      <c r="AR558" s="160">
        <f t="shared" si="825"/>
        <v>227.90928715463721</v>
      </c>
      <c r="AS558" s="160">
        <f t="shared" si="825"/>
        <v>227.87932000841028</v>
      </c>
      <c r="AT558" s="160">
        <f t="shared" si="825"/>
        <v>227.85130072668809</v>
      </c>
      <c r="AU558" s="160">
        <f t="shared" si="825"/>
        <v>227.82510269827785</v>
      </c>
      <c r="AV558" s="160">
        <f t="shared" si="825"/>
        <v>227.80060754171427</v>
      </c>
      <c r="AW558" s="160">
        <f t="shared" si="825"/>
        <v>227.77770457032733</v>
      </c>
      <c r="AX558" s="160">
        <f t="shared" si="825"/>
        <v>227.75629029208054</v>
      </c>
      <c r="AY558" s="160">
        <f t="shared" si="825"/>
        <v>227.73626794191981</v>
      </c>
      <c r="AZ558" s="160">
        <f t="shared" si="825"/>
        <v>227.71754704451948</v>
      </c>
      <c r="BA558" s="160">
        <f t="shared" si="825"/>
        <v>227.70004300545023</v>
      </c>
    </row>
    <row r="559" spans="19:53" ht="20.100000000000001" customHeight="1" thickBot="1"/>
    <row r="560" spans="19:53" ht="20.100000000000001" customHeight="1">
      <c r="S560" s="299" t="s">
        <v>2771</v>
      </c>
      <c r="T560" s="138"/>
      <c r="U560" s="1039" t="s">
        <v>631</v>
      </c>
      <c r="V560" s="1039"/>
      <c r="W560" s="1039"/>
      <c r="X560" s="138"/>
      <c r="Y560" s="138"/>
      <c r="Z560" s="138"/>
      <c r="AA560" s="138"/>
      <c r="AB560" s="138"/>
      <c r="AC560" s="138"/>
      <c r="AD560" s="138"/>
      <c r="AE560" s="138"/>
      <c r="AF560" s="138"/>
      <c r="AG560" s="138"/>
      <c r="AH560" s="138"/>
      <c r="AI560" s="138"/>
      <c r="AJ560" s="138"/>
      <c r="AK560" s="138"/>
      <c r="AL560" s="138"/>
      <c r="AM560" s="138"/>
      <c r="AN560" s="138"/>
      <c r="AO560" s="138"/>
      <c r="AP560" s="138"/>
      <c r="AQ560" s="138"/>
      <c r="AR560" s="138"/>
      <c r="AS560" s="138"/>
      <c r="AT560" s="138"/>
      <c r="AU560" s="138"/>
      <c r="AV560" s="138"/>
      <c r="AW560" s="138"/>
      <c r="AX560" s="138"/>
      <c r="AY560" s="138"/>
      <c r="AZ560" s="138"/>
      <c r="BA560" s="556"/>
    </row>
    <row r="561" spans="19:53" ht="20.100000000000001" customHeight="1">
      <c r="S561" s="101" t="s">
        <v>586</v>
      </c>
      <c r="T561" s="918"/>
      <c r="U561" s="445" t="s">
        <v>581</v>
      </c>
      <c r="V561" s="445" t="s">
        <v>582</v>
      </c>
      <c r="W561" s="445" t="s">
        <v>588</v>
      </c>
      <c r="X561" s="115">
        <v>2021</v>
      </c>
      <c r="Y561" s="115">
        <v>2022</v>
      </c>
      <c r="Z561" s="115">
        <v>2023</v>
      </c>
      <c r="AA561" s="115">
        <v>2024</v>
      </c>
      <c r="AB561" s="115">
        <v>2025</v>
      </c>
      <c r="AC561" s="115">
        <v>2026</v>
      </c>
      <c r="AD561" s="115">
        <v>2027</v>
      </c>
      <c r="AE561" s="115">
        <v>2028</v>
      </c>
      <c r="AF561" s="115">
        <v>2029</v>
      </c>
      <c r="AG561" s="115">
        <v>2030</v>
      </c>
      <c r="AH561" s="115">
        <v>2031</v>
      </c>
      <c r="AI561" s="115">
        <v>2032</v>
      </c>
      <c r="AJ561" s="115">
        <v>2033</v>
      </c>
      <c r="AK561" s="115">
        <v>2034</v>
      </c>
      <c r="AL561" s="115">
        <v>2035</v>
      </c>
      <c r="AM561" s="115">
        <v>2036</v>
      </c>
      <c r="AN561" s="115">
        <v>2037</v>
      </c>
      <c r="AO561" s="115">
        <v>2038</v>
      </c>
      <c r="AP561" s="115">
        <v>2039</v>
      </c>
      <c r="AQ561" s="115">
        <v>2040</v>
      </c>
      <c r="AR561" s="115">
        <v>2041</v>
      </c>
      <c r="AS561" s="115">
        <v>2042</v>
      </c>
      <c r="AT561" s="115">
        <v>2043</v>
      </c>
      <c r="AU561" s="115">
        <v>2044</v>
      </c>
      <c r="AV561" s="115">
        <v>2045</v>
      </c>
      <c r="AW561" s="115">
        <v>2046</v>
      </c>
      <c r="AX561" s="115">
        <v>2047</v>
      </c>
      <c r="AY561" s="115">
        <v>2048</v>
      </c>
      <c r="AZ561" s="115">
        <v>2049</v>
      </c>
      <c r="BA561" s="323">
        <v>2050</v>
      </c>
    </row>
    <row r="562" spans="19:53" ht="20.100000000000001" customHeight="1">
      <c r="S562" s="101" t="s">
        <v>60</v>
      </c>
      <c r="T562" s="383" t="s">
        <v>587</v>
      </c>
      <c r="U562" s="389">
        <f>INDEX('DEFAULT DATA'!$AV$9:$AZ$41,START!$C$3,1)</f>
        <v>0</v>
      </c>
      <c r="V562" s="389">
        <f>100-U562</f>
        <v>100</v>
      </c>
      <c r="W562" s="133" t="s">
        <v>2720</v>
      </c>
      <c r="X562" s="123">
        <f>($U562/100*X$557)+($V562/100*X$558)</f>
        <v>242.61056060749246</v>
      </c>
      <c r="Y562" s="123">
        <f t="shared" ref="Y562:AH566" si="826">($U562/100*Y$453)+($V562/100*Y$454)</f>
        <v>433.56182532138496</v>
      </c>
      <c r="Z562" s="123">
        <f t="shared" si="826"/>
        <v>433.51786819621498</v>
      </c>
      <c r="AA562" s="123">
        <f t="shared" si="826"/>
        <v>433.46677882790561</v>
      </c>
      <c r="AB562" s="123">
        <f t="shared" si="826"/>
        <v>411.93309841361531</v>
      </c>
      <c r="AC562" s="123">
        <f t="shared" si="826"/>
        <v>387.0856232282506</v>
      </c>
      <c r="AD562" s="123">
        <f t="shared" si="826"/>
        <v>359.30216735214822</v>
      </c>
      <c r="AE562" s="123">
        <f t="shared" si="826"/>
        <v>328.92225760403159</v>
      </c>
      <c r="AF562" s="123">
        <f t="shared" si="826"/>
        <v>296.25077095064808</v>
      </c>
      <c r="AG562" s="123">
        <f t="shared" si="826"/>
        <v>261.56124017736374</v>
      </c>
      <c r="AH562" s="123">
        <f t="shared" si="826"/>
        <v>226.23118478550498</v>
      </c>
      <c r="AI562" s="123">
        <f t="shared" ref="AI562:AR566" si="827">($U562/100*AI$453)+($V562/100*AI$454)</f>
        <v>189.48856832602272</v>
      </c>
      <c r="AJ562" s="123">
        <f t="shared" si="827"/>
        <v>151.48323334709886</v>
      </c>
      <c r="AK562" s="123">
        <f t="shared" si="827"/>
        <v>112.35151093616273</v>
      </c>
      <c r="AL562" s="123">
        <f t="shared" si="827"/>
        <v>76.498787587047332</v>
      </c>
      <c r="AM562" s="123">
        <f t="shared" si="827"/>
        <v>25.361428524864678</v>
      </c>
      <c r="AN562" s="123">
        <f t="shared" si="827"/>
        <v>-26.95898400959733</v>
      </c>
      <c r="AO562" s="123">
        <f t="shared" si="827"/>
        <v>-80.331423504421309</v>
      </c>
      <c r="AP562" s="123">
        <f t="shared" si="827"/>
        <v>-134.63689849331891</v>
      </c>
      <c r="AQ562" s="123">
        <f t="shared" si="827"/>
        <v>-189.76744158671153</v>
      </c>
      <c r="AR562" s="123">
        <f t="shared" si="827"/>
        <v>-245.62517908070342</v>
      </c>
      <c r="AS562" s="123">
        <f t="shared" ref="AS562:BA566" si="828">($U562/100*AS$453)+($V562/100*AS$454)</f>
        <v>-302.12147494016403</v>
      </c>
      <c r="AT562" s="123">
        <f t="shared" si="828"/>
        <v>-359.17614341818683</v>
      </c>
      <c r="AU562" s="123">
        <f t="shared" si="828"/>
        <v>-416.71672500586942</v>
      </c>
      <c r="AV562" s="123">
        <f t="shared" si="828"/>
        <v>-474.67782080615291</v>
      </c>
      <c r="AW562" s="123">
        <f t="shared" si="828"/>
        <v>-516.33888238862073</v>
      </c>
      <c r="AX562" s="123">
        <f t="shared" si="828"/>
        <v>-558.02495756539372</v>
      </c>
      <c r="AY562" s="123">
        <f t="shared" si="828"/>
        <v>-599.71599377170332</v>
      </c>
      <c r="AZ562" s="123">
        <f t="shared" si="828"/>
        <v>-641.39443959376649</v>
      </c>
      <c r="BA562" s="159">
        <f t="shared" si="828"/>
        <v>-683.04500434124111</v>
      </c>
    </row>
    <row r="563" spans="19:53" ht="20.100000000000001" customHeight="1">
      <c r="S563" s="101" t="s">
        <v>61</v>
      </c>
      <c r="T563" s="383" t="s">
        <v>587</v>
      </c>
      <c r="U563" s="389">
        <f>INDEX('DEFAULT DATA'!$AV$9:$AZ$41,START!$C$3,2)</f>
        <v>10</v>
      </c>
      <c r="V563" s="389">
        <f t="shared" ref="V563:V566" si="829">100-U563</f>
        <v>90</v>
      </c>
      <c r="W563" s="133" t="s">
        <v>2721</v>
      </c>
      <c r="X563" s="123">
        <f>($U563/100*X$557)+($V563/100*X$558)</f>
        <v>234.03048762271342</v>
      </c>
      <c r="Y563" s="123">
        <f t="shared" si="826"/>
        <v>416.43638913333973</v>
      </c>
      <c r="Z563" s="123">
        <f t="shared" si="826"/>
        <v>416.39661069727487</v>
      </c>
      <c r="AA563" s="123">
        <f t="shared" si="826"/>
        <v>416.34957415495637</v>
      </c>
      <c r="AB563" s="123">
        <f t="shared" si="826"/>
        <v>396.91254945740519</v>
      </c>
      <c r="AC563" s="123">
        <f t="shared" si="826"/>
        <v>374.10325125752524</v>
      </c>
      <c r="AD563" s="123">
        <f t="shared" si="826"/>
        <v>348.30616094295345</v>
      </c>
      <c r="AE563" s="123">
        <f t="shared" si="826"/>
        <v>319.86679698215539</v>
      </c>
      <c r="AF563" s="123">
        <f t="shared" si="826"/>
        <v>289.09541652364459</v>
      </c>
      <c r="AG563" s="123">
        <f t="shared" si="826"/>
        <v>256.27037940194054</v>
      </c>
      <c r="AH563" s="123">
        <f t="shared" si="826"/>
        <v>222.79351428604025</v>
      </c>
      <c r="AI563" s="123">
        <f t="shared" si="827"/>
        <v>187.87916055426419</v>
      </c>
      <c r="AJ563" s="123">
        <f t="shared" si="827"/>
        <v>151.67980503505646</v>
      </c>
      <c r="AK563" s="123">
        <f t="shared" si="827"/>
        <v>114.3341846585656</v>
      </c>
      <c r="AL563" s="123">
        <f t="shared" si="827"/>
        <v>80.002854486625665</v>
      </c>
      <c r="AM563" s="123">
        <f t="shared" si="827"/>
        <v>31.194203883644271</v>
      </c>
      <c r="AN563" s="123">
        <f t="shared" si="827"/>
        <v>-18.818377605833174</v>
      </c>
      <c r="AO563" s="123">
        <f t="shared" si="827"/>
        <v>-69.901551237326032</v>
      </c>
      <c r="AP563" s="123">
        <f t="shared" si="827"/>
        <v>-121.93422569514087</v>
      </c>
      <c r="AQ563" s="123">
        <f t="shared" si="827"/>
        <v>-174.80652828282416</v>
      </c>
      <c r="AR563" s="123">
        <f t="shared" si="827"/>
        <v>-228.41885811347026</v>
      </c>
      <c r="AS563" s="123">
        <f t="shared" si="828"/>
        <v>-282.68101498662276</v>
      </c>
      <c r="AT563" s="123">
        <f t="shared" si="828"/>
        <v>-337.51139811278267</v>
      </c>
      <c r="AU563" s="123">
        <f t="shared" si="828"/>
        <v>-392.83626928583169</v>
      </c>
      <c r="AV563" s="123">
        <f t="shared" si="828"/>
        <v>-448.58907551052744</v>
      </c>
      <c r="AW563" s="123">
        <f t="shared" si="828"/>
        <v>-488.8312440022907</v>
      </c>
      <c r="AX563" s="123">
        <f t="shared" si="828"/>
        <v>-529.09886750472924</v>
      </c>
      <c r="AY563" s="123">
        <f t="shared" si="828"/>
        <v>-569.37153958428451</v>
      </c>
      <c r="AZ563" s="123">
        <f t="shared" si="828"/>
        <v>-609.63139909634185</v>
      </c>
      <c r="BA563" s="159">
        <f t="shared" si="828"/>
        <v>-649.86288551484733</v>
      </c>
    </row>
    <row r="564" spans="19:53" ht="20.100000000000001" customHeight="1">
      <c r="S564" s="101" t="s">
        <v>62</v>
      </c>
      <c r="T564" s="383" t="s">
        <v>587</v>
      </c>
      <c r="U564" s="389">
        <f>INDEX('DEFAULT DATA'!$AV$9:$AZ$41,START!$C$3,3)</f>
        <v>20</v>
      </c>
      <c r="V564" s="389">
        <f t="shared" si="829"/>
        <v>80</v>
      </c>
      <c r="W564" s="133" t="s">
        <v>2722</v>
      </c>
      <c r="X564" s="123">
        <f>($U564/100*X$557)+($V564/100*X$558)</f>
        <v>225.45041463793439</v>
      </c>
      <c r="Y564" s="123">
        <f t="shared" si="826"/>
        <v>399.31095294529445</v>
      </c>
      <c r="Z564" s="123">
        <f t="shared" si="826"/>
        <v>399.27535319833476</v>
      </c>
      <c r="AA564" s="123">
        <f t="shared" si="826"/>
        <v>399.23236948200724</v>
      </c>
      <c r="AB564" s="123">
        <f t="shared" si="826"/>
        <v>381.89200050119501</v>
      </c>
      <c r="AC564" s="123">
        <f t="shared" si="826"/>
        <v>361.12087928679989</v>
      </c>
      <c r="AD564" s="123">
        <f t="shared" si="826"/>
        <v>337.31015453375863</v>
      </c>
      <c r="AE564" s="123">
        <f t="shared" si="826"/>
        <v>310.8113363602792</v>
      </c>
      <c r="AF564" s="123">
        <f t="shared" si="826"/>
        <v>281.9400620966411</v>
      </c>
      <c r="AG564" s="123">
        <f t="shared" si="826"/>
        <v>250.9795186265174</v>
      </c>
      <c r="AH564" s="123">
        <f t="shared" si="826"/>
        <v>219.35584378657549</v>
      </c>
      <c r="AI564" s="123">
        <f t="shared" si="827"/>
        <v>186.26975278250569</v>
      </c>
      <c r="AJ564" s="123">
        <f t="shared" si="827"/>
        <v>151.87637672301403</v>
      </c>
      <c r="AK564" s="123">
        <f t="shared" si="827"/>
        <v>116.31685838096848</v>
      </c>
      <c r="AL564" s="123">
        <f t="shared" si="827"/>
        <v>83.506921386204013</v>
      </c>
      <c r="AM564" s="123">
        <f t="shared" si="827"/>
        <v>37.026979242423863</v>
      </c>
      <c r="AN564" s="123">
        <f t="shared" si="827"/>
        <v>-10.677771202069014</v>
      </c>
      <c r="AO564" s="123">
        <f t="shared" si="827"/>
        <v>-59.471678970230762</v>
      </c>
      <c r="AP564" s="123">
        <f t="shared" si="827"/>
        <v>-109.23155289696282</v>
      </c>
      <c r="AQ564" s="123">
        <f t="shared" si="827"/>
        <v>-159.84561497893679</v>
      </c>
      <c r="AR564" s="123">
        <f t="shared" si="827"/>
        <v>-211.21253714623714</v>
      </c>
      <c r="AS564" s="123">
        <f t="shared" si="828"/>
        <v>-263.24055503308148</v>
      </c>
      <c r="AT564" s="123">
        <f t="shared" si="828"/>
        <v>-315.84665280737852</v>
      </c>
      <c r="AU564" s="123">
        <f t="shared" si="828"/>
        <v>-368.95581356579385</v>
      </c>
      <c r="AV564" s="123">
        <f t="shared" si="828"/>
        <v>-422.50033021490196</v>
      </c>
      <c r="AW564" s="123">
        <f t="shared" si="828"/>
        <v>-461.32360561596067</v>
      </c>
      <c r="AX564" s="123">
        <f t="shared" si="828"/>
        <v>-500.17277744406471</v>
      </c>
      <c r="AY564" s="123">
        <f t="shared" si="828"/>
        <v>-539.02708539686557</v>
      </c>
      <c r="AZ564" s="123">
        <f t="shared" si="828"/>
        <v>-577.86835859891721</v>
      </c>
      <c r="BA564" s="159">
        <f t="shared" si="828"/>
        <v>-616.68076668845356</v>
      </c>
    </row>
    <row r="565" spans="19:53" ht="20.100000000000001" customHeight="1">
      <c r="S565" s="101" t="s">
        <v>63</v>
      </c>
      <c r="T565" s="383" t="s">
        <v>587</v>
      </c>
      <c r="U565" s="389">
        <f>INDEX('DEFAULT DATA'!$AV$9:$AZ$41,START!$C$3,4)</f>
        <v>70</v>
      </c>
      <c r="V565" s="389">
        <f t="shared" si="829"/>
        <v>30</v>
      </c>
      <c r="W565" s="133" t="s">
        <v>2861</v>
      </c>
      <c r="X565" s="123">
        <f>($U565/100*X$557)+($V565/100*X$558)</f>
        <v>182.55004971403912</v>
      </c>
      <c r="Y565" s="123">
        <f t="shared" si="826"/>
        <v>313.68377200506802</v>
      </c>
      <c r="Z565" s="123">
        <f t="shared" si="826"/>
        <v>313.66906570363415</v>
      </c>
      <c r="AA565" s="123">
        <f t="shared" si="826"/>
        <v>313.6463461172612</v>
      </c>
      <c r="AB565" s="123">
        <f t="shared" si="826"/>
        <v>306.78925572014418</v>
      </c>
      <c r="AC565" s="123">
        <f t="shared" si="826"/>
        <v>296.20901943317301</v>
      </c>
      <c r="AD565" s="123">
        <f t="shared" si="826"/>
        <v>282.33012248778476</v>
      </c>
      <c r="AE565" s="123">
        <f t="shared" si="826"/>
        <v>265.53403325089823</v>
      </c>
      <c r="AF565" s="123">
        <f t="shared" si="826"/>
        <v>246.16328996162349</v>
      </c>
      <c r="AG565" s="123">
        <f t="shared" si="826"/>
        <v>224.5252147494015</v>
      </c>
      <c r="AH565" s="123">
        <f t="shared" si="826"/>
        <v>202.1674912892517</v>
      </c>
      <c r="AI565" s="123">
        <f t="shared" si="827"/>
        <v>178.22271392371312</v>
      </c>
      <c r="AJ565" s="123">
        <f t="shared" si="827"/>
        <v>152.85923516280195</v>
      </c>
      <c r="AK565" s="123">
        <f t="shared" si="827"/>
        <v>126.23022699298284</v>
      </c>
      <c r="AL565" s="123">
        <f t="shared" si="827"/>
        <v>101.02725588409567</v>
      </c>
      <c r="AM565" s="123">
        <f t="shared" si="827"/>
        <v>66.190856036321833</v>
      </c>
      <c r="AN565" s="123">
        <f t="shared" si="827"/>
        <v>30.025260816751782</v>
      </c>
      <c r="AO565" s="123">
        <f t="shared" si="827"/>
        <v>-7.3223176347543699</v>
      </c>
      <c r="AP565" s="123">
        <f t="shared" si="827"/>
        <v>-45.718188906072591</v>
      </c>
      <c r="AQ565" s="123">
        <f t="shared" si="827"/>
        <v>-85.041048459500004</v>
      </c>
      <c r="AR565" s="123">
        <f t="shared" si="827"/>
        <v>-125.18093231007134</v>
      </c>
      <c r="AS565" s="123">
        <f t="shared" si="828"/>
        <v>-166.03825526537508</v>
      </c>
      <c r="AT565" s="123">
        <f t="shared" si="828"/>
        <v>-207.52292628035761</v>
      </c>
      <c r="AU565" s="123">
        <f t="shared" si="828"/>
        <v>-249.55353496560488</v>
      </c>
      <c r="AV565" s="123">
        <f t="shared" si="828"/>
        <v>-292.05660373677438</v>
      </c>
      <c r="AW565" s="123">
        <f t="shared" si="828"/>
        <v>-323.78541368431047</v>
      </c>
      <c r="AX565" s="123">
        <f t="shared" si="828"/>
        <v>-355.5423271407422</v>
      </c>
      <c r="AY565" s="123">
        <f t="shared" si="828"/>
        <v>-387.30481445977114</v>
      </c>
      <c r="AZ565" s="123">
        <f t="shared" si="828"/>
        <v>-419.05315611179384</v>
      </c>
      <c r="BA565" s="159">
        <f t="shared" si="828"/>
        <v>-450.77017255648457</v>
      </c>
    </row>
    <row r="566" spans="19:53" ht="20.100000000000001" customHeight="1">
      <c r="S566" s="101" t="s">
        <v>64</v>
      </c>
      <c r="T566" s="383" t="s">
        <v>587</v>
      </c>
      <c r="U566" s="389">
        <f>INDEX('DEFAULT DATA'!$AV$9:$AZ$41,START!$C$3,5)</f>
        <v>100</v>
      </c>
      <c r="V566" s="389">
        <f t="shared" si="829"/>
        <v>0</v>
      </c>
      <c r="W566" s="133" t="s">
        <v>2862</v>
      </c>
      <c r="X566" s="123">
        <f>($U566/100*X$557)+($V566/100*X$558)</f>
        <v>156.80983075970201</v>
      </c>
      <c r="Y566" s="123">
        <f t="shared" si="826"/>
        <v>262.30746344093228</v>
      </c>
      <c r="Z566" s="123">
        <f t="shared" si="826"/>
        <v>262.30529320681376</v>
      </c>
      <c r="AA566" s="123">
        <f t="shared" si="826"/>
        <v>262.29473209841359</v>
      </c>
      <c r="AB566" s="123">
        <f t="shared" si="826"/>
        <v>261.72760885151371</v>
      </c>
      <c r="AC566" s="123">
        <f t="shared" si="826"/>
        <v>257.2619035209969</v>
      </c>
      <c r="AD566" s="123">
        <f t="shared" si="826"/>
        <v>249.34210326020045</v>
      </c>
      <c r="AE566" s="123">
        <f t="shared" si="826"/>
        <v>238.36765138526965</v>
      </c>
      <c r="AF566" s="123">
        <f t="shared" si="826"/>
        <v>224.69722668061297</v>
      </c>
      <c r="AG566" s="123">
        <f t="shared" si="826"/>
        <v>208.65263242313199</v>
      </c>
      <c r="AH566" s="123">
        <f t="shared" si="826"/>
        <v>191.85447979085745</v>
      </c>
      <c r="AI566" s="123">
        <f t="shared" si="827"/>
        <v>173.39449060843756</v>
      </c>
      <c r="AJ566" s="123">
        <f t="shared" si="827"/>
        <v>153.44895022667473</v>
      </c>
      <c r="AK566" s="123">
        <f t="shared" si="827"/>
        <v>132.17824816019146</v>
      </c>
      <c r="AL566" s="123">
        <f t="shared" si="827"/>
        <v>111.5394565828307</v>
      </c>
      <c r="AM566" s="123">
        <f t="shared" si="827"/>
        <v>83.689182112660617</v>
      </c>
      <c r="AN566" s="123">
        <f t="shared" si="827"/>
        <v>54.447080028044255</v>
      </c>
      <c r="AO566" s="123">
        <f t="shared" si="827"/>
        <v>23.967299166531461</v>
      </c>
      <c r="AP566" s="123">
        <f t="shared" si="827"/>
        <v>-7.6101705115384561</v>
      </c>
      <c r="AQ566" s="123">
        <f t="shared" si="827"/>
        <v>-40.158308547837919</v>
      </c>
      <c r="AR566" s="123">
        <f t="shared" si="827"/>
        <v>-73.56196940837188</v>
      </c>
      <c r="AS566" s="123">
        <f t="shared" si="828"/>
        <v>-107.71687540475128</v>
      </c>
      <c r="AT566" s="123">
        <f t="shared" si="828"/>
        <v>-142.52869036414509</v>
      </c>
      <c r="AU566" s="123">
        <f t="shared" si="828"/>
        <v>-177.91216780549152</v>
      </c>
      <c r="AV566" s="123">
        <f t="shared" si="828"/>
        <v>-213.7903678498979</v>
      </c>
      <c r="AW566" s="123">
        <f t="shared" si="828"/>
        <v>-241.26249852532041</v>
      </c>
      <c r="AX566" s="123">
        <f t="shared" si="828"/>
        <v>-268.76405695874871</v>
      </c>
      <c r="AY566" s="123">
        <f t="shared" si="828"/>
        <v>-296.27145189751457</v>
      </c>
      <c r="AZ566" s="123">
        <f t="shared" si="828"/>
        <v>-323.76403461951986</v>
      </c>
      <c r="BA566" s="159">
        <f t="shared" si="828"/>
        <v>-351.22381607730318</v>
      </c>
    </row>
    <row r="567" spans="19:53" ht="20.100000000000001" customHeight="1" thickBot="1">
      <c r="S567" s="301" t="s">
        <v>2746</v>
      </c>
      <c r="T567" s="1075" t="s">
        <v>2768</v>
      </c>
      <c r="U567" s="139"/>
      <c r="V567" s="139"/>
      <c r="W567" s="155" t="s">
        <v>845</v>
      </c>
      <c r="X567" s="160">
        <f t="shared" ref="X567:BA567" si="830">(X294/100*X562)+(X295/100*X563)+(X296/100*X564)+(X297/100*X565)+(X298/100*X566)</f>
        <v>0</v>
      </c>
      <c r="Y567" s="160">
        <f t="shared" si="830"/>
        <v>407.87367103931706</v>
      </c>
      <c r="Z567" s="160">
        <f t="shared" si="830"/>
        <v>407.83598194780484</v>
      </c>
      <c r="AA567" s="160">
        <f t="shared" si="830"/>
        <v>407.79097181848181</v>
      </c>
      <c r="AB567" s="160">
        <f t="shared" si="830"/>
        <v>389.4022749793001</v>
      </c>
      <c r="AC567" s="160">
        <f t="shared" si="830"/>
        <v>367.61206527216257</v>
      </c>
      <c r="AD567" s="160">
        <f t="shared" si="830"/>
        <v>342.80815773835604</v>
      </c>
      <c r="AE567" s="160">
        <f t="shared" si="830"/>
        <v>315.33906667121732</v>
      </c>
      <c r="AF567" s="160">
        <f t="shared" si="830"/>
        <v>285.51773931014282</v>
      </c>
      <c r="AG567" s="160">
        <f t="shared" si="830"/>
        <v>253.62494901422897</v>
      </c>
      <c r="AH567" s="160">
        <f t="shared" si="830"/>
        <v>221.07467903630788</v>
      </c>
      <c r="AI567" s="160">
        <f t="shared" si="830"/>
        <v>187.07445666838493</v>
      </c>
      <c r="AJ567" s="160">
        <f t="shared" si="830"/>
        <v>151.77809087903523</v>
      </c>
      <c r="AK567" s="160">
        <f t="shared" si="830"/>
        <v>115.32552151976705</v>
      </c>
      <c r="AL567" s="160">
        <f t="shared" si="830"/>
        <v>81.754887936414832</v>
      </c>
      <c r="AM567" s="160">
        <f t="shared" si="830"/>
        <v>34.110591563034063</v>
      </c>
      <c r="AN567" s="160">
        <f t="shared" si="830"/>
        <v>-14.748074403951094</v>
      </c>
      <c r="AO567" s="160">
        <f t="shared" si="830"/>
        <v>-64.686615103778394</v>
      </c>
      <c r="AP567" s="160">
        <f t="shared" si="830"/>
        <v>-115.58288929605185</v>
      </c>
      <c r="AQ567" s="160">
        <f t="shared" si="830"/>
        <v>-167.32607163088048</v>
      </c>
      <c r="AR567" s="160">
        <f t="shared" si="830"/>
        <v>-219.8156976298537</v>
      </c>
      <c r="AS567" s="160">
        <f t="shared" si="830"/>
        <v>-272.96078500985209</v>
      </c>
      <c r="AT567" s="160">
        <f t="shared" si="830"/>
        <v>-326.6790254600806</v>
      </c>
      <c r="AU567" s="160">
        <f t="shared" si="830"/>
        <v>-380.89604142581277</v>
      </c>
      <c r="AV567" s="160">
        <f t="shared" si="830"/>
        <v>-435.5447028627147</v>
      </c>
      <c r="AW567" s="160">
        <f t="shared" si="830"/>
        <v>-475.07742480912566</v>
      </c>
      <c r="AX567" s="160">
        <f t="shared" si="830"/>
        <v>-514.63582247439695</v>
      </c>
      <c r="AY567" s="160">
        <f t="shared" si="830"/>
        <v>-554.19931249057504</v>
      </c>
      <c r="AZ567" s="160">
        <f t="shared" si="830"/>
        <v>-593.74987884762959</v>
      </c>
      <c r="BA567" s="161">
        <f t="shared" si="830"/>
        <v>-633.2718261016505</v>
      </c>
    </row>
    <row r="568" spans="19:53" ht="20.100000000000001" customHeight="1">
      <c r="S568" s="299" t="s">
        <v>2770</v>
      </c>
      <c r="T568" s="890"/>
      <c r="U568" s="1039" t="s">
        <v>631</v>
      </c>
      <c r="V568" s="1039"/>
      <c r="W568" s="1039"/>
      <c r="X568" s="138"/>
      <c r="Y568" s="138"/>
      <c r="Z568" s="138"/>
      <c r="AA568" s="138"/>
      <c r="AB568" s="138"/>
      <c r="AC568" s="138"/>
      <c r="AD568" s="138"/>
      <c r="AE568" s="138"/>
      <c r="AF568" s="138"/>
      <c r="AG568" s="138"/>
      <c r="AH568" s="138"/>
      <c r="AI568" s="138"/>
      <c r="AJ568" s="138"/>
      <c r="AK568" s="138"/>
      <c r="AL568" s="138"/>
      <c r="AM568" s="138"/>
      <c r="AN568" s="138"/>
      <c r="AO568" s="138"/>
      <c r="AP568" s="138"/>
      <c r="AQ568" s="138"/>
      <c r="AR568" s="138"/>
      <c r="AS568" s="138"/>
      <c r="AT568" s="138"/>
      <c r="AU568" s="138"/>
      <c r="AV568" s="138"/>
      <c r="AW568" s="138"/>
      <c r="AX568" s="138"/>
      <c r="AY568" s="138"/>
      <c r="AZ568" s="138"/>
      <c r="BA568" s="556"/>
    </row>
    <row r="569" spans="19:53" ht="20.100000000000001" customHeight="1">
      <c r="S569" s="101" t="s">
        <v>586</v>
      </c>
      <c r="T569" s="918"/>
      <c r="U569" s="445" t="s">
        <v>581</v>
      </c>
      <c r="V569" s="445" t="s">
        <v>582</v>
      </c>
      <c r="W569" s="445" t="s">
        <v>588</v>
      </c>
      <c r="X569" s="115">
        <v>2021</v>
      </c>
      <c r="Y569" s="115">
        <v>2022</v>
      </c>
      <c r="Z569" s="115">
        <v>2023</v>
      </c>
      <c r="AA569" s="115">
        <v>2024</v>
      </c>
      <c r="AB569" s="115">
        <v>2025</v>
      </c>
      <c r="AC569" s="115">
        <v>2026</v>
      </c>
      <c r="AD569" s="115">
        <v>2027</v>
      </c>
      <c r="AE569" s="115">
        <v>2028</v>
      </c>
      <c r="AF569" s="115">
        <v>2029</v>
      </c>
      <c r="AG569" s="115">
        <v>2030</v>
      </c>
      <c r="AH569" s="115">
        <v>2031</v>
      </c>
      <c r="AI569" s="115">
        <v>2032</v>
      </c>
      <c r="AJ569" s="115">
        <v>2033</v>
      </c>
      <c r="AK569" s="115">
        <v>2034</v>
      </c>
      <c r="AL569" s="115">
        <v>2035</v>
      </c>
      <c r="AM569" s="115">
        <v>2036</v>
      </c>
      <c r="AN569" s="115">
        <v>2037</v>
      </c>
      <c r="AO569" s="115">
        <v>2038</v>
      </c>
      <c r="AP569" s="115">
        <v>2039</v>
      </c>
      <c r="AQ569" s="115">
        <v>2040</v>
      </c>
      <c r="AR569" s="115">
        <v>2041</v>
      </c>
      <c r="AS569" s="115">
        <v>2042</v>
      </c>
      <c r="AT569" s="115">
        <v>2043</v>
      </c>
      <c r="AU569" s="115">
        <v>2044</v>
      </c>
      <c r="AV569" s="115">
        <v>2045</v>
      </c>
      <c r="AW569" s="115">
        <v>2046</v>
      </c>
      <c r="AX569" s="115">
        <v>2047</v>
      </c>
      <c r="AY569" s="115">
        <v>2048</v>
      </c>
      <c r="AZ569" s="115">
        <v>2049</v>
      </c>
      <c r="BA569" s="323">
        <v>2050</v>
      </c>
    </row>
    <row r="570" spans="19:53" ht="20.100000000000001" customHeight="1">
      <c r="S570" s="101" t="s">
        <v>60</v>
      </c>
      <c r="T570" s="383" t="s">
        <v>587</v>
      </c>
      <c r="U570" s="389">
        <f>INDEX('DEFAULT DATA'!$DF$9:$DJ$41,START!$C$3,1)</f>
        <v>0</v>
      </c>
      <c r="V570" s="389">
        <f>100-U570</f>
        <v>100</v>
      </c>
      <c r="W570" s="133" t="s">
        <v>2720</v>
      </c>
      <c r="X570" s="123">
        <f>($U570/100*X$74)+($V570/100*X$75)</f>
        <v>242.58122734764615</v>
      </c>
      <c r="Y570" s="123">
        <f t="shared" ref="Y570:BA574" si="831">($U570/100*Y$74)+($V570/100*Y$75)</f>
        <v>242.58122734764615</v>
      </c>
      <c r="Z570" s="123">
        <f t="shared" si="831"/>
        <v>242.58122734764615</v>
      </c>
      <c r="AA570" s="123">
        <f t="shared" si="831"/>
        <v>242.61056060749246</v>
      </c>
      <c r="AB570" s="123">
        <f t="shared" si="831"/>
        <v>242.60833127974414</v>
      </c>
      <c r="AC570" s="123">
        <f t="shared" si="831"/>
        <v>242.60627138090467</v>
      </c>
      <c r="AD570" s="123">
        <f t="shared" si="831"/>
        <v>242.60436803437705</v>
      </c>
      <c r="AE570" s="123">
        <f t="shared" si="831"/>
        <v>242.60260934218547</v>
      </c>
      <c r="AF570" s="123">
        <f t="shared" si="831"/>
        <v>242.6009843106005</v>
      </c>
      <c r="AG570" s="123">
        <f t="shared" si="831"/>
        <v>242.59948278141596</v>
      </c>
      <c r="AH570" s="123">
        <f t="shared" si="831"/>
        <v>242.59809536844946</v>
      </c>
      <c r="AI570" s="123">
        <f t="shared" si="831"/>
        <v>242.59681339886842</v>
      </c>
      <c r="AJ570" s="123">
        <f t="shared" si="831"/>
        <v>242.59562885897552</v>
      </c>
      <c r="AK570" s="123">
        <f t="shared" si="831"/>
        <v>242.59469276073912</v>
      </c>
      <c r="AL570" s="123">
        <f t="shared" si="831"/>
        <v>242.59381750888807</v>
      </c>
      <c r="AM570" s="123">
        <f t="shared" si="831"/>
        <v>242.59299914840733</v>
      </c>
      <c r="AN570" s="123">
        <f t="shared" si="831"/>
        <v>242.59223398135785</v>
      </c>
      <c r="AO570" s="123">
        <f t="shared" si="831"/>
        <v>242.5915185501666</v>
      </c>
      <c r="AP570" s="123">
        <f t="shared" si="831"/>
        <v>242.59084962200276</v>
      </c>
      <c r="AQ570" s="123">
        <f t="shared" si="831"/>
        <v>242.59022417416961</v>
      </c>
      <c r="AR570" s="123">
        <f t="shared" si="831"/>
        <v>242.58963938044556</v>
      </c>
      <c r="AS570" s="123">
        <f t="shared" si="831"/>
        <v>242.58909259831361</v>
      </c>
      <c r="AT570" s="123">
        <f t="shared" si="831"/>
        <v>242.58858135702022</v>
      </c>
      <c r="AU570" s="123">
        <f t="shared" si="831"/>
        <v>242.58810334641092</v>
      </c>
      <c r="AV570" s="123">
        <f t="shared" si="831"/>
        <v>242.58765640649119</v>
      </c>
      <c r="AW570" s="123">
        <f t="shared" si="831"/>
        <v>242.58723851766626</v>
      </c>
      <c r="AX570" s="123">
        <f t="shared" si="831"/>
        <v>242.58684779161496</v>
      </c>
      <c r="AY570" s="123">
        <f t="shared" si="831"/>
        <v>242.58648246275698</v>
      </c>
      <c r="AZ570" s="123">
        <f t="shared" si="831"/>
        <v>242.5861408802748</v>
      </c>
      <c r="BA570" s="159">
        <f t="shared" si="831"/>
        <v>242.58582150065394</v>
      </c>
    </row>
    <row r="571" spans="19:53" ht="20.100000000000001" customHeight="1">
      <c r="S571" s="101" t="s">
        <v>61</v>
      </c>
      <c r="T571" s="383" t="s">
        <v>587</v>
      </c>
      <c r="U571" s="389">
        <f>INDEX('DEFAULT DATA'!$DF$9:$DJ$41,START!$C$3,2)</f>
        <v>10</v>
      </c>
      <c r="V571" s="389">
        <f t="shared" ref="V571:V574" si="832">100-U571</f>
        <v>90</v>
      </c>
      <c r="W571" s="133" t="s">
        <v>2721</v>
      </c>
      <c r="X571" s="123">
        <f>($U571/100*X$74)+($V571/100*X$75)</f>
        <v>234.00115436286711</v>
      </c>
      <c r="Y571" s="123">
        <f t="shared" si="831"/>
        <v>234.00115436286711</v>
      </c>
      <c r="Z571" s="123">
        <f t="shared" si="831"/>
        <v>234.00115436286711</v>
      </c>
      <c r="AA571" s="123">
        <f t="shared" si="831"/>
        <v>234.03048762271342</v>
      </c>
      <c r="AB571" s="123">
        <f t="shared" si="831"/>
        <v>234.02825829496507</v>
      </c>
      <c r="AC571" s="123">
        <f t="shared" si="831"/>
        <v>234.02619839612564</v>
      </c>
      <c r="AD571" s="123">
        <f t="shared" si="831"/>
        <v>234.02429504959801</v>
      </c>
      <c r="AE571" s="123">
        <f t="shared" si="831"/>
        <v>234.02253635740644</v>
      </c>
      <c r="AF571" s="123">
        <f t="shared" si="831"/>
        <v>234.02091132582146</v>
      </c>
      <c r="AG571" s="123">
        <f t="shared" si="831"/>
        <v>234.01940979663692</v>
      </c>
      <c r="AH571" s="123">
        <f t="shared" si="831"/>
        <v>234.0180223836704</v>
      </c>
      <c r="AI571" s="123">
        <f t="shared" si="831"/>
        <v>234.01674041408938</v>
      </c>
      <c r="AJ571" s="123">
        <f t="shared" si="831"/>
        <v>234.01555587419648</v>
      </c>
      <c r="AK571" s="123">
        <f t="shared" si="831"/>
        <v>234.01461977596009</v>
      </c>
      <c r="AL571" s="123">
        <f t="shared" si="831"/>
        <v>234.01374452410903</v>
      </c>
      <c r="AM571" s="123">
        <f t="shared" si="831"/>
        <v>234.01292616362826</v>
      </c>
      <c r="AN571" s="123">
        <f t="shared" si="831"/>
        <v>234.01216099657881</v>
      </c>
      <c r="AO571" s="123">
        <f t="shared" si="831"/>
        <v>234.01144556538756</v>
      </c>
      <c r="AP571" s="123">
        <f t="shared" si="831"/>
        <v>234.01077663722373</v>
      </c>
      <c r="AQ571" s="123">
        <f t="shared" si="831"/>
        <v>234.01015118939057</v>
      </c>
      <c r="AR571" s="123">
        <f t="shared" si="831"/>
        <v>234.00956639566652</v>
      </c>
      <c r="AS571" s="123">
        <f t="shared" si="831"/>
        <v>234.00901961353455</v>
      </c>
      <c r="AT571" s="123">
        <f t="shared" si="831"/>
        <v>234.00850837224118</v>
      </c>
      <c r="AU571" s="123">
        <f t="shared" si="831"/>
        <v>234.00803036163188</v>
      </c>
      <c r="AV571" s="123">
        <f t="shared" si="831"/>
        <v>234.00758342171216</v>
      </c>
      <c r="AW571" s="123">
        <f t="shared" si="831"/>
        <v>234.0071655328872</v>
      </c>
      <c r="AX571" s="123">
        <f t="shared" si="831"/>
        <v>234.00677480683592</v>
      </c>
      <c r="AY571" s="123">
        <f t="shared" si="831"/>
        <v>234.00640947797794</v>
      </c>
      <c r="AZ571" s="123">
        <f t="shared" si="831"/>
        <v>234.00606789549573</v>
      </c>
      <c r="BA571" s="159">
        <f t="shared" si="831"/>
        <v>234.0057485158749</v>
      </c>
    </row>
    <row r="572" spans="19:53" ht="20.100000000000001" customHeight="1">
      <c r="S572" s="101" t="s">
        <v>62</v>
      </c>
      <c r="T572" s="383" t="s">
        <v>587</v>
      </c>
      <c r="U572" s="389">
        <f>INDEX('DEFAULT DATA'!$DF$9:$DJ$41,START!$C$3,3)</f>
        <v>20</v>
      </c>
      <c r="V572" s="389">
        <f t="shared" si="832"/>
        <v>80</v>
      </c>
      <c r="W572" s="133" t="s">
        <v>2722</v>
      </c>
      <c r="X572" s="123">
        <f>($U572/100*X$74)+($V572/100*X$75)</f>
        <v>225.42108137808808</v>
      </c>
      <c r="Y572" s="123">
        <f t="shared" si="831"/>
        <v>225.42108137808808</v>
      </c>
      <c r="Z572" s="123">
        <f t="shared" si="831"/>
        <v>225.42108137808808</v>
      </c>
      <c r="AA572" s="123">
        <f t="shared" si="831"/>
        <v>225.45041463793439</v>
      </c>
      <c r="AB572" s="123">
        <f t="shared" si="831"/>
        <v>225.44818531018606</v>
      </c>
      <c r="AC572" s="123">
        <f t="shared" si="831"/>
        <v>225.4461254113466</v>
      </c>
      <c r="AD572" s="123">
        <f t="shared" si="831"/>
        <v>225.44422206481897</v>
      </c>
      <c r="AE572" s="123">
        <f t="shared" si="831"/>
        <v>225.4424633726274</v>
      </c>
      <c r="AF572" s="123">
        <f t="shared" si="831"/>
        <v>225.44083834104242</v>
      </c>
      <c r="AG572" s="123">
        <f t="shared" si="831"/>
        <v>225.43933681185788</v>
      </c>
      <c r="AH572" s="123">
        <f t="shared" si="831"/>
        <v>225.43794939889139</v>
      </c>
      <c r="AI572" s="123">
        <f t="shared" si="831"/>
        <v>225.43666742931035</v>
      </c>
      <c r="AJ572" s="123">
        <f t="shared" si="831"/>
        <v>225.43548288941741</v>
      </c>
      <c r="AK572" s="123">
        <f t="shared" si="831"/>
        <v>225.43454679118105</v>
      </c>
      <c r="AL572" s="123">
        <f t="shared" si="831"/>
        <v>225.43367153932996</v>
      </c>
      <c r="AM572" s="123">
        <f t="shared" si="831"/>
        <v>225.43285317884926</v>
      </c>
      <c r="AN572" s="123">
        <f t="shared" si="831"/>
        <v>225.43208801179978</v>
      </c>
      <c r="AO572" s="123">
        <f t="shared" si="831"/>
        <v>225.43137258060852</v>
      </c>
      <c r="AP572" s="123">
        <f t="shared" si="831"/>
        <v>225.43070365244466</v>
      </c>
      <c r="AQ572" s="123">
        <f t="shared" si="831"/>
        <v>225.43007820461153</v>
      </c>
      <c r="AR572" s="123">
        <f t="shared" si="831"/>
        <v>225.42949341088749</v>
      </c>
      <c r="AS572" s="123">
        <f t="shared" si="831"/>
        <v>225.42894662875554</v>
      </c>
      <c r="AT572" s="123">
        <f t="shared" si="831"/>
        <v>225.42843538746214</v>
      </c>
      <c r="AU572" s="123">
        <f t="shared" si="831"/>
        <v>225.42795737685285</v>
      </c>
      <c r="AV572" s="123">
        <f t="shared" si="831"/>
        <v>225.42751043693312</v>
      </c>
      <c r="AW572" s="123">
        <f t="shared" si="831"/>
        <v>225.42709254810819</v>
      </c>
      <c r="AX572" s="123">
        <f t="shared" si="831"/>
        <v>225.42670182205688</v>
      </c>
      <c r="AY572" s="123">
        <f t="shared" si="831"/>
        <v>225.4263364931989</v>
      </c>
      <c r="AZ572" s="123">
        <f t="shared" si="831"/>
        <v>225.42599491071672</v>
      </c>
      <c r="BA572" s="159">
        <f t="shared" si="831"/>
        <v>225.42567553109586</v>
      </c>
    </row>
    <row r="573" spans="19:53" ht="20.100000000000001" customHeight="1">
      <c r="S573" s="101" t="s">
        <v>63</v>
      </c>
      <c r="T573" s="383" t="s">
        <v>587</v>
      </c>
      <c r="U573" s="389">
        <f>INDEX('DEFAULT DATA'!$DF$9:$DJ$41,START!$C$3,4)</f>
        <v>70</v>
      </c>
      <c r="V573" s="389">
        <f t="shared" si="832"/>
        <v>30</v>
      </c>
      <c r="W573" s="133" t="s">
        <v>2861</v>
      </c>
      <c r="X573" s="123">
        <f>($U573/100*X$74)+($V573/100*X$75)</f>
        <v>182.52071645419284</v>
      </c>
      <c r="Y573" s="123">
        <f t="shared" si="831"/>
        <v>182.52071645419284</v>
      </c>
      <c r="Z573" s="123">
        <f t="shared" si="831"/>
        <v>182.52071645419284</v>
      </c>
      <c r="AA573" s="123">
        <f t="shared" si="831"/>
        <v>182.55004971403912</v>
      </c>
      <c r="AB573" s="123">
        <f t="shared" si="831"/>
        <v>182.54782038629082</v>
      </c>
      <c r="AC573" s="123">
        <f t="shared" si="831"/>
        <v>182.54576048745133</v>
      </c>
      <c r="AD573" s="123">
        <f t="shared" si="831"/>
        <v>182.54385714092371</v>
      </c>
      <c r="AE573" s="123">
        <f t="shared" si="831"/>
        <v>182.54209844873213</v>
      </c>
      <c r="AF573" s="123">
        <f t="shared" si="831"/>
        <v>182.54047341714715</v>
      </c>
      <c r="AG573" s="123">
        <f t="shared" si="831"/>
        <v>182.53897188796265</v>
      </c>
      <c r="AH573" s="123">
        <f t="shared" si="831"/>
        <v>182.53758447499615</v>
      </c>
      <c r="AI573" s="123">
        <f t="shared" si="831"/>
        <v>182.53630250541511</v>
      </c>
      <c r="AJ573" s="123">
        <f t="shared" si="831"/>
        <v>182.5351179655222</v>
      </c>
      <c r="AK573" s="123">
        <f t="shared" si="831"/>
        <v>182.53418186728578</v>
      </c>
      <c r="AL573" s="123">
        <f t="shared" si="831"/>
        <v>182.53330661543475</v>
      </c>
      <c r="AM573" s="123">
        <f t="shared" si="831"/>
        <v>182.53248825495402</v>
      </c>
      <c r="AN573" s="123">
        <f t="shared" si="831"/>
        <v>182.53172308790454</v>
      </c>
      <c r="AO573" s="123">
        <f t="shared" si="831"/>
        <v>182.53100765671326</v>
      </c>
      <c r="AP573" s="123">
        <f t="shared" si="831"/>
        <v>182.53033872854945</v>
      </c>
      <c r="AQ573" s="123">
        <f t="shared" si="831"/>
        <v>182.52971328071629</v>
      </c>
      <c r="AR573" s="123">
        <f t="shared" si="831"/>
        <v>182.52912848699225</v>
      </c>
      <c r="AS573" s="123">
        <f t="shared" si="831"/>
        <v>182.5285817048603</v>
      </c>
      <c r="AT573" s="123">
        <f t="shared" si="831"/>
        <v>182.52807046356691</v>
      </c>
      <c r="AU573" s="123">
        <f t="shared" si="831"/>
        <v>182.52759245295761</v>
      </c>
      <c r="AV573" s="123">
        <f t="shared" si="831"/>
        <v>182.52714551303785</v>
      </c>
      <c r="AW573" s="123">
        <f t="shared" si="831"/>
        <v>182.52672762421295</v>
      </c>
      <c r="AX573" s="123">
        <f t="shared" si="831"/>
        <v>182.52633689816162</v>
      </c>
      <c r="AY573" s="123">
        <f t="shared" si="831"/>
        <v>182.52597156930364</v>
      </c>
      <c r="AZ573" s="123">
        <f t="shared" si="831"/>
        <v>182.52562998682149</v>
      </c>
      <c r="BA573" s="159">
        <f t="shared" si="831"/>
        <v>182.52531060720059</v>
      </c>
    </row>
    <row r="574" spans="19:53" ht="20.100000000000001" customHeight="1">
      <c r="S574" s="101" t="s">
        <v>64</v>
      </c>
      <c r="T574" s="383" t="s">
        <v>587</v>
      </c>
      <c r="U574" s="389">
        <f>INDEX('DEFAULT DATA'!$DF$9:$DJ$41,START!$C$3,5)</f>
        <v>100</v>
      </c>
      <c r="V574" s="389">
        <f t="shared" si="832"/>
        <v>0</v>
      </c>
      <c r="W574" s="133" t="s">
        <v>2862</v>
      </c>
      <c r="X574" s="123">
        <f>($U574/100*X$74)+($V574/100*X$75)</f>
        <v>156.7804974998557</v>
      </c>
      <c r="Y574" s="123">
        <f t="shared" si="831"/>
        <v>156.7804974998557</v>
      </c>
      <c r="Z574" s="123">
        <f t="shared" si="831"/>
        <v>156.7804974998557</v>
      </c>
      <c r="AA574" s="123">
        <f t="shared" si="831"/>
        <v>156.80983075970201</v>
      </c>
      <c r="AB574" s="123">
        <f t="shared" si="831"/>
        <v>156.80760143195369</v>
      </c>
      <c r="AC574" s="123">
        <f t="shared" si="831"/>
        <v>156.80554153311422</v>
      </c>
      <c r="AD574" s="123">
        <f t="shared" si="831"/>
        <v>156.8036381865866</v>
      </c>
      <c r="AE574" s="123">
        <f t="shared" si="831"/>
        <v>156.80187949439502</v>
      </c>
      <c r="AF574" s="123">
        <f t="shared" si="831"/>
        <v>156.80025446281005</v>
      </c>
      <c r="AG574" s="123">
        <f t="shared" si="831"/>
        <v>156.79875293362551</v>
      </c>
      <c r="AH574" s="123">
        <f t="shared" si="831"/>
        <v>156.79736552065901</v>
      </c>
      <c r="AI574" s="123">
        <f t="shared" si="831"/>
        <v>156.79608355107797</v>
      </c>
      <c r="AJ574" s="123">
        <f t="shared" si="831"/>
        <v>156.79489901118507</v>
      </c>
      <c r="AK574" s="123">
        <f t="shared" si="831"/>
        <v>156.79396291294867</v>
      </c>
      <c r="AL574" s="123">
        <f t="shared" si="831"/>
        <v>156.79308766109762</v>
      </c>
      <c r="AM574" s="123">
        <f t="shared" si="831"/>
        <v>156.79226930061688</v>
      </c>
      <c r="AN574" s="123">
        <f t="shared" si="831"/>
        <v>156.7915041335674</v>
      </c>
      <c r="AO574" s="123">
        <f t="shared" si="831"/>
        <v>156.79078870237615</v>
      </c>
      <c r="AP574" s="123">
        <f t="shared" si="831"/>
        <v>156.79011977421231</v>
      </c>
      <c r="AQ574" s="123">
        <f t="shared" si="831"/>
        <v>156.78949432637916</v>
      </c>
      <c r="AR574" s="123">
        <f t="shared" si="831"/>
        <v>156.78890953265511</v>
      </c>
      <c r="AS574" s="123">
        <f t="shared" si="831"/>
        <v>156.78836275052316</v>
      </c>
      <c r="AT574" s="123">
        <f t="shared" si="831"/>
        <v>156.78785150922977</v>
      </c>
      <c r="AU574" s="123">
        <f t="shared" si="831"/>
        <v>156.78737349862047</v>
      </c>
      <c r="AV574" s="123">
        <f t="shared" si="831"/>
        <v>156.78692655870074</v>
      </c>
      <c r="AW574" s="123">
        <f t="shared" si="831"/>
        <v>156.78650866987581</v>
      </c>
      <c r="AX574" s="123">
        <f t="shared" si="831"/>
        <v>156.78611794382451</v>
      </c>
      <c r="AY574" s="123">
        <f t="shared" si="831"/>
        <v>156.78575261496653</v>
      </c>
      <c r="AZ574" s="123">
        <f t="shared" si="831"/>
        <v>156.78541103248435</v>
      </c>
      <c r="BA574" s="159">
        <f t="shared" si="831"/>
        <v>156.78509165286349</v>
      </c>
    </row>
    <row r="575" spans="19:53" ht="20.100000000000001" customHeight="1" thickBot="1">
      <c r="S575" s="301" t="s">
        <v>2746</v>
      </c>
      <c r="T575" s="1076" t="s">
        <v>2769</v>
      </c>
      <c r="U575" s="139"/>
      <c r="V575" s="139"/>
      <c r="W575" s="155" t="s">
        <v>845</v>
      </c>
      <c r="X575" s="160">
        <f t="shared" ref="X575:BA575" si="833">(X294/100*X570)+(X295/100*X571)+(X296/100*X572)+(X297/100*X573)+(X298/100*X574)</f>
        <v>0</v>
      </c>
      <c r="Y575" s="160">
        <f t="shared" si="833"/>
        <v>229.71111787047761</v>
      </c>
      <c r="Z575" s="160">
        <f t="shared" si="833"/>
        <v>229.71111787047761</v>
      </c>
      <c r="AA575" s="160">
        <f t="shared" si="833"/>
        <v>229.74045113032389</v>
      </c>
      <c r="AB575" s="160">
        <f t="shared" si="833"/>
        <v>229.73822180257557</v>
      </c>
      <c r="AC575" s="160">
        <f t="shared" si="833"/>
        <v>229.7361619037361</v>
      </c>
      <c r="AD575" s="160">
        <f t="shared" si="833"/>
        <v>229.73425855720848</v>
      </c>
      <c r="AE575" s="160">
        <f t="shared" si="833"/>
        <v>229.73249986501691</v>
      </c>
      <c r="AF575" s="160">
        <f t="shared" si="833"/>
        <v>229.73087483343193</v>
      </c>
      <c r="AG575" s="160">
        <f t="shared" si="833"/>
        <v>229.72937330424742</v>
      </c>
      <c r="AH575" s="160">
        <f t="shared" si="833"/>
        <v>229.72798589128089</v>
      </c>
      <c r="AI575" s="160">
        <f t="shared" si="833"/>
        <v>229.72670392169988</v>
      </c>
      <c r="AJ575" s="160">
        <f t="shared" si="833"/>
        <v>229.72551938180695</v>
      </c>
      <c r="AK575" s="160">
        <f t="shared" si="833"/>
        <v>229.72458328357055</v>
      </c>
      <c r="AL575" s="160">
        <f t="shared" si="833"/>
        <v>229.7237080317195</v>
      </c>
      <c r="AM575" s="160">
        <f t="shared" si="833"/>
        <v>229.72288967123876</v>
      </c>
      <c r="AN575" s="160">
        <f t="shared" si="833"/>
        <v>229.72212450418931</v>
      </c>
      <c r="AO575" s="160">
        <f t="shared" si="833"/>
        <v>229.72140907299803</v>
      </c>
      <c r="AP575" s="160">
        <f t="shared" si="833"/>
        <v>229.7207401448342</v>
      </c>
      <c r="AQ575" s="160">
        <f t="shared" si="833"/>
        <v>229.72011469700107</v>
      </c>
      <c r="AR575" s="160">
        <f t="shared" si="833"/>
        <v>229.71952990327702</v>
      </c>
      <c r="AS575" s="160">
        <f t="shared" si="833"/>
        <v>229.71898312114504</v>
      </c>
      <c r="AT575" s="160">
        <f t="shared" si="833"/>
        <v>229.71847187985168</v>
      </c>
      <c r="AU575" s="160">
        <f t="shared" si="833"/>
        <v>229.71799386924238</v>
      </c>
      <c r="AV575" s="160">
        <f t="shared" si="833"/>
        <v>229.71754692932262</v>
      </c>
      <c r="AW575" s="160">
        <f t="shared" si="833"/>
        <v>229.7171290404977</v>
      </c>
      <c r="AX575" s="160">
        <f t="shared" si="833"/>
        <v>229.71673831444639</v>
      </c>
      <c r="AY575" s="160">
        <f t="shared" si="833"/>
        <v>229.71637298558841</v>
      </c>
      <c r="AZ575" s="160">
        <f t="shared" si="833"/>
        <v>229.71603140310623</v>
      </c>
      <c r="BA575" s="161">
        <f t="shared" si="833"/>
        <v>229.71571202348537</v>
      </c>
    </row>
    <row r="576" spans="19:53" ht="20.100000000000001" customHeight="1">
      <c r="S576" s="299" t="s">
        <v>2772</v>
      </c>
      <c r="T576" s="890"/>
      <c r="U576" s="1039" t="s">
        <v>631</v>
      </c>
      <c r="V576" s="1039"/>
      <c r="W576" s="1039"/>
      <c r="X576" s="138"/>
      <c r="Y576" s="138"/>
      <c r="Z576" s="138"/>
      <c r="AA576" s="138"/>
      <c r="AB576" s="138"/>
      <c r="AC576" s="138"/>
      <c r="AD576" s="138"/>
      <c r="AE576" s="138"/>
      <c r="AF576" s="138"/>
      <c r="AG576" s="138"/>
      <c r="AH576" s="138"/>
      <c r="AI576" s="138"/>
      <c r="AJ576" s="138"/>
      <c r="AK576" s="138"/>
      <c r="AL576" s="138"/>
      <c r="AM576" s="138"/>
      <c r="AN576" s="138"/>
      <c r="AO576" s="138"/>
      <c r="AP576" s="138"/>
      <c r="AQ576" s="138"/>
      <c r="AR576" s="138"/>
      <c r="AS576" s="138"/>
      <c r="AT576" s="138"/>
      <c r="AU576" s="138"/>
      <c r="AV576" s="138"/>
      <c r="AW576" s="138"/>
      <c r="AX576" s="138"/>
      <c r="AY576" s="138"/>
      <c r="AZ576" s="138"/>
      <c r="BA576" s="556"/>
    </row>
    <row r="577" spans="19:53" ht="20.100000000000001" customHeight="1">
      <c r="S577" s="101" t="s">
        <v>586</v>
      </c>
      <c r="T577" s="918"/>
      <c r="U577" s="1077"/>
      <c r="V577" s="1077"/>
      <c r="W577" s="445" t="s">
        <v>588</v>
      </c>
      <c r="X577" s="115">
        <v>2021</v>
      </c>
      <c r="Y577" s="115">
        <v>2022</v>
      </c>
      <c r="Z577" s="115">
        <v>2023</v>
      </c>
      <c r="AA577" s="115">
        <v>2024</v>
      </c>
      <c r="AB577" s="115">
        <v>2025</v>
      </c>
      <c r="AC577" s="115">
        <v>2026</v>
      </c>
      <c r="AD577" s="115">
        <v>2027</v>
      </c>
      <c r="AE577" s="115">
        <v>2028</v>
      </c>
      <c r="AF577" s="115">
        <v>2029</v>
      </c>
      <c r="AG577" s="115">
        <v>2030</v>
      </c>
      <c r="AH577" s="115">
        <v>2031</v>
      </c>
      <c r="AI577" s="115">
        <v>2032</v>
      </c>
      <c r="AJ577" s="115">
        <v>2033</v>
      </c>
      <c r="AK577" s="115">
        <v>2034</v>
      </c>
      <c r="AL577" s="115">
        <v>2035</v>
      </c>
      <c r="AM577" s="115">
        <v>2036</v>
      </c>
      <c r="AN577" s="115">
        <v>2037</v>
      </c>
      <c r="AO577" s="115">
        <v>2038</v>
      </c>
      <c r="AP577" s="115">
        <v>2039</v>
      </c>
      <c r="AQ577" s="115">
        <v>2040</v>
      </c>
      <c r="AR577" s="115">
        <v>2041</v>
      </c>
      <c r="AS577" s="115">
        <v>2042</v>
      </c>
      <c r="AT577" s="115">
        <v>2043</v>
      </c>
      <c r="AU577" s="115">
        <v>2044</v>
      </c>
      <c r="AV577" s="115">
        <v>2045</v>
      </c>
      <c r="AW577" s="115">
        <v>2046</v>
      </c>
      <c r="AX577" s="115">
        <v>2047</v>
      </c>
      <c r="AY577" s="115">
        <v>2048</v>
      </c>
      <c r="AZ577" s="115">
        <v>2049</v>
      </c>
      <c r="BA577" s="323">
        <v>2050</v>
      </c>
    </row>
    <row r="578" spans="19:53" ht="20.100000000000001" customHeight="1">
      <c r="S578" s="101" t="s">
        <v>60</v>
      </c>
      <c r="T578" s="918"/>
      <c r="U578" s="1077"/>
      <c r="V578" s="1077"/>
      <c r="W578" s="133" t="s">
        <v>2720</v>
      </c>
      <c r="X578" s="123">
        <f>($H$203/100*X562)+((100-$H$203)/100*X570)</f>
        <v>242.58122734764615</v>
      </c>
      <c r="Y578" s="123">
        <f t="shared" ref="Y578:BA582" si="834">($H$203/100*Y562)+((100-$H$203)/100*Y570)</f>
        <v>242.58122734764615</v>
      </c>
      <c r="Z578" s="123">
        <f t="shared" si="834"/>
        <v>242.58122734764615</v>
      </c>
      <c r="AA578" s="123">
        <f t="shared" si="834"/>
        <v>242.61056060749246</v>
      </c>
      <c r="AB578" s="123">
        <f t="shared" si="834"/>
        <v>242.60833127974414</v>
      </c>
      <c r="AC578" s="123">
        <f t="shared" si="834"/>
        <v>242.60627138090467</v>
      </c>
      <c r="AD578" s="123">
        <f t="shared" si="834"/>
        <v>242.60436803437705</v>
      </c>
      <c r="AE578" s="123">
        <f t="shared" si="834"/>
        <v>242.60260934218547</v>
      </c>
      <c r="AF578" s="123">
        <f t="shared" si="834"/>
        <v>242.6009843106005</v>
      </c>
      <c r="AG578" s="123">
        <f t="shared" si="834"/>
        <v>242.59948278141596</v>
      </c>
      <c r="AH578" s="123">
        <f t="shared" si="834"/>
        <v>242.59809536844946</v>
      </c>
      <c r="AI578" s="123">
        <f t="shared" si="834"/>
        <v>242.59681339886842</v>
      </c>
      <c r="AJ578" s="123">
        <f t="shared" si="834"/>
        <v>242.59562885897552</v>
      </c>
      <c r="AK578" s="123">
        <f t="shared" si="834"/>
        <v>242.59469276073912</v>
      </c>
      <c r="AL578" s="123">
        <f t="shared" si="834"/>
        <v>242.59381750888807</v>
      </c>
      <c r="AM578" s="123">
        <f t="shared" si="834"/>
        <v>242.59299914840733</v>
      </c>
      <c r="AN578" s="123">
        <f t="shared" si="834"/>
        <v>242.59223398135785</v>
      </c>
      <c r="AO578" s="123">
        <f t="shared" si="834"/>
        <v>242.5915185501666</v>
      </c>
      <c r="AP578" s="123">
        <f t="shared" si="834"/>
        <v>242.59084962200276</v>
      </c>
      <c r="AQ578" s="123">
        <f t="shared" si="834"/>
        <v>242.59022417416961</v>
      </c>
      <c r="AR578" s="123">
        <f t="shared" si="834"/>
        <v>242.58963938044556</v>
      </c>
      <c r="AS578" s="123">
        <f t="shared" si="834"/>
        <v>242.58909259831361</v>
      </c>
      <c r="AT578" s="123">
        <f t="shared" si="834"/>
        <v>242.58858135702022</v>
      </c>
      <c r="AU578" s="123">
        <f t="shared" si="834"/>
        <v>242.58810334641092</v>
      </c>
      <c r="AV578" s="123">
        <f t="shared" si="834"/>
        <v>242.58765640649119</v>
      </c>
      <c r="AW578" s="123">
        <f t="shared" si="834"/>
        <v>242.58723851766626</v>
      </c>
      <c r="AX578" s="123">
        <f t="shared" si="834"/>
        <v>242.58684779161496</v>
      </c>
      <c r="AY578" s="123">
        <f t="shared" si="834"/>
        <v>242.58648246275698</v>
      </c>
      <c r="AZ578" s="123">
        <f t="shared" si="834"/>
        <v>242.5861408802748</v>
      </c>
      <c r="BA578" s="159">
        <f t="shared" si="834"/>
        <v>242.58582150065394</v>
      </c>
    </row>
    <row r="579" spans="19:53" ht="20.100000000000001" customHeight="1">
      <c r="S579" s="101" t="s">
        <v>61</v>
      </c>
      <c r="T579" s="918"/>
      <c r="U579" s="1077"/>
      <c r="V579" s="1077"/>
      <c r="W579" s="133" t="s">
        <v>2721</v>
      </c>
      <c r="X579" s="123">
        <f t="shared" ref="X579:AM582" si="835">($H$203/100*X563)+((100-$H$203)/100*X571)</f>
        <v>234.00115436286711</v>
      </c>
      <c r="Y579" s="123">
        <f t="shared" si="835"/>
        <v>234.00115436286711</v>
      </c>
      <c r="Z579" s="123">
        <f t="shared" si="835"/>
        <v>234.00115436286711</v>
      </c>
      <c r="AA579" s="123">
        <f t="shared" si="835"/>
        <v>234.03048762271342</v>
      </c>
      <c r="AB579" s="123">
        <f t="shared" si="835"/>
        <v>234.02825829496507</v>
      </c>
      <c r="AC579" s="123">
        <f t="shared" si="835"/>
        <v>234.02619839612564</v>
      </c>
      <c r="AD579" s="123">
        <f t="shared" si="835"/>
        <v>234.02429504959801</v>
      </c>
      <c r="AE579" s="123">
        <f t="shared" si="835"/>
        <v>234.02253635740644</v>
      </c>
      <c r="AF579" s="123">
        <f t="shared" si="835"/>
        <v>234.02091132582146</v>
      </c>
      <c r="AG579" s="123">
        <f t="shared" si="835"/>
        <v>234.01940979663692</v>
      </c>
      <c r="AH579" s="123">
        <f t="shared" si="835"/>
        <v>234.0180223836704</v>
      </c>
      <c r="AI579" s="123">
        <f t="shared" si="835"/>
        <v>234.01674041408938</v>
      </c>
      <c r="AJ579" s="123">
        <f t="shared" si="835"/>
        <v>234.01555587419648</v>
      </c>
      <c r="AK579" s="123">
        <f t="shared" si="835"/>
        <v>234.01461977596009</v>
      </c>
      <c r="AL579" s="123">
        <f t="shared" si="835"/>
        <v>234.01374452410903</v>
      </c>
      <c r="AM579" s="123">
        <f t="shared" si="835"/>
        <v>234.01292616362826</v>
      </c>
      <c r="AN579" s="123">
        <f t="shared" si="834"/>
        <v>234.01216099657881</v>
      </c>
      <c r="AO579" s="123">
        <f t="shared" si="834"/>
        <v>234.01144556538756</v>
      </c>
      <c r="AP579" s="123">
        <f t="shared" si="834"/>
        <v>234.01077663722373</v>
      </c>
      <c r="AQ579" s="123">
        <f t="shared" si="834"/>
        <v>234.01015118939057</v>
      </c>
      <c r="AR579" s="123">
        <f t="shared" si="834"/>
        <v>234.00956639566652</v>
      </c>
      <c r="AS579" s="123">
        <f t="shared" si="834"/>
        <v>234.00901961353455</v>
      </c>
      <c r="AT579" s="123">
        <f t="shared" si="834"/>
        <v>234.00850837224118</v>
      </c>
      <c r="AU579" s="123">
        <f t="shared" si="834"/>
        <v>234.00803036163188</v>
      </c>
      <c r="AV579" s="123">
        <f t="shared" si="834"/>
        <v>234.00758342171216</v>
      </c>
      <c r="AW579" s="123">
        <f t="shared" si="834"/>
        <v>234.0071655328872</v>
      </c>
      <c r="AX579" s="123">
        <f t="shared" si="834"/>
        <v>234.00677480683592</v>
      </c>
      <c r="AY579" s="123">
        <f t="shared" si="834"/>
        <v>234.00640947797794</v>
      </c>
      <c r="AZ579" s="123">
        <f t="shared" si="834"/>
        <v>234.00606789549573</v>
      </c>
      <c r="BA579" s="159">
        <f t="shared" si="834"/>
        <v>234.0057485158749</v>
      </c>
    </row>
    <row r="580" spans="19:53" ht="20.100000000000001" customHeight="1">
      <c r="S580" s="101" t="s">
        <v>62</v>
      </c>
      <c r="T580" s="918"/>
      <c r="U580" s="1077"/>
      <c r="V580" s="1077"/>
      <c r="W580" s="133" t="s">
        <v>2722</v>
      </c>
      <c r="X580" s="123">
        <f t="shared" si="835"/>
        <v>225.42108137808808</v>
      </c>
      <c r="Y580" s="123">
        <f t="shared" si="834"/>
        <v>225.42108137808808</v>
      </c>
      <c r="Z580" s="123">
        <f t="shared" si="834"/>
        <v>225.42108137808808</v>
      </c>
      <c r="AA580" s="123">
        <f t="shared" si="834"/>
        <v>225.45041463793439</v>
      </c>
      <c r="AB580" s="123">
        <f t="shared" si="834"/>
        <v>225.44818531018606</v>
      </c>
      <c r="AC580" s="123">
        <f t="shared" si="834"/>
        <v>225.4461254113466</v>
      </c>
      <c r="AD580" s="123">
        <f t="shared" si="834"/>
        <v>225.44422206481897</v>
      </c>
      <c r="AE580" s="123">
        <f t="shared" si="834"/>
        <v>225.4424633726274</v>
      </c>
      <c r="AF580" s="123">
        <f t="shared" si="834"/>
        <v>225.44083834104242</v>
      </c>
      <c r="AG580" s="123">
        <f t="shared" si="834"/>
        <v>225.43933681185788</v>
      </c>
      <c r="AH580" s="123">
        <f t="shared" si="834"/>
        <v>225.43794939889139</v>
      </c>
      <c r="AI580" s="123">
        <f t="shared" si="834"/>
        <v>225.43666742931035</v>
      </c>
      <c r="AJ580" s="123">
        <f t="shared" si="834"/>
        <v>225.43548288941741</v>
      </c>
      <c r="AK580" s="123">
        <f t="shared" si="834"/>
        <v>225.43454679118105</v>
      </c>
      <c r="AL580" s="123">
        <f t="shared" si="834"/>
        <v>225.43367153932996</v>
      </c>
      <c r="AM580" s="123">
        <f t="shared" si="834"/>
        <v>225.43285317884926</v>
      </c>
      <c r="AN580" s="123">
        <f t="shared" si="834"/>
        <v>225.43208801179978</v>
      </c>
      <c r="AO580" s="123">
        <f t="shared" si="834"/>
        <v>225.43137258060852</v>
      </c>
      <c r="AP580" s="123">
        <f t="shared" si="834"/>
        <v>225.43070365244466</v>
      </c>
      <c r="AQ580" s="123">
        <f t="shared" si="834"/>
        <v>225.43007820461153</v>
      </c>
      <c r="AR580" s="123">
        <f t="shared" si="834"/>
        <v>225.42949341088749</v>
      </c>
      <c r="AS580" s="123">
        <f t="shared" si="834"/>
        <v>225.42894662875554</v>
      </c>
      <c r="AT580" s="123">
        <f t="shared" si="834"/>
        <v>225.42843538746214</v>
      </c>
      <c r="AU580" s="123">
        <f t="shared" si="834"/>
        <v>225.42795737685285</v>
      </c>
      <c r="AV580" s="123">
        <f t="shared" si="834"/>
        <v>225.42751043693312</v>
      </c>
      <c r="AW580" s="123">
        <f t="shared" si="834"/>
        <v>225.42709254810819</v>
      </c>
      <c r="AX580" s="123">
        <f t="shared" si="834"/>
        <v>225.42670182205688</v>
      </c>
      <c r="AY580" s="123">
        <f t="shared" si="834"/>
        <v>225.4263364931989</v>
      </c>
      <c r="AZ580" s="123">
        <f t="shared" si="834"/>
        <v>225.42599491071672</v>
      </c>
      <c r="BA580" s="159">
        <f t="shared" si="834"/>
        <v>225.42567553109586</v>
      </c>
    </row>
    <row r="581" spans="19:53" ht="20.100000000000001" customHeight="1">
      <c r="S581" s="101" t="s">
        <v>63</v>
      </c>
      <c r="T581" s="918"/>
      <c r="U581" s="1077"/>
      <c r="V581" s="1077"/>
      <c r="W581" s="133" t="s">
        <v>2861</v>
      </c>
      <c r="X581" s="123">
        <f t="shared" si="835"/>
        <v>182.52071645419284</v>
      </c>
      <c r="Y581" s="123">
        <f t="shared" si="834"/>
        <v>182.52071645419284</v>
      </c>
      <c r="Z581" s="123">
        <f t="shared" si="834"/>
        <v>182.52071645419284</v>
      </c>
      <c r="AA581" s="123">
        <f t="shared" si="834"/>
        <v>182.55004971403912</v>
      </c>
      <c r="AB581" s="123">
        <f t="shared" si="834"/>
        <v>182.54782038629082</v>
      </c>
      <c r="AC581" s="123">
        <f t="shared" si="834"/>
        <v>182.54576048745133</v>
      </c>
      <c r="AD581" s="123">
        <f t="shared" si="834"/>
        <v>182.54385714092371</v>
      </c>
      <c r="AE581" s="123">
        <f t="shared" si="834"/>
        <v>182.54209844873213</v>
      </c>
      <c r="AF581" s="123">
        <f t="shared" si="834"/>
        <v>182.54047341714715</v>
      </c>
      <c r="AG581" s="123">
        <f t="shared" si="834"/>
        <v>182.53897188796265</v>
      </c>
      <c r="AH581" s="123">
        <f t="shared" si="834"/>
        <v>182.53758447499615</v>
      </c>
      <c r="AI581" s="123">
        <f t="shared" si="834"/>
        <v>182.53630250541511</v>
      </c>
      <c r="AJ581" s="123">
        <f t="shared" si="834"/>
        <v>182.5351179655222</v>
      </c>
      <c r="AK581" s="123">
        <f t="shared" si="834"/>
        <v>182.53418186728578</v>
      </c>
      <c r="AL581" s="123">
        <f t="shared" si="834"/>
        <v>182.53330661543475</v>
      </c>
      <c r="AM581" s="123">
        <f t="shared" si="834"/>
        <v>182.53248825495402</v>
      </c>
      <c r="AN581" s="123">
        <f t="shared" si="834"/>
        <v>182.53172308790454</v>
      </c>
      <c r="AO581" s="123">
        <f t="shared" si="834"/>
        <v>182.53100765671326</v>
      </c>
      <c r="AP581" s="123">
        <f t="shared" si="834"/>
        <v>182.53033872854945</v>
      </c>
      <c r="AQ581" s="123">
        <f t="shared" si="834"/>
        <v>182.52971328071629</v>
      </c>
      <c r="AR581" s="123">
        <f t="shared" si="834"/>
        <v>182.52912848699225</v>
      </c>
      <c r="AS581" s="123">
        <f t="shared" si="834"/>
        <v>182.5285817048603</v>
      </c>
      <c r="AT581" s="123">
        <f t="shared" si="834"/>
        <v>182.52807046356691</v>
      </c>
      <c r="AU581" s="123">
        <f t="shared" si="834"/>
        <v>182.52759245295761</v>
      </c>
      <c r="AV581" s="123">
        <f t="shared" si="834"/>
        <v>182.52714551303785</v>
      </c>
      <c r="AW581" s="123">
        <f t="shared" si="834"/>
        <v>182.52672762421295</v>
      </c>
      <c r="AX581" s="123">
        <f t="shared" si="834"/>
        <v>182.52633689816162</v>
      </c>
      <c r="AY581" s="123">
        <f t="shared" si="834"/>
        <v>182.52597156930364</v>
      </c>
      <c r="AZ581" s="123">
        <f t="shared" si="834"/>
        <v>182.52562998682149</v>
      </c>
      <c r="BA581" s="159">
        <f t="shared" si="834"/>
        <v>182.52531060720059</v>
      </c>
    </row>
    <row r="582" spans="19:53" ht="20.100000000000001" customHeight="1">
      <c r="S582" s="101" t="s">
        <v>64</v>
      </c>
      <c r="T582" s="918"/>
      <c r="U582" s="1077"/>
      <c r="V582" s="1077"/>
      <c r="W582" s="133" t="s">
        <v>2862</v>
      </c>
      <c r="X582" s="123">
        <f t="shared" si="835"/>
        <v>156.7804974998557</v>
      </c>
      <c r="Y582" s="123">
        <f t="shared" si="834"/>
        <v>156.7804974998557</v>
      </c>
      <c r="Z582" s="123">
        <f t="shared" si="834"/>
        <v>156.7804974998557</v>
      </c>
      <c r="AA582" s="123">
        <f t="shared" si="834"/>
        <v>156.80983075970201</v>
      </c>
      <c r="AB582" s="123">
        <f t="shared" si="834"/>
        <v>156.80760143195369</v>
      </c>
      <c r="AC582" s="123">
        <f t="shared" si="834"/>
        <v>156.80554153311422</v>
      </c>
      <c r="AD582" s="123">
        <f t="shared" si="834"/>
        <v>156.8036381865866</v>
      </c>
      <c r="AE582" s="123">
        <f t="shared" si="834"/>
        <v>156.80187949439502</v>
      </c>
      <c r="AF582" s="123">
        <f t="shared" si="834"/>
        <v>156.80025446281005</v>
      </c>
      <c r="AG582" s="123">
        <f t="shared" si="834"/>
        <v>156.79875293362551</v>
      </c>
      <c r="AH582" s="123">
        <f t="shared" si="834"/>
        <v>156.79736552065901</v>
      </c>
      <c r="AI582" s="123">
        <f t="shared" si="834"/>
        <v>156.79608355107797</v>
      </c>
      <c r="AJ582" s="123">
        <f t="shared" si="834"/>
        <v>156.79489901118507</v>
      </c>
      <c r="AK582" s="123">
        <f t="shared" si="834"/>
        <v>156.79396291294867</v>
      </c>
      <c r="AL582" s="123">
        <f t="shared" si="834"/>
        <v>156.79308766109762</v>
      </c>
      <c r="AM582" s="123">
        <f t="shared" si="834"/>
        <v>156.79226930061688</v>
      </c>
      <c r="AN582" s="123">
        <f t="shared" si="834"/>
        <v>156.7915041335674</v>
      </c>
      <c r="AO582" s="123">
        <f t="shared" si="834"/>
        <v>156.79078870237615</v>
      </c>
      <c r="AP582" s="123">
        <f t="shared" si="834"/>
        <v>156.79011977421231</v>
      </c>
      <c r="AQ582" s="123">
        <f t="shared" si="834"/>
        <v>156.78949432637916</v>
      </c>
      <c r="AR582" s="123">
        <f t="shared" si="834"/>
        <v>156.78890953265511</v>
      </c>
      <c r="AS582" s="123">
        <f t="shared" si="834"/>
        <v>156.78836275052316</v>
      </c>
      <c r="AT582" s="123">
        <f t="shared" si="834"/>
        <v>156.78785150922977</v>
      </c>
      <c r="AU582" s="123">
        <f t="shared" si="834"/>
        <v>156.78737349862047</v>
      </c>
      <c r="AV582" s="123">
        <f t="shared" si="834"/>
        <v>156.78692655870074</v>
      </c>
      <c r="AW582" s="123">
        <f t="shared" si="834"/>
        <v>156.78650866987581</v>
      </c>
      <c r="AX582" s="123">
        <f t="shared" si="834"/>
        <v>156.78611794382451</v>
      </c>
      <c r="AY582" s="123">
        <f t="shared" si="834"/>
        <v>156.78575261496653</v>
      </c>
      <c r="AZ582" s="123">
        <f t="shared" si="834"/>
        <v>156.78541103248435</v>
      </c>
      <c r="BA582" s="159">
        <f t="shared" si="834"/>
        <v>156.78509165286349</v>
      </c>
    </row>
    <row r="583" spans="19:53" ht="20.100000000000001" customHeight="1" thickBot="1">
      <c r="S583" s="301" t="s">
        <v>2746</v>
      </c>
      <c r="T583" s="1076"/>
      <c r="U583" s="139"/>
      <c r="V583" s="139"/>
      <c r="W583" s="155" t="s">
        <v>845</v>
      </c>
      <c r="X583" s="160">
        <f t="shared" ref="X583:BA583" si="836">(X294/100*X578)+(X295/100*X579)+(X296/100*X580)+(X297/100*X581)+(X298/100*X582)</f>
        <v>0</v>
      </c>
      <c r="Y583" s="160">
        <f t="shared" si="836"/>
        <v>229.71111787047761</v>
      </c>
      <c r="Z583" s="160">
        <f t="shared" si="836"/>
        <v>229.71111787047761</v>
      </c>
      <c r="AA583" s="160">
        <f t="shared" si="836"/>
        <v>229.74045113032389</v>
      </c>
      <c r="AB583" s="160">
        <f t="shared" si="836"/>
        <v>229.73822180257557</v>
      </c>
      <c r="AC583" s="160">
        <f t="shared" si="836"/>
        <v>229.7361619037361</v>
      </c>
      <c r="AD583" s="160">
        <f t="shared" si="836"/>
        <v>229.73425855720848</v>
      </c>
      <c r="AE583" s="160">
        <f t="shared" si="836"/>
        <v>229.73249986501691</v>
      </c>
      <c r="AF583" s="160">
        <f t="shared" si="836"/>
        <v>229.73087483343193</v>
      </c>
      <c r="AG583" s="160">
        <f t="shared" si="836"/>
        <v>229.72937330424742</v>
      </c>
      <c r="AH583" s="160">
        <f t="shared" si="836"/>
        <v>229.72798589128089</v>
      </c>
      <c r="AI583" s="160">
        <f t="shared" si="836"/>
        <v>229.72670392169988</v>
      </c>
      <c r="AJ583" s="160">
        <f t="shared" si="836"/>
        <v>229.72551938180695</v>
      </c>
      <c r="AK583" s="160">
        <f t="shared" si="836"/>
        <v>229.72458328357055</v>
      </c>
      <c r="AL583" s="160">
        <f t="shared" si="836"/>
        <v>229.7237080317195</v>
      </c>
      <c r="AM583" s="160">
        <f t="shared" si="836"/>
        <v>229.72288967123876</v>
      </c>
      <c r="AN583" s="160">
        <f t="shared" si="836"/>
        <v>229.72212450418931</v>
      </c>
      <c r="AO583" s="160">
        <f t="shared" si="836"/>
        <v>229.72140907299803</v>
      </c>
      <c r="AP583" s="160">
        <f t="shared" si="836"/>
        <v>229.7207401448342</v>
      </c>
      <c r="AQ583" s="160">
        <f t="shared" si="836"/>
        <v>229.72011469700107</v>
      </c>
      <c r="AR583" s="160">
        <f t="shared" si="836"/>
        <v>229.71952990327702</v>
      </c>
      <c r="AS583" s="160">
        <f t="shared" si="836"/>
        <v>229.71898312114504</v>
      </c>
      <c r="AT583" s="160">
        <f t="shared" si="836"/>
        <v>229.71847187985168</v>
      </c>
      <c r="AU583" s="160">
        <f t="shared" si="836"/>
        <v>229.71799386924238</v>
      </c>
      <c r="AV583" s="160">
        <f t="shared" si="836"/>
        <v>229.71754692932262</v>
      </c>
      <c r="AW583" s="160">
        <f t="shared" si="836"/>
        <v>229.7171290404977</v>
      </c>
      <c r="AX583" s="160">
        <f t="shared" si="836"/>
        <v>229.71673831444639</v>
      </c>
      <c r="AY583" s="160">
        <f t="shared" si="836"/>
        <v>229.71637298558841</v>
      </c>
      <c r="AZ583" s="160">
        <f t="shared" si="836"/>
        <v>229.71603140310623</v>
      </c>
      <c r="BA583" s="160">
        <f t="shared" si="836"/>
        <v>229.71571202348537</v>
      </c>
    </row>
    <row r="584" spans="19:53" ht="20.100000000000001" customHeight="1" thickBot="1"/>
    <row r="585" spans="19:53" ht="20.100000000000001" customHeight="1">
      <c r="S585" s="299" t="s">
        <v>2724</v>
      </c>
      <c r="T585" s="726" t="s">
        <v>2039</v>
      </c>
      <c r="U585" s="138"/>
      <c r="V585" s="1039">
        <v>2019</v>
      </c>
      <c r="W585" s="1039">
        <v>2020</v>
      </c>
      <c r="X585" s="1039">
        <v>2021</v>
      </c>
      <c r="Y585" s="1039">
        <f>X585+1</f>
        <v>2022</v>
      </c>
      <c r="Z585" s="1039">
        <f t="shared" ref="Z585" si="837">Y585+1</f>
        <v>2023</v>
      </c>
      <c r="AA585" s="1039">
        <f t="shared" ref="AA585" si="838">Z585+1</f>
        <v>2024</v>
      </c>
      <c r="AB585" s="1039">
        <f t="shared" ref="AB585" si="839">AA585+1</f>
        <v>2025</v>
      </c>
      <c r="AC585" s="1039">
        <f t="shared" ref="AC585" si="840">AB585+1</f>
        <v>2026</v>
      </c>
      <c r="AD585" s="1039">
        <f t="shared" ref="AD585" si="841">AC585+1</f>
        <v>2027</v>
      </c>
      <c r="AE585" s="1039">
        <f t="shared" ref="AE585" si="842">AD585+1</f>
        <v>2028</v>
      </c>
      <c r="AF585" s="1039">
        <f t="shared" ref="AF585" si="843">AE585+1</f>
        <v>2029</v>
      </c>
      <c r="AG585" s="1039">
        <f t="shared" ref="AG585" si="844">AF585+1</f>
        <v>2030</v>
      </c>
      <c r="AH585" s="1039">
        <f t="shared" ref="AH585" si="845">AG585+1</f>
        <v>2031</v>
      </c>
      <c r="AI585" s="1039">
        <f t="shared" ref="AI585" si="846">AH585+1</f>
        <v>2032</v>
      </c>
      <c r="AJ585" s="1039">
        <f t="shared" ref="AJ585" si="847">AI585+1</f>
        <v>2033</v>
      </c>
      <c r="AK585" s="1039">
        <f t="shared" ref="AK585" si="848">AJ585+1</f>
        <v>2034</v>
      </c>
      <c r="AL585" s="1039">
        <f t="shared" ref="AL585" si="849">AK585+1</f>
        <v>2035</v>
      </c>
      <c r="AM585" s="1039">
        <f t="shared" ref="AM585" si="850">AL585+1</f>
        <v>2036</v>
      </c>
      <c r="AN585" s="1039">
        <f t="shared" ref="AN585" si="851">AM585+1</f>
        <v>2037</v>
      </c>
      <c r="AO585" s="1039">
        <f t="shared" ref="AO585" si="852">AN585+1</f>
        <v>2038</v>
      </c>
      <c r="AP585" s="1039">
        <f t="shared" ref="AP585" si="853">AO585+1</f>
        <v>2039</v>
      </c>
      <c r="AQ585" s="1039">
        <f t="shared" ref="AQ585" si="854">AP585+1</f>
        <v>2040</v>
      </c>
      <c r="AR585" s="1039">
        <f t="shared" ref="AR585" si="855">AQ585+1</f>
        <v>2041</v>
      </c>
      <c r="AS585" s="1039">
        <f t="shared" ref="AS585" si="856">AR585+1</f>
        <v>2042</v>
      </c>
      <c r="AT585" s="1039">
        <f t="shared" ref="AT585" si="857">AS585+1</f>
        <v>2043</v>
      </c>
      <c r="AU585" s="1039">
        <f t="shared" ref="AU585" si="858">AT585+1</f>
        <v>2044</v>
      </c>
      <c r="AV585" s="1039">
        <f t="shared" ref="AV585" si="859">AU585+1</f>
        <v>2045</v>
      </c>
      <c r="AW585" s="1039">
        <f t="shared" ref="AW585" si="860">AV585+1</f>
        <v>2046</v>
      </c>
      <c r="AX585" s="1039">
        <f t="shared" ref="AX585" si="861">AW585+1</f>
        <v>2047</v>
      </c>
      <c r="AY585" s="1039">
        <f t="shared" ref="AY585" si="862">AX585+1</f>
        <v>2048</v>
      </c>
      <c r="AZ585" s="1039">
        <f t="shared" ref="AZ585" si="863">AY585+1</f>
        <v>2049</v>
      </c>
      <c r="BA585" s="153">
        <f t="shared" ref="BA585" si="864">AZ585+1</f>
        <v>2050</v>
      </c>
    </row>
    <row r="586" spans="19:53" ht="20.100000000000001" customHeight="1" thickBot="1">
      <c r="S586" s="301" t="s">
        <v>2747</v>
      </c>
      <c r="T586" s="448" t="s">
        <v>2748</v>
      </c>
      <c r="U586" s="343" t="s">
        <v>846</v>
      </c>
      <c r="V586" s="139"/>
      <c r="W586" s="139"/>
      <c r="X586" s="170">
        <f>X388/INDEX('DEFAULT DATA'!$BB$9:$BB$41,START!$C$3,1)*X583/1000</f>
        <v>0</v>
      </c>
      <c r="Y586" s="170">
        <f>Y388/INDEX('DEFAULT DATA'!$BB$9:$BB$41,START!$C$3,1)*Y583/1000</f>
        <v>314.55178059938839</v>
      </c>
      <c r="Z586" s="170">
        <f>Z388/INDEX('DEFAULT DATA'!$BB$9:$BB$41,START!$C$3,1)*Z583/1000</f>
        <v>320.8428162113762</v>
      </c>
      <c r="AA586" s="170">
        <f>AA388/INDEX('DEFAULT DATA'!$BB$9:$BB$41,START!$C$3,1)*AA583/1000</f>
        <v>327.30146238496189</v>
      </c>
      <c r="AB586" s="170">
        <f>AB388/INDEX('DEFAULT DATA'!$BB$9:$BB$41,START!$C$3,1)*AB583/1000</f>
        <v>333.84425208353889</v>
      </c>
      <c r="AC586" s="170">
        <f>AC388/INDEX('DEFAULT DATA'!$BB$9:$BB$41,START!$C$3,1)*AC583/1000</f>
        <v>340.51808391495291</v>
      </c>
      <c r="AD586" s="170">
        <f>AD388/INDEX('DEFAULT DATA'!$BB$9:$BB$41,START!$C$3,1)*AD583/1000</f>
        <v>347.32556800364927</v>
      </c>
      <c r="AE586" s="170">
        <f>AE388/INDEX('DEFAULT DATA'!$BB$9:$BB$41,START!$C$3,1)*AE583/1000</f>
        <v>354.2693672930734</v>
      </c>
      <c r="AF586" s="170">
        <f>AF388/INDEX('DEFAULT DATA'!$BB$9:$BB$41,START!$C$3,1)*AF583/1000</f>
        <v>361.35219856658972</v>
      </c>
      <c r="AG586" s="170">
        <f>AG388/INDEX('DEFAULT DATA'!$BB$9:$BB$41,START!$C$3,1)*AG583/1000</f>
        <v>368.57683349085778</v>
      </c>
      <c r="AH586" s="170">
        <f>AH388/INDEX('DEFAULT DATA'!$BB$9:$BB$41,START!$C$3,1)*AH583/1000</f>
        <v>373.36607742927862</v>
      </c>
      <c r="AI586" s="170">
        <f>AI388/INDEX('DEFAULT DATA'!$BB$9:$BB$41,START!$C$3,1)*AI583/1000</f>
        <v>378.21772582524579</v>
      </c>
      <c r="AJ586" s="170">
        <f>AJ388/INDEX('DEFAULT DATA'!$BB$9:$BB$41,START!$C$3,1)*AJ583/1000</f>
        <v>383.13258070411223</v>
      </c>
      <c r="AK586" s="170">
        <f>AK388/INDEX('DEFAULT DATA'!$BB$9:$BB$41,START!$C$3,1)*AK583/1000</f>
        <v>388.11172274773418</v>
      </c>
      <c r="AL586" s="170">
        <f>AL388/INDEX('DEFAULT DATA'!$BB$9:$BB$41,START!$C$3,1)*AL583/1000</f>
        <v>393.15567721258287</v>
      </c>
      <c r="AM586" s="170">
        <f>AM388/INDEX('DEFAULT DATA'!$BB$9:$BB$41,START!$C$3,1)*AM583/1000</f>
        <v>398.26528224363159</v>
      </c>
      <c r="AN586" s="170">
        <f>AN388/INDEX('DEFAULT DATA'!$BB$9:$BB$41,START!$C$3,1)*AN583/1000</f>
        <v>403.44138711512818</v>
      </c>
      <c r="AO586" s="170">
        <f>AO388/INDEX('DEFAULT DATA'!$BB$9:$BB$41,START!$C$3,1)*AO583/1000</f>
        <v>408.68485236294202</v>
      </c>
      <c r="AP586" s="170">
        <f>AP388/INDEX('DEFAULT DATA'!$BB$9:$BB$41,START!$C$3,1)*AP583/1000</f>
        <v>413.99654991928406</v>
      </c>
      <c r="AQ586" s="170">
        <f>AQ388/INDEX('DEFAULT DATA'!$BB$9:$BB$41,START!$C$3,1)*AQ583/1000</f>
        <v>419.37736324979431</v>
      </c>
      <c r="AR586" s="170">
        <f>AR388/INDEX('DEFAULT DATA'!$BB$9:$BB$41,START!$C$3,1)*AR583/1000</f>
        <v>424.82818749299651</v>
      </c>
      <c r="AS586" s="170">
        <f>AS388/INDEX('DEFAULT DATA'!$BB$9:$BB$41,START!$C$3,1)*AS583/1000</f>
        <v>430.34992960212054</v>
      </c>
      <c r="AT586" s="170">
        <f>AT388/INDEX('DEFAULT DATA'!$BB$9:$BB$41,START!$C$3,1)*AT583/1000</f>
        <v>435.94350848929133</v>
      </c>
      <c r="AU586" s="170">
        <f>AU388/INDEX('DEFAULT DATA'!$BB$9:$BB$41,START!$C$3,1)*AU583/1000</f>
        <v>441.6098551720907</v>
      </c>
      <c r="AV586" s="170">
        <f>AV388/INDEX('DEFAULT DATA'!$BB$9:$BB$41,START!$C$3,1)*AV583/1000</f>
        <v>447.34991292249316</v>
      </c>
      <c r="AW586" s="170">
        <f>AW388/INDEX('DEFAULT DATA'!$BB$9:$BB$41,START!$C$3,1)*AW583/1000</f>
        <v>453.16463741818649</v>
      </c>
      <c r="AX586" s="170">
        <f>AX388/INDEX('DEFAULT DATA'!$BB$9:$BB$41,START!$C$3,1)*AX583/1000</f>
        <v>459.05499689627783</v>
      </c>
      <c r="AY586" s="170">
        <f>AY388/INDEX('DEFAULT DATA'!$BB$9:$BB$41,START!$C$3,1)*AY583/1000</f>
        <v>465.02197230940129</v>
      </c>
      <c r="AZ586" s="170">
        <f>AZ388/INDEX('DEFAULT DATA'!$BB$9:$BB$41,START!$C$3,1)*AZ583/1000</f>
        <v>471.06655748423185</v>
      </c>
      <c r="BA586" s="325">
        <f>BA388/INDEX('DEFAULT DATA'!$BB$9:$BB$41,START!$C$3,1)*BA583/1000</f>
        <v>477.18975928241821</v>
      </c>
    </row>
    <row r="589" spans="19:53" ht="20.100000000000001" customHeight="1" thickBot="1">
      <c r="S589" s="885" t="s">
        <v>2881</v>
      </c>
      <c r="AH589" s="889"/>
    </row>
    <row r="590" spans="19:53" ht="20.100000000000001" customHeight="1">
      <c r="S590" s="299"/>
      <c r="T590" s="890" t="s">
        <v>2764</v>
      </c>
      <c r="U590" s="138"/>
      <c r="V590" s="138"/>
      <c r="W590" s="138"/>
      <c r="X590" s="956">
        <v>2021</v>
      </c>
      <c r="Y590" s="956">
        <f>X590+1</f>
        <v>2022</v>
      </c>
      <c r="Z590" s="956">
        <f t="shared" ref="Z590:BA590" si="865">Y590+1</f>
        <v>2023</v>
      </c>
      <c r="AA590" s="956">
        <f t="shared" si="865"/>
        <v>2024</v>
      </c>
      <c r="AB590" s="956">
        <f t="shared" si="865"/>
        <v>2025</v>
      </c>
      <c r="AC590" s="956">
        <f t="shared" si="865"/>
        <v>2026</v>
      </c>
      <c r="AD590" s="956">
        <f t="shared" si="865"/>
        <v>2027</v>
      </c>
      <c r="AE590" s="956">
        <f t="shared" si="865"/>
        <v>2028</v>
      </c>
      <c r="AF590" s="956">
        <f t="shared" si="865"/>
        <v>2029</v>
      </c>
      <c r="AG590" s="956">
        <f t="shared" si="865"/>
        <v>2030</v>
      </c>
      <c r="AH590" s="956">
        <f t="shared" si="865"/>
        <v>2031</v>
      </c>
      <c r="AI590" s="956">
        <f t="shared" si="865"/>
        <v>2032</v>
      </c>
      <c r="AJ590" s="956">
        <f t="shared" si="865"/>
        <v>2033</v>
      </c>
      <c r="AK590" s="956">
        <f t="shared" si="865"/>
        <v>2034</v>
      </c>
      <c r="AL590" s="956">
        <f t="shared" si="865"/>
        <v>2035</v>
      </c>
      <c r="AM590" s="956">
        <f t="shared" si="865"/>
        <v>2036</v>
      </c>
      <c r="AN590" s="956">
        <f t="shared" si="865"/>
        <v>2037</v>
      </c>
      <c r="AO590" s="956">
        <f t="shared" si="865"/>
        <v>2038</v>
      </c>
      <c r="AP590" s="956">
        <f t="shared" si="865"/>
        <v>2039</v>
      </c>
      <c r="AQ590" s="956">
        <f t="shared" si="865"/>
        <v>2040</v>
      </c>
      <c r="AR590" s="956">
        <f t="shared" si="865"/>
        <v>2041</v>
      </c>
      <c r="AS590" s="956">
        <f t="shared" si="865"/>
        <v>2042</v>
      </c>
      <c r="AT590" s="956">
        <f t="shared" si="865"/>
        <v>2043</v>
      </c>
      <c r="AU590" s="956">
        <f t="shared" si="865"/>
        <v>2044</v>
      </c>
      <c r="AV590" s="956">
        <f t="shared" si="865"/>
        <v>2045</v>
      </c>
      <c r="AW590" s="956">
        <f t="shared" si="865"/>
        <v>2046</v>
      </c>
      <c r="AX590" s="956">
        <f t="shared" si="865"/>
        <v>2047</v>
      </c>
      <c r="AY590" s="956">
        <f t="shared" si="865"/>
        <v>2048</v>
      </c>
      <c r="AZ590" s="956">
        <f t="shared" si="865"/>
        <v>2049</v>
      </c>
      <c r="BA590" s="153">
        <f t="shared" si="865"/>
        <v>2050</v>
      </c>
    </row>
    <row r="591" spans="19:53" ht="20.100000000000001" customHeight="1">
      <c r="S591" s="211" t="s">
        <v>2877</v>
      </c>
      <c r="T591" s="960" t="s">
        <v>2876</v>
      </c>
      <c r="U591" s="131"/>
      <c r="V591" s="131"/>
      <c r="W591" s="131"/>
      <c r="X591" s="123">
        <f t="shared" ref="X591:BA591" si="866">X5</f>
        <v>364.21917808219177</v>
      </c>
      <c r="Y591" s="123">
        <f t="shared" si="866"/>
        <v>336.53852054794521</v>
      </c>
      <c r="Z591" s="123">
        <f t="shared" si="866"/>
        <v>310.96159298630141</v>
      </c>
      <c r="AA591" s="123">
        <f t="shared" si="866"/>
        <v>287.32851191934253</v>
      </c>
      <c r="AB591" s="123">
        <f t="shared" si="866"/>
        <v>265.49154501347249</v>
      </c>
      <c r="AC591" s="123">
        <f t="shared" si="866"/>
        <v>245.3141875924486</v>
      </c>
      <c r="AD591" s="123">
        <f t="shared" si="866"/>
        <v>226.67030933542253</v>
      </c>
      <c r="AE591" s="123">
        <f t="shared" si="866"/>
        <v>209.44336582593041</v>
      </c>
      <c r="AF591" s="123">
        <f t="shared" si="866"/>
        <v>193.52567002315971</v>
      </c>
      <c r="AG591" s="123">
        <f t="shared" si="866"/>
        <v>178.81771910139958</v>
      </c>
      <c r="AH591" s="123">
        <f t="shared" si="866"/>
        <v>167.19456735980862</v>
      </c>
      <c r="AI591" s="123">
        <f t="shared" si="866"/>
        <v>156.32692048142107</v>
      </c>
      <c r="AJ591" s="123">
        <f t="shared" si="866"/>
        <v>146.1656706501287</v>
      </c>
      <c r="AK591" s="123">
        <f t="shared" si="866"/>
        <v>136.66490205787034</v>
      </c>
      <c r="AL591" s="123">
        <f t="shared" si="866"/>
        <v>127.78168342410878</v>
      </c>
      <c r="AM591" s="123">
        <f t="shared" si="866"/>
        <v>119.47587400154171</v>
      </c>
      <c r="AN591" s="123">
        <f t="shared" si="866"/>
        <v>111.70994219144151</v>
      </c>
      <c r="AO591" s="123">
        <f t="shared" si="866"/>
        <v>104.44879594899783</v>
      </c>
      <c r="AP591" s="123">
        <f t="shared" si="866"/>
        <v>97.659624212312977</v>
      </c>
      <c r="AQ591" s="123">
        <f t="shared" si="866"/>
        <v>91.31174863851264</v>
      </c>
      <c r="AR591" s="123">
        <f t="shared" si="866"/>
        <v>85.376484977009326</v>
      </c>
      <c r="AS591" s="123">
        <f t="shared" si="866"/>
        <v>79.827013453503724</v>
      </c>
      <c r="AT591" s="123">
        <f t="shared" si="866"/>
        <v>74.638257579025989</v>
      </c>
      <c r="AU591" s="123">
        <f t="shared" si="866"/>
        <v>69.786770836389309</v>
      </c>
      <c r="AV591" s="123">
        <f t="shared" si="866"/>
        <v>65.250630732024007</v>
      </c>
      <c r="AW591" s="123">
        <f t="shared" si="866"/>
        <v>61.009339734442449</v>
      </c>
      <c r="AX591" s="123">
        <f t="shared" si="866"/>
        <v>57.043732651703692</v>
      </c>
      <c r="AY591" s="123">
        <f t="shared" si="866"/>
        <v>53.335890029342956</v>
      </c>
      <c r="AZ591" s="123">
        <f t="shared" si="866"/>
        <v>49.869057177435664</v>
      </c>
      <c r="BA591" s="159">
        <f t="shared" si="866"/>
        <v>46.627568460902346</v>
      </c>
    </row>
    <row r="592" spans="19:53" ht="20.100000000000001" customHeight="1">
      <c r="S592" s="508" t="s">
        <v>2878</v>
      </c>
      <c r="T592" s="383" t="s">
        <v>893</v>
      </c>
      <c r="U592" s="131"/>
      <c r="V592" s="131"/>
      <c r="W592" s="131"/>
      <c r="X592" s="123">
        <f t="shared" ref="X592:BA592" si="867">IF(AND(X590&gt;($F$230+2020),X590&lt;($G$230+2022)),(INDEX($X$591:$BA$591,1,$F$230)-(100-$G$228)/100*INDEX($Y$591:$BA$591,1,$G$230))/($G$230-$F$230+1),0)</f>
        <v>0</v>
      </c>
      <c r="Y592" s="123">
        <f t="shared" si="867"/>
        <v>27.680657534246564</v>
      </c>
      <c r="Z592" s="123">
        <f t="shared" si="867"/>
        <v>0</v>
      </c>
      <c r="AA592" s="123">
        <f t="shared" si="867"/>
        <v>0</v>
      </c>
      <c r="AB592" s="123">
        <f t="shared" si="867"/>
        <v>0</v>
      </c>
      <c r="AC592" s="123">
        <f t="shared" si="867"/>
        <v>0</v>
      </c>
      <c r="AD592" s="123">
        <f t="shared" si="867"/>
        <v>0</v>
      </c>
      <c r="AE592" s="123">
        <f t="shared" si="867"/>
        <v>0</v>
      </c>
      <c r="AF592" s="123">
        <f t="shared" si="867"/>
        <v>0</v>
      </c>
      <c r="AG592" s="123">
        <f t="shared" si="867"/>
        <v>0</v>
      </c>
      <c r="AH592" s="123">
        <f t="shared" si="867"/>
        <v>0</v>
      </c>
      <c r="AI592" s="123">
        <f t="shared" si="867"/>
        <v>0</v>
      </c>
      <c r="AJ592" s="123">
        <f t="shared" si="867"/>
        <v>0</v>
      </c>
      <c r="AK592" s="123">
        <f t="shared" si="867"/>
        <v>0</v>
      </c>
      <c r="AL592" s="123">
        <f t="shared" si="867"/>
        <v>0</v>
      </c>
      <c r="AM592" s="123">
        <f t="shared" si="867"/>
        <v>0</v>
      </c>
      <c r="AN592" s="123">
        <f t="shared" si="867"/>
        <v>0</v>
      </c>
      <c r="AO592" s="123">
        <f t="shared" si="867"/>
        <v>0</v>
      </c>
      <c r="AP592" s="123">
        <f t="shared" si="867"/>
        <v>0</v>
      </c>
      <c r="AQ592" s="123">
        <f t="shared" si="867"/>
        <v>0</v>
      </c>
      <c r="AR592" s="123">
        <f t="shared" si="867"/>
        <v>0</v>
      </c>
      <c r="AS592" s="123">
        <f t="shared" si="867"/>
        <v>0</v>
      </c>
      <c r="AT592" s="123">
        <f t="shared" si="867"/>
        <v>0</v>
      </c>
      <c r="AU592" s="123">
        <f t="shared" si="867"/>
        <v>0</v>
      </c>
      <c r="AV592" s="123">
        <f t="shared" si="867"/>
        <v>0</v>
      </c>
      <c r="AW592" s="123">
        <f t="shared" si="867"/>
        <v>0</v>
      </c>
      <c r="AX592" s="123">
        <f t="shared" si="867"/>
        <v>0</v>
      </c>
      <c r="AY592" s="123">
        <f t="shared" si="867"/>
        <v>0</v>
      </c>
      <c r="AZ592" s="123">
        <f t="shared" si="867"/>
        <v>0</v>
      </c>
      <c r="BA592" s="159">
        <f t="shared" si="867"/>
        <v>0</v>
      </c>
    </row>
    <row r="593" spans="19:53" ht="20.100000000000001" customHeight="1">
      <c r="S593" s="211" t="s">
        <v>2880</v>
      </c>
      <c r="T593" s="960" t="s">
        <v>2879</v>
      </c>
      <c r="U593" s="131"/>
      <c r="V593" s="131"/>
      <c r="W593" s="131"/>
      <c r="X593" s="123">
        <f>IF(AND(X590&gt;($F$230+2020),X590&lt;($G$230+2022)),X591-X592,X591)</f>
        <v>364.21917808219177</v>
      </c>
      <c r="Y593" s="123">
        <f>IF(AND(Y590&gt;($F$230+2020),Y590&lt;($G$230+2022)),X593-Y592,X593*(Y591/X591))</f>
        <v>336.53852054794521</v>
      </c>
      <c r="Z593" s="123">
        <f t="shared" ref="Z593:BA593" si="868">IF(AND(Z590&gt;($F$230+2020),Z590&lt;($G$230+2022)),Y593-Z592,Y593*(Z591/Y591))</f>
        <v>310.96159298630141</v>
      </c>
      <c r="AA593" s="123">
        <f t="shared" si="868"/>
        <v>287.32851191934253</v>
      </c>
      <c r="AB593" s="123">
        <f t="shared" si="868"/>
        <v>265.49154501347249</v>
      </c>
      <c r="AC593" s="123">
        <f t="shared" si="868"/>
        <v>245.3141875924486</v>
      </c>
      <c r="AD593" s="123">
        <f t="shared" si="868"/>
        <v>226.67030933542253</v>
      </c>
      <c r="AE593" s="123">
        <f t="shared" si="868"/>
        <v>209.44336582593041</v>
      </c>
      <c r="AF593" s="123">
        <f t="shared" si="868"/>
        <v>193.52567002315971</v>
      </c>
      <c r="AG593" s="123">
        <f t="shared" si="868"/>
        <v>178.81771910139958</v>
      </c>
      <c r="AH593" s="123">
        <f t="shared" si="868"/>
        <v>167.19456735980862</v>
      </c>
      <c r="AI593" s="123">
        <f t="shared" si="868"/>
        <v>156.32692048142107</v>
      </c>
      <c r="AJ593" s="123">
        <f t="shared" si="868"/>
        <v>146.1656706501287</v>
      </c>
      <c r="AK593" s="123">
        <f t="shared" si="868"/>
        <v>136.66490205787034</v>
      </c>
      <c r="AL593" s="123">
        <f t="shared" si="868"/>
        <v>127.78168342410878</v>
      </c>
      <c r="AM593" s="123">
        <f t="shared" si="868"/>
        <v>119.47587400154171</v>
      </c>
      <c r="AN593" s="123">
        <f t="shared" si="868"/>
        <v>111.70994219144151</v>
      </c>
      <c r="AO593" s="123">
        <f t="shared" si="868"/>
        <v>104.44879594899783</v>
      </c>
      <c r="AP593" s="123">
        <f t="shared" si="868"/>
        <v>97.659624212312977</v>
      </c>
      <c r="AQ593" s="123">
        <f t="shared" si="868"/>
        <v>91.31174863851264</v>
      </c>
      <c r="AR593" s="123">
        <f t="shared" si="868"/>
        <v>85.376484977009326</v>
      </c>
      <c r="AS593" s="123">
        <f t="shared" si="868"/>
        <v>79.827013453503724</v>
      </c>
      <c r="AT593" s="123">
        <f t="shared" si="868"/>
        <v>74.638257579025989</v>
      </c>
      <c r="AU593" s="123">
        <f t="shared" si="868"/>
        <v>69.786770836389309</v>
      </c>
      <c r="AV593" s="123">
        <f t="shared" si="868"/>
        <v>65.250630732024007</v>
      </c>
      <c r="AW593" s="123">
        <f t="shared" si="868"/>
        <v>61.009339734442449</v>
      </c>
      <c r="AX593" s="123">
        <f t="shared" si="868"/>
        <v>57.043732651703692</v>
      </c>
      <c r="AY593" s="123">
        <f t="shared" si="868"/>
        <v>53.335890029342956</v>
      </c>
      <c r="AZ593" s="123">
        <f t="shared" si="868"/>
        <v>49.869057177435664</v>
      </c>
      <c r="BA593" s="159">
        <f t="shared" si="868"/>
        <v>46.627568460902346</v>
      </c>
    </row>
    <row r="594" spans="19:53" ht="20.100000000000001" customHeight="1" thickBot="1">
      <c r="S594" s="301" t="s">
        <v>2763</v>
      </c>
      <c r="T594" s="448" t="s">
        <v>2853</v>
      </c>
      <c r="U594" s="139"/>
      <c r="V594" s="139"/>
      <c r="W594" s="139"/>
      <c r="X594" s="160">
        <f>$H$228/100*X593+(100-$H$228)/100*X591</f>
        <v>364.21917808219177</v>
      </c>
      <c r="Y594" s="160">
        <f t="shared" ref="Y594:BA594" si="869">$H$228/100*Y593+(100-$H$228)/100*Y591</f>
        <v>336.53852054794521</v>
      </c>
      <c r="Z594" s="160">
        <f t="shared" si="869"/>
        <v>310.96159298630141</v>
      </c>
      <c r="AA594" s="160">
        <f t="shared" si="869"/>
        <v>287.32851191934253</v>
      </c>
      <c r="AB594" s="160">
        <f t="shared" si="869"/>
        <v>265.49154501347249</v>
      </c>
      <c r="AC594" s="160">
        <f t="shared" si="869"/>
        <v>245.3141875924486</v>
      </c>
      <c r="AD594" s="160">
        <f t="shared" si="869"/>
        <v>226.67030933542253</v>
      </c>
      <c r="AE594" s="160">
        <f t="shared" si="869"/>
        <v>209.44336582593041</v>
      </c>
      <c r="AF594" s="160">
        <f t="shared" si="869"/>
        <v>193.52567002315971</v>
      </c>
      <c r="AG594" s="160">
        <f t="shared" si="869"/>
        <v>178.81771910139958</v>
      </c>
      <c r="AH594" s="160">
        <f t="shared" si="869"/>
        <v>167.19456735980862</v>
      </c>
      <c r="AI594" s="160">
        <f t="shared" si="869"/>
        <v>156.32692048142107</v>
      </c>
      <c r="AJ594" s="160">
        <f t="shared" si="869"/>
        <v>146.1656706501287</v>
      </c>
      <c r="AK594" s="160">
        <f t="shared" si="869"/>
        <v>136.66490205787034</v>
      </c>
      <c r="AL594" s="160">
        <f t="shared" si="869"/>
        <v>127.78168342410878</v>
      </c>
      <c r="AM594" s="160">
        <f t="shared" si="869"/>
        <v>119.47587400154171</v>
      </c>
      <c r="AN594" s="160">
        <f t="shared" si="869"/>
        <v>111.70994219144151</v>
      </c>
      <c r="AO594" s="160">
        <f t="shared" si="869"/>
        <v>104.44879594899783</v>
      </c>
      <c r="AP594" s="160">
        <f t="shared" si="869"/>
        <v>97.659624212312977</v>
      </c>
      <c r="AQ594" s="160">
        <f t="shared" si="869"/>
        <v>91.31174863851264</v>
      </c>
      <c r="AR594" s="160">
        <f t="shared" si="869"/>
        <v>85.376484977009326</v>
      </c>
      <c r="AS594" s="160">
        <f t="shared" si="869"/>
        <v>79.827013453503724</v>
      </c>
      <c r="AT594" s="160">
        <f t="shared" si="869"/>
        <v>74.638257579025989</v>
      </c>
      <c r="AU594" s="160">
        <f t="shared" si="869"/>
        <v>69.786770836389309</v>
      </c>
      <c r="AV594" s="160">
        <f t="shared" si="869"/>
        <v>65.250630732024007</v>
      </c>
      <c r="AW594" s="160">
        <f t="shared" si="869"/>
        <v>61.009339734442449</v>
      </c>
      <c r="AX594" s="160">
        <f t="shared" si="869"/>
        <v>57.043732651703692</v>
      </c>
      <c r="AY594" s="160">
        <f t="shared" si="869"/>
        <v>53.335890029342956</v>
      </c>
      <c r="AZ594" s="160">
        <f t="shared" si="869"/>
        <v>49.869057177435664</v>
      </c>
      <c r="BA594" s="161">
        <f t="shared" si="869"/>
        <v>46.627568460902346</v>
      </c>
    </row>
    <row r="597" spans="19:53" ht="20.100000000000001" customHeight="1" thickBot="1"/>
    <row r="598" spans="19:53" ht="20.100000000000001" customHeight="1">
      <c r="S598" s="299" t="s">
        <v>55</v>
      </c>
      <c r="T598" s="138"/>
      <c r="U598" s="138"/>
      <c r="V598" s="138"/>
      <c r="W598" s="138"/>
      <c r="X598" s="956">
        <v>2021</v>
      </c>
      <c r="Y598" s="956">
        <v>2022</v>
      </c>
      <c r="Z598" s="956">
        <v>2023</v>
      </c>
      <c r="AA598" s="956">
        <v>2024</v>
      </c>
      <c r="AB598" s="956">
        <v>2025</v>
      </c>
      <c r="AC598" s="956">
        <v>2026</v>
      </c>
      <c r="AD598" s="956">
        <v>2027</v>
      </c>
      <c r="AE598" s="956">
        <v>2028</v>
      </c>
      <c r="AF598" s="956">
        <v>2029</v>
      </c>
      <c r="AG598" s="956">
        <v>2030</v>
      </c>
      <c r="AH598" s="956">
        <v>2031</v>
      </c>
      <c r="AI598" s="956">
        <v>2032</v>
      </c>
      <c r="AJ598" s="956">
        <v>2033</v>
      </c>
      <c r="AK598" s="956">
        <v>2034</v>
      </c>
      <c r="AL598" s="956">
        <v>2035</v>
      </c>
      <c r="AM598" s="956">
        <v>2036</v>
      </c>
      <c r="AN598" s="956">
        <v>2037</v>
      </c>
      <c r="AO598" s="956">
        <v>2038</v>
      </c>
      <c r="AP598" s="956">
        <v>2039</v>
      </c>
      <c r="AQ598" s="956">
        <v>2040</v>
      </c>
      <c r="AR598" s="956">
        <v>2041</v>
      </c>
      <c r="AS598" s="956">
        <v>2042</v>
      </c>
      <c r="AT598" s="956">
        <v>2043</v>
      </c>
      <c r="AU598" s="956">
        <v>2044</v>
      </c>
      <c r="AV598" s="956">
        <v>2045</v>
      </c>
      <c r="AW598" s="956">
        <v>2046</v>
      </c>
      <c r="AX598" s="956">
        <v>2047</v>
      </c>
      <c r="AY598" s="956">
        <v>2048</v>
      </c>
      <c r="AZ598" s="956">
        <v>2049</v>
      </c>
      <c r="BA598" s="153">
        <v>2050</v>
      </c>
    </row>
    <row r="599" spans="19:53" ht="20.100000000000001" customHeight="1">
      <c r="S599" s="101" t="s">
        <v>2867</v>
      </c>
      <c r="T599" s="383" t="s">
        <v>2866</v>
      </c>
      <c r="U599" s="131"/>
      <c r="V599" s="131"/>
      <c r="W599" s="131"/>
      <c r="X599" s="195">
        <f>X387/INDEX('DEFAULT DATA'!$IX$9:$IX$41,START!$C$3,1)</f>
        <v>0</v>
      </c>
      <c r="Y599" s="195">
        <f>Y387/INDEX('DEFAULT DATA'!$IX$9:$IX$41,START!$C$3,1)</f>
        <v>1.8040111548173658</v>
      </c>
      <c r="Z599" s="195">
        <f>Z387/INDEX('DEFAULT DATA'!$IX$9:$IX$41,START!$C$3,1)</f>
        <v>1.8310713221396264</v>
      </c>
      <c r="AA599" s="195">
        <f>AA387/INDEX('DEFAULT DATA'!$IX$9:$IX$41,START!$C$3,1)</f>
        <v>1.8585373919717207</v>
      </c>
      <c r="AB599" s="195">
        <f>AB387/INDEX('DEFAULT DATA'!$IX$9:$IX$41,START!$C$3,1)</f>
        <v>1.8864154528512969</v>
      </c>
      <c r="AC599" s="195">
        <f>AC387/INDEX('DEFAULT DATA'!$IX$9:$IX$41,START!$C$3,1)</f>
        <v>1.9147116846440662</v>
      </c>
      <c r="AD599" s="195">
        <f>AD387/INDEX('DEFAULT DATA'!$IX$9:$IX$41,START!$C$3,1)</f>
        <v>1.9434323599137273</v>
      </c>
      <c r="AE599" s="195">
        <f>AE387/INDEX('DEFAULT DATA'!$IX$9:$IX$41,START!$C$3,1)</f>
        <v>1.9725838453124331</v>
      </c>
      <c r="AF599" s="195">
        <f>AF387/INDEX('DEFAULT DATA'!$IX$9:$IX$41,START!$C$3,1)</f>
        <v>2.0021726029921196</v>
      </c>
      <c r="AG599" s="195">
        <f>AG387/INDEX('DEFAULT DATA'!$IX$9:$IX$41,START!$C$3,1)</f>
        <v>2.0322051920370017</v>
      </c>
      <c r="AH599" s="195">
        <f>AH387/INDEX('DEFAULT DATA'!$IX$9:$IX$41,START!$C$3,1)</f>
        <v>2.0606560647255199</v>
      </c>
      <c r="AI599" s="195">
        <f>AI387/INDEX('DEFAULT DATA'!$IX$9:$IX$41,START!$C$3,1)</f>
        <v>2.0895052496316775</v>
      </c>
      <c r="AJ599" s="195">
        <f>AJ387/INDEX('DEFAULT DATA'!$IX$9:$IX$41,START!$C$3,1)</f>
        <v>2.1187583231265212</v>
      </c>
      <c r="AK599" s="195">
        <f>AK387/INDEX('DEFAULT DATA'!$IX$9:$IX$41,START!$C$3,1)</f>
        <v>2.1484209396502929</v>
      </c>
      <c r="AL599" s="195">
        <f>AL387/INDEX('DEFAULT DATA'!$IX$9:$IX$41,START!$C$3,1)</f>
        <v>2.1784988328053969</v>
      </c>
      <c r="AM599" s="195">
        <f>AM387/INDEX('DEFAULT DATA'!$IX$9:$IX$41,START!$C$3,1)</f>
        <v>2.2089978164646724</v>
      </c>
      <c r="AN599" s="195">
        <f>AN387/INDEX('DEFAULT DATA'!$IX$9:$IX$41,START!$C$3,1)</f>
        <v>2.2399237858951779</v>
      </c>
      <c r="AO599" s="195">
        <f>AO387/INDEX('DEFAULT DATA'!$IX$9:$IX$41,START!$C$3,1)</f>
        <v>2.2712827188977105</v>
      </c>
      <c r="AP599" s="195">
        <f>AP387/INDEX('DEFAULT DATA'!$IX$9:$IX$41,START!$C$3,1)</f>
        <v>2.3030806769622787</v>
      </c>
      <c r="AQ599" s="195">
        <f>AQ387/INDEX('DEFAULT DATA'!$IX$9:$IX$41,START!$C$3,1)</f>
        <v>2.3353238064397508</v>
      </c>
      <c r="AR599" s="195">
        <f>AR387/INDEX('DEFAULT DATA'!$IX$9:$IX$41,START!$C$3,1)</f>
        <v>2.3680183397299075</v>
      </c>
      <c r="AS599" s="195">
        <f>AS387/INDEX('DEFAULT DATA'!$IX$9:$IX$41,START!$C$3,1)</f>
        <v>2.4011705964861263</v>
      </c>
      <c r="AT599" s="195">
        <f>AT387/INDEX('DEFAULT DATA'!$IX$9:$IX$41,START!$C$3,1)</f>
        <v>2.4347869848369323</v>
      </c>
      <c r="AU599" s="195">
        <f>AU387/INDEX('DEFAULT DATA'!$IX$9:$IX$41,START!$C$3,1)</f>
        <v>2.4688740026246494</v>
      </c>
      <c r="AV599" s="195">
        <f>AV387/INDEX('DEFAULT DATA'!$IX$9:$IX$41,START!$C$3,1)</f>
        <v>2.5034382386613947</v>
      </c>
      <c r="AW599" s="195">
        <f>AW387/INDEX('DEFAULT DATA'!$IX$9:$IX$41,START!$C$3,1)</f>
        <v>2.5384863740026544</v>
      </c>
      <c r="AX599" s="195">
        <f>AX387/INDEX('DEFAULT DATA'!$IX$9:$IX$41,START!$C$3,1)</f>
        <v>2.5740251832386916</v>
      </c>
      <c r="AY599" s="195">
        <f>AY387/INDEX('DEFAULT DATA'!$IX$9:$IX$41,START!$C$3,1)</f>
        <v>2.6100615358040336</v>
      </c>
      <c r="AZ599" s="195">
        <f>AZ387/INDEX('DEFAULT DATA'!$IX$9:$IX$41,START!$C$3,1)</f>
        <v>2.6466023973052906</v>
      </c>
      <c r="BA599" s="707">
        <f>BA387/INDEX('DEFAULT DATA'!$IX$9:$IX$41,START!$C$3,1)</f>
        <v>2.6836548308675647</v>
      </c>
    </row>
    <row r="600" spans="19:53" ht="20.100000000000001" customHeight="1">
      <c r="S600" s="101" t="s">
        <v>2868</v>
      </c>
      <c r="T600" s="958" t="s">
        <v>2874</v>
      </c>
      <c r="U600" s="959"/>
      <c r="V600" s="131"/>
      <c r="W600" s="131"/>
      <c r="X600" s="195">
        <f>INDEX('DEFAULT DATA'!$JA$9:$JA$41,START!$C$3,1)/100*X594*INDEX('DEFAULT DATA'!$IZ$9:$IZ$41,START!$C$3,1)</f>
        <v>2301.865205479452</v>
      </c>
      <c r="Y600" s="195">
        <f>INDEX('DEFAULT DATA'!$JA$9:$JA$41,START!$C$3,1)/100*Y594*INDEX('DEFAULT DATA'!$IZ$9:$IZ$41,START!$C$3,1)</f>
        <v>2126.923449863014</v>
      </c>
      <c r="Z600" s="195">
        <f>INDEX('DEFAULT DATA'!$JA$9:$JA$41,START!$C$3,1)/100*Z594*INDEX('DEFAULT DATA'!$IZ$9:$IZ$41,START!$C$3,1)</f>
        <v>1965.2772676734251</v>
      </c>
      <c r="AA600" s="195">
        <f>INDEX('DEFAULT DATA'!$JA$9:$JA$41,START!$C$3,1)/100*AA594*INDEX('DEFAULT DATA'!$IZ$9:$IZ$41,START!$C$3,1)</f>
        <v>1815.9161953302448</v>
      </c>
      <c r="AB600" s="195">
        <f>INDEX('DEFAULT DATA'!$JA$9:$JA$41,START!$C$3,1)/100*AB594*INDEX('DEFAULT DATA'!$IZ$9:$IZ$41,START!$C$3,1)</f>
        <v>1677.9065644851462</v>
      </c>
      <c r="AC600" s="195">
        <f>INDEX('DEFAULT DATA'!$JA$9:$JA$41,START!$C$3,1)/100*AC594*INDEX('DEFAULT DATA'!$IZ$9:$IZ$41,START!$C$3,1)</f>
        <v>1550.3856655842753</v>
      </c>
      <c r="AD600" s="195">
        <f>INDEX('DEFAULT DATA'!$JA$9:$JA$41,START!$C$3,1)/100*AD594*INDEX('DEFAULT DATA'!$IZ$9:$IZ$41,START!$C$3,1)</f>
        <v>1432.5563549998706</v>
      </c>
      <c r="AE600" s="195">
        <f>INDEX('DEFAULT DATA'!$JA$9:$JA$41,START!$C$3,1)/100*AE594*INDEX('DEFAULT DATA'!$IZ$9:$IZ$41,START!$C$3,1)</f>
        <v>1323.6820720198803</v>
      </c>
      <c r="AF600" s="195">
        <f>INDEX('DEFAULT DATA'!$JA$9:$JA$41,START!$C$3,1)/100*AF594*INDEX('DEFAULT DATA'!$IZ$9:$IZ$41,START!$C$3,1)</f>
        <v>1223.0822345463694</v>
      </c>
      <c r="AG600" s="195">
        <f>INDEX('DEFAULT DATA'!$JA$9:$JA$41,START!$C$3,1)/100*AG594*INDEX('DEFAULT DATA'!$IZ$9:$IZ$41,START!$C$3,1)</f>
        <v>1130.1279847208455</v>
      </c>
      <c r="AH600" s="195">
        <f>INDEX('DEFAULT DATA'!$JA$9:$JA$41,START!$C$3,1)/100*AH594*INDEX('DEFAULT DATA'!$IZ$9:$IZ$41,START!$C$3,1)</f>
        <v>1056.6696657139905</v>
      </c>
      <c r="AI600" s="195">
        <f>INDEX('DEFAULT DATA'!$JA$9:$JA$41,START!$C$3,1)/100*AI594*INDEX('DEFAULT DATA'!$IZ$9:$IZ$41,START!$C$3,1)</f>
        <v>987.98613744258125</v>
      </c>
      <c r="AJ600" s="195">
        <f>INDEX('DEFAULT DATA'!$JA$9:$JA$41,START!$C$3,1)/100*AJ594*INDEX('DEFAULT DATA'!$IZ$9:$IZ$41,START!$C$3,1)</f>
        <v>923.76703850881347</v>
      </c>
      <c r="AK600" s="195">
        <f>INDEX('DEFAULT DATA'!$JA$9:$JA$41,START!$C$3,1)/100*AK594*INDEX('DEFAULT DATA'!$IZ$9:$IZ$41,START!$C$3,1)</f>
        <v>863.72218100574059</v>
      </c>
      <c r="AL600" s="195">
        <f>INDEX('DEFAULT DATA'!$JA$9:$JA$41,START!$C$3,1)/100*AL594*INDEX('DEFAULT DATA'!$IZ$9:$IZ$41,START!$C$3,1)</f>
        <v>807.58023924036752</v>
      </c>
      <c r="AM600" s="195">
        <f>INDEX('DEFAULT DATA'!$JA$9:$JA$41,START!$C$3,1)/100*AM594*INDEX('DEFAULT DATA'!$IZ$9:$IZ$41,START!$C$3,1)</f>
        <v>755.08752368974365</v>
      </c>
      <c r="AN600" s="195">
        <f>INDEX('DEFAULT DATA'!$JA$9:$JA$41,START!$C$3,1)/100*AN594*INDEX('DEFAULT DATA'!$IZ$9:$IZ$41,START!$C$3,1)</f>
        <v>706.00683464991039</v>
      </c>
      <c r="AO600" s="195">
        <f>INDEX('DEFAULT DATA'!$JA$9:$JA$41,START!$C$3,1)/100*AO594*INDEX('DEFAULT DATA'!$IZ$9:$IZ$41,START!$C$3,1)</f>
        <v>660.11639039766635</v>
      </c>
      <c r="AP600" s="195">
        <f>INDEX('DEFAULT DATA'!$JA$9:$JA$41,START!$C$3,1)/100*AP594*INDEX('DEFAULT DATA'!$IZ$9:$IZ$41,START!$C$3,1)</f>
        <v>617.20882502181803</v>
      </c>
      <c r="AQ600" s="195">
        <f>INDEX('DEFAULT DATA'!$JA$9:$JA$41,START!$C$3,1)/100*AQ594*INDEX('DEFAULT DATA'!$IZ$9:$IZ$41,START!$C$3,1)</f>
        <v>577.09025139539995</v>
      </c>
      <c r="AR600" s="195">
        <f>INDEX('DEFAULT DATA'!$JA$9:$JA$41,START!$C$3,1)/100*AR594*INDEX('DEFAULT DATA'!$IZ$9:$IZ$41,START!$C$3,1)</f>
        <v>539.57938505469895</v>
      </c>
      <c r="AS600" s="195">
        <f>INDEX('DEFAULT DATA'!$JA$9:$JA$41,START!$C$3,1)/100*AS594*INDEX('DEFAULT DATA'!$IZ$9:$IZ$41,START!$C$3,1)</f>
        <v>504.50672502614356</v>
      </c>
      <c r="AT600" s="195">
        <f>INDEX('DEFAULT DATA'!$JA$9:$JA$41,START!$C$3,1)/100*AT594*INDEX('DEFAULT DATA'!$IZ$9:$IZ$41,START!$C$3,1)</f>
        <v>471.7137878994443</v>
      </c>
      <c r="AU600" s="195">
        <f>INDEX('DEFAULT DATA'!$JA$9:$JA$41,START!$C$3,1)/100*AU594*INDEX('DEFAULT DATA'!$IZ$9:$IZ$41,START!$C$3,1)</f>
        <v>441.05239168598047</v>
      </c>
      <c r="AV600" s="195">
        <f>INDEX('DEFAULT DATA'!$JA$9:$JA$41,START!$C$3,1)/100*AV594*INDEX('DEFAULT DATA'!$IZ$9:$IZ$41,START!$C$3,1)</f>
        <v>412.38398622639176</v>
      </c>
      <c r="AW600" s="195">
        <f>INDEX('DEFAULT DATA'!$JA$9:$JA$41,START!$C$3,1)/100*AW594*INDEX('DEFAULT DATA'!$IZ$9:$IZ$41,START!$C$3,1)</f>
        <v>385.57902712167629</v>
      </c>
      <c r="AX600" s="195">
        <f>INDEX('DEFAULT DATA'!$JA$9:$JA$41,START!$C$3,1)/100*AX594*INDEX('DEFAULT DATA'!$IZ$9:$IZ$41,START!$C$3,1)</f>
        <v>360.51639035876735</v>
      </c>
      <c r="AY600" s="195">
        <f>INDEX('DEFAULT DATA'!$JA$9:$JA$41,START!$C$3,1)/100*AY594*INDEX('DEFAULT DATA'!$IZ$9:$IZ$41,START!$C$3,1)</f>
        <v>337.08282498544747</v>
      </c>
      <c r="AZ600" s="195">
        <f>INDEX('DEFAULT DATA'!$JA$9:$JA$41,START!$C$3,1)/100*AZ594*INDEX('DEFAULT DATA'!$IZ$9:$IZ$41,START!$C$3,1)</f>
        <v>315.1724413613934</v>
      </c>
      <c r="BA600" s="707">
        <f>INDEX('DEFAULT DATA'!$JA$9:$JA$41,START!$C$3,1)/100*BA594*INDEX('DEFAULT DATA'!$IZ$9:$IZ$41,START!$C$3,1)</f>
        <v>294.68623267290286</v>
      </c>
    </row>
    <row r="601" spans="19:53" ht="20.100000000000001" customHeight="1">
      <c r="S601" s="101" t="s">
        <v>2869</v>
      </c>
      <c r="T601" s="958" t="s">
        <v>2873</v>
      </c>
      <c r="U601" s="959"/>
      <c r="V601" s="131"/>
      <c r="W601" s="131"/>
      <c r="X601" s="195">
        <f>(100-INDEX('DEFAULT DATA'!$JA$9:$JA$41,START!$C$3,1))/100*INDEX('DEFAULT DATA'!$IY$9:$IY$41,START!$C$3,1)</f>
        <v>1323.54000000001</v>
      </c>
      <c r="Y601" s="195">
        <f>(100-INDEX('DEFAULT DATA'!$JA$9:$JA$41,START!$C$3,1))/100*INDEX('DEFAULT DATA'!$IY$9:$IY$41,START!$C$3,1)</f>
        <v>1323.54000000001</v>
      </c>
      <c r="Z601" s="195">
        <f>(100-INDEX('DEFAULT DATA'!$JA$9:$JA$41,START!$C$3,1))/100*INDEX('DEFAULT DATA'!$IY$9:$IY$41,START!$C$3,1)</f>
        <v>1323.54000000001</v>
      </c>
      <c r="AA601" s="195">
        <f>(100-INDEX('DEFAULT DATA'!$JA$9:$JA$41,START!$C$3,1))/100*INDEX('DEFAULT DATA'!$IY$9:$IY$41,START!$C$3,1)</f>
        <v>1323.54000000001</v>
      </c>
      <c r="AB601" s="195">
        <f>(100-INDEX('DEFAULT DATA'!$JA$9:$JA$41,START!$C$3,1))/100*INDEX('DEFAULT DATA'!$IY$9:$IY$41,START!$C$3,1)</f>
        <v>1323.54000000001</v>
      </c>
      <c r="AC601" s="195">
        <f>(100-INDEX('DEFAULT DATA'!$JA$9:$JA$41,START!$C$3,1))/100*INDEX('DEFAULT DATA'!$IY$9:$IY$41,START!$C$3,1)</f>
        <v>1323.54000000001</v>
      </c>
      <c r="AD601" s="195">
        <f>(100-INDEX('DEFAULT DATA'!$JA$9:$JA$41,START!$C$3,1))/100*INDEX('DEFAULT DATA'!$IY$9:$IY$41,START!$C$3,1)</f>
        <v>1323.54000000001</v>
      </c>
      <c r="AE601" s="195">
        <f>(100-INDEX('DEFAULT DATA'!$JA$9:$JA$41,START!$C$3,1))/100*INDEX('DEFAULT DATA'!$IY$9:$IY$41,START!$C$3,1)</f>
        <v>1323.54000000001</v>
      </c>
      <c r="AF601" s="195">
        <f>(100-INDEX('DEFAULT DATA'!$JA$9:$JA$41,START!$C$3,1))/100*INDEX('DEFAULT DATA'!$IY$9:$IY$41,START!$C$3,1)</f>
        <v>1323.54000000001</v>
      </c>
      <c r="AG601" s="195">
        <f>(100-INDEX('DEFAULT DATA'!$JA$9:$JA$41,START!$C$3,1))/100*INDEX('DEFAULT DATA'!$IY$9:$IY$41,START!$C$3,1)</f>
        <v>1323.54000000001</v>
      </c>
      <c r="AH601" s="195">
        <f>(100-INDEX('DEFAULT DATA'!$JA$9:$JA$41,START!$C$3,1))/100*INDEX('DEFAULT DATA'!$IY$9:$IY$41,START!$C$3,1)</f>
        <v>1323.54000000001</v>
      </c>
      <c r="AI601" s="195">
        <f>(100-INDEX('DEFAULT DATA'!$JA$9:$JA$41,START!$C$3,1))/100*INDEX('DEFAULT DATA'!$IY$9:$IY$41,START!$C$3,1)</f>
        <v>1323.54000000001</v>
      </c>
      <c r="AJ601" s="195">
        <f>(100-INDEX('DEFAULT DATA'!$JA$9:$JA$41,START!$C$3,1))/100*INDEX('DEFAULT DATA'!$IY$9:$IY$41,START!$C$3,1)</f>
        <v>1323.54000000001</v>
      </c>
      <c r="AK601" s="195">
        <f>(100-INDEX('DEFAULT DATA'!$JA$9:$JA$41,START!$C$3,1))/100*INDEX('DEFAULT DATA'!$IY$9:$IY$41,START!$C$3,1)</f>
        <v>1323.54000000001</v>
      </c>
      <c r="AL601" s="195">
        <f>(100-INDEX('DEFAULT DATA'!$JA$9:$JA$41,START!$C$3,1))/100*INDEX('DEFAULT DATA'!$IY$9:$IY$41,START!$C$3,1)</f>
        <v>1323.54000000001</v>
      </c>
      <c r="AM601" s="195">
        <f>(100-INDEX('DEFAULT DATA'!$JA$9:$JA$41,START!$C$3,1))/100*INDEX('DEFAULT DATA'!$IY$9:$IY$41,START!$C$3,1)</f>
        <v>1323.54000000001</v>
      </c>
      <c r="AN601" s="195">
        <f>(100-INDEX('DEFAULT DATA'!$JA$9:$JA$41,START!$C$3,1))/100*INDEX('DEFAULT DATA'!$IY$9:$IY$41,START!$C$3,1)</f>
        <v>1323.54000000001</v>
      </c>
      <c r="AO601" s="195">
        <f>(100-INDEX('DEFAULT DATA'!$JA$9:$JA$41,START!$C$3,1))/100*INDEX('DEFAULT DATA'!$IY$9:$IY$41,START!$C$3,1)</f>
        <v>1323.54000000001</v>
      </c>
      <c r="AP601" s="195">
        <f>(100-INDEX('DEFAULT DATA'!$JA$9:$JA$41,START!$C$3,1))/100*INDEX('DEFAULT DATA'!$IY$9:$IY$41,START!$C$3,1)</f>
        <v>1323.54000000001</v>
      </c>
      <c r="AQ601" s="195">
        <f>(100-INDEX('DEFAULT DATA'!$JA$9:$JA$41,START!$C$3,1))/100*INDEX('DEFAULT DATA'!$IY$9:$IY$41,START!$C$3,1)</f>
        <v>1323.54000000001</v>
      </c>
      <c r="AR601" s="195">
        <f>(100-INDEX('DEFAULT DATA'!$JA$9:$JA$41,START!$C$3,1))/100*INDEX('DEFAULT DATA'!$IY$9:$IY$41,START!$C$3,1)</f>
        <v>1323.54000000001</v>
      </c>
      <c r="AS601" s="195">
        <f>(100-INDEX('DEFAULT DATA'!$JA$9:$JA$41,START!$C$3,1))/100*INDEX('DEFAULT DATA'!$IY$9:$IY$41,START!$C$3,1)</f>
        <v>1323.54000000001</v>
      </c>
      <c r="AT601" s="195">
        <f>(100-INDEX('DEFAULT DATA'!$JA$9:$JA$41,START!$C$3,1))/100*INDEX('DEFAULT DATA'!$IY$9:$IY$41,START!$C$3,1)</f>
        <v>1323.54000000001</v>
      </c>
      <c r="AU601" s="195">
        <f>(100-INDEX('DEFAULT DATA'!$JA$9:$JA$41,START!$C$3,1))/100*INDEX('DEFAULT DATA'!$IY$9:$IY$41,START!$C$3,1)</f>
        <v>1323.54000000001</v>
      </c>
      <c r="AV601" s="195">
        <f>(100-INDEX('DEFAULT DATA'!$JA$9:$JA$41,START!$C$3,1))/100*INDEX('DEFAULT DATA'!$IY$9:$IY$41,START!$C$3,1)</f>
        <v>1323.54000000001</v>
      </c>
      <c r="AW601" s="195">
        <f>(100-INDEX('DEFAULT DATA'!$JA$9:$JA$41,START!$C$3,1))/100*INDEX('DEFAULT DATA'!$IY$9:$IY$41,START!$C$3,1)</f>
        <v>1323.54000000001</v>
      </c>
      <c r="AX601" s="195">
        <f>(100-INDEX('DEFAULT DATA'!$JA$9:$JA$41,START!$C$3,1))/100*INDEX('DEFAULT DATA'!$IY$9:$IY$41,START!$C$3,1)</f>
        <v>1323.54000000001</v>
      </c>
      <c r="AY601" s="195">
        <f>(100-INDEX('DEFAULT DATA'!$JA$9:$JA$41,START!$C$3,1))/100*INDEX('DEFAULT DATA'!$IY$9:$IY$41,START!$C$3,1)</f>
        <v>1323.54000000001</v>
      </c>
      <c r="AZ601" s="195">
        <f>(100-INDEX('DEFAULT DATA'!$JA$9:$JA$41,START!$C$3,1))/100*INDEX('DEFAULT DATA'!$IY$9:$IY$41,START!$C$3,1)</f>
        <v>1323.54000000001</v>
      </c>
      <c r="BA601" s="707">
        <f>(100-INDEX('DEFAULT DATA'!$JA$9:$JA$41,START!$C$3,1))/100*INDEX('DEFAULT DATA'!$IY$9:$IY$41,START!$C$3,1)</f>
        <v>1323.54000000001</v>
      </c>
    </row>
    <row r="602" spans="19:53" ht="20.100000000000001" customHeight="1">
      <c r="S602" s="101" t="s">
        <v>2871</v>
      </c>
      <c r="T602" s="383" t="s">
        <v>2872</v>
      </c>
      <c r="U602" s="131"/>
      <c r="V602" s="131"/>
      <c r="W602" s="131"/>
      <c r="X602" s="195">
        <f>SUM(X600:X601)</f>
        <v>3625.405205479462</v>
      </c>
      <c r="Y602" s="195">
        <f>SUM(Y600:Y601)</f>
        <v>3450.4634498630239</v>
      </c>
      <c r="Z602" s="195">
        <f t="shared" ref="Z602:BA602" si="870">SUM(Z600:Z601)</f>
        <v>3288.8172676734348</v>
      </c>
      <c r="AA602" s="195">
        <f t="shared" si="870"/>
        <v>3139.4561953302546</v>
      </c>
      <c r="AB602" s="195">
        <f t="shared" si="870"/>
        <v>3001.4465644851562</v>
      </c>
      <c r="AC602" s="195">
        <f t="shared" si="870"/>
        <v>2873.9256655842855</v>
      </c>
      <c r="AD602" s="195">
        <f t="shared" si="870"/>
        <v>2756.0963549998805</v>
      </c>
      <c r="AE602" s="195">
        <f t="shared" si="870"/>
        <v>2647.2220720198902</v>
      </c>
      <c r="AF602" s="195">
        <f t="shared" si="870"/>
        <v>2546.6222345463793</v>
      </c>
      <c r="AG602" s="195">
        <f t="shared" si="870"/>
        <v>2453.6679847208552</v>
      </c>
      <c r="AH602" s="195">
        <f t="shared" si="870"/>
        <v>2380.2096657140005</v>
      </c>
      <c r="AI602" s="195">
        <f t="shared" si="870"/>
        <v>2311.5261374425913</v>
      </c>
      <c r="AJ602" s="195">
        <f t="shared" si="870"/>
        <v>2247.3070385088236</v>
      </c>
      <c r="AK602" s="195">
        <f t="shared" si="870"/>
        <v>2187.2621810057508</v>
      </c>
      <c r="AL602" s="195">
        <f t="shared" si="870"/>
        <v>2131.1202392403775</v>
      </c>
      <c r="AM602" s="195">
        <f t="shared" si="870"/>
        <v>2078.6275236897536</v>
      </c>
      <c r="AN602" s="195">
        <f t="shared" si="870"/>
        <v>2029.5468346499204</v>
      </c>
      <c r="AO602" s="195">
        <f t="shared" si="870"/>
        <v>1983.6563903976762</v>
      </c>
      <c r="AP602" s="195">
        <f t="shared" si="870"/>
        <v>1940.748825021828</v>
      </c>
      <c r="AQ602" s="195">
        <f t="shared" si="870"/>
        <v>1900.6302513954099</v>
      </c>
      <c r="AR602" s="195">
        <f t="shared" si="870"/>
        <v>1863.1193850547088</v>
      </c>
      <c r="AS602" s="195">
        <f t="shared" si="870"/>
        <v>1828.0467250261536</v>
      </c>
      <c r="AT602" s="195">
        <f t="shared" si="870"/>
        <v>1795.2537878994542</v>
      </c>
      <c r="AU602" s="195">
        <f t="shared" si="870"/>
        <v>1764.5923916859904</v>
      </c>
      <c r="AV602" s="195">
        <f t="shared" si="870"/>
        <v>1735.9239862264017</v>
      </c>
      <c r="AW602" s="195">
        <f t="shared" si="870"/>
        <v>1709.1190271216863</v>
      </c>
      <c r="AX602" s="195">
        <f t="shared" si="870"/>
        <v>1684.0563903587772</v>
      </c>
      <c r="AY602" s="195">
        <f t="shared" si="870"/>
        <v>1660.6228249854576</v>
      </c>
      <c r="AZ602" s="195">
        <f t="shared" si="870"/>
        <v>1638.7124413614033</v>
      </c>
      <c r="BA602" s="707">
        <f t="shared" si="870"/>
        <v>1618.2262326729128</v>
      </c>
    </row>
    <row r="603" spans="19:53" ht="20.100000000000001" customHeight="1" thickBot="1">
      <c r="S603" s="301" t="s">
        <v>2905</v>
      </c>
      <c r="T603" s="448" t="s">
        <v>2890</v>
      </c>
      <c r="U603" s="139"/>
      <c r="V603" s="139"/>
      <c r="W603" s="139"/>
      <c r="X603" s="197">
        <f>X599*X602/1000</f>
        <v>0</v>
      </c>
      <c r="Y603" s="197">
        <f>Y599*Y602/1000</f>
        <v>6.2246745528425063</v>
      </c>
      <c r="Z603" s="197">
        <f t="shared" ref="Z603:BA603" si="871">Z599*Z602/1000</f>
        <v>6.0220589825944302</v>
      </c>
      <c r="AA603" s="197">
        <f t="shared" si="871"/>
        <v>5.8347967294785521</v>
      </c>
      <c r="AB603" s="197">
        <f t="shared" si="871"/>
        <v>5.6619751801522353</v>
      </c>
      <c r="AC603" s="197">
        <f t="shared" si="871"/>
        <v>5.5027390526927062</v>
      </c>
      <c r="AD603" s="197">
        <f t="shared" si="871"/>
        <v>5.3562868433470392</v>
      </c>
      <c r="AE603" s="197">
        <f t="shared" si="871"/>
        <v>5.221867494220942</v>
      </c>
      <c r="AF603" s="197">
        <f t="shared" si="871"/>
        <v>5.0987772681793322</v>
      </c>
      <c r="AG603" s="197">
        <f t="shared" si="871"/>
        <v>4.9863568180846887</v>
      </c>
      <c r="AH603" s="197">
        <f t="shared" si="871"/>
        <v>4.9047934829718569</v>
      </c>
      <c r="AI603" s="197">
        <f t="shared" si="871"/>
        <v>4.8299459988471289</v>
      </c>
      <c r="AJ603" s="197">
        <f t="shared" si="871"/>
        <v>4.7615004924613835</v>
      </c>
      <c r="AK603" s="197">
        <f t="shared" si="871"/>
        <v>4.6991598701779242</v>
      </c>
      <c r="AL603" s="197">
        <f t="shared" si="871"/>
        <v>4.6426429537531204</v>
      </c>
      <c r="AM603" s="197">
        <f t="shared" si="871"/>
        <v>4.5916836610740344</v>
      </c>
      <c r="AN603" s="197">
        <f t="shared" si="871"/>
        <v>4.5460302295206247</v>
      </c>
      <c r="AO603" s="197">
        <f t="shared" si="871"/>
        <v>4.5054444797412527</v>
      </c>
      <c r="AP603" s="197">
        <f t="shared" si="871"/>
        <v>4.4697011177450188</v>
      </c>
      <c r="AQ603" s="197">
        <f t="shared" si="871"/>
        <v>4.4385870733232693</v>
      </c>
      <c r="AR603" s="197">
        <f t="shared" si="871"/>
        <v>4.411900872915858</v>
      </c>
      <c r="AS603" s="197">
        <f t="shared" si="871"/>
        <v>4.3894520451355596</v>
      </c>
      <c r="AT603" s="197">
        <f t="shared" si="871"/>
        <v>4.3710605572567935</v>
      </c>
      <c r="AU603" s="197">
        <f t="shared" si="871"/>
        <v>4.3565562810627947</v>
      </c>
      <c r="AV603" s="197">
        <f t="shared" si="871"/>
        <v>4.3457784865286904</v>
      </c>
      <c r="AW603" s="197">
        <f t="shared" si="871"/>
        <v>4.3385753618970737</v>
      </c>
      <c r="AX603" s="197">
        <f t="shared" si="871"/>
        <v>4.3348035587775415</v>
      </c>
      <c r="AY603" s="197">
        <f t="shared" si="871"/>
        <v>4.3343277609727764</v>
      </c>
      <c r="AZ603" s="197">
        <f t="shared" si="871"/>
        <v>4.3370202758010956</v>
      </c>
      <c r="BA603" s="566">
        <f t="shared" si="871"/>
        <v>4.3427606467492827</v>
      </c>
    </row>
    <row r="604" spans="19:53" ht="20.100000000000001" customHeight="1">
      <c r="T604" s="82"/>
      <c r="U604" s="82"/>
      <c r="V604" s="82"/>
      <c r="W604" s="82"/>
      <c r="X604" s="82"/>
    </row>
    <row r="605" spans="19:53" ht="20.100000000000001" customHeight="1" thickBot="1">
      <c r="T605" s="82"/>
      <c r="U605" s="82"/>
      <c r="V605" s="82"/>
      <c r="W605" s="82"/>
      <c r="X605" s="82"/>
    </row>
    <row r="606" spans="19:53" ht="20.100000000000001" customHeight="1">
      <c r="S606" s="299" t="s">
        <v>1788</v>
      </c>
      <c r="T606" s="138"/>
      <c r="U606" s="138"/>
      <c r="V606" s="138"/>
      <c r="W606" s="138"/>
      <c r="X606" s="1039">
        <v>2021</v>
      </c>
      <c r="Y606" s="1039">
        <v>2022</v>
      </c>
      <c r="Z606" s="1039">
        <v>2023</v>
      </c>
      <c r="AA606" s="1039">
        <v>2024</v>
      </c>
      <c r="AB606" s="1039">
        <v>2025</v>
      </c>
      <c r="AC606" s="1039">
        <v>2026</v>
      </c>
      <c r="AD606" s="1039">
        <v>2027</v>
      </c>
      <c r="AE606" s="1039">
        <v>2028</v>
      </c>
      <c r="AF606" s="1039">
        <v>2029</v>
      </c>
      <c r="AG606" s="1039">
        <v>2030</v>
      </c>
      <c r="AH606" s="1039">
        <v>2031</v>
      </c>
      <c r="AI606" s="1039">
        <v>2032</v>
      </c>
      <c r="AJ606" s="1039">
        <v>2033</v>
      </c>
      <c r="AK606" s="1039">
        <v>2034</v>
      </c>
      <c r="AL606" s="1039">
        <v>2035</v>
      </c>
      <c r="AM606" s="1039">
        <v>2036</v>
      </c>
      <c r="AN606" s="1039">
        <v>2037</v>
      </c>
      <c r="AO606" s="1039">
        <v>2038</v>
      </c>
      <c r="AP606" s="1039">
        <v>2039</v>
      </c>
      <c r="AQ606" s="1039">
        <v>2040</v>
      </c>
      <c r="AR606" s="1039">
        <v>2041</v>
      </c>
      <c r="AS606" s="1039">
        <v>2042</v>
      </c>
      <c r="AT606" s="1039">
        <v>2043</v>
      </c>
      <c r="AU606" s="1039">
        <v>2044</v>
      </c>
      <c r="AV606" s="1039">
        <v>2045</v>
      </c>
      <c r="AW606" s="1039">
        <v>2046</v>
      </c>
      <c r="AX606" s="1039">
        <v>2047</v>
      </c>
      <c r="AY606" s="1039">
        <v>2048</v>
      </c>
      <c r="AZ606" s="1039">
        <v>2049</v>
      </c>
      <c r="BA606" s="153">
        <v>2050</v>
      </c>
    </row>
    <row r="607" spans="19:53" ht="20.100000000000001" customHeight="1">
      <c r="S607" s="101" t="s">
        <v>2867</v>
      </c>
      <c r="T607" s="960" t="s">
        <v>2886</v>
      </c>
      <c r="U607" s="131"/>
      <c r="V607" s="131"/>
      <c r="W607" s="131"/>
      <c r="X607" s="195">
        <f t="shared" ref="X607:BA607" si="872">X422</f>
        <v>0</v>
      </c>
      <c r="Y607" s="195">
        <f t="shared" si="872"/>
        <v>0</v>
      </c>
      <c r="Z607" s="195">
        <f t="shared" si="872"/>
        <v>0</v>
      </c>
      <c r="AA607" s="195">
        <f t="shared" si="872"/>
        <v>0</v>
      </c>
      <c r="AB607" s="195">
        <f t="shared" si="872"/>
        <v>8.5272113359974249</v>
      </c>
      <c r="AC607" s="195">
        <f t="shared" si="872"/>
        <v>17.480783238794718</v>
      </c>
      <c r="AD607" s="195">
        <f t="shared" si="872"/>
        <v>17.917802819764589</v>
      </c>
      <c r="AE607" s="195">
        <f t="shared" si="872"/>
        <v>18.365747890258703</v>
      </c>
      <c r="AF607" s="195">
        <f t="shared" si="872"/>
        <v>18.824891587515168</v>
      </c>
      <c r="AG607" s="195">
        <f t="shared" si="872"/>
        <v>19.295513877203049</v>
      </c>
      <c r="AH607" s="195">
        <f t="shared" si="872"/>
        <v>19.546355557606685</v>
      </c>
      <c r="AI607" s="195">
        <f t="shared" si="872"/>
        <v>19.800458179855571</v>
      </c>
      <c r="AJ607" s="195">
        <f t="shared" si="872"/>
        <v>20.057864136193693</v>
      </c>
      <c r="AK607" s="195">
        <f t="shared" si="872"/>
        <v>20.318616369964214</v>
      </c>
      <c r="AL607" s="195">
        <f t="shared" si="872"/>
        <v>20.582758382773743</v>
      </c>
      <c r="AM607" s="195">
        <f t="shared" si="872"/>
        <v>20.850334241749806</v>
      </c>
      <c r="AN607" s="195">
        <f t="shared" si="872"/>
        <v>21.12138858689255</v>
      </c>
      <c r="AO607" s="195">
        <f t="shared" si="872"/>
        <v>21.395966638522154</v>
      </c>
      <c r="AP607" s="195">
        <f t="shared" si="872"/>
        <v>21.674114204822942</v>
      </c>
      <c r="AQ607" s="195">
        <f t="shared" si="872"/>
        <v>21.955877689485639</v>
      </c>
      <c r="AR607" s="195">
        <f t="shared" si="872"/>
        <v>22.24130409944895</v>
      </c>
      <c r="AS607" s="195">
        <f t="shared" si="872"/>
        <v>22.530441052741786</v>
      </c>
      <c r="AT607" s="195">
        <f t="shared" si="872"/>
        <v>22.823336786427429</v>
      </c>
      <c r="AU607" s="195">
        <f t="shared" si="872"/>
        <v>23.120040164650984</v>
      </c>
      <c r="AV607" s="195">
        <f t="shared" si="872"/>
        <v>23.420600686791449</v>
      </c>
      <c r="AW607" s="195">
        <f t="shared" si="872"/>
        <v>23.725068495719732</v>
      </c>
      <c r="AX607" s="195">
        <f t="shared" si="872"/>
        <v>24.03349438616409</v>
      </c>
      <c r="AY607" s="195">
        <f t="shared" si="872"/>
        <v>24.345929813184224</v>
      </c>
      <c r="AZ607" s="195">
        <f t="shared" si="872"/>
        <v>24.662426900755619</v>
      </c>
      <c r="BA607" s="707">
        <f t="shared" si="872"/>
        <v>24.98303845046544</v>
      </c>
    </row>
    <row r="608" spans="19:53" ht="20.100000000000001" customHeight="1">
      <c r="S608" s="101" t="s">
        <v>2868</v>
      </c>
      <c r="T608" s="383" t="s">
        <v>2892</v>
      </c>
      <c r="U608" s="131"/>
      <c r="V608" s="131"/>
      <c r="W608" s="131"/>
      <c r="X608" s="195">
        <f>INDEX('DEFAULT DATA'!$JL$9:$JL$41,START!$C$3,1)*X594</f>
        <v>4603.730410958904</v>
      </c>
      <c r="Y608" s="195">
        <f>INDEX('DEFAULT DATA'!$JL$9:$JL$41,START!$C$3,1)*Y594</f>
        <v>4253.8468997260279</v>
      </c>
      <c r="Z608" s="195">
        <f>INDEX('DEFAULT DATA'!$JL$9:$JL$41,START!$C$3,1)*Z594</f>
        <v>3930.5545353468501</v>
      </c>
      <c r="AA608" s="195">
        <f>INDEX('DEFAULT DATA'!$JL$9:$JL$41,START!$C$3,1)*AA594</f>
        <v>3631.8323906604896</v>
      </c>
      <c r="AB608" s="195">
        <f>INDEX('DEFAULT DATA'!$JL$9:$JL$41,START!$C$3,1)*AB594</f>
        <v>3355.8131289702924</v>
      </c>
      <c r="AC608" s="195">
        <f>INDEX('DEFAULT DATA'!$JL$9:$JL$41,START!$C$3,1)*AC594</f>
        <v>3100.7713311685507</v>
      </c>
      <c r="AD608" s="195">
        <f>INDEX('DEFAULT DATA'!$JL$9:$JL$41,START!$C$3,1)*AD594</f>
        <v>2865.1127099997411</v>
      </c>
      <c r="AE608" s="195">
        <f>INDEX('DEFAULT DATA'!$JL$9:$JL$41,START!$C$3,1)*AE594</f>
        <v>2647.3641440397605</v>
      </c>
      <c r="AF608" s="195">
        <f>INDEX('DEFAULT DATA'!$JL$9:$JL$41,START!$C$3,1)*AF594</f>
        <v>2446.1644690927387</v>
      </c>
      <c r="AG608" s="195">
        <f>INDEX('DEFAULT DATA'!$JL$9:$JL$41,START!$C$3,1)*AG594</f>
        <v>2260.2559694416909</v>
      </c>
      <c r="AH608" s="195">
        <f>INDEX('DEFAULT DATA'!$JL$9:$JL$41,START!$C$3,1)*AH594</f>
        <v>2113.3393314279811</v>
      </c>
      <c r="AI608" s="195">
        <f>INDEX('DEFAULT DATA'!$JL$9:$JL$41,START!$C$3,1)*AI594</f>
        <v>1975.9722748851625</v>
      </c>
      <c r="AJ608" s="195">
        <f>INDEX('DEFAULT DATA'!$JL$9:$JL$41,START!$C$3,1)*AJ594</f>
        <v>1847.5340770176269</v>
      </c>
      <c r="AK608" s="195">
        <f>INDEX('DEFAULT DATA'!$JL$9:$JL$41,START!$C$3,1)*AK594</f>
        <v>1727.4443620114812</v>
      </c>
      <c r="AL608" s="195">
        <f>INDEX('DEFAULT DATA'!$JL$9:$JL$41,START!$C$3,1)*AL594</f>
        <v>1615.160478480735</v>
      </c>
      <c r="AM608" s="195">
        <f>INDEX('DEFAULT DATA'!$JL$9:$JL$41,START!$C$3,1)*AM594</f>
        <v>1510.1750473794873</v>
      </c>
      <c r="AN608" s="195">
        <f>INDEX('DEFAULT DATA'!$JL$9:$JL$41,START!$C$3,1)*AN594</f>
        <v>1412.0136692998208</v>
      </c>
      <c r="AO608" s="195">
        <f>INDEX('DEFAULT DATA'!$JL$9:$JL$41,START!$C$3,1)*AO594</f>
        <v>1320.2327807953327</v>
      </c>
      <c r="AP608" s="195">
        <f>INDEX('DEFAULT DATA'!$JL$9:$JL$41,START!$C$3,1)*AP594</f>
        <v>1234.4176500436361</v>
      </c>
      <c r="AQ608" s="195">
        <f>INDEX('DEFAULT DATA'!$JL$9:$JL$41,START!$C$3,1)*AQ594</f>
        <v>1154.1805027907999</v>
      </c>
      <c r="AR608" s="195">
        <f>INDEX('DEFAULT DATA'!$JL$9:$JL$41,START!$C$3,1)*AR594</f>
        <v>1079.1587701093979</v>
      </c>
      <c r="AS608" s="195">
        <f>INDEX('DEFAULT DATA'!$JL$9:$JL$41,START!$C$3,1)*AS594</f>
        <v>1009.0134500522871</v>
      </c>
      <c r="AT608" s="195">
        <f>INDEX('DEFAULT DATA'!$JL$9:$JL$41,START!$C$3,1)*AT594</f>
        <v>943.4275757988886</v>
      </c>
      <c r="AU608" s="195">
        <f>INDEX('DEFAULT DATA'!$JL$9:$JL$41,START!$C$3,1)*AU594</f>
        <v>882.10478337196093</v>
      </c>
      <c r="AV608" s="195">
        <f>INDEX('DEFAULT DATA'!$JL$9:$JL$41,START!$C$3,1)*AV594</f>
        <v>824.76797245278351</v>
      </c>
      <c r="AW608" s="195">
        <f>INDEX('DEFAULT DATA'!$JL$9:$JL$41,START!$C$3,1)*AW594</f>
        <v>771.15805424335258</v>
      </c>
      <c r="AX608" s="195">
        <f>INDEX('DEFAULT DATA'!$JL$9:$JL$41,START!$C$3,1)*AX594</f>
        <v>721.03278071753471</v>
      </c>
      <c r="AY608" s="195">
        <f>INDEX('DEFAULT DATA'!$JL$9:$JL$41,START!$C$3,1)*AY594</f>
        <v>674.16564997089495</v>
      </c>
      <c r="AZ608" s="195">
        <f>INDEX('DEFAULT DATA'!$JL$9:$JL$41,START!$C$3,1)*AZ594</f>
        <v>630.34488272278679</v>
      </c>
      <c r="BA608" s="707">
        <f>INDEX('DEFAULT DATA'!$JL$9:$JL$41,START!$C$3,1)*BA594</f>
        <v>589.37246534580572</v>
      </c>
    </row>
    <row r="609" spans="19:53" ht="20.100000000000001" customHeight="1">
      <c r="S609" s="101" t="s">
        <v>2869</v>
      </c>
      <c r="T609" s="960" t="s">
        <v>2912</v>
      </c>
      <c r="U609" s="131"/>
      <c r="V609" s="131"/>
      <c r="W609" s="131"/>
      <c r="X609" s="123">
        <f>INDEX('DEFAULT DATA'!$IY$9:$IY$41,START!$C$3,1)</f>
        <v>2647.0800000000199</v>
      </c>
      <c r="Y609" s="123">
        <f>INDEX('DEFAULT DATA'!$IY$9:$IY$41,START!$C$3,1)</f>
        <v>2647.0800000000199</v>
      </c>
      <c r="Z609" s="123">
        <f>INDEX('DEFAULT DATA'!$IY$9:$IY$41,START!$C$3,1)</f>
        <v>2647.0800000000199</v>
      </c>
      <c r="AA609" s="123">
        <f>INDEX('DEFAULT DATA'!$IY$9:$IY$41,START!$C$3,1)</f>
        <v>2647.0800000000199</v>
      </c>
      <c r="AB609" s="123">
        <f>INDEX('DEFAULT DATA'!$IY$9:$IY$41,START!$C$3,1)</f>
        <v>2647.0800000000199</v>
      </c>
      <c r="AC609" s="123">
        <f>INDEX('DEFAULT DATA'!$IY$9:$IY$41,START!$C$3,1)</f>
        <v>2647.0800000000199</v>
      </c>
      <c r="AD609" s="123">
        <f>INDEX('DEFAULT DATA'!$IY$9:$IY$41,START!$C$3,1)</f>
        <v>2647.0800000000199</v>
      </c>
      <c r="AE609" s="123">
        <f>INDEX('DEFAULT DATA'!$IY$9:$IY$41,START!$C$3,1)</f>
        <v>2647.0800000000199</v>
      </c>
      <c r="AF609" s="123">
        <f>INDEX('DEFAULT DATA'!$IY$9:$IY$41,START!$C$3,1)</f>
        <v>2647.0800000000199</v>
      </c>
      <c r="AG609" s="123">
        <f>INDEX('DEFAULT DATA'!$IY$9:$IY$41,START!$C$3,1)</f>
        <v>2647.0800000000199</v>
      </c>
      <c r="AH609" s="123">
        <f>INDEX('DEFAULT DATA'!$IY$9:$IY$41,START!$C$3,1)</f>
        <v>2647.0800000000199</v>
      </c>
      <c r="AI609" s="123">
        <f>INDEX('DEFAULT DATA'!$IY$9:$IY$41,START!$C$3,1)</f>
        <v>2647.0800000000199</v>
      </c>
      <c r="AJ609" s="123">
        <f>INDEX('DEFAULT DATA'!$IY$9:$IY$41,START!$C$3,1)</f>
        <v>2647.0800000000199</v>
      </c>
      <c r="AK609" s="123">
        <f>INDEX('DEFAULT DATA'!$IY$9:$IY$41,START!$C$3,1)</f>
        <v>2647.0800000000199</v>
      </c>
      <c r="AL609" s="123">
        <f>INDEX('DEFAULT DATA'!$IY$9:$IY$41,START!$C$3,1)</f>
        <v>2647.0800000000199</v>
      </c>
      <c r="AM609" s="123">
        <f>INDEX('DEFAULT DATA'!$IY$9:$IY$41,START!$C$3,1)</f>
        <v>2647.0800000000199</v>
      </c>
      <c r="AN609" s="123">
        <f>INDEX('DEFAULT DATA'!$IY$9:$IY$41,START!$C$3,1)</f>
        <v>2647.0800000000199</v>
      </c>
      <c r="AO609" s="123">
        <f>INDEX('DEFAULT DATA'!$IY$9:$IY$41,START!$C$3,1)</f>
        <v>2647.0800000000199</v>
      </c>
      <c r="AP609" s="123">
        <f>INDEX('DEFAULT DATA'!$IY$9:$IY$41,START!$C$3,1)</f>
        <v>2647.0800000000199</v>
      </c>
      <c r="AQ609" s="123">
        <f>INDEX('DEFAULT DATA'!$IY$9:$IY$41,START!$C$3,1)</f>
        <v>2647.0800000000199</v>
      </c>
      <c r="AR609" s="123">
        <f>INDEX('DEFAULT DATA'!$IY$9:$IY$41,START!$C$3,1)</f>
        <v>2647.0800000000199</v>
      </c>
      <c r="AS609" s="123">
        <f>INDEX('DEFAULT DATA'!$IY$9:$IY$41,START!$C$3,1)</f>
        <v>2647.0800000000199</v>
      </c>
      <c r="AT609" s="123">
        <f>INDEX('DEFAULT DATA'!$IY$9:$IY$41,START!$C$3,1)</f>
        <v>2647.0800000000199</v>
      </c>
      <c r="AU609" s="123">
        <f>INDEX('DEFAULT DATA'!$IY$9:$IY$41,START!$C$3,1)</f>
        <v>2647.0800000000199</v>
      </c>
      <c r="AV609" s="123">
        <f>INDEX('DEFAULT DATA'!$IY$9:$IY$41,START!$C$3,1)</f>
        <v>2647.0800000000199</v>
      </c>
      <c r="AW609" s="123">
        <f>INDEX('DEFAULT DATA'!$IY$9:$IY$41,START!$C$3,1)</f>
        <v>2647.0800000000199</v>
      </c>
      <c r="AX609" s="123">
        <f>INDEX('DEFAULT DATA'!$IY$9:$IY$41,START!$C$3,1)</f>
        <v>2647.0800000000199</v>
      </c>
      <c r="AY609" s="123">
        <f>INDEX('DEFAULT DATA'!$IY$9:$IY$41,START!$C$3,1)</f>
        <v>2647.0800000000199</v>
      </c>
      <c r="AZ609" s="123">
        <f>INDEX('DEFAULT DATA'!$IY$9:$IY$41,START!$C$3,1)</f>
        <v>2647.0800000000199</v>
      </c>
      <c r="BA609" s="159">
        <f>INDEX('DEFAULT DATA'!$IY$9:$IY$41,START!$C$3,1)</f>
        <v>2647.0800000000199</v>
      </c>
    </row>
    <row r="610" spans="19:53" ht="20.100000000000001" customHeight="1">
      <c r="S610" s="101" t="s">
        <v>2871</v>
      </c>
      <c r="T610" s="383" t="s">
        <v>2913</v>
      </c>
      <c r="U610" s="131"/>
      <c r="V610" s="131"/>
      <c r="W610" s="131"/>
      <c r="X610" s="195">
        <f>(INDEX('DEFAULT DATA'!$JM$9:$JM$41,START!$C$3,1)/100*INDEX('DEFAULT DATA'!$JL$9:$JL$41,START!$C$3,1)*X594)+((100-INDEX('DEFAULT DATA'!$JM$9:$JM$41,START!$C$3,1))/100*INDEX('DEFAULT DATA'!$IY$9:$IY$41,START!$C$3,1))</f>
        <v>3625.405205479462</v>
      </c>
      <c r="Y610" s="195">
        <f>(INDEX('DEFAULT DATA'!$JM$9:$JM$41,START!$C$3,1)/100*INDEX('DEFAULT DATA'!$JL$9:$JL$41,START!$C$3,1)*Y594)+((100-INDEX('DEFAULT DATA'!$JM$9:$JM$41,START!$C$3,1))/100*INDEX('DEFAULT DATA'!$IY$9:$IY$41,START!$C$3,1))</f>
        <v>3450.4634498630239</v>
      </c>
      <c r="Z610" s="195">
        <f>(INDEX('DEFAULT DATA'!$JM$9:$JM$41,START!$C$3,1)/100*INDEX('DEFAULT DATA'!$JL$9:$JL$41,START!$C$3,1)*Z594)+((100-INDEX('DEFAULT DATA'!$JM$9:$JM$41,START!$C$3,1))/100*INDEX('DEFAULT DATA'!$IY$9:$IY$41,START!$C$3,1))</f>
        <v>3288.8172676734348</v>
      </c>
      <c r="AA610" s="195">
        <f>(INDEX('DEFAULT DATA'!$JM$9:$JM$41,START!$C$3,1)/100*INDEX('DEFAULT DATA'!$JL$9:$JL$41,START!$C$3,1)*AA594)+((100-INDEX('DEFAULT DATA'!$JM$9:$JM$41,START!$C$3,1))/100*INDEX('DEFAULT DATA'!$IY$9:$IY$41,START!$C$3,1))</f>
        <v>3139.4561953302546</v>
      </c>
      <c r="AB610" s="195">
        <f>(INDEX('DEFAULT DATA'!$JM$9:$JM$41,START!$C$3,1)/100*INDEX('DEFAULT DATA'!$JL$9:$JL$41,START!$C$3,1)*AB594)+((100-INDEX('DEFAULT DATA'!$JM$9:$JM$41,START!$C$3,1))/100*INDEX('DEFAULT DATA'!$IY$9:$IY$41,START!$C$3,1))</f>
        <v>3001.4465644851562</v>
      </c>
      <c r="AC610" s="195">
        <f>(INDEX('DEFAULT DATA'!$JM$9:$JM$41,START!$C$3,1)/100*INDEX('DEFAULT DATA'!$JL$9:$JL$41,START!$C$3,1)*AC594)+((100-INDEX('DEFAULT DATA'!$JM$9:$JM$41,START!$C$3,1))/100*INDEX('DEFAULT DATA'!$IY$9:$IY$41,START!$C$3,1))</f>
        <v>2873.9256655842855</v>
      </c>
      <c r="AD610" s="195">
        <f>(INDEX('DEFAULT DATA'!$JM$9:$JM$41,START!$C$3,1)/100*INDEX('DEFAULT DATA'!$JL$9:$JL$41,START!$C$3,1)*AD594)+((100-INDEX('DEFAULT DATA'!$JM$9:$JM$41,START!$C$3,1))/100*INDEX('DEFAULT DATA'!$IY$9:$IY$41,START!$C$3,1))</f>
        <v>2756.0963549998805</v>
      </c>
      <c r="AE610" s="195">
        <f>(INDEX('DEFAULT DATA'!$JM$9:$JM$41,START!$C$3,1)/100*INDEX('DEFAULT DATA'!$JL$9:$JL$41,START!$C$3,1)*AE594)+((100-INDEX('DEFAULT DATA'!$JM$9:$JM$41,START!$C$3,1))/100*INDEX('DEFAULT DATA'!$IY$9:$IY$41,START!$C$3,1))</f>
        <v>2647.2220720198902</v>
      </c>
      <c r="AF610" s="195">
        <f>(INDEX('DEFAULT DATA'!$JM$9:$JM$41,START!$C$3,1)/100*INDEX('DEFAULT DATA'!$JL$9:$JL$41,START!$C$3,1)*AF594)+((100-INDEX('DEFAULT DATA'!$JM$9:$JM$41,START!$C$3,1))/100*INDEX('DEFAULT DATA'!$IY$9:$IY$41,START!$C$3,1))</f>
        <v>2546.6222345463793</v>
      </c>
      <c r="AG610" s="195">
        <f>(INDEX('DEFAULT DATA'!$JM$9:$JM$41,START!$C$3,1)/100*INDEX('DEFAULT DATA'!$JL$9:$JL$41,START!$C$3,1)*AG594)+((100-INDEX('DEFAULT DATA'!$JM$9:$JM$41,START!$C$3,1))/100*INDEX('DEFAULT DATA'!$IY$9:$IY$41,START!$C$3,1))</f>
        <v>2453.6679847208552</v>
      </c>
      <c r="AH610" s="195">
        <f>(INDEX('DEFAULT DATA'!$JM$9:$JM$41,START!$C$3,1)/100*INDEX('DEFAULT DATA'!$JL$9:$JL$41,START!$C$3,1)*AH594)+((100-INDEX('DEFAULT DATA'!$JM$9:$JM$41,START!$C$3,1))/100*INDEX('DEFAULT DATA'!$IY$9:$IY$41,START!$C$3,1))</f>
        <v>2380.2096657140005</v>
      </c>
      <c r="AI610" s="195">
        <f>(INDEX('DEFAULT DATA'!$JM$9:$JM$41,START!$C$3,1)/100*INDEX('DEFAULT DATA'!$JL$9:$JL$41,START!$C$3,1)*AI594)+((100-INDEX('DEFAULT DATA'!$JM$9:$JM$41,START!$C$3,1))/100*INDEX('DEFAULT DATA'!$IY$9:$IY$41,START!$C$3,1))</f>
        <v>2311.5261374425913</v>
      </c>
      <c r="AJ610" s="195">
        <f>(INDEX('DEFAULT DATA'!$JM$9:$JM$41,START!$C$3,1)/100*INDEX('DEFAULT DATA'!$JL$9:$JL$41,START!$C$3,1)*AJ594)+((100-INDEX('DEFAULT DATA'!$JM$9:$JM$41,START!$C$3,1))/100*INDEX('DEFAULT DATA'!$IY$9:$IY$41,START!$C$3,1))</f>
        <v>2247.3070385088236</v>
      </c>
      <c r="AK610" s="195">
        <f>(INDEX('DEFAULT DATA'!$JM$9:$JM$41,START!$C$3,1)/100*INDEX('DEFAULT DATA'!$JL$9:$JL$41,START!$C$3,1)*AK594)+((100-INDEX('DEFAULT DATA'!$JM$9:$JM$41,START!$C$3,1))/100*INDEX('DEFAULT DATA'!$IY$9:$IY$41,START!$C$3,1))</f>
        <v>2187.2621810057508</v>
      </c>
      <c r="AL610" s="195">
        <f>(INDEX('DEFAULT DATA'!$JM$9:$JM$41,START!$C$3,1)/100*INDEX('DEFAULT DATA'!$JL$9:$JL$41,START!$C$3,1)*AL594)+((100-INDEX('DEFAULT DATA'!$JM$9:$JM$41,START!$C$3,1))/100*INDEX('DEFAULT DATA'!$IY$9:$IY$41,START!$C$3,1))</f>
        <v>2131.1202392403775</v>
      </c>
      <c r="AM610" s="195">
        <f>(INDEX('DEFAULT DATA'!$JM$9:$JM$41,START!$C$3,1)/100*INDEX('DEFAULT DATA'!$JL$9:$JL$41,START!$C$3,1)*AM594)+((100-INDEX('DEFAULT DATA'!$JM$9:$JM$41,START!$C$3,1))/100*INDEX('DEFAULT DATA'!$IY$9:$IY$41,START!$C$3,1))</f>
        <v>2078.6275236897536</v>
      </c>
      <c r="AN610" s="195">
        <f>(INDEX('DEFAULT DATA'!$JM$9:$JM$41,START!$C$3,1)/100*INDEX('DEFAULT DATA'!$JL$9:$JL$41,START!$C$3,1)*AN594)+((100-INDEX('DEFAULT DATA'!$JM$9:$JM$41,START!$C$3,1))/100*INDEX('DEFAULT DATA'!$IY$9:$IY$41,START!$C$3,1))</f>
        <v>2029.5468346499204</v>
      </c>
      <c r="AO610" s="195">
        <f>(INDEX('DEFAULT DATA'!$JM$9:$JM$41,START!$C$3,1)/100*INDEX('DEFAULT DATA'!$JL$9:$JL$41,START!$C$3,1)*AO594)+((100-INDEX('DEFAULT DATA'!$JM$9:$JM$41,START!$C$3,1))/100*INDEX('DEFAULT DATA'!$IY$9:$IY$41,START!$C$3,1))</f>
        <v>1983.6563903976762</v>
      </c>
      <c r="AP610" s="195">
        <f>(INDEX('DEFAULT DATA'!$JM$9:$JM$41,START!$C$3,1)/100*INDEX('DEFAULT DATA'!$JL$9:$JL$41,START!$C$3,1)*AP594)+((100-INDEX('DEFAULT DATA'!$JM$9:$JM$41,START!$C$3,1))/100*INDEX('DEFAULT DATA'!$IY$9:$IY$41,START!$C$3,1))</f>
        <v>1940.748825021828</v>
      </c>
      <c r="AQ610" s="195">
        <f>(INDEX('DEFAULT DATA'!$JM$9:$JM$41,START!$C$3,1)/100*INDEX('DEFAULT DATA'!$JL$9:$JL$41,START!$C$3,1)*AQ594)+((100-INDEX('DEFAULT DATA'!$JM$9:$JM$41,START!$C$3,1))/100*INDEX('DEFAULT DATA'!$IY$9:$IY$41,START!$C$3,1))</f>
        <v>1900.6302513954099</v>
      </c>
      <c r="AR610" s="195">
        <f>(INDEX('DEFAULT DATA'!$JM$9:$JM$41,START!$C$3,1)/100*INDEX('DEFAULT DATA'!$JL$9:$JL$41,START!$C$3,1)*AR594)+((100-INDEX('DEFAULT DATA'!$JM$9:$JM$41,START!$C$3,1))/100*INDEX('DEFAULT DATA'!$IY$9:$IY$41,START!$C$3,1))</f>
        <v>1863.1193850547088</v>
      </c>
      <c r="AS610" s="195">
        <f>(INDEX('DEFAULT DATA'!$JM$9:$JM$41,START!$C$3,1)/100*INDEX('DEFAULT DATA'!$JL$9:$JL$41,START!$C$3,1)*AS594)+((100-INDEX('DEFAULT DATA'!$JM$9:$JM$41,START!$C$3,1))/100*INDEX('DEFAULT DATA'!$IY$9:$IY$41,START!$C$3,1))</f>
        <v>1828.0467250261536</v>
      </c>
      <c r="AT610" s="195">
        <f>(INDEX('DEFAULT DATA'!$JM$9:$JM$41,START!$C$3,1)/100*INDEX('DEFAULT DATA'!$JL$9:$JL$41,START!$C$3,1)*AT594)+((100-INDEX('DEFAULT DATA'!$JM$9:$JM$41,START!$C$3,1))/100*INDEX('DEFAULT DATA'!$IY$9:$IY$41,START!$C$3,1))</f>
        <v>1795.2537878994542</v>
      </c>
      <c r="AU610" s="195">
        <f>(INDEX('DEFAULT DATA'!$JM$9:$JM$41,START!$C$3,1)/100*INDEX('DEFAULT DATA'!$JL$9:$JL$41,START!$C$3,1)*AU594)+((100-INDEX('DEFAULT DATA'!$JM$9:$JM$41,START!$C$3,1))/100*INDEX('DEFAULT DATA'!$IY$9:$IY$41,START!$C$3,1))</f>
        <v>1764.5923916859904</v>
      </c>
      <c r="AV610" s="195">
        <f>(INDEX('DEFAULT DATA'!$JM$9:$JM$41,START!$C$3,1)/100*INDEX('DEFAULT DATA'!$JL$9:$JL$41,START!$C$3,1)*AV594)+((100-INDEX('DEFAULT DATA'!$JM$9:$JM$41,START!$C$3,1))/100*INDEX('DEFAULT DATA'!$IY$9:$IY$41,START!$C$3,1))</f>
        <v>1735.9239862264017</v>
      </c>
      <c r="AW610" s="195">
        <f>(INDEX('DEFAULT DATA'!$JM$9:$JM$41,START!$C$3,1)/100*INDEX('DEFAULT DATA'!$JL$9:$JL$41,START!$C$3,1)*AW594)+((100-INDEX('DEFAULT DATA'!$JM$9:$JM$41,START!$C$3,1))/100*INDEX('DEFAULT DATA'!$IY$9:$IY$41,START!$C$3,1))</f>
        <v>1709.1190271216863</v>
      </c>
      <c r="AX610" s="195">
        <f>(INDEX('DEFAULT DATA'!$JM$9:$JM$41,START!$C$3,1)/100*INDEX('DEFAULT DATA'!$JL$9:$JL$41,START!$C$3,1)*AX594)+((100-INDEX('DEFAULT DATA'!$JM$9:$JM$41,START!$C$3,1))/100*INDEX('DEFAULT DATA'!$IY$9:$IY$41,START!$C$3,1))</f>
        <v>1684.0563903587772</v>
      </c>
      <c r="AY610" s="195">
        <f>(INDEX('DEFAULT DATA'!$JM$9:$JM$41,START!$C$3,1)/100*INDEX('DEFAULT DATA'!$JL$9:$JL$41,START!$C$3,1)*AY594)+((100-INDEX('DEFAULT DATA'!$JM$9:$JM$41,START!$C$3,1))/100*INDEX('DEFAULT DATA'!$IY$9:$IY$41,START!$C$3,1))</f>
        <v>1660.6228249854576</v>
      </c>
      <c r="AZ610" s="195">
        <f>(INDEX('DEFAULT DATA'!$JM$9:$JM$41,START!$C$3,1)/100*INDEX('DEFAULT DATA'!$JL$9:$JL$41,START!$C$3,1)*AZ594)+((100-INDEX('DEFAULT DATA'!$JM$9:$JM$41,START!$C$3,1))/100*INDEX('DEFAULT DATA'!$IY$9:$IY$41,START!$C$3,1))</f>
        <v>1638.7124413614033</v>
      </c>
      <c r="BA610" s="707">
        <f>(INDEX('DEFAULT DATA'!$JM$9:$JM$41,START!$C$3,1)/100*INDEX('DEFAULT DATA'!$JL$9:$JL$41,START!$C$3,1)*BA594)+((100-INDEX('DEFAULT DATA'!$JM$9:$JM$41,START!$C$3,1))/100*INDEX('DEFAULT DATA'!$IY$9:$IY$41,START!$C$3,1))</f>
        <v>1618.2262326729128</v>
      </c>
    </row>
    <row r="611" spans="19:53" ht="20.100000000000001" customHeight="1" thickBot="1">
      <c r="S611" s="301" t="s">
        <v>2904</v>
      </c>
      <c r="T611" s="448" t="s">
        <v>2890</v>
      </c>
      <c r="U611" s="139"/>
      <c r="V611" s="139"/>
      <c r="W611" s="139"/>
      <c r="X611" s="197">
        <f>X607*X610/1000</f>
        <v>0</v>
      </c>
      <c r="Y611" s="197">
        <f t="shared" ref="Y611:BA611" si="873">Y607*Y610/1000</f>
        <v>0</v>
      </c>
      <c r="Z611" s="197">
        <f t="shared" si="873"/>
        <v>0</v>
      </c>
      <c r="AA611" s="197">
        <f t="shared" si="873"/>
        <v>0</v>
      </c>
      <c r="AB611" s="197">
        <f t="shared" si="873"/>
        <v>25.593969169068352</v>
      </c>
      <c r="AC611" s="197">
        <f t="shared" si="873"/>
        <v>50.238471604487735</v>
      </c>
      <c r="AD611" s="197">
        <f t="shared" si="873"/>
        <v>49.383191041159762</v>
      </c>
      <c r="AE611" s="197">
        <f t="shared" si="873"/>
        <v>48.618213184245569</v>
      </c>
      <c r="AF611" s="197">
        <f t="shared" si="873"/>
        <v>47.939887479691215</v>
      </c>
      <c r="AG611" s="197">
        <f t="shared" si="873"/>
        <v>47.344784649230107</v>
      </c>
      <c r="AH611" s="197">
        <f t="shared" si="873"/>
        <v>46.524424427698001</v>
      </c>
      <c r="AI611" s="197">
        <f t="shared" si="873"/>
        <v>45.769276616075111</v>
      </c>
      <c r="AJ611" s="197">
        <f t="shared" si="873"/>
        <v>45.076179250721793</v>
      </c>
      <c r="AK611" s="197">
        <f t="shared" si="873"/>
        <v>44.442141156387081</v>
      </c>
      <c r="AL611" s="197">
        <f t="shared" si="873"/>
        <v>43.864332968923662</v>
      </c>
      <c r="AM611" s="197">
        <f t="shared" si="873"/>
        <v>43.340078633032078</v>
      </c>
      <c r="AN611" s="197">
        <f t="shared" si="873"/>
        <v>42.86684734993873</v>
      </c>
      <c r="AO611" s="197">
        <f t="shared" si="873"/>
        <v>42.442245951239961</v>
      </c>
      <c r="AP611" s="197">
        <f t="shared" si="873"/>
        <v>42.064011676399041</v>
      </c>
      <c r="AQ611" s="197">
        <f t="shared" si="873"/>
        <v>41.730005332573967</v>
      </c>
      <c r="AR611" s="197">
        <f t="shared" si="873"/>
        <v>41.438204816580104</v>
      </c>
      <c r="AS611" s="197">
        <f t="shared" si="873"/>
        <v>41.186698979859422</v>
      </c>
      <c r="AT611" s="197">
        <f t="shared" si="873"/>
        <v>40.973681818338804</v>
      </c>
      <c r="AU611" s="197">
        <f t="shared" si="873"/>
        <v>40.797446970017639</v>
      </c>
      <c r="AV611" s="197">
        <f t="shared" si="873"/>
        <v>40.656382504031811</v>
      </c>
      <c r="AW611" s="197">
        <f t="shared" si="873"/>
        <v>40.548965985799875</v>
      </c>
      <c r="AX611" s="197">
        <f t="shared" si="873"/>
        <v>40.473759803671435</v>
      </c>
      <c r="AY611" s="197">
        <f t="shared" si="873"/>
        <v>40.429406743267663</v>
      </c>
      <c r="AZ611" s="197">
        <f t="shared" si="873"/>
        <v>40.414625796434386</v>
      </c>
      <c r="BA611" s="566">
        <f t="shared" si="873"/>
        <v>40.42820819241922</v>
      </c>
    </row>
    <row r="612" spans="19:53" ht="20.100000000000001" customHeight="1">
      <c r="T612" s="82"/>
      <c r="U612" s="82"/>
      <c r="V612" s="82"/>
      <c r="W612" s="82"/>
      <c r="X612" s="82"/>
    </row>
    <row r="613" spans="19:53" ht="20.100000000000001" customHeight="1" thickBot="1">
      <c r="T613" s="82"/>
      <c r="U613" s="82"/>
      <c r="V613" s="82"/>
      <c r="W613" s="82"/>
      <c r="X613" s="82"/>
    </row>
    <row r="614" spans="19:53" ht="20.100000000000001" customHeight="1">
      <c r="S614" s="299" t="s">
        <v>2804</v>
      </c>
      <c r="T614" s="138"/>
      <c r="U614" s="1039" t="s">
        <v>581</v>
      </c>
      <c r="V614" s="1039" t="s">
        <v>582</v>
      </c>
      <c r="W614" s="1039" t="s">
        <v>588</v>
      </c>
      <c r="X614" s="1039">
        <v>2021</v>
      </c>
      <c r="Y614" s="1039">
        <v>2022</v>
      </c>
      <c r="Z614" s="1039">
        <v>2023</v>
      </c>
      <c r="AA614" s="1039">
        <v>2024</v>
      </c>
      <c r="AB614" s="1039">
        <v>2025</v>
      </c>
      <c r="AC614" s="1039">
        <v>2026</v>
      </c>
      <c r="AD614" s="1039">
        <v>2027</v>
      </c>
      <c r="AE614" s="1039">
        <v>2028</v>
      </c>
      <c r="AF614" s="1039">
        <v>2029</v>
      </c>
      <c r="AG614" s="1039">
        <v>2030</v>
      </c>
      <c r="AH614" s="1039">
        <v>2031</v>
      </c>
      <c r="AI614" s="1039">
        <v>2032</v>
      </c>
      <c r="AJ614" s="1039">
        <v>2033</v>
      </c>
      <c r="AK614" s="1039">
        <v>2034</v>
      </c>
      <c r="AL614" s="1039">
        <v>2035</v>
      </c>
      <c r="AM614" s="1039">
        <v>2036</v>
      </c>
      <c r="AN614" s="1039">
        <v>2037</v>
      </c>
      <c r="AO614" s="1039">
        <v>2038</v>
      </c>
      <c r="AP614" s="1039">
        <v>2039</v>
      </c>
      <c r="AQ614" s="1039">
        <v>2040</v>
      </c>
      <c r="AR614" s="1039">
        <v>2041</v>
      </c>
      <c r="AS614" s="1039">
        <v>2042</v>
      </c>
      <c r="AT614" s="1039">
        <v>2043</v>
      </c>
      <c r="AU614" s="1039">
        <v>2044</v>
      </c>
      <c r="AV614" s="1039">
        <v>2045</v>
      </c>
      <c r="AW614" s="1039">
        <v>2046</v>
      </c>
      <c r="AX614" s="1039">
        <v>2047</v>
      </c>
      <c r="AY614" s="1039">
        <v>2048</v>
      </c>
      <c r="AZ614" s="1039">
        <v>2049</v>
      </c>
      <c r="BA614" s="153">
        <v>2050</v>
      </c>
    </row>
    <row r="615" spans="19:53" ht="20.100000000000001" customHeight="1">
      <c r="S615" s="101" t="s">
        <v>2867</v>
      </c>
      <c r="T615" s="383" t="s">
        <v>2893</v>
      </c>
      <c r="U615" s="445"/>
      <c r="V615" s="445"/>
      <c r="W615" s="445"/>
      <c r="X615" s="195">
        <f>X423</f>
        <v>0</v>
      </c>
      <c r="Y615" s="195">
        <f t="shared" ref="Y615:BA615" si="874">Y423</f>
        <v>54.050262275736607</v>
      </c>
      <c r="Z615" s="195">
        <f t="shared" si="874"/>
        <v>55.401518832630018</v>
      </c>
      <c r="AA615" s="195">
        <f t="shared" si="874"/>
        <v>56.786556803445762</v>
      </c>
      <c r="AB615" s="195">
        <f t="shared" si="874"/>
        <v>41.151798051537064</v>
      </c>
      <c r="AC615" s="195">
        <f t="shared" si="874"/>
        <v>24.699809764030761</v>
      </c>
      <c r="AD615" s="195">
        <f t="shared" si="874"/>
        <v>25.317305008131534</v>
      </c>
      <c r="AE615" s="195">
        <f t="shared" si="874"/>
        <v>25.950237633334822</v>
      </c>
      <c r="AF615" s="195">
        <f t="shared" si="874"/>
        <v>26.59899357416819</v>
      </c>
      <c r="AG615" s="195">
        <f t="shared" si="874"/>
        <v>27.263968413522395</v>
      </c>
      <c r="AH615" s="195">
        <f t="shared" si="874"/>
        <v>27.618400002898184</v>
      </c>
      <c r="AI615" s="195">
        <f t="shared" si="874"/>
        <v>27.977439202935855</v>
      </c>
      <c r="AJ615" s="195">
        <f t="shared" si="874"/>
        <v>28.341145912574024</v>
      </c>
      <c r="AK615" s="195">
        <f t="shared" si="874"/>
        <v>28.70958080943749</v>
      </c>
      <c r="AL615" s="195">
        <f t="shared" si="874"/>
        <v>29.082805359960169</v>
      </c>
      <c r="AM615" s="195">
        <f t="shared" si="874"/>
        <v>29.460881829639661</v>
      </c>
      <c r="AN615" s="195">
        <f t="shared" si="874"/>
        <v>29.843873293424966</v>
      </c>
      <c r="AO615" s="195">
        <f t="shared" si="874"/>
        <v>30.231843646239493</v>
      </c>
      <c r="AP615" s="195">
        <f t="shared" si="874"/>
        <v>30.624857613640607</v>
      </c>
      <c r="AQ615" s="195">
        <f t="shared" si="874"/>
        <v>31.02298076261793</v>
      </c>
      <c r="AR615" s="195">
        <f t="shared" si="874"/>
        <v>31.426279512531963</v>
      </c>
      <c r="AS615" s="195">
        <f t="shared" si="874"/>
        <v>31.834821146194876</v>
      </c>
      <c r="AT615" s="195">
        <f t="shared" si="874"/>
        <v>32.248673821095409</v>
      </c>
      <c r="AU615" s="195">
        <f t="shared" si="874"/>
        <v>32.667906580769653</v>
      </c>
      <c r="AV615" s="195">
        <f t="shared" si="874"/>
        <v>33.092589366319658</v>
      </c>
      <c r="AW615" s="195">
        <f t="shared" si="874"/>
        <v>33.522793028081814</v>
      </c>
      <c r="AX615" s="195">
        <f t="shared" si="874"/>
        <v>33.958589337446874</v>
      </c>
      <c r="AY615" s="195">
        <f t="shared" si="874"/>
        <v>34.400050998833677</v>
      </c>
      <c r="AZ615" s="195">
        <f t="shared" si="874"/>
        <v>34.847251661818518</v>
      </c>
      <c r="BA615" s="707">
        <f t="shared" si="874"/>
        <v>35.300265933422153</v>
      </c>
    </row>
    <row r="616" spans="19:53" ht="20.100000000000001" customHeight="1">
      <c r="S616" s="101" t="s">
        <v>2600</v>
      </c>
      <c r="T616" s="383" t="s">
        <v>2899</v>
      </c>
      <c r="U616" s="131"/>
      <c r="V616" s="131"/>
      <c r="W616" s="131"/>
      <c r="X616" s="195">
        <f>(X140/100*$V$140)+(X141/100*$V$141)+(X142/100*$V$142)+(X143/100*$V$143)+(X144/100*$V$144*X594)+(X145/100*$V$145)+(X146/100*$V$146)+(X147/100*$V$147)+(X148/100*$V$148)</f>
        <v>369.94245297336749</v>
      </c>
      <c r="Y616" s="195">
        <f t="shared" ref="Y616:BA616" si="875">(Y140/100*$V$140)+(Y141/100*$V$141)+(Y142/100*$V$142)+(Y143/100*$V$143)+(Y144/100*$V$144*Y594)+(Y145/100*$V$145)+(Y146/100*$V$146)+(Y147/100*$V$147)+(Y148/100*$V$148)</f>
        <v>369.94245297336749</v>
      </c>
      <c r="Z616" s="195">
        <f t="shared" si="875"/>
        <v>369.94245297336749</v>
      </c>
      <c r="AA616" s="195">
        <f t="shared" si="875"/>
        <v>369.94245297336749</v>
      </c>
      <c r="AB616" s="195">
        <f t="shared" si="875"/>
        <v>369.94245297336749</v>
      </c>
      <c r="AC616" s="195">
        <f t="shared" si="875"/>
        <v>369.94245297336749</v>
      </c>
      <c r="AD616" s="195">
        <f t="shared" si="875"/>
        <v>369.94245297336749</v>
      </c>
      <c r="AE616" s="195">
        <f t="shared" si="875"/>
        <v>369.94245297336749</v>
      </c>
      <c r="AF616" s="195">
        <f t="shared" si="875"/>
        <v>369.94245297336749</v>
      </c>
      <c r="AG616" s="195">
        <f t="shared" si="875"/>
        <v>369.94245297336749</v>
      </c>
      <c r="AH616" s="195">
        <f t="shared" si="875"/>
        <v>369.94245297336749</v>
      </c>
      <c r="AI616" s="195">
        <f t="shared" si="875"/>
        <v>369.94245297336749</v>
      </c>
      <c r="AJ616" s="195">
        <f t="shared" si="875"/>
        <v>369.94245297336749</v>
      </c>
      <c r="AK616" s="195">
        <f t="shared" si="875"/>
        <v>369.94245297336749</v>
      </c>
      <c r="AL616" s="195">
        <f t="shared" si="875"/>
        <v>369.94245297336749</v>
      </c>
      <c r="AM616" s="195">
        <f t="shared" si="875"/>
        <v>369.94245297336749</v>
      </c>
      <c r="AN616" s="195">
        <f t="shared" si="875"/>
        <v>369.94245297336749</v>
      </c>
      <c r="AO616" s="195">
        <f t="shared" si="875"/>
        <v>369.94245297336749</v>
      </c>
      <c r="AP616" s="195">
        <f t="shared" si="875"/>
        <v>369.94245297336749</v>
      </c>
      <c r="AQ616" s="195">
        <f t="shared" si="875"/>
        <v>369.94245297336749</v>
      </c>
      <c r="AR616" s="195">
        <f t="shared" si="875"/>
        <v>369.94245297336749</v>
      </c>
      <c r="AS616" s="195">
        <f t="shared" si="875"/>
        <v>369.94245297336749</v>
      </c>
      <c r="AT616" s="195">
        <f t="shared" si="875"/>
        <v>369.94245297336749</v>
      </c>
      <c r="AU616" s="195">
        <f t="shared" si="875"/>
        <v>369.94245297336749</v>
      </c>
      <c r="AV616" s="195">
        <f t="shared" si="875"/>
        <v>369.94245297336749</v>
      </c>
      <c r="AW616" s="195">
        <f t="shared" si="875"/>
        <v>369.94245297336749</v>
      </c>
      <c r="AX616" s="195">
        <f t="shared" si="875"/>
        <v>369.94245297336749</v>
      </c>
      <c r="AY616" s="195">
        <f t="shared" si="875"/>
        <v>369.94245297336749</v>
      </c>
      <c r="AZ616" s="195">
        <f t="shared" si="875"/>
        <v>369.94245297336749</v>
      </c>
      <c r="BA616" s="707">
        <f t="shared" si="875"/>
        <v>369.94245297336749</v>
      </c>
    </row>
    <row r="617" spans="19:53" ht="20.100000000000001" customHeight="1">
      <c r="S617" s="806" t="s">
        <v>2601</v>
      </c>
      <c r="T617" s="383" t="s">
        <v>2900</v>
      </c>
      <c r="U617" s="131"/>
      <c r="V617" s="131"/>
      <c r="W617" s="900"/>
      <c r="X617" s="195">
        <f>(X140/100*$W$140)+(X141/100*$W$141)+(X142/100*$W$142)+(X143/100*$W$143)+(X144/100*$W$144*X594)+(X145/100*$W$145)+(X146/100*$W$146)+(X147/100*$W$147)+(X148/100*$W$148)</f>
        <v>579.90979114744096</v>
      </c>
      <c r="Y617" s="195">
        <f t="shared" ref="Y617:BA617" si="876">(Y140/100*$W$140)+(Y141/100*$W$141)+(Y142/100*$W$142)+(Y143/100*$W$143)+(Y144/100*$W$144*Y594)+(Y145/100*$W$145)+(Y146/100*$W$146)+(Y147/100*$W$147)+(Y148/100*$W$148)</f>
        <v>579.90979114744096</v>
      </c>
      <c r="Z617" s="195">
        <f t="shared" si="876"/>
        <v>579.90979114744096</v>
      </c>
      <c r="AA617" s="195">
        <f t="shared" si="876"/>
        <v>579.90979114744096</v>
      </c>
      <c r="AB617" s="195">
        <f t="shared" si="876"/>
        <v>579.90979114744096</v>
      </c>
      <c r="AC617" s="195">
        <f t="shared" si="876"/>
        <v>579.90979114744096</v>
      </c>
      <c r="AD617" s="195">
        <f t="shared" si="876"/>
        <v>579.90979114744096</v>
      </c>
      <c r="AE617" s="195">
        <f t="shared" si="876"/>
        <v>579.90979114744096</v>
      </c>
      <c r="AF617" s="195">
        <f t="shared" si="876"/>
        <v>579.90979114744096</v>
      </c>
      <c r="AG617" s="195">
        <f t="shared" si="876"/>
        <v>579.90979114744096</v>
      </c>
      <c r="AH617" s="195">
        <f t="shared" si="876"/>
        <v>579.90979114744096</v>
      </c>
      <c r="AI617" s="195">
        <f t="shared" si="876"/>
        <v>579.90979114744096</v>
      </c>
      <c r="AJ617" s="195">
        <f t="shared" si="876"/>
        <v>579.90979114744096</v>
      </c>
      <c r="AK617" s="195">
        <f t="shared" si="876"/>
        <v>579.90979114744096</v>
      </c>
      <c r="AL617" s="195">
        <f t="shared" si="876"/>
        <v>579.90979114744096</v>
      </c>
      <c r="AM617" s="195">
        <f t="shared" si="876"/>
        <v>579.90979114744096</v>
      </c>
      <c r="AN617" s="195">
        <f t="shared" si="876"/>
        <v>579.90979114744096</v>
      </c>
      <c r="AO617" s="195">
        <f t="shared" si="876"/>
        <v>579.90979114744096</v>
      </c>
      <c r="AP617" s="195">
        <f t="shared" si="876"/>
        <v>579.90979114744096</v>
      </c>
      <c r="AQ617" s="195">
        <f t="shared" si="876"/>
        <v>579.90979114744096</v>
      </c>
      <c r="AR617" s="195">
        <f t="shared" si="876"/>
        <v>579.90979114744096</v>
      </c>
      <c r="AS617" s="195">
        <f t="shared" si="876"/>
        <v>579.90979114744096</v>
      </c>
      <c r="AT617" s="195">
        <f t="shared" si="876"/>
        <v>579.90979114744096</v>
      </c>
      <c r="AU617" s="195">
        <f t="shared" si="876"/>
        <v>579.90979114744096</v>
      </c>
      <c r="AV617" s="195">
        <f t="shared" si="876"/>
        <v>579.90979114744096</v>
      </c>
      <c r="AW617" s="195">
        <f t="shared" si="876"/>
        <v>579.90979114744096</v>
      </c>
      <c r="AX617" s="195">
        <f t="shared" si="876"/>
        <v>579.90979114744096</v>
      </c>
      <c r="AY617" s="195">
        <f t="shared" si="876"/>
        <v>579.90979114744096</v>
      </c>
      <c r="AZ617" s="195">
        <f t="shared" si="876"/>
        <v>579.90979114744096</v>
      </c>
      <c r="BA617" s="707">
        <f t="shared" si="876"/>
        <v>579.90979114744096</v>
      </c>
    </row>
    <row r="618" spans="19:53" ht="20.100000000000001" customHeight="1">
      <c r="S618" s="101" t="s">
        <v>60</v>
      </c>
      <c r="T618" s="383"/>
      <c r="U618" s="445">
        <f>INDEX('DEFAULT DATA'!$LH$9:$LL$41,START!$C$3,1)</f>
        <v>0</v>
      </c>
      <c r="V618" s="445">
        <f>100-U618</f>
        <v>100</v>
      </c>
      <c r="W618" s="133" t="s">
        <v>2720</v>
      </c>
      <c r="X618" s="195">
        <f>$U618/100*X$616+$V618/100*X$617</f>
        <v>579.90979114744096</v>
      </c>
      <c r="Y618" s="195">
        <f t="shared" ref="Y618:BA622" si="877">$U618/100*Y$616+$V618/100*Y$617</f>
        <v>579.90979114744096</v>
      </c>
      <c r="Z618" s="195">
        <f t="shared" si="877"/>
        <v>579.90979114744096</v>
      </c>
      <c r="AA618" s="195">
        <f t="shared" si="877"/>
        <v>579.90979114744096</v>
      </c>
      <c r="AB618" s="195">
        <f t="shared" si="877"/>
        <v>579.90979114744096</v>
      </c>
      <c r="AC618" s="195">
        <f t="shared" si="877"/>
        <v>579.90979114744096</v>
      </c>
      <c r="AD618" s="195">
        <f t="shared" si="877"/>
        <v>579.90979114744096</v>
      </c>
      <c r="AE618" s="195">
        <f t="shared" si="877"/>
        <v>579.90979114744096</v>
      </c>
      <c r="AF618" s="195">
        <f t="shared" si="877"/>
        <v>579.90979114744096</v>
      </c>
      <c r="AG618" s="195">
        <f t="shared" si="877"/>
        <v>579.90979114744096</v>
      </c>
      <c r="AH618" s="195">
        <f t="shared" si="877"/>
        <v>579.90979114744096</v>
      </c>
      <c r="AI618" s="195">
        <f t="shared" si="877"/>
        <v>579.90979114744096</v>
      </c>
      <c r="AJ618" s="195">
        <f t="shared" si="877"/>
        <v>579.90979114744096</v>
      </c>
      <c r="AK618" s="195">
        <f t="shared" si="877"/>
        <v>579.90979114744096</v>
      </c>
      <c r="AL618" s="195">
        <f t="shared" si="877"/>
        <v>579.90979114744096</v>
      </c>
      <c r="AM618" s="195">
        <f t="shared" si="877"/>
        <v>579.90979114744096</v>
      </c>
      <c r="AN618" s="195">
        <f t="shared" si="877"/>
        <v>579.90979114744096</v>
      </c>
      <c r="AO618" s="195">
        <f t="shared" si="877"/>
        <v>579.90979114744096</v>
      </c>
      <c r="AP618" s="195">
        <f t="shared" si="877"/>
        <v>579.90979114744096</v>
      </c>
      <c r="AQ618" s="195">
        <f t="shared" si="877"/>
        <v>579.90979114744096</v>
      </c>
      <c r="AR618" s="195">
        <f t="shared" si="877"/>
        <v>579.90979114744096</v>
      </c>
      <c r="AS618" s="195">
        <f t="shared" si="877"/>
        <v>579.90979114744096</v>
      </c>
      <c r="AT618" s="195">
        <f t="shared" si="877"/>
        <v>579.90979114744096</v>
      </c>
      <c r="AU618" s="195">
        <f t="shared" si="877"/>
        <v>579.90979114744096</v>
      </c>
      <c r="AV618" s="195">
        <f t="shared" si="877"/>
        <v>579.90979114744096</v>
      </c>
      <c r="AW618" s="195">
        <f t="shared" si="877"/>
        <v>579.90979114744096</v>
      </c>
      <c r="AX618" s="195">
        <f t="shared" si="877"/>
        <v>579.90979114744096</v>
      </c>
      <c r="AY618" s="195">
        <f t="shared" si="877"/>
        <v>579.90979114744096</v>
      </c>
      <c r="AZ618" s="195">
        <f t="shared" si="877"/>
        <v>579.90979114744096</v>
      </c>
      <c r="BA618" s="707">
        <f t="shared" si="877"/>
        <v>579.90979114744096</v>
      </c>
    </row>
    <row r="619" spans="19:53" ht="20.100000000000001" customHeight="1">
      <c r="S619" s="101" t="s">
        <v>61</v>
      </c>
      <c r="T619" s="383"/>
      <c r="U619" s="445">
        <f>INDEX('DEFAULT DATA'!$LH$9:$LL$41,START!$C$3,2)</f>
        <v>10</v>
      </c>
      <c r="V619" s="445">
        <f t="shared" ref="V619:V622" si="878">100-U619</f>
        <v>90</v>
      </c>
      <c r="W619" s="133" t="s">
        <v>2721</v>
      </c>
      <c r="X619" s="195">
        <f t="shared" ref="X619:AM622" si="879">$U619/100*X$616+$V619/100*X$617</f>
        <v>558.91305733003367</v>
      </c>
      <c r="Y619" s="195">
        <f t="shared" si="879"/>
        <v>558.91305733003367</v>
      </c>
      <c r="Z619" s="195">
        <f t="shared" si="879"/>
        <v>558.91305733003367</v>
      </c>
      <c r="AA619" s="195">
        <f t="shared" si="879"/>
        <v>558.91305733003367</v>
      </c>
      <c r="AB619" s="195">
        <f t="shared" si="879"/>
        <v>558.91305733003367</v>
      </c>
      <c r="AC619" s="195">
        <f t="shared" si="879"/>
        <v>558.91305733003367</v>
      </c>
      <c r="AD619" s="195">
        <f t="shared" si="879"/>
        <v>558.91305733003367</v>
      </c>
      <c r="AE619" s="195">
        <f t="shared" si="879"/>
        <v>558.91305733003367</v>
      </c>
      <c r="AF619" s="195">
        <f t="shared" si="879"/>
        <v>558.91305733003367</v>
      </c>
      <c r="AG619" s="195">
        <f t="shared" si="879"/>
        <v>558.91305733003367</v>
      </c>
      <c r="AH619" s="195">
        <f t="shared" si="879"/>
        <v>558.91305733003367</v>
      </c>
      <c r="AI619" s="195">
        <f t="shared" si="879"/>
        <v>558.91305733003367</v>
      </c>
      <c r="AJ619" s="195">
        <f t="shared" si="879"/>
        <v>558.91305733003367</v>
      </c>
      <c r="AK619" s="195">
        <f t="shared" si="879"/>
        <v>558.91305733003367</v>
      </c>
      <c r="AL619" s="195">
        <f t="shared" si="879"/>
        <v>558.91305733003367</v>
      </c>
      <c r="AM619" s="195">
        <f t="shared" si="879"/>
        <v>558.91305733003367</v>
      </c>
      <c r="AN619" s="195">
        <f t="shared" si="877"/>
        <v>558.91305733003367</v>
      </c>
      <c r="AO619" s="195">
        <f t="shared" si="877"/>
        <v>558.91305733003367</v>
      </c>
      <c r="AP619" s="195">
        <f t="shared" si="877"/>
        <v>558.91305733003367</v>
      </c>
      <c r="AQ619" s="195">
        <f t="shared" si="877"/>
        <v>558.91305733003367</v>
      </c>
      <c r="AR619" s="195">
        <f t="shared" si="877"/>
        <v>558.91305733003367</v>
      </c>
      <c r="AS619" s="195">
        <f t="shared" si="877"/>
        <v>558.91305733003367</v>
      </c>
      <c r="AT619" s="195">
        <f t="shared" si="877"/>
        <v>558.91305733003367</v>
      </c>
      <c r="AU619" s="195">
        <f t="shared" si="877"/>
        <v>558.91305733003367</v>
      </c>
      <c r="AV619" s="195">
        <f t="shared" si="877"/>
        <v>558.91305733003367</v>
      </c>
      <c r="AW619" s="195">
        <f t="shared" si="877"/>
        <v>558.91305733003367</v>
      </c>
      <c r="AX619" s="195">
        <f t="shared" si="877"/>
        <v>558.91305733003367</v>
      </c>
      <c r="AY619" s="195">
        <f t="shared" si="877"/>
        <v>558.91305733003367</v>
      </c>
      <c r="AZ619" s="195">
        <f t="shared" si="877"/>
        <v>558.91305733003367</v>
      </c>
      <c r="BA619" s="707">
        <f t="shared" si="877"/>
        <v>558.91305733003367</v>
      </c>
    </row>
    <row r="620" spans="19:53" ht="20.100000000000001" customHeight="1">
      <c r="S620" s="101" t="s">
        <v>62</v>
      </c>
      <c r="T620" s="383"/>
      <c r="U620" s="445">
        <f>INDEX('DEFAULT DATA'!$LH$9:$LL$41,START!$C$3,3)</f>
        <v>20</v>
      </c>
      <c r="V620" s="445">
        <f t="shared" si="878"/>
        <v>80</v>
      </c>
      <c r="W620" s="133" t="s">
        <v>2722</v>
      </c>
      <c r="X620" s="195">
        <f t="shared" si="879"/>
        <v>537.91632351262626</v>
      </c>
      <c r="Y620" s="195">
        <f t="shared" si="877"/>
        <v>537.91632351262626</v>
      </c>
      <c r="Z620" s="195">
        <f t="shared" si="877"/>
        <v>537.91632351262626</v>
      </c>
      <c r="AA620" s="195">
        <f t="shared" si="877"/>
        <v>537.91632351262626</v>
      </c>
      <c r="AB620" s="195">
        <f t="shared" si="877"/>
        <v>537.91632351262626</v>
      </c>
      <c r="AC620" s="195">
        <f t="shared" si="877"/>
        <v>537.91632351262626</v>
      </c>
      <c r="AD620" s="195">
        <f t="shared" si="877"/>
        <v>537.91632351262626</v>
      </c>
      <c r="AE620" s="195">
        <f t="shared" si="877"/>
        <v>537.91632351262626</v>
      </c>
      <c r="AF620" s="195">
        <f t="shared" si="877"/>
        <v>537.91632351262626</v>
      </c>
      <c r="AG620" s="195">
        <f t="shared" si="877"/>
        <v>537.91632351262626</v>
      </c>
      <c r="AH620" s="195">
        <f t="shared" si="877"/>
        <v>537.91632351262626</v>
      </c>
      <c r="AI620" s="195">
        <f t="shared" si="877"/>
        <v>537.91632351262626</v>
      </c>
      <c r="AJ620" s="195">
        <f t="shared" si="877"/>
        <v>537.91632351262626</v>
      </c>
      <c r="AK620" s="195">
        <f t="shared" si="877"/>
        <v>537.91632351262626</v>
      </c>
      <c r="AL620" s="195">
        <f t="shared" si="877"/>
        <v>537.91632351262626</v>
      </c>
      <c r="AM620" s="195">
        <f t="shared" si="877"/>
        <v>537.91632351262626</v>
      </c>
      <c r="AN620" s="195">
        <f t="shared" si="877"/>
        <v>537.91632351262626</v>
      </c>
      <c r="AO620" s="195">
        <f t="shared" si="877"/>
        <v>537.91632351262626</v>
      </c>
      <c r="AP620" s="195">
        <f t="shared" si="877"/>
        <v>537.91632351262626</v>
      </c>
      <c r="AQ620" s="195">
        <f t="shared" si="877"/>
        <v>537.91632351262626</v>
      </c>
      <c r="AR620" s="195">
        <f t="shared" si="877"/>
        <v>537.91632351262626</v>
      </c>
      <c r="AS620" s="195">
        <f t="shared" si="877"/>
        <v>537.91632351262626</v>
      </c>
      <c r="AT620" s="195">
        <f t="shared" si="877"/>
        <v>537.91632351262626</v>
      </c>
      <c r="AU620" s="195">
        <f t="shared" si="877"/>
        <v>537.91632351262626</v>
      </c>
      <c r="AV620" s="195">
        <f t="shared" si="877"/>
        <v>537.91632351262626</v>
      </c>
      <c r="AW620" s="195">
        <f t="shared" si="877"/>
        <v>537.91632351262626</v>
      </c>
      <c r="AX620" s="195">
        <f t="shared" si="877"/>
        <v>537.91632351262626</v>
      </c>
      <c r="AY620" s="195">
        <f t="shared" si="877"/>
        <v>537.91632351262626</v>
      </c>
      <c r="AZ620" s="195">
        <f t="shared" si="877"/>
        <v>537.91632351262626</v>
      </c>
      <c r="BA620" s="707">
        <f t="shared" si="877"/>
        <v>537.91632351262626</v>
      </c>
    </row>
    <row r="621" spans="19:53" ht="20.100000000000001" customHeight="1">
      <c r="S621" s="101" t="s">
        <v>63</v>
      </c>
      <c r="T621" s="383"/>
      <c r="U621" s="445">
        <f>INDEX('DEFAULT DATA'!$LH$9:$LL$41,START!$C$3,4)</f>
        <v>70</v>
      </c>
      <c r="V621" s="445">
        <f t="shared" si="878"/>
        <v>30</v>
      </c>
      <c r="W621" s="133" t="s">
        <v>2861</v>
      </c>
      <c r="X621" s="195">
        <f t="shared" si="879"/>
        <v>432.93265442558948</v>
      </c>
      <c r="Y621" s="195">
        <f t="shared" si="877"/>
        <v>432.93265442558948</v>
      </c>
      <c r="Z621" s="195">
        <f t="shared" si="877"/>
        <v>432.93265442558948</v>
      </c>
      <c r="AA621" s="195">
        <f t="shared" si="877"/>
        <v>432.93265442558948</v>
      </c>
      <c r="AB621" s="195">
        <f t="shared" si="877"/>
        <v>432.93265442558948</v>
      </c>
      <c r="AC621" s="195">
        <f t="shared" si="877"/>
        <v>432.93265442558948</v>
      </c>
      <c r="AD621" s="195">
        <f t="shared" si="877"/>
        <v>432.93265442558948</v>
      </c>
      <c r="AE621" s="195">
        <f t="shared" si="877"/>
        <v>432.93265442558948</v>
      </c>
      <c r="AF621" s="195">
        <f t="shared" si="877"/>
        <v>432.93265442558948</v>
      </c>
      <c r="AG621" s="195">
        <f t="shared" si="877"/>
        <v>432.93265442558948</v>
      </c>
      <c r="AH621" s="195">
        <f t="shared" si="877"/>
        <v>432.93265442558948</v>
      </c>
      <c r="AI621" s="195">
        <f t="shared" si="877"/>
        <v>432.93265442558948</v>
      </c>
      <c r="AJ621" s="195">
        <f t="shared" si="877"/>
        <v>432.93265442558948</v>
      </c>
      <c r="AK621" s="195">
        <f t="shared" si="877"/>
        <v>432.93265442558948</v>
      </c>
      <c r="AL621" s="195">
        <f t="shared" si="877"/>
        <v>432.93265442558948</v>
      </c>
      <c r="AM621" s="195">
        <f t="shared" si="877"/>
        <v>432.93265442558948</v>
      </c>
      <c r="AN621" s="195">
        <f t="shared" si="877"/>
        <v>432.93265442558948</v>
      </c>
      <c r="AO621" s="195">
        <f t="shared" si="877"/>
        <v>432.93265442558948</v>
      </c>
      <c r="AP621" s="195">
        <f t="shared" si="877"/>
        <v>432.93265442558948</v>
      </c>
      <c r="AQ621" s="195">
        <f t="shared" si="877"/>
        <v>432.93265442558948</v>
      </c>
      <c r="AR621" s="195">
        <f t="shared" si="877"/>
        <v>432.93265442558948</v>
      </c>
      <c r="AS621" s="195">
        <f t="shared" si="877"/>
        <v>432.93265442558948</v>
      </c>
      <c r="AT621" s="195">
        <f t="shared" si="877"/>
        <v>432.93265442558948</v>
      </c>
      <c r="AU621" s="195">
        <f t="shared" si="877"/>
        <v>432.93265442558948</v>
      </c>
      <c r="AV621" s="195">
        <f t="shared" si="877"/>
        <v>432.93265442558948</v>
      </c>
      <c r="AW621" s="195">
        <f t="shared" si="877"/>
        <v>432.93265442558948</v>
      </c>
      <c r="AX621" s="195">
        <f t="shared" si="877"/>
        <v>432.93265442558948</v>
      </c>
      <c r="AY621" s="195">
        <f t="shared" si="877"/>
        <v>432.93265442558948</v>
      </c>
      <c r="AZ621" s="195">
        <f t="shared" si="877"/>
        <v>432.93265442558948</v>
      </c>
      <c r="BA621" s="707">
        <f t="shared" si="877"/>
        <v>432.93265442558948</v>
      </c>
    </row>
    <row r="622" spans="19:53" ht="20.100000000000001" customHeight="1">
      <c r="S622" s="101" t="s">
        <v>64</v>
      </c>
      <c r="T622" s="383"/>
      <c r="U622" s="445">
        <f>INDEX('DEFAULT DATA'!$LH$9:$LL$41,START!$C$3,5)</f>
        <v>100</v>
      </c>
      <c r="V622" s="445">
        <f t="shared" si="878"/>
        <v>0</v>
      </c>
      <c r="W622" s="133" t="s">
        <v>2862</v>
      </c>
      <c r="X622" s="195">
        <f t="shared" si="879"/>
        <v>369.94245297336749</v>
      </c>
      <c r="Y622" s="195">
        <f t="shared" si="877"/>
        <v>369.94245297336749</v>
      </c>
      <c r="Z622" s="195">
        <f t="shared" si="877"/>
        <v>369.94245297336749</v>
      </c>
      <c r="AA622" s="195">
        <f t="shared" si="877"/>
        <v>369.94245297336749</v>
      </c>
      <c r="AB622" s="195">
        <f t="shared" si="877"/>
        <v>369.94245297336749</v>
      </c>
      <c r="AC622" s="195">
        <f t="shared" si="877"/>
        <v>369.94245297336749</v>
      </c>
      <c r="AD622" s="195">
        <f t="shared" si="877"/>
        <v>369.94245297336749</v>
      </c>
      <c r="AE622" s="195">
        <f t="shared" si="877"/>
        <v>369.94245297336749</v>
      </c>
      <c r="AF622" s="195">
        <f t="shared" si="877"/>
        <v>369.94245297336749</v>
      </c>
      <c r="AG622" s="195">
        <f t="shared" si="877"/>
        <v>369.94245297336749</v>
      </c>
      <c r="AH622" s="195">
        <f t="shared" si="877"/>
        <v>369.94245297336749</v>
      </c>
      <c r="AI622" s="195">
        <f t="shared" si="877"/>
        <v>369.94245297336749</v>
      </c>
      <c r="AJ622" s="195">
        <f t="shared" si="877"/>
        <v>369.94245297336749</v>
      </c>
      <c r="AK622" s="195">
        <f t="shared" si="877"/>
        <v>369.94245297336749</v>
      </c>
      <c r="AL622" s="195">
        <f t="shared" si="877"/>
        <v>369.94245297336749</v>
      </c>
      <c r="AM622" s="195">
        <f t="shared" si="877"/>
        <v>369.94245297336749</v>
      </c>
      <c r="AN622" s="195">
        <f t="shared" si="877"/>
        <v>369.94245297336749</v>
      </c>
      <c r="AO622" s="195">
        <f t="shared" si="877"/>
        <v>369.94245297336749</v>
      </c>
      <c r="AP622" s="195">
        <f t="shared" si="877"/>
        <v>369.94245297336749</v>
      </c>
      <c r="AQ622" s="195">
        <f t="shared" si="877"/>
        <v>369.94245297336749</v>
      </c>
      <c r="AR622" s="195">
        <f t="shared" si="877"/>
        <v>369.94245297336749</v>
      </c>
      <c r="AS622" s="195">
        <f t="shared" si="877"/>
        <v>369.94245297336749</v>
      </c>
      <c r="AT622" s="195">
        <f t="shared" si="877"/>
        <v>369.94245297336749</v>
      </c>
      <c r="AU622" s="195">
        <f t="shared" si="877"/>
        <v>369.94245297336749</v>
      </c>
      <c r="AV622" s="195">
        <f t="shared" si="877"/>
        <v>369.94245297336749</v>
      </c>
      <c r="AW622" s="195">
        <f t="shared" si="877"/>
        <v>369.94245297336749</v>
      </c>
      <c r="AX622" s="195">
        <f t="shared" si="877"/>
        <v>369.94245297336749</v>
      </c>
      <c r="AY622" s="195">
        <f t="shared" si="877"/>
        <v>369.94245297336749</v>
      </c>
      <c r="AZ622" s="195">
        <f t="shared" si="877"/>
        <v>369.94245297336749</v>
      </c>
      <c r="BA622" s="707">
        <f t="shared" si="877"/>
        <v>369.94245297336749</v>
      </c>
    </row>
    <row r="623" spans="19:53" ht="20.100000000000001" customHeight="1">
      <c r="S623" s="101" t="s">
        <v>2603</v>
      </c>
      <c r="T623" s="383" t="s">
        <v>116</v>
      </c>
      <c r="U623" s="445"/>
      <c r="V623" s="445"/>
      <c r="W623" s="445" t="s">
        <v>845</v>
      </c>
      <c r="X623" s="195">
        <f>(X294/100*X618)+(X295/100*X619)+(X296/100)*(X620+X297/100*X621)+(X298/100*X622)</f>
        <v>0</v>
      </c>
      <c r="Y623" s="195">
        <f>(Y294/100*Y618)+(Y295/100*Y619)+(Y296/100)*(Y620+Y297/100*Y621)+(Y298/100*Y622)</f>
        <v>548.41469042132996</v>
      </c>
      <c r="Z623" s="195">
        <f t="shared" ref="Z623:BA623" si="880">(Z294/100*Z618)+(Z295/100*Z619)+(Z296/100)*(Z620+Z297/100*Z621)+(Z298/100*Z622)</f>
        <v>548.41469042132996</v>
      </c>
      <c r="AA623" s="195">
        <f t="shared" si="880"/>
        <v>548.41469042132996</v>
      </c>
      <c r="AB623" s="195">
        <f t="shared" si="880"/>
        <v>548.41469042132996</v>
      </c>
      <c r="AC623" s="195">
        <f t="shared" si="880"/>
        <v>548.41469042132996</v>
      </c>
      <c r="AD623" s="195">
        <f t="shared" si="880"/>
        <v>548.41469042132996</v>
      </c>
      <c r="AE623" s="195">
        <f t="shared" si="880"/>
        <v>548.41469042132996</v>
      </c>
      <c r="AF623" s="195">
        <f t="shared" si="880"/>
        <v>548.41469042132996</v>
      </c>
      <c r="AG623" s="195">
        <f t="shared" si="880"/>
        <v>548.41469042132996</v>
      </c>
      <c r="AH623" s="195">
        <f t="shared" si="880"/>
        <v>548.41469042132996</v>
      </c>
      <c r="AI623" s="195">
        <f t="shared" si="880"/>
        <v>548.41469042132996</v>
      </c>
      <c r="AJ623" s="195">
        <f t="shared" si="880"/>
        <v>548.41469042132996</v>
      </c>
      <c r="AK623" s="195">
        <f t="shared" si="880"/>
        <v>548.41469042132996</v>
      </c>
      <c r="AL623" s="195">
        <f t="shared" si="880"/>
        <v>548.41469042132996</v>
      </c>
      <c r="AM623" s="195">
        <f t="shared" si="880"/>
        <v>548.41469042132996</v>
      </c>
      <c r="AN623" s="195">
        <f t="shared" si="880"/>
        <v>548.41469042132996</v>
      </c>
      <c r="AO623" s="195">
        <f t="shared" si="880"/>
        <v>548.41469042132996</v>
      </c>
      <c r="AP623" s="195">
        <f t="shared" si="880"/>
        <v>548.41469042132996</v>
      </c>
      <c r="AQ623" s="195">
        <f t="shared" si="880"/>
        <v>548.41469042132996</v>
      </c>
      <c r="AR623" s="195">
        <f t="shared" si="880"/>
        <v>548.41469042132996</v>
      </c>
      <c r="AS623" s="195">
        <f t="shared" si="880"/>
        <v>548.41469042132996</v>
      </c>
      <c r="AT623" s="195">
        <f t="shared" si="880"/>
        <v>548.41469042132996</v>
      </c>
      <c r="AU623" s="195">
        <f t="shared" si="880"/>
        <v>548.41469042132996</v>
      </c>
      <c r="AV623" s="195">
        <f t="shared" si="880"/>
        <v>548.41469042132996</v>
      </c>
      <c r="AW623" s="195">
        <f t="shared" si="880"/>
        <v>548.41469042132996</v>
      </c>
      <c r="AX623" s="195">
        <f t="shared" si="880"/>
        <v>548.41469042132996</v>
      </c>
      <c r="AY623" s="195">
        <f t="shared" si="880"/>
        <v>548.41469042132996</v>
      </c>
      <c r="AZ623" s="195">
        <f t="shared" si="880"/>
        <v>548.41469042132996</v>
      </c>
      <c r="BA623" s="707">
        <f t="shared" si="880"/>
        <v>548.41469042132996</v>
      </c>
    </row>
    <row r="624" spans="19:53" ht="20.100000000000001" customHeight="1" thickBot="1">
      <c r="S624" s="557" t="s">
        <v>2902</v>
      </c>
      <c r="T624" s="968" t="s">
        <v>2894</v>
      </c>
      <c r="U624" s="155"/>
      <c r="V624" s="155"/>
      <c r="W624" s="559"/>
      <c r="X624" s="197">
        <f>X615*X623/1000</f>
        <v>0</v>
      </c>
      <c r="Y624" s="197">
        <f t="shared" ref="Y624:BA624" si="881">Y615*Y623/1000</f>
        <v>29.641957853139782</v>
      </c>
      <c r="Z624" s="197">
        <f t="shared" si="881"/>
        <v>30.383006799468273</v>
      </c>
      <c r="AA624" s="197">
        <f t="shared" si="881"/>
        <v>31.142581969454977</v>
      </c>
      <c r="AB624" s="197">
        <f t="shared" si="881"/>
        <v>22.56825058871479</v>
      </c>
      <c r="AC624" s="197">
        <f t="shared" si="881"/>
        <v>13.545738525206673</v>
      </c>
      <c r="AD624" s="197">
        <f t="shared" si="881"/>
        <v>13.884381988336841</v>
      </c>
      <c r="AE624" s="197">
        <f t="shared" si="881"/>
        <v>14.231491538045262</v>
      </c>
      <c r="AF624" s="197">
        <f t="shared" si="881"/>
        <v>14.587278826496393</v>
      </c>
      <c r="AG624" s="197">
        <f t="shared" si="881"/>
        <v>14.951960797158803</v>
      </c>
      <c r="AH624" s="197">
        <f t="shared" si="881"/>
        <v>15.146336287521866</v>
      </c>
      <c r="AI624" s="197">
        <f t="shared" si="881"/>
        <v>15.343238659259647</v>
      </c>
      <c r="AJ624" s="197">
        <f t="shared" si="881"/>
        <v>15.542700761830025</v>
      </c>
      <c r="AK624" s="197">
        <f t="shared" si="881"/>
        <v>15.744755871733815</v>
      </c>
      <c r="AL624" s="197">
        <f t="shared" si="881"/>
        <v>15.949437698066351</v>
      </c>
      <c r="AM624" s="197">
        <f t="shared" si="881"/>
        <v>16.156780388141222</v>
      </c>
      <c r="AN624" s="197">
        <f t="shared" si="881"/>
        <v>16.36681853318705</v>
      </c>
      <c r="AO624" s="197">
        <f t="shared" si="881"/>
        <v>16.579587174118483</v>
      </c>
      <c r="AP624" s="197">
        <f t="shared" si="881"/>
        <v>16.795121807382024</v>
      </c>
      <c r="AQ624" s="197">
        <f t="shared" si="881"/>
        <v>17.013458390877986</v>
      </c>
      <c r="AR624" s="197">
        <f t="shared" si="881"/>
        <v>17.234633349959399</v>
      </c>
      <c r="AS624" s="197">
        <f t="shared" si="881"/>
        <v>17.458683583508872</v>
      </c>
      <c r="AT624" s="197">
        <f t="shared" si="881"/>
        <v>17.685646470094486</v>
      </c>
      <c r="AU624" s="197">
        <f t="shared" si="881"/>
        <v>17.915559874205716</v>
      </c>
      <c r="AV624" s="197">
        <f t="shared" si="881"/>
        <v>18.148462152570392</v>
      </c>
      <c r="AW624" s="197">
        <f t="shared" si="881"/>
        <v>18.384392160553805</v>
      </c>
      <c r="AX624" s="197">
        <f t="shared" si="881"/>
        <v>18.623389258641005</v>
      </c>
      <c r="AY624" s="197">
        <f t="shared" si="881"/>
        <v>18.865493319003335</v>
      </c>
      <c r="AZ624" s="197">
        <f t="shared" si="881"/>
        <v>19.11074473215038</v>
      </c>
      <c r="BA624" s="566">
        <f t="shared" si="881"/>
        <v>19.359184413668331</v>
      </c>
    </row>
    <row r="625" spans="19:53" ht="20.100000000000001" customHeight="1">
      <c r="T625" s="82"/>
      <c r="U625" s="82"/>
      <c r="V625" s="82"/>
      <c r="W625" s="82"/>
      <c r="X625" s="82"/>
    </row>
    <row r="626" spans="19:53" ht="20.100000000000001" customHeight="1" thickBot="1">
      <c r="T626" s="82"/>
      <c r="U626" s="82"/>
      <c r="V626" s="82"/>
      <c r="W626" s="82"/>
      <c r="X626" s="82"/>
    </row>
    <row r="627" spans="19:53" ht="20.100000000000001" customHeight="1">
      <c r="S627" s="299" t="s">
        <v>2895</v>
      </c>
      <c r="T627" s="138"/>
      <c r="U627" s="138"/>
      <c r="V627" s="138"/>
      <c r="W627" s="138"/>
      <c r="X627" s="957">
        <v>2021</v>
      </c>
      <c r="Y627" s="957">
        <v>2022</v>
      </c>
      <c r="Z627" s="957">
        <v>2023</v>
      </c>
      <c r="AA627" s="957">
        <v>2024</v>
      </c>
      <c r="AB627" s="957">
        <v>2025</v>
      </c>
      <c r="AC627" s="957">
        <v>2026</v>
      </c>
      <c r="AD627" s="957">
        <v>2027</v>
      </c>
      <c r="AE627" s="957">
        <v>2028</v>
      </c>
      <c r="AF627" s="957">
        <v>2029</v>
      </c>
      <c r="AG627" s="957">
        <v>2030</v>
      </c>
      <c r="AH627" s="957">
        <v>2031</v>
      </c>
      <c r="AI627" s="957">
        <v>2032</v>
      </c>
      <c r="AJ627" s="957">
        <v>2033</v>
      </c>
      <c r="AK627" s="957">
        <v>2034</v>
      </c>
      <c r="AL627" s="957">
        <v>2035</v>
      </c>
      <c r="AM627" s="957">
        <v>2036</v>
      </c>
      <c r="AN627" s="957">
        <v>2037</v>
      </c>
      <c r="AO627" s="957">
        <v>2038</v>
      </c>
      <c r="AP627" s="957">
        <v>2039</v>
      </c>
      <c r="AQ627" s="957">
        <v>2040</v>
      </c>
      <c r="AR627" s="957">
        <v>2041</v>
      </c>
      <c r="AS627" s="957">
        <v>2042</v>
      </c>
      <c r="AT627" s="957">
        <v>2043</v>
      </c>
      <c r="AU627" s="957">
        <v>2044</v>
      </c>
      <c r="AV627" s="957">
        <v>2045</v>
      </c>
      <c r="AW627" s="957">
        <v>2046</v>
      </c>
      <c r="AX627" s="957">
        <v>2047</v>
      </c>
      <c r="AY627" s="957">
        <v>2048</v>
      </c>
      <c r="AZ627" s="957">
        <v>2049</v>
      </c>
      <c r="BA627" s="153">
        <v>2050</v>
      </c>
    </row>
    <row r="628" spans="19:53" ht="20.100000000000001" customHeight="1">
      <c r="S628" s="101" t="s">
        <v>2867</v>
      </c>
      <c r="T628" s="961" t="s">
        <v>2897</v>
      </c>
      <c r="U628" s="135"/>
      <c r="V628" s="135"/>
      <c r="W628" s="445"/>
      <c r="X628" s="195">
        <f>X424</f>
        <v>0</v>
      </c>
      <c r="Y628" s="195">
        <f t="shared" ref="Y628:BA628" si="882">Y424</f>
        <v>0</v>
      </c>
      <c r="Z628" s="195">
        <f t="shared" si="882"/>
        <v>0</v>
      </c>
      <c r="AA628" s="195">
        <f t="shared" si="882"/>
        <v>0</v>
      </c>
      <c r="AB628" s="195">
        <f t="shared" si="882"/>
        <v>0</v>
      </c>
      <c r="AC628" s="195">
        <f t="shared" si="882"/>
        <v>0</v>
      </c>
      <c r="AD628" s="195">
        <f t="shared" si="882"/>
        <v>0</v>
      </c>
      <c r="AE628" s="195">
        <f t="shared" si="882"/>
        <v>0</v>
      </c>
      <c r="AF628" s="195">
        <f t="shared" si="882"/>
        <v>0</v>
      </c>
      <c r="AG628" s="195">
        <f t="shared" si="882"/>
        <v>0</v>
      </c>
      <c r="AH628" s="195">
        <f t="shared" si="882"/>
        <v>0</v>
      </c>
      <c r="AI628" s="195">
        <f t="shared" si="882"/>
        <v>0</v>
      </c>
      <c r="AJ628" s="195">
        <f t="shared" si="882"/>
        <v>0</v>
      </c>
      <c r="AK628" s="195">
        <f t="shared" si="882"/>
        <v>0</v>
      </c>
      <c r="AL628" s="195">
        <f t="shared" si="882"/>
        <v>0</v>
      </c>
      <c r="AM628" s="195">
        <f t="shared" si="882"/>
        <v>0</v>
      </c>
      <c r="AN628" s="195">
        <f t="shared" si="882"/>
        <v>0</v>
      </c>
      <c r="AO628" s="195">
        <f t="shared" si="882"/>
        <v>0</v>
      </c>
      <c r="AP628" s="195">
        <f t="shared" si="882"/>
        <v>0</v>
      </c>
      <c r="AQ628" s="195">
        <f t="shared" si="882"/>
        <v>0</v>
      </c>
      <c r="AR628" s="195">
        <f t="shared" si="882"/>
        <v>0</v>
      </c>
      <c r="AS628" s="195">
        <f t="shared" si="882"/>
        <v>0</v>
      </c>
      <c r="AT628" s="195">
        <f t="shared" si="882"/>
        <v>0</v>
      </c>
      <c r="AU628" s="195">
        <f t="shared" si="882"/>
        <v>0</v>
      </c>
      <c r="AV628" s="195">
        <f t="shared" si="882"/>
        <v>0</v>
      </c>
      <c r="AW628" s="195">
        <f t="shared" si="882"/>
        <v>0</v>
      </c>
      <c r="AX628" s="195">
        <f t="shared" si="882"/>
        <v>0</v>
      </c>
      <c r="AY628" s="195">
        <f t="shared" si="882"/>
        <v>0</v>
      </c>
      <c r="AZ628" s="195">
        <f t="shared" si="882"/>
        <v>0</v>
      </c>
      <c r="BA628" s="707">
        <f t="shared" si="882"/>
        <v>0</v>
      </c>
    </row>
    <row r="629" spans="19:53" ht="20.100000000000001" customHeight="1">
      <c r="S629" s="101" t="s">
        <v>2831</v>
      </c>
      <c r="T629" s="960" t="s">
        <v>2898</v>
      </c>
      <c r="U629" s="445"/>
      <c r="V629" s="445"/>
      <c r="W629" s="445"/>
      <c r="X629" s="195">
        <f>X170</f>
        <v>29</v>
      </c>
      <c r="Y629" s="195">
        <f t="shared" ref="Y629:BA629" si="883">Y170</f>
        <v>29</v>
      </c>
      <c r="Z629" s="195">
        <f t="shared" si="883"/>
        <v>29</v>
      </c>
      <c r="AA629" s="195">
        <f t="shared" si="883"/>
        <v>29</v>
      </c>
      <c r="AB629" s="195">
        <f t="shared" si="883"/>
        <v>29</v>
      </c>
      <c r="AC629" s="195">
        <f t="shared" si="883"/>
        <v>29</v>
      </c>
      <c r="AD629" s="195">
        <f t="shared" si="883"/>
        <v>29</v>
      </c>
      <c r="AE629" s="195">
        <f t="shared" si="883"/>
        <v>29</v>
      </c>
      <c r="AF629" s="195">
        <f t="shared" si="883"/>
        <v>29</v>
      </c>
      <c r="AG629" s="195">
        <f t="shared" si="883"/>
        <v>29</v>
      </c>
      <c r="AH629" s="195">
        <f t="shared" si="883"/>
        <v>29</v>
      </c>
      <c r="AI629" s="195">
        <f t="shared" si="883"/>
        <v>29</v>
      </c>
      <c r="AJ629" s="195">
        <f t="shared" si="883"/>
        <v>29</v>
      </c>
      <c r="AK629" s="195">
        <f t="shared" si="883"/>
        <v>29</v>
      </c>
      <c r="AL629" s="195">
        <f t="shared" si="883"/>
        <v>29</v>
      </c>
      <c r="AM629" s="195">
        <f t="shared" si="883"/>
        <v>29</v>
      </c>
      <c r="AN629" s="195">
        <f t="shared" si="883"/>
        <v>29</v>
      </c>
      <c r="AO629" s="195">
        <f t="shared" si="883"/>
        <v>29</v>
      </c>
      <c r="AP629" s="195">
        <f t="shared" si="883"/>
        <v>29</v>
      </c>
      <c r="AQ629" s="195">
        <f t="shared" si="883"/>
        <v>29</v>
      </c>
      <c r="AR629" s="195">
        <f t="shared" si="883"/>
        <v>29</v>
      </c>
      <c r="AS629" s="195">
        <f t="shared" si="883"/>
        <v>29</v>
      </c>
      <c r="AT629" s="195">
        <f t="shared" si="883"/>
        <v>29</v>
      </c>
      <c r="AU629" s="195">
        <f t="shared" si="883"/>
        <v>29</v>
      </c>
      <c r="AV629" s="195">
        <f t="shared" si="883"/>
        <v>29</v>
      </c>
      <c r="AW629" s="195">
        <f t="shared" si="883"/>
        <v>29</v>
      </c>
      <c r="AX629" s="195">
        <f t="shared" si="883"/>
        <v>29</v>
      </c>
      <c r="AY629" s="195">
        <f t="shared" si="883"/>
        <v>29</v>
      </c>
      <c r="AZ629" s="195">
        <f t="shared" si="883"/>
        <v>29</v>
      </c>
      <c r="BA629" s="707">
        <f t="shared" si="883"/>
        <v>29</v>
      </c>
    </row>
    <row r="630" spans="19:53" ht="20.100000000000001" customHeight="1" thickBot="1">
      <c r="S630" s="301" t="s">
        <v>2903</v>
      </c>
      <c r="T630" s="968" t="s">
        <v>2896</v>
      </c>
      <c r="U630" s="559"/>
      <c r="V630" s="559"/>
      <c r="W630" s="155"/>
      <c r="X630" s="197">
        <f>X628*X629/1000</f>
        <v>0</v>
      </c>
      <c r="Y630" s="197">
        <f t="shared" ref="Y630:BA630" si="884">Y628*Y629/1000</f>
        <v>0</v>
      </c>
      <c r="Z630" s="197">
        <f t="shared" si="884"/>
        <v>0</v>
      </c>
      <c r="AA630" s="197">
        <f t="shared" si="884"/>
        <v>0</v>
      </c>
      <c r="AB630" s="197">
        <f t="shared" si="884"/>
        <v>0</v>
      </c>
      <c r="AC630" s="197">
        <f t="shared" si="884"/>
        <v>0</v>
      </c>
      <c r="AD630" s="197">
        <f t="shared" si="884"/>
        <v>0</v>
      </c>
      <c r="AE630" s="197">
        <f t="shared" si="884"/>
        <v>0</v>
      </c>
      <c r="AF630" s="197">
        <f t="shared" si="884"/>
        <v>0</v>
      </c>
      <c r="AG630" s="197">
        <f t="shared" si="884"/>
        <v>0</v>
      </c>
      <c r="AH630" s="197">
        <f t="shared" si="884"/>
        <v>0</v>
      </c>
      <c r="AI630" s="197">
        <f t="shared" si="884"/>
        <v>0</v>
      </c>
      <c r="AJ630" s="197">
        <f t="shared" si="884"/>
        <v>0</v>
      </c>
      <c r="AK630" s="197">
        <f t="shared" si="884"/>
        <v>0</v>
      </c>
      <c r="AL630" s="197">
        <f t="shared" si="884"/>
        <v>0</v>
      </c>
      <c r="AM630" s="197">
        <f t="shared" si="884"/>
        <v>0</v>
      </c>
      <c r="AN630" s="197">
        <f t="shared" si="884"/>
        <v>0</v>
      </c>
      <c r="AO630" s="197">
        <f t="shared" si="884"/>
        <v>0</v>
      </c>
      <c r="AP630" s="197">
        <f t="shared" si="884"/>
        <v>0</v>
      </c>
      <c r="AQ630" s="197">
        <f t="shared" si="884"/>
        <v>0</v>
      </c>
      <c r="AR630" s="197">
        <f t="shared" si="884"/>
        <v>0</v>
      </c>
      <c r="AS630" s="197">
        <f t="shared" si="884"/>
        <v>0</v>
      </c>
      <c r="AT630" s="197">
        <f t="shared" si="884"/>
        <v>0</v>
      </c>
      <c r="AU630" s="197">
        <f t="shared" si="884"/>
        <v>0</v>
      </c>
      <c r="AV630" s="197">
        <f t="shared" si="884"/>
        <v>0</v>
      </c>
      <c r="AW630" s="197">
        <f t="shared" si="884"/>
        <v>0</v>
      </c>
      <c r="AX630" s="197">
        <f t="shared" si="884"/>
        <v>0</v>
      </c>
      <c r="AY630" s="197">
        <f t="shared" si="884"/>
        <v>0</v>
      </c>
      <c r="AZ630" s="197">
        <f t="shared" si="884"/>
        <v>0</v>
      </c>
      <c r="BA630" s="566">
        <f t="shared" si="884"/>
        <v>0</v>
      </c>
    </row>
    <row r="632" spans="19:53" ht="20.100000000000001" customHeight="1" thickBot="1">
      <c r="S632" s="885" t="s">
        <v>2664</v>
      </c>
    </row>
    <row r="633" spans="19:53" ht="20.100000000000001" customHeight="1" thickBot="1">
      <c r="S633" s="295" t="s">
        <v>2658</v>
      </c>
      <c r="T633" s="969"/>
      <c r="U633" s="970"/>
      <c r="V633" s="297"/>
      <c r="W633" s="297">
        <v>2022</v>
      </c>
      <c r="X633" s="297"/>
      <c r="Y633" s="297">
        <v>2022</v>
      </c>
      <c r="Z633" s="297">
        <f t="shared" ref="Z633" si="885">Y633+1</f>
        <v>2023</v>
      </c>
      <c r="AA633" s="297">
        <f t="shared" ref="AA633" si="886">Z633+1</f>
        <v>2024</v>
      </c>
      <c r="AB633" s="297">
        <f t="shared" ref="AB633" si="887">AA633+1</f>
        <v>2025</v>
      </c>
      <c r="AC633" s="297">
        <f t="shared" ref="AC633" si="888">AB633+1</f>
        <v>2026</v>
      </c>
      <c r="AD633" s="297">
        <f t="shared" ref="AD633" si="889">AC633+1</f>
        <v>2027</v>
      </c>
      <c r="AE633" s="297">
        <f t="shared" ref="AE633" si="890">AD633+1</f>
        <v>2028</v>
      </c>
      <c r="AF633" s="297">
        <f t="shared" ref="AF633" si="891">AE633+1</f>
        <v>2029</v>
      </c>
      <c r="AG633" s="297">
        <f t="shared" ref="AG633" si="892">AF633+1</f>
        <v>2030</v>
      </c>
      <c r="AH633" s="297">
        <f t="shared" ref="AH633" si="893">AG633+1</f>
        <v>2031</v>
      </c>
      <c r="AI633" s="297">
        <f t="shared" ref="AI633" si="894">AH633+1</f>
        <v>2032</v>
      </c>
      <c r="AJ633" s="297">
        <f t="shared" ref="AJ633" si="895">AI633+1</f>
        <v>2033</v>
      </c>
      <c r="AK633" s="297">
        <f t="shared" ref="AK633" si="896">AJ633+1</f>
        <v>2034</v>
      </c>
      <c r="AL633" s="297">
        <f t="shared" ref="AL633" si="897">AK633+1</f>
        <v>2035</v>
      </c>
      <c r="AM633" s="297">
        <f t="shared" ref="AM633" si="898">AL633+1</f>
        <v>2036</v>
      </c>
      <c r="AN633" s="297">
        <f t="shared" ref="AN633" si="899">AM633+1</f>
        <v>2037</v>
      </c>
      <c r="AO633" s="297">
        <f t="shared" ref="AO633" si="900">AN633+1</f>
        <v>2038</v>
      </c>
      <c r="AP633" s="297">
        <f t="shared" ref="AP633" si="901">AO633+1</f>
        <v>2039</v>
      </c>
      <c r="AQ633" s="297">
        <f t="shared" ref="AQ633" si="902">AP633+1</f>
        <v>2040</v>
      </c>
      <c r="AR633" s="297">
        <f t="shared" ref="AR633" si="903">AQ633+1</f>
        <v>2041</v>
      </c>
      <c r="AS633" s="297">
        <f t="shared" ref="AS633" si="904">AR633+1</f>
        <v>2042</v>
      </c>
      <c r="AT633" s="297">
        <f t="shared" ref="AT633" si="905">AS633+1</f>
        <v>2043</v>
      </c>
      <c r="AU633" s="297">
        <f t="shared" ref="AU633" si="906">AT633+1</f>
        <v>2044</v>
      </c>
      <c r="AV633" s="297">
        <f t="shared" ref="AV633" si="907">AU633+1</f>
        <v>2045</v>
      </c>
      <c r="AW633" s="297">
        <f t="shared" ref="AW633" si="908">AV633+1</f>
        <v>2046</v>
      </c>
      <c r="AX633" s="297">
        <f t="shared" ref="AX633" si="909">AW633+1</f>
        <v>2047</v>
      </c>
      <c r="AY633" s="297">
        <f t="shared" ref="AY633" si="910">AX633+1</f>
        <v>2048</v>
      </c>
      <c r="AZ633" s="297">
        <f t="shared" ref="AZ633" si="911">AY633+1</f>
        <v>2049</v>
      </c>
      <c r="BA633" s="298">
        <f t="shared" ref="BA633" si="912">AZ633+1</f>
        <v>2050</v>
      </c>
    </row>
    <row r="634" spans="19:53" ht="20.100000000000001" customHeight="1">
      <c r="S634" s="299" t="s">
        <v>2558</v>
      </c>
      <c r="T634" s="890" t="s">
        <v>2882</v>
      </c>
      <c r="U634" s="202"/>
      <c r="V634" s="202"/>
      <c r="W634" s="202"/>
      <c r="X634" s="973"/>
      <c r="Y634" s="973">
        <f t="shared" ref="Y634:BA634" si="913">Y482</f>
        <v>22.834876055489818</v>
      </c>
      <c r="Z634" s="973">
        <f t="shared" si="913"/>
        <v>23.015428153567143</v>
      </c>
      <c r="AA634" s="973">
        <f t="shared" si="913"/>
        <v>23.196991199469142</v>
      </c>
      <c r="AB634" s="973">
        <f t="shared" si="913"/>
        <v>23.379615766568435</v>
      </c>
      <c r="AC634" s="973">
        <f t="shared" si="913"/>
        <v>23.561029081636899</v>
      </c>
      <c r="AD634" s="973">
        <f t="shared" si="913"/>
        <v>23.743190824943646</v>
      </c>
      <c r="AE634" s="973">
        <f t="shared" si="913"/>
        <v>23.926174584952385</v>
      </c>
      <c r="AF634" s="973">
        <f t="shared" si="913"/>
        <v>24.11004812885297</v>
      </c>
      <c r="AG634" s="973">
        <f t="shared" si="913"/>
        <v>24.294873913801055</v>
      </c>
      <c r="AH634" s="973">
        <f t="shared" si="913"/>
        <v>24.45676224506683</v>
      </c>
      <c r="AI634" s="973">
        <f t="shared" si="913"/>
        <v>24.619398367866726</v>
      </c>
      <c r="AJ634" s="973">
        <f t="shared" si="913"/>
        <v>24.782818532040451</v>
      </c>
      <c r="AK634" s="973">
        <f t="shared" si="913"/>
        <v>24.947056638305824</v>
      </c>
      <c r="AL634" s="973">
        <f t="shared" si="913"/>
        <v>25.112144418080547</v>
      </c>
      <c r="AM634" s="973">
        <f t="shared" si="913"/>
        <v>25.274292932162897</v>
      </c>
      <c r="AN634" s="973">
        <f t="shared" si="913"/>
        <v>25.437131026973478</v>
      </c>
      <c r="AO634" s="973">
        <f t="shared" si="913"/>
        <v>25.600696996552397</v>
      </c>
      <c r="AP634" s="973">
        <f t="shared" si="913"/>
        <v>25.76502655604969</v>
      </c>
      <c r="AQ634" s="973">
        <f t="shared" si="913"/>
        <v>25.930153038958462</v>
      </c>
      <c r="AR634" s="973">
        <f t="shared" si="913"/>
        <v>26.096107580265212</v>
      </c>
      <c r="AS634" s="973">
        <f t="shared" si="913"/>
        <v>26.262919286490934</v>
      </c>
      <c r="AT634" s="973">
        <f t="shared" si="913"/>
        <v>26.430615393530644</v>
      </c>
      <c r="AU634" s="973">
        <f t="shared" si="913"/>
        <v>26.599221413137872</v>
      </c>
      <c r="AV634" s="973">
        <f t="shared" si="913"/>
        <v>26.768761268843267</v>
      </c>
      <c r="AW634" s="973">
        <f t="shared" si="913"/>
        <v>26.944010292656621</v>
      </c>
      <c r="AX634" s="973">
        <f t="shared" si="913"/>
        <v>27.120393198651819</v>
      </c>
      <c r="AY634" s="973">
        <f t="shared" si="913"/>
        <v>27.297923624065266</v>
      </c>
      <c r="AZ634" s="973">
        <f t="shared" si="913"/>
        <v>27.476614626218939</v>
      </c>
      <c r="BA634" s="971">
        <f t="shared" si="913"/>
        <v>27.656478735658052</v>
      </c>
    </row>
    <row r="635" spans="19:53" ht="20.100000000000001" customHeight="1">
      <c r="S635" s="101" t="s">
        <v>2559</v>
      </c>
      <c r="T635" s="383" t="s">
        <v>2883</v>
      </c>
      <c r="U635" s="201"/>
      <c r="V635" s="201"/>
      <c r="W635" s="201"/>
      <c r="X635" s="195"/>
      <c r="Y635" s="195">
        <f t="shared" ref="Y635:BA635" si="914">Y586</f>
        <v>314.55178059938839</v>
      </c>
      <c r="Z635" s="195">
        <f t="shared" si="914"/>
        <v>320.8428162113762</v>
      </c>
      <c r="AA635" s="195">
        <f t="shared" si="914"/>
        <v>327.30146238496189</v>
      </c>
      <c r="AB635" s="195">
        <f t="shared" si="914"/>
        <v>333.84425208353889</v>
      </c>
      <c r="AC635" s="195">
        <f t="shared" si="914"/>
        <v>340.51808391495291</v>
      </c>
      <c r="AD635" s="195">
        <f t="shared" si="914"/>
        <v>347.32556800364927</v>
      </c>
      <c r="AE635" s="195">
        <f t="shared" si="914"/>
        <v>354.2693672930734</v>
      </c>
      <c r="AF635" s="195">
        <f t="shared" si="914"/>
        <v>361.35219856658972</v>
      </c>
      <c r="AG635" s="195">
        <f t="shared" si="914"/>
        <v>368.57683349085778</v>
      </c>
      <c r="AH635" s="195">
        <f t="shared" si="914"/>
        <v>373.36607742927862</v>
      </c>
      <c r="AI635" s="195">
        <f t="shared" si="914"/>
        <v>378.21772582524579</v>
      </c>
      <c r="AJ635" s="195">
        <f t="shared" si="914"/>
        <v>383.13258070411223</v>
      </c>
      <c r="AK635" s="195">
        <f t="shared" si="914"/>
        <v>388.11172274773418</v>
      </c>
      <c r="AL635" s="195">
        <f t="shared" si="914"/>
        <v>393.15567721258287</v>
      </c>
      <c r="AM635" s="195">
        <f t="shared" si="914"/>
        <v>398.26528224363159</v>
      </c>
      <c r="AN635" s="195">
        <f t="shared" si="914"/>
        <v>403.44138711512818</v>
      </c>
      <c r="AO635" s="195">
        <f t="shared" si="914"/>
        <v>408.68485236294202</v>
      </c>
      <c r="AP635" s="195">
        <f t="shared" si="914"/>
        <v>413.99654991928406</v>
      </c>
      <c r="AQ635" s="195">
        <f t="shared" si="914"/>
        <v>419.37736324979431</v>
      </c>
      <c r="AR635" s="195">
        <f t="shared" si="914"/>
        <v>424.82818749299651</v>
      </c>
      <c r="AS635" s="195">
        <f t="shared" si="914"/>
        <v>430.34992960212054</v>
      </c>
      <c r="AT635" s="195">
        <f t="shared" si="914"/>
        <v>435.94350848929133</v>
      </c>
      <c r="AU635" s="195">
        <f t="shared" si="914"/>
        <v>441.6098551720907</v>
      </c>
      <c r="AV635" s="195">
        <f t="shared" si="914"/>
        <v>447.34991292249316</v>
      </c>
      <c r="AW635" s="195">
        <f t="shared" si="914"/>
        <v>453.16463741818649</v>
      </c>
      <c r="AX635" s="195">
        <f t="shared" si="914"/>
        <v>459.05499689627783</v>
      </c>
      <c r="AY635" s="195">
        <f t="shared" si="914"/>
        <v>465.02197230940129</v>
      </c>
      <c r="AZ635" s="195">
        <f t="shared" si="914"/>
        <v>471.06655748423185</v>
      </c>
      <c r="BA635" s="707">
        <f t="shared" si="914"/>
        <v>477.18975928241821</v>
      </c>
    </row>
    <row r="636" spans="19:53" ht="20.100000000000001" customHeight="1">
      <c r="S636" s="101" t="s">
        <v>2344</v>
      </c>
      <c r="T636" s="383" t="s">
        <v>2910</v>
      </c>
      <c r="U636" s="201"/>
      <c r="V636" s="201"/>
      <c r="W636" s="986">
        <f t="shared" ref="W636:W637" si="915">Y179</f>
        <v>5.0843462960302963</v>
      </c>
      <c r="X636" s="972"/>
      <c r="Y636" s="972">
        <f>Y385/INDEX('DEFAULT DATA'!$DL$9:$DL$41,START!$C$3,1)*INDEX('DEFAULT DATA'!$DM$9:$DM$41,START!$C$3,1)*TRANSPORT!Y594/1000</f>
        <v>991.15263564073825</v>
      </c>
      <c r="Z636" s="195">
        <f>Z385/INDEX('DEFAULT DATA'!$DL$9:$DL$41,START!$C$3,1)*INDEX('DEFAULT DATA'!$DM$9:$DM$41,START!$C$3,1)*TRANSPORT!Z594/1000</f>
        <v>929.56241086202294</v>
      </c>
      <c r="AA636" s="195">
        <f>AA385/INDEX('DEFAULT DATA'!$DL$9:$DL$41,START!$C$3,1)*INDEX('DEFAULT DATA'!$DM$9:$DM$41,START!$C$3,1)*TRANSPORT!AA594/1000</f>
        <v>871.79940265105665</v>
      </c>
      <c r="AB636" s="195">
        <f>AB385/INDEX('DEFAULT DATA'!$DL$9:$DL$41,START!$C$3,1)*INDEX('DEFAULT DATA'!$DM$9:$DM$41,START!$C$3,1)*TRANSPORT!AB594/1000</f>
        <v>817.6257877703199</v>
      </c>
      <c r="AC636" s="195">
        <f>AC385/INDEX('DEFAULT DATA'!$DL$9:$DL$41,START!$C$3,1)*INDEX('DEFAULT DATA'!$DM$9:$DM$41,START!$C$3,1)*TRANSPORT!AC594/1000</f>
        <v>766.81852131827225</v>
      </c>
      <c r="AD636" s="195">
        <f>AD385/INDEX('DEFAULT DATA'!$DL$9:$DL$41,START!$C$3,1)*INDEX('DEFAULT DATA'!$DM$9:$DM$41,START!$C$3,1)*TRANSPORT!AD594/1000</f>
        <v>719.16841840355482</v>
      </c>
      <c r="AE636" s="195">
        <f>AE385/INDEX('DEFAULT DATA'!$DL$9:$DL$41,START!$C$3,1)*INDEX('DEFAULT DATA'!$DM$9:$DM$41,START!$C$3,1)*TRANSPORT!AE594/1000</f>
        <v>674.47929288395801</v>
      </c>
      <c r="AF636" s="195">
        <f>AF385/INDEX('DEFAULT DATA'!$DL$9:$DL$41,START!$C$3,1)*INDEX('DEFAULT DATA'!$DM$9:$DM$41,START!$C$3,1)*TRANSPORT!AF594/1000</f>
        <v>632.5671496241489</v>
      </c>
      <c r="AG636" s="195">
        <f>AG385/INDEX('DEFAULT DATA'!$DL$9:$DL$41,START!$C$3,1)*INDEX('DEFAULT DATA'!$DM$9:$DM$41,START!$C$3,1)*TRANSPORT!AG594/1000</f>
        <v>593.25942694650439</v>
      </c>
      <c r="AH636" s="195">
        <f>AH385/INDEX('DEFAULT DATA'!$DL$9:$DL$41,START!$C$3,1)*INDEX('DEFAULT DATA'!$DM$9:$DM$41,START!$C$3,1)*TRANSPORT!AH594/1000</f>
        <v>563.01802765790626</v>
      </c>
      <c r="AI636" s="195">
        <f>AI385/INDEX('DEFAULT DATA'!$DL$9:$DL$41,START!$C$3,1)*INDEX('DEFAULT DATA'!$DM$9:$DM$41,START!$C$3,1)*TRANSPORT!AI594/1000</f>
        <v>534.31818369804466</v>
      </c>
      <c r="AJ636" s="195">
        <f>AJ385/INDEX('DEFAULT DATA'!$DL$9:$DL$41,START!$C$3,1)*INDEX('DEFAULT DATA'!$DM$9:$DM$41,START!$C$3,1)*TRANSPORT!AJ594/1000</f>
        <v>507.08131428403686</v>
      </c>
      <c r="AK636" s="195">
        <f>AK385/INDEX('DEFAULT DATA'!$DL$9:$DL$41,START!$C$3,1)*INDEX('DEFAULT DATA'!$DM$9:$DM$41,START!$C$3,1)*TRANSPORT!AK594/1000</f>
        <v>481.2328442884081</v>
      </c>
      <c r="AL636" s="195">
        <f>AL385/INDEX('DEFAULT DATA'!$DL$9:$DL$41,START!$C$3,1)*INDEX('DEFAULT DATA'!$DM$9:$DM$41,START!$C$3,1)*TRANSPORT!AL594/1000</f>
        <v>456.70200005080648</v>
      </c>
      <c r="AM636" s="195">
        <f>AM385/INDEX('DEFAULT DATA'!$DL$9:$DL$41,START!$C$3,1)*INDEX('DEFAULT DATA'!$DM$9:$DM$41,START!$C$3,1)*TRANSPORT!AM594/1000</f>
        <v>433.4216155982167</v>
      </c>
      <c r="AN636" s="195">
        <f>AN385/INDEX('DEFAULT DATA'!$DL$9:$DL$41,START!$C$3,1)*INDEX('DEFAULT DATA'!$DM$9:$DM$41,START!$C$3,1)*TRANSPORT!AN594/1000</f>
        <v>411.32794874309764</v>
      </c>
      <c r="AO636" s="195">
        <f>AO385/INDEX('DEFAULT DATA'!$DL$9:$DL$41,START!$C$3,1)*INDEX('DEFAULT DATA'!$DM$9:$DM$41,START!$C$3,1)*TRANSPORT!AO594/1000</f>
        <v>390.36050655591828</v>
      </c>
      <c r="AP636" s="195">
        <f>AP385/INDEX('DEFAULT DATA'!$DL$9:$DL$41,START!$C$3,1)*INDEX('DEFAULT DATA'!$DM$9:$DM$41,START!$C$3,1)*TRANSPORT!AP594/1000</f>
        <v>370.46187973423042</v>
      </c>
      <c r="AQ636" s="195">
        <f>AQ385/INDEX('DEFAULT DATA'!$DL$9:$DL$41,START!$C$3,1)*INDEX('DEFAULT DATA'!$DM$9:$DM$41,START!$C$3,1)*TRANSPORT!AQ594/1000</f>
        <v>351.57758541477801</v>
      </c>
      <c r="AR636" s="195">
        <f>AR385/INDEX('DEFAULT DATA'!$DL$9:$DL$41,START!$C$3,1)*INDEX('DEFAULT DATA'!$DM$9:$DM$41,START!$C$3,1)*TRANSPORT!AR594/1000</f>
        <v>333.65591799825984</v>
      </c>
      <c r="AS636" s="195">
        <f>AS385/INDEX('DEFAULT DATA'!$DL$9:$DL$41,START!$C$3,1)*INDEX('DEFAULT DATA'!$DM$9:$DM$41,START!$C$3,1)*TRANSPORT!AS594/1000</f>
        <v>316.64780757829851</v>
      </c>
      <c r="AT636" s="195">
        <f>AT385/INDEX('DEFAULT DATA'!$DL$9:$DL$41,START!$C$3,1)*INDEX('DEFAULT DATA'!$DM$9:$DM$41,START!$C$3,1)*TRANSPORT!AT594/1000</f>
        <v>300.50668558699482</v>
      </c>
      <c r="AU636" s="195">
        <f>AU385/INDEX('DEFAULT DATA'!$DL$9:$DL$41,START!$C$3,1)*INDEX('DEFAULT DATA'!$DM$9:$DM$41,START!$C$3,1)*TRANSPORT!AU594/1000</f>
        <v>285.18835728919771</v>
      </c>
      <c r="AV636" s="195">
        <f>AV385/INDEX('DEFAULT DATA'!$DL$9:$DL$41,START!$C$3,1)*INDEX('DEFAULT DATA'!$DM$9:$DM$41,START!$C$3,1)*TRANSPORT!AV594/1000</f>
        <v>270.65088077638097</v>
      </c>
      <c r="AW636" s="195">
        <f>AW385/INDEX('DEFAULT DATA'!$DL$9:$DL$41,START!$C$3,1)*INDEX('DEFAULT DATA'!$DM$9:$DM$41,START!$C$3,1)*TRANSPORT!AW594/1000</f>
        <v>256.85445212880495</v>
      </c>
      <c r="AX636" s="195">
        <f>AX385/INDEX('DEFAULT DATA'!$DL$9:$DL$41,START!$C$3,1)*INDEX('DEFAULT DATA'!$DM$9:$DM$41,START!$C$3,1)*TRANSPORT!AX594/1000</f>
        <v>243.76129643153908</v>
      </c>
      <c r="AY636" s="195">
        <f>AY385/INDEX('DEFAULT DATA'!$DL$9:$DL$41,START!$C$3,1)*INDEX('DEFAULT DATA'!$DM$9:$DM$41,START!$C$3,1)*TRANSPORT!AY594/1000</f>
        <v>231.33556434594138</v>
      </c>
      <c r="AZ636" s="195">
        <f>AZ385/INDEX('DEFAULT DATA'!$DL$9:$DL$41,START!$C$3,1)*INDEX('DEFAULT DATA'!$DM$9:$DM$41,START!$C$3,1)*TRANSPORT!AZ594/1000</f>
        <v>219.543233953407</v>
      </c>
      <c r="BA636" s="707">
        <f>BA385/INDEX('DEFAULT DATA'!$DL$9:$DL$41,START!$C$3,1)*INDEX('DEFAULT DATA'!$DM$9:$DM$41,START!$C$3,1)*TRANSPORT!BA594/1000</f>
        <v>208.35201760263206</v>
      </c>
    </row>
    <row r="637" spans="19:53" ht="20.100000000000001" customHeight="1">
      <c r="S637" s="101" t="s">
        <v>2480</v>
      </c>
      <c r="T637" s="383" t="s">
        <v>2911</v>
      </c>
      <c r="U637" s="201"/>
      <c r="V637" s="201"/>
      <c r="W637" s="986">
        <f t="shared" si="915"/>
        <v>0.45024085594741248</v>
      </c>
      <c r="X637" s="972"/>
      <c r="Y637" s="972">
        <f>Y386/INDEX('DEFAULT DATA'!$EF$9:$EF$41,START!$C$3,1)*INDEX('DEFAULT DATA'!$EG$9:$EG$41,START!$C$3,1)*TRANSPORT!Y594/1000</f>
        <v>87.770852940100497</v>
      </c>
      <c r="Z637" s="976">
        <f>Z386/INDEX('DEFAULT DATA'!$EF$9:$EF$41,START!$C$3,1)*INDEX('DEFAULT DATA'!$EG$9:$EG$41,START!$C$3,1)*TRANSPORT!Z594/1000</f>
        <v>82.316772138402669</v>
      </c>
      <c r="AA637" s="976">
        <f>AA386/INDEX('DEFAULT DATA'!$EF$9:$EF$41,START!$C$3,1)*INDEX('DEFAULT DATA'!$EG$9:$EG$41,START!$C$3,1)*TRANSPORT!AA594/1000</f>
        <v>77.201607917722313</v>
      </c>
      <c r="AB637" s="976">
        <f>AB386/INDEX('DEFAULT DATA'!$EF$9:$EF$41,START!$C$3,1)*INDEX('DEFAULT DATA'!$EG$9:$EG$41,START!$C$3,1)*TRANSPORT!AB594/1000</f>
        <v>72.404300001715043</v>
      </c>
      <c r="AC637" s="976">
        <f>AC386/INDEX('DEFAULT DATA'!$EF$9:$EF$41,START!$C$3,1)*INDEX('DEFAULT DATA'!$EG$9:$EG$41,START!$C$3,1)*TRANSPORT!AC594/1000</f>
        <v>67.905096799608486</v>
      </c>
      <c r="AD637" s="976">
        <f>AD386/INDEX('DEFAULT DATA'!$EF$9:$EF$41,START!$C$3,1)*INDEX('DEFAULT DATA'!$EG$9:$EG$41,START!$C$3,1)*TRANSPORT!AD594/1000</f>
        <v>63.685474084480802</v>
      </c>
      <c r="AE637" s="976">
        <f>AE386/INDEX('DEFAULT DATA'!$EF$9:$EF$41,START!$C$3,1)*INDEX('DEFAULT DATA'!$EG$9:$EG$41,START!$C$3,1)*TRANSPORT!AE594/1000</f>
        <v>59.728058724871168</v>
      </c>
      <c r="AF637" s="976">
        <f>AF386/INDEX('DEFAULT DATA'!$EF$9:$EF$41,START!$C$3,1)*INDEX('DEFAULT DATA'!$EG$9:$EG$41,START!$C$3,1)*TRANSPORT!AF594/1000</f>
        <v>56.016557155707666</v>
      </c>
      <c r="AG637" s="976">
        <f>AG386/INDEX('DEFAULT DATA'!$EF$9:$EF$41,START!$C$3,1)*INDEX('DEFAULT DATA'!$EG$9:$EG$41,START!$C$3,1)*TRANSPORT!AG594/1000</f>
        <v>52.535688294051994</v>
      </c>
      <c r="AH637" s="976">
        <f>AH386/INDEX('DEFAULT DATA'!$EF$9:$EF$41,START!$C$3,1)*INDEX('DEFAULT DATA'!$EG$9:$EG$41,START!$C$3,1)*TRANSPORT!AH594/1000</f>
        <v>49.808560714707767</v>
      </c>
      <c r="AI637" s="976">
        <f>AI386/INDEX('DEFAULT DATA'!$EF$9:$EF$41,START!$C$3,1)*INDEX('DEFAULT DATA'!$EG$9:$EG$41,START!$C$3,1)*TRANSPORT!AI594/1000</f>
        <v>47.222998328007286</v>
      </c>
      <c r="AJ637" s="976">
        <f>AJ386/INDEX('DEFAULT DATA'!$EF$9:$EF$41,START!$C$3,1)*INDEX('DEFAULT DATA'!$EG$9:$EG$41,START!$C$3,1)*TRANSPORT!AJ594/1000</f>
        <v>44.771652484800434</v>
      </c>
      <c r="AK637" s="976">
        <f>AK386/INDEX('DEFAULT DATA'!$EF$9:$EF$41,START!$C$3,1)*INDEX('DEFAULT DATA'!$EG$9:$EG$41,START!$C$3,1)*TRANSPORT!AK594/1000</f>
        <v>42.447556004314443</v>
      </c>
      <c r="AL637" s="976">
        <f>AL386/INDEX('DEFAULT DATA'!$EF$9:$EF$41,START!$C$3,1)*INDEX('DEFAULT DATA'!$EG$9:$EG$41,START!$C$3,1)*TRANSPORT!AL594/1000</f>
        <v>40.244103372130496</v>
      </c>
      <c r="AM637" s="976">
        <f>AM386/INDEX('DEFAULT DATA'!$EF$9:$EF$41,START!$C$3,1)*INDEX('DEFAULT DATA'!$EG$9:$EG$41,START!$C$3,1)*TRANSPORT!AM594/1000</f>
        <v>38.155031966083193</v>
      </c>
      <c r="AN637" s="976">
        <f>AN386/INDEX('DEFAULT DATA'!$EF$9:$EF$41,START!$C$3,1)*INDEX('DEFAULT DATA'!$EG$9:$EG$41,START!$C$3,1)*TRANSPORT!AN594/1000</f>
        <v>36.174404256723818</v>
      </c>
      <c r="AO637" s="976">
        <f>AO386/INDEX('DEFAULT DATA'!$EF$9:$EF$41,START!$C$3,1)*INDEX('DEFAULT DATA'!$EG$9:$EG$41,START!$C$3,1)*TRANSPORT!AO594/1000</f>
        <v>34.296590931757301</v>
      </c>
      <c r="AP637" s="976">
        <f>AP386/INDEX('DEFAULT DATA'!$EF$9:$EF$41,START!$C$3,1)*INDEX('DEFAULT DATA'!$EG$9:$EG$41,START!$C$3,1)*TRANSPORT!AP594/1000</f>
        <v>32.516254896489784</v>
      </c>
      <c r="AQ637" s="976">
        <f>AQ386/INDEX('DEFAULT DATA'!$EF$9:$EF$41,START!$C$3,1)*INDEX('DEFAULT DATA'!$EG$9:$EG$41,START!$C$3,1)*TRANSPORT!AQ594/1000</f>
        <v>30.828336104813001</v>
      </c>
      <c r="AR637" s="976">
        <f>AR386/INDEX('DEFAULT DATA'!$EF$9:$EF$41,START!$C$3,1)*INDEX('DEFAULT DATA'!$EG$9:$EG$41,START!$C$3,1)*TRANSPORT!AR594/1000</f>
        <v>29.228037177612162</v>
      </c>
      <c r="AS637" s="976">
        <f>AS386/INDEX('DEFAULT DATA'!$EF$9:$EF$41,START!$C$3,1)*INDEX('DEFAULT DATA'!$EG$9:$EG$41,START!$C$3,1)*TRANSPORT!AS594/1000</f>
        <v>27.710809767722317</v>
      </c>
      <c r="AT637" s="976">
        <f>AT386/INDEX('DEFAULT DATA'!$EF$9:$EF$41,START!$C$3,1)*INDEX('DEFAULT DATA'!$EG$9:$EG$41,START!$C$3,1)*TRANSPORT!AT594/1000</f>
        <v>26.272341632679858</v>
      </c>
      <c r="AU637" s="976">
        <f>AU386/INDEX('DEFAULT DATA'!$EF$9:$EF$41,START!$C$3,1)*INDEX('DEFAULT DATA'!$EG$9:$EG$41,START!$C$3,1)*TRANSPORT!AU594/1000</f>
        <v>24.908544378527452</v>
      </c>
      <c r="AV637" s="976">
        <f>AV386/INDEX('DEFAULT DATA'!$EF$9:$EF$41,START!$C$3,1)*INDEX('DEFAULT DATA'!$EG$9:$EG$41,START!$C$3,1)*TRANSPORT!AV594/1000</f>
        <v>23.615541839838095</v>
      </c>
      <c r="AW637" s="976">
        <f>AW386/INDEX('DEFAULT DATA'!$EF$9:$EF$41,START!$C$3,1)*INDEX('DEFAULT DATA'!$EG$9:$EG$41,START!$C$3,1)*TRANSPORT!AW594/1000</f>
        <v>22.3896590629321</v>
      </c>
      <c r="AX637" s="976">
        <f>AX386/INDEX('DEFAULT DATA'!$EF$9:$EF$41,START!$C$3,1)*INDEX('DEFAULT DATA'!$EG$9:$EG$41,START!$C$3,1)*TRANSPORT!AX594/1000</f>
        <v>21.227411860975302</v>
      </c>
      <c r="AY637" s="976">
        <f>AY386/INDEX('DEFAULT DATA'!$EF$9:$EF$41,START!$C$3,1)*INDEX('DEFAULT DATA'!$EG$9:$EG$41,START!$C$3,1)*TRANSPORT!AY594/1000</f>
        <v>20.125496911272077</v>
      </c>
      <c r="AZ637" s="976">
        <f>AZ386/INDEX('DEFAULT DATA'!$EF$9:$EF$41,START!$C$3,1)*INDEX('DEFAULT DATA'!$EG$9:$EG$41,START!$C$3,1)*TRANSPORT!AZ594/1000</f>
        <v>19.080782366607945</v>
      </c>
      <c r="BA637" s="977">
        <f>BA386/INDEX('DEFAULT DATA'!$EF$9:$EF$41,START!$C$3,1)*INDEX('DEFAULT DATA'!$EG$9:$EG$41,START!$C$3,1)*TRANSPORT!BA594/1000</f>
        <v>18.09029895395733</v>
      </c>
    </row>
    <row r="638" spans="19:53" ht="20.100000000000001" customHeight="1">
      <c r="S638" s="101" t="s">
        <v>2560</v>
      </c>
      <c r="T638" s="383" t="s">
        <v>2875</v>
      </c>
      <c r="U638" s="201"/>
      <c r="V638" s="201"/>
      <c r="W638" s="201"/>
      <c r="X638" s="195"/>
      <c r="Y638" s="195">
        <f t="shared" ref="Y638:BA638" si="916">Y603</f>
        <v>6.2246745528425063</v>
      </c>
      <c r="Z638" s="195">
        <f t="shared" si="916"/>
        <v>6.0220589825944302</v>
      </c>
      <c r="AA638" s="195">
        <f t="shared" si="916"/>
        <v>5.8347967294785521</v>
      </c>
      <c r="AB638" s="195">
        <f t="shared" si="916"/>
        <v>5.6619751801522353</v>
      </c>
      <c r="AC638" s="195">
        <f t="shared" si="916"/>
        <v>5.5027390526927062</v>
      </c>
      <c r="AD638" s="195">
        <f t="shared" si="916"/>
        <v>5.3562868433470392</v>
      </c>
      <c r="AE638" s="195">
        <f t="shared" si="916"/>
        <v>5.221867494220942</v>
      </c>
      <c r="AF638" s="195">
        <f t="shared" si="916"/>
        <v>5.0987772681793322</v>
      </c>
      <c r="AG638" s="195">
        <f t="shared" si="916"/>
        <v>4.9863568180846887</v>
      </c>
      <c r="AH638" s="195">
        <f t="shared" si="916"/>
        <v>4.9047934829718569</v>
      </c>
      <c r="AI638" s="195">
        <f t="shared" si="916"/>
        <v>4.8299459988471289</v>
      </c>
      <c r="AJ638" s="195">
        <f t="shared" si="916"/>
        <v>4.7615004924613835</v>
      </c>
      <c r="AK638" s="195">
        <f t="shared" si="916"/>
        <v>4.6991598701779242</v>
      </c>
      <c r="AL638" s="195">
        <f t="shared" si="916"/>
        <v>4.6426429537531204</v>
      </c>
      <c r="AM638" s="195">
        <f t="shared" si="916"/>
        <v>4.5916836610740344</v>
      </c>
      <c r="AN638" s="195">
        <f t="shared" si="916"/>
        <v>4.5460302295206247</v>
      </c>
      <c r="AO638" s="195">
        <f t="shared" si="916"/>
        <v>4.5054444797412527</v>
      </c>
      <c r="AP638" s="195">
        <f t="shared" si="916"/>
        <v>4.4697011177450188</v>
      </c>
      <c r="AQ638" s="195">
        <f t="shared" si="916"/>
        <v>4.4385870733232693</v>
      </c>
      <c r="AR638" s="195">
        <f t="shared" si="916"/>
        <v>4.411900872915858</v>
      </c>
      <c r="AS638" s="195">
        <f t="shared" si="916"/>
        <v>4.3894520451355596</v>
      </c>
      <c r="AT638" s="195">
        <f t="shared" si="916"/>
        <v>4.3710605572567935</v>
      </c>
      <c r="AU638" s="195">
        <f t="shared" si="916"/>
        <v>4.3565562810627947</v>
      </c>
      <c r="AV638" s="195">
        <f t="shared" si="916"/>
        <v>4.3457784865286904</v>
      </c>
      <c r="AW638" s="195">
        <f t="shared" si="916"/>
        <v>4.3385753618970737</v>
      </c>
      <c r="AX638" s="195">
        <f t="shared" si="916"/>
        <v>4.3348035587775415</v>
      </c>
      <c r="AY638" s="195">
        <f t="shared" si="916"/>
        <v>4.3343277609727764</v>
      </c>
      <c r="AZ638" s="195">
        <f t="shared" si="916"/>
        <v>4.3370202758010956</v>
      </c>
      <c r="BA638" s="707">
        <f t="shared" si="916"/>
        <v>4.3427606467492827</v>
      </c>
    </row>
    <row r="639" spans="19:53" ht="20.100000000000001" customHeight="1">
      <c r="S639" s="101" t="s">
        <v>2561</v>
      </c>
      <c r="T639" s="383" t="s">
        <v>2891</v>
      </c>
      <c r="U639" s="201"/>
      <c r="V639" s="201"/>
      <c r="W639" s="201"/>
      <c r="X639" s="195"/>
      <c r="Y639" s="195">
        <f>Y611</f>
        <v>0</v>
      </c>
      <c r="Z639" s="195">
        <f t="shared" ref="Z639:BA639" si="917">Z611</f>
        <v>0</v>
      </c>
      <c r="AA639" s="195">
        <f t="shared" si="917"/>
        <v>0</v>
      </c>
      <c r="AB639" s="195">
        <f t="shared" si="917"/>
        <v>25.593969169068352</v>
      </c>
      <c r="AC639" s="195">
        <f t="shared" si="917"/>
        <v>50.238471604487735</v>
      </c>
      <c r="AD639" s="195">
        <f t="shared" si="917"/>
        <v>49.383191041159762</v>
      </c>
      <c r="AE639" s="195">
        <f t="shared" si="917"/>
        <v>48.618213184245569</v>
      </c>
      <c r="AF639" s="195">
        <f t="shared" si="917"/>
        <v>47.939887479691215</v>
      </c>
      <c r="AG639" s="195">
        <f t="shared" si="917"/>
        <v>47.344784649230107</v>
      </c>
      <c r="AH639" s="195">
        <f t="shared" si="917"/>
        <v>46.524424427698001</v>
      </c>
      <c r="AI639" s="195">
        <f t="shared" si="917"/>
        <v>45.769276616075111</v>
      </c>
      <c r="AJ639" s="195">
        <f t="shared" si="917"/>
        <v>45.076179250721793</v>
      </c>
      <c r="AK639" s="195">
        <f t="shared" si="917"/>
        <v>44.442141156387081</v>
      </c>
      <c r="AL639" s="195">
        <f t="shared" si="917"/>
        <v>43.864332968923662</v>
      </c>
      <c r="AM639" s="195">
        <f t="shared" si="917"/>
        <v>43.340078633032078</v>
      </c>
      <c r="AN639" s="195">
        <f t="shared" si="917"/>
        <v>42.86684734993873</v>
      </c>
      <c r="AO639" s="195">
        <f t="shared" si="917"/>
        <v>42.442245951239961</v>
      </c>
      <c r="AP639" s="195">
        <f t="shared" si="917"/>
        <v>42.064011676399041</v>
      </c>
      <c r="AQ639" s="195">
        <f t="shared" si="917"/>
        <v>41.730005332573967</v>
      </c>
      <c r="AR639" s="195">
        <f t="shared" si="917"/>
        <v>41.438204816580104</v>
      </c>
      <c r="AS639" s="195">
        <f t="shared" si="917"/>
        <v>41.186698979859422</v>
      </c>
      <c r="AT639" s="195">
        <f t="shared" si="917"/>
        <v>40.973681818338804</v>
      </c>
      <c r="AU639" s="195">
        <f t="shared" si="917"/>
        <v>40.797446970017639</v>
      </c>
      <c r="AV639" s="195">
        <f t="shared" si="917"/>
        <v>40.656382504031811</v>
      </c>
      <c r="AW639" s="195">
        <f t="shared" si="917"/>
        <v>40.548965985799875</v>
      </c>
      <c r="AX639" s="195">
        <f t="shared" si="917"/>
        <v>40.473759803671435</v>
      </c>
      <c r="AY639" s="195">
        <f t="shared" si="917"/>
        <v>40.429406743267663</v>
      </c>
      <c r="AZ639" s="195">
        <f t="shared" si="917"/>
        <v>40.414625796434386</v>
      </c>
      <c r="BA639" s="707">
        <f t="shared" si="917"/>
        <v>40.42820819241922</v>
      </c>
    </row>
    <row r="640" spans="19:53" ht="20.100000000000001" customHeight="1">
      <c r="S640" s="101" t="s">
        <v>2562</v>
      </c>
      <c r="T640" s="383" t="s">
        <v>2906</v>
      </c>
      <c r="U640" s="201"/>
      <c r="V640" s="201"/>
      <c r="W640" s="201"/>
      <c r="X640" s="195"/>
      <c r="Y640" s="195">
        <f>Y624</f>
        <v>29.641957853139782</v>
      </c>
      <c r="Z640" s="195">
        <f t="shared" ref="Z640:BA640" si="918">Z624</f>
        <v>30.383006799468273</v>
      </c>
      <c r="AA640" s="195">
        <f t="shared" si="918"/>
        <v>31.142581969454977</v>
      </c>
      <c r="AB640" s="195">
        <f t="shared" si="918"/>
        <v>22.56825058871479</v>
      </c>
      <c r="AC640" s="195">
        <f t="shared" si="918"/>
        <v>13.545738525206673</v>
      </c>
      <c r="AD640" s="195">
        <f t="shared" si="918"/>
        <v>13.884381988336841</v>
      </c>
      <c r="AE640" s="195">
        <f t="shared" si="918"/>
        <v>14.231491538045262</v>
      </c>
      <c r="AF640" s="195">
        <f t="shared" si="918"/>
        <v>14.587278826496393</v>
      </c>
      <c r="AG640" s="195">
        <f t="shared" si="918"/>
        <v>14.951960797158803</v>
      </c>
      <c r="AH640" s="195">
        <f t="shared" si="918"/>
        <v>15.146336287521866</v>
      </c>
      <c r="AI640" s="195">
        <f t="shared" si="918"/>
        <v>15.343238659259647</v>
      </c>
      <c r="AJ640" s="195">
        <f t="shared" si="918"/>
        <v>15.542700761830025</v>
      </c>
      <c r="AK640" s="195">
        <f t="shared" si="918"/>
        <v>15.744755871733815</v>
      </c>
      <c r="AL640" s="195">
        <f t="shared" si="918"/>
        <v>15.949437698066351</v>
      </c>
      <c r="AM640" s="195">
        <f t="shared" si="918"/>
        <v>16.156780388141222</v>
      </c>
      <c r="AN640" s="195">
        <f t="shared" si="918"/>
        <v>16.36681853318705</v>
      </c>
      <c r="AO640" s="195">
        <f t="shared" si="918"/>
        <v>16.579587174118483</v>
      </c>
      <c r="AP640" s="195">
        <f t="shared" si="918"/>
        <v>16.795121807382024</v>
      </c>
      <c r="AQ640" s="195">
        <f t="shared" si="918"/>
        <v>17.013458390877986</v>
      </c>
      <c r="AR640" s="195">
        <f t="shared" si="918"/>
        <v>17.234633349959399</v>
      </c>
      <c r="AS640" s="195">
        <f t="shared" si="918"/>
        <v>17.458683583508872</v>
      </c>
      <c r="AT640" s="195">
        <f t="shared" si="918"/>
        <v>17.685646470094486</v>
      </c>
      <c r="AU640" s="195">
        <f t="shared" si="918"/>
        <v>17.915559874205716</v>
      </c>
      <c r="AV640" s="195">
        <f t="shared" si="918"/>
        <v>18.148462152570392</v>
      </c>
      <c r="AW640" s="195">
        <f t="shared" si="918"/>
        <v>18.384392160553805</v>
      </c>
      <c r="AX640" s="195">
        <f t="shared" si="918"/>
        <v>18.623389258641005</v>
      </c>
      <c r="AY640" s="195">
        <f t="shared" si="918"/>
        <v>18.865493319003335</v>
      </c>
      <c r="AZ640" s="195">
        <f t="shared" si="918"/>
        <v>19.11074473215038</v>
      </c>
      <c r="BA640" s="707">
        <f t="shared" si="918"/>
        <v>19.359184413668331</v>
      </c>
    </row>
    <row r="641" spans="19:53" ht="20.100000000000001" customHeight="1">
      <c r="S641" s="101" t="s">
        <v>2566</v>
      </c>
      <c r="T641" s="383" t="s">
        <v>2901</v>
      </c>
      <c r="U641" s="201"/>
      <c r="V641" s="201"/>
      <c r="W641" s="201"/>
      <c r="X641" s="195"/>
      <c r="Y641" s="195">
        <f>Y630</f>
        <v>0</v>
      </c>
      <c r="Z641" s="195">
        <f t="shared" ref="Z641:BA641" si="919">Z630</f>
        <v>0</v>
      </c>
      <c r="AA641" s="195">
        <f t="shared" si="919"/>
        <v>0</v>
      </c>
      <c r="AB641" s="195">
        <f t="shared" si="919"/>
        <v>0</v>
      </c>
      <c r="AC641" s="195">
        <f t="shared" si="919"/>
        <v>0</v>
      </c>
      <c r="AD641" s="195">
        <f t="shared" si="919"/>
        <v>0</v>
      </c>
      <c r="AE641" s="195">
        <f t="shared" si="919"/>
        <v>0</v>
      </c>
      <c r="AF641" s="195">
        <f t="shared" si="919"/>
        <v>0</v>
      </c>
      <c r="AG641" s="195">
        <f t="shared" si="919"/>
        <v>0</v>
      </c>
      <c r="AH641" s="195">
        <f t="shared" si="919"/>
        <v>0</v>
      </c>
      <c r="AI641" s="195">
        <f t="shared" si="919"/>
        <v>0</v>
      </c>
      <c r="AJ641" s="195">
        <f t="shared" si="919"/>
        <v>0</v>
      </c>
      <c r="AK641" s="195">
        <f t="shared" si="919"/>
        <v>0</v>
      </c>
      <c r="AL641" s="195">
        <f t="shared" si="919"/>
        <v>0</v>
      </c>
      <c r="AM641" s="195">
        <f t="shared" si="919"/>
        <v>0</v>
      </c>
      <c r="AN641" s="195">
        <f t="shared" si="919"/>
        <v>0</v>
      </c>
      <c r="AO641" s="195">
        <f t="shared" si="919"/>
        <v>0</v>
      </c>
      <c r="AP641" s="195">
        <f t="shared" si="919"/>
        <v>0</v>
      </c>
      <c r="AQ641" s="195">
        <f t="shared" si="919"/>
        <v>0</v>
      </c>
      <c r="AR641" s="195">
        <f t="shared" si="919"/>
        <v>0</v>
      </c>
      <c r="AS641" s="195">
        <f t="shared" si="919"/>
        <v>0</v>
      </c>
      <c r="AT641" s="195">
        <f t="shared" si="919"/>
        <v>0</v>
      </c>
      <c r="AU641" s="195">
        <f t="shared" si="919"/>
        <v>0</v>
      </c>
      <c r="AV641" s="195">
        <f t="shared" si="919"/>
        <v>0</v>
      </c>
      <c r="AW641" s="195">
        <f t="shared" si="919"/>
        <v>0</v>
      </c>
      <c r="AX641" s="195">
        <f t="shared" si="919"/>
        <v>0</v>
      </c>
      <c r="AY641" s="195">
        <f t="shared" si="919"/>
        <v>0</v>
      </c>
      <c r="AZ641" s="195">
        <f t="shared" si="919"/>
        <v>0</v>
      </c>
      <c r="BA641" s="707">
        <f t="shared" si="919"/>
        <v>0</v>
      </c>
    </row>
    <row r="642" spans="19:53" ht="20.100000000000001" customHeight="1">
      <c r="S642" s="101" t="s">
        <v>2661</v>
      </c>
      <c r="T642" s="383"/>
      <c r="U642" s="201"/>
      <c r="V642" s="195"/>
      <c r="W642" s="195"/>
      <c r="X642" s="195"/>
      <c r="Y642" s="195">
        <f t="shared" ref="Y642:BA642" si="920">Y185</f>
        <v>378.78787621283817</v>
      </c>
      <c r="Z642" s="195">
        <f t="shared" si="920"/>
        <v>385.47480349538046</v>
      </c>
      <c r="AA642" s="195">
        <f t="shared" si="920"/>
        <v>392.38309601137513</v>
      </c>
      <c r="AB642" s="195">
        <f t="shared" si="920"/>
        <v>399.42778600077702</v>
      </c>
      <c r="AC642" s="195">
        <f t="shared" si="920"/>
        <v>406.65208130674171</v>
      </c>
      <c r="AD642" s="195">
        <f t="shared" si="920"/>
        <v>414.05926001787628</v>
      </c>
      <c r="AE642" s="195">
        <f t="shared" si="920"/>
        <v>421.65088664397615</v>
      </c>
      <c r="AF642" s="195">
        <f t="shared" si="920"/>
        <v>429.42868724828566</v>
      </c>
      <c r="AG642" s="195">
        <f t="shared" si="920"/>
        <v>437.3945452402458</v>
      </c>
      <c r="AH642" s="195">
        <f t="shared" si="920"/>
        <v>442.5687539205361</v>
      </c>
      <c r="AI642" s="195">
        <f t="shared" si="920"/>
        <v>447.82687565358236</v>
      </c>
      <c r="AJ642" s="195">
        <f t="shared" si="920"/>
        <v>453.16913177035576</v>
      </c>
      <c r="AK642" s="195">
        <f t="shared" si="920"/>
        <v>458.59607118481529</v>
      </c>
      <c r="AL642" s="195">
        <f t="shared" si="920"/>
        <v>464.10768824149363</v>
      </c>
      <c r="AM642" s="195">
        <f t="shared" si="920"/>
        <v>469.70051884814575</v>
      </c>
      <c r="AN642" s="195">
        <f t="shared" si="920"/>
        <v>475.37857218780363</v>
      </c>
      <c r="AO642" s="195">
        <f t="shared" si="920"/>
        <v>481.14228055758014</v>
      </c>
      <c r="AP642" s="195">
        <f t="shared" si="920"/>
        <v>486.99212780217192</v>
      </c>
      <c r="AQ642" s="195">
        <f t="shared" si="920"/>
        <v>492.92864533397307</v>
      </c>
      <c r="AR642" s="195">
        <f t="shared" si="920"/>
        <v>498.95237597378423</v>
      </c>
      <c r="AS642" s="195">
        <f t="shared" si="920"/>
        <v>505.06390936916739</v>
      </c>
      <c r="AT642" s="195">
        <f t="shared" si="920"/>
        <v>511.26387856297208</v>
      </c>
      <c r="AU642" s="195">
        <f t="shared" si="920"/>
        <v>517.55292856420567</v>
      </c>
      <c r="AV642" s="195">
        <f t="shared" si="920"/>
        <v>523.93175622983256</v>
      </c>
      <c r="AW642" s="195">
        <f t="shared" si="920"/>
        <v>530.4058236377499</v>
      </c>
      <c r="AX642" s="195">
        <f t="shared" si="920"/>
        <v>536.97128408028698</v>
      </c>
      <c r="AY642" s="195">
        <f t="shared" si="920"/>
        <v>543.6289188280997</v>
      </c>
      <c r="AZ642" s="195">
        <f t="shared" si="920"/>
        <v>550.37952265707179</v>
      </c>
      <c r="BA642" s="707">
        <f t="shared" si="920"/>
        <v>557.2239283228979</v>
      </c>
    </row>
    <row r="643" spans="19:53" ht="20.100000000000001" customHeight="1" thickBot="1">
      <c r="S643" s="301" t="s">
        <v>2660</v>
      </c>
      <c r="T643" s="448"/>
      <c r="U643" s="203"/>
      <c r="V643" s="197"/>
      <c r="W643" s="197"/>
      <c r="X643" s="197"/>
      <c r="Y643" s="197">
        <f t="shared" ref="Y643:BA643" si="921">SUM(Y634:Y641)</f>
        <v>1452.1767776416991</v>
      </c>
      <c r="Z643" s="197">
        <f t="shared" si="921"/>
        <v>1392.1424931474319</v>
      </c>
      <c r="AA643" s="197">
        <f t="shared" si="921"/>
        <v>1336.4768428521436</v>
      </c>
      <c r="AB643" s="197">
        <f t="shared" si="921"/>
        <v>1301.0781505600776</v>
      </c>
      <c r="AC643" s="197">
        <f t="shared" si="921"/>
        <v>1268.0896802968578</v>
      </c>
      <c r="AD643" s="197">
        <f t="shared" si="921"/>
        <v>1222.5465111894723</v>
      </c>
      <c r="AE643" s="197">
        <f t="shared" si="921"/>
        <v>1180.4744657033666</v>
      </c>
      <c r="AF643" s="197">
        <f t="shared" si="921"/>
        <v>1141.6718970496661</v>
      </c>
      <c r="AG643" s="197">
        <f t="shared" si="921"/>
        <v>1105.9499249096889</v>
      </c>
      <c r="AH643" s="197">
        <f t="shared" si="921"/>
        <v>1077.2249822451511</v>
      </c>
      <c r="AI643" s="197">
        <f t="shared" si="921"/>
        <v>1050.3207674933465</v>
      </c>
      <c r="AJ643" s="197">
        <f t="shared" si="921"/>
        <v>1025.1487465100033</v>
      </c>
      <c r="AK643" s="197">
        <f t="shared" si="921"/>
        <v>1001.6252365770614</v>
      </c>
      <c r="AL643" s="197">
        <f t="shared" si="921"/>
        <v>979.67033867434361</v>
      </c>
      <c r="AM643" s="197">
        <f t="shared" si="921"/>
        <v>959.20476542234178</v>
      </c>
      <c r="AN643" s="197">
        <f t="shared" si="921"/>
        <v>940.16056725456951</v>
      </c>
      <c r="AO643" s="197">
        <f t="shared" si="921"/>
        <v>922.46992445226988</v>
      </c>
      <c r="AP643" s="197">
        <f t="shared" si="921"/>
        <v>906.0685457075798</v>
      </c>
      <c r="AQ643" s="197">
        <f t="shared" si="921"/>
        <v>890.895488605119</v>
      </c>
      <c r="AR643" s="197">
        <f t="shared" si="921"/>
        <v>876.89298928858898</v>
      </c>
      <c r="AS643" s="197">
        <f t="shared" si="921"/>
        <v>864.00630084313627</v>
      </c>
      <c r="AT643" s="197">
        <f t="shared" si="921"/>
        <v>852.18353994818676</v>
      </c>
      <c r="AU643" s="197">
        <f t="shared" si="921"/>
        <v>841.37554137823997</v>
      </c>
      <c r="AV643" s="197">
        <f t="shared" si="921"/>
        <v>831.53571995068637</v>
      </c>
      <c r="AW643" s="197">
        <f t="shared" si="921"/>
        <v>822.6246924108309</v>
      </c>
      <c r="AX643" s="197">
        <f t="shared" si="921"/>
        <v>814.59605100853412</v>
      </c>
      <c r="AY643" s="197">
        <f t="shared" si="921"/>
        <v>807.41018501392386</v>
      </c>
      <c r="AZ643" s="197">
        <f t="shared" si="921"/>
        <v>801.02957923485167</v>
      </c>
      <c r="BA643" s="566">
        <f t="shared" si="921"/>
        <v>795.41870782750254</v>
      </c>
    </row>
    <row r="644" spans="19:53" ht="20.100000000000001" customHeight="1" thickBot="1">
      <c r="S644" s="708"/>
      <c r="T644" s="708"/>
      <c r="U644" s="708"/>
      <c r="V644" s="708"/>
      <c r="W644" s="708"/>
      <c r="X644" s="708"/>
      <c r="Y644" s="708"/>
      <c r="Z644" s="708"/>
      <c r="AA644" s="708"/>
      <c r="AB644" s="708"/>
      <c r="AC644" s="708"/>
      <c r="AD644" s="708"/>
      <c r="AE644" s="708"/>
      <c r="AF644" s="708"/>
      <c r="AG644" s="708"/>
      <c r="AH644" s="708"/>
      <c r="AI644" s="708"/>
      <c r="AJ644" s="708"/>
      <c r="AK644" s="708"/>
      <c r="AL644" s="708"/>
      <c r="AM644" s="708"/>
      <c r="AN644" s="708"/>
      <c r="AO644" s="708"/>
      <c r="AP644" s="708"/>
      <c r="AQ644" s="708"/>
      <c r="AR644" s="708"/>
      <c r="AS644" s="708"/>
      <c r="AT644" s="708"/>
      <c r="AU644" s="708"/>
      <c r="AV644" s="708"/>
      <c r="AW644" s="708"/>
      <c r="AX644" s="708"/>
      <c r="AY644" s="708"/>
      <c r="AZ644" s="708"/>
      <c r="BA644" s="708"/>
    </row>
    <row r="645" spans="19:53" ht="20.100000000000001" customHeight="1">
      <c r="S645" s="299" t="s">
        <v>2659</v>
      </c>
      <c r="T645" s="138"/>
      <c r="U645" s="138"/>
      <c r="V645" s="957"/>
      <c r="W645" s="957"/>
      <c r="X645" s="957"/>
      <c r="Y645" s="957">
        <v>2022</v>
      </c>
      <c r="Z645" s="957">
        <f t="shared" ref="Z645" si="922">Y645+1</f>
        <v>2023</v>
      </c>
      <c r="AA645" s="957">
        <f t="shared" ref="AA645" si="923">Z645+1</f>
        <v>2024</v>
      </c>
      <c r="AB645" s="957">
        <f t="shared" ref="AB645" si="924">AA645+1</f>
        <v>2025</v>
      </c>
      <c r="AC645" s="957">
        <f t="shared" ref="AC645" si="925">AB645+1</f>
        <v>2026</v>
      </c>
      <c r="AD645" s="957">
        <f t="shared" ref="AD645" si="926">AC645+1</f>
        <v>2027</v>
      </c>
      <c r="AE645" s="957">
        <f t="shared" ref="AE645" si="927">AD645+1</f>
        <v>2028</v>
      </c>
      <c r="AF645" s="957">
        <f t="shared" ref="AF645" si="928">AE645+1</f>
        <v>2029</v>
      </c>
      <c r="AG645" s="957">
        <f t="shared" ref="AG645" si="929">AF645+1</f>
        <v>2030</v>
      </c>
      <c r="AH645" s="957">
        <f t="shared" ref="AH645" si="930">AG645+1</f>
        <v>2031</v>
      </c>
      <c r="AI645" s="957">
        <f t="shared" ref="AI645" si="931">AH645+1</f>
        <v>2032</v>
      </c>
      <c r="AJ645" s="957">
        <f t="shared" ref="AJ645" si="932">AI645+1</f>
        <v>2033</v>
      </c>
      <c r="AK645" s="957">
        <f t="shared" ref="AK645" si="933">AJ645+1</f>
        <v>2034</v>
      </c>
      <c r="AL645" s="957">
        <f t="shared" ref="AL645" si="934">AK645+1</f>
        <v>2035</v>
      </c>
      <c r="AM645" s="957">
        <f t="shared" ref="AM645" si="935">AL645+1</f>
        <v>2036</v>
      </c>
      <c r="AN645" s="957">
        <f t="shared" ref="AN645" si="936">AM645+1</f>
        <v>2037</v>
      </c>
      <c r="AO645" s="957">
        <f t="shared" ref="AO645" si="937">AN645+1</f>
        <v>2038</v>
      </c>
      <c r="AP645" s="957">
        <f t="shared" ref="AP645" si="938">AO645+1</f>
        <v>2039</v>
      </c>
      <c r="AQ645" s="957">
        <f t="shared" ref="AQ645" si="939">AP645+1</f>
        <v>2040</v>
      </c>
      <c r="AR645" s="957">
        <f t="shared" ref="AR645" si="940">AQ645+1</f>
        <v>2041</v>
      </c>
      <c r="AS645" s="957">
        <f t="shared" ref="AS645" si="941">AR645+1</f>
        <v>2042</v>
      </c>
      <c r="AT645" s="957">
        <f t="shared" ref="AT645" si="942">AS645+1</f>
        <v>2043</v>
      </c>
      <c r="AU645" s="957">
        <f t="shared" ref="AU645" si="943">AT645+1</f>
        <v>2044</v>
      </c>
      <c r="AV645" s="957">
        <f t="shared" ref="AV645" si="944">AU645+1</f>
        <v>2045</v>
      </c>
      <c r="AW645" s="957">
        <f t="shared" ref="AW645" si="945">AV645+1</f>
        <v>2046</v>
      </c>
      <c r="AX645" s="957">
        <f t="shared" ref="AX645" si="946">AW645+1</f>
        <v>2047</v>
      </c>
      <c r="AY645" s="957">
        <f t="shared" ref="AY645" si="947">AX645+1</f>
        <v>2048</v>
      </c>
      <c r="AZ645" s="957">
        <f t="shared" ref="AZ645" si="948">AY645+1</f>
        <v>2049</v>
      </c>
      <c r="BA645" s="153">
        <f t="shared" ref="BA645" si="949">AZ645+1</f>
        <v>2050</v>
      </c>
    </row>
    <row r="646" spans="19:53" ht="20.100000000000001" customHeight="1">
      <c r="S646" s="101" t="s">
        <v>2558</v>
      </c>
      <c r="T646" s="383" t="s">
        <v>2907</v>
      </c>
      <c r="U646" s="131"/>
      <c r="V646" s="131"/>
      <c r="W646" s="131"/>
      <c r="X646" s="195"/>
      <c r="Y646" s="195">
        <f t="shared" ref="Y646:BA646" si="950">Y634*Y204/1000</f>
        <v>4451.4764080092964</v>
      </c>
      <c r="Z646" s="195">
        <f t="shared" si="950"/>
        <v>4468.7445765810571</v>
      </c>
      <c r="AA646" s="195">
        <f t="shared" si="950"/>
        <v>4485.9965370917389</v>
      </c>
      <c r="AB646" s="195">
        <f t="shared" si="950"/>
        <v>4503.2413112618124</v>
      </c>
      <c r="AC646" s="195">
        <f t="shared" si="950"/>
        <v>4520.0420631375491</v>
      </c>
      <c r="AD646" s="195">
        <f t="shared" si="950"/>
        <v>4536.7776732577568</v>
      </c>
      <c r="AE646" s="195">
        <f t="shared" si="950"/>
        <v>4553.4620637860426</v>
      </c>
      <c r="AF646" s="195">
        <f t="shared" si="950"/>
        <v>4570.107842920338</v>
      </c>
      <c r="AG646" s="195">
        <f t="shared" si="950"/>
        <v>4586.7264256821563</v>
      </c>
      <c r="AH646" s="195">
        <f t="shared" si="950"/>
        <v>4603.4474438644393</v>
      </c>
      <c r="AI646" s="195">
        <f t="shared" si="950"/>
        <v>4620.1747753073414</v>
      </c>
      <c r="AJ646" s="195">
        <f t="shared" si="950"/>
        <v>4636.9149129818325</v>
      </c>
      <c r="AK646" s="195">
        <f t="shared" si="950"/>
        <v>4653.6488923662064</v>
      </c>
      <c r="AL646" s="195">
        <f t="shared" si="950"/>
        <v>4670.406843163456</v>
      </c>
      <c r="AM646" s="195">
        <f t="shared" si="950"/>
        <v>4686.4857669463054</v>
      </c>
      <c r="AN646" s="195">
        <f t="shared" si="950"/>
        <v>4702.5369758255601</v>
      </c>
      <c r="AO646" s="195">
        <f t="shared" si="950"/>
        <v>4718.5924669195556</v>
      </c>
      <c r="AP646" s="195">
        <f t="shared" si="950"/>
        <v>4734.6585750193599</v>
      </c>
      <c r="AQ646" s="195">
        <f t="shared" si="950"/>
        <v>4750.7151985736573</v>
      </c>
      <c r="AR646" s="195">
        <f t="shared" si="950"/>
        <v>4766.7932989339843</v>
      </c>
      <c r="AS646" s="195">
        <f t="shared" si="950"/>
        <v>4782.8978087785827</v>
      </c>
      <c r="AT646" s="195">
        <f t="shared" si="950"/>
        <v>4799.0068370033587</v>
      </c>
      <c r="AU646" s="195">
        <f t="shared" si="950"/>
        <v>4815.1506555346969</v>
      </c>
      <c r="AV646" s="195">
        <f t="shared" si="950"/>
        <v>4831.3063400846395</v>
      </c>
      <c r="AW646" s="195">
        <f t="shared" si="950"/>
        <v>4848.3591000812175</v>
      </c>
      <c r="AX646" s="195">
        <f t="shared" si="950"/>
        <v>4865.4799010177321</v>
      </c>
      <c r="AY646" s="195">
        <f t="shared" si="950"/>
        <v>4882.6431090184342</v>
      </c>
      <c r="AZ646" s="195">
        <f t="shared" si="950"/>
        <v>4899.8772096789971</v>
      </c>
      <c r="BA646" s="707">
        <f t="shared" si="950"/>
        <v>4917.1836368063232</v>
      </c>
    </row>
    <row r="647" spans="19:53" ht="20.100000000000001" customHeight="1">
      <c r="S647" s="101" t="s">
        <v>2559</v>
      </c>
      <c r="T647" s="383" t="s">
        <v>2907</v>
      </c>
      <c r="U647" s="131"/>
      <c r="V647" s="131"/>
      <c r="W647" s="131"/>
      <c r="X647" s="195"/>
      <c r="Y647" s="195">
        <f t="shared" ref="Y647:BA647" si="951">Y635*Y204/1000</f>
        <v>61319.353213605973</v>
      </c>
      <c r="Z647" s="195">
        <f t="shared" si="951"/>
        <v>62295.80372404943</v>
      </c>
      <c r="AA647" s="195">
        <f t="shared" si="951"/>
        <v>63295.847906240626</v>
      </c>
      <c r="AB647" s="195">
        <f t="shared" si="951"/>
        <v>64303.076770818763</v>
      </c>
      <c r="AC647" s="195">
        <f t="shared" si="951"/>
        <v>65326.351290580227</v>
      </c>
      <c r="AD647" s="195">
        <f t="shared" si="951"/>
        <v>66365.927557433286</v>
      </c>
      <c r="AE647" s="195">
        <f t="shared" si="951"/>
        <v>67422.06609764669</v>
      </c>
      <c r="AF647" s="195">
        <f t="shared" si="951"/>
        <v>68495.031942694215</v>
      </c>
      <c r="AG647" s="195">
        <f t="shared" si="951"/>
        <v>69585.094702073009</v>
      </c>
      <c r="AH647" s="195">
        <f t="shared" si="951"/>
        <v>70277.950022358258</v>
      </c>
      <c r="AI647" s="195">
        <f t="shared" si="951"/>
        <v>70977.851299268936</v>
      </c>
      <c r="AJ647" s="195">
        <f t="shared" si="951"/>
        <v>71684.87211490082</v>
      </c>
      <c r="AK647" s="195">
        <f t="shared" si="951"/>
        <v>72398.748873085075</v>
      </c>
      <c r="AL647" s="195">
        <f t="shared" si="951"/>
        <v>73119.879159350588</v>
      </c>
      <c r="AM647" s="195">
        <f t="shared" si="951"/>
        <v>73848.339960025391</v>
      </c>
      <c r="AN647" s="195">
        <f t="shared" si="951"/>
        <v>74583.805794586631</v>
      </c>
      <c r="AO647" s="195">
        <f t="shared" si="951"/>
        <v>75326.748563275658</v>
      </c>
      <c r="AP647" s="195">
        <f t="shared" si="951"/>
        <v>76077.248002817389</v>
      </c>
      <c r="AQ647" s="195">
        <f t="shared" si="951"/>
        <v>76834.965475721314</v>
      </c>
      <c r="AR647" s="195">
        <f t="shared" si="951"/>
        <v>77600.391212033224</v>
      </c>
      <c r="AS647" s="195">
        <f t="shared" si="951"/>
        <v>78373.607779419777</v>
      </c>
      <c r="AT647" s="195">
        <f t="shared" si="951"/>
        <v>79154.262836400623</v>
      </c>
      <c r="AU647" s="195">
        <f t="shared" si="951"/>
        <v>79942.865642382894</v>
      </c>
      <c r="AV647" s="195">
        <f t="shared" si="951"/>
        <v>80739.054333990338</v>
      </c>
      <c r="AW647" s="195">
        <f t="shared" si="951"/>
        <v>81543.35118630332</v>
      </c>
      <c r="AX647" s="195">
        <f t="shared" si="951"/>
        <v>82355.843608182942</v>
      </c>
      <c r="AY647" s="195">
        <f t="shared" si="951"/>
        <v>83176.15507712106</v>
      </c>
      <c r="AZ647" s="195">
        <f t="shared" si="951"/>
        <v>84004.828129605579</v>
      </c>
      <c r="BA647" s="707">
        <f t="shared" si="951"/>
        <v>84841.953251617553</v>
      </c>
    </row>
    <row r="648" spans="19:53" ht="20.100000000000001" customHeight="1">
      <c r="S648" s="101" t="s">
        <v>2344</v>
      </c>
      <c r="T648" s="383" t="s">
        <v>2907</v>
      </c>
      <c r="U648" s="131"/>
      <c r="V648" s="195"/>
      <c r="W648" s="986">
        <f t="shared" ref="W648:W649" si="952">Y190</f>
        <v>991.15263564073814</v>
      </c>
      <c r="X648" s="972"/>
      <c r="Y648" s="972">
        <f t="shared" ref="Y648:BA648" si="953">Y636/Y204/1000</f>
        <v>5.0843462960302975E-6</v>
      </c>
      <c r="Z648" s="195">
        <f t="shared" si="953"/>
        <v>4.7875363012624597E-6</v>
      </c>
      <c r="AA648" s="195">
        <f t="shared" si="953"/>
        <v>4.5080558809591989E-6</v>
      </c>
      <c r="AB648" s="195">
        <f t="shared" si="953"/>
        <v>4.2448928311042813E-6</v>
      </c>
      <c r="AC648" s="195">
        <f t="shared" si="953"/>
        <v>3.9970941041589644E-6</v>
      </c>
      <c r="AD648" s="195">
        <f t="shared" si="953"/>
        <v>3.7637623492286087E-6</v>
      </c>
      <c r="AE648" s="195">
        <f t="shared" si="953"/>
        <v>3.5440526547527388E-6</v>
      </c>
      <c r="AF648" s="195">
        <f t="shared" si="953"/>
        <v>3.3371694818527311E-6</v>
      </c>
      <c r="AG648" s="195">
        <f t="shared" si="953"/>
        <v>3.1423637771672E-6</v>
      </c>
      <c r="AH648" s="195">
        <f t="shared" si="953"/>
        <v>2.9911491789633119E-6</v>
      </c>
      <c r="AI648" s="195">
        <f t="shared" si="953"/>
        <v>2.8472066229966572E-6</v>
      </c>
      <c r="AJ648" s="195">
        <f t="shared" si="953"/>
        <v>2.7101864987228188E-6</v>
      </c>
      <c r="AK648" s="195">
        <f t="shared" si="953"/>
        <v>2.5797698323071503E-6</v>
      </c>
      <c r="AL648" s="195">
        <f t="shared" si="953"/>
        <v>2.4556247381510387E-6</v>
      </c>
      <c r="AM648" s="195">
        <f t="shared" si="953"/>
        <v>2.33744972683412E-6</v>
      </c>
      <c r="AN648" s="195">
        <f t="shared" si="953"/>
        <v>2.2249698367119292E-6</v>
      </c>
      <c r="AO648" s="195">
        <f t="shared" si="953"/>
        <v>2.1178987415886842E-6</v>
      </c>
      <c r="AP648" s="195">
        <f t="shared" si="953"/>
        <v>2.0159764464785098E-6</v>
      </c>
      <c r="AQ648" s="195">
        <f t="shared" si="953"/>
        <v>1.9189659269850117E-6</v>
      </c>
      <c r="AR648" s="195">
        <f t="shared" si="953"/>
        <v>1.8266201584243104E-6</v>
      </c>
      <c r="AS648" s="195">
        <f t="shared" si="953"/>
        <v>1.7387149266308207E-6</v>
      </c>
      <c r="AT648" s="195">
        <f t="shared" si="953"/>
        <v>1.6550459083934285E-6</v>
      </c>
      <c r="AU648" s="195">
        <f t="shared" si="953"/>
        <v>1.5753999828157155E-6</v>
      </c>
      <c r="AV648" s="195">
        <f t="shared" si="953"/>
        <v>1.4995920988479854E-6</v>
      </c>
      <c r="AW648" s="195">
        <f t="shared" si="953"/>
        <v>1.4274291278790107E-6</v>
      </c>
      <c r="AX648" s="195">
        <f t="shared" si="953"/>
        <v>1.3587358986836289E-6</v>
      </c>
      <c r="AY648" s="195">
        <f t="shared" si="953"/>
        <v>1.2933528881890888E-6</v>
      </c>
      <c r="AZ648" s="195">
        <f t="shared" si="953"/>
        <v>1.2311134697856603E-6</v>
      </c>
      <c r="BA648" s="707">
        <f t="shared" si="953"/>
        <v>1.1718665744404063E-6</v>
      </c>
    </row>
    <row r="649" spans="19:53" ht="20.100000000000001" customHeight="1">
      <c r="S649" s="101" t="s">
        <v>2480</v>
      </c>
      <c r="T649" s="383" t="s">
        <v>2907</v>
      </c>
      <c r="U649" s="131"/>
      <c r="V649" s="195"/>
      <c r="W649" s="986">
        <f t="shared" si="952"/>
        <v>87.770852940100482</v>
      </c>
      <c r="X649" s="972"/>
      <c r="Y649" s="972">
        <f t="shared" ref="Y649:BA649" si="954">Y637*Y204/1000</f>
        <v>17110.22561384907</v>
      </c>
      <c r="Z649" s="195">
        <f t="shared" si="954"/>
        <v>15982.871428708679</v>
      </c>
      <c r="AA649" s="195">
        <f t="shared" si="954"/>
        <v>14929.787350384566</v>
      </c>
      <c r="AB649" s="195">
        <f t="shared" si="954"/>
        <v>13946.081840530342</v>
      </c>
      <c r="AC649" s="195">
        <f t="shared" si="954"/>
        <v>13027.185390424091</v>
      </c>
      <c r="AD649" s="195">
        <f t="shared" si="954"/>
        <v>12168.829331640338</v>
      </c>
      <c r="AE649" s="195">
        <f t="shared" si="954"/>
        <v>11367.026040106406</v>
      </c>
      <c r="AF649" s="195">
        <f t="shared" si="954"/>
        <v>10618.050441978699</v>
      </c>
      <c r="AG649" s="195">
        <f t="shared" si="954"/>
        <v>9918.4227357872514</v>
      </c>
      <c r="AH649" s="195">
        <f t="shared" si="954"/>
        <v>9375.3657662080132</v>
      </c>
      <c r="AI649" s="195">
        <f t="shared" si="954"/>
        <v>8862.0567582271597</v>
      </c>
      <c r="AJ649" s="195">
        <f t="shared" si="954"/>
        <v>8376.8657232111309</v>
      </c>
      <c r="AK649" s="195">
        <f t="shared" si="954"/>
        <v>7918.2095446008198</v>
      </c>
      <c r="AL649" s="195">
        <f t="shared" si="954"/>
        <v>7484.6788333555742</v>
      </c>
      <c r="AM649" s="195">
        <f t="shared" si="954"/>
        <v>7074.8968023109765</v>
      </c>
      <c r="AN649" s="195">
        <f t="shared" si="954"/>
        <v>6687.5259405362758</v>
      </c>
      <c r="AO649" s="195">
        <f t="shared" si="954"/>
        <v>6321.3761575868466</v>
      </c>
      <c r="AP649" s="195">
        <f t="shared" si="954"/>
        <v>5975.2845485436528</v>
      </c>
      <c r="AQ649" s="195">
        <f t="shared" si="954"/>
        <v>5648.1211144349991</v>
      </c>
      <c r="AR649" s="195">
        <f t="shared" si="954"/>
        <v>5338.8809549741709</v>
      </c>
      <c r="AS649" s="195">
        <f t="shared" si="954"/>
        <v>5046.5818316585182</v>
      </c>
      <c r="AT649" s="195">
        <f t="shared" si="954"/>
        <v>4770.2690702456812</v>
      </c>
      <c r="AU649" s="195">
        <f t="shared" si="954"/>
        <v>4509.0941546673102</v>
      </c>
      <c r="AV649" s="195">
        <f t="shared" si="954"/>
        <v>4262.2038378794987</v>
      </c>
      <c r="AW649" s="195">
        <f t="shared" si="954"/>
        <v>4028.8400311021278</v>
      </c>
      <c r="AX649" s="195">
        <f t="shared" si="954"/>
        <v>3808.2613700945521</v>
      </c>
      <c r="AY649" s="195">
        <f t="shared" si="954"/>
        <v>3599.7470050346801</v>
      </c>
      <c r="AZ649" s="195">
        <f t="shared" si="954"/>
        <v>3402.6568386548283</v>
      </c>
      <c r="BA649" s="707">
        <f t="shared" si="954"/>
        <v>3216.3647025188434</v>
      </c>
    </row>
    <row r="650" spans="19:53" ht="20.100000000000001" customHeight="1">
      <c r="S650" s="101" t="s">
        <v>2560</v>
      </c>
      <c r="T650" s="383" t="s">
        <v>2907</v>
      </c>
      <c r="U650" s="131"/>
      <c r="V650" s="195"/>
      <c r="W650" s="195"/>
      <c r="X650" s="195"/>
      <c r="Y650" s="195">
        <f t="shared" ref="Y650:BA650" si="955">Y638*Y204/1000</f>
        <v>1213.450506680224</v>
      </c>
      <c r="Z650" s="195">
        <f t="shared" si="955"/>
        <v>1169.2610382374824</v>
      </c>
      <c r="AA650" s="195">
        <f t="shared" si="955"/>
        <v>1128.3738351236686</v>
      </c>
      <c r="AB650" s="195">
        <f t="shared" si="955"/>
        <v>1090.5756873498426</v>
      </c>
      <c r="AC650" s="195">
        <f t="shared" si="955"/>
        <v>1055.6674708247795</v>
      </c>
      <c r="AD650" s="195">
        <f t="shared" si="955"/>
        <v>1023.4632211662222</v>
      </c>
      <c r="AE650" s="195">
        <f t="shared" si="955"/>
        <v>993.78926842767009</v>
      </c>
      <c r="AF650" s="195">
        <f t="shared" si="955"/>
        <v>966.48342873792876</v>
      </c>
      <c r="AG650" s="195">
        <f t="shared" si="955"/>
        <v>941.39424911348067</v>
      </c>
      <c r="AH650" s="195">
        <f t="shared" si="955"/>
        <v>923.21946771282671</v>
      </c>
      <c r="AI650" s="195">
        <f t="shared" si="955"/>
        <v>906.40698592764761</v>
      </c>
      <c r="AJ650" s="195">
        <f t="shared" si="955"/>
        <v>890.88626514050986</v>
      </c>
      <c r="AK650" s="195">
        <f t="shared" si="955"/>
        <v>876.58598134286012</v>
      </c>
      <c r="AL650" s="195">
        <f t="shared" si="955"/>
        <v>863.44802182491287</v>
      </c>
      <c r="AM650" s="195">
        <f t="shared" si="955"/>
        <v>851.41294285465278</v>
      </c>
      <c r="AN650" s="195">
        <f t="shared" si="955"/>
        <v>840.42006250124837</v>
      </c>
      <c r="AO650" s="195">
        <f t="shared" si="955"/>
        <v>830.42099928350899</v>
      </c>
      <c r="AP650" s="195">
        <f t="shared" si="955"/>
        <v>821.36568650017784</v>
      </c>
      <c r="AQ650" s="195">
        <f t="shared" si="955"/>
        <v>813.20241487770284</v>
      </c>
      <c r="AR650" s="195">
        <f t="shared" si="955"/>
        <v>805.89104914942936</v>
      </c>
      <c r="AS650" s="195">
        <f t="shared" si="955"/>
        <v>799.38944865190763</v>
      </c>
      <c r="AT650" s="195">
        <f t="shared" si="955"/>
        <v>793.65346538111601</v>
      </c>
      <c r="AU650" s="195">
        <f t="shared" si="955"/>
        <v>788.64995733567355</v>
      </c>
      <c r="AV650" s="195">
        <f t="shared" si="955"/>
        <v>784.33913858415758</v>
      </c>
      <c r="AW650" s="195">
        <f t="shared" si="955"/>
        <v>780.69192777048318</v>
      </c>
      <c r="AX650" s="195">
        <f t="shared" si="955"/>
        <v>777.67676285536731</v>
      </c>
      <c r="AY650" s="195">
        <f t="shared" si="955"/>
        <v>775.25953496639568</v>
      </c>
      <c r="AZ650" s="195">
        <f t="shared" si="955"/>
        <v>773.41648876333352</v>
      </c>
      <c r="BA650" s="707">
        <f t="shared" si="955"/>
        <v>772.1211291887887</v>
      </c>
    </row>
    <row r="651" spans="19:53" ht="20.100000000000001" customHeight="1">
      <c r="S651" s="542" t="s">
        <v>2561</v>
      </c>
      <c r="T651" s="383" t="s">
        <v>2907</v>
      </c>
      <c r="U651" s="131"/>
      <c r="V651" s="195"/>
      <c r="W651" s="195"/>
      <c r="X651" s="195"/>
      <c r="Y651" s="195">
        <f>Y639*Y204/1000</f>
        <v>0</v>
      </c>
      <c r="Z651" s="195">
        <f t="shared" ref="Z651:BA651" si="956">Z639*Z204/1000</f>
        <v>0</v>
      </c>
      <c r="AA651" s="195">
        <f t="shared" si="956"/>
        <v>0</v>
      </c>
      <c r="AB651" s="195">
        <f t="shared" si="956"/>
        <v>4929.7567775309317</v>
      </c>
      <c r="AC651" s="195">
        <f t="shared" si="956"/>
        <v>9637.9493464913448</v>
      </c>
      <c r="AD651" s="195">
        <f t="shared" si="956"/>
        <v>9435.9919945716847</v>
      </c>
      <c r="AE651" s="195">
        <f t="shared" si="956"/>
        <v>9252.6780057333253</v>
      </c>
      <c r="AF651" s="195">
        <f t="shared" si="956"/>
        <v>9087.1015515504296</v>
      </c>
      <c r="AG651" s="195">
        <f t="shared" si="956"/>
        <v>8938.4112730667475</v>
      </c>
      <c r="AH651" s="195">
        <f t="shared" si="956"/>
        <v>8757.1993611767393</v>
      </c>
      <c r="AI651" s="195">
        <f t="shared" si="956"/>
        <v>8589.2455268791182</v>
      </c>
      <c r="AJ651" s="195">
        <f t="shared" si="956"/>
        <v>8433.8432901685501</v>
      </c>
      <c r="AK651" s="195">
        <f t="shared" si="956"/>
        <v>8290.2814534536028</v>
      </c>
      <c r="AL651" s="195">
        <f t="shared" si="956"/>
        <v>8157.9763742263603</v>
      </c>
      <c r="AM651" s="195">
        <f t="shared" si="956"/>
        <v>8036.3340805299731</v>
      </c>
      <c r="AN651" s="195">
        <f t="shared" si="956"/>
        <v>7924.7512027358234</v>
      </c>
      <c r="AO651" s="195">
        <f t="shared" si="956"/>
        <v>7822.7425625027927</v>
      </c>
      <c r="AP651" s="195">
        <f t="shared" si="956"/>
        <v>7729.8089776901161</v>
      </c>
      <c r="AQ651" s="195">
        <f t="shared" si="956"/>
        <v>7645.4377369915419</v>
      </c>
      <c r="AR651" s="195">
        <f t="shared" si="956"/>
        <v>7569.2268064109712</v>
      </c>
      <c r="AS651" s="195">
        <f t="shared" si="956"/>
        <v>7500.7568714160789</v>
      </c>
      <c r="AT651" s="195">
        <f t="shared" si="956"/>
        <v>7439.5914077557763</v>
      </c>
      <c r="AU651" s="195">
        <f t="shared" si="956"/>
        <v>7385.3986351944131</v>
      </c>
      <c r="AV651" s="195">
        <f t="shared" si="956"/>
        <v>7337.7858834751733</v>
      </c>
      <c r="AW651" s="195">
        <f t="shared" si="956"/>
        <v>7296.4620374168007</v>
      </c>
      <c r="AX651" s="195">
        <f t="shared" si="956"/>
        <v>7261.1139300580671</v>
      </c>
      <c r="AY651" s="195">
        <f t="shared" si="956"/>
        <v>7231.4058371345709</v>
      </c>
      <c r="AZ651" s="195">
        <f t="shared" si="956"/>
        <v>7207.0998036523479</v>
      </c>
      <c r="BA651" s="707">
        <f t="shared" si="956"/>
        <v>7187.9332755711748</v>
      </c>
    </row>
    <row r="652" spans="19:53" ht="20.100000000000001" customHeight="1">
      <c r="S652" s="542" t="s">
        <v>2562</v>
      </c>
      <c r="T652" s="383" t="s">
        <v>2907</v>
      </c>
      <c r="U652" s="131"/>
      <c r="V652" s="195"/>
      <c r="W652" s="195"/>
      <c r="X652" s="195"/>
      <c r="Y652" s="195">
        <f>Y640*Y204/1000</f>
        <v>5778.4625478067755</v>
      </c>
      <c r="Z652" s="195">
        <f t="shared" ref="Z652:BA652" si="957">Z640*Z204/1000</f>
        <v>5899.2557492051583</v>
      </c>
      <c r="AA652" s="195">
        <f t="shared" si="957"/>
        <v>6022.5704993269901</v>
      </c>
      <c r="AB652" s="195">
        <f t="shared" si="957"/>
        <v>4346.9610188947108</v>
      </c>
      <c r="AC652" s="195">
        <f t="shared" si="957"/>
        <v>2598.6686616297488</v>
      </c>
      <c r="AD652" s="195">
        <f t="shared" si="957"/>
        <v>2652.9860571854383</v>
      </c>
      <c r="AE652" s="195">
        <f t="shared" si="957"/>
        <v>2708.4378490800082</v>
      </c>
      <c r="AF652" s="195">
        <f t="shared" si="957"/>
        <v>2765.0478761200443</v>
      </c>
      <c r="AG652" s="195">
        <f t="shared" si="957"/>
        <v>2822.840486738799</v>
      </c>
      <c r="AH652" s="195">
        <f t="shared" si="957"/>
        <v>2850.9645867276658</v>
      </c>
      <c r="AI652" s="195">
        <f t="shared" si="957"/>
        <v>2879.3735397513024</v>
      </c>
      <c r="AJ652" s="195">
        <f t="shared" si="957"/>
        <v>2908.0703979399213</v>
      </c>
      <c r="AK652" s="195">
        <f t="shared" si="957"/>
        <v>2937.0425050690974</v>
      </c>
      <c r="AL652" s="195">
        <f t="shared" si="957"/>
        <v>2966.3083219617761</v>
      </c>
      <c r="AM652" s="195">
        <f t="shared" si="957"/>
        <v>2995.8710034710862</v>
      </c>
      <c r="AN652" s="195">
        <f t="shared" si="957"/>
        <v>3025.7173754117566</v>
      </c>
      <c r="AO652" s="195">
        <f t="shared" si="957"/>
        <v>3055.8666099976481</v>
      </c>
      <c r="AP652" s="195">
        <f t="shared" si="957"/>
        <v>3086.3219686899429</v>
      </c>
      <c r="AQ652" s="195">
        <f t="shared" si="957"/>
        <v>3117.0697387095379</v>
      </c>
      <c r="AR652" s="195">
        <f t="shared" si="957"/>
        <v>3148.1298316036336</v>
      </c>
      <c r="AS652" s="195">
        <f t="shared" si="957"/>
        <v>3179.5056194943018</v>
      </c>
      <c r="AT652" s="195">
        <f t="shared" si="957"/>
        <v>3211.1828295750556</v>
      </c>
      <c r="AU652" s="195">
        <f t="shared" si="957"/>
        <v>3243.1821417879637</v>
      </c>
      <c r="AV652" s="195">
        <f t="shared" si="957"/>
        <v>3275.4888946823621</v>
      </c>
      <c r="AW652" s="195">
        <f t="shared" si="957"/>
        <v>3308.1242941543728</v>
      </c>
      <c r="AX652" s="195">
        <f t="shared" si="957"/>
        <v>3341.0919031679723</v>
      </c>
      <c r="AY652" s="195">
        <f t="shared" si="957"/>
        <v>3374.3764625035315</v>
      </c>
      <c r="AZ652" s="195">
        <f t="shared" si="957"/>
        <v>3407.9999973396448</v>
      </c>
      <c r="BA652" s="707">
        <f t="shared" si="957"/>
        <v>3441.9661928281607</v>
      </c>
    </row>
    <row r="653" spans="19:53" ht="20.100000000000001" customHeight="1">
      <c r="S653" s="542" t="s">
        <v>2566</v>
      </c>
      <c r="T653" s="383" t="s">
        <v>2907</v>
      </c>
      <c r="U653" s="131"/>
      <c r="V653" s="195"/>
      <c r="W653" s="195"/>
      <c r="X653" s="195"/>
      <c r="Y653" s="195">
        <f>Y641*Y204/1000</f>
        <v>0</v>
      </c>
      <c r="Z653" s="195">
        <f t="shared" ref="Z653:BA653" si="958">Z641*Z204/1000</f>
        <v>0</v>
      </c>
      <c r="AA653" s="195">
        <f t="shared" si="958"/>
        <v>0</v>
      </c>
      <c r="AB653" s="195">
        <f t="shared" si="958"/>
        <v>0</v>
      </c>
      <c r="AC653" s="195">
        <f t="shared" si="958"/>
        <v>0</v>
      </c>
      <c r="AD653" s="195">
        <f t="shared" si="958"/>
        <v>0</v>
      </c>
      <c r="AE653" s="195">
        <f t="shared" si="958"/>
        <v>0</v>
      </c>
      <c r="AF653" s="195">
        <f t="shared" si="958"/>
        <v>0</v>
      </c>
      <c r="AG653" s="195">
        <f t="shared" si="958"/>
        <v>0</v>
      </c>
      <c r="AH653" s="195">
        <f t="shared" si="958"/>
        <v>0</v>
      </c>
      <c r="AI653" s="195">
        <f t="shared" si="958"/>
        <v>0</v>
      </c>
      <c r="AJ653" s="195">
        <f t="shared" si="958"/>
        <v>0</v>
      </c>
      <c r="AK653" s="195">
        <f t="shared" si="958"/>
        <v>0</v>
      </c>
      <c r="AL653" s="195">
        <f t="shared" si="958"/>
        <v>0</v>
      </c>
      <c r="AM653" s="195">
        <f t="shared" si="958"/>
        <v>0</v>
      </c>
      <c r="AN653" s="195">
        <f t="shared" si="958"/>
        <v>0</v>
      </c>
      <c r="AO653" s="195">
        <f t="shared" si="958"/>
        <v>0</v>
      </c>
      <c r="AP653" s="195">
        <f t="shared" si="958"/>
        <v>0</v>
      </c>
      <c r="AQ653" s="195">
        <f t="shared" si="958"/>
        <v>0</v>
      </c>
      <c r="AR653" s="195">
        <f t="shared" si="958"/>
        <v>0</v>
      </c>
      <c r="AS653" s="195">
        <f t="shared" si="958"/>
        <v>0</v>
      </c>
      <c r="AT653" s="195">
        <f t="shared" si="958"/>
        <v>0</v>
      </c>
      <c r="AU653" s="195">
        <f t="shared" si="958"/>
        <v>0</v>
      </c>
      <c r="AV653" s="195">
        <f t="shared" si="958"/>
        <v>0</v>
      </c>
      <c r="AW653" s="195">
        <f t="shared" si="958"/>
        <v>0</v>
      </c>
      <c r="AX653" s="195">
        <f t="shared" si="958"/>
        <v>0</v>
      </c>
      <c r="AY653" s="195">
        <f t="shared" si="958"/>
        <v>0</v>
      </c>
      <c r="AZ653" s="195">
        <f t="shared" si="958"/>
        <v>0</v>
      </c>
      <c r="BA653" s="707">
        <f t="shared" si="958"/>
        <v>0</v>
      </c>
    </row>
    <row r="654" spans="19:53" ht="20.100000000000001" customHeight="1">
      <c r="S654" s="101" t="s">
        <v>2662</v>
      </c>
      <c r="T654" s="383" t="s">
        <v>2884</v>
      </c>
      <c r="U654" s="131"/>
      <c r="V654" s="195"/>
      <c r="W654" s="195"/>
      <c r="X654" s="195"/>
      <c r="Y654" s="195">
        <f t="shared" ref="Y654:BA654" si="959">Y196</f>
        <v>73841.666164683105</v>
      </c>
      <c r="Z654" s="195">
        <f t="shared" si="959"/>
        <v>74844.94427107356</v>
      </c>
      <c r="AA654" s="195">
        <f t="shared" si="959"/>
        <v>75881.789788351802</v>
      </c>
      <c r="AB654" s="195">
        <f t="shared" si="959"/>
        <v>76935.383572753664</v>
      </c>
      <c r="AC654" s="195">
        <f t="shared" si="959"/>
        <v>78013.761886210559</v>
      </c>
      <c r="AD654" s="195">
        <f t="shared" si="959"/>
        <v>79117.201226435747</v>
      </c>
      <c r="AE654" s="195">
        <f t="shared" si="959"/>
        <v>80245.645189875053</v>
      </c>
      <c r="AF654" s="195">
        <f t="shared" si="959"/>
        <v>81399.066525287039</v>
      </c>
      <c r="AG654" s="195">
        <f t="shared" si="959"/>
        <v>82577.465774086973</v>
      </c>
      <c r="AH654" s="195">
        <f t="shared" si="959"/>
        <v>83303.831412954678</v>
      </c>
      <c r="AI654" s="195">
        <f t="shared" si="959"/>
        <v>84040.982792653915</v>
      </c>
      <c r="AJ654" s="195">
        <f t="shared" si="959"/>
        <v>84788.850892497125</v>
      </c>
      <c r="AK654" s="195">
        <f t="shared" si="959"/>
        <v>85546.969714886611</v>
      </c>
      <c r="AL654" s="195">
        <f t="shared" si="959"/>
        <v>86315.67607452946</v>
      </c>
      <c r="AM654" s="195">
        <f t="shared" si="959"/>
        <v>87094.218707417444</v>
      </c>
      <c r="AN654" s="195">
        <f t="shared" si="959"/>
        <v>87882.761261787076</v>
      </c>
      <c r="AO654" s="195">
        <f t="shared" si="959"/>
        <v>88681.739440970385</v>
      </c>
      <c r="AP654" s="195">
        <f t="shared" si="959"/>
        <v>89491.134381310505</v>
      </c>
      <c r="AQ654" s="195">
        <f t="shared" si="959"/>
        <v>90310.442968927862</v>
      </c>
      <c r="AR654" s="195">
        <f t="shared" si="959"/>
        <v>91140.137852499363</v>
      </c>
      <c r="AS654" s="195">
        <f t="shared" si="959"/>
        <v>91980.21891867528</v>
      </c>
      <c r="AT654" s="195">
        <f t="shared" si="959"/>
        <v>92830.182430678804</v>
      </c>
      <c r="AU654" s="195">
        <f t="shared" si="959"/>
        <v>93690.536446263897</v>
      </c>
      <c r="AV654" s="195">
        <f t="shared" si="959"/>
        <v>94560.775159628887</v>
      </c>
      <c r="AW654" s="195">
        <f t="shared" si="959"/>
        <v>95442.284717023984</v>
      </c>
      <c r="AX654" s="195">
        <f t="shared" si="959"/>
        <v>96334.25927785573</v>
      </c>
      <c r="AY654" s="195">
        <f t="shared" si="959"/>
        <v>97236.186566188058</v>
      </c>
      <c r="AZ654" s="195">
        <f t="shared" si="959"/>
        <v>98148.629895912964</v>
      </c>
      <c r="BA654" s="707">
        <f t="shared" si="959"/>
        <v>99071.628336169655</v>
      </c>
    </row>
    <row r="655" spans="19:53" ht="20.100000000000001" customHeight="1" thickBot="1">
      <c r="S655" s="301" t="s">
        <v>2663</v>
      </c>
      <c r="T655" s="448" t="s">
        <v>2885</v>
      </c>
      <c r="U655" s="139"/>
      <c r="V655" s="197"/>
      <c r="W655" s="197"/>
      <c r="X655" s="197"/>
      <c r="Y655" s="197">
        <f t="shared" ref="Y655:BA655" si="960">SUM(Y646:Y653)</f>
        <v>89872.96829503568</v>
      </c>
      <c r="Z655" s="197">
        <f t="shared" si="960"/>
        <v>89815.93652156934</v>
      </c>
      <c r="AA655" s="197">
        <f t="shared" si="960"/>
        <v>89862.576132675633</v>
      </c>
      <c r="AB655" s="197">
        <f t="shared" si="960"/>
        <v>93119.693410631298</v>
      </c>
      <c r="AC655" s="197">
        <f t="shared" si="960"/>
        <v>96165.864227084821</v>
      </c>
      <c r="AD655" s="197">
        <f t="shared" si="960"/>
        <v>96183.975839018502</v>
      </c>
      <c r="AE655" s="197">
        <f t="shared" si="960"/>
        <v>96297.459328324185</v>
      </c>
      <c r="AF655" s="197">
        <f t="shared" si="960"/>
        <v>96501.823087338838</v>
      </c>
      <c r="AG655" s="197">
        <f t="shared" si="960"/>
        <v>96792.889875603811</v>
      </c>
      <c r="AH655" s="197">
        <f t="shared" si="960"/>
        <v>96788.146651039089</v>
      </c>
      <c r="AI655" s="197">
        <f t="shared" si="960"/>
        <v>96835.108888208735</v>
      </c>
      <c r="AJ655" s="197">
        <f t="shared" si="960"/>
        <v>96931.452707052944</v>
      </c>
      <c r="AK655" s="197">
        <f t="shared" si="960"/>
        <v>97074.517252497419</v>
      </c>
      <c r="AL655" s="197">
        <f t="shared" si="960"/>
        <v>97262.697556338273</v>
      </c>
      <c r="AM655" s="197">
        <f t="shared" si="960"/>
        <v>97493.340558475829</v>
      </c>
      <c r="AN655" s="197">
        <f t="shared" si="960"/>
        <v>97764.75735382225</v>
      </c>
      <c r="AO655" s="197">
        <f t="shared" si="960"/>
        <v>98075.747361683912</v>
      </c>
      <c r="AP655" s="197">
        <f t="shared" si="960"/>
        <v>98424.687761276626</v>
      </c>
      <c r="AQ655" s="197">
        <f t="shared" si="960"/>
        <v>98809.511681227712</v>
      </c>
      <c r="AR655" s="197">
        <f t="shared" si="960"/>
        <v>99229.313154932024</v>
      </c>
      <c r="AS655" s="197">
        <f t="shared" si="960"/>
        <v>99682.739361157888</v>
      </c>
      <c r="AT655" s="197">
        <f t="shared" si="960"/>
        <v>100167.96644801665</v>
      </c>
      <c r="AU655" s="197">
        <f t="shared" si="960"/>
        <v>100684.34118847837</v>
      </c>
      <c r="AV655" s="197">
        <f t="shared" si="960"/>
        <v>101230.17843019575</v>
      </c>
      <c r="AW655" s="197">
        <f t="shared" si="960"/>
        <v>101805.82857825575</v>
      </c>
      <c r="AX655" s="197">
        <f t="shared" si="960"/>
        <v>102409.46747673537</v>
      </c>
      <c r="AY655" s="197">
        <f t="shared" si="960"/>
        <v>103039.58702707202</v>
      </c>
      <c r="AZ655" s="197">
        <f t="shared" si="960"/>
        <v>103695.87846892585</v>
      </c>
      <c r="BA655" s="566">
        <f t="shared" si="960"/>
        <v>104377.52218970271</v>
      </c>
    </row>
  </sheetData>
  <mergeCells count="78">
    <mergeCell ref="T301:V301"/>
    <mergeCell ref="T302:V302"/>
    <mergeCell ref="S138:T138"/>
    <mergeCell ref="U138:W138"/>
    <mergeCell ref="U276:X276"/>
    <mergeCell ref="U288:X288"/>
    <mergeCell ref="X138:BA138"/>
    <mergeCell ref="U272:X272"/>
    <mergeCell ref="U273:X273"/>
    <mergeCell ref="U274:X274"/>
    <mergeCell ref="U275:X275"/>
    <mergeCell ref="U265:X265"/>
    <mergeCell ref="U266:X266"/>
    <mergeCell ref="U287:X287"/>
    <mergeCell ref="U267:X267"/>
    <mergeCell ref="U268:X268"/>
    <mergeCell ref="T128:U128"/>
    <mergeCell ref="T129:U129"/>
    <mergeCell ref="T131:U131"/>
    <mergeCell ref="T135:U135"/>
    <mergeCell ref="T136:U136"/>
    <mergeCell ref="T115:U115"/>
    <mergeCell ref="T116:U116"/>
    <mergeCell ref="T117:U117"/>
    <mergeCell ref="T124:U124"/>
    <mergeCell ref="T127:U127"/>
    <mergeCell ref="T119:U119"/>
    <mergeCell ref="U38:V38"/>
    <mergeCell ref="BH37:BK37"/>
    <mergeCell ref="BH31:BK31"/>
    <mergeCell ref="BH32:BK32"/>
    <mergeCell ref="BH33:BK33"/>
    <mergeCell ref="BH34:BK34"/>
    <mergeCell ref="BH35:BK35"/>
    <mergeCell ref="BH36:BK36"/>
    <mergeCell ref="B8:F8"/>
    <mergeCell ref="B9:F9"/>
    <mergeCell ref="B10:F10"/>
    <mergeCell ref="B11:F11"/>
    <mergeCell ref="X27:BA27"/>
    <mergeCell ref="B12:F12"/>
    <mergeCell ref="U27:W27"/>
    <mergeCell ref="B142:F142"/>
    <mergeCell ref="B124:O124"/>
    <mergeCell ref="B138:F138"/>
    <mergeCell ref="B139:F139"/>
    <mergeCell ref="B140:F140"/>
    <mergeCell ref="B141:F141"/>
    <mergeCell ref="G225:G226"/>
    <mergeCell ref="F147:F148"/>
    <mergeCell ref="G147:G148"/>
    <mergeCell ref="H201:H202"/>
    <mergeCell ref="F156:F157"/>
    <mergeCell ref="G188:G189"/>
    <mergeCell ref="F188:F189"/>
    <mergeCell ref="F224:F226"/>
    <mergeCell ref="F167:F168"/>
    <mergeCell ref="G167:G168"/>
    <mergeCell ref="H167:H169"/>
    <mergeCell ref="F179:F180"/>
    <mergeCell ref="G179:G180"/>
    <mergeCell ref="H180:H181"/>
    <mergeCell ref="U269:X269"/>
    <mergeCell ref="U464:V464"/>
    <mergeCell ref="U472:V472"/>
    <mergeCell ref="U277:X277"/>
    <mergeCell ref="T347:U347"/>
    <mergeCell ref="T348:U348"/>
    <mergeCell ref="T349:U349"/>
    <mergeCell ref="T350:U350"/>
    <mergeCell ref="T351:U351"/>
    <mergeCell ref="U456:V456"/>
    <mergeCell ref="V281:X281"/>
    <mergeCell ref="V282:X282"/>
    <mergeCell ref="V283:X283"/>
    <mergeCell ref="U286:X286"/>
    <mergeCell ref="T317:V317"/>
    <mergeCell ref="T321:V321"/>
  </mergeCells>
  <pageMargins left="0.7" right="0.7" top="0.75" bottom="0.75" header="0.3" footer="0.3"/>
  <pageSetup paperSize="9" scale="98" orientation="portrait" r:id="rId1"/>
  <rowBreaks count="1" manualBreakCount="1">
    <brk id="4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7452" r:id="rId4" name="Drop Down 284">
              <controlPr defaultSize="0" autoLine="0" autoPict="0">
                <anchor moveWithCells="1">
                  <from>
                    <xdr:col>5</xdr:col>
                    <xdr:colOff>314325</xdr:colOff>
                    <xdr:row>17</xdr:row>
                    <xdr:rowOff>228600</xdr:rowOff>
                  </from>
                  <to>
                    <xdr:col>6</xdr:col>
                    <xdr:colOff>838200</xdr:colOff>
                    <xdr:row>18</xdr:row>
                    <xdr:rowOff>219075</xdr:rowOff>
                  </to>
                </anchor>
              </controlPr>
            </control>
          </mc:Choice>
        </mc:AlternateContent>
        <mc:AlternateContent xmlns:mc="http://schemas.openxmlformats.org/markup-compatibility/2006">
          <mc:Choice Requires="x14">
            <control shapeId="7453" r:id="rId5" name="Drop Down 285">
              <controlPr defaultSize="0" autoLine="0" autoPict="0">
                <anchor moveWithCells="1">
                  <from>
                    <xdr:col>5</xdr:col>
                    <xdr:colOff>314325</xdr:colOff>
                    <xdr:row>18</xdr:row>
                    <xdr:rowOff>238125</xdr:rowOff>
                  </from>
                  <to>
                    <xdr:col>6</xdr:col>
                    <xdr:colOff>838200</xdr:colOff>
                    <xdr:row>19</xdr:row>
                    <xdr:rowOff>219075</xdr:rowOff>
                  </to>
                </anchor>
              </controlPr>
            </control>
          </mc:Choice>
        </mc:AlternateContent>
        <mc:AlternateContent xmlns:mc="http://schemas.openxmlformats.org/markup-compatibility/2006">
          <mc:Choice Requires="x14">
            <control shapeId="7454" r:id="rId6" name="Drop Down 286">
              <controlPr defaultSize="0" autoLine="0" autoPict="0">
                <anchor moveWithCells="1">
                  <from>
                    <xdr:col>5</xdr:col>
                    <xdr:colOff>314325</xdr:colOff>
                    <xdr:row>19</xdr:row>
                    <xdr:rowOff>238125</xdr:rowOff>
                  </from>
                  <to>
                    <xdr:col>6</xdr:col>
                    <xdr:colOff>838200</xdr:colOff>
                    <xdr:row>20</xdr:row>
                    <xdr:rowOff>219075</xdr:rowOff>
                  </to>
                </anchor>
              </controlPr>
            </control>
          </mc:Choice>
        </mc:AlternateContent>
        <mc:AlternateContent xmlns:mc="http://schemas.openxmlformats.org/markup-compatibility/2006">
          <mc:Choice Requires="x14">
            <control shapeId="7455" r:id="rId7" name="Drop Down 287">
              <controlPr defaultSize="0" autoLine="0" autoPict="0">
                <anchor moveWithCells="1">
                  <from>
                    <xdr:col>5</xdr:col>
                    <xdr:colOff>314325</xdr:colOff>
                    <xdr:row>20</xdr:row>
                    <xdr:rowOff>238125</xdr:rowOff>
                  </from>
                  <to>
                    <xdr:col>6</xdr:col>
                    <xdr:colOff>838200</xdr:colOff>
                    <xdr:row>21</xdr:row>
                    <xdr:rowOff>219075</xdr:rowOff>
                  </to>
                </anchor>
              </controlPr>
            </control>
          </mc:Choice>
        </mc:AlternateContent>
        <mc:AlternateContent xmlns:mc="http://schemas.openxmlformats.org/markup-compatibility/2006">
          <mc:Choice Requires="x14">
            <control shapeId="7458" r:id="rId8" name="Drop Down 290">
              <controlPr defaultSize="0" autoLine="0" autoPict="0">
                <anchor moveWithCells="1">
                  <from>
                    <xdr:col>4</xdr:col>
                    <xdr:colOff>619125</xdr:colOff>
                    <xdr:row>128</xdr:row>
                    <xdr:rowOff>9525</xdr:rowOff>
                  </from>
                  <to>
                    <xdr:col>5</xdr:col>
                    <xdr:colOff>685800</xdr:colOff>
                    <xdr:row>129</xdr:row>
                    <xdr:rowOff>0</xdr:rowOff>
                  </to>
                </anchor>
              </controlPr>
            </control>
          </mc:Choice>
        </mc:AlternateContent>
        <mc:AlternateContent xmlns:mc="http://schemas.openxmlformats.org/markup-compatibility/2006">
          <mc:Choice Requires="x14">
            <control shapeId="7459" r:id="rId9" name="Drop Down 291">
              <controlPr defaultSize="0" autoLine="0" autoPict="0">
                <anchor moveWithCells="1">
                  <from>
                    <xdr:col>5</xdr:col>
                    <xdr:colOff>752475</xdr:colOff>
                    <xdr:row>128</xdr:row>
                    <xdr:rowOff>9525</xdr:rowOff>
                  </from>
                  <to>
                    <xdr:col>6</xdr:col>
                    <xdr:colOff>828675</xdr:colOff>
                    <xdr:row>129</xdr:row>
                    <xdr:rowOff>0</xdr:rowOff>
                  </to>
                </anchor>
              </controlPr>
            </control>
          </mc:Choice>
        </mc:AlternateContent>
        <mc:AlternateContent xmlns:mc="http://schemas.openxmlformats.org/markup-compatibility/2006">
          <mc:Choice Requires="x14">
            <control shapeId="7462" r:id="rId10" name="Drop Down 294">
              <controlPr defaultSize="0" autoLine="0" autoPict="0">
                <anchor moveWithCells="1">
                  <from>
                    <xdr:col>4</xdr:col>
                    <xdr:colOff>809625</xdr:colOff>
                    <xdr:row>150</xdr:row>
                    <xdr:rowOff>9525</xdr:rowOff>
                  </from>
                  <to>
                    <xdr:col>6</xdr:col>
                    <xdr:colOff>9525</xdr:colOff>
                    <xdr:row>151</xdr:row>
                    <xdr:rowOff>0</xdr:rowOff>
                  </to>
                </anchor>
              </controlPr>
            </control>
          </mc:Choice>
        </mc:AlternateContent>
        <mc:AlternateContent xmlns:mc="http://schemas.openxmlformats.org/markup-compatibility/2006">
          <mc:Choice Requires="x14">
            <control shapeId="7463" r:id="rId11" name="Drop Down 295">
              <controlPr defaultSize="0" autoLine="0" autoPict="0">
                <anchor moveWithCells="1">
                  <from>
                    <xdr:col>6</xdr:col>
                    <xdr:colOff>0</xdr:colOff>
                    <xdr:row>150</xdr:row>
                    <xdr:rowOff>9525</xdr:rowOff>
                  </from>
                  <to>
                    <xdr:col>7</xdr:col>
                    <xdr:colOff>57150</xdr:colOff>
                    <xdr:row>151</xdr:row>
                    <xdr:rowOff>0</xdr:rowOff>
                  </to>
                </anchor>
              </controlPr>
            </control>
          </mc:Choice>
        </mc:AlternateContent>
        <mc:AlternateContent xmlns:mc="http://schemas.openxmlformats.org/markup-compatibility/2006">
          <mc:Choice Requires="x14">
            <control shapeId="7475" r:id="rId12" name="Drop Down 307">
              <controlPr defaultSize="0" autoLine="0" autoPict="0">
                <anchor moveWithCells="1">
                  <from>
                    <xdr:col>6</xdr:col>
                    <xdr:colOff>0</xdr:colOff>
                    <xdr:row>176</xdr:row>
                    <xdr:rowOff>9525</xdr:rowOff>
                  </from>
                  <to>
                    <xdr:col>7</xdr:col>
                    <xdr:colOff>57150</xdr:colOff>
                    <xdr:row>177</xdr:row>
                    <xdr:rowOff>0</xdr:rowOff>
                  </to>
                </anchor>
              </controlPr>
            </control>
          </mc:Choice>
        </mc:AlternateContent>
        <mc:AlternateContent xmlns:mc="http://schemas.openxmlformats.org/markup-compatibility/2006">
          <mc:Choice Requires="x14">
            <control shapeId="7476" r:id="rId13" name="Drop Down 308">
              <controlPr defaultSize="0" autoLine="0" autoPict="0">
                <anchor moveWithCells="1">
                  <from>
                    <xdr:col>4</xdr:col>
                    <xdr:colOff>800100</xdr:colOff>
                    <xdr:row>176</xdr:row>
                    <xdr:rowOff>9525</xdr:rowOff>
                  </from>
                  <to>
                    <xdr:col>6</xdr:col>
                    <xdr:colOff>0</xdr:colOff>
                    <xdr:row>177</xdr:row>
                    <xdr:rowOff>0</xdr:rowOff>
                  </to>
                </anchor>
              </controlPr>
            </control>
          </mc:Choice>
        </mc:AlternateContent>
        <mc:AlternateContent xmlns:mc="http://schemas.openxmlformats.org/markup-compatibility/2006">
          <mc:Choice Requires="x14">
            <control shapeId="7486" r:id="rId14" name="Drop Down 318">
              <controlPr defaultSize="0" autoLine="0" autoPict="0">
                <anchor moveWithCells="1">
                  <from>
                    <xdr:col>4</xdr:col>
                    <xdr:colOff>809625</xdr:colOff>
                    <xdr:row>159</xdr:row>
                    <xdr:rowOff>9525</xdr:rowOff>
                  </from>
                  <to>
                    <xdr:col>6</xdr:col>
                    <xdr:colOff>9525</xdr:colOff>
                    <xdr:row>160</xdr:row>
                    <xdr:rowOff>0</xdr:rowOff>
                  </to>
                </anchor>
              </controlPr>
            </control>
          </mc:Choice>
        </mc:AlternateContent>
        <mc:AlternateContent xmlns:mc="http://schemas.openxmlformats.org/markup-compatibility/2006">
          <mc:Choice Requires="x14">
            <control shapeId="7487" r:id="rId15" name="Drop Down 319">
              <controlPr defaultSize="0" autoLine="0" autoPict="0">
                <anchor moveWithCells="1">
                  <from>
                    <xdr:col>6</xdr:col>
                    <xdr:colOff>0</xdr:colOff>
                    <xdr:row>159</xdr:row>
                    <xdr:rowOff>9525</xdr:rowOff>
                  </from>
                  <to>
                    <xdr:col>7</xdr:col>
                    <xdr:colOff>57150</xdr:colOff>
                    <xdr:row>160</xdr:row>
                    <xdr:rowOff>0</xdr:rowOff>
                  </to>
                </anchor>
              </controlPr>
            </control>
          </mc:Choice>
        </mc:AlternateContent>
        <mc:AlternateContent xmlns:mc="http://schemas.openxmlformats.org/markup-compatibility/2006">
          <mc:Choice Requires="x14">
            <control shapeId="7522" r:id="rId16" name="Drop Down 354">
              <controlPr defaultSize="0" autoLine="0" autoPict="0">
                <anchor moveWithCells="1">
                  <from>
                    <xdr:col>6</xdr:col>
                    <xdr:colOff>0</xdr:colOff>
                    <xdr:row>186</xdr:row>
                    <xdr:rowOff>9525</xdr:rowOff>
                  </from>
                  <to>
                    <xdr:col>7</xdr:col>
                    <xdr:colOff>57150</xdr:colOff>
                    <xdr:row>187</xdr:row>
                    <xdr:rowOff>0</xdr:rowOff>
                  </to>
                </anchor>
              </controlPr>
            </control>
          </mc:Choice>
        </mc:AlternateContent>
        <mc:AlternateContent xmlns:mc="http://schemas.openxmlformats.org/markup-compatibility/2006">
          <mc:Choice Requires="x14">
            <control shapeId="7523" r:id="rId17" name="Drop Down 355">
              <controlPr defaultSize="0" autoLine="0" autoPict="0">
                <anchor moveWithCells="1">
                  <from>
                    <xdr:col>4</xdr:col>
                    <xdr:colOff>800100</xdr:colOff>
                    <xdr:row>186</xdr:row>
                    <xdr:rowOff>9525</xdr:rowOff>
                  </from>
                  <to>
                    <xdr:col>6</xdr:col>
                    <xdr:colOff>0</xdr:colOff>
                    <xdr:row>187</xdr:row>
                    <xdr:rowOff>0</xdr:rowOff>
                  </to>
                </anchor>
              </controlPr>
            </control>
          </mc:Choice>
        </mc:AlternateContent>
        <mc:AlternateContent xmlns:mc="http://schemas.openxmlformats.org/markup-compatibility/2006">
          <mc:Choice Requires="x14">
            <control shapeId="7526" r:id="rId18" name="Drop Down 358">
              <controlPr defaultSize="0" autoLine="0" autoPict="0">
                <anchor moveWithCells="1">
                  <from>
                    <xdr:col>6</xdr:col>
                    <xdr:colOff>9525</xdr:colOff>
                    <xdr:row>197</xdr:row>
                    <xdr:rowOff>19050</xdr:rowOff>
                  </from>
                  <to>
                    <xdr:col>7</xdr:col>
                    <xdr:colOff>57150</xdr:colOff>
                    <xdr:row>198</xdr:row>
                    <xdr:rowOff>9525</xdr:rowOff>
                  </to>
                </anchor>
              </controlPr>
            </control>
          </mc:Choice>
        </mc:AlternateContent>
        <mc:AlternateContent xmlns:mc="http://schemas.openxmlformats.org/markup-compatibility/2006">
          <mc:Choice Requires="x14">
            <control shapeId="7527" r:id="rId19" name="Drop Down 359">
              <controlPr defaultSize="0" autoLine="0" autoPict="0">
                <anchor moveWithCells="1">
                  <from>
                    <xdr:col>4</xdr:col>
                    <xdr:colOff>819150</xdr:colOff>
                    <xdr:row>197</xdr:row>
                    <xdr:rowOff>28575</xdr:rowOff>
                  </from>
                  <to>
                    <xdr:col>6</xdr:col>
                    <xdr:colOff>19050</xdr:colOff>
                    <xdr:row>198</xdr:row>
                    <xdr:rowOff>19050</xdr:rowOff>
                  </to>
                </anchor>
              </controlPr>
            </control>
          </mc:Choice>
        </mc:AlternateContent>
        <mc:AlternateContent xmlns:mc="http://schemas.openxmlformats.org/markup-compatibility/2006">
          <mc:Choice Requires="x14">
            <control shapeId="7530" r:id="rId20" name="Drop Down 362">
              <controlPr defaultSize="0" autoLine="0" autoPict="0">
                <anchor moveWithCells="1">
                  <from>
                    <xdr:col>6</xdr:col>
                    <xdr:colOff>9525</xdr:colOff>
                    <xdr:row>219</xdr:row>
                    <xdr:rowOff>19050</xdr:rowOff>
                  </from>
                  <to>
                    <xdr:col>7</xdr:col>
                    <xdr:colOff>57150</xdr:colOff>
                    <xdr:row>220</xdr:row>
                    <xdr:rowOff>9525</xdr:rowOff>
                  </to>
                </anchor>
              </controlPr>
            </control>
          </mc:Choice>
        </mc:AlternateContent>
        <mc:AlternateContent xmlns:mc="http://schemas.openxmlformats.org/markup-compatibility/2006">
          <mc:Choice Requires="x14">
            <control shapeId="7531" r:id="rId21" name="Drop Down 363">
              <controlPr defaultSize="0" autoLine="0" autoPict="0">
                <anchor moveWithCells="1">
                  <from>
                    <xdr:col>4</xdr:col>
                    <xdr:colOff>809625</xdr:colOff>
                    <xdr:row>219</xdr:row>
                    <xdr:rowOff>19050</xdr:rowOff>
                  </from>
                  <to>
                    <xdr:col>6</xdr:col>
                    <xdr:colOff>9525</xdr:colOff>
                    <xdr:row>220</xdr:row>
                    <xdr:rowOff>9525</xdr:rowOff>
                  </to>
                </anchor>
              </controlPr>
            </control>
          </mc:Choice>
        </mc:AlternateContent>
        <mc:AlternateContent xmlns:mc="http://schemas.openxmlformats.org/markup-compatibility/2006">
          <mc:Choice Requires="x14">
            <control shapeId="7534" r:id="rId22" name="Drop Down 366">
              <controlPr defaultSize="0" autoLine="0" autoPict="0">
                <anchor moveWithCells="1">
                  <from>
                    <xdr:col>6</xdr:col>
                    <xdr:colOff>19050</xdr:colOff>
                    <xdr:row>229</xdr:row>
                    <xdr:rowOff>19050</xdr:rowOff>
                  </from>
                  <to>
                    <xdr:col>7</xdr:col>
                    <xdr:colOff>85725</xdr:colOff>
                    <xdr:row>230</xdr:row>
                    <xdr:rowOff>9525</xdr:rowOff>
                  </to>
                </anchor>
              </controlPr>
            </control>
          </mc:Choice>
        </mc:AlternateContent>
        <mc:AlternateContent xmlns:mc="http://schemas.openxmlformats.org/markup-compatibility/2006">
          <mc:Choice Requires="x14">
            <control shapeId="7535" r:id="rId23" name="Drop Down 367">
              <controlPr defaultSize="0" autoLine="0" autoPict="0">
                <anchor moveWithCells="1">
                  <from>
                    <xdr:col>4</xdr:col>
                    <xdr:colOff>809625</xdr:colOff>
                    <xdr:row>229</xdr:row>
                    <xdr:rowOff>19050</xdr:rowOff>
                  </from>
                  <to>
                    <xdr:col>6</xdr:col>
                    <xdr:colOff>19050</xdr:colOff>
                    <xdr:row>230</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BY104"/>
  <sheetViews>
    <sheetView showGridLines="0" zoomScale="80" zoomScaleNormal="80" zoomScaleSheetLayoutView="100" workbookViewId="0">
      <pane ySplit="2" topLeftCell="A67" activePane="bottomLeft" state="frozen"/>
      <selection pane="bottomLeft" activeCell="H78" sqref="H78"/>
    </sheetView>
  </sheetViews>
  <sheetFormatPr defaultRowHeight="20.100000000000001" customHeight="1" outlineLevelRow="1"/>
  <cols>
    <col min="1" max="1" width="4.7109375" style="250" customWidth="1"/>
    <col min="2" max="2" width="30.7109375" style="250" customWidth="1"/>
    <col min="3" max="8" width="12.7109375" style="250" customWidth="1"/>
    <col min="9" max="9" width="9.140625" style="250"/>
    <col min="10" max="10" width="120.7109375" style="250" customWidth="1"/>
    <col min="11" max="13" width="9.140625" style="250"/>
    <col min="14" max="14" width="12.7109375" style="250" customWidth="1"/>
    <col min="15" max="15" width="50.7109375" style="250" customWidth="1"/>
    <col min="16" max="45" width="10.7109375" style="250" customWidth="1"/>
    <col min="46" max="46" width="9.140625" style="250"/>
    <col min="47" max="47" width="10.7109375" style="250" customWidth="1"/>
    <col min="48" max="48" width="155.7109375" style="250" customWidth="1"/>
    <col min="49" max="49" width="50.7109375" style="250" customWidth="1"/>
    <col min="50" max="52" width="20.7109375" style="250" customWidth="1"/>
    <col min="53" max="53" width="160.7109375" style="250" customWidth="1"/>
    <col min="54" max="67" width="20.7109375" style="250" customWidth="1"/>
    <col min="68" max="68" width="160.7109375" style="250" customWidth="1"/>
    <col min="69" max="77" width="20.7109375" style="250" customWidth="1"/>
    <col min="78" max="16384" width="9.140625" style="250"/>
  </cols>
  <sheetData>
    <row r="1" spans="1:56" s="248" customFormat="1" ht="30" customHeight="1">
      <c r="B1" s="39" t="s">
        <v>1136</v>
      </c>
    </row>
    <row r="2" spans="1:56" s="895" customFormat="1" ht="249.95" hidden="1" customHeight="1" outlineLevel="1">
      <c r="B2" s="893"/>
    </row>
    <row r="3" spans="1:56" ht="20.100000000000001" customHeight="1" collapsed="1">
      <c r="B3" s="1530" t="s">
        <v>193</v>
      </c>
      <c r="C3" s="1530"/>
      <c r="D3" s="1530"/>
      <c r="E3" s="1530"/>
      <c r="F3" s="1530"/>
      <c r="G3" s="1530"/>
      <c r="H3" s="1530"/>
      <c r="I3" s="1530"/>
      <c r="J3" s="249"/>
    </row>
    <row r="4" spans="1:56" ht="20.100000000000001" customHeight="1">
      <c r="B4" s="82"/>
      <c r="C4" s="232"/>
      <c r="D4" s="232"/>
      <c r="E4" s="232"/>
      <c r="F4" s="232"/>
      <c r="G4" s="232"/>
      <c r="H4" s="232"/>
      <c r="I4" s="124"/>
      <c r="J4" s="124"/>
      <c r="O4" s="251" t="s">
        <v>492</v>
      </c>
    </row>
    <row r="5" spans="1:56" ht="20.100000000000001" customHeight="1">
      <c r="B5" s="896" t="s">
        <v>518</v>
      </c>
      <c r="C5" s="232"/>
      <c r="D5" s="232"/>
      <c r="E5" s="232"/>
      <c r="F5" s="232"/>
      <c r="G5" s="232"/>
      <c r="H5" s="232"/>
      <c r="I5" s="124"/>
      <c r="J5" s="124"/>
      <c r="O5" s="252"/>
      <c r="P5" s="81">
        <v>2021</v>
      </c>
      <c r="Q5" s="81">
        <f>P5+1</f>
        <v>2022</v>
      </c>
      <c r="R5" s="81">
        <f t="shared" ref="R5:AS5" si="0">Q5+1</f>
        <v>2023</v>
      </c>
      <c r="S5" s="81">
        <f t="shared" si="0"/>
        <v>2024</v>
      </c>
      <c r="T5" s="81">
        <f t="shared" si="0"/>
        <v>2025</v>
      </c>
      <c r="U5" s="81">
        <f t="shared" si="0"/>
        <v>2026</v>
      </c>
      <c r="V5" s="81">
        <f t="shared" si="0"/>
        <v>2027</v>
      </c>
      <c r="W5" s="81">
        <f t="shared" si="0"/>
        <v>2028</v>
      </c>
      <c r="X5" s="81">
        <f t="shared" si="0"/>
        <v>2029</v>
      </c>
      <c r="Y5" s="81">
        <f t="shared" si="0"/>
        <v>2030</v>
      </c>
      <c r="Z5" s="81">
        <f t="shared" si="0"/>
        <v>2031</v>
      </c>
      <c r="AA5" s="81">
        <f t="shared" si="0"/>
        <v>2032</v>
      </c>
      <c r="AB5" s="81">
        <f t="shared" si="0"/>
        <v>2033</v>
      </c>
      <c r="AC5" s="81">
        <f t="shared" si="0"/>
        <v>2034</v>
      </c>
      <c r="AD5" s="81">
        <f t="shared" si="0"/>
        <v>2035</v>
      </c>
      <c r="AE5" s="81">
        <f t="shared" si="0"/>
        <v>2036</v>
      </c>
      <c r="AF5" s="81">
        <f t="shared" si="0"/>
        <v>2037</v>
      </c>
      <c r="AG5" s="81">
        <f t="shared" si="0"/>
        <v>2038</v>
      </c>
      <c r="AH5" s="81">
        <f t="shared" si="0"/>
        <v>2039</v>
      </c>
      <c r="AI5" s="81">
        <f t="shared" si="0"/>
        <v>2040</v>
      </c>
      <c r="AJ5" s="81">
        <f t="shared" si="0"/>
        <v>2041</v>
      </c>
      <c r="AK5" s="81">
        <f t="shared" si="0"/>
        <v>2042</v>
      </c>
      <c r="AL5" s="81">
        <f t="shared" si="0"/>
        <v>2043</v>
      </c>
      <c r="AM5" s="81">
        <f t="shared" si="0"/>
        <v>2044</v>
      </c>
      <c r="AN5" s="81">
        <f t="shared" si="0"/>
        <v>2045</v>
      </c>
      <c r="AO5" s="81">
        <f t="shared" si="0"/>
        <v>2046</v>
      </c>
      <c r="AP5" s="81">
        <f t="shared" si="0"/>
        <v>2047</v>
      </c>
      <c r="AQ5" s="81">
        <f t="shared" si="0"/>
        <v>2048</v>
      </c>
      <c r="AR5" s="81">
        <f t="shared" si="0"/>
        <v>2049</v>
      </c>
      <c r="AS5" s="81">
        <f t="shared" si="0"/>
        <v>2050</v>
      </c>
    </row>
    <row r="6" spans="1:56" ht="20.100000000000001" customHeight="1">
      <c r="B6" s="82"/>
      <c r="C6" s="232"/>
      <c r="D6" s="232"/>
      <c r="E6" s="232"/>
      <c r="F6" s="232"/>
      <c r="G6" s="232"/>
      <c r="H6" s="232"/>
      <c r="I6" s="124"/>
      <c r="J6" s="124"/>
      <c r="O6" s="131" t="s">
        <v>491</v>
      </c>
      <c r="P6" s="253">
        <f>TRANSPORT!X204</f>
        <v>0</v>
      </c>
      <c r="Q6" s="133">
        <f>TRANSPORT!Y204</f>
        <v>194942</v>
      </c>
      <c r="R6" s="133">
        <f>TRANSPORT!Z204</f>
        <v>194163</v>
      </c>
      <c r="S6" s="133">
        <f>TRANSPORT!AA204</f>
        <v>193387</v>
      </c>
      <c r="T6" s="133">
        <f>TRANSPORT!AB204</f>
        <v>192614</v>
      </c>
      <c r="U6" s="133">
        <f>TRANSPORT!AC204</f>
        <v>191844</v>
      </c>
      <c r="V6" s="133">
        <f>TRANSPORT!AD204</f>
        <v>191077</v>
      </c>
      <c r="W6" s="133">
        <f>TRANSPORT!AE204</f>
        <v>190313</v>
      </c>
      <c r="X6" s="133">
        <f>TRANSPORT!AF204</f>
        <v>189552</v>
      </c>
      <c r="Y6" s="133">
        <f>TRANSPORT!AG204</f>
        <v>188794</v>
      </c>
      <c r="Z6" s="133">
        <f>TRANSPORT!AH204</f>
        <v>188228</v>
      </c>
      <c r="AA6" s="133">
        <f>TRANSPORT!AI204</f>
        <v>187664</v>
      </c>
      <c r="AB6" s="133">
        <f>TRANSPORT!AJ204</f>
        <v>187102</v>
      </c>
      <c r="AC6" s="133">
        <f>TRANSPORT!AK204</f>
        <v>186541</v>
      </c>
      <c r="AD6" s="133">
        <f>TRANSPORT!AL204</f>
        <v>185982</v>
      </c>
      <c r="AE6" s="133">
        <f>TRANSPORT!AM204</f>
        <v>185425</v>
      </c>
      <c r="AF6" s="133">
        <f>TRANSPORT!AN204</f>
        <v>184869</v>
      </c>
      <c r="AG6" s="133">
        <f>TRANSPORT!AO204</f>
        <v>184315</v>
      </c>
      <c r="AH6" s="133">
        <f>TRANSPORT!AP204</f>
        <v>183763</v>
      </c>
      <c r="AI6" s="133">
        <f>TRANSPORT!AQ204</f>
        <v>183212</v>
      </c>
      <c r="AJ6" s="133">
        <f>TRANSPORT!AR204</f>
        <v>182663</v>
      </c>
      <c r="AK6" s="133">
        <f>TRANSPORT!AS204</f>
        <v>182116</v>
      </c>
      <c r="AL6" s="133">
        <f>TRANSPORT!AT204</f>
        <v>181570</v>
      </c>
      <c r="AM6" s="133">
        <f>TRANSPORT!AU204</f>
        <v>181026</v>
      </c>
      <c r="AN6" s="133">
        <f>TRANSPORT!AV204</f>
        <v>180483</v>
      </c>
      <c r="AO6" s="133">
        <f>TRANSPORT!AW204</f>
        <v>179942</v>
      </c>
      <c r="AP6" s="133">
        <f>TRANSPORT!AX204</f>
        <v>179403</v>
      </c>
      <c r="AQ6" s="133">
        <f>TRANSPORT!AY204</f>
        <v>178865</v>
      </c>
      <c r="AR6" s="133">
        <f>TRANSPORT!AZ204</f>
        <v>178329</v>
      </c>
      <c r="AS6" s="133">
        <f>TRANSPORT!BA204</f>
        <v>177795</v>
      </c>
      <c r="AU6" s="1526" t="s">
        <v>3011</v>
      </c>
      <c r="AV6" s="1527"/>
    </row>
    <row r="7" spans="1:56" ht="20.100000000000001" customHeight="1">
      <c r="B7" s="82"/>
      <c r="C7" s="232"/>
      <c r="D7" s="232"/>
      <c r="E7" s="232"/>
      <c r="F7" s="232"/>
      <c r="G7" s="232"/>
      <c r="H7" s="232"/>
      <c r="I7" s="124"/>
      <c r="J7" s="124"/>
    </row>
    <row r="8" spans="1:56" ht="20.100000000000001" customHeight="1" thickBot="1">
      <c r="B8" s="82"/>
      <c r="C8" s="232"/>
      <c r="D8" s="232"/>
      <c r="E8" s="232"/>
      <c r="F8" s="232"/>
      <c r="G8" s="232"/>
      <c r="H8" s="232"/>
      <c r="I8" s="124"/>
      <c r="J8" s="124"/>
      <c r="O8" s="251" t="s">
        <v>519</v>
      </c>
    </row>
    <row r="9" spans="1:56" ht="20.100000000000001" customHeight="1">
      <c r="B9" s="82"/>
      <c r="C9" s="232"/>
      <c r="D9" s="232"/>
      <c r="E9" s="232"/>
      <c r="F9" s="232"/>
      <c r="G9" s="232"/>
      <c r="H9" s="232"/>
      <c r="I9" s="124"/>
      <c r="J9" s="124"/>
      <c r="O9" s="131" t="s">
        <v>212</v>
      </c>
      <c r="P9" s="121">
        <v>2021</v>
      </c>
      <c r="Q9" s="81">
        <f>P9+1</f>
        <v>2022</v>
      </c>
      <c r="R9" s="81">
        <f t="shared" ref="R9:AR9" si="1">Q9+1</f>
        <v>2023</v>
      </c>
      <c r="S9" s="81">
        <f t="shared" si="1"/>
        <v>2024</v>
      </c>
      <c r="T9" s="81">
        <f t="shared" si="1"/>
        <v>2025</v>
      </c>
      <c r="U9" s="81">
        <f t="shared" si="1"/>
        <v>2026</v>
      </c>
      <c r="V9" s="81">
        <f t="shared" si="1"/>
        <v>2027</v>
      </c>
      <c r="W9" s="81">
        <f t="shared" si="1"/>
        <v>2028</v>
      </c>
      <c r="X9" s="81">
        <f t="shared" si="1"/>
        <v>2029</v>
      </c>
      <c r="Y9" s="81">
        <f t="shared" si="1"/>
        <v>2030</v>
      </c>
      <c r="Z9" s="81">
        <f t="shared" si="1"/>
        <v>2031</v>
      </c>
      <c r="AA9" s="81">
        <f t="shared" si="1"/>
        <v>2032</v>
      </c>
      <c r="AB9" s="81">
        <f t="shared" si="1"/>
        <v>2033</v>
      </c>
      <c r="AC9" s="81">
        <f t="shared" si="1"/>
        <v>2034</v>
      </c>
      <c r="AD9" s="81">
        <f t="shared" si="1"/>
        <v>2035</v>
      </c>
      <c r="AE9" s="81">
        <f t="shared" si="1"/>
        <v>2036</v>
      </c>
      <c r="AF9" s="81">
        <f t="shared" si="1"/>
        <v>2037</v>
      </c>
      <c r="AG9" s="81">
        <f t="shared" si="1"/>
        <v>2038</v>
      </c>
      <c r="AH9" s="81">
        <f t="shared" si="1"/>
        <v>2039</v>
      </c>
      <c r="AI9" s="81">
        <f t="shared" si="1"/>
        <v>2040</v>
      </c>
      <c r="AJ9" s="81">
        <f t="shared" si="1"/>
        <v>2041</v>
      </c>
      <c r="AK9" s="81">
        <f t="shared" si="1"/>
        <v>2042</v>
      </c>
      <c r="AL9" s="81">
        <f t="shared" si="1"/>
        <v>2043</v>
      </c>
      <c r="AM9" s="81">
        <f t="shared" si="1"/>
        <v>2044</v>
      </c>
      <c r="AN9" s="81">
        <f t="shared" si="1"/>
        <v>2045</v>
      </c>
      <c r="AO9" s="81">
        <f t="shared" si="1"/>
        <v>2046</v>
      </c>
      <c r="AP9" s="81">
        <f t="shared" si="1"/>
        <v>2047</v>
      </c>
      <c r="AQ9" s="81">
        <f t="shared" si="1"/>
        <v>2048</v>
      </c>
      <c r="AR9" s="81">
        <f t="shared" si="1"/>
        <v>2049</v>
      </c>
      <c r="AS9" s="81">
        <f>AR9+1</f>
        <v>2050</v>
      </c>
      <c r="AU9" s="1131" t="s">
        <v>3021</v>
      </c>
      <c r="AV9" s="1094"/>
      <c r="AW9" s="1094"/>
      <c r="AX9" s="1094"/>
      <c r="AY9" s="1094"/>
      <c r="AZ9" s="1094"/>
      <c r="BA9" s="1094"/>
      <c r="BB9" s="1094"/>
      <c r="BC9" s="1094"/>
      <c r="BD9" s="1132"/>
    </row>
    <row r="10" spans="1:56" ht="20.100000000000001" customHeight="1">
      <c r="B10" s="82"/>
      <c r="C10" s="232"/>
      <c r="D10" s="232"/>
      <c r="E10" s="232"/>
      <c r="F10" s="232"/>
      <c r="G10" s="232"/>
      <c r="H10" s="232"/>
      <c r="I10" s="124"/>
      <c r="J10" s="124"/>
      <c r="O10" s="131" t="s">
        <v>483</v>
      </c>
      <c r="P10" s="115">
        <f>INDEX('DEFAULT DATA'!MX9:MX41,START!C3,1)</f>
        <v>0</v>
      </c>
      <c r="Q10" s="445">
        <f>P10*(100+INDEX('DEFAULT DATA'!$MY$9:$NA$41,START!$C$3,1))/100</f>
        <v>0</v>
      </c>
      <c r="R10" s="115">
        <f>P10*(100+INDEX('DEFAULT DATA'!$MY$9:$NA$41,START!$C$3,1))/100</f>
        <v>0</v>
      </c>
      <c r="S10" s="115">
        <f>R10*(100+INDEX('DEFAULT DATA'!$MY$9:$NA$41,START!$C$3,1))/100</f>
        <v>0</v>
      </c>
      <c r="T10" s="115">
        <f>S10*(100+INDEX('DEFAULT DATA'!$MY$9:$NA$41,START!$C$3,1))/100</f>
        <v>0</v>
      </c>
      <c r="U10" s="115">
        <f>T10*(100+INDEX('DEFAULT DATA'!$MY$9:$NA$41,START!$C$3,1))/100</f>
        <v>0</v>
      </c>
      <c r="V10" s="115">
        <f>U10*(100+INDEX('DEFAULT DATA'!$MY$9:$NA$41,START!$C$3,1))/100</f>
        <v>0</v>
      </c>
      <c r="W10" s="115">
        <f>V10*(100+INDEX('DEFAULT DATA'!$MY$9:$NA$41,START!$C$3,1))/100</f>
        <v>0</v>
      </c>
      <c r="X10" s="115">
        <f>W10*(100+INDEX('DEFAULT DATA'!$MY$9:$NA$41,START!$C$3,1))/100</f>
        <v>0</v>
      </c>
      <c r="Y10" s="115">
        <f>X10*(100+INDEX('DEFAULT DATA'!$MY$9:$NA$41,START!$C$3,1))/100</f>
        <v>0</v>
      </c>
      <c r="Z10" s="115">
        <f>Y10*(100+INDEX('DEFAULT DATA'!$MY$9:$NA$41,START!$C$3,2))/100</f>
        <v>0</v>
      </c>
      <c r="AA10" s="115">
        <f>Z10*(100+INDEX('DEFAULT DATA'!$MY$9:$NA$41,START!$C$3,2))/100</f>
        <v>0</v>
      </c>
      <c r="AB10" s="115">
        <f>AA10*(100+INDEX('DEFAULT DATA'!$MY$9:$NA$41,START!$C$3,2))/100</f>
        <v>0</v>
      </c>
      <c r="AC10" s="115">
        <f>AB10*(100+INDEX('DEFAULT DATA'!$MY$9:$NA$41,START!$C$3,2))/100</f>
        <v>0</v>
      </c>
      <c r="AD10" s="115">
        <f>AC10*(100+INDEX('DEFAULT DATA'!$MY$9:$NA$41,START!$C$3,2))/100</f>
        <v>0</v>
      </c>
      <c r="AE10" s="115">
        <f>AD10*(100+INDEX('DEFAULT DATA'!$MY$9:$NA$41,START!$C$3,2))/100</f>
        <v>0</v>
      </c>
      <c r="AF10" s="115">
        <f>AE10*(100+INDEX('DEFAULT DATA'!$MY$9:$NA$41,START!$C$3,2))/100</f>
        <v>0</v>
      </c>
      <c r="AG10" s="115">
        <f>AF10*(100+INDEX('DEFAULT DATA'!$MY$9:$NA$41,START!$C$3,2))/100</f>
        <v>0</v>
      </c>
      <c r="AH10" s="115">
        <f>AG10*(100+INDEX('DEFAULT DATA'!$MY$9:$NA$41,START!$C$3,2))/100</f>
        <v>0</v>
      </c>
      <c r="AI10" s="115">
        <f>AH10*(100+INDEX('DEFAULT DATA'!$MY$9:$NA$41,START!$C$3,2))/100</f>
        <v>0</v>
      </c>
      <c r="AJ10" s="115">
        <f>AI10*(100+INDEX('DEFAULT DATA'!$MY$9:$NA$41,START!$C$3,3))/100</f>
        <v>0</v>
      </c>
      <c r="AK10" s="115">
        <f>AJ10*(100+INDEX('DEFAULT DATA'!$MY$9:$NA$41,START!$C$3,3))/100</f>
        <v>0</v>
      </c>
      <c r="AL10" s="115">
        <f>AK10*(100+INDEX('DEFAULT DATA'!$MY$9:$NA$41,START!$C$3,3))/100</f>
        <v>0</v>
      </c>
      <c r="AM10" s="115">
        <f>AL10*(100+INDEX('DEFAULT DATA'!$MY$9:$NA$41,START!$C$3,3))/100</f>
        <v>0</v>
      </c>
      <c r="AN10" s="115">
        <f>AM10*(100+INDEX('DEFAULT DATA'!$MY$9:$NA$41,START!$C$3,3))/100</f>
        <v>0</v>
      </c>
      <c r="AO10" s="115">
        <f>AN10*(100+INDEX('DEFAULT DATA'!$MY$9:$NA$41,START!$C$3,3))/100</f>
        <v>0</v>
      </c>
      <c r="AP10" s="115">
        <f>AO10*(100+INDEX('DEFAULT DATA'!$MY$9:$NA$41,START!$C$3,3))/100</f>
        <v>0</v>
      </c>
      <c r="AQ10" s="115">
        <f>AP10*(100+INDEX('DEFAULT DATA'!$MY$9:$NA$41,START!$C$3,3))/100</f>
        <v>0</v>
      </c>
      <c r="AR10" s="115">
        <f>AQ10*(100+INDEX('DEFAULT DATA'!$MY$9:$NA$41,START!$C$3,3))/100</f>
        <v>0</v>
      </c>
      <c r="AS10" s="115">
        <f>AR10*(100+INDEX('DEFAULT DATA'!$MY$9:$NA$41,START!$C$3,3))/100</f>
        <v>0</v>
      </c>
      <c r="AU10" s="1133" t="s">
        <v>3012</v>
      </c>
      <c r="AV10" s="1092"/>
      <c r="AW10" s="1090" t="s">
        <v>3013</v>
      </c>
      <c r="AX10" s="1091"/>
      <c r="AY10" s="1090" t="s">
        <v>3014</v>
      </c>
      <c r="AZ10" s="1091"/>
      <c r="BA10" s="1091"/>
      <c r="BB10" s="1090" t="s">
        <v>3015</v>
      </c>
      <c r="BC10" s="1102"/>
      <c r="BD10" s="1134"/>
    </row>
    <row r="11" spans="1:56" ht="20.100000000000001" customHeight="1">
      <c r="B11" s="82"/>
      <c r="C11" s="232"/>
      <c r="D11" s="232"/>
      <c r="E11" s="232"/>
      <c r="F11" s="232"/>
      <c r="G11" s="232"/>
      <c r="H11" s="232"/>
      <c r="I11" s="124"/>
      <c r="J11" s="124"/>
      <c r="O11" s="131" t="s">
        <v>189</v>
      </c>
      <c r="P11" s="115">
        <f>INDEX('DEFAULT DATA'!NB9:NB41,START!C3,1)</f>
        <v>0</v>
      </c>
      <c r="Q11" s="445">
        <f>P11*(100+INDEX('DEFAULT DATA'!$NC$9:$NE$41,START!$C$3,1))/100</f>
        <v>0</v>
      </c>
      <c r="R11" s="115">
        <f>P11*(100+INDEX('DEFAULT DATA'!$NC$9:$NE$41,START!$C$3,1))/100</f>
        <v>0</v>
      </c>
      <c r="S11" s="115">
        <f>R11*(100+INDEX('DEFAULT DATA'!$NC$9:$NE$41,START!$C$3,1))/100</f>
        <v>0</v>
      </c>
      <c r="T11" s="115">
        <f>S11*(100+INDEX('DEFAULT DATA'!$NC$9:$NE$41,START!$C$3,1))/100</f>
        <v>0</v>
      </c>
      <c r="U11" s="115">
        <f>T11*(100+INDEX('DEFAULT DATA'!$NC$9:$NE$41,START!$C$3,1))/100</f>
        <v>0</v>
      </c>
      <c r="V11" s="115">
        <f>U11*(100+INDEX('DEFAULT DATA'!$NC$9:$NE$41,START!$C$3,1))/100</f>
        <v>0</v>
      </c>
      <c r="W11" s="115">
        <f>V11*(100+INDEX('DEFAULT DATA'!$NC$9:$NE$41,START!$C$3,1))/100</f>
        <v>0</v>
      </c>
      <c r="X11" s="115">
        <f>W11*(100+INDEX('DEFAULT DATA'!$NC$9:$NE$41,START!$C$3,1))/100</f>
        <v>0</v>
      </c>
      <c r="Y11" s="115">
        <f>X11*(100+INDEX('DEFAULT DATA'!$NC$9:$NE$41,START!$C$3,1))/100</f>
        <v>0</v>
      </c>
      <c r="Z11" s="115">
        <f>Y11*(100+INDEX('DEFAULT DATA'!$NC$9:$NE$41,START!$C$3,2))/100</f>
        <v>0</v>
      </c>
      <c r="AA11" s="115">
        <f>Z11*(100+INDEX('DEFAULT DATA'!$NC$9:$NE$41,START!$C$3,2))/100</f>
        <v>0</v>
      </c>
      <c r="AB11" s="115">
        <f>AA11*(100+INDEX('DEFAULT DATA'!$NC$9:$NE$41,START!$C$3,2))/100</f>
        <v>0</v>
      </c>
      <c r="AC11" s="115">
        <f>AB11*(100+INDEX('DEFAULT DATA'!$NC$9:$NE$41,START!$C$3,2))/100</f>
        <v>0</v>
      </c>
      <c r="AD11" s="115">
        <f>AC11*(100+INDEX('DEFAULT DATA'!$NC$9:$NE$41,START!$C$3,2))/100</f>
        <v>0</v>
      </c>
      <c r="AE11" s="115">
        <f>AD11*(100+INDEX('DEFAULT DATA'!$NC$9:$NE$41,START!$C$3,2))/100</f>
        <v>0</v>
      </c>
      <c r="AF11" s="115">
        <f>AE11*(100+INDEX('DEFAULT DATA'!$NC$9:$NE$41,START!$C$3,2))/100</f>
        <v>0</v>
      </c>
      <c r="AG11" s="115">
        <f>AF11*(100+INDEX('DEFAULT DATA'!$NC$9:$NE$41,START!$C$3,2))/100</f>
        <v>0</v>
      </c>
      <c r="AH11" s="115">
        <f>AG11*(100+INDEX('DEFAULT DATA'!$NC$9:$NE$41,START!$C$3,2))/100</f>
        <v>0</v>
      </c>
      <c r="AI11" s="115">
        <f>AH11*(100+INDEX('DEFAULT DATA'!$NC$9:$NE$41,START!$C$3,2))/100</f>
        <v>0</v>
      </c>
      <c r="AJ11" s="115">
        <f>AI11*(100+INDEX('DEFAULT DATA'!$NC$9:$NE$41,START!$C$3,3))/100</f>
        <v>0</v>
      </c>
      <c r="AK11" s="115">
        <f>AJ11*(100+INDEX('DEFAULT DATA'!$NC$9:$NE$41,START!$C$3,3))/100</f>
        <v>0</v>
      </c>
      <c r="AL11" s="115">
        <f>AK11*(100+INDEX('DEFAULT DATA'!$NC$9:$NE$41,START!$C$3,3))/100</f>
        <v>0</v>
      </c>
      <c r="AM11" s="115">
        <f>AL11*(100+INDEX('DEFAULT DATA'!$NC$9:$NE$41,START!$C$3,3))/100</f>
        <v>0</v>
      </c>
      <c r="AN11" s="115">
        <f>AM11*(100+INDEX('DEFAULT DATA'!$NC$9:$NE$41,START!$C$3,3))/100</f>
        <v>0</v>
      </c>
      <c r="AO11" s="115">
        <f>AN11*(100+INDEX('DEFAULT DATA'!$NC$9:$NE$41,START!$C$3,3))/100</f>
        <v>0</v>
      </c>
      <c r="AP11" s="115">
        <f>AO11*(100+INDEX('DEFAULT DATA'!$NC$9:$NE$41,START!$C$3,3))/100</f>
        <v>0</v>
      </c>
      <c r="AQ11" s="115">
        <f>AP11*(100+INDEX('DEFAULT DATA'!$NC$9:$NE$41,START!$C$3,3))/100</f>
        <v>0</v>
      </c>
      <c r="AR11" s="115">
        <f>AQ11*(100+INDEX('DEFAULT DATA'!$NC$9:$NE$41,START!$C$3,3))/100</f>
        <v>0</v>
      </c>
      <c r="AS11" s="115">
        <f>AR11*(100+INDEX('DEFAULT DATA'!$NC$9:$NE$41,START!$C$3,3))/100</f>
        <v>0</v>
      </c>
      <c r="AU11" s="1133" t="s">
        <v>3016</v>
      </c>
      <c r="AV11" s="1092"/>
      <c r="AW11" s="1090" t="s">
        <v>3023</v>
      </c>
      <c r="AX11" s="1091"/>
      <c r="AY11" s="1090" t="s">
        <v>3024</v>
      </c>
      <c r="AZ11" s="1091"/>
      <c r="BA11" s="1091"/>
      <c r="BB11" s="1090" t="s">
        <v>3025</v>
      </c>
      <c r="BC11" s="1102"/>
      <c r="BD11" s="1134"/>
    </row>
    <row r="12" spans="1:56" ht="20.100000000000001" customHeight="1" thickBot="1">
      <c r="B12" s="668"/>
      <c r="C12" s="124"/>
      <c r="D12" s="124"/>
      <c r="E12" s="124"/>
      <c r="F12" s="124"/>
      <c r="G12" s="124"/>
      <c r="H12" s="124"/>
      <c r="I12" s="124"/>
      <c r="J12" s="124"/>
      <c r="O12" s="131" t="s">
        <v>190</v>
      </c>
      <c r="P12" s="115">
        <f>INDEX('DEFAULT DATA'!NF9:NF41,START!C3,1)</f>
        <v>0</v>
      </c>
      <c r="Q12" s="445">
        <f>P12*(100+INDEX('DEFAULT DATA'!$NG$9:$NI$41,START!$C$3,1))/100</f>
        <v>0</v>
      </c>
      <c r="R12" s="115">
        <f>P12*(100+INDEX('DEFAULT DATA'!$NG$9:$NI$41,START!$C$3,1))/100</f>
        <v>0</v>
      </c>
      <c r="S12" s="115">
        <f>R12*(100+INDEX('DEFAULT DATA'!$NG$9:$NI$41,START!$C$3,1))/100</f>
        <v>0</v>
      </c>
      <c r="T12" s="115">
        <f>S12*(100+INDEX('DEFAULT DATA'!$NG$9:$NI$41,START!$C$3,1))/100</f>
        <v>0</v>
      </c>
      <c r="U12" s="115">
        <f>T12*(100+INDEX('DEFAULT DATA'!$NG$9:$NI$41,START!$C$3,1))/100</f>
        <v>0</v>
      </c>
      <c r="V12" s="115">
        <f>U12*(100+INDEX('DEFAULT DATA'!$NG$9:$NI$41,START!$C$3,1))/100</f>
        <v>0</v>
      </c>
      <c r="W12" s="115">
        <f>V12*(100+INDEX('DEFAULT DATA'!$NG$9:$NI$41,START!$C$3,1))/100</f>
        <v>0</v>
      </c>
      <c r="X12" s="115">
        <f>W12*(100+INDEX('DEFAULT DATA'!$NG$9:$NI$41,START!$C$3,1))/100</f>
        <v>0</v>
      </c>
      <c r="Y12" s="115">
        <f>X12*(100+INDEX('DEFAULT DATA'!$NG$9:$NI$41,START!$C$3,1))/100</f>
        <v>0</v>
      </c>
      <c r="Z12" s="115">
        <f>Y12*(100+INDEX('DEFAULT DATA'!$NG$9:$NI$41,START!$C$3,2))/100</f>
        <v>0</v>
      </c>
      <c r="AA12" s="115">
        <f>Z12*(100+INDEX('DEFAULT DATA'!$NG$9:$NI$41,START!$C$3,2))/100</f>
        <v>0</v>
      </c>
      <c r="AB12" s="115">
        <f>AA12*(100+INDEX('DEFAULT DATA'!$NG$9:$NI$41,START!$C$3,2))/100</f>
        <v>0</v>
      </c>
      <c r="AC12" s="115">
        <f>AB12*(100+INDEX('DEFAULT DATA'!$NG$9:$NI$41,START!$C$3,2))/100</f>
        <v>0</v>
      </c>
      <c r="AD12" s="115">
        <f>AC12*(100+INDEX('DEFAULT DATA'!$NG$9:$NI$41,START!$C$3,2))/100</f>
        <v>0</v>
      </c>
      <c r="AE12" s="115">
        <f>AD12*(100+INDEX('DEFAULT DATA'!$NG$9:$NI$41,START!$C$3,2))/100</f>
        <v>0</v>
      </c>
      <c r="AF12" s="115">
        <f>AE12*(100+INDEX('DEFAULT DATA'!$NG$9:$NI$41,START!$C$3,2))/100</f>
        <v>0</v>
      </c>
      <c r="AG12" s="115">
        <f>AF12*(100+INDEX('DEFAULT DATA'!$NG$9:$NI$41,START!$C$3,2))/100</f>
        <v>0</v>
      </c>
      <c r="AH12" s="115">
        <f>AG12*(100+INDEX('DEFAULT DATA'!$NG$9:$NI$41,START!$C$3,2))/100</f>
        <v>0</v>
      </c>
      <c r="AI12" s="115">
        <f>AH12*(100+INDEX('DEFAULT DATA'!$NG$9:$NI$41,START!$C$3,2))/100</f>
        <v>0</v>
      </c>
      <c r="AJ12" s="115">
        <f>AI12*(100+INDEX('DEFAULT DATA'!$NG$9:$NI$41,START!$C$3,3))/100</f>
        <v>0</v>
      </c>
      <c r="AK12" s="115">
        <f>AJ12*(100+INDEX('DEFAULT DATA'!$NG$9:$NI$41,START!$C$3,3))/100</f>
        <v>0</v>
      </c>
      <c r="AL12" s="115">
        <f>AK12*(100+INDEX('DEFAULT DATA'!$NG$9:$NI$41,START!$C$3,3))/100</f>
        <v>0</v>
      </c>
      <c r="AM12" s="115">
        <f>AL12*(100+INDEX('DEFAULT DATA'!$NG$9:$NI$41,START!$C$3,3))/100</f>
        <v>0</v>
      </c>
      <c r="AN12" s="115">
        <f>AM12*(100+INDEX('DEFAULT DATA'!$NG$9:$NI$41,START!$C$3,3))/100</f>
        <v>0</v>
      </c>
      <c r="AO12" s="115">
        <f>AN12*(100+INDEX('DEFAULT DATA'!$NG$9:$NI$41,START!$C$3,3))/100</f>
        <v>0</v>
      </c>
      <c r="AP12" s="115">
        <f>AO12*(100+INDEX('DEFAULT DATA'!$NG$9:$NI$41,START!$C$3,3))/100</f>
        <v>0</v>
      </c>
      <c r="AQ12" s="115">
        <f>AP12*(100+INDEX('DEFAULT DATA'!$NG$9:$NI$41,START!$C$3,3))/100</f>
        <v>0</v>
      </c>
      <c r="AR12" s="115">
        <f>AQ12*(100+INDEX('DEFAULT DATA'!$NG$9:$NI$41,START!$C$3,3))/100</f>
        <v>0</v>
      </c>
      <c r="AS12" s="115">
        <f>AR12*(100+INDEX('DEFAULT DATA'!$NG$9:$NI$41,START!$C$3,3))/100</f>
        <v>0</v>
      </c>
      <c r="AU12" s="1133" t="s">
        <v>3017</v>
      </c>
      <c r="AV12" s="1092"/>
      <c r="AW12" s="1090" t="s">
        <v>3026</v>
      </c>
      <c r="AX12" s="1091"/>
      <c r="AY12" s="1090" t="s">
        <v>3027</v>
      </c>
      <c r="AZ12" s="1091"/>
      <c r="BA12" s="1091"/>
      <c r="BB12" s="1090" t="s">
        <v>3028</v>
      </c>
      <c r="BC12" s="1102"/>
      <c r="BD12" s="1134"/>
    </row>
    <row r="13" spans="1:56" ht="20.100000000000001" customHeight="1">
      <c r="A13" s="303"/>
      <c r="B13" s="897" t="s">
        <v>164</v>
      </c>
      <c r="C13" s="255"/>
      <c r="D13" s="256"/>
      <c r="E13" s="256"/>
      <c r="F13" s="256"/>
      <c r="G13" s="256"/>
      <c r="H13" s="256"/>
      <c r="I13" s="257"/>
      <c r="J13" s="124"/>
      <c r="O13" s="131" t="s">
        <v>191</v>
      </c>
      <c r="P13" s="115">
        <f>INDEX('DEFAULT DATA'!NJ9:NJ41,START!C3,1)</f>
        <v>0</v>
      </c>
      <c r="Q13" s="445">
        <f>P13*(100+INDEX('DEFAULT DATA'!$NK$9:$NM$41,START!$C$3,1))/100</f>
        <v>0</v>
      </c>
      <c r="R13" s="115">
        <f>P13*(100+INDEX('DEFAULT DATA'!$NK$9:$NM$41,START!$C$3,1))/100</f>
        <v>0</v>
      </c>
      <c r="S13" s="115">
        <f>R13*(100+INDEX('DEFAULT DATA'!$NK$9:$NM$41,START!$C$3,1))/100</f>
        <v>0</v>
      </c>
      <c r="T13" s="115">
        <f>S13*(100+INDEX('DEFAULT DATA'!$NK$9:$NM$41,START!$C$3,1))/100</f>
        <v>0</v>
      </c>
      <c r="U13" s="115">
        <f>T13*(100+INDEX('DEFAULT DATA'!$NK$9:$NM$41,START!$C$3,1))/100</f>
        <v>0</v>
      </c>
      <c r="V13" s="115">
        <f>U13*(100+INDEX('DEFAULT DATA'!$NK$9:$NM$41,START!$C$3,1))/100</f>
        <v>0</v>
      </c>
      <c r="W13" s="115">
        <f>V13*(100+INDEX('DEFAULT DATA'!$NK$9:$NM$41,START!$C$3,1))/100</f>
        <v>0</v>
      </c>
      <c r="X13" s="115">
        <f>W13*(100+INDEX('DEFAULT DATA'!$NK$9:$NM$41,START!$C$3,1))/100</f>
        <v>0</v>
      </c>
      <c r="Y13" s="115">
        <f>X13*(100+INDEX('DEFAULT DATA'!$NK$9:$NM$41,START!$C$3,1))/100</f>
        <v>0</v>
      </c>
      <c r="Z13" s="115">
        <f>Y13*(100+INDEX('DEFAULT DATA'!$NK$9:$NM$41,START!$C$3,2))/100</f>
        <v>0</v>
      </c>
      <c r="AA13" s="115">
        <f>Z13*(100+INDEX('DEFAULT DATA'!$NK$9:$NM$41,START!$C$3,2))/100</f>
        <v>0</v>
      </c>
      <c r="AB13" s="115">
        <f>AA13*(100+INDEX('DEFAULT DATA'!$NK$9:$NM$41,START!$C$3,2))/100</f>
        <v>0</v>
      </c>
      <c r="AC13" s="115">
        <f>AB13*(100+INDEX('DEFAULT DATA'!$NK$9:$NM$41,START!$C$3,2))/100</f>
        <v>0</v>
      </c>
      <c r="AD13" s="115">
        <f>AC13*(100+INDEX('DEFAULT DATA'!$NK$9:$NM$41,START!$C$3,2))/100</f>
        <v>0</v>
      </c>
      <c r="AE13" s="115">
        <f>AD13*(100+INDEX('DEFAULT DATA'!$NK$9:$NM$41,START!$C$3,2))/100</f>
        <v>0</v>
      </c>
      <c r="AF13" s="115">
        <f>AE13*(100+INDEX('DEFAULT DATA'!$NK$9:$NM$41,START!$C$3,2))/100</f>
        <v>0</v>
      </c>
      <c r="AG13" s="115">
        <f>AF13*(100+INDEX('DEFAULT DATA'!$NK$9:$NM$41,START!$C$3,2))/100</f>
        <v>0</v>
      </c>
      <c r="AH13" s="115">
        <f>AG13*(100+INDEX('DEFAULT DATA'!$NK$9:$NM$41,START!$C$3,2))/100</f>
        <v>0</v>
      </c>
      <c r="AI13" s="115">
        <f>AH13*(100+INDEX('DEFAULT DATA'!$NK$9:$NM$41,START!$C$3,2))/100</f>
        <v>0</v>
      </c>
      <c r="AJ13" s="115">
        <f>AI13*(100+INDEX('DEFAULT DATA'!$NK$9:$NM$41,START!$C$3,3))/100</f>
        <v>0</v>
      </c>
      <c r="AK13" s="115">
        <f>AJ13*(100+INDEX('DEFAULT DATA'!$NK$9:$NM$41,START!$C$3,3))/100</f>
        <v>0</v>
      </c>
      <c r="AL13" s="115">
        <f>AK13*(100+INDEX('DEFAULT DATA'!$NK$9:$NM$41,START!$C$3,3))/100</f>
        <v>0</v>
      </c>
      <c r="AM13" s="115">
        <f>AL13*(100+INDEX('DEFAULT DATA'!$NK$9:$NM$41,START!$C$3,3))/100</f>
        <v>0</v>
      </c>
      <c r="AN13" s="115">
        <f>AM13*(100+INDEX('DEFAULT DATA'!$NK$9:$NM$41,START!$C$3,3))/100</f>
        <v>0</v>
      </c>
      <c r="AO13" s="115">
        <f>AN13*(100+INDEX('DEFAULT DATA'!$NK$9:$NM$41,START!$C$3,3))/100</f>
        <v>0</v>
      </c>
      <c r="AP13" s="115">
        <f>AO13*(100+INDEX('DEFAULT DATA'!$NK$9:$NM$41,START!$C$3,3))/100</f>
        <v>0</v>
      </c>
      <c r="AQ13" s="115">
        <f>AP13*(100+INDEX('DEFAULT DATA'!$NK$9:$NM$41,START!$C$3,3))/100</f>
        <v>0</v>
      </c>
      <c r="AR13" s="115">
        <f>AQ13*(100+INDEX('DEFAULT DATA'!$NK$9:$NM$41,START!$C$3,3))/100</f>
        <v>0</v>
      </c>
      <c r="AS13" s="115">
        <f>AR13*(100+INDEX('DEFAULT DATA'!$NK$9:$NM$41,START!$C$3,3))/100</f>
        <v>0</v>
      </c>
      <c r="AU13" s="1133" t="s">
        <v>3018</v>
      </c>
      <c r="AV13" s="1092"/>
      <c r="AW13" s="1090" t="s">
        <v>3029</v>
      </c>
      <c r="AX13" s="1091"/>
      <c r="AY13" s="1090" t="s">
        <v>3030</v>
      </c>
      <c r="AZ13" s="1091"/>
      <c r="BA13" s="1091"/>
      <c r="BB13" s="1090" t="s">
        <v>3031</v>
      </c>
      <c r="BC13" s="1102"/>
      <c r="BD13" s="1134"/>
    </row>
    <row r="14" spans="1:56" ht="20.100000000000001" customHeight="1">
      <c r="A14" s="265"/>
      <c r="B14" s="898">
        <f>INDEX('MENU OPTIONS'!A1:A29,START!C2,1)</f>
        <v>2022</v>
      </c>
      <c r="C14" s="858"/>
      <c r="D14" s="258"/>
      <c r="E14" s="258"/>
      <c r="F14" s="258"/>
      <c r="G14" s="258"/>
      <c r="H14" s="258"/>
      <c r="I14" s="259"/>
      <c r="J14" s="124"/>
      <c r="O14" s="131" t="s">
        <v>188</v>
      </c>
      <c r="P14" s="115">
        <f>INDEX('DEFAULT DATA'!NN9:NN41,START!C3,1)</f>
        <v>0</v>
      </c>
      <c r="Q14" s="445">
        <f>P14*(100+INDEX('DEFAULT DATA'!$NO$9:$NQ$41,START!$C$3,1))/100</f>
        <v>0</v>
      </c>
      <c r="R14" s="115">
        <f>P14*(100+INDEX('DEFAULT DATA'!$NO$9:$NQ$41,START!$C$3,1))/100</f>
        <v>0</v>
      </c>
      <c r="S14" s="115">
        <f>R14*(100+INDEX('DEFAULT DATA'!$NO$9:$NQ$41,START!$C$3,1))/100</f>
        <v>0</v>
      </c>
      <c r="T14" s="115">
        <f>S14*(100+INDEX('DEFAULT DATA'!$NO$9:$NQ$41,START!$C$3,1))/100</f>
        <v>0</v>
      </c>
      <c r="U14" s="115">
        <f>T14*(100+INDEX('DEFAULT DATA'!$NO$9:$NQ$41,START!$C$3,1))/100</f>
        <v>0</v>
      </c>
      <c r="V14" s="115">
        <f>U14*(100+INDEX('DEFAULT DATA'!$NO$9:$NQ$41,START!$C$3,1))/100</f>
        <v>0</v>
      </c>
      <c r="W14" s="115">
        <f>V14*(100+INDEX('DEFAULT DATA'!$NO$9:$NQ$41,START!$C$3,1))/100</f>
        <v>0</v>
      </c>
      <c r="X14" s="115">
        <f>W14*(100+INDEX('DEFAULT DATA'!$NO$9:$NQ$41,START!$C$3,1))/100</f>
        <v>0</v>
      </c>
      <c r="Y14" s="115">
        <f>X14*(100+INDEX('DEFAULT DATA'!$NO$9:$NQ$41,START!$C$3,1))/100</f>
        <v>0</v>
      </c>
      <c r="Z14" s="115">
        <f>Y14*(100+INDEX('DEFAULT DATA'!$NO$9:$NQ$41,START!$C$3,2))/100</f>
        <v>0</v>
      </c>
      <c r="AA14" s="115">
        <f>Z14*(100+INDEX('DEFAULT DATA'!$NO$9:$NQ$41,START!$C$3,2))/100</f>
        <v>0</v>
      </c>
      <c r="AB14" s="115">
        <f>AA14*(100+INDEX('DEFAULT DATA'!$NO$9:$NQ$41,START!$C$3,2))/100</f>
        <v>0</v>
      </c>
      <c r="AC14" s="115">
        <f>AB14*(100+INDEX('DEFAULT DATA'!$NO$9:$NQ$41,START!$C$3,2))/100</f>
        <v>0</v>
      </c>
      <c r="AD14" s="115">
        <f>AC14*(100+INDEX('DEFAULT DATA'!$NO$9:$NQ$41,START!$C$3,2))/100</f>
        <v>0</v>
      </c>
      <c r="AE14" s="115">
        <f>AD14*(100+INDEX('DEFAULT DATA'!$NO$9:$NQ$41,START!$C$3,2))/100</f>
        <v>0</v>
      </c>
      <c r="AF14" s="115">
        <f>AE14*(100+INDEX('DEFAULT DATA'!$NO$9:$NQ$41,START!$C$3,2))/100</f>
        <v>0</v>
      </c>
      <c r="AG14" s="115">
        <f>AF14*(100+INDEX('DEFAULT DATA'!$NO$9:$NQ$41,START!$C$3,2))/100</f>
        <v>0</v>
      </c>
      <c r="AH14" s="115">
        <f>AG14*(100+INDEX('DEFAULT DATA'!$NO$9:$NQ$41,START!$C$3,2))/100</f>
        <v>0</v>
      </c>
      <c r="AI14" s="115">
        <f>AH14*(100+INDEX('DEFAULT DATA'!$NO$9:$NQ$41,START!$C$3,2))/100</f>
        <v>0</v>
      </c>
      <c r="AJ14" s="115">
        <f>AI14*(100+INDEX('DEFAULT DATA'!$NO$9:$NQ$41,START!$C$3,3))/100</f>
        <v>0</v>
      </c>
      <c r="AK14" s="115">
        <f>AJ14*(100+INDEX('DEFAULT DATA'!$NO$9:$NQ$41,START!$C$3,3))/100</f>
        <v>0</v>
      </c>
      <c r="AL14" s="115">
        <f>AK14*(100+INDEX('DEFAULT DATA'!$NO$9:$NQ$41,START!$C$3,3))/100</f>
        <v>0</v>
      </c>
      <c r="AM14" s="115">
        <f>AL14*(100+INDEX('DEFAULT DATA'!$NO$9:$NQ$41,START!$C$3,3))/100</f>
        <v>0</v>
      </c>
      <c r="AN14" s="115">
        <f>AM14*(100+INDEX('DEFAULT DATA'!$NO$9:$NQ$41,START!$C$3,3))/100</f>
        <v>0</v>
      </c>
      <c r="AO14" s="115">
        <f>AN14*(100+INDEX('DEFAULT DATA'!$NO$9:$NQ$41,START!$C$3,3))/100</f>
        <v>0</v>
      </c>
      <c r="AP14" s="115">
        <f>AO14*(100+INDEX('DEFAULT DATA'!$NO$9:$NQ$41,START!$C$3,3))/100</f>
        <v>0</v>
      </c>
      <c r="AQ14" s="115">
        <f>AP14*(100+INDEX('DEFAULT DATA'!$NO$9:$NQ$41,START!$C$3,3))/100</f>
        <v>0</v>
      </c>
      <c r="AR14" s="115">
        <f>AQ14*(100+INDEX('DEFAULT DATA'!$NO$9:$NQ$41,START!$C$3,3))/100</f>
        <v>0</v>
      </c>
      <c r="AS14" s="115">
        <f>AR14*(100+INDEX('DEFAULT DATA'!$NO$9:$NQ$41,START!$C$3,3))/100</f>
        <v>0</v>
      </c>
      <c r="AU14" s="1133" t="s">
        <v>3019</v>
      </c>
      <c r="AV14" s="1092"/>
      <c r="AW14" s="1090" t="s">
        <v>3032</v>
      </c>
      <c r="AX14" s="1091"/>
      <c r="AY14" s="1090" t="s">
        <v>3033</v>
      </c>
      <c r="AZ14" s="1091"/>
      <c r="BA14" s="1091"/>
      <c r="BB14" s="1090" t="s">
        <v>3034</v>
      </c>
      <c r="BC14" s="1102"/>
      <c r="BD14" s="1134"/>
    </row>
    <row r="15" spans="1:56" ht="20.100000000000001" customHeight="1">
      <c r="A15" s="265"/>
      <c r="B15" s="898" t="s">
        <v>35</v>
      </c>
      <c r="C15" s="1528" t="s">
        <v>1502</v>
      </c>
      <c r="D15" s="258"/>
      <c r="E15" s="258"/>
      <c r="F15" s="258"/>
      <c r="G15" s="258"/>
      <c r="H15" s="258"/>
      <c r="I15" s="259"/>
      <c r="J15" s="124"/>
      <c r="O15" s="131" t="s">
        <v>192</v>
      </c>
      <c r="P15" s="115">
        <f>INDEX('DEFAULT DATA'!NR9:NR41,START!C3,1)</f>
        <v>0</v>
      </c>
      <c r="Q15" s="445">
        <f>P15*(100+INDEX('DEFAULT DATA'!$NS$9:$NU$41,START!$C$3,1))/100</f>
        <v>0</v>
      </c>
      <c r="R15" s="115">
        <f>P15*(100+INDEX('DEFAULT DATA'!$NS$9:$NU$41,START!$C$3,1))/100</f>
        <v>0</v>
      </c>
      <c r="S15" s="115">
        <f>R15*(100+INDEX('DEFAULT DATA'!$NS$9:$NU$41,START!$C$3,1))/100</f>
        <v>0</v>
      </c>
      <c r="T15" s="115">
        <f>S15*(100+INDEX('DEFAULT DATA'!$NS$9:$NU$41,START!$C$3,1))/100</f>
        <v>0</v>
      </c>
      <c r="U15" s="115">
        <f>T15*(100+INDEX('DEFAULT DATA'!$NS$9:$NU$41,START!$C$3,1))/100</f>
        <v>0</v>
      </c>
      <c r="V15" s="115">
        <f>U15*(100+INDEX('DEFAULT DATA'!$NS$9:$NU$41,START!$C$3,1))/100</f>
        <v>0</v>
      </c>
      <c r="W15" s="115">
        <f>V15*(100+INDEX('DEFAULT DATA'!$NS$9:$NU$41,START!$C$3,1))/100</f>
        <v>0</v>
      </c>
      <c r="X15" s="115">
        <f>W15*(100+INDEX('DEFAULT DATA'!$NS$9:$NU$41,START!$C$3,1))/100</f>
        <v>0</v>
      </c>
      <c r="Y15" s="115">
        <f>X15*(100+INDEX('DEFAULT DATA'!$NS$9:$NU$41,START!$C$3,1))/100</f>
        <v>0</v>
      </c>
      <c r="Z15" s="115">
        <f>Y15*(100+INDEX('DEFAULT DATA'!$NS$9:$NU$41,START!$C$3,2))/100</f>
        <v>0</v>
      </c>
      <c r="AA15" s="115">
        <f>Z15*(100+INDEX('DEFAULT DATA'!$NS$9:$NU$41,START!$C$3,2))/100</f>
        <v>0</v>
      </c>
      <c r="AB15" s="115">
        <f>AA15*(100+INDEX('DEFAULT DATA'!$NS$9:$NU$41,START!$C$3,2))/100</f>
        <v>0</v>
      </c>
      <c r="AC15" s="115">
        <f>AB15*(100+INDEX('DEFAULT DATA'!$NS$9:$NU$41,START!$C$3,2))/100</f>
        <v>0</v>
      </c>
      <c r="AD15" s="115">
        <f>AC15*(100+INDEX('DEFAULT DATA'!$NS$9:$NU$41,START!$C$3,2))/100</f>
        <v>0</v>
      </c>
      <c r="AE15" s="115">
        <f>AD15*(100+INDEX('DEFAULT DATA'!$NS$9:$NU$41,START!$C$3,2))/100</f>
        <v>0</v>
      </c>
      <c r="AF15" s="115">
        <f>AE15*(100+INDEX('DEFAULT DATA'!$NS$9:$NU$41,START!$C$3,2))/100</f>
        <v>0</v>
      </c>
      <c r="AG15" s="115">
        <f>AF15*(100+INDEX('DEFAULT DATA'!$NS$9:$NU$41,START!$C$3,2))/100</f>
        <v>0</v>
      </c>
      <c r="AH15" s="115">
        <f>AG15*(100+INDEX('DEFAULT DATA'!$NS$9:$NU$41,START!$C$3,2))/100</f>
        <v>0</v>
      </c>
      <c r="AI15" s="115">
        <f>AH15*(100+INDEX('DEFAULT DATA'!$NS$9:$NU$41,START!$C$3,2))/100</f>
        <v>0</v>
      </c>
      <c r="AJ15" s="115">
        <f>AI15*(100+INDEX('DEFAULT DATA'!$NS$9:$NU$41,START!$C$3,3))/100</f>
        <v>0</v>
      </c>
      <c r="AK15" s="115">
        <f>AJ15*(100+INDEX('DEFAULT DATA'!$NS$9:$NU$41,START!$C$3,3))/100</f>
        <v>0</v>
      </c>
      <c r="AL15" s="115">
        <f>AK15*(100+INDEX('DEFAULT DATA'!$NS$9:$NU$41,START!$C$3,3))/100</f>
        <v>0</v>
      </c>
      <c r="AM15" s="115">
        <f>AL15*(100+INDEX('DEFAULT DATA'!$NS$9:$NU$41,START!$C$3,3))/100</f>
        <v>0</v>
      </c>
      <c r="AN15" s="115">
        <f>AM15*(100+INDEX('DEFAULT DATA'!$NS$9:$NU$41,START!$C$3,3))/100</f>
        <v>0</v>
      </c>
      <c r="AO15" s="115">
        <f>AN15*(100+INDEX('DEFAULT DATA'!$NS$9:$NU$41,START!$C$3,3))/100</f>
        <v>0</v>
      </c>
      <c r="AP15" s="115">
        <f>AO15*(100+INDEX('DEFAULT DATA'!$NS$9:$NU$41,START!$C$3,3))/100</f>
        <v>0</v>
      </c>
      <c r="AQ15" s="115">
        <f>AP15*(100+INDEX('DEFAULT DATA'!$NS$9:$NU$41,START!$C$3,3))/100</f>
        <v>0</v>
      </c>
      <c r="AR15" s="115">
        <f>AQ15*(100+INDEX('DEFAULT DATA'!$NS$9:$NU$41,START!$C$3,3))/100</f>
        <v>0</v>
      </c>
      <c r="AS15" s="115">
        <f>AR15*(100+INDEX('DEFAULT DATA'!$NS$9:$NU$41,START!$C$3,3))/100</f>
        <v>0</v>
      </c>
      <c r="AU15" s="1135" t="s">
        <v>3020</v>
      </c>
      <c r="AV15" s="1093"/>
      <c r="AW15" s="1090" t="s">
        <v>3035</v>
      </c>
      <c r="AX15" s="1091"/>
      <c r="AY15" s="1090" t="s">
        <v>3036</v>
      </c>
      <c r="AZ15" s="1091"/>
      <c r="BA15" s="1091"/>
      <c r="BB15" s="1090" t="s">
        <v>3037</v>
      </c>
      <c r="BC15" s="1102"/>
      <c r="BD15" s="1134"/>
    </row>
    <row r="16" spans="1:56" ht="20.100000000000001" customHeight="1" thickBot="1">
      <c r="A16" s="265"/>
      <c r="B16" s="899" t="s">
        <v>194</v>
      </c>
      <c r="C16" s="1529"/>
      <c r="D16" s="258"/>
      <c r="E16" s="258"/>
      <c r="F16" s="258"/>
      <c r="G16" s="258"/>
      <c r="H16" s="258"/>
      <c r="I16" s="259"/>
      <c r="J16" s="124"/>
      <c r="O16" s="131" t="s">
        <v>211</v>
      </c>
      <c r="P16" s="115">
        <f>SUM(P10:P15)</f>
        <v>0</v>
      </c>
      <c r="Q16" s="115">
        <f>SUM(R10:R15)</f>
        <v>0</v>
      </c>
      <c r="R16" s="115">
        <f t="shared" ref="R16" si="2">SUM(R10:R15)</f>
        <v>0</v>
      </c>
      <c r="S16" s="115">
        <f t="shared" ref="S16" si="3">SUM(S10:S15)</f>
        <v>0</v>
      </c>
      <c r="T16" s="115">
        <f t="shared" ref="T16" si="4">SUM(T10:T15)</f>
        <v>0</v>
      </c>
      <c r="U16" s="115">
        <f t="shared" ref="U16" si="5">SUM(U10:U15)</f>
        <v>0</v>
      </c>
      <c r="V16" s="115">
        <f t="shared" ref="V16" si="6">SUM(V10:V15)</f>
        <v>0</v>
      </c>
      <c r="W16" s="115">
        <f t="shared" ref="W16" si="7">SUM(W10:W15)</f>
        <v>0</v>
      </c>
      <c r="X16" s="115">
        <f t="shared" ref="X16" si="8">SUM(X10:X15)</f>
        <v>0</v>
      </c>
      <c r="Y16" s="115">
        <f t="shared" ref="Y16" si="9">SUM(Y10:Y15)</f>
        <v>0</v>
      </c>
      <c r="Z16" s="115">
        <f t="shared" ref="Z16" si="10">SUM(Z10:Z15)</f>
        <v>0</v>
      </c>
      <c r="AA16" s="115">
        <f t="shared" ref="AA16" si="11">SUM(AA10:AA15)</f>
        <v>0</v>
      </c>
      <c r="AB16" s="115">
        <f t="shared" ref="AB16" si="12">SUM(AB10:AB15)</f>
        <v>0</v>
      </c>
      <c r="AC16" s="115">
        <f t="shared" ref="AC16" si="13">SUM(AC10:AC15)</f>
        <v>0</v>
      </c>
      <c r="AD16" s="115">
        <f t="shared" ref="AD16" si="14">SUM(AD10:AD15)</f>
        <v>0</v>
      </c>
      <c r="AE16" s="115">
        <f t="shared" ref="AE16" si="15">SUM(AE10:AE15)</f>
        <v>0</v>
      </c>
      <c r="AF16" s="115">
        <f t="shared" ref="AF16" si="16">SUM(AF10:AF15)</f>
        <v>0</v>
      </c>
      <c r="AG16" s="115">
        <f t="shared" ref="AG16" si="17">SUM(AG10:AG15)</f>
        <v>0</v>
      </c>
      <c r="AH16" s="115">
        <f t="shared" ref="AH16" si="18">SUM(AH10:AH15)</f>
        <v>0</v>
      </c>
      <c r="AI16" s="115">
        <f t="shared" ref="AI16" si="19">SUM(AI10:AI15)</f>
        <v>0</v>
      </c>
      <c r="AJ16" s="115">
        <f t="shared" ref="AJ16" si="20">SUM(AJ10:AJ15)</f>
        <v>0</v>
      </c>
      <c r="AK16" s="115">
        <f t="shared" ref="AK16" si="21">SUM(AK10:AK15)</f>
        <v>0</v>
      </c>
      <c r="AL16" s="115">
        <f t="shared" ref="AL16" si="22">SUM(AL10:AL15)</f>
        <v>0</v>
      </c>
      <c r="AM16" s="115">
        <f t="shared" ref="AM16" si="23">SUM(AM10:AM15)</f>
        <v>0</v>
      </c>
      <c r="AN16" s="115">
        <f t="shared" ref="AN16" si="24">SUM(AN10:AN15)</f>
        <v>0</v>
      </c>
      <c r="AO16" s="115">
        <f t="shared" ref="AO16" si="25">SUM(AO10:AO15)</f>
        <v>0</v>
      </c>
      <c r="AP16" s="115">
        <f t="shared" ref="AP16" si="26">SUM(AP10:AP15)</f>
        <v>0</v>
      </c>
      <c r="AQ16" s="115">
        <f t="shared" ref="AQ16" si="27">SUM(AQ10:AQ15)</f>
        <v>0</v>
      </c>
      <c r="AR16" s="115">
        <f t="shared" ref="AR16" si="28">SUM(AR10:AR15)</f>
        <v>0</v>
      </c>
      <c r="AS16" s="115">
        <f t="shared" ref="AS16" si="29">SUM(AS10:AS15)</f>
        <v>0</v>
      </c>
      <c r="AU16" s="1136" t="s">
        <v>3022</v>
      </c>
      <c r="AV16" s="1089"/>
      <c r="AW16" s="1089"/>
      <c r="AX16" s="1089"/>
      <c r="AY16" s="1089"/>
      <c r="AZ16" s="1089"/>
      <c r="BA16" s="1089"/>
      <c r="BB16" s="1089"/>
      <c r="BC16" s="1089"/>
      <c r="BD16" s="1137"/>
    </row>
    <row r="17" spans="1:48" ht="20.100000000000001" customHeight="1">
      <c r="A17" s="265"/>
      <c r="B17" s="900" t="str">
        <f>O10</f>
        <v>Forestland</v>
      </c>
      <c r="C17" s="260">
        <f>INDEX($Q$20:$AS$25,1,START!$C$2)</f>
        <v>0</v>
      </c>
      <c r="D17" s="258"/>
      <c r="E17" s="258"/>
      <c r="F17" s="258"/>
      <c r="G17" s="258"/>
      <c r="H17" s="258"/>
      <c r="I17" s="259"/>
      <c r="J17" s="124"/>
    </row>
    <row r="18" spans="1:48" ht="20.100000000000001" customHeight="1">
      <c r="A18" s="265"/>
      <c r="B18" s="900" t="str">
        <f t="shared" ref="B18:B22" si="30">O11</f>
        <v>Cropland</v>
      </c>
      <c r="C18" s="260">
        <f>INDEX($Q$20:$AS$25,2,START!$C$2)</f>
        <v>0</v>
      </c>
      <c r="D18" s="258"/>
      <c r="E18" s="258"/>
      <c r="F18" s="258"/>
      <c r="G18" s="258"/>
      <c r="H18" s="258"/>
      <c r="I18" s="259"/>
      <c r="J18" s="124"/>
      <c r="O18" s="261" t="s">
        <v>520</v>
      </c>
      <c r="P18" s="262"/>
      <c r="Q18" s="262"/>
      <c r="R18" s="262"/>
      <c r="S18" s="262"/>
      <c r="T18" s="262"/>
      <c r="U18" s="262"/>
      <c r="V18" s="262"/>
      <c r="W18" s="262"/>
      <c r="X18" s="262"/>
      <c r="Y18" s="262"/>
      <c r="Z18" s="262"/>
      <c r="AA18" s="262"/>
      <c r="AB18" s="262"/>
      <c r="AC18" s="262"/>
      <c r="AD18" s="262"/>
      <c r="AE18" s="262"/>
      <c r="AF18" s="262"/>
      <c r="AG18" s="262"/>
      <c r="AH18" s="262"/>
      <c r="AI18" s="262"/>
      <c r="AJ18" s="262"/>
      <c r="AK18" s="262"/>
      <c r="AL18" s="262"/>
      <c r="AM18" s="262"/>
      <c r="AN18" s="262"/>
      <c r="AO18" s="262"/>
      <c r="AP18" s="262"/>
      <c r="AQ18" s="262"/>
      <c r="AR18" s="262"/>
      <c r="AS18" s="262"/>
    </row>
    <row r="19" spans="1:48" ht="20.100000000000001" customHeight="1" thickBot="1">
      <c r="A19" s="265"/>
      <c r="B19" s="900" t="str">
        <f t="shared" si="30"/>
        <v>Grassland</v>
      </c>
      <c r="C19" s="260">
        <f>INDEX($Q$20:$AS$25,3,START!$C$2)</f>
        <v>0</v>
      </c>
      <c r="D19" s="258"/>
      <c r="E19" s="258"/>
      <c r="F19" s="258"/>
      <c r="G19" s="258"/>
      <c r="H19" s="258"/>
      <c r="I19" s="259"/>
      <c r="J19" s="124"/>
      <c r="O19" s="136" t="s">
        <v>212</v>
      </c>
      <c r="P19" s="151">
        <v>2021</v>
      </c>
      <c r="Q19" s="151">
        <f>P19+1</f>
        <v>2022</v>
      </c>
      <c r="R19" s="151">
        <f t="shared" ref="R19:AR19" si="31">Q19+1</f>
        <v>2023</v>
      </c>
      <c r="S19" s="151">
        <f t="shared" si="31"/>
        <v>2024</v>
      </c>
      <c r="T19" s="151">
        <f t="shared" si="31"/>
        <v>2025</v>
      </c>
      <c r="U19" s="151">
        <f t="shared" si="31"/>
        <v>2026</v>
      </c>
      <c r="V19" s="151">
        <f t="shared" si="31"/>
        <v>2027</v>
      </c>
      <c r="W19" s="151">
        <f t="shared" si="31"/>
        <v>2028</v>
      </c>
      <c r="X19" s="151">
        <f t="shared" si="31"/>
        <v>2029</v>
      </c>
      <c r="Y19" s="151">
        <f t="shared" si="31"/>
        <v>2030</v>
      </c>
      <c r="Z19" s="151">
        <f t="shared" si="31"/>
        <v>2031</v>
      </c>
      <c r="AA19" s="151">
        <f t="shared" si="31"/>
        <v>2032</v>
      </c>
      <c r="AB19" s="151">
        <f t="shared" si="31"/>
        <v>2033</v>
      </c>
      <c r="AC19" s="151">
        <f t="shared" si="31"/>
        <v>2034</v>
      </c>
      <c r="AD19" s="151">
        <f t="shared" si="31"/>
        <v>2035</v>
      </c>
      <c r="AE19" s="151">
        <f t="shared" si="31"/>
        <v>2036</v>
      </c>
      <c r="AF19" s="151">
        <f t="shared" si="31"/>
        <v>2037</v>
      </c>
      <c r="AG19" s="151">
        <f t="shared" si="31"/>
        <v>2038</v>
      </c>
      <c r="AH19" s="151">
        <f t="shared" si="31"/>
        <v>2039</v>
      </c>
      <c r="AI19" s="151">
        <f t="shared" si="31"/>
        <v>2040</v>
      </c>
      <c r="AJ19" s="151">
        <f t="shared" si="31"/>
        <v>2041</v>
      </c>
      <c r="AK19" s="151">
        <f t="shared" si="31"/>
        <v>2042</v>
      </c>
      <c r="AL19" s="151">
        <f t="shared" si="31"/>
        <v>2043</v>
      </c>
      <c r="AM19" s="151">
        <f t="shared" si="31"/>
        <v>2044</v>
      </c>
      <c r="AN19" s="151">
        <f t="shared" si="31"/>
        <v>2045</v>
      </c>
      <c r="AO19" s="151">
        <f t="shared" si="31"/>
        <v>2046</v>
      </c>
      <c r="AP19" s="151">
        <f t="shared" si="31"/>
        <v>2047</v>
      </c>
      <c r="AQ19" s="151">
        <f t="shared" si="31"/>
        <v>2048</v>
      </c>
      <c r="AR19" s="151">
        <f t="shared" si="31"/>
        <v>2049</v>
      </c>
      <c r="AS19" s="151">
        <f>AR19+1</f>
        <v>2050</v>
      </c>
    </row>
    <row r="20" spans="1:48" ht="20.100000000000001" customHeight="1">
      <c r="A20" s="265"/>
      <c r="B20" s="900" t="str">
        <f t="shared" si="30"/>
        <v>Wetland</v>
      </c>
      <c r="C20" s="260">
        <f>INDEX($Q$20:$AS$25,4,START!$C$2)</f>
        <v>0</v>
      </c>
      <c r="D20" s="258"/>
      <c r="E20" s="258"/>
      <c r="F20" s="258"/>
      <c r="G20" s="258"/>
      <c r="H20" s="258"/>
      <c r="I20" s="259"/>
      <c r="J20" s="124"/>
      <c r="O20" s="131" t="s">
        <v>483</v>
      </c>
      <c r="P20" s="445" t="str">
        <f>IF(P$6=0,"",P10/P$6)</f>
        <v/>
      </c>
      <c r="Q20" s="123">
        <f>IF(Q$6=0,"",Q10/Q$6)</f>
        <v>0</v>
      </c>
      <c r="R20" s="123">
        <f t="shared" ref="R20:AS20" si="32">IF(R6=0,"",R10/R$6)</f>
        <v>0</v>
      </c>
      <c r="S20" s="123">
        <f t="shared" si="32"/>
        <v>0</v>
      </c>
      <c r="T20" s="123">
        <f t="shared" si="32"/>
        <v>0</v>
      </c>
      <c r="U20" s="123">
        <f t="shared" si="32"/>
        <v>0</v>
      </c>
      <c r="V20" s="123">
        <f t="shared" si="32"/>
        <v>0</v>
      </c>
      <c r="W20" s="123">
        <f t="shared" si="32"/>
        <v>0</v>
      </c>
      <c r="X20" s="123">
        <f t="shared" si="32"/>
        <v>0</v>
      </c>
      <c r="Y20" s="123">
        <f t="shared" si="32"/>
        <v>0</v>
      </c>
      <c r="Z20" s="123">
        <f t="shared" si="32"/>
        <v>0</v>
      </c>
      <c r="AA20" s="123">
        <f t="shared" si="32"/>
        <v>0</v>
      </c>
      <c r="AB20" s="123">
        <f t="shared" si="32"/>
        <v>0</v>
      </c>
      <c r="AC20" s="123">
        <f t="shared" si="32"/>
        <v>0</v>
      </c>
      <c r="AD20" s="123">
        <f t="shared" si="32"/>
        <v>0</v>
      </c>
      <c r="AE20" s="123">
        <f t="shared" si="32"/>
        <v>0</v>
      </c>
      <c r="AF20" s="123">
        <f t="shared" si="32"/>
        <v>0</v>
      </c>
      <c r="AG20" s="123">
        <f t="shared" si="32"/>
        <v>0</v>
      </c>
      <c r="AH20" s="123">
        <f t="shared" si="32"/>
        <v>0</v>
      </c>
      <c r="AI20" s="123">
        <f t="shared" si="32"/>
        <v>0</v>
      </c>
      <c r="AJ20" s="123">
        <f t="shared" si="32"/>
        <v>0</v>
      </c>
      <c r="AK20" s="123">
        <f t="shared" si="32"/>
        <v>0</v>
      </c>
      <c r="AL20" s="123">
        <f t="shared" si="32"/>
        <v>0</v>
      </c>
      <c r="AM20" s="123">
        <f t="shared" si="32"/>
        <v>0</v>
      </c>
      <c r="AN20" s="123">
        <f t="shared" si="32"/>
        <v>0</v>
      </c>
      <c r="AO20" s="123">
        <f t="shared" si="32"/>
        <v>0</v>
      </c>
      <c r="AP20" s="123">
        <f t="shared" si="32"/>
        <v>0</v>
      </c>
      <c r="AQ20" s="123">
        <f t="shared" si="32"/>
        <v>0</v>
      </c>
      <c r="AR20" s="123">
        <f t="shared" si="32"/>
        <v>0</v>
      </c>
      <c r="AS20" s="123">
        <f t="shared" si="32"/>
        <v>0</v>
      </c>
      <c r="AU20" s="1127" t="s">
        <v>3038</v>
      </c>
      <c r="AV20" s="1128"/>
    </row>
    <row r="21" spans="1:48" ht="20.100000000000001" customHeight="1" thickBot="1">
      <c r="A21" s="265"/>
      <c r="B21" s="900" t="str">
        <f t="shared" si="30"/>
        <v>Settlements</v>
      </c>
      <c r="C21" s="260">
        <f>INDEX($Q$20:$AS$25,5,START!$C$2)</f>
        <v>0</v>
      </c>
      <c r="D21" s="258"/>
      <c r="E21" s="258"/>
      <c r="F21" s="258"/>
      <c r="G21" s="258"/>
      <c r="H21" s="258"/>
      <c r="I21" s="259"/>
      <c r="J21" s="124"/>
      <c r="O21" s="131" t="s">
        <v>189</v>
      </c>
      <c r="P21" s="445" t="str">
        <f t="shared" ref="P21:P25" si="33">IF(P$6=0,"",P11/P$6)</f>
        <v/>
      </c>
      <c r="Q21" s="123">
        <f>IF(Q$6=0,"",Q11/Q$6)</f>
        <v>0</v>
      </c>
      <c r="R21" s="123">
        <f t="shared" ref="R21:AS25" si="34">IF(R$6=0,"",R11/R$6)</f>
        <v>0</v>
      </c>
      <c r="S21" s="123">
        <f t="shared" si="34"/>
        <v>0</v>
      </c>
      <c r="T21" s="123">
        <f t="shared" si="34"/>
        <v>0</v>
      </c>
      <c r="U21" s="123">
        <f t="shared" si="34"/>
        <v>0</v>
      </c>
      <c r="V21" s="123">
        <f t="shared" si="34"/>
        <v>0</v>
      </c>
      <c r="W21" s="123">
        <f t="shared" si="34"/>
        <v>0</v>
      </c>
      <c r="X21" s="123">
        <f t="shared" si="34"/>
        <v>0</v>
      </c>
      <c r="Y21" s="123">
        <f t="shared" si="34"/>
        <v>0</v>
      </c>
      <c r="Z21" s="123">
        <f t="shared" si="34"/>
        <v>0</v>
      </c>
      <c r="AA21" s="123">
        <f t="shared" si="34"/>
        <v>0</v>
      </c>
      <c r="AB21" s="123">
        <f t="shared" si="34"/>
        <v>0</v>
      </c>
      <c r="AC21" s="123">
        <f t="shared" si="34"/>
        <v>0</v>
      </c>
      <c r="AD21" s="123">
        <f t="shared" si="34"/>
        <v>0</v>
      </c>
      <c r="AE21" s="123">
        <f t="shared" si="34"/>
        <v>0</v>
      </c>
      <c r="AF21" s="123">
        <f t="shared" si="34"/>
        <v>0</v>
      </c>
      <c r="AG21" s="123">
        <f t="shared" si="34"/>
        <v>0</v>
      </c>
      <c r="AH21" s="123">
        <f t="shared" si="34"/>
        <v>0</v>
      </c>
      <c r="AI21" s="123">
        <f t="shared" si="34"/>
        <v>0</v>
      </c>
      <c r="AJ21" s="123">
        <f t="shared" si="34"/>
        <v>0</v>
      </c>
      <c r="AK21" s="123">
        <f t="shared" si="34"/>
        <v>0</v>
      </c>
      <c r="AL21" s="123">
        <f t="shared" si="34"/>
        <v>0</v>
      </c>
      <c r="AM21" s="123">
        <f t="shared" si="34"/>
        <v>0</v>
      </c>
      <c r="AN21" s="123">
        <f t="shared" si="34"/>
        <v>0</v>
      </c>
      <c r="AO21" s="123">
        <f t="shared" si="34"/>
        <v>0</v>
      </c>
      <c r="AP21" s="123">
        <f t="shared" si="34"/>
        <v>0</v>
      </c>
      <c r="AQ21" s="123">
        <f t="shared" si="34"/>
        <v>0</v>
      </c>
      <c r="AR21" s="123">
        <f t="shared" si="34"/>
        <v>0</v>
      </c>
      <c r="AS21" s="123">
        <f t="shared" si="34"/>
        <v>0</v>
      </c>
      <c r="AU21" s="1129" t="s">
        <v>3039</v>
      </c>
      <c r="AV21" s="1130"/>
    </row>
    <row r="22" spans="1:48" ht="20.100000000000001" customHeight="1">
      <c r="A22" s="265"/>
      <c r="B22" s="899" t="str">
        <f t="shared" si="30"/>
        <v>Other land</v>
      </c>
      <c r="C22" s="263">
        <f>INDEX($Q$20:$AS$25,6,START!$C$2)</f>
        <v>0</v>
      </c>
      <c r="D22" s="258"/>
      <c r="E22" s="258"/>
      <c r="F22" s="258"/>
      <c r="G22" s="258"/>
      <c r="H22" s="258"/>
      <c r="I22" s="259"/>
      <c r="J22" s="124"/>
      <c r="O22" s="131" t="s">
        <v>190</v>
      </c>
      <c r="P22" s="445" t="str">
        <f t="shared" si="33"/>
        <v/>
      </c>
      <c r="Q22" s="123">
        <f>IF(Q$6=0,"",P12/Q$6)</f>
        <v>0</v>
      </c>
      <c r="R22" s="123">
        <f t="shared" ref="R22:AF22" si="35">IF(R$6=0,"",R12/R$6)</f>
        <v>0</v>
      </c>
      <c r="S22" s="123">
        <f t="shared" si="35"/>
        <v>0</v>
      </c>
      <c r="T22" s="123">
        <f t="shared" si="35"/>
        <v>0</v>
      </c>
      <c r="U22" s="123">
        <f t="shared" si="35"/>
        <v>0</v>
      </c>
      <c r="V22" s="123">
        <f t="shared" si="35"/>
        <v>0</v>
      </c>
      <c r="W22" s="123">
        <f t="shared" si="35"/>
        <v>0</v>
      </c>
      <c r="X22" s="123">
        <f t="shared" si="35"/>
        <v>0</v>
      </c>
      <c r="Y22" s="123">
        <f t="shared" si="35"/>
        <v>0</v>
      </c>
      <c r="Z22" s="123">
        <f t="shared" si="35"/>
        <v>0</v>
      </c>
      <c r="AA22" s="123">
        <f t="shared" si="35"/>
        <v>0</v>
      </c>
      <c r="AB22" s="123">
        <f t="shared" si="35"/>
        <v>0</v>
      </c>
      <c r="AC22" s="123">
        <f t="shared" si="35"/>
        <v>0</v>
      </c>
      <c r="AD22" s="123">
        <f t="shared" si="35"/>
        <v>0</v>
      </c>
      <c r="AE22" s="123">
        <f t="shared" si="35"/>
        <v>0</v>
      </c>
      <c r="AF22" s="123">
        <f t="shared" si="35"/>
        <v>0</v>
      </c>
      <c r="AG22" s="123">
        <f t="shared" si="34"/>
        <v>0</v>
      </c>
      <c r="AH22" s="123">
        <f t="shared" si="34"/>
        <v>0</v>
      </c>
      <c r="AI22" s="123">
        <f t="shared" si="34"/>
        <v>0</v>
      </c>
      <c r="AJ22" s="123">
        <f t="shared" si="34"/>
        <v>0</v>
      </c>
      <c r="AK22" s="123">
        <f t="shared" si="34"/>
        <v>0</v>
      </c>
      <c r="AL22" s="123">
        <f t="shared" si="34"/>
        <v>0</v>
      </c>
      <c r="AM22" s="123">
        <f t="shared" si="34"/>
        <v>0</v>
      </c>
      <c r="AN22" s="123">
        <f t="shared" si="34"/>
        <v>0</v>
      </c>
      <c r="AO22" s="123">
        <f t="shared" si="34"/>
        <v>0</v>
      </c>
      <c r="AP22" s="123">
        <f t="shared" si="34"/>
        <v>0</v>
      </c>
      <c r="AQ22" s="123">
        <f t="shared" si="34"/>
        <v>0</v>
      </c>
      <c r="AR22" s="123">
        <f t="shared" si="34"/>
        <v>0</v>
      </c>
      <c r="AS22" s="123">
        <f t="shared" si="34"/>
        <v>0</v>
      </c>
    </row>
    <row r="23" spans="1:48" ht="20.100000000000001" customHeight="1">
      <c r="A23" s="265"/>
      <c r="B23" s="900" t="s">
        <v>268</v>
      </c>
      <c r="C23" s="264">
        <f>SUM(C17:C22)</f>
        <v>0</v>
      </c>
      <c r="D23" s="258"/>
      <c r="E23" s="258"/>
      <c r="F23" s="258"/>
      <c r="G23" s="258"/>
      <c r="H23" s="258"/>
      <c r="I23" s="259"/>
      <c r="J23" s="124"/>
      <c r="O23" s="131" t="s">
        <v>191</v>
      </c>
      <c r="P23" s="445" t="str">
        <f t="shared" si="33"/>
        <v/>
      </c>
      <c r="Q23" s="123">
        <f>IF(Q$6=0,"",P13/Q$6)</f>
        <v>0</v>
      </c>
      <c r="R23" s="123">
        <f t="shared" si="34"/>
        <v>0</v>
      </c>
      <c r="S23" s="123">
        <f t="shared" si="34"/>
        <v>0</v>
      </c>
      <c r="T23" s="123">
        <f t="shared" si="34"/>
        <v>0</v>
      </c>
      <c r="U23" s="123">
        <f t="shared" si="34"/>
        <v>0</v>
      </c>
      <c r="V23" s="123">
        <f t="shared" si="34"/>
        <v>0</v>
      </c>
      <c r="W23" s="123">
        <f t="shared" si="34"/>
        <v>0</v>
      </c>
      <c r="X23" s="123">
        <f t="shared" si="34"/>
        <v>0</v>
      </c>
      <c r="Y23" s="123">
        <f t="shared" si="34"/>
        <v>0</v>
      </c>
      <c r="Z23" s="123">
        <f t="shared" si="34"/>
        <v>0</v>
      </c>
      <c r="AA23" s="123">
        <f t="shared" si="34"/>
        <v>0</v>
      </c>
      <c r="AB23" s="123">
        <f t="shared" si="34"/>
        <v>0</v>
      </c>
      <c r="AC23" s="123">
        <f t="shared" si="34"/>
        <v>0</v>
      </c>
      <c r="AD23" s="123">
        <f t="shared" si="34"/>
        <v>0</v>
      </c>
      <c r="AE23" s="123">
        <f t="shared" si="34"/>
        <v>0</v>
      </c>
      <c r="AF23" s="123">
        <f t="shared" si="34"/>
        <v>0</v>
      </c>
      <c r="AG23" s="123">
        <f t="shared" si="34"/>
        <v>0</v>
      </c>
      <c r="AH23" s="123">
        <f t="shared" si="34"/>
        <v>0</v>
      </c>
      <c r="AI23" s="123">
        <f t="shared" si="34"/>
        <v>0</v>
      </c>
      <c r="AJ23" s="123">
        <f t="shared" si="34"/>
        <v>0</v>
      </c>
      <c r="AK23" s="123">
        <f t="shared" si="34"/>
        <v>0</v>
      </c>
      <c r="AL23" s="123">
        <f t="shared" si="34"/>
        <v>0</v>
      </c>
      <c r="AM23" s="123">
        <f t="shared" si="34"/>
        <v>0</v>
      </c>
      <c r="AN23" s="123">
        <f t="shared" si="34"/>
        <v>0</v>
      </c>
      <c r="AO23" s="123">
        <f t="shared" si="34"/>
        <v>0</v>
      </c>
      <c r="AP23" s="123">
        <f t="shared" si="34"/>
        <v>0</v>
      </c>
      <c r="AQ23" s="123">
        <f t="shared" si="34"/>
        <v>0</v>
      </c>
      <c r="AR23" s="123">
        <f t="shared" si="34"/>
        <v>0</v>
      </c>
      <c r="AS23" s="123">
        <f t="shared" si="34"/>
        <v>0</v>
      </c>
    </row>
    <row r="24" spans="1:48" ht="20.100000000000001" customHeight="1">
      <c r="A24" s="265"/>
      <c r="B24" s="258"/>
      <c r="C24" s="258"/>
      <c r="D24" s="258"/>
      <c r="E24" s="258"/>
      <c r="F24" s="258"/>
      <c r="G24" s="258"/>
      <c r="H24" s="258"/>
      <c r="I24" s="259"/>
      <c r="J24" s="124"/>
      <c r="O24" s="131" t="s">
        <v>188</v>
      </c>
      <c r="P24" s="445" t="str">
        <f t="shared" si="33"/>
        <v/>
      </c>
      <c r="Q24" s="123">
        <f>IF(Q$6=0,"",P14/Q$6)</f>
        <v>0</v>
      </c>
      <c r="R24" s="123">
        <f t="shared" si="34"/>
        <v>0</v>
      </c>
      <c r="S24" s="123">
        <f t="shared" si="34"/>
        <v>0</v>
      </c>
      <c r="T24" s="123">
        <f t="shared" si="34"/>
        <v>0</v>
      </c>
      <c r="U24" s="123">
        <f t="shared" si="34"/>
        <v>0</v>
      </c>
      <c r="V24" s="123">
        <f t="shared" si="34"/>
        <v>0</v>
      </c>
      <c r="W24" s="123">
        <f t="shared" si="34"/>
        <v>0</v>
      </c>
      <c r="X24" s="123">
        <f t="shared" si="34"/>
        <v>0</v>
      </c>
      <c r="Y24" s="123">
        <f t="shared" si="34"/>
        <v>0</v>
      </c>
      <c r="Z24" s="123">
        <f t="shared" si="34"/>
        <v>0</v>
      </c>
      <c r="AA24" s="123">
        <f t="shared" si="34"/>
        <v>0</v>
      </c>
      <c r="AB24" s="123">
        <f t="shared" si="34"/>
        <v>0</v>
      </c>
      <c r="AC24" s="123">
        <f t="shared" si="34"/>
        <v>0</v>
      </c>
      <c r="AD24" s="123">
        <f t="shared" si="34"/>
        <v>0</v>
      </c>
      <c r="AE24" s="123">
        <f t="shared" si="34"/>
        <v>0</v>
      </c>
      <c r="AF24" s="123">
        <f t="shared" si="34"/>
        <v>0</v>
      </c>
      <c r="AG24" s="123">
        <f t="shared" si="34"/>
        <v>0</v>
      </c>
      <c r="AH24" s="123">
        <f t="shared" si="34"/>
        <v>0</v>
      </c>
      <c r="AI24" s="123">
        <f t="shared" si="34"/>
        <v>0</v>
      </c>
      <c r="AJ24" s="123">
        <f t="shared" si="34"/>
        <v>0</v>
      </c>
      <c r="AK24" s="123">
        <f t="shared" si="34"/>
        <v>0</v>
      </c>
      <c r="AL24" s="123">
        <f t="shared" si="34"/>
        <v>0</v>
      </c>
      <c r="AM24" s="123">
        <f t="shared" si="34"/>
        <v>0</v>
      </c>
      <c r="AN24" s="123">
        <f t="shared" si="34"/>
        <v>0</v>
      </c>
      <c r="AO24" s="123">
        <f t="shared" si="34"/>
        <v>0</v>
      </c>
      <c r="AP24" s="123">
        <f t="shared" si="34"/>
        <v>0</v>
      </c>
      <c r="AQ24" s="123">
        <f t="shared" si="34"/>
        <v>0</v>
      </c>
      <c r="AR24" s="123">
        <f t="shared" si="34"/>
        <v>0</v>
      </c>
      <c r="AS24" s="123">
        <f t="shared" si="34"/>
        <v>0</v>
      </c>
    </row>
    <row r="25" spans="1:48" ht="20.100000000000001" customHeight="1">
      <c r="A25" s="265"/>
      <c r="B25" s="258"/>
      <c r="C25" s="258"/>
      <c r="D25" s="258"/>
      <c r="E25" s="258"/>
      <c r="F25" s="258"/>
      <c r="G25" s="258"/>
      <c r="H25" s="258"/>
      <c r="I25" s="259"/>
      <c r="J25" s="124"/>
      <c r="O25" s="131" t="s">
        <v>192</v>
      </c>
      <c r="P25" s="445" t="str">
        <f t="shared" si="33"/>
        <v/>
      </c>
      <c r="Q25" s="123">
        <f>IF(Q$6=0,"",P15/Q$6)</f>
        <v>0</v>
      </c>
      <c r="R25" s="123">
        <f t="shared" si="34"/>
        <v>0</v>
      </c>
      <c r="S25" s="123">
        <f t="shared" si="34"/>
        <v>0</v>
      </c>
      <c r="T25" s="123">
        <f t="shared" si="34"/>
        <v>0</v>
      </c>
      <c r="U25" s="123">
        <f t="shared" si="34"/>
        <v>0</v>
      </c>
      <c r="V25" s="123">
        <f t="shared" si="34"/>
        <v>0</v>
      </c>
      <c r="W25" s="123">
        <f t="shared" si="34"/>
        <v>0</v>
      </c>
      <c r="X25" s="123">
        <f t="shared" si="34"/>
        <v>0</v>
      </c>
      <c r="Y25" s="123">
        <f t="shared" si="34"/>
        <v>0</v>
      </c>
      <c r="Z25" s="123">
        <f t="shared" si="34"/>
        <v>0</v>
      </c>
      <c r="AA25" s="123">
        <f t="shared" si="34"/>
        <v>0</v>
      </c>
      <c r="AB25" s="123">
        <f t="shared" si="34"/>
        <v>0</v>
      </c>
      <c r="AC25" s="123">
        <f t="shared" si="34"/>
        <v>0</v>
      </c>
      <c r="AD25" s="123">
        <f t="shared" si="34"/>
        <v>0</v>
      </c>
      <c r="AE25" s="123">
        <f t="shared" si="34"/>
        <v>0</v>
      </c>
      <c r="AF25" s="123">
        <f t="shared" si="34"/>
        <v>0</v>
      </c>
      <c r="AG25" s="123">
        <f t="shared" si="34"/>
        <v>0</v>
      </c>
      <c r="AH25" s="123">
        <f t="shared" si="34"/>
        <v>0</v>
      </c>
      <c r="AI25" s="123">
        <f t="shared" si="34"/>
        <v>0</v>
      </c>
      <c r="AJ25" s="123">
        <f t="shared" si="34"/>
        <v>0</v>
      </c>
      <c r="AK25" s="123">
        <f t="shared" si="34"/>
        <v>0</v>
      </c>
      <c r="AL25" s="123">
        <f t="shared" si="34"/>
        <v>0</v>
      </c>
      <c r="AM25" s="123">
        <f t="shared" si="34"/>
        <v>0</v>
      </c>
      <c r="AN25" s="123">
        <f t="shared" si="34"/>
        <v>0</v>
      </c>
      <c r="AO25" s="123">
        <f t="shared" si="34"/>
        <v>0</v>
      </c>
      <c r="AP25" s="123">
        <f t="shared" si="34"/>
        <v>0</v>
      </c>
      <c r="AQ25" s="123">
        <f t="shared" si="34"/>
        <v>0</v>
      </c>
      <c r="AR25" s="123">
        <f t="shared" si="34"/>
        <v>0</v>
      </c>
      <c r="AS25" s="123">
        <f t="shared" si="34"/>
        <v>0</v>
      </c>
    </row>
    <row r="26" spans="1:48" ht="20.100000000000001" customHeight="1">
      <c r="A26" s="265"/>
      <c r="B26" s="258"/>
      <c r="C26" s="258"/>
      <c r="D26" s="258"/>
      <c r="E26" s="258"/>
      <c r="F26" s="258"/>
      <c r="G26" s="258"/>
      <c r="H26" s="258"/>
      <c r="I26" s="259"/>
      <c r="J26" s="124"/>
      <c r="O26" s="131" t="s">
        <v>211</v>
      </c>
      <c r="P26" s="123">
        <f>SUM(P20:P25)</f>
        <v>0</v>
      </c>
      <c r="Q26" s="123">
        <f>SUM(Q20:Q25)</f>
        <v>0</v>
      </c>
      <c r="R26" s="123">
        <f t="shared" ref="R26:AS26" si="36">SUM(R20:R25)</f>
        <v>0</v>
      </c>
      <c r="S26" s="123">
        <f t="shared" si="36"/>
        <v>0</v>
      </c>
      <c r="T26" s="123">
        <f t="shared" si="36"/>
        <v>0</v>
      </c>
      <c r="U26" s="123">
        <f t="shared" si="36"/>
        <v>0</v>
      </c>
      <c r="V26" s="123">
        <f t="shared" si="36"/>
        <v>0</v>
      </c>
      <c r="W26" s="123">
        <f t="shared" si="36"/>
        <v>0</v>
      </c>
      <c r="X26" s="123">
        <f t="shared" si="36"/>
        <v>0</v>
      </c>
      <c r="Y26" s="123">
        <f t="shared" si="36"/>
        <v>0</v>
      </c>
      <c r="Z26" s="123">
        <f t="shared" si="36"/>
        <v>0</v>
      </c>
      <c r="AA26" s="123">
        <f t="shared" si="36"/>
        <v>0</v>
      </c>
      <c r="AB26" s="123">
        <f t="shared" si="36"/>
        <v>0</v>
      </c>
      <c r="AC26" s="123">
        <f t="shared" si="36"/>
        <v>0</v>
      </c>
      <c r="AD26" s="123">
        <f t="shared" si="36"/>
        <v>0</v>
      </c>
      <c r="AE26" s="123">
        <f t="shared" si="36"/>
        <v>0</v>
      </c>
      <c r="AF26" s="123">
        <f t="shared" si="36"/>
        <v>0</v>
      </c>
      <c r="AG26" s="123">
        <f t="shared" si="36"/>
        <v>0</v>
      </c>
      <c r="AH26" s="123">
        <f t="shared" si="36"/>
        <v>0</v>
      </c>
      <c r="AI26" s="123">
        <f t="shared" si="36"/>
        <v>0</v>
      </c>
      <c r="AJ26" s="123">
        <f t="shared" si="36"/>
        <v>0</v>
      </c>
      <c r="AK26" s="123">
        <f t="shared" si="36"/>
        <v>0</v>
      </c>
      <c r="AL26" s="123">
        <f t="shared" si="36"/>
        <v>0</v>
      </c>
      <c r="AM26" s="123">
        <f t="shared" si="36"/>
        <v>0</v>
      </c>
      <c r="AN26" s="123">
        <f t="shared" si="36"/>
        <v>0</v>
      </c>
      <c r="AO26" s="123">
        <f t="shared" si="36"/>
        <v>0</v>
      </c>
      <c r="AP26" s="123">
        <f t="shared" si="36"/>
        <v>0</v>
      </c>
      <c r="AQ26" s="123">
        <f t="shared" si="36"/>
        <v>0</v>
      </c>
      <c r="AR26" s="123">
        <f t="shared" si="36"/>
        <v>0</v>
      </c>
      <c r="AS26" s="123">
        <f t="shared" si="36"/>
        <v>0</v>
      </c>
    </row>
    <row r="27" spans="1:48" ht="20.100000000000001" customHeight="1">
      <c r="A27" s="265"/>
      <c r="B27" s="258"/>
      <c r="C27" s="258"/>
      <c r="D27" s="258"/>
      <c r="E27" s="258"/>
      <c r="F27" s="258"/>
      <c r="G27" s="258"/>
      <c r="H27" s="258"/>
      <c r="I27" s="259"/>
      <c r="J27" s="124"/>
    </row>
    <row r="28" spans="1:48" ht="20.100000000000001" customHeight="1">
      <c r="A28" s="265"/>
      <c r="B28" s="258"/>
      <c r="C28" s="258"/>
      <c r="D28" s="258"/>
      <c r="E28" s="258"/>
      <c r="F28" s="258"/>
      <c r="G28" s="258"/>
      <c r="H28" s="258"/>
      <c r="I28" s="259"/>
      <c r="J28" s="124"/>
    </row>
    <row r="29" spans="1:48" ht="20.100000000000001" customHeight="1">
      <c r="A29" s="265"/>
      <c r="B29" s="258"/>
      <c r="C29" s="258"/>
      <c r="D29" s="258"/>
      <c r="E29" s="258"/>
      <c r="F29" s="258"/>
      <c r="G29" s="258"/>
      <c r="H29" s="258"/>
      <c r="I29" s="259"/>
      <c r="J29" s="124"/>
    </row>
    <row r="30" spans="1:48" ht="20.100000000000001" customHeight="1" thickBot="1">
      <c r="A30" s="265"/>
      <c r="B30" s="258"/>
      <c r="C30" s="258"/>
      <c r="D30" s="258"/>
      <c r="E30" s="258"/>
      <c r="F30" s="258"/>
      <c r="G30" s="258"/>
      <c r="H30" s="258"/>
      <c r="I30" s="259"/>
      <c r="J30" s="124"/>
    </row>
    <row r="31" spans="1:48" ht="20.100000000000001" customHeight="1">
      <c r="A31" s="265"/>
      <c r="B31" s="258"/>
      <c r="C31" s="258"/>
      <c r="D31" s="258"/>
      <c r="E31" s="258"/>
      <c r="F31" s="258"/>
      <c r="G31" s="258"/>
      <c r="H31" s="258"/>
      <c r="I31" s="259"/>
      <c r="J31" s="124"/>
      <c r="AV31" s="1124" t="s">
        <v>3040</v>
      </c>
    </row>
    <row r="32" spans="1:48" ht="20.100000000000001" customHeight="1" thickBot="1">
      <c r="A32" s="265"/>
      <c r="B32" s="258"/>
      <c r="C32" s="258"/>
      <c r="D32" s="258"/>
      <c r="E32" s="258"/>
      <c r="F32" s="258"/>
      <c r="G32" s="258"/>
      <c r="H32" s="258"/>
      <c r="I32" s="259"/>
      <c r="J32" s="124"/>
      <c r="K32" s="251" t="s">
        <v>270</v>
      </c>
      <c r="AV32" s="1125" t="s">
        <v>3041</v>
      </c>
    </row>
    <row r="33" spans="1:77" ht="20.100000000000001" customHeight="1" thickBot="1">
      <c r="A33" s="265"/>
      <c r="B33" s="258"/>
      <c r="C33" s="258"/>
      <c r="D33" s="258"/>
      <c r="E33" s="258"/>
      <c r="F33" s="258"/>
      <c r="G33" s="258"/>
      <c r="H33" s="258"/>
      <c r="I33" s="259"/>
      <c r="J33" s="124"/>
      <c r="K33" s="1520" t="s">
        <v>597</v>
      </c>
      <c r="L33" s="1455" t="s">
        <v>598</v>
      </c>
      <c r="M33" s="1456"/>
      <c r="N33" s="1522" t="s">
        <v>602</v>
      </c>
      <c r="O33" s="1524" t="s">
        <v>269</v>
      </c>
      <c r="P33" s="1533" t="s">
        <v>599</v>
      </c>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7"/>
      <c r="AV33" s="1126" t="s">
        <v>3042</v>
      </c>
    </row>
    <row r="34" spans="1:77" ht="20.100000000000001" customHeight="1" thickBot="1">
      <c r="A34" s="265"/>
      <c r="B34" s="258"/>
      <c r="C34" s="258"/>
      <c r="D34" s="258"/>
      <c r="E34" s="258"/>
      <c r="F34" s="258"/>
      <c r="G34" s="258"/>
      <c r="H34" s="258"/>
      <c r="I34" s="259"/>
      <c r="J34" s="124"/>
      <c r="K34" s="1521"/>
      <c r="L34" s="155" t="s">
        <v>535</v>
      </c>
      <c r="M34" s="155" t="s">
        <v>536</v>
      </c>
      <c r="N34" s="1523"/>
      <c r="O34" s="1525"/>
      <c r="P34" s="1534"/>
      <c r="Q34" s="267">
        <v>1</v>
      </c>
      <c r="R34" s="268">
        <f t="shared" ref="R34:AT34" si="37">Q34+1</f>
        <v>2</v>
      </c>
      <c r="S34" s="268">
        <f t="shared" si="37"/>
        <v>3</v>
      </c>
      <c r="T34" s="268">
        <f t="shared" si="37"/>
        <v>4</v>
      </c>
      <c r="U34" s="268">
        <f t="shared" si="37"/>
        <v>5</v>
      </c>
      <c r="V34" s="268">
        <f t="shared" si="37"/>
        <v>6</v>
      </c>
      <c r="W34" s="268">
        <f t="shared" si="37"/>
        <v>7</v>
      </c>
      <c r="X34" s="268">
        <f t="shared" si="37"/>
        <v>8</v>
      </c>
      <c r="Y34" s="268">
        <f t="shared" si="37"/>
        <v>9</v>
      </c>
      <c r="Z34" s="268">
        <f t="shared" si="37"/>
        <v>10</v>
      </c>
      <c r="AA34" s="268">
        <f t="shared" si="37"/>
        <v>11</v>
      </c>
      <c r="AB34" s="268">
        <f t="shared" si="37"/>
        <v>12</v>
      </c>
      <c r="AC34" s="268">
        <f t="shared" si="37"/>
        <v>13</v>
      </c>
      <c r="AD34" s="268">
        <f t="shared" si="37"/>
        <v>14</v>
      </c>
      <c r="AE34" s="268">
        <f t="shared" si="37"/>
        <v>15</v>
      </c>
      <c r="AF34" s="268">
        <f t="shared" si="37"/>
        <v>16</v>
      </c>
      <c r="AG34" s="268">
        <f t="shared" si="37"/>
        <v>17</v>
      </c>
      <c r="AH34" s="268">
        <f t="shared" si="37"/>
        <v>18</v>
      </c>
      <c r="AI34" s="268">
        <f t="shared" si="37"/>
        <v>19</v>
      </c>
      <c r="AJ34" s="268">
        <f t="shared" si="37"/>
        <v>20</v>
      </c>
      <c r="AK34" s="268">
        <f t="shared" si="37"/>
        <v>21</v>
      </c>
      <c r="AL34" s="268">
        <f t="shared" si="37"/>
        <v>22</v>
      </c>
      <c r="AM34" s="268">
        <f t="shared" si="37"/>
        <v>23</v>
      </c>
      <c r="AN34" s="268">
        <f t="shared" si="37"/>
        <v>24</v>
      </c>
      <c r="AO34" s="268">
        <f t="shared" si="37"/>
        <v>25</v>
      </c>
      <c r="AP34" s="268">
        <f t="shared" si="37"/>
        <v>26</v>
      </c>
      <c r="AQ34" s="268">
        <f t="shared" si="37"/>
        <v>27</v>
      </c>
      <c r="AR34" s="269">
        <f t="shared" si="37"/>
        <v>28</v>
      </c>
      <c r="AS34" s="268">
        <f t="shared" si="37"/>
        <v>29</v>
      </c>
      <c r="AT34" s="270">
        <f t="shared" si="37"/>
        <v>30</v>
      </c>
      <c r="AV34" s="606">
        <v>1</v>
      </c>
      <c r="AW34" s="606">
        <v>2</v>
      </c>
      <c r="AX34" s="606">
        <v>3</v>
      </c>
      <c r="AY34" s="606">
        <v>4</v>
      </c>
      <c r="AZ34" s="606">
        <v>5</v>
      </c>
      <c r="BA34" s="606">
        <v>6</v>
      </c>
      <c r="BB34" s="606">
        <v>7</v>
      </c>
      <c r="BC34" s="606">
        <v>8</v>
      </c>
      <c r="BD34" s="606">
        <v>9</v>
      </c>
      <c r="BE34" s="606">
        <v>10</v>
      </c>
      <c r="BF34" s="606">
        <v>11</v>
      </c>
      <c r="BG34" s="606">
        <v>12</v>
      </c>
      <c r="BH34" s="606">
        <v>13</v>
      </c>
      <c r="BI34" s="606">
        <v>14</v>
      </c>
      <c r="BJ34" s="606">
        <v>15</v>
      </c>
      <c r="BK34" s="606">
        <v>16</v>
      </c>
      <c r="BL34" s="606">
        <v>17</v>
      </c>
      <c r="BM34" s="606">
        <v>18</v>
      </c>
      <c r="BN34" s="606">
        <v>19</v>
      </c>
      <c r="BO34" s="606">
        <v>20</v>
      </c>
      <c r="BP34" s="606">
        <v>21</v>
      </c>
      <c r="BQ34" s="606">
        <v>22</v>
      </c>
      <c r="BR34" s="606">
        <v>23</v>
      </c>
      <c r="BS34" s="606">
        <v>24</v>
      </c>
      <c r="BT34" s="606">
        <v>25</v>
      </c>
      <c r="BU34" s="606">
        <v>26</v>
      </c>
      <c r="BV34" s="606">
        <v>27</v>
      </c>
      <c r="BW34" s="606">
        <v>28</v>
      </c>
      <c r="BX34" s="606">
        <v>29</v>
      </c>
      <c r="BY34" s="606">
        <v>30</v>
      </c>
    </row>
    <row r="35" spans="1:77" ht="20.100000000000001" customHeight="1">
      <c r="A35" s="265"/>
      <c r="B35" s="258"/>
      <c r="C35" s="258"/>
      <c r="D35" s="258"/>
      <c r="E35" s="258"/>
      <c r="F35" s="258"/>
      <c r="G35" s="258"/>
      <c r="H35" s="258"/>
      <c r="I35" s="259"/>
      <c r="J35" s="124"/>
      <c r="K35" s="306">
        <f t="shared" ref="K35:K64" si="38">E47</f>
        <v>0</v>
      </c>
      <c r="L35" s="210">
        <f t="shared" ref="L35:L64" si="39">F47</f>
        <v>0</v>
      </c>
      <c r="M35" s="210">
        <f t="shared" ref="M35:M64" si="40">G47</f>
        <v>0</v>
      </c>
      <c r="N35" s="152">
        <v>1</v>
      </c>
      <c r="O35" s="307" t="s">
        <v>493</v>
      </c>
      <c r="P35" s="308">
        <f t="shared" ref="P35:P64" si="41">2021+H47</f>
        <v>2028</v>
      </c>
      <c r="Q35" s="205">
        <f>($K35*INDEX('DEFAULT DATA'!$NV$9:$WC$41,START!$C$3,($N35))*-44/12)+($K35*INDEX('DEFAULT DATA'!$NV$9:$WC$41,START!$C$3,($N35+1))*-44/12)+($K35*INDEX('DEFAULT DATA'!$NV$9:$WC$41,START!$C$3,($N35+2))*-44/12)+($K35*INDEX('DEFAULT DATA'!$NV$9:$WC$41,START!$C$3,($N35+3))*-44/12)+($L35*INDEX('DEFAULT DATA'!$NV$9:$WC$41,START!$C$3,($N35+4))*-44/12)+($M35*INDEX('DEFAULT DATA'!$NV$9:$WC$41,START!$C$3,($N35+5))*-44/12)</f>
        <v>0</v>
      </c>
      <c r="R35" s="205">
        <f>($K35*INDEX('DEFAULT DATA'!$NV$9:$WC$41,START!$C$3,($N35))*-44/12)+($K35*INDEX('DEFAULT DATA'!$NV$9:$WC$41,START!$C$3,($N35+1))*-44/12)+($K35*INDEX('DEFAULT DATA'!$NV$9:$WC$41,START!$C$3,($N35+2))*-44/12)+($K35*INDEX('DEFAULT DATA'!$NV$9:$WC$41,START!$C$3,($N35+3))*-44/12)+($L35*INDEX('DEFAULT DATA'!$NV$9:$WC$41,START!$C$3,($N35+4))*-44/12)+($M35*INDEX('DEFAULT DATA'!$NV$9:$WC$41,START!$C$3,($N35+5))*-44/12)</f>
        <v>0</v>
      </c>
      <c r="S35" s="205">
        <f>($K35*INDEX('DEFAULT DATA'!$NV$9:$WC$41,START!$C$3,($N35))*-44/12)+($K35*INDEX('DEFAULT DATA'!$NV$9:$WC$41,START!$C$3,($N35+1))*-44/12)+($K35*INDEX('DEFAULT DATA'!$NV$9:$WC$41,START!$C$3,($N35+2))*-44/12)+($K35*INDEX('DEFAULT DATA'!$NV$9:$WC$41,START!$C$3,($N35+3))*-44/12)+($L35*INDEX('DEFAULT DATA'!$NV$9:$WC$41,START!$C$3,($N35+4))*-44/12)+($M35*INDEX('DEFAULT DATA'!$NV$9:$WC$41,START!$C$3,($N35+5))*-44/12)</f>
        <v>0</v>
      </c>
      <c r="T35" s="205">
        <f>($K35*INDEX('DEFAULT DATA'!$NV$9:$WC$41,START!$C$3,($N35))*-44/12)+($K35*INDEX('DEFAULT DATA'!$NV$9:$WC$41,START!$C$3,($N35+1))*-44/12)+($K35*INDEX('DEFAULT DATA'!$NV$9:$WC$41,START!$C$3,($N35+2))*-44/12)+($K35*INDEX('DEFAULT DATA'!$NV$9:$WC$41,START!$C$3,($N35+3))*-44/12)+($L35*INDEX('DEFAULT DATA'!$NV$9:$WC$41,START!$C$3,($N35+4))*-44/12)+($M35*INDEX('DEFAULT DATA'!$NV$9:$WC$41,START!$C$3,($N35+5))*-44/12)</f>
        <v>0</v>
      </c>
      <c r="U35" s="205">
        <f>($K35*INDEX('DEFAULT DATA'!$NV$9:$WC$41,START!$C$3,($N35))*-44/12)+($K35*INDEX('DEFAULT DATA'!$NV$9:$WC$41,START!$C$3,($N35+1))*-44/12)+($K35*INDEX('DEFAULT DATA'!$NV$9:$WC$41,START!$C$3,($N35+2))*-44/12)+($K35*INDEX('DEFAULT DATA'!$NV$9:$WC$41,START!$C$3,($N35+3))*-44/12)+($L35*INDEX('DEFAULT DATA'!$NV$9:$WC$41,START!$C$3,($N35+4))*-44/12)+($M35*INDEX('DEFAULT DATA'!$NV$9:$WC$41,START!$C$3,($N35+5))*-44/12)</f>
        <v>0</v>
      </c>
      <c r="V35" s="205">
        <f>($K35*INDEX('DEFAULT DATA'!$NV$9:$WC$41,START!$C$3,($N35))*-44/12)+($K35*INDEX('DEFAULT DATA'!$NV$9:$WC$41,START!$C$3,($N35+1))*-44/12)+($K35*INDEX('DEFAULT DATA'!$NV$9:$WC$41,START!$C$3,($N35+2))*-44/12)+($K35*INDEX('DEFAULT DATA'!$NV$9:$WC$41,START!$C$3,($N35+3))*-44/12)+($L35*INDEX('DEFAULT DATA'!$NV$9:$WC$41,START!$C$3,($N35+4))*-44/12)+($M35*INDEX('DEFAULT DATA'!$NV$9:$WC$41,START!$C$3,($N35+5))*-44/12)</f>
        <v>0</v>
      </c>
      <c r="W35" s="205">
        <f>($K35*INDEX('DEFAULT DATA'!$NV$9:$WC$41,START!$C$3,($N35))*-44/12)+($K35*INDEX('DEFAULT DATA'!$NV$9:$WC$41,START!$C$3,($N35+1))*-44/12)+($K35*INDEX('DEFAULT DATA'!$NV$9:$WC$41,START!$C$3,($N35+2))*-44/12)+($K35*INDEX('DEFAULT DATA'!$NV$9:$WC$41,START!$C$3,($N35+3))*-44/12)+($L35*INDEX('DEFAULT DATA'!$NV$9:$WC$41,START!$C$3,($N35+4))*-44/12)+($M35*INDEX('DEFAULT DATA'!$NV$9:$WC$41,START!$C$3,($N35+5))*-44/12)</f>
        <v>0</v>
      </c>
      <c r="X35" s="205">
        <f>($K35*INDEX('DEFAULT DATA'!$NV$9:$WC$41,START!$C$3,($N35))*-44/12)+($K35*INDEX('DEFAULT DATA'!$NV$9:$WC$41,START!$C$3,($N35+1))*-44/12)+($K35*INDEX('DEFAULT DATA'!$NV$9:$WC$41,START!$C$3,($N35+2))*-44/12)+($K35*INDEX('DEFAULT DATA'!$NV$9:$WC$41,START!$C$3,($N35+3))*-44/12)+($L35*INDEX('DEFAULT DATA'!$NV$9:$WC$41,START!$C$3,($N35+4))*-44/12)+($M35*INDEX('DEFAULT DATA'!$NV$9:$WC$41,START!$C$3,($N35+5))*-44/12)</f>
        <v>0</v>
      </c>
      <c r="Y35" s="205">
        <f>($K35*INDEX('DEFAULT DATA'!$NV$9:$WC$41,START!$C$3,($N35))*-44/12)+($K35*INDEX('DEFAULT DATA'!$NV$9:$WC$41,START!$C$3,($N35+1))*-44/12)+($K35*INDEX('DEFAULT DATA'!$NV$9:$WC$41,START!$C$3,($N35+2))*-44/12)+($K35*INDEX('DEFAULT DATA'!$NV$9:$WC$41,START!$C$3,($N35+3))*-44/12)+($L35*INDEX('DEFAULT DATA'!$NV$9:$WC$41,START!$C$3,($N35+4))*-44/12)+($M35*INDEX('DEFAULT DATA'!$NV$9:$WC$41,START!$C$3,($N35+5))*-44/12)</f>
        <v>0</v>
      </c>
      <c r="Z35" s="205">
        <f>($K35*INDEX('DEFAULT DATA'!$NV$9:$WC$41,START!$C$3,($N35))*-44/12)+($K35*INDEX('DEFAULT DATA'!$NV$9:$WC$41,START!$C$3,($N35+1))*-44/12)+($K35*INDEX('DEFAULT DATA'!$NV$9:$WC$41,START!$C$3,($N35+2))*-44/12)+($K35*INDEX('DEFAULT DATA'!$NV$9:$WC$41,START!$C$3,($N35+3))*-44/12)+($L35*INDEX('DEFAULT DATA'!$NV$9:$WC$41,START!$C$3,($N35+4))*-44/12)+($M35*INDEX('DEFAULT DATA'!$NV$9:$WC$41,START!$C$3,($N35+5))*-44/12)</f>
        <v>0</v>
      </c>
      <c r="AA35" s="205">
        <f>($K35*INDEX('DEFAULT DATA'!$NV$9:$WC$41,START!$C$3,($N35))*-44/12)+($K35*INDEX('DEFAULT DATA'!$NV$9:$WC$41,START!$C$3,($N35+1))*-44/12)+($K35*INDEX('DEFAULT DATA'!$NV$9:$WC$41,START!$C$3,($N35+2))*-44/12)+($K35*INDEX('DEFAULT DATA'!$NV$9:$WC$41,START!$C$3,($N35+3))*-44/12)+($L35*INDEX('DEFAULT DATA'!$NV$9:$WC$41,START!$C$3,($N35+4))*-44/12)+($M35*INDEX('DEFAULT DATA'!$NV$9:$WC$41,START!$C$3,($N35+5))*-44/12)</f>
        <v>0</v>
      </c>
      <c r="AB35" s="205">
        <f>($K35*INDEX('DEFAULT DATA'!$NV$9:$WC$41,START!$C$3,($N35))*-44/12)+($K35*INDEX('DEFAULT DATA'!$NV$9:$WC$41,START!$C$3,($N35+1))*-44/12)+($K35*INDEX('DEFAULT DATA'!$NV$9:$WC$41,START!$C$3,($N35+2))*-44/12)+($K35*INDEX('DEFAULT DATA'!$NV$9:$WC$41,START!$C$3,($N35+3))*-44/12)+($L35*INDEX('DEFAULT DATA'!$NV$9:$WC$41,START!$C$3,($N35+4))*-44/12)+($M35*INDEX('DEFAULT DATA'!$NV$9:$WC$41,START!$C$3,($N35+5))*-44/12)</f>
        <v>0</v>
      </c>
      <c r="AC35" s="205">
        <f>($K35*INDEX('DEFAULT DATA'!$NV$9:$WC$41,START!$C$3,($N35))*-44/12)+($K35*INDEX('DEFAULT DATA'!$NV$9:$WC$41,START!$C$3,($N35+1))*-44/12)+($K35*INDEX('DEFAULT DATA'!$NV$9:$WC$41,START!$C$3,($N35+2))*-44/12)+($K35*INDEX('DEFAULT DATA'!$NV$9:$WC$41,START!$C$3,($N35+3))*-44/12)+($L35*INDEX('DEFAULT DATA'!$NV$9:$WC$41,START!$C$3,($N35+4))*-44/12)+($M35*INDEX('DEFAULT DATA'!$NV$9:$WC$41,START!$C$3,($N35+5))*-44/12)</f>
        <v>0</v>
      </c>
      <c r="AD35" s="205">
        <f>($K35*INDEX('DEFAULT DATA'!$NV$9:$WC$41,START!$C$3,($N35))*-44/12)+($K35*INDEX('DEFAULT DATA'!$NV$9:$WC$41,START!$C$3,($N35+1))*-44/12)+($K35*INDEX('DEFAULT DATA'!$NV$9:$WC$41,START!$C$3,($N35+2))*-44/12)+($K35*INDEX('DEFAULT DATA'!$NV$9:$WC$41,START!$C$3,($N35+3))*-44/12)+($L35*INDEX('DEFAULT DATA'!$NV$9:$WC$41,START!$C$3,($N35+4))*-44/12)+($M35*INDEX('DEFAULT DATA'!$NV$9:$WC$41,START!$C$3,($N35+5))*-44/12)</f>
        <v>0</v>
      </c>
      <c r="AE35" s="205">
        <f>($K35*INDEX('DEFAULT DATA'!$NV$9:$WC$41,START!$C$3,($N35))*-44/12)+($K35*INDEX('DEFAULT DATA'!$NV$9:$WC$41,START!$C$3,($N35+1))*-44/12)+($K35*INDEX('DEFAULT DATA'!$NV$9:$WC$41,START!$C$3,($N35+2))*-44/12)+($K35*INDEX('DEFAULT DATA'!$NV$9:$WC$41,START!$C$3,($N35+3))*-44/12)+($L35*INDEX('DEFAULT DATA'!$NV$9:$WC$41,START!$C$3,($N35+4))*-44/12)+($M35*INDEX('DEFAULT DATA'!$NV$9:$WC$41,START!$C$3,($N35+5))*-44/12)</f>
        <v>0</v>
      </c>
      <c r="AF35" s="205">
        <f>($K35*INDEX('DEFAULT DATA'!$NV$9:$WC$41,START!$C$3,($N35))*-44/12)+($K35*INDEX('DEFAULT DATA'!$NV$9:$WC$41,START!$C$3,($N35+1))*-44/12)+($K35*INDEX('DEFAULT DATA'!$NV$9:$WC$41,START!$C$3,($N35+2))*-44/12)+($K35*INDEX('DEFAULT DATA'!$NV$9:$WC$41,START!$C$3,($N35+3))*-44/12)+($L35*INDEX('DEFAULT DATA'!$NV$9:$WC$41,START!$C$3,($N35+4))*-44/12)+($M35*INDEX('DEFAULT DATA'!$NV$9:$WC$41,START!$C$3,($N35+5))*-44/12)</f>
        <v>0</v>
      </c>
      <c r="AG35" s="205">
        <f>($K35*INDEX('DEFAULT DATA'!$NV$9:$WC$41,START!$C$3,($N35))*-44/12)+($K35*INDEX('DEFAULT DATA'!$NV$9:$WC$41,START!$C$3,($N35+1))*-44/12)+($K35*INDEX('DEFAULT DATA'!$NV$9:$WC$41,START!$C$3,($N35+2))*-44/12)+($K35*INDEX('DEFAULT DATA'!$NV$9:$WC$41,START!$C$3,($N35+3))*-44/12)+($L35*INDEX('DEFAULT DATA'!$NV$9:$WC$41,START!$C$3,($N35+4))*-44/12)+($M35*INDEX('DEFAULT DATA'!$NV$9:$WC$41,START!$C$3,($N35+5))*-44/12)</f>
        <v>0</v>
      </c>
      <c r="AH35" s="205">
        <f>($K35*INDEX('DEFAULT DATA'!$NV$9:$WC$41,START!$C$3,($N35))*-44/12)+($K35*INDEX('DEFAULT DATA'!$NV$9:$WC$41,START!$C$3,($N35+1))*-44/12)+($K35*INDEX('DEFAULT DATA'!$NV$9:$WC$41,START!$C$3,($N35+2))*-44/12)+($K35*INDEX('DEFAULT DATA'!$NV$9:$WC$41,START!$C$3,($N35+3))*-44/12)+($L35*INDEX('DEFAULT DATA'!$NV$9:$WC$41,START!$C$3,($N35+4))*-44/12)+($M35*INDEX('DEFAULT DATA'!$NV$9:$WC$41,START!$C$3,($N35+5))*-44/12)</f>
        <v>0</v>
      </c>
      <c r="AI35" s="205">
        <f>($K35*INDEX('DEFAULT DATA'!$NV$9:$WC$41,START!$C$3,($N35))*-44/12)+($K35*INDEX('DEFAULT DATA'!$NV$9:$WC$41,START!$C$3,($N35+1))*-44/12)+($K35*INDEX('DEFAULT DATA'!$NV$9:$WC$41,START!$C$3,($N35+2))*-44/12)+($K35*INDEX('DEFAULT DATA'!$NV$9:$WC$41,START!$C$3,($N35+3))*-44/12)+($L35*INDEX('DEFAULT DATA'!$NV$9:$WC$41,START!$C$3,($N35+4))*-44/12)+($M35*INDEX('DEFAULT DATA'!$NV$9:$WC$41,START!$C$3,($N35+5))*-44/12)</f>
        <v>0</v>
      </c>
      <c r="AJ35" s="205">
        <f>($K35*INDEX('DEFAULT DATA'!$NV$9:$WC$41,START!$C$3,($N35))*-44/12)+($K35*INDEX('DEFAULT DATA'!$NV$9:$WC$41,START!$C$3,($N35+1))*-44/12)+($K35*INDEX('DEFAULT DATA'!$NV$9:$WC$41,START!$C$3,($N35+2))*-44/12)+($K35*INDEX('DEFAULT DATA'!$NV$9:$WC$41,START!$C$3,($N35+3))*-44/12)+($L35*INDEX('DEFAULT DATA'!$NV$9:$WC$41,START!$C$3,($N35+4))*-44/12)+($M35*INDEX('DEFAULT DATA'!$NV$9:$WC$41,START!$C$3,($N35+5))*-44/12)</f>
        <v>0</v>
      </c>
      <c r="AK35" s="205">
        <f>(($K35*INDEX('DEFAULT DATA'!$UT$9:$UY$41,START!$C$3,1)*-44/12)+($K35*INDEX('DEFAULT DATA'!$UT$9:$UY$41,START!$C$3,2)*-44/12)+($K35*INDEX('DEFAULT DATA'!$UT$9:$UY$41,START!$C$3,3)*-44/12)+($K35*INDEX('DEFAULT DATA'!$UT$9:$UY$41,START!$C$3,4)*-44/12)+($L35*INDEX('DEFAULT DATA'!$UT$9:$UY$41,START!$C$3,5)*-44/12)+($M35*INDEX('DEFAULT DATA'!$UT$9:$UY$41,START!$C$3,6)*-44/12))</f>
        <v>0</v>
      </c>
      <c r="AL35" s="205">
        <f>(($K35*INDEX('DEFAULT DATA'!$UT$9:$UY$41,START!$C$3,1)*-44/12)+($K35*INDEX('DEFAULT DATA'!$UT$9:$UY$41,START!$C$3,2)*-44/12)+($K35*INDEX('DEFAULT DATA'!$UT$9:$UY$41,START!$C$3,3)*-44/12)+($K35*INDEX('DEFAULT DATA'!$UT$9:$UY$41,START!$C$3,4)*-44/12)+($L35*INDEX('DEFAULT DATA'!$UT$9:$UY$41,START!$C$3,5)*-44/12)+($M35*INDEX('DEFAULT DATA'!$UT$9:$UY$41,START!$C$3,6)*-44/12))</f>
        <v>0</v>
      </c>
      <c r="AM35" s="205">
        <f>(($K35*INDEX('DEFAULT DATA'!$UT$9:$UY$41,START!$C$3,1)*-44/12)+($K35*INDEX('DEFAULT DATA'!$UT$9:$UY$41,START!$C$3,2)*-44/12)+($K35*INDEX('DEFAULT DATA'!$UT$9:$UY$41,START!$C$3,3)*-44/12)+($K35*INDEX('DEFAULT DATA'!$UT$9:$UY$41,START!$C$3,4)*-44/12)+($L35*INDEX('DEFAULT DATA'!$UT$9:$UY$41,START!$C$3,5)*-44/12)+($M35*INDEX('DEFAULT DATA'!$UT$9:$UY$41,START!$C$3,6)*-44/12))</f>
        <v>0</v>
      </c>
      <c r="AN35" s="205">
        <f>(($K35*INDEX('DEFAULT DATA'!$UT$9:$UY$41,START!$C$3,1)*-44/12)+($K35*INDEX('DEFAULT DATA'!$UT$9:$UY$41,START!$C$3,2)*-44/12)+($K35*INDEX('DEFAULT DATA'!$UT$9:$UY$41,START!$C$3,3)*-44/12)+($K35*INDEX('DEFAULT DATA'!$UT$9:$UY$41,START!$C$3,4)*-44/12)+($L35*INDEX('DEFAULT DATA'!$UT$9:$UY$41,START!$C$3,5)*-44/12)+($M35*INDEX('DEFAULT DATA'!$UT$9:$UY$41,START!$C$3,6)*-44/12))</f>
        <v>0</v>
      </c>
      <c r="AO35" s="205">
        <f>(($K35*INDEX('DEFAULT DATA'!$UT$9:$UY$41,START!$C$3,1)*-44/12)+($K35*INDEX('DEFAULT DATA'!$UT$9:$UY$41,START!$C$3,2)*-44/12)+($K35*INDEX('DEFAULT DATA'!$UT$9:$UY$41,START!$C$3,3)*-44/12)+($K35*INDEX('DEFAULT DATA'!$UT$9:$UY$41,START!$C$3,4)*-44/12)+($L35*INDEX('DEFAULT DATA'!$UT$9:$UY$41,START!$C$3,5)*-44/12)+($M35*INDEX('DEFAULT DATA'!$UT$9:$UY$41,START!$C$3,6)*-44/12))</f>
        <v>0</v>
      </c>
      <c r="AP35" s="205">
        <f>(($K35*INDEX('DEFAULT DATA'!$UT$9:$UY$41,START!$C$3,1)*-44/12)+($K35*INDEX('DEFAULT DATA'!$UT$9:$UY$41,START!$C$3,2)*-44/12)+($K35*INDEX('DEFAULT DATA'!$UT$9:$UY$41,START!$C$3,3)*-44/12)+($K35*INDEX('DEFAULT DATA'!$UT$9:$UY$41,START!$C$3,4)*-44/12)+($L35*INDEX('DEFAULT DATA'!$UT$9:$UY$41,START!$C$3,5)*-44/12)+($M35*INDEX('DEFAULT DATA'!$UT$9:$UY$41,START!$C$3,6)*-44/12))</f>
        <v>0</v>
      </c>
      <c r="AQ35" s="205">
        <f>(($K35*INDEX('DEFAULT DATA'!$UT$9:$UY$41,START!$C$3,1)*-44/12)+($K35*INDEX('DEFAULT DATA'!$UT$9:$UY$41,START!$C$3,2)*-44/12)+($K35*INDEX('DEFAULT DATA'!$UT$9:$UY$41,START!$C$3,3)*-44/12)+($K35*INDEX('DEFAULT DATA'!$UT$9:$UY$41,START!$C$3,4)*-44/12)+($L35*INDEX('DEFAULT DATA'!$UT$9:$UY$41,START!$C$3,5)*-44/12)+($M35*INDEX('DEFAULT DATA'!$UT$9:$UY$41,START!$C$3,6)*-44/12))</f>
        <v>0</v>
      </c>
      <c r="AR35" s="205">
        <f>(($K35*INDEX('DEFAULT DATA'!$UT$9:$UY$41,START!$C$3,1)*-44/12)+($K35*INDEX('DEFAULT DATA'!$UT$9:$UY$41,START!$C$3,2)*-44/12)+($K35*INDEX('DEFAULT DATA'!$UT$9:$UY$41,START!$C$3,3)*-44/12)+($K35*INDEX('DEFAULT DATA'!$UT$9:$UY$41,START!$C$3,4)*-44/12)+($L35*INDEX('DEFAULT DATA'!$UT$9:$UY$41,START!$C$3,5)*-44/12)+($M35*INDEX('DEFAULT DATA'!$UT$9:$UY$41,START!$C$3,6)*-44/12))</f>
        <v>0</v>
      </c>
      <c r="AS35" s="205">
        <f>(($K35*INDEX('DEFAULT DATA'!$UT$9:$UY$41,START!$C$3,1)*-44/12)+($K35*INDEX('DEFAULT DATA'!$UT$9:$UY$41,START!$C$3,2)*-44/12)+($K35*INDEX('DEFAULT DATA'!$UT$9:$UY$41,START!$C$3,3)*-44/12)+($K35*INDEX('DEFAULT DATA'!$UT$9:$UY$41,START!$C$3,4)*-44/12)+($L35*INDEX('DEFAULT DATA'!$UT$9:$UY$41,START!$C$3,5)*-44/12)+($M35*INDEX('DEFAULT DATA'!$UT$9:$UY$41,START!$C$3,6)*-44/12))</f>
        <v>0</v>
      </c>
      <c r="AT35" s="206">
        <f>(($K35*INDEX('DEFAULT DATA'!$UT$9:$UY$41,START!$C$3,1)*-44/12)+($K35*INDEX('DEFAULT DATA'!$UT$9:$UY$41,START!$C$3,2)*-44/12)+($K35*INDEX('DEFAULT DATA'!$UT$9:$UY$41,START!$C$3,3)*-44/12)+($K35*INDEX('DEFAULT DATA'!$UT$9:$UY$41,START!$C$3,4)*-44/12)+($L35*INDEX('DEFAULT DATA'!$UT$9:$UY$41,START!$C$3,5)*-44/12)+($M35*INDEX('DEFAULT DATA'!$UT$9:$UY$41,START!$C$3,6)*-44/12))</f>
        <v>0</v>
      </c>
      <c r="AV35" s="1095" t="str">
        <f>CONCATENATE("(INPUT1*CSC_COL",24+N35,"*-44/12)+(INPUT1*CSC_COL",25+N35,"*-44/12)+(INPUT1*CSC_COL",26+N35,"*-44/12)+(INPUT1*CSC_COL",27+N35,"*-44/12)+(INPUT2*CSC_COL",28+N35,"*-44/12)+(INPUT3*CSC_COL",29+N35,"*-44/12)")</f>
        <v>(INPUT1*CSC_COL25*-44/12)+(INPUT1*CSC_COL26*-44/12)+(INPUT1*CSC_COL27*-44/12)+(INPUT1*CSC_COL28*-44/12)+(INPUT2*CSC_COL29*-44/12)+(INPUT3*CSC_COL30*-44/12)</v>
      </c>
      <c r="AW35" s="1096" t="s">
        <v>3043</v>
      </c>
      <c r="AX35" s="1096" t="s">
        <v>3043</v>
      </c>
      <c r="AY35" s="1096" t="s">
        <v>3043</v>
      </c>
      <c r="AZ35" s="1096" t="s">
        <v>3043</v>
      </c>
      <c r="BA35" s="1096" t="s">
        <v>3043</v>
      </c>
      <c r="BB35" s="1096" t="s">
        <v>3043</v>
      </c>
      <c r="BC35" s="1096" t="s">
        <v>3043</v>
      </c>
      <c r="BD35" s="1096" t="s">
        <v>3043</v>
      </c>
      <c r="BE35" s="1096" t="s">
        <v>3043</v>
      </c>
      <c r="BF35" s="1096" t="s">
        <v>3043</v>
      </c>
      <c r="BG35" s="1096" t="s">
        <v>3043</v>
      </c>
      <c r="BH35" s="1096" t="s">
        <v>3043</v>
      </c>
      <c r="BI35" s="1096" t="s">
        <v>3043</v>
      </c>
      <c r="BJ35" s="1096" t="s">
        <v>3043</v>
      </c>
      <c r="BK35" s="1096" t="s">
        <v>3043</v>
      </c>
      <c r="BL35" s="1096" t="s">
        <v>3043</v>
      </c>
      <c r="BM35" s="1096" t="s">
        <v>3043</v>
      </c>
      <c r="BN35" s="1096" t="s">
        <v>3043</v>
      </c>
      <c r="BO35" s="1096" t="s">
        <v>3043</v>
      </c>
      <c r="BP35" s="1110" t="s">
        <v>3044</v>
      </c>
      <c r="BQ35" s="1110" t="s">
        <v>3045</v>
      </c>
      <c r="BR35" s="1110" t="s">
        <v>3045</v>
      </c>
      <c r="BS35" s="1110" t="s">
        <v>3045</v>
      </c>
      <c r="BT35" s="1110" t="s">
        <v>3045</v>
      </c>
      <c r="BU35" s="1110" t="s">
        <v>3045</v>
      </c>
      <c r="BV35" s="1110" t="s">
        <v>3045</v>
      </c>
      <c r="BW35" s="1110" t="s">
        <v>3045</v>
      </c>
      <c r="BX35" s="1110" t="s">
        <v>3045</v>
      </c>
      <c r="BY35" s="1111" t="s">
        <v>3045</v>
      </c>
    </row>
    <row r="36" spans="1:77" ht="20.100000000000001" customHeight="1">
      <c r="A36" s="265"/>
      <c r="B36" s="258"/>
      <c r="C36" s="258"/>
      <c r="D36" s="258"/>
      <c r="E36" s="258"/>
      <c r="F36" s="258"/>
      <c r="G36" s="258"/>
      <c r="H36" s="258"/>
      <c r="I36" s="259"/>
      <c r="J36" s="124"/>
      <c r="K36" s="309">
        <f t="shared" si="38"/>
        <v>10000</v>
      </c>
      <c r="L36" s="310">
        <f t="shared" si="39"/>
        <v>10000</v>
      </c>
      <c r="M36" s="310">
        <f t="shared" si="40"/>
        <v>0</v>
      </c>
      <c r="N36" s="81">
        <f>N35+6</f>
        <v>7</v>
      </c>
      <c r="O36" s="311" t="s">
        <v>494</v>
      </c>
      <c r="P36" s="312">
        <f t="shared" si="41"/>
        <v>2030</v>
      </c>
      <c r="Q36" s="77">
        <f>($K36*INDEX('DEFAULT DATA'!$NV$9:$WC$41,START!$C$3,($N36))*-44/12)+($K36*INDEX('DEFAULT DATA'!$NV$9:$WC$41,START!$C$3,($N36+1))*-44/12)+($K36*INDEX('DEFAULT DATA'!$NV$9:$WC$41,START!$C$3,($N36+2))*-44/12)+($K36*INDEX('DEFAULT DATA'!$NV$9:$WC$41,START!$C$3,($N36+3))*-44/12)+($L36*INDEX('DEFAULT DATA'!$NV$9:$WC$41,START!$C$3,($N36+4))*-44/12)+($M36*INDEX('DEFAULT DATA'!$NV$9:$WC$41,START!$C$3,($N36+5))*-44/12)</f>
        <v>-87182.9756962846</v>
      </c>
      <c r="R36" s="77">
        <f>($K36*INDEX('DEFAULT DATA'!$NV$9:$WC$41,START!$C$3,($N36))*-44/12)+($K36*INDEX('DEFAULT DATA'!$NV$9:$WC$41,START!$C$3,($N36+1))*-44/12)+($K36*INDEX('DEFAULT DATA'!$NV$9:$WC$41,START!$C$3,($N36+2))*-44/12)+($K36*INDEX('DEFAULT DATA'!$NV$9:$WC$41,START!$C$3,($N36+3))*-44/12)+($L36*INDEX('DEFAULT DATA'!$NV$9:$WC$41,START!$C$3,($N36+4))*-44/12)+($M36*INDEX('DEFAULT DATA'!$NV$9:$WC$41,START!$C$3,($N36+5))*-44/12)</f>
        <v>-87182.9756962846</v>
      </c>
      <c r="S36" s="77">
        <f>($K36*INDEX('DEFAULT DATA'!$NV$9:$WC$41,START!$C$3,($N36))*-44/12)+($K36*INDEX('DEFAULT DATA'!$NV$9:$WC$41,START!$C$3,($N36+1))*-44/12)+($K36*INDEX('DEFAULT DATA'!$NV$9:$WC$41,START!$C$3,($N36+2))*-44/12)+($K36*INDEX('DEFAULT DATA'!$NV$9:$WC$41,START!$C$3,($N36+3))*-44/12)+($L36*INDEX('DEFAULT DATA'!$NV$9:$WC$41,START!$C$3,($N36+4))*-44/12)+($M36*INDEX('DEFAULT DATA'!$NV$9:$WC$41,START!$C$3,($N36+5))*-44/12)</f>
        <v>-87182.9756962846</v>
      </c>
      <c r="T36" s="77">
        <f>($K36*INDEX('DEFAULT DATA'!$NV$9:$WC$41,START!$C$3,($N36))*-44/12)+($K36*INDEX('DEFAULT DATA'!$NV$9:$WC$41,START!$C$3,($N36+1))*-44/12)+($K36*INDEX('DEFAULT DATA'!$NV$9:$WC$41,START!$C$3,($N36+2))*-44/12)+($K36*INDEX('DEFAULT DATA'!$NV$9:$WC$41,START!$C$3,($N36+3))*-44/12)+($L36*INDEX('DEFAULT DATA'!$NV$9:$WC$41,START!$C$3,($N36+4))*-44/12)+($M36*INDEX('DEFAULT DATA'!$NV$9:$WC$41,START!$C$3,($N36+5))*-44/12)</f>
        <v>-87182.9756962846</v>
      </c>
      <c r="U36" s="77">
        <f>($K36*INDEX('DEFAULT DATA'!$NV$9:$WC$41,START!$C$3,($N36))*-44/12)+($K36*INDEX('DEFAULT DATA'!$NV$9:$WC$41,START!$C$3,($N36+1))*-44/12)+($K36*INDEX('DEFAULT DATA'!$NV$9:$WC$41,START!$C$3,($N36+2))*-44/12)+($K36*INDEX('DEFAULT DATA'!$NV$9:$WC$41,START!$C$3,($N36+3))*-44/12)+($L36*INDEX('DEFAULT DATA'!$NV$9:$WC$41,START!$C$3,($N36+4))*-44/12)+($M36*INDEX('DEFAULT DATA'!$NV$9:$WC$41,START!$C$3,($N36+5))*-44/12)</f>
        <v>-87182.9756962846</v>
      </c>
      <c r="V36" s="77">
        <f>($K36*INDEX('DEFAULT DATA'!$NV$9:$WC$41,START!$C$3,($N36))*-44/12)+($K36*INDEX('DEFAULT DATA'!$NV$9:$WC$41,START!$C$3,($N36+1))*-44/12)+($K36*INDEX('DEFAULT DATA'!$NV$9:$WC$41,START!$C$3,($N36+2))*-44/12)+($K36*INDEX('DEFAULT DATA'!$NV$9:$WC$41,START!$C$3,($N36+3))*-44/12)+($L36*INDEX('DEFAULT DATA'!$NV$9:$WC$41,START!$C$3,($N36+4))*-44/12)+($M36*INDEX('DEFAULT DATA'!$NV$9:$WC$41,START!$C$3,($N36+5))*-44/12)</f>
        <v>-87182.9756962846</v>
      </c>
      <c r="W36" s="77">
        <f>($K36*INDEX('DEFAULT DATA'!$NV$9:$WC$41,START!$C$3,($N36))*-44/12)+($K36*INDEX('DEFAULT DATA'!$NV$9:$WC$41,START!$C$3,($N36+1))*-44/12)+($K36*INDEX('DEFAULT DATA'!$NV$9:$WC$41,START!$C$3,($N36+2))*-44/12)+($K36*INDEX('DEFAULT DATA'!$NV$9:$WC$41,START!$C$3,($N36+3))*-44/12)+($L36*INDEX('DEFAULT DATA'!$NV$9:$WC$41,START!$C$3,($N36+4))*-44/12)+($M36*INDEX('DEFAULT DATA'!$NV$9:$WC$41,START!$C$3,($N36+5))*-44/12)</f>
        <v>-87182.9756962846</v>
      </c>
      <c r="X36" s="77">
        <f>($K36*INDEX('DEFAULT DATA'!$NV$9:$WC$41,START!$C$3,($N36))*-44/12)+($K36*INDEX('DEFAULT DATA'!$NV$9:$WC$41,START!$C$3,($N36+1))*-44/12)+($K36*INDEX('DEFAULT DATA'!$NV$9:$WC$41,START!$C$3,($N36+2))*-44/12)+($K36*INDEX('DEFAULT DATA'!$NV$9:$WC$41,START!$C$3,($N36+3))*-44/12)+($L36*INDEX('DEFAULT DATA'!$NV$9:$WC$41,START!$C$3,($N36+4))*-44/12)+($M36*INDEX('DEFAULT DATA'!$NV$9:$WC$41,START!$C$3,($N36+5))*-44/12)</f>
        <v>-87182.9756962846</v>
      </c>
      <c r="Y36" s="77">
        <f>($K36*INDEX('DEFAULT DATA'!$NV$9:$WC$41,START!$C$3,($N36))*-44/12)+($K36*INDEX('DEFAULT DATA'!$NV$9:$WC$41,START!$C$3,($N36+1))*-44/12)+($K36*INDEX('DEFAULT DATA'!$NV$9:$WC$41,START!$C$3,($N36+2))*-44/12)+($K36*INDEX('DEFAULT DATA'!$NV$9:$WC$41,START!$C$3,($N36+3))*-44/12)+($L36*INDEX('DEFAULT DATA'!$NV$9:$WC$41,START!$C$3,($N36+4))*-44/12)+($M36*INDEX('DEFAULT DATA'!$NV$9:$WC$41,START!$C$3,($N36+5))*-44/12)</f>
        <v>-87182.9756962846</v>
      </c>
      <c r="Z36" s="77">
        <f>($K36*INDEX('DEFAULT DATA'!$NV$9:$WC$41,START!$C$3,($N36))*-44/12)+($K36*INDEX('DEFAULT DATA'!$NV$9:$WC$41,START!$C$3,($N36+1))*-44/12)+($K36*INDEX('DEFAULT DATA'!$NV$9:$WC$41,START!$C$3,($N36+2))*-44/12)+($K36*INDEX('DEFAULT DATA'!$NV$9:$WC$41,START!$C$3,($N36+3))*-44/12)+($L36*INDEX('DEFAULT DATA'!$NV$9:$WC$41,START!$C$3,($N36+4))*-44/12)+($M36*INDEX('DEFAULT DATA'!$NV$9:$WC$41,START!$C$3,($N36+5))*-44/12)</f>
        <v>-87182.9756962846</v>
      </c>
      <c r="AA36" s="77">
        <f>($K36*INDEX('DEFAULT DATA'!$NV$9:$WC$41,START!$C$3,($N36))*-44/12)+($K36*INDEX('DEFAULT DATA'!$NV$9:$WC$41,START!$C$3,($N36+1))*-44/12)+($K36*INDEX('DEFAULT DATA'!$NV$9:$WC$41,START!$C$3,($N36+2))*-44/12)+($K36*INDEX('DEFAULT DATA'!$NV$9:$WC$41,START!$C$3,($N36+3))*-44/12)+($L36*INDEX('DEFAULT DATA'!$NV$9:$WC$41,START!$C$3,($N36+4))*-44/12)+($M36*INDEX('DEFAULT DATA'!$NV$9:$WC$41,START!$C$3,($N36+5))*-44/12)</f>
        <v>-87182.9756962846</v>
      </c>
      <c r="AB36" s="77">
        <f>($K36*INDEX('DEFAULT DATA'!$NV$9:$WC$41,START!$C$3,($N36))*-44/12)+($K36*INDEX('DEFAULT DATA'!$NV$9:$WC$41,START!$C$3,($N36+1))*-44/12)+($K36*INDEX('DEFAULT DATA'!$NV$9:$WC$41,START!$C$3,($N36+2))*-44/12)+($K36*INDEX('DEFAULT DATA'!$NV$9:$WC$41,START!$C$3,($N36+3))*-44/12)+($L36*INDEX('DEFAULT DATA'!$NV$9:$WC$41,START!$C$3,($N36+4))*-44/12)+($M36*INDEX('DEFAULT DATA'!$NV$9:$WC$41,START!$C$3,($N36+5))*-44/12)</f>
        <v>-87182.9756962846</v>
      </c>
      <c r="AC36" s="77">
        <f>($K36*INDEX('DEFAULT DATA'!$NV$9:$WC$41,START!$C$3,($N36))*-44/12)+($K36*INDEX('DEFAULT DATA'!$NV$9:$WC$41,START!$C$3,($N36+1))*-44/12)+($K36*INDEX('DEFAULT DATA'!$NV$9:$WC$41,START!$C$3,($N36+2))*-44/12)+($K36*INDEX('DEFAULT DATA'!$NV$9:$WC$41,START!$C$3,($N36+3))*-44/12)+($L36*INDEX('DEFAULT DATA'!$NV$9:$WC$41,START!$C$3,($N36+4))*-44/12)+($M36*INDEX('DEFAULT DATA'!$NV$9:$WC$41,START!$C$3,($N36+5))*-44/12)</f>
        <v>-87182.9756962846</v>
      </c>
      <c r="AD36" s="77">
        <f>($K36*INDEX('DEFAULT DATA'!$NV$9:$WC$41,START!$C$3,($N36))*-44/12)+($K36*INDEX('DEFAULT DATA'!$NV$9:$WC$41,START!$C$3,($N36+1))*-44/12)+($K36*INDEX('DEFAULT DATA'!$NV$9:$WC$41,START!$C$3,($N36+2))*-44/12)+($K36*INDEX('DEFAULT DATA'!$NV$9:$WC$41,START!$C$3,($N36+3))*-44/12)+($L36*INDEX('DEFAULT DATA'!$NV$9:$WC$41,START!$C$3,($N36+4))*-44/12)+($M36*INDEX('DEFAULT DATA'!$NV$9:$WC$41,START!$C$3,($N36+5))*-44/12)</f>
        <v>-87182.9756962846</v>
      </c>
      <c r="AE36" s="77">
        <f>($K36*INDEX('DEFAULT DATA'!$NV$9:$WC$41,START!$C$3,($N36))*-44/12)+($K36*INDEX('DEFAULT DATA'!$NV$9:$WC$41,START!$C$3,($N36+1))*-44/12)+($K36*INDEX('DEFAULT DATA'!$NV$9:$WC$41,START!$C$3,($N36+2))*-44/12)+($K36*INDEX('DEFAULT DATA'!$NV$9:$WC$41,START!$C$3,($N36+3))*-44/12)+($L36*INDEX('DEFAULT DATA'!$NV$9:$WC$41,START!$C$3,($N36+4))*-44/12)+($M36*INDEX('DEFAULT DATA'!$NV$9:$WC$41,START!$C$3,($N36+5))*-44/12)</f>
        <v>-87182.9756962846</v>
      </c>
      <c r="AF36" s="77">
        <f>($K36*INDEX('DEFAULT DATA'!$NV$9:$WC$41,START!$C$3,($N36))*-44/12)+($K36*INDEX('DEFAULT DATA'!$NV$9:$WC$41,START!$C$3,($N36+1))*-44/12)+($K36*INDEX('DEFAULT DATA'!$NV$9:$WC$41,START!$C$3,($N36+2))*-44/12)+($K36*INDEX('DEFAULT DATA'!$NV$9:$WC$41,START!$C$3,($N36+3))*-44/12)+($L36*INDEX('DEFAULT DATA'!$NV$9:$WC$41,START!$C$3,($N36+4))*-44/12)+($M36*INDEX('DEFAULT DATA'!$NV$9:$WC$41,START!$C$3,($N36+5))*-44/12)</f>
        <v>-87182.9756962846</v>
      </c>
      <c r="AG36" s="77">
        <f>($K36*INDEX('DEFAULT DATA'!$NV$9:$WC$41,START!$C$3,($N36))*-44/12)+($K36*INDEX('DEFAULT DATA'!$NV$9:$WC$41,START!$C$3,($N36+1))*-44/12)+($K36*INDEX('DEFAULT DATA'!$NV$9:$WC$41,START!$C$3,($N36+2))*-44/12)+($K36*INDEX('DEFAULT DATA'!$NV$9:$WC$41,START!$C$3,($N36+3))*-44/12)+($L36*INDEX('DEFAULT DATA'!$NV$9:$WC$41,START!$C$3,($N36+4))*-44/12)+($M36*INDEX('DEFAULT DATA'!$NV$9:$WC$41,START!$C$3,($N36+5))*-44/12)</f>
        <v>-87182.9756962846</v>
      </c>
      <c r="AH36" s="77">
        <f>($K36*INDEX('DEFAULT DATA'!$NV$9:$WC$41,START!$C$3,($N36))*-44/12)+($K36*INDEX('DEFAULT DATA'!$NV$9:$WC$41,START!$C$3,($N36+1))*-44/12)+($K36*INDEX('DEFAULT DATA'!$NV$9:$WC$41,START!$C$3,($N36+2))*-44/12)+($K36*INDEX('DEFAULT DATA'!$NV$9:$WC$41,START!$C$3,($N36+3))*-44/12)+($L36*INDEX('DEFAULT DATA'!$NV$9:$WC$41,START!$C$3,($N36+4))*-44/12)+($M36*INDEX('DEFAULT DATA'!$NV$9:$WC$41,START!$C$3,($N36+5))*-44/12)</f>
        <v>-87182.9756962846</v>
      </c>
      <c r="AI36" s="77">
        <f>($K36*INDEX('DEFAULT DATA'!$NV$9:$WC$41,START!$C$3,($N36))*-44/12)+($K36*INDEX('DEFAULT DATA'!$NV$9:$WC$41,START!$C$3,($N36+1))*-44/12)+($K36*INDEX('DEFAULT DATA'!$NV$9:$WC$41,START!$C$3,($N36+2))*-44/12)+($K36*INDEX('DEFAULT DATA'!$NV$9:$WC$41,START!$C$3,($N36+3))*-44/12)+($L36*INDEX('DEFAULT DATA'!$NV$9:$WC$41,START!$C$3,($N36+4))*-44/12)+($M36*INDEX('DEFAULT DATA'!$NV$9:$WC$41,START!$C$3,($N36+5))*-44/12)</f>
        <v>-87182.9756962846</v>
      </c>
      <c r="AJ36" s="77">
        <f>($K36*INDEX('DEFAULT DATA'!$NV$9:$WC$41,START!$C$3,($N36))*-44/12)+($K36*INDEX('DEFAULT DATA'!$NV$9:$WC$41,START!$C$3,($N36+1))*-44/12)+($K36*INDEX('DEFAULT DATA'!$NV$9:$WC$41,START!$C$3,($N36+2))*-44/12)+($K36*INDEX('DEFAULT DATA'!$NV$9:$WC$41,START!$C$3,($N36+3))*-44/12)+($L36*INDEX('DEFAULT DATA'!$NV$9:$WC$41,START!$C$3,($N36+4))*-44/12)+($M36*INDEX('DEFAULT DATA'!$NV$9:$WC$41,START!$C$3,($N36+5))*-44/12)</f>
        <v>-87182.9756962846</v>
      </c>
      <c r="AK36" s="271">
        <f>(($K36*INDEX('DEFAULT DATA'!$UT$9:$UY$41,START!$C$3,1)*-44/12)+($K36*INDEX('DEFAULT DATA'!$UT$9:$UY$41,START!$C$3,2)*-44/12)+($K36*INDEX('DEFAULT DATA'!$UT$9:$UY$41,START!$C$3,3)*-44/12)+($K36*INDEX('DEFAULT DATA'!$UT$9:$UY$41,START!$C$3,4)*-44/12)+($L36*INDEX('DEFAULT DATA'!$UT$9:$UY$41,START!$C$3,5)*-44/12)+($M36*INDEX('DEFAULT DATA'!$UT$9:$UY$41,START!$C$3,6)*-44/12))</f>
        <v>-35307.884185622774</v>
      </c>
      <c r="AL36" s="271">
        <f>(($K36*INDEX('DEFAULT DATA'!$UT$9:$UY$41,START!$C$3,1)*-44/12)+($K36*INDEX('DEFAULT DATA'!$UT$9:$UY$41,START!$C$3,2)*-44/12)+($K36*INDEX('DEFAULT DATA'!$UT$9:$UY$41,START!$C$3,3)*-44/12)+($K36*INDEX('DEFAULT DATA'!$UT$9:$UY$41,START!$C$3,4)*-44/12)+($L36*INDEX('DEFAULT DATA'!$UT$9:$UY$41,START!$C$3,5)*-44/12)+($M36*INDEX('DEFAULT DATA'!$UT$9:$UY$41,START!$C$3,6)*-44/12))</f>
        <v>-35307.884185622774</v>
      </c>
      <c r="AM36" s="271">
        <f>(($K36*INDEX('DEFAULT DATA'!$UT$9:$UY$41,START!$C$3,1)*-44/12)+($K36*INDEX('DEFAULT DATA'!$UT$9:$UY$41,START!$C$3,2)*-44/12)+($K36*INDEX('DEFAULT DATA'!$UT$9:$UY$41,START!$C$3,3)*-44/12)+($K36*INDEX('DEFAULT DATA'!$UT$9:$UY$41,START!$C$3,4)*-44/12)+($L36*INDEX('DEFAULT DATA'!$UT$9:$UY$41,START!$C$3,5)*-44/12)+($M36*INDEX('DEFAULT DATA'!$UT$9:$UY$41,START!$C$3,6)*-44/12))</f>
        <v>-35307.884185622774</v>
      </c>
      <c r="AN36" s="271">
        <f>(($K36*INDEX('DEFAULT DATA'!$UT$9:$UY$41,START!$C$3,1)*-44/12)+($K36*INDEX('DEFAULT DATA'!$UT$9:$UY$41,START!$C$3,2)*-44/12)+($K36*INDEX('DEFAULT DATA'!$UT$9:$UY$41,START!$C$3,3)*-44/12)+($K36*INDEX('DEFAULT DATA'!$UT$9:$UY$41,START!$C$3,4)*-44/12)+($L36*INDEX('DEFAULT DATA'!$UT$9:$UY$41,START!$C$3,5)*-44/12)+($M36*INDEX('DEFAULT DATA'!$UT$9:$UY$41,START!$C$3,6)*-44/12))</f>
        <v>-35307.884185622774</v>
      </c>
      <c r="AO36" s="271">
        <f>(($K36*INDEX('DEFAULT DATA'!$UT$9:$UY$41,START!$C$3,1)*-44/12)+($K36*INDEX('DEFAULT DATA'!$UT$9:$UY$41,START!$C$3,2)*-44/12)+($K36*INDEX('DEFAULT DATA'!$UT$9:$UY$41,START!$C$3,3)*-44/12)+($K36*INDEX('DEFAULT DATA'!$UT$9:$UY$41,START!$C$3,4)*-44/12)+($L36*INDEX('DEFAULT DATA'!$UT$9:$UY$41,START!$C$3,5)*-44/12)+($M36*INDEX('DEFAULT DATA'!$UT$9:$UY$41,START!$C$3,6)*-44/12))</f>
        <v>-35307.884185622774</v>
      </c>
      <c r="AP36" s="271">
        <f>(($K36*INDEX('DEFAULT DATA'!$UT$9:$UY$41,START!$C$3,1)*-44/12)+($K36*INDEX('DEFAULT DATA'!$UT$9:$UY$41,START!$C$3,2)*-44/12)+($K36*INDEX('DEFAULT DATA'!$UT$9:$UY$41,START!$C$3,3)*-44/12)+($K36*INDEX('DEFAULT DATA'!$UT$9:$UY$41,START!$C$3,4)*-44/12)+($L36*INDEX('DEFAULT DATA'!$UT$9:$UY$41,START!$C$3,5)*-44/12)+($M36*INDEX('DEFAULT DATA'!$UT$9:$UY$41,START!$C$3,6)*-44/12))</f>
        <v>-35307.884185622774</v>
      </c>
      <c r="AQ36" s="271">
        <f>(($K36*INDEX('DEFAULT DATA'!$UT$9:$UY$41,START!$C$3,1)*-44/12)+($K36*INDEX('DEFAULT DATA'!$UT$9:$UY$41,START!$C$3,2)*-44/12)+($K36*INDEX('DEFAULT DATA'!$UT$9:$UY$41,START!$C$3,3)*-44/12)+($K36*INDEX('DEFAULT DATA'!$UT$9:$UY$41,START!$C$3,4)*-44/12)+($L36*INDEX('DEFAULT DATA'!$UT$9:$UY$41,START!$C$3,5)*-44/12)+($M36*INDEX('DEFAULT DATA'!$UT$9:$UY$41,START!$C$3,6)*-44/12))</f>
        <v>-35307.884185622774</v>
      </c>
      <c r="AR36" s="271">
        <f>(($K36*INDEX('DEFAULT DATA'!$UT$9:$UY$41,START!$C$3,1)*-44/12)+($K36*INDEX('DEFAULT DATA'!$UT$9:$UY$41,START!$C$3,2)*-44/12)+($K36*INDEX('DEFAULT DATA'!$UT$9:$UY$41,START!$C$3,3)*-44/12)+($K36*INDEX('DEFAULT DATA'!$UT$9:$UY$41,START!$C$3,4)*-44/12)+($L36*INDEX('DEFAULT DATA'!$UT$9:$UY$41,START!$C$3,5)*-44/12)+($M36*INDEX('DEFAULT DATA'!$UT$9:$UY$41,START!$C$3,6)*-44/12))</f>
        <v>-35307.884185622774</v>
      </c>
      <c r="AS36" s="271">
        <f>(($K36*INDEX('DEFAULT DATA'!$UT$9:$UY$41,START!$C$3,1)*-44/12)+($K36*INDEX('DEFAULT DATA'!$UT$9:$UY$41,START!$C$3,2)*-44/12)+($K36*INDEX('DEFAULT DATA'!$UT$9:$UY$41,START!$C$3,3)*-44/12)+($K36*INDEX('DEFAULT DATA'!$UT$9:$UY$41,START!$C$3,4)*-44/12)+($L36*INDEX('DEFAULT DATA'!$UT$9:$UY$41,START!$C$3,5)*-44/12)+($M36*INDEX('DEFAULT DATA'!$UT$9:$UY$41,START!$C$3,6)*-44/12))</f>
        <v>-35307.884185622774</v>
      </c>
      <c r="AT36" s="272">
        <f>(($K36*INDEX('DEFAULT DATA'!$UT$9:$UY$41,START!$C$3,1)*-44/12)+($K36*INDEX('DEFAULT DATA'!$UT$9:$UY$41,START!$C$3,2)*-44/12)+($K36*INDEX('DEFAULT DATA'!$UT$9:$UY$41,START!$C$3,3)*-44/12)+($K36*INDEX('DEFAULT DATA'!$UT$9:$UY$41,START!$C$3,4)*-44/12)+($L36*INDEX('DEFAULT DATA'!$UT$9:$UY$41,START!$C$3,5)*-44/12)+($M36*INDEX('DEFAULT DATA'!$UT$9:$UY$41,START!$C$3,6)*-44/12))</f>
        <v>-35307.884185622774</v>
      </c>
      <c r="AV36" s="1097" t="str">
        <f t="shared" ref="AV36:AV64" si="42">CONCATENATE("(INPUT1*CSC_COL",24+N36,"*-44/12)+(INPUT1*CSC_COL",25+N36,"*-44/12)+(INPUT1*CSC_COL",26+N36,"*-44/12)+(INPUT1*CSC_COL",27+N36,"*-44/12)+(INPUT2*CSC_COL",28+N36,"*-44/12)+(INPUT3*CSC_COL",29+N36,"*-44/12)")</f>
        <v>(INPUT1*CSC_COL31*-44/12)+(INPUT1*CSC_COL32*-44/12)+(INPUT1*CSC_COL33*-44/12)+(INPUT1*CSC_COL34*-44/12)+(INPUT2*CSC_COL35*-44/12)+(INPUT3*CSC_COL36*-44/12)</v>
      </c>
      <c r="AW36" s="1087" t="s">
        <v>3043</v>
      </c>
      <c r="AX36" s="1087" t="s">
        <v>3043</v>
      </c>
      <c r="AY36" s="1087" t="s">
        <v>3043</v>
      </c>
      <c r="AZ36" s="1087" t="s">
        <v>3043</v>
      </c>
      <c r="BA36" s="1087" t="s">
        <v>3043</v>
      </c>
      <c r="BB36" s="1087" t="s">
        <v>3043</v>
      </c>
      <c r="BC36" s="1087" t="s">
        <v>3043</v>
      </c>
      <c r="BD36" s="1087" t="s">
        <v>3043</v>
      </c>
      <c r="BE36" s="1087" t="s">
        <v>3043</v>
      </c>
      <c r="BF36" s="1087" t="s">
        <v>3043</v>
      </c>
      <c r="BG36" s="1087" t="s">
        <v>3043</v>
      </c>
      <c r="BH36" s="1087" t="s">
        <v>3043</v>
      </c>
      <c r="BI36" s="1087" t="s">
        <v>3043</v>
      </c>
      <c r="BJ36" s="1087" t="s">
        <v>3043</v>
      </c>
      <c r="BK36" s="1087" t="s">
        <v>3043</v>
      </c>
      <c r="BL36" s="1087" t="s">
        <v>3043</v>
      </c>
      <c r="BM36" s="1087" t="s">
        <v>3043</v>
      </c>
      <c r="BN36" s="1087" t="s">
        <v>3043</v>
      </c>
      <c r="BO36" s="1087" t="s">
        <v>3043</v>
      </c>
      <c r="BP36" s="1112" t="s">
        <v>3044</v>
      </c>
      <c r="BQ36" s="1113" t="s">
        <v>3045</v>
      </c>
      <c r="BR36" s="1113" t="s">
        <v>3045</v>
      </c>
      <c r="BS36" s="1113" t="s">
        <v>3045</v>
      </c>
      <c r="BT36" s="1113" t="s">
        <v>3045</v>
      </c>
      <c r="BU36" s="1113" t="s">
        <v>3045</v>
      </c>
      <c r="BV36" s="1113" t="s">
        <v>3045</v>
      </c>
      <c r="BW36" s="1113" t="s">
        <v>3045</v>
      </c>
      <c r="BX36" s="1113" t="s">
        <v>3045</v>
      </c>
      <c r="BY36" s="1114" t="s">
        <v>3045</v>
      </c>
    </row>
    <row r="37" spans="1:77" ht="20.100000000000001" customHeight="1">
      <c r="A37" s="265"/>
      <c r="B37" s="258"/>
      <c r="C37" s="258"/>
      <c r="D37" s="258"/>
      <c r="E37" s="258"/>
      <c r="F37" s="258"/>
      <c r="G37" s="258"/>
      <c r="H37" s="258"/>
      <c r="I37" s="259"/>
      <c r="J37" s="124"/>
      <c r="K37" s="309">
        <f t="shared" si="38"/>
        <v>0</v>
      </c>
      <c r="L37" s="310">
        <f t="shared" si="39"/>
        <v>0</v>
      </c>
      <c r="M37" s="310">
        <f t="shared" si="40"/>
        <v>0</v>
      </c>
      <c r="N37" s="81">
        <f t="shared" ref="N37:N64" si="43">N36+6</f>
        <v>13</v>
      </c>
      <c r="O37" s="311" t="s">
        <v>495</v>
      </c>
      <c r="P37" s="312">
        <f t="shared" si="41"/>
        <v>2025</v>
      </c>
      <c r="Q37" s="77">
        <f>($K37*INDEX('DEFAULT DATA'!$NV$9:$WC$41,START!$C$3,($N37))*-44/12)+($K37*INDEX('DEFAULT DATA'!$NV$9:$WC$41,START!$C$3,($N37+1))*-44/12)+($K37*INDEX('DEFAULT DATA'!$NV$9:$WC$41,START!$C$3,($N37+2))*-44/12)+($K37*INDEX('DEFAULT DATA'!$NV$9:$WC$41,START!$C$3,($N37+3))*-44/12)+($L37*INDEX('DEFAULT DATA'!$NV$9:$WC$41,START!$C$3,($N37+4))*-44/12)+($M37*INDEX('DEFAULT DATA'!$NV$9:$WC$41,START!$C$3,($N37+5))*-44/12)</f>
        <v>0</v>
      </c>
      <c r="R37" s="77">
        <f>($K37*INDEX('DEFAULT DATA'!$NV$9:$WC$41,START!$C$3,($N37))*-44/12)+($K37*INDEX('DEFAULT DATA'!$NV$9:$WC$41,START!$C$3,($N37+1))*-44/12)+($K37*INDEX('DEFAULT DATA'!$NV$9:$WC$41,START!$C$3,($N37+2))*-44/12)+($K37*INDEX('DEFAULT DATA'!$NV$9:$WC$41,START!$C$3,($N37+3))*-44/12)+($L37*INDEX('DEFAULT DATA'!$NV$9:$WC$41,START!$C$3,($N37+4))*-44/12)+($M37*INDEX('DEFAULT DATA'!$NV$9:$WC$41,START!$C$3,($N37+5))*-44/12)</f>
        <v>0</v>
      </c>
      <c r="S37" s="77">
        <f>($K37*INDEX('DEFAULT DATA'!$NV$9:$WC$41,START!$C$3,($N37))*-44/12)+($K37*INDEX('DEFAULT DATA'!$NV$9:$WC$41,START!$C$3,($N37+1))*-44/12)+($K37*INDEX('DEFAULT DATA'!$NV$9:$WC$41,START!$C$3,($N37+2))*-44/12)+($K37*INDEX('DEFAULT DATA'!$NV$9:$WC$41,START!$C$3,($N37+3))*-44/12)+($L37*INDEX('DEFAULT DATA'!$NV$9:$WC$41,START!$C$3,($N37+4))*-44/12)+($M37*INDEX('DEFAULT DATA'!$NV$9:$WC$41,START!$C$3,($N37+5))*-44/12)</f>
        <v>0</v>
      </c>
      <c r="T37" s="77">
        <f>($K37*INDEX('DEFAULT DATA'!$NV$9:$WC$41,START!$C$3,($N37))*-44/12)+($K37*INDEX('DEFAULT DATA'!$NV$9:$WC$41,START!$C$3,($N37+1))*-44/12)+($K37*INDEX('DEFAULT DATA'!$NV$9:$WC$41,START!$C$3,($N37+2))*-44/12)+($K37*INDEX('DEFAULT DATA'!$NV$9:$WC$41,START!$C$3,($N37+3))*-44/12)+($L37*INDEX('DEFAULT DATA'!$NV$9:$WC$41,START!$C$3,($N37+4))*-44/12)+($M37*INDEX('DEFAULT DATA'!$NV$9:$WC$41,START!$C$3,($N37+5))*-44/12)</f>
        <v>0</v>
      </c>
      <c r="U37" s="77">
        <f>($K37*INDEX('DEFAULT DATA'!$NV$9:$WC$41,START!$C$3,($N37))*-44/12)+($K37*INDEX('DEFAULT DATA'!$NV$9:$WC$41,START!$C$3,($N37+1))*-44/12)+($K37*INDEX('DEFAULT DATA'!$NV$9:$WC$41,START!$C$3,($N37+2))*-44/12)+($K37*INDEX('DEFAULT DATA'!$NV$9:$WC$41,START!$C$3,($N37+3))*-44/12)+($L37*INDEX('DEFAULT DATA'!$NV$9:$WC$41,START!$C$3,($N37+4))*-44/12)+($M37*INDEX('DEFAULT DATA'!$NV$9:$WC$41,START!$C$3,($N37+5))*-44/12)</f>
        <v>0</v>
      </c>
      <c r="V37" s="77">
        <f>($K37*INDEX('DEFAULT DATA'!$NV$9:$WC$41,START!$C$3,($N37))*-44/12)+($K37*INDEX('DEFAULT DATA'!$NV$9:$WC$41,START!$C$3,($N37+1))*-44/12)+($K37*INDEX('DEFAULT DATA'!$NV$9:$WC$41,START!$C$3,($N37+2))*-44/12)+($K37*INDEX('DEFAULT DATA'!$NV$9:$WC$41,START!$C$3,($N37+3))*-44/12)+($L37*INDEX('DEFAULT DATA'!$NV$9:$WC$41,START!$C$3,($N37+4))*-44/12)+($M37*INDEX('DEFAULT DATA'!$NV$9:$WC$41,START!$C$3,($N37+5))*-44/12)</f>
        <v>0</v>
      </c>
      <c r="W37" s="77">
        <f>($K37*INDEX('DEFAULT DATA'!$NV$9:$WC$41,START!$C$3,($N37))*-44/12)+($K37*INDEX('DEFAULT DATA'!$NV$9:$WC$41,START!$C$3,($N37+1))*-44/12)+($K37*INDEX('DEFAULT DATA'!$NV$9:$WC$41,START!$C$3,($N37+2))*-44/12)+($K37*INDEX('DEFAULT DATA'!$NV$9:$WC$41,START!$C$3,($N37+3))*-44/12)+($L37*INDEX('DEFAULT DATA'!$NV$9:$WC$41,START!$C$3,($N37+4))*-44/12)+($M37*INDEX('DEFAULT DATA'!$NV$9:$WC$41,START!$C$3,($N37+5))*-44/12)</f>
        <v>0</v>
      </c>
      <c r="X37" s="77">
        <f>($K37*INDEX('DEFAULT DATA'!$NV$9:$WC$41,START!$C$3,($N37))*-44/12)+($K37*INDEX('DEFAULT DATA'!$NV$9:$WC$41,START!$C$3,($N37+1))*-44/12)+($K37*INDEX('DEFAULT DATA'!$NV$9:$WC$41,START!$C$3,($N37+2))*-44/12)+($K37*INDEX('DEFAULT DATA'!$NV$9:$WC$41,START!$C$3,($N37+3))*-44/12)+($L37*INDEX('DEFAULT DATA'!$NV$9:$WC$41,START!$C$3,($N37+4))*-44/12)+($M37*INDEX('DEFAULT DATA'!$NV$9:$WC$41,START!$C$3,($N37+5))*-44/12)</f>
        <v>0</v>
      </c>
      <c r="Y37" s="77">
        <f>($K37*INDEX('DEFAULT DATA'!$NV$9:$WC$41,START!$C$3,($N37))*-44/12)+($K37*INDEX('DEFAULT DATA'!$NV$9:$WC$41,START!$C$3,($N37+1))*-44/12)+($K37*INDEX('DEFAULT DATA'!$NV$9:$WC$41,START!$C$3,($N37+2))*-44/12)+($K37*INDEX('DEFAULT DATA'!$NV$9:$WC$41,START!$C$3,($N37+3))*-44/12)+($L37*INDEX('DEFAULT DATA'!$NV$9:$WC$41,START!$C$3,($N37+4))*-44/12)+($M37*INDEX('DEFAULT DATA'!$NV$9:$WC$41,START!$C$3,($N37+5))*-44/12)</f>
        <v>0</v>
      </c>
      <c r="Z37" s="77">
        <f>($K37*INDEX('DEFAULT DATA'!$NV$9:$WC$41,START!$C$3,($N37))*-44/12)+($K37*INDEX('DEFAULT DATA'!$NV$9:$WC$41,START!$C$3,($N37+1))*-44/12)+($K37*INDEX('DEFAULT DATA'!$NV$9:$WC$41,START!$C$3,($N37+2))*-44/12)+($K37*INDEX('DEFAULT DATA'!$NV$9:$WC$41,START!$C$3,($N37+3))*-44/12)+($L37*INDEX('DEFAULT DATA'!$NV$9:$WC$41,START!$C$3,($N37+4))*-44/12)+($M37*INDEX('DEFAULT DATA'!$NV$9:$WC$41,START!$C$3,($N37+5))*-44/12)</f>
        <v>0</v>
      </c>
      <c r="AA37" s="77">
        <f>($K37*INDEX('DEFAULT DATA'!$NV$9:$WC$41,START!$C$3,($N37))*-44/12)+($K37*INDEX('DEFAULT DATA'!$NV$9:$WC$41,START!$C$3,($N37+1))*-44/12)+($K37*INDEX('DEFAULT DATA'!$NV$9:$WC$41,START!$C$3,($N37+2))*-44/12)+($K37*INDEX('DEFAULT DATA'!$NV$9:$WC$41,START!$C$3,($N37+3))*-44/12)+($L37*INDEX('DEFAULT DATA'!$NV$9:$WC$41,START!$C$3,($N37+4))*-44/12)+($M37*INDEX('DEFAULT DATA'!$NV$9:$WC$41,START!$C$3,($N37+5))*-44/12)</f>
        <v>0</v>
      </c>
      <c r="AB37" s="77">
        <f>($K37*INDEX('DEFAULT DATA'!$NV$9:$WC$41,START!$C$3,($N37))*-44/12)+($K37*INDEX('DEFAULT DATA'!$NV$9:$WC$41,START!$C$3,($N37+1))*-44/12)+($K37*INDEX('DEFAULT DATA'!$NV$9:$WC$41,START!$C$3,($N37+2))*-44/12)+($K37*INDEX('DEFAULT DATA'!$NV$9:$WC$41,START!$C$3,($N37+3))*-44/12)+($L37*INDEX('DEFAULT DATA'!$NV$9:$WC$41,START!$C$3,($N37+4))*-44/12)+($M37*INDEX('DEFAULT DATA'!$NV$9:$WC$41,START!$C$3,($N37+5))*-44/12)</f>
        <v>0</v>
      </c>
      <c r="AC37" s="77">
        <f>($K37*INDEX('DEFAULT DATA'!$NV$9:$WC$41,START!$C$3,($N37))*-44/12)+($K37*INDEX('DEFAULT DATA'!$NV$9:$WC$41,START!$C$3,($N37+1))*-44/12)+($K37*INDEX('DEFAULT DATA'!$NV$9:$WC$41,START!$C$3,($N37+2))*-44/12)+($K37*INDEX('DEFAULT DATA'!$NV$9:$WC$41,START!$C$3,($N37+3))*-44/12)+($L37*INDEX('DEFAULT DATA'!$NV$9:$WC$41,START!$C$3,($N37+4))*-44/12)+($M37*INDEX('DEFAULT DATA'!$NV$9:$WC$41,START!$C$3,($N37+5))*-44/12)</f>
        <v>0</v>
      </c>
      <c r="AD37" s="77">
        <f>($K37*INDEX('DEFAULT DATA'!$NV$9:$WC$41,START!$C$3,($N37))*-44/12)+($K37*INDEX('DEFAULT DATA'!$NV$9:$WC$41,START!$C$3,($N37+1))*-44/12)+($K37*INDEX('DEFAULT DATA'!$NV$9:$WC$41,START!$C$3,($N37+2))*-44/12)+($K37*INDEX('DEFAULT DATA'!$NV$9:$WC$41,START!$C$3,($N37+3))*-44/12)+($L37*INDEX('DEFAULT DATA'!$NV$9:$WC$41,START!$C$3,($N37+4))*-44/12)+($M37*INDEX('DEFAULT DATA'!$NV$9:$WC$41,START!$C$3,($N37+5))*-44/12)</f>
        <v>0</v>
      </c>
      <c r="AE37" s="77">
        <f>($K37*INDEX('DEFAULT DATA'!$NV$9:$WC$41,START!$C$3,($N37))*-44/12)+($K37*INDEX('DEFAULT DATA'!$NV$9:$WC$41,START!$C$3,($N37+1))*-44/12)+($K37*INDEX('DEFAULT DATA'!$NV$9:$WC$41,START!$C$3,($N37+2))*-44/12)+($K37*INDEX('DEFAULT DATA'!$NV$9:$WC$41,START!$C$3,($N37+3))*-44/12)+($L37*INDEX('DEFAULT DATA'!$NV$9:$WC$41,START!$C$3,($N37+4))*-44/12)+($M37*INDEX('DEFAULT DATA'!$NV$9:$WC$41,START!$C$3,($N37+5))*-44/12)</f>
        <v>0</v>
      </c>
      <c r="AF37" s="77">
        <f>($K37*INDEX('DEFAULT DATA'!$NV$9:$WC$41,START!$C$3,($N37))*-44/12)+($K37*INDEX('DEFAULT DATA'!$NV$9:$WC$41,START!$C$3,($N37+1))*-44/12)+($K37*INDEX('DEFAULT DATA'!$NV$9:$WC$41,START!$C$3,($N37+2))*-44/12)+($K37*INDEX('DEFAULT DATA'!$NV$9:$WC$41,START!$C$3,($N37+3))*-44/12)+($L37*INDEX('DEFAULT DATA'!$NV$9:$WC$41,START!$C$3,($N37+4))*-44/12)+($M37*INDEX('DEFAULT DATA'!$NV$9:$WC$41,START!$C$3,($N37+5))*-44/12)</f>
        <v>0</v>
      </c>
      <c r="AG37" s="77">
        <f>($K37*INDEX('DEFAULT DATA'!$NV$9:$WC$41,START!$C$3,($N37))*-44/12)+($K37*INDEX('DEFAULT DATA'!$NV$9:$WC$41,START!$C$3,($N37+1))*-44/12)+($K37*INDEX('DEFAULT DATA'!$NV$9:$WC$41,START!$C$3,($N37+2))*-44/12)+($K37*INDEX('DEFAULT DATA'!$NV$9:$WC$41,START!$C$3,($N37+3))*-44/12)+($L37*INDEX('DEFAULT DATA'!$NV$9:$WC$41,START!$C$3,($N37+4))*-44/12)+($M37*INDEX('DEFAULT DATA'!$NV$9:$WC$41,START!$C$3,($N37+5))*-44/12)</f>
        <v>0</v>
      </c>
      <c r="AH37" s="77">
        <f>($K37*INDEX('DEFAULT DATA'!$NV$9:$WC$41,START!$C$3,($N37))*-44/12)+($K37*INDEX('DEFAULT DATA'!$NV$9:$WC$41,START!$C$3,($N37+1))*-44/12)+($K37*INDEX('DEFAULT DATA'!$NV$9:$WC$41,START!$C$3,($N37+2))*-44/12)+($K37*INDEX('DEFAULT DATA'!$NV$9:$WC$41,START!$C$3,($N37+3))*-44/12)+($L37*INDEX('DEFAULT DATA'!$NV$9:$WC$41,START!$C$3,($N37+4))*-44/12)+($M37*INDEX('DEFAULT DATA'!$NV$9:$WC$41,START!$C$3,($N37+5))*-44/12)</f>
        <v>0</v>
      </c>
      <c r="AI37" s="77">
        <f>($K37*INDEX('DEFAULT DATA'!$NV$9:$WC$41,START!$C$3,($N37))*-44/12)+($K37*INDEX('DEFAULT DATA'!$NV$9:$WC$41,START!$C$3,($N37+1))*-44/12)+($K37*INDEX('DEFAULT DATA'!$NV$9:$WC$41,START!$C$3,($N37+2))*-44/12)+($K37*INDEX('DEFAULT DATA'!$NV$9:$WC$41,START!$C$3,($N37+3))*-44/12)+($L37*INDEX('DEFAULT DATA'!$NV$9:$WC$41,START!$C$3,($N37+4))*-44/12)+($M37*INDEX('DEFAULT DATA'!$NV$9:$WC$41,START!$C$3,($N37+5))*-44/12)</f>
        <v>0</v>
      </c>
      <c r="AJ37" s="77">
        <f>($K37*INDEX('DEFAULT DATA'!$NV$9:$WC$41,START!$C$3,($N37))*-44/12)+($K37*INDEX('DEFAULT DATA'!$NV$9:$WC$41,START!$C$3,($N37+1))*-44/12)+($K37*INDEX('DEFAULT DATA'!$NV$9:$WC$41,START!$C$3,($N37+2))*-44/12)+($K37*INDEX('DEFAULT DATA'!$NV$9:$WC$41,START!$C$3,($N37+3))*-44/12)+($L37*INDEX('DEFAULT DATA'!$NV$9:$WC$41,START!$C$3,($N37+4))*-44/12)+($M37*INDEX('DEFAULT DATA'!$NV$9:$WC$41,START!$C$3,($N37+5))*-44/12)</f>
        <v>0</v>
      </c>
      <c r="AK37" s="271">
        <f>(($K37*INDEX('DEFAULT DATA'!$UT$9:$UY$41,START!$C$3,1)*-44/12)+($K37*INDEX('DEFAULT DATA'!$UT$9:$UY$41,START!$C$3,2)*-44/12)+($K37*INDEX('DEFAULT DATA'!$UT$9:$UY$41,START!$C$3,3)*-44/12)+($K37*INDEX('DEFAULT DATA'!$UT$9:$UY$41,START!$C$3,4)*-44/12)+($L37*INDEX('DEFAULT DATA'!$UT$9:$UY$41,START!$C$3,5)*-44/12)+($M37*INDEX('DEFAULT DATA'!$UT$9:$UY$41,START!$C$3,6)*-44/12))</f>
        <v>0</v>
      </c>
      <c r="AL37" s="271">
        <f>(($K37*INDEX('DEFAULT DATA'!$UT$9:$UY$41,START!$C$3,1)*-44/12)+($K37*INDEX('DEFAULT DATA'!$UT$9:$UY$41,START!$C$3,2)*-44/12)+($K37*INDEX('DEFAULT DATA'!$UT$9:$UY$41,START!$C$3,3)*-44/12)+($K37*INDEX('DEFAULT DATA'!$UT$9:$UY$41,START!$C$3,4)*-44/12)+($L37*INDEX('DEFAULT DATA'!$UT$9:$UY$41,START!$C$3,5)*-44/12)+($M37*INDEX('DEFAULT DATA'!$UT$9:$UY$41,START!$C$3,6)*-44/12))</f>
        <v>0</v>
      </c>
      <c r="AM37" s="271">
        <f>(($K37*INDEX('DEFAULT DATA'!$UT$9:$UY$41,START!$C$3,1)*-44/12)+($K37*INDEX('DEFAULT DATA'!$UT$9:$UY$41,START!$C$3,2)*-44/12)+($K37*INDEX('DEFAULT DATA'!$UT$9:$UY$41,START!$C$3,3)*-44/12)+($K37*INDEX('DEFAULT DATA'!$UT$9:$UY$41,START!$C$3,4)*-44/12)+($L37*INDEX('DEFAULT DATA'!$UT$9:$UY$41,START!$C$3,5)*-44/12)+($M37*INDEX('DEFAULT DATA'!$UT$9:$UY$41,START!$C$3,6)*-44/12))</f>
        <v>0</v>
      </c>
      <c r="AN37" s="271">
        <f>(($K37*INDEX('DEFAULT DATA'!$UT$9:$UY$41,START!$C$3,1)*-44/12)+($K37*INDEX('DEFAULT DATA'!$UT$9:$UY$41,START!$C$3,2)*-44/12)+($K37*INDEX('DEFAULT DATA'!$UT$9:$UY$41,START!$C$3,3)*-44/12)+($K37*INDEX('DEFAULT DATA'!$UT$9:$UY$41,START!$C$3,4)*-44/12)+($L37*INDEX('DEFAULT DATA'!$UT$9:$UY$41,START!$C$3,5)*-44/12)+($M37*INDEX('DEFAULT DATA'!$UT$9:$UY$41,START!$C$3,6)*-44/12))</f>
        <v>0</v>
      </c>
      <c r="AO37" s="271">
        <f>(($K37*INDEX('DEFAULT DATA'!$UT$9:$UY$41,START!$C$3,1)*-44/12)+($K37*INDEX('DEFAULT DATA'!$UT$9:$UY$41,START!$C$3,2)*-44/12)+($K37*INDEX('DEFAULT DATA'!$UT$9:$UY$41,START!$C$3,3)*-44/12)+($K37*INDEX('DEFAULT DATA'!$UT$9:$UY$41,START!$C$3,4)*-44/12)+($L37*INDEX('DEFAULT DATA'!$UT$9:$UY$41,START!$C$3,5)*-44/12)+($M37*INDEX('DEFAULT DATA'!$UT$9:$UY$41,START!$C$3,6)*-44/12))</f>
        <v>0</v>
      </c>
      <c r="AP37" s="271">
        <f>(($K37*INDEX('DEFAULT DATA'!$UT$9:$UY$41,START!$C$3,1)*-44/12)+($K37*INDEX('DEFAULT DATA'!$UT$9:$UY$41,START!$C$3,2)*-44/12)+($K37*INDEX('DEFAULT DATA'!$UT$9:$UY$41,START!$C$3,3)*-44/12)+($K37*INDEX('DEFAULT DATA'!$UT$9:$UY$41,START!$C$3,4)*-44/12)+($L37*INDEX('DEFAULT DATA'!$UT$9:$UY$41,START!$C$3,5)*-44/12)+($M37*INDEX('DEFAULT DATA'!$UT$9:$UY$41,START!$C$3,6)*-44/12))</f>
        <v>0</v>
      </c>
      <c r="AQ37" s="271">
        <f>(($K37*INDEX('DEFAULT DATA'!$UT$9:$UY$41,START!$C$3,1)*-44/12)+($K37*INDEX('DEFAULT DATA'!$UT$9:$UY$41,START!$C$3,2)*-44/12)+($K37*INDEX('DEFAULT DATA'!$UT$9:$UY$41,START!$C$3,3)*-44/12)+($K37*INDEX('DEFAULT DATA'!$UT$9:$UY$41,START!$C$3,4)*-44/12)+($L37*INDEX('DEFAULT DATA'!$UT$9:$UY$41,START!$C$3,5)*-44/12)+($M37*INDEX('DEFAULT DATA'!$UT$9:$UY$41,START!$C$3,6)*-44/12))</f>
        <v>0</v>
      </c>
      <c r="AR37" s="271">
        <f>(($K37*INDEX('DEFAULT DATA'!$UT$9:$UY$41,START!$C$3,1)*-44/12)+($K37*INDEX('DEFAULT DATA'!$UT$9:$UY$41,START!$C$3,2)*-44/12)+($K37*INDEX('DEFAULT DATA'!$UT$9:$UY$41,START!$C$3,3)*-44/12)+($K37*INDEX('DEFAULT DATA'!$UT$9:$UY$41,START!$C$3,4)*-44/12)+($L37*INDEX('DEFAULT DATA'!$UT$9:$UY$41,START!$C$3,5)*-44/12)+($M37*INDEX('DEFAULT DATA'!$UT$9:$UY$41,START!$C$3,6)*-44/12))</f>
        <v>0</v>
      </c>
      <c r="AS37" s="271">
        <f>(($K37*INDEX('DEFAULT DATA'!$UT$9:$UY$41,START!$C$3,1)*-44/12)+($K37*INDEX('DEFAULT DATA'!$UT$9:$UY$41,START!$C$3,2)*-44/12)+($K37*INDEX('DEFAULT DATA'!$UT$9:$UY$41,START!$C$3,3)*-44/12)+($K37*INDEX('DEFAULT DATA'!$UT$9:$UY$41,START!$C$3,4)*-44/12)+($L37*INDEX('DEFAULT DATA'!$UT$9:$UY$41,START!$C$3,5)*-44/12)+($M37*INDEX('DEFAULT DATA'!$UT$9:$UY$41,START!$C$3,6)*-44/12))</f>
        <v>0</v>
      </c>
      <c r="AT37" s="272">
        <f>(($K37*INDEX('DEFAULT DATA'!$UT$9:$UY$41,START!$C$3,1)*-44/12)+($K37*INDEX('DEFAULT DATA'!$UT$9:$UY$41,START!$C$3,2)*-44/12)+($K37*INDEX('DEFAULT DATA'!$UT$9:$UY$41,START!$C$3,3)*-44/12)+($K37*INDEX('DEFAULT DATA'!$UT$9:$UY$41,START!$C$3,4)*-44/12)+($L37*INDEX('DEFAULT DATA'!$UT$9:$UY$41,START!$C$3,5)*-44/12)+($M37*INDEX('DEFAULT DATA'!$UT$9:$UY$41,START!$C$3,6)*-44/12))</f>
        <v>0</v>
      </c>
      <c r="AV37" s="1097" t="str">
        <f t="shared" si="42"/>
        <v>(INPUT1*CSC_COL37*-44/12)+(INPUT1*CSC_COL38*-44/12)+(INPUT1*CSC_COL39*-44/12)+(INPUT1*CSC_COL40*-44/12)+(INPUT2*CSC_COL41*-44/12)+(INPUT3*CSC_COL42*-44/12)</v>
      </c>
      <c r="AW37" s="1087" t="s">
        <v>3043</v>
      </c>
      <c r="AX37" s="1087" t="s">
        <v>3043</v>
      </c>
      <c r="AY37" s="1087" t="s">
        <v>3043</v>
      </c>
      <c r="AZ37" s="1087" t="s">
        <v>3043</v>
      </c>
      <c r="BA37" s="1087" t="s">
        <v>3043</v>
      </c>
      <c r="BB37" s="1087" t="s">
        <v>3043</v>
      </c>
      <c r="BC37" s="1087" t="s">
        <v>3043</v>
      </c>
      <c r="BD37" s="1087" t="s">
        <v>3043</v>
      </c>
      <c r="BE37" s="1087" t="s">
        <v>3043</v>
      </c>
      <c r="BF37" s="1087" t="s">
        <v>3043</v>
      </c>
      <c r="BG37" s="1087" t="s">
        <v>3043</v>
      </c>
      <c r="BH37" s="1087" t="s">
        <v>3043</v>
      </c>
      <c r="BI37" s="1087" t="s">
        <v>3043</v>
      </c>
      <c r="BJ37" s="1087" t="s">
        <v>3043</v>
      </c>
      <c r="BK37" s="1087" t="s">
        <v>3043</v>
      </c>
      <c r="BL37" s="1087" t="s">
        <v>3043</v>
      </c>
      <c r="BM37" s="1087" t="s">
        <v>3043</v>
      </c>
      <c r="BN37" s="1087" t="s">
        <v>3043</v>
      </c>
      <c r="BO37" s="1087" t="s">
        <v>3043</v>
      </c>
      <c r="BP37" s="1113" t="s">
        <v>3044</v>
      </c>
      <c r="BQ37" s="1113" t="s">
        <v>3045</v>
      </c>
      <c r="BR37" s="1113" t="s">
        <v>3045</v>
      </c>
      <c r="BS37" s="1113" t="s">
        <v>3045</v>
      </c>
      <c r="BT37" s="1113" t="s">
        <v>3045</v>
      </c>
      <c r="BU37" s="1113" t="s">
        <v>3045</v>
      </c>
      <c r="BV37" s="1113" t="s">
        <v>3045</v>
      </c>
      <c r="BW37" s="1113" t="s">
        <v>3045</v>
      </c>
      <c r="BX37" s="1113" t="s">
        <v>3045</v>
      </c>
      <c r="BY37" s="1114" t="s">
        <v>3045</v>
      </c>
    </row>
    <row r="38" spans="1:77" ht="20.100000000000001" customHeight="1">
      <c r="A38" s="265"/>
      <c r="B38" s="258"/>
      <c r="C38" s="258"/>
      <c r="D38" s="258"/>
      <c r="E38" s="258"/>
      <c r="F38" s="258"/>
      <c r="G38" s="258"/>
      <c r="H38" s="258"/>
      <c r="I38" s="259"/>
      <c r="J38" s="124"/>
      <c r="K38" s="309">
        <f t="shared" si="38"/>
        <v>0</v>
      </c>
      <c r="L38" s="310">
        <f t="shared" si="39"/>
        <v>0</v>
      </c>
      <c r="M38" s="310">
        <f t="shared" si="40"/>
        <v>0</v>
      </c>
      <c r="N38" s="81">
        <f t="shared" si="43"/>
        <v>19</v>
      </c>
      <c r="O38" s="311" t="s">
        <v>496</v>
      </c>
      <c r="P38" s="312">
        <f t="shared" si="41"/>
        <v>2025</v>
      </c>
      <c r="Q38" s="77">
        <f>($K38*INDEX('DEFAULT DATA'!$NV$9:$WC$41,START!$C$3,($N38))*-44/12)+($K38*INDEX('DEFAULT DATA'!$NV$9:$WC$41,START!$C$3,($N38+1))*-44/12)+($K38*INDEX('DEFAULT DATA'!$NV$9:$WC$41,START!$C$3,($N38+2))*-44/12)+($K38*INDEX('DEFAULT DATA'!$NV$9:$WC$41,START!$C$3,($N38+3))*-44/12)+($L38*INDEX('DEFAULT DATA'!$NV$9:$WC$41,START!$C$3,($N38+4))*-44/12)+($M38*INDEX('DEFAULT DATA'!$NV$9:$WC$41,START!$C$3,($N38+5))*-44/12)</f>
        <v>0</v>
      </c>
      <c r="R38" s="77">
        <f>($K38*INDEX('DEFAULT DATA'!$NV$9:$WC$41,START!$C$3,($N38))*-44/12)+($K38*INDEX('DEFAULT DATA'!$NV$9:$WC$41,START!$C$3,($N38+1))*-44/12)+($K38*INDEX('DEFAULT DATA'!$NV$9:$WC$41,START!$C$3,($N38+2))*-44/12)+($K38*INDEX('DEFAULT DATA'!$NV$9:$WC$41,START!$C$3,($N38+3))*-44/12)+($L38*INDEX('DEFAULT DATA'!$NV$9:$WC$41,START!$C$3,($N38+4))*-44/12)+($M38*INDEX('DEFAULT DATA'!$NV$9:$WC$41,START!$C$3,($N38+5))*-44/12)</f>
        <v>0</v>
      </c>
      <c r="S38" s="77">
        <f>($K38*INDEX('DEFAULT DATA'!$NV$9:$WC$41,START!$C$3,($N38))*-44/12)+($K38*INDEX('DEFAULT DATA'!$NV$9:$WC$41,START!$C$3,($N38+1))*-44/12)+($K38*INDEX('DEFAULT DATA'!$NV$9:$WC$41,START!$C$3,($N38+2))*-44/12)+($K38*INDEX('DEFAULT DATA'!$NV$9:$WC$41,START!$C$3,($N38+3))*-44/12)+($L38*INDEX('DEFAULT DATA'!$NV$9:$WC$41,START!$C$3,($N38+4))*-44/12)+($M38*INDEX('DEFAULT DATA'!$NV$9:$WC$41,START!$C$3,($N38+5))*-44/12)</f>
        <v>0</v>
      </c>
      <c r="T38" s="77">
        <f>($K38*INDEX('DEFAULT DATA'!$NV$9:$WC$41,START!$C$3,($N38))*-44/12)+($K38*INDEX('DEFAULT DATA'!$NV$9:$WC$41,START!$C$3,($N38+1))*-44/12)+($K38*INDEX('DEFAULT DATA'!$NV$9:$WC$41,START!$C$3,($N38+2))*-44/12)+($K38*INDEX('DEFAULT DATA'!$NV$9:$WC$41,START!$C$3,($N38+3))*-44/12)+($L38*INDEX('DEFAULT DATA'!$NV$9:$WC$41,START!$C$3,($N38+4))*-44/12)+($M38*INDEX('DEFAULT DATA'!$NV$9:$WC$41,START!$C$3,($N38+5))*-44/12)</f>
        <v>0</v>
      </c>
      <c r="U38" s="77">
        <f>($K38*INDEX('DEFAULT DATA'!$NV$9:$WC$41,START!$C$3,($N38))*-44/12)+($K38*INDEX('DEFAULT DATA'!$NV$9:$WC$41,START!$C$3,($N38+1))*-44/12)+($K38*INDEX('DEFAULT DATA'!$NV$9:$WC$41,START!$C$3,($N38+2))*-44/12)+($K38*INDEX('DEFAULT DATA'!$NV$9:$WC$41,START!$C$3,($N38+3))*-44/12)+($L38*INDEX('DEFAULT DATA'!$NV$9:$WC$41,START!$C$3,($N38+4))*-44/12)+($M38*INDEX('DEFAULT DATA'!$NV$9:$WC$41,START!$C$3,($N38+5))*-44/12)</f>
        <v>0</v>
      </c>
      <c r="V38" s="77">
        <f>($K38*INDEX('DEFAULT DATA'!$NV$9:$WC$41,START!$C$3,($N38))*-44/12)+($K38*INDEX('DEFAULT DATA'!$NV$9:$WC$41,START!$C$3,($N38+1))*-44/12)+($K38*INDEX('DEFAULT DATA'!$NV$9:$WC$41,START!$C$3,($N38+2))*-44/12)+($K38*INDEX('DEFAULT DATA'!$NV$9:$WC$41,START!$C$3,($N38+3))*-44/12)+($L38*INDEX('DEFAULT DATA'!$NV$9:$WC$41,START!$C$3,($N38+4))*-44/12)+($M38*INDEX('DEFAULT DATA'!$NV$9:$WC$41,START!$C$3,($N38+5))*-44/12)</f>
        <v>0</v>
      </c>
      <c r="W38" s="77">
        <f>($K38*INDEX('DEFAULT DATA'!$NV$9:$WC$41,START!$C$3,($N38))*-44/12)+($K38*INDEX('DEFAULT DATA'!$NV$9:$WC$41,START!$C$3,($N38+1))*-44/12)+($K38*INDEX('DEFAULT DATA'!$NV$9:$WC$41,START!$C$3,($N38+2))*-44/12)+($K38*INDEX('DEFAULT DATA'!$NV$9:$WC$41,START!$C$3,($N38+3))*-44/12)+($L38*INDEX('DEFAULT DATA'!$NV$9:$WC$41,START!$C$3,($N38+4))*-44/12)+($M38*INDEX('DEFAULT DATA'!$NV$9:$WC$41,START!$C$3,($N38+5))*-44/12)</f>
        <v>0</v>
      </c>
      <c r="X38" s="77">
        <f>($K38*INDEX('DEFAULT DATA'!$NV$9:$WC$41,START!$C$3,($N38))*-44/12)+($K38*INDEX('DEFAULT DATA'!$NV$9:$WC$41,START!$C$3,($N38+1))*-44/12)+($K38*INDEX('DEFAULT DATA'!$NV$9:$WC$41,START!$C$3,($N38+2))*-44/12)+($K38*INDEX('DEFAULT DATA'!$NV$9:$WC$41,START!$C$3,($N38+3))*-44/12)+($L38*INDEX('DEFAULT DATA'!$NV$9:$WC$41,START!$C$3,($N38+4))*-44/12)+($M38*INDEX('DEFAULT DATA'!$NV$9:$WC$41,START!$C$3,($N38+5))*-44/12)</f>
        <v>0</v>
      </c>
      <c r="Y38" s="77">
        <f>($K38*INDEX('DEFAULT DATA'!$NV$9:$WC$41,START!$C$3,($N38))*-44/12)+($K38*INDEX('DEFAULT DATA'!$NV$9:$WC$41,START!$C$3,($N38+1))*-44/12)+($K38*INDEX('DEFAULT DATA'!$NV$9:$WC$41,START!$C$3,($N38+2))*-44/12)+($K38*INDEX('DEFAULT DATA'!$NV$9:$WC$41,START!$C$3,($N38+3))*-44/12)+($L38*INDEX('DEFAULT DATA'!$NV$9:$WC$41,START!$C$3,($N38+4))*-44/12)+($M38*INDEX('DEFAULT DATA'!$NV$9:$WC$41,START!$C$3,($N38+5))*-44/12)</f>
        <v>0</v>
      </c>
      <c r="Z38" s="77">
        <f>($K38*INDEX('DEFAULT DATA'!$NV$9:$WC$41,START!$C$3,($N38))*-44/12)+($K38*INDEX('DEFAULT DATA'!$NV$9:$WC$41,START!$C$3,($N38+1))*-44/12)+($K38*INDEX('DEFAULT DATA'!$NV$9:$WC$41,START!$C$3,($N38+2))*-44/12)+($K38*INDEX('DEFAULT DATA'!$NV$9:$WC$41,START!$C$3,($N38+3))*-44/12)+($L38*INDEX('DEFAULT DATA'!$NV$9:$WC$41,START!$C$3,($N38+4))*-44/12)+($M38*INDEX('DEFAULT DATA'!$NV$9:$WC$41,START!$C$3,($N38+5))*-44/12)</f>
        <v>0</v>
      </c>
      <c r="AA38" s="77">
        <f>($K38*INDEX('DEFAULT DATA'!$NV$9:$WC$41,START!$C$3,($N38))*-44/12)+($K38*INDEX('DEFAULT DATA'!$NV$9:$WC$41,START!$C$3,($N38+1))*-44/12)+($K38*INDEX('DEFAULT DATA'!$NV$9:$WC$41,START!$C$3,($N38+2))*-44/12)+($K38*INDEX('DEFAULT DATA'!$NV$9:$WC$41,START!$C$3,($N38+3))*-44/12)+($L38*INDEX('DEFAULT DATA'!$NV$9:$WC$41,START!$C$3,($N38+4))*-44/12)+($M38*INDEX('DEFAULT DATA'!$NV$9:$WC$41,START!$C$3,($N38+5))*-44/12)</f>
        <v>0</v>
      </c>
      <c r="AB38" s="77">
        <f>($K38*INDEX('DEFAULT DATA'!$NV$9:$WC$41,START!$C$3,($N38))*-44/12)+($K38*INDEX('DEFAULT DATA'!$NV$9:$WC$41,START!$C$3,($N38+1))*-44/12)+($K38*INDEX('DEFAULT DATA'!$NV$9:$WC$41,START!$C$3,($N38+2))*-44/12)+($K38*INDEX('DEFAULT DATA'!$NV$9:$WC$41,START!$C$3,($N38+3))*-44/12)+($L38*INDEX('DEFAULT DATA'!$NV$9:$WC$41,START!$C$3,($N38+4))*-44/12)+($M38*INDEX('DEFAULT DATA'!$NV$9:$WC$41,START!$C$3,($N38+5))*-44/12)</f>
        <v>0</v>
      </c>
      <c r="AC38" s="77">
        <f>($K38*INDEX('DEFAULT DATA'!$NV$9:$WC$41,START!$C$3,($N38))*-44/12)+($K38*INDEX('DEFAULT DATA'!$NV$9:$WC$41,START!$C$3,($N38+1))*-44/12)+($K38*INDEX('DEFAULT DATA'!$NV$9:$WC$41,START!$C$3,($N38+2))*-44/12)+($K38*INDEX('DEFAULT DATA'!$NV$9:$WC$41,START!$C$3,($N38+3))*-44/12)+($L38*INDEX('DEFAULT DATA'!$NV$9:$WC$41,START!$C$3,($N38+4))*-44/12)+($M38*INDEX('DEFAULT DATA'!$NV$9:$WC$41,START!$C$3,($N38+5))*-44/12)</f>
        <v>0</v>
      </c>
      <c r="AD38" s="77">
        <f>($K38*INDEX('DEFAULT DATA'!$NV$9:$WC$41,START!$C$3,($N38))*-44/12)+($K38*INDEX('DEFAULT DATA'!$NV$9:$WC$41,START!$C$3,($N38+1))*-44/12)+($K38*INDEX('DEFAULT DATA'!$NV$9:$WC$41,START!$C$3,($N38+2))*-44/12)+($K38*INDEX('DEFAULT DATA'!$NV$9:$WC$41,START!$C$3,($N38+3))*-44/12)+($L38*INDEX('DEFAULT DATA'!$NV$9:$WC$41,START!$C$3,($N38+4))*-44/12)+($M38*INDEX('DEFAULT DATA'!$NV$9:$WC$41,START!$C$3,($N38+5))*-44/12)</f>
        <v>0</v>
      </c>
      <c r="AE38" s="77">
        <f>($K38*INDEX('DEFAULT DATA'!$NV$9:$WC$41,START!$C$3,($N38))*-44/12)+($K38*INDEX('DEFAULT DATA'!$NV$9:$WC$41,START!$C$3,($N38+1))*-44/12)+($K38*INDEX('DEFAULT DATA'!$NV$9:$WC$41,START!$C$3,($N38+2))*-44/12)+($K38*INDEX('DEFAULT DATA'!$NV$9:$WC$41,START!$C$3,($N38+3))*-44/12)+($L38*INDEX('DEFAULT DATA'!$NV$9:$WC$41,START!$C$3,($N38+4))*-44/12)+($M38*INDEX('DEFAULT DATA'!$NV$9:$WC$41,START!$C$3,($N38+5))*-44/12)</f>
        <v>0</v>
      </c>
      <c r="AF38" s="77">
        <f>($K38*INDEX('DEFAULT DATA'!$NV$9:$WC$41,START!$C$3,($N38))*-44/12)+($K38*INDEX('DEFAULT DATA'!$NV$9:$WC$41,START!$C$3,($N38+1))*-44/12)+($K38*INDEX('DEFAULT DATA'!$NV$9:$WC$41,START!$C$3,($N38+2))*-44/12)+($K38*INDEX('DEFAULT DATA'!$NV$9:$WC$41,START!$C$3,($N38+3))*-44/12)+($L38*INDEX('DEFAULT DATA'!$NV$9:$WC$41,START!$C$3,($N38+4))*-44/12)+($M38*INDEX('DEFAULT DATA'!$NV$9:$WC$41,START!$C$3,($N38+5))*-44/12)</f>
        <v>0</v>
      </c>
      <c r="AG38" s="77">
        <f>($K38*INDEX('DEFAULT DATA'!$NV$9:$WC$41,START!$C$3,($N38))*-44/12)+($K38*INDEX('DEFAULT DATA'!$NV$9:$WC$41,START!$C$3,($N38+1))*-44/12)+($K38*INDEX('DEFAULT DATA'!$NV$9:$WC$41,START!$C$3,($N38+2))*-44/12)+($K38*INDEX('DEFAULT DATA'!$NV$9:$WC$41,START!$C$3,($N38+3))*-44/12)+($L38*INDEX('DEFAULT DATA'!$NV$9:$WC$41,START!$C$3,($N38+4))*-44/12)+($M38*INDEX('DEFAULT DATA'!$NV$9:$WC$41,START!$C$3,($N38+5))*-44/12)</f>
        <v>0</v>
      </c>
      <c r="AH38" s="77">
        <f>($K38*INDEX('DEFAULT DATA'!$NV$9:$WC$41,START!$C$3,($N38))*-44/12)+($K38*INDEX('DEFAULT DATA'!$NV$9:$WC$41,START!$C$3,($N38+1))*-44/12)+($K38*INDEX('DEFAULT DATA'!$NV$9:$WC$41,START!$C$3,($N38+2))*-44/12)+($K38*INDEX('DEFAULT DATA'!$NV$9:$WC$41,START!$C$3,($N38+3))*-44/12)+($L38*INDEX('DEFAULT DATA'!$NV$9:$WC$41,START!$C$3,($N38+4))*-44/12)+($M38*INDEX('DEFAULT DATA'!$NV$9:$WC$41,START!$C$3,($N38+5))*-44/12)</f>
        <v>0</v>
      </c>
      <c r="AI38" s="77">
        <f>($K38*INDEX('DEFAULT DATA'!$NV$9:$WC$41,START!$C$3,($N38))*-44/12)+($K38*INDEX('DEFAULT DATA'!$NV$9:$WC$41,START!$C$3,($N38+1))*-44/12)+($K38*INDEX('DEFAULT DATA'!$NV$9:$WC$41,START!$C$3,($N38+2))*-44/12)+($K38*INDEX('DEFAULT DATA'!$NV$9:$WC$41,START!$C$3,($N38+3))*-44/12)+($L38*INDEX('DEFAULT DATA'!$NV$9:$WC$41,START!$C$3,($N38+4))*-44/12)+($M38*INDEX('DEFAULT DATA'!$NV$9:$WC$41,START!$C$3,($N38+5))*-44/12)</f>
        <v>0</v>
      </c>
      <c r="AJ38" s="77">
        <f>($K38*INDEX('DEFAULT DATA'!$NV$9:$WC$41,START!$C$3,($N38))*-44/12)+($K38*INDEX('DEFAULT DATA'!$NV$9:$WC$41,START!$C$3,($N38+1))*-44/12)+($K38*INDEX('DEFAULT DATA'!$NV$9:$WC$41,START!$C$3,($N38+2))*-44/12)+($K38*INDEX('DEFAULT DATA'!$NV$9:$WC$41,START!$C$3,($N38+3))*-44/12)+($L38*INDEX('DEFAULT DATA'!$NV$9:$WC$41,START!$C$3,($N38+4))*-44/12)+($M38*INDEX('DEFAULT DATA'!$NV$9:$WC$41,START!$C$3,($N38+5))*-44/12)</f>
        <v>0</v>
      </c>
      <c r="AK38" s="271">
        <f>(($K38*INDEX('DEFAULT DATA'!$UT$9:$UY$41,START!$C$3,1)*-44/12)+($K38*INDEX('DEFAULT DATA'!$UT$9:$UY$41,START!$C$3,2)*-44/12)+($K38*INDEX('DEFAULT DATA'!$UT$9:$UY$41,START!$C$3,3)*-44/12)+($K38*INDEX('DEFAULT DATA'!$UT$9:$UY$41,START!$C$3,4)*-44/12)+($L38*INDEX('DEFAULT DATA'!$UT$9:$UY$41,START!$C$3,5)*-44/12)+($M38*INDEX('DEFAULT DATA'!$UT$9:$UY$41,START!$C$3,6)*-44/12))</f>
        <v>0</v>
      </c>
      <c r="AL38" s="271">
        <f>(($K38*INDEX('DEFAULT DATA'!$UT$9:$UY$41,START!$C$3,1)*-44/12)+($K38*INDEX('DEFAULT DATA'!$UT$9:$UY$41,START!$C$3,2)*-44/12)+($K38*INDEX('DEFAULT DATA'!$UT$9:$UY$41,START!$C$3,3)*-44/12)+($K38*INDEX('DEFAULT DATA'!$UT$9:$UY$41,START!$C$3,4)*-44/12)+($L38*INDEX('DEFAULT DATA'!$UT$9:$UY$41,START!$C$3,5)*-44/12)+($M38*INDEX('DEFAULT DATA'!$UT$9:$UY$41,START!$C$3,6)*-44/12))</f>
        <v>0</v>
      </c>
      <c r="AM38" s="271">
        <f>(($K38*INDEX('DEFAULT DATA'!$UT$9:$UY$41,START!$C$3,1)*-44/12)+($K38*INDEX('DEFAULT DATA'!$UT$9:$UY$41,START!$C$3,2)*-44/12)+($K38*INDEX('DEFAULT DATA'!$UT$9:$UY$41,START!$C$3,3)*-44/12)+($K38*INDEX('DEFAULT DATA'!$UT$9:$UY$41,START!$C$3,4)*-44/12)+($L38*INDEX('DEFAULT DATA'!$UT$9:$UY$41,START!$C$3,5)*-44/12)+($M38*INDEX('DEFAULT DATA'!$UT$9:$UY$41,START!$C$3,6)*-44/12))</f>
        <v>0</v>
      </c>
      <c r="AN38" s="271">
        <f>(($K38*INDEX('DEFAULT DATA'!$UT$9:$UY$41,START!$C$3,1)*-44/12)+($K38*INDEX('DEFAULT DATA'!$UT$9:$UY$41,START!$C$3,2)*-44/12)+($K38*INDEX('DEFAULT DATA'!$UT$9:$UY$41,START!$C$3,3)*-44/12)+($K38*INDEX('DEFAULT DATA'!$UT$9:$UY$41,START!$C$3,4)*-44/12)+($L38*INDEX('DEFAULT DATA'!$UT$9:$UY$41,START!$C$3,5)*-44/12)+($M38*INDEX('DEFAULT DATA'!$UT$9:$UY$41,START!$C$3,6)*-44/12))</f>
        <v>0</v>
      </c>
      <c r="AO38" s="271">
        <f>(($K38*INDEX('DEFAULT DATA'!$UT$9:$UY$41,START!$C$3,1)*-44/12)+($K38*INDEX('DEFAULT DATA'!$UT$9:$UY$41,START!$C$3,2)*-44/12)+($K38*INDEX('DEFAULT DATA'!$UT$9:$UY$41,START!$C$3,3)*-44/12)+($K38*INDEX('DEFAULT DATA'!$UT$9:$UY$41,START!$C$3,4)*-44/12)+($L38*INDEX('DEFAULT DATA'!$UT$9:$UY$41,START!$C$3,5)*-44/12)+($M38*INDEX('DEFAULT DATA'!$UT$9:$UY$41,START!$C$3,6)*-44/12))</f>
        <v>0</v>
      </c>
      <c r="AP38" s="271">
        <f>(($K38*INDEX('DEFAULT DATA'!$UT$9:$UY$41,START!$C$3,1)*-44/12)+($K38*INDEX('DEFAULT DATA'!$UT$9:$UY$41,START!$C$3,2)*-44/12)+($K38*INDEX('DEFAULT DATA'!$UT$9:$UY$41,START!$C$3,3)*-44/12)+($K38*INDEX('DEFAULT DATA'!$UT$9:$UY$41,START!$C$3,4)*-44/12)+($L38*INDEX('DEFAULT DATA'!$UT$9:$UY$41,START!$C$3,5)*-44/12)+($M38*INDEX('DEFAULT DATA'!$UT$9:$UY$41,START!$C$3,6)*-44/12))</f>
        <v>0</v>
      </c>
      <c r="AQ38" s="271">
        <f>(($K38*INDEX('DEFAULT DATA'!$UT$9:$UY$41,START!$C$3,1)*-44/12)+($K38*INDEX('DEFAULT DATA'!$UT$9:$UY$41,START!$C$3,2)*-44/12)+($K38*INDEX('DEFAULT DATA'!$UT$9:$UY$41,START!$C$3,3)*-44/12)+($K38*INDEX('DEFAULT DATA'!$UT$9:$UY$41,START!$C$3,4)*-44/12)+($L38*INDEX('DEFAULT DATA'!$UT$9:$UY$41,START!$C$3,5)*-44/12)+($M38*INDEX('DEFAULT DATA'!$UT$9:$UY$41,START!$C$3,6)*-44/12))</f>
        <v>0</v>
      </c>
      <c r="AR38" s="271">
        <f>(($K38*INDEX('DEFAULT DATA'!$UT$9:$UY$41,START!$C$3,1)*-44/12)+($K38*INDEX('DEFAULT DATA'!$UT$9:$UY$41,START!$C$3,2)*-44/12)+($K38*INDEX('DEFAULT DATA'!$UT$9:$UY$41,START!$C$3,3)*-44/12)+($K38*INDEX('DEFAULT DATA'!$UT$9:$UY$41,START!$C$3,4)*-44/12)+($L38*INDEX('DEFAULT DATA'!$UT$9:$UY$41,START!$C$3,5)*-44/12)+($M38*INDEX('DEFAULT DATA'!$UT$9:$UY$41,START!$C$3,6)*-44/12))</f>
        <v>0</v>
      </c>
      <c r="AS38" s="271">
        <f>(($K38*INDEX('DEFAULT DATA'!$UT$9:$UY$41,START!$C$3,1)*-44/12)+($K38*INDEX('DEFAULT DATA'!$UT$9:$UY$41,START!$C$3,2)*-44/12)+($K38*INDEX('DEFAULT DATA'!$UT$9:$UY$41,START!$C$3,3)*-44/12)+($K38*INDEX('DEFAULT DATA'!$UT$9:$UY$41,START!$C$3,4)*-44/12)+($L38*INDEX('DEFAULT DATA'!$UT$9:$UY$41,START!$C$3,5)*-44/12)+($M38*INDEX('DEFAULT DATA'!$UT$9:$UY$41,START!$C$3,6)*-44/12))</f>
        <v>0</v>
      </c>
      <c r="AT38" s="272">
        <f>(($K38*INDEX('DEFAULT DATA'!$UT$9:$UY$41,START!$C$3,1)*-44/12)+($K38*INDEX('DEFAULT DATA'!$UT$9:$UY$41,START!$C$3,2)*-44/12)+($K38*INDEX('DEFAULT DATA'!$UT$9:$UY$41,START!$C$3,3)*-44/12)+($K38*INDEX('DEFAULT DATA'!$UT$9:$UY$41,START!$C$3,4)*-44/12)+($L38*INDEX('DEFAULT DATA'!$UT$9:$UY$41,START!$C$3,5)*-44/12)+($M38*INDEX('DEFAULT DATA'!$UT$9:$UY$41,START!$C$3,6)*-44/12))</f>
        <v>0</v>
      </c>
      <c r="AV38" s="1097" t="str">
        <f t="shared" si="42"/>
        <v>(INPUT1*CSC_COL43*-44/12)+(INPUT1*CSC_COL44*-44/12)+(INPUT1*CSC_COL45*-44/12)+(INPUT1*CSC_COL46*-44/12)+(INPUT2*CSC_COL47*-44/12)+(INPUT3*CSC_COL48*-44/12)</v>
      </c>
      <c r="AW38" s="1087" t="s">
        <v>3043</v>
      </c>
      <c r="AX38" s="1087" t="s">
        <v>3043</v>
      </c>
      <c r="AY38" s="1087" t="s">
        <v>3043</v>
      </c>
      <c r="AZ38" s="1087" t="s">
        <v>3043</v>
      </c>
      <c r="BA38" s="1087" t="s">
        <v>3043</v>
      </c>
      <c r="BB38" s="1087" t="s">
        <v>3043</v>
      </c>
      <c r="BC38" s="1087" t="s">
        <v>3043</v>
      </c>
      <c r="BD38" s="1087" t="s">
        <v>3043</v>
      </c>
      <c r="BE38" s="1087" t="s">
        <v>3043</v>
      </c>
      <c r="BF38" s="1087" t="s">
        <v>3043</v>
      </c>
      <c r="BG38" s="1087" t="s">
        <v>3043</v>
      </c>
      <c r="BH38" s="1087" t="s">
        <v>3043</v>
      </c>
      <c r="BI38" s="1087" t="s">
        <v>3043</v>
      </c>
      <c r="BJ38" s="1087" t="s">
        <v>3043</v>
      </c>
      <c r="BK38" s="1087" t="s">
        <v>3043</v>
      </c>
      <c r="BL38" s="1087" t="s">
        <v>3043</v>
      </c>
      <c r="BM38" s="1087" t="s">
        <v>3043</v>
      </c>
      <c r="BN38" s="1087" t="s">
        <v>3043</v>
      </c>
      <c r="BO38" s="1087" t="s">
        <v>3043</v>
      </c>
      <c r="BP38" s="1112" t="s">
        <v>3044</v>
      </c>
      <c r="BQ38" s="1113" t="s">
        <v>3045</v>
      </c>
      <c r="BR38" s="1113" t="s">
        <v>3045</v>
      </c>
      <c r="BS38" s="1113" t="s">
        <v>3045</v>
      </c>
      <c r="BT38" s="1113" t="s">
        <v>3045</v>
      </c>
      <c r="BU38" s="1113" t="s">
        <v>3045</v>
      </c>
      <c r="BV38" s="1113" t="s">
        <v>3045</v>
      </c>
      <c r="BW38" s="1113" t="s">
        <v>3045</v>
      </c>
      <c r="BX38" s="1113" t="s">
        <v>3045</v>
      </c>
      <c r="BY38" s="1114" t="s">
        <v>3045</v>
      </c>
    </row>
    <row r="39" spans="1:77" ht="20.100000000000001" customHeight="1" thickBot="1">
      <c r="A39" s="265"/>
      <c r="B39" s="258"/>
      <c r="C39" s="258"/>
      <c r="D39" s="258"/>
      <c r="E39" s="258"/>
      <c r="F39" s="258"/>
      <c r="G39" s="258"/>
      <c r="H39" s="258"/>
      <c r="I39" s="259"/>
      <c r="J39" s="124"/>
      <c r="K39" s="313">
        <f t="shared" si="38"/>
        <v>0</v>
      </c>
      <c r="L39" s="314">
        <f t="shared" si="39"/>
        <v>0</v>
      </c>
      <c r="M39" s="314">
        <f t="shared" si="40"/>
        <v>0</v>
      </c>
      <c r="N39" s="155">
        <f t="shared" si="43"/>
        <v>25</v>
      </c>
      <c r="O39" s="315" t="s">
        <v>497</v>
      </c>
      <c r="P39" s="316">
        <f t="shared" si="41"/>
        <v>2025</v>
      </c>
      <c r="Q39" s="273">
        <f>($K39*INDEX('DEFAULT DATA'!$NV$9:$WC$41,START!$C$3,($N39))*-44/12)+($K39*INDEX('DEFAULT DATA'!$NV$9:$WC$41,START!$C$3,($N39+1))*-44/12)+($K39*INDEX('DEFAULT DATA'!$NV$9:$WC$41,START!$C$3,($N39+2))*-44/12)+($K39*INDEX('DEFAULT DATA'!$NV$9:$WC$41,START!$C$3,($N39+3))*-44/12)+($L39*INDEX('DEFAULT DATA'!$NV$9:$WC$41,START!$C$3,($N39+4))*-44/12)+($M39*INDEX('DEFAULT DATA'!$NV$9:$WC$41,START!$C$3,($N39+5))*-44/12)</f>
        <v>0</v>
      </c>
      <c r="R39" s="273">
        <f>($K39*INDEX('DEFAULT DATA'!$NV$9:$WC$41,START!$C$3,($N39))*-44/12)+($K39*INDEX('DEFAULT DATA'!$NV$9:$WC$41,START!$C$3,($N39+1))*-44/12)+($K39*INDEX('DEFAULT DATA'!$NV$9:$WC$41,START!$C$3,($N39+2))*-44/12)+($K39*INDEX('DEFAULT DATA'!$NV$9:$WC$41,START!$C$3,($N39+3))*-44/12)+($L39*INDEX('DEFAULT DATA'!$NV$9:$WC$41,START!$C$3,($N39+4))*-44/12)+($M39*INDEX('DEFAULT DATA'!$NV$9:$WC$41,START!$C$3,($N39+5))*-44/12)</f>
        <v>0</v>
      </c>
      <c r="S39" s="273">
        <f>($K39*INDEX('DEFAULT DATA'!$NV$9:$WC$41,START!$C$3,($N39))*-44/12)+($K39*INDEX('DEFAULT DATA'!$NV$9:$WC$41,START!$C$3,($N39+1))*-44/12)+($K39*INDEX('DEFAULT DATA'!$NV$9:$WC$41,START!$C$3,($N39+2))*-44/12)+($K39*INDEX('DEFAULT DATA'!$NV$9:$WC$41,START!$C$3,($N39+3))*-44/12)+($L39*INDEX('DEFAULT DATA'!$NV$9:$WC$41,START!$C$3,($N39+4))*-44/12)+($M39*INDEX('DEFAULT DATA'!$NV$9:$WC$41,START!$C$3,($N39+5))*-44/12)</f>
        <v>0</v>
      </c>
      <c r="T39" s="273">
        <f>($K39*INDEX('DEFAULT DATA'!$NV$9:$WC$41,START!$C$3,($N39))*-44/12)+($K39*INDEX('DEFAULT DATA'!$NV$9:$WC$41,START!$C$3,($N39+1))*-44/12)+($K39*INDEX('DEFAULT DATA'!$NV$9:$WC$41,START!$C$3,($N39+2))*-44/12)+($K39*INDEX('DEFAULT DATA'!$NV$9:$WC$41,START!$C$3,($N39+3))*-44/12)+($L39*INDEX('DEFAULT DATA'!$NV$9:$WC$41,START!$C$3,($N39+4))*-44/12)+($M39*INDEX('DEFAULT DATA'!$NV$9:$WC$41,START!$C$3,($N39+5))*-44/12)</f>
        <v>0</v>
      </c>
      <c r="U39" s="273">
        <f>($K39*INDEX('DEFAULT DATA'!$NV$9:$WC$41,START!$C$3,($N39))*-44/12)+($K39*INDEX('DEFAULT DATA'!$NV$9:$WC$41,START!$C$3,($N39+1))*-44/12)+($K39*INDEX('DEFAULT DATA'!$NV$9:$WC$41,START!$C$3,($N39+2))*-44/12)+($K39*INDEX('DEFAULT DATA'!$NV$9:$WC$41,START!$C$3,($N39+3))*-44/12)+($L39*INDEX('DEFAULT DATA'!$NV$9:$WC$41,START!$C$3,($N39+4))*-44/12)+($M39*INDEX('DEFAULT DATA'!$NV$9:$WC$41,START!$C$3,($N39+5))*-44/12)</f>
        <v>0</v>
      </c>
      <c r="V39" s="273">
        <f>($K39*INDEX('DEFAULT DATA'!$NV$9:$WC$41,START!$C$3,($N39))*-44/12)+($K39*INDEX('DEFAULT DATA'!$NV$9:$WC$41,START!$C$3,($N39+1))*-44/12)+($K39*INDEX('DEFAULT DATA'!$NV$9:$WC$41,START!$C$3,($N39+2))*-44/12)+($K39*INDEX('DEFAULT DATA'!$NV$9:$WC$41,START!$C$3,($N39+3))*-44/12)+($L39*INDEX('DEFAULT DATA'!$NV$9:$WC$41,START!$C$3,($N39+4))*-44/12)+($M39*INDEX('DEFAULT DATA'!$NV$9:$WC$41,START!$C$3,($N39+5))*-44/12)</f>
        <v>0</v>
      </c>
      <c r="W39" s="273">
        <f>($K39*INDEX('DEFAULT DATA'!$NV$9:$WC$41,START!$C$3,($N39))*-44/12)+($K39*INDEX('DEFAULT DATA'!$NV$9:$WC$41,START!$C$3,($N39+1))*-44/12)+($K39*INDEX('DEFAULT DATA'!$NV$9:$WC$41,START!$C$3,($N39+2))*-44/12)+($K39*INDEX('DEFAULT DATA'!$NV$9:$WC$41,START!$C$3,($N39+3))*-44/12)+($L39*INDEX('DEFAULT DATA'!$NV$9:$WC$41,START!$C$3,($N39+4))*-44/12)+($M39*INDEX('DEFAULT DATA'!$NV$9:$WC$41,START!$C$3,($N39+5))*-44/12)</f>
        <v>0</v>
      </c>
      <c r="X39" s="273">
        <f>($K39*INDEX('DEFAULT DATA'!$NV$9:$WC$41,START!$C$3,($N39))*-44/12)+($K39*INDEX('DEFAULT DATA'!$NV$9:$WC$41,START!$C$3,($N39+1))*-44/12)+($K39*INDEX('DEFAULT DATA'!$NV$9:$WC$41,START!$C$3,($N39+2))*-44/12)+($K39*INDEX('DEFAULT DATA'!$NV$9:$WC$41,START!$C$3,($N39+3))*-44/12)+($L39*INDEX('DEFAULT DATA'!$NV$9:$WC$41,START!$C$3,($N39+4))*-44/12)+($M39*INDEX('DEFAULT DATA'!$NV$9:$WC$41,START!$C$3,($N39+5))*-44/12)</f>
        <v>0</v>
      </c>
      <c r="Y39" s="273">
        <f>($K39*INDEX('DEFAULT DATA'!$NV$9:$WC$41,START!$C$3,($N39))*-44/12)+($K39*INDEX('DEFAULT DATA'!$NV$9:$WC$41,START!$C$3,($N39+1))*-44/12)+($K39*INDEX('DEFAULT DATA'!$NV$9:$WC$41,START!$C$3,($N39+2))*-44/12)+($K39*INDEX('DEFAULT DATA'!$NV$9:$WC$41,START!$C$3,($N39+3))*-44/12)+($L39*INDEX('DEFAULT DATA'!$NV$9:$WC$41,START!$C$3,($N39+4))*-44/12)+($M39*INDEX('DEFAULT DATA'!$NV$9:$WC$41,START!$C$3,($N39+5))*-44/12)</f>
        <v>0</v>
      </c>
      <c r="Z39" s="273">
        <f>($K39*INDEX('DEFAULT DATA'!$NV$9:$WC$41,START!$C$3,($N39))*-44/12)+($K39*INDEX('DEFAULT DATA'!$NV$9:$WC$41,START!$C$3,($N39+1))*-44/12)+($K39*INDEX('DEFAULT DATA'!$NV$9:$WC$41,START!$C$3,($N39+2))*-44/12)+($K39*INDEX('DEFAULT DATA'!$NV$9:$WC$41,START!$C$3,($N39+3))*-44/12)+($L39*INDEX('DEFAULT DATA'!$NV$9:$WC$41,START!$C$3,($N39+4))*-44/12)+($M39*INDEX('DEFAULT DATA'!$NV$9:$WC$41,START!$C$3,($N39+5))*-44/12)</f>
        <v>0</v>
      </c>
      <c r="AA39" s="273">
        <f>($K39*INDEX('DEFAULT DATA'!$NV$9:$WC$41,START!$C$3,($N39))*-44/12)+($K39*INDEX('DEFAULT DATA'!$NV$9:$WC$41,START!$C$3,($N39+1))*-44/12)+($K39*INDEX('DEFAULT DATA'!$NV$9:$WC$41,START!$C$3,($N39+2))*-44/12)+($K39*INDEX('DEFAULT DATA'!$NV$9:$WC$41,START!$C$3,($N39+3))*-44/12)+($L39*INDEX('DEFAULT DATA'!$NV$9:$WC$41,START!$C$3,($N39+4))*-44/12)+($M39*INDEX('DEFAULT DATA'!$NV$9:$WC$41,START!$C$3,($N39+5))*-44/12)</f>
        <v>0</v>
      </c>
      <c r="AB39" s="273">
        <f>($K39*INDEX('DEFAULT DATA'!$NV$9:$WC$41,START!$C$3,($N39))*-44/12)+($K39*INDEX('DEFAULT DATA'!$NV$9:$WC$41,START!$C$3,($N39+1))*-44/12)+($K39*INDEX('DEFAULT DATA'!$NV$9:$WC$41,START!$C$3,($N39+2))*-44/12)+($K39*INDEX('DEFAULT DATA'!$NV$9:$WC$41,START!$C$3,($N39+3))*-44/12)+($L39*INDEX('DEFAULT DATA'!$NV$9:$WC$41,START!$C$3,($N39+4))*-44/12)+($M39*INDEX('DEFAULT DATA'!$NV$9:$WC$41,START!$C$3,($N39+5))*-44/12)</f>
        <v>0</v>
      </c>
      <c r="AC39" s="273">
        <f>($K39*INDEX('DEFAULT DATA'!$NV$9:$WC$41,START!$C$3,($N39))*-44/12)+($K39*INDEX('DEFAULT DATA'!$NV$9:$WC$41,START!$C$3,($N39+1))*-44/12)+($K39*INDEX('DEFAULT DATA'!$NV$9:$WC$41,START!$C$3,($N39+2))*-44/12)+($K39*INDEX('DEFAULT DATA'!$NV$9:$WC$41,START!$C$3,($N39+3))*-44/12)+($L39*INDEX('DEFAULT DATA'!$NV$9:$WC$41,START!$C$3,($N39+4))*-44/12)+($M39*INDEX('DEFAULT DATA'!$NV$9:$WC$41,START!$C$3,($N39+5))*-44/12)</f>
        <v>0</v>
      </c>
      <c r="AD39" s="273">
        <f>($K39*INDEX('DEFAULT DATA'!$NV$9:$WC$41,START!$C$3,($N39))*-44/12)+($K39*INDEX('DEFAULT DATA'!$NV$9:$WC$41,START!$C$3,($N39+1))*-44/12)+($K39*INDEX('DEFAULT DATA'!$NV$9:$WC$41,START!$C$3,($N39+2))*-44/12)+($K39*INDEX('DEFAULT DATA'!$NV$9:$WC$41,START!$C$3,($N39+3))*-44/12)+($L39*INDEX('DEFAULT DATA'!$NV$9:$WC$41,START!$C$3,($N39+4))*-44/12)+($M39*INDEX('DEFAULT DATA'!$NV$9:$WC$41,START!$C$3,($N39+5))*-44/12)</f>
        <v>0</v>
      </c>
      <c r="AE39" s="273">
        <f>($K39*INDEX('DEFAULT DATA'!$NV$9:$WC$41,START!$C$3,($N39))*-44/12)+($K39*INDEX('DEFAULT DATA'!$NV$9:$WC$41,START!$C$3,($N39+1))*-44/12)+($K39*INDEX('DEFAULT DATA'!$NV$9:$WC$41,START!$C$3,($N39+2))*-44/12)+($K39*INDEX('DEFAULT DATA'!$NV$9:$WC$41,START!$C$3,($N39+3))*-44/12)+($L39*INDEX('DEFAULT DATA'!$NV$9:$WC$41,START!$C$3,($N39+4))*-44/12)+($M39*INDEX('DEFAULT DATA'!$NV$9:$WC$41,START!$C$3,($N39+5))*-44/12)</f>
        <v>0</v>
      </c>
      <c r="AF39" s="273">
        <f>($K39*INDEX('DEFAULT DATA'!$NV$9:$WC$41,START!$C$3,($N39))*-44/12)+($K39*INDEX('DEFAULT DATA'!$NV$9:$WC$41,START!$C$3,($N39+1))*-44/12)+($K39*INDEX('DEFAULT DATA'!$NV$9:$WC$41,START!$C$3,($N39+2))*-44/12)+($K39*INDEX('DEFAULT DATA'!$NV$9:$WC$41,START!$C$3,($N39+3))*-44/12)+($L39*INDEX('DEFAULT DATA'!$NV$9:$WC$41,START!$C$3,($N39+4))*-44/12)+($M39*INDEX('DEFAULT DATA'!$NV$9:$WC$41,START!$C$3,($N39+5))*-44/12)</f>
        <v>0</v>
      </c>
      <c r="AG39" s="273">
        <f>($K39*INDEX('DEFAULT DATA'!$NV$9:$WC$41,START!$C$3,($N39))*-44/12)+($K39*INDEX('DEFAULT DATA'!$NV$9:$WC$41,START!$C$3,($N39+1))*-44/12)+($K39*INDEX('DEFAULT DATA'!$NV$9:$WC$41,START!$C$3,($N39+2))*-44/12)+($K39*INDEX('DEFAULT DATA'!$NV$9:$WC$41,START!$C$3,($N39+3))*-44/12)+($L39*INDEX('DEFAULT DATA'!$NV$9:$WC$41,START!$C$3,($N39+4))*-44/12)+($M39*INDEX('DEFAULT DATA'!$NV$9:$WC$41,START!$C$3,($N39+5))*-44/12)</f>
        <v>0</v>
      </c>
      <c r="AH39" s="273">
        <f>($K39*INDEX('DEFAULT DATA'!$NV$9:$WC$41,START!$C$3,($N39))*-44/12)+($K39*INDEX('DEFAULT DATA'!$NV$9:$WC$41,START!$C$3,($N39+1))*-44/12)+($K39*INDEX('DEFAULT DATA'!$NV$9:$WC$41,START!$C$3,($N39+2))*-44/12)+($K39*INDEX('DEFAULT DATA'!$NV$9:$WC$41,START!$C$3,($N39+3))*-44/12)+($L39*INDEX('DEFAULT DATA'!$NV$9:$WC$41,START!$C$3,($N39+4))*-44/12)+($M39*INDEX('DEFAULT DATA'!$NV$9:$WC$41,START!$C$3,($N39+5))*-44/12)</f>
        <v>0</v>
      </c>
      <c r="AI39" s="273">
        <f>($K39*INDEX('DEFAULT DATA'!$NV$9:$WC$41,START!$C$3,($N39))*-44/12)+($K39*INDEX('DEFAULT DATA'!$NV$9:$WC$41,START!$C$3,($N39+1))*-44/12)+($K39*INDEX('DEFAULT DATA'!$NV$9:$WC$41,START!$C$3,($N39+2))*-44/12)+($K39*INDEX('DEFAULT DATA'!$NV$9:$WC$41,START!$C$3,($N39+3))*-44/12)+($L39*INDEX('DEFAULT DATA'!$NV$9:$WC$41,START!$C$3,($N39+4))*-44/12)+($M39*INDEX('DEFAULT DATA'!$NV$9:$WC$41,START!$C$3,($N39+5))*-44/12)</f>
        <v>0</v>
      </c>
      <c r="AJ39" s="273">
        <f>($K39*INDEX('DEFAULT DATA'!$NV$9:$WC$41,START!$C$3,($N39))*-44/12)+($K39*INDEX('DEFAULT DATA'!$NV$9:$WC$41,START!$C$3,($N39+1))*-44/12)+($K39*INDEX('DEFAULT DATA'!$NV$9:$WC$41,START!$C$3,($N39+2))*-44/12)+($K39*INDEX('DEFAULT DATA'!$NV$9:$WC$41,START!$C$3,($N39+3))*-44/12)+($L39*INDEX('DEFAULT DATA'!$NV$9:$WC$41,START!$C$3,($N39+4))*-44/12)+($M39*INDEX('DEFAULT DATA'!$NV$9:$WC$41,START!$C$3,($N39+5))*-44/12)</f>
        <v>0</v>
      </c>
      <c r="AK39" s="274">
        <f>(($K39*INDEX('DEFAULT DATA'!$UT$9:$UY$41,START!$C$3,1)*-44/12)+($K39*INDEX('DEFAULT DATA'!$UT$9:$UY$41,START!$C$3,2)*-44/12)+($K39*INDEX('DEFAULT DATA'!$UT$9:$UY$41,START!$C$3,3)*-44/12)+($K39*INDEX('DEFAULT DATA'!$UT$9:$UY$41,START!$C$3,4)*-44/12)+($L39*INDEX('DEFAULT DATA'!$UT$9:$UY$41,START!$C$3,5)*-44/12)+($M39*INDEX('DEFAULT DATA'!$UT$9:$UY$41,START!$C$3,6)*-44/12))</f>
        <v>0</v>
      </c>
      <c r="AL39" s="274">
        <f>(($K39*INDEX('DEFAULT DATA'!$UT$9:$UY$41,START!$C$3,1)*-44/12)+($K39*INDEX('DEFAULT DATA'!$UT$9:$UY$41,START!$C$3,2)*-44/12)+($K39*INDEX('DEFAULT DATA'!$UT$9:$UY$41,START!$C$3,3)*-44/12)+($K39*INDEX('DEFAULT DATA'!$UT$9:$UY$41,START!$C$3,4)*-44/12)+($L39*INDEX('DEFAULT DATA'!$UT$9:$UY$41,START!$C$3,5)*-44/12)+($M39*INDEX('DEFAULT DATA'!$UT$9:$UY$41,START!$C$3,6)*-44/12))</f>
        <v>0</v>
      </c>
      <c r="AM39" s="274">
        <f>(($K39*INDEX('DEFAULT DATA'!$UT$9:$UY$41,START!$C$3,1)*-44/12)+($K39*INDEX('DEFAULT DATA'!$UT$9:$UY$41,START!$C$3,2)*-44/12)+($K39*INDEX('DEFAULT DATA'!$UT$9:$UY$41,START!$C$3,3)*-44/12)+($K39*INDEX('DEFAULT DATA'!$UT$9:$UY$41,START!$C$3,4)*-44/12)+($L39*INDEX('DEFAULT DATA'!$UT$9:$UY$41,START!$C$3,5)*-44/12)+($M39*INDEX('DEFAULT DATA'!$UT$9:$UY$41,START!$C$3,6)*-44/12))</f>
        <v>0</v>
      </c>
      <c r="AN39" s="274">
        <f>(($K39*INDEX('DEFAULT DATA'!$UT$9:$UY$41,START!$C$3,1)*-44/12)+($K39*INDEX('DEFAULT DATA'!$UT$9:$UY$41,START!$C$3,2)*-44/12)+($K39*INDEX('DEFAULT DATA'!$UT$9:$UY$41,START!$C$3,3)*-44/12)+($K39*INDEX('DEFAULT DATA'!$UT$9:$UY$41,START!$C$3,4)*-44/12)+($L39*INDEX('DEFAULT DATA'!$UT$9:$UY$41,START!$C$3,5)*-44/12)+($M39*INDEX('DEFAULT DATA'!$UT$9:$UY$41,START!$C$3,6)*-44/12))</f>
        <v>0</v>
      </c>
      <c r="AO39" s="274">
        <f>(($K39*INDEX('DEFAULT DATA'!$UT$9:$UY$41,START!$C$3,1)*-44/12)+($K39*INDEX('DEFAULT DATA'!$UT$9:$UY$41,START!$C$3,2)*-44/12)+($K39*INDEX('DEFAULT DATA'!$UT$9:$UY$41,START!$C$3,3)*-44/12)+($K39*INDEX('DEFAULT DATA'!$UT$9:$UY$41,START!$C$3,4)*-44/12)+($L39*INDEX('DEFAULT DATA'!$UT$9:$UY$41,START!$C$3,5)*-44/12)+($M39*INDEX('DEFAULT DATA'!$UT$9:$UY$41,START!$C$3,6)*-44/12))</f>
        <v>0</v>
      </c>
      <c r="AP39" s="274">
        <f>(($K39*INDEX('DEFAULT DATA'!$UT$9:$UY$41,START!$C$3,1)*-44/12)+($K39*INDEX('DEFAULT DATA'!$UT$9:$UY$41,START!$C$3,2)*-44/12)+($K39*INDEX('DEFAULT DATA'!$UT$9:$UY$41,START!$C$3,3)*-44/12)+($K39*INDEX('DEFAULT DATA'!$UT$9:$UY$41,START!$C$3,4)*-44/12)+($L39*INDEX('DEFAULT DATA'!$UT$9:$UY$41,START!$C$3,5)*-44/12)+($M39*INDEX('DEFAULT DATA'!$UT$9:$UY$41,START!$C$3,6)*-44/12))</f>
        <v>0</v>
      </c>
      <c r="AQ39" s="274">
        <f>(($K39*INDEX('DEFAULT DATA'!$UT$9:$UY$41,START!$C$3,1)*-44/12)+($K39*INDEX('DEFAULT DATA'!$UT$9:$UY$41,START!$C$3,2)*-44/12)+($K39*INDEX('DEFAULT DATA'!$UT$9:$UY$41,START!$C$3,3)*-44/12)+($K39*INDEX('DEFAULT DATA'!$UT$9:$UY$41,START!$C$3,4)*-44/12)+($L39*INDEX('DEFAULT DATA'!$UT$9:$UY$41,START!$C$3,5)*-44/12)+($M39*INDEX('DEFAULT DATA'!$UT$9:$UY$41,START!$C$3,6)*-44/12))</f>
        <v>0</v>
      </c>
      <c r="AR39" s="274">
        <f>(($K39*INDEX('DEFAULT DATA'!$UT$9:$UY$41,START!$C$3,1)*-44/12)+($K39*INDEX('DEFAULT DATA'!$UT$9:$UY$41,START!$C$3,2)*-44/12)+($K39*INDEX('DEFAULT DATA'!$UT$9:$UY$41,START!$C$3,3)*-44/12)+($K39*INDEX('DEFAULT DATA'!$UT$9:$UY$41,START!$C$3,4)*-44/12)+($L39*INDEX('DEFAULT DATA'!$UT$9:$UY$41,START!$C$3,5)*-44/12)+($M39*INDEX('DEFAULT DATA'!$UT$9:$UY$41,START!$C$3,6)*-44/12))</f>
        <v>0</v>
      </c>
      <c r="AS39" s="274">
        <f>(($K39*INDEX('DEFAULT DATA'!$UT$9:$UY$41,START!$C$3,1)*-44/12)+($K39*INDEX('DEFAULT DATA'!$UT$9:$UY$41,START!$C$3,2)*-44/12)+($K39*INDEX('DEFAULT DATA'!$UT$9:$UY$41,START!$C$3,3)*-44/12)+($K39*INDEX('DEFAULT DATA'!$UT$9:$UY$41,START!$C$3,4)*-44/12)+($L39*INDEX('DEFAULT DATA'!$UT$9:$UY$41,START!$C$3,5)*-44/12)+($M39*INDEX('DEFAULT DATA'!$UT$9:$UY$41,START!$C$3,6)*-44/12))</f>
        <v>0</v>
      </c>
      <c r="AT39" s="275">
        <f>(($K39*INDEX('DEFAULT DATA'!$UT$9:$UY$41,START!$C$3,1)*-44/12)+($K39*INDEX('DEFAULT DATA'!$UT$9:$UY$41,START!$C$3,2)*-44/12)+($K39*INDEX('DEFAULT DATA'!$UT$9:$UY$41,START!$C$3,3)*-44/12)+($K39*INDEX('DEFAULT DATA'!$UT$9:$UY$41,START!$C$3,4)*-44/12)+($L39*INDEX('DEFAULT DATA'!$UT$9:$UY$41,START!$C$3,5)*-44/12)+($M39*INDEX('DEFAULT DATA'!$UT$9:$UY$41,START!$C$3,6)*-44/12))</f>
        <v>0</v>
      </c>
      <c r="AV39" s="1098" t="str">
        <f t="shared" si="42"/>
        <v>(INPUT1*CSC_COL49*-44/12)+(INPUT1*CSC_COL50*-44/12)+(INPUT1*CSC_COL51*-44/12)+(INPUT1*CSC_COL52*-44/12)+(INPUT2*CSC_COL53*-44/12)+(INPUT3*CSC_COL54*-44/12)</v>
      </c>
      <c r="AW39" s="1099" t="s">
        <v>3043</v>
      </c>
      <c r="AX39" s="1099" t="s">
        <v>3043</v>
      </c>
      <c r="AY39" s="1099" t="s">
        <v>3043</v>
      </c>
      <c r="AZ39" s="1099" t="s">
        <v>3043</v>
      </c>
      <c r="BA39" s="1099" t="s">
        <v>3043</v>
      </c>
      <c r="BB39" s="1099" t="s">
        <v>3043</v>
      </c>
      <c r="BC39" s="1099" t="s">
        <v>3043</v>
      </c>
      <c r="BD39" s="1099" t="s">
        <v>3043</v>
      </c>
      <c r="BE39" s="1099" t="s">
        <v>3043</v>
      </c>
      <c r="BF39" s="1099" t="s">
        <v>3043</v>
      </c>
      <c r="BG39" s="1099" t="s">
        <v>3043</v>
      </c>
      <c r="BH39" s="1099" t="s">
        <v>3043</v>
      </c>
      <c r="BI39" s="1099" t="s">
        <v>3043</v>
      </c>
      <c r="BJ39" s="1099" t="s">
        <v>3043</v>
      </c>
      <c r="BK39" s="1099" t="s">
        <v>3043</v>
      </c>
      <c r="BL39" s="1099" t="s">
        <v>3043</v>
      </c>
      <c r="BM39" s="1099" t="s">
        <v>3043</v>
      </c>
      <c r="BN39" s="1099" t="s">
        <v>3043</v>
      </c>
      <c r="BO39" s="1099" t="s">
        <v>3043</v>
      </c>
      <c r="BP39" s="1115" t="s">
        <v>3044</v>
      </c>
      <c r="BQ39" s="1115" t="s">
        <v>3045</v>
      </c>
      <c r="BR39" s="1115" t="s">
        <v>3045</v>
      </c>
      <c r="BS39" s="1115" t="s">
        <v>3045</v>
      </c>
      <c r="BT39" s="1115" t="s">
        <v>3045</v>
      </c>
      <c r="BU39" s="1115" t="s">
        <v>3045</v>
      </c>
      <c r="BV39" s="1115" t="s">
        <v>3045</v>
      </c>
      <c r="BW39" s="1115" t="s">
        <v>3045</v>
      </c>
      <c r="BX39" s="1115" t="s">
        <v>3045</v>
      </c>
      <c r="BY39" s="1116" t="s">
        <v>3045</v>
      </c>
    </row>
    <row r="40" spans="1:77" ht="20.100000000000001" customHeight="1">
      <c r="A40" s="265"/>
      <c r="B40" s="258"/>
      <c r="C40" s="258"/>
      <c r="D40" s="258"/>
      <c r="E40" s="258"/>
      <c r="F40" s="258"/>
      <c r="G40" s="258"/>
      <c r="H40" s="258"/>
      <c r="I40" s="259"/>
      <c r="J40" s="124"/>
      <c r="K40" s="306">
        <f t="shared" si="38"/>
        <v>0</v>
      </c>
      <c r="L40" s="210">
        <f t="shared" si="39"/>
        <v>0</v>
      </c>
      <c r="M40" s="210">
        <f t="shared" si="40"/>
        <v>0</v>
      </c>
      <c r="N40" s="152">
        <f t="shared" si="43"/>
        <v>31</v>
      </c>
      <c r="O40" s="307" t="s">
        <v>498</v>
      </c>
      <c r="P40" s="308">
        <f t="shared" si="41"/>
        <v>2022</v>
      </c>
      <c r="Q40" s="205">
        <f>($K40*INDEX('DEFAULT DATA'!$NV$9:$WC$41,START!$C$3,($N40))*-44/12)+($K40*INDEX('DEFAULT DATA'!$NV$9:$WC$41,START!$C$3,($N40+1))*-44/12)+($K40*INDEX('DEFAULT DATA'!$NV$9:$WC$41,START!$C$3,($N40+2))*-44/12)+($K40*INDEX('DEFAULT DATA'!$NV$9:$WC$41,START!$C$3,($N40+3))*-44/12)+($L40*INDEX('DEFAULT DATA'!$NV$9:$WC$41,START!$C$3,($N40+4))*-44/12)+($M40*INDEX('DEFAULT DATA'!$NV$9:$WC$41,START!$C$3,($N40+5))*-44/12)</f>
        <v>0</v>
      </c>
      <c r="R40" s="205">
        <f>($L40*INDEX('DEFAULT DATA'!$NV$9:$WC$41,START!$C$3,($N40+4))*-44/12)+($M40*INDEX('DEFAULT DATA'!$NV$9:$WC$41,START!$C$3,($N40+5))*-44/12)</f>
        <v>0</v>
      </c>
      <c r="S40" s="205">
        <f>($L40*INDEX('DEFAULT DATA'!$NV$9:$WC$41,START!$C$3,($N40+4))*-44/12)+($M40*INDEX('DEFAULT DATA'!$NV$9:$WC$41,START!$C$3,($N40+5))*-44/12)</f>
        <v>0</v>
      </c>
      <c r="T40" s="205">
        <f>($L40*INDEX('DEFAULT DATA'!$NV$9:$WC$41,START!$C$3,($N40+4))*-44/12)+($M40*INDEX('DEFAULT DATA'!$NV$9:$WC$41,START!$C$3,($N40+5))*-44/12)</f>
        <v>0</v>
      </c>
      <c r="U40" s="205">
        <f>($L40*INDEX('DEFAULT DATA'!$NV$9:$WC$41,START!$C$3,($N40+4))*-44/12)+($M40*INDEX('DEFAULT DATA'!$NV$9:$WC$41,START!$C$3,($N40+5))*-44/12)</f>
        <v>0</v>
      </c>
      <c r="V40" s="205">
        <f>($L40*INDEX('DEFAULT DATA'!$NV$9:$WC$41,START!$C$3,($N40+4))*-44/12)+($M40*INDEX('DEFAULT DATA'!$NV$9:$WC$41,START!$C$3,($N40+5))*-44/12)</f>
        <v>0</v>
      </c>
      <c r="W40" s="205">
        <f>($L40*INDEX('DEFAULT DATA'!$NV$9:$WC$41,START!$C$3,($N40+4))*-44/12)+($M40*INDEX('DEFAULT DATA'!$NV$9:$WC$41,START!$C$3,($N40+5))*-44/12)</f>
        <v>0</v>
      </c>
      <c r="X40" s="205">
        <f>($L40*INDEX('DEFAULT DATA'!$NV$9:$WC$41,START!$C$3,($N40+4))*-44/12)+($M40*INDEX('DEFAULT DATA'!$NV$9:$WC$41,START!$C$3,($N40+5))*-44/12)</f>
        <v>0</v>
      </c>
      <c r="Y40" s="205">
        <f>($L40*INDEX('DEFAULT DATA'!$NV$9:$WC$41,START!$C$3,($N40+4))*-44/12)+($M40*INDEX('DEFAULT DATA'!$NV$9:$WC$41,START!$C$3,($N40+5))*-44/12)</f>
        <v>0</v>
      </c>
      <c r="Z40" s="205">
        <f>($L40*INDEX('DEFAULT DATA'!$NV$9:$WC$41,START!$C$3,($N40+4))*-44/12)+($M40*INDEX('DEFAULT DATA'!$NV$9:$WC$41,START!$C$3,($N40+5))*-44/12)</f>
        <v>0</v>
      </c>
      <c r="AA40" s="205">
        <f>($L40*INDEX('DEFAULT DATA'!$NV$9:$WC$41,START!$C$3,($N40+4))*-44/12)+($M40*INDEX('DEFAULT DATA'!$NV$9:$WC$41,START!$C$3,($N40+5))*-44/12)</f>
        <v>0</v>
      </c>
      <c r="AB40" s="205">
        <f>($L40*INDEX('DEFAULT DATA'!$NV$9:$WC$41,START!$C$3,($N40+4))*-44/12)+($M40*INDEX('DEFAULT DATA'!$NV$9:$WC$41,START!$C$3,($N40+5))*-44/12)</f>
        <v>0</v>
      </c>
      <c r="AC40" s="205">
        <f>($L40*INDEX('DEFAULT DATA'!$NV$9:$WC$41,START!$C$3,($N40+4))*-44/12)+($M40*INDEX('DEFAULT DATA'!$NV$9:$WC$41,START!$C$3,($N40+5))*-44/12)</f>
        <v>0</v>
      </c>
      <c r="AD40" s="205">
        <f>($L40*INDEX('DEFAULT DATA'!$NV$9:$WC$41,START!$C$3,($N40+4))*-44/12)+($M40*INDEX('DEFAULT DATA'!$NV$9:$WC$41,START!$C$3,($N40+5))*-44/12)</f>
        <v>0</v>
      </c>
      <c r="AE40" s="205">
        <f>($L40*INDEX('DEFAULT DATA'!$NV$9:$WC$41,START!$C$3,($N40+4))*-44/12)+($M40*INDEX('DEFAULT DATA'!$NV$9:$WC$41,START!$C$3,($N40+5))*-44/12)</f>
        <v>0</v>
      </c>
      <c r="AF40" s="205">
        <f>($L40*INDEX('DEFAULT DATA'!$NV$9:$WC$41,START!$C$3,($N40+4))*-44/12)+($M40*INDEX('DEFAULT DATA'!$NV$9:$WC$41,START!$C$3,($N40+5))*-44/12)</f>
        <v>0</v>
      </c>
      <c r="AG40" s="205">
        <f>($L40*INDEX('DEFAULT DATA'!$NV$9:$WC$41,START!$C$3,($N40+4))*-44/12)+($M40*INDEX('DEFAULT DATA'!$NV$9:$WC$41,START!$C$3,($N40+5))*-44/12)</f>
        <v>0</v>
      </c>
      <c r="AH40" s="205">
        <f>($L40*INDEX('DEFAULT DATA'!$NV$9:$WC$41,START!$C$3,($N40+4))*-44/12)+($M40*INDEX('DEFAULT DATA'!$NV$9:$WC$41,START!$C$3,($N40+5))*-44/12)</f>
        <v>0</v>
      </c>
      <c r="AI40" s="205">
        <f>($L40*INDEX('DEFAULT DATA'!$NV$9:$WC$41,START!$C$3,($N40+4))*-44/12)+($M40*INDEX('DEFAULT DATA'!$NV$9:$WC$41,START!$C$3,($N40+5))*-44/12)</f>
        <v>0</v>
      </c>
      <c r="AJ40" s="205">
        <f>($L40*INDEX('DEFAULT DATA'!$NV$9:$WC$41,START!$C$3,($N40+4))*-44/12)+($M40*INDEX('DEFAULT DATA'!$NV$9:$WC$41,START!$C$3,($N40+5))*-44/12)</f>
        <v>0</v>
      </c>
      <c r="AK40" s="205">
        <f>(($K40*INDEX('DEFAULT DATA'!$UZ$9:$VE$41,START!$C$3,1)*-44/12)+($K40*INDEX('DEFAULT DATA'!$UZ$9:$VE$41,START!$C$3,2)*-44/12)+($K40*INDEX('DEFAULT DATA'!$UZ$9:$VE$41,START!$C$3,3)*-44/12)+($K40*INDEX('DEFAULT DATA'!$UZ$9:$VE$41,START!$C$3,4)*-44/12)+($L40*INDEX('DEFAULT DATA'!$UZ$9:$VE$41,START!$C$3,5)*-44/12)+($M40*INDEX('DEFAULT DATA'!$UZ$9:$VE$41,START!$C$3,6)*-44/12))</f>
        <v>0</v>
      </c>
      <c r="AL40" s="205">
        <f>(($K40*INDEX('DEFAULT DATA'!$UZ$9:$VE$41,START!$C$3,1)*-44/12)+($K40*INDEX('DEFAULT DATA'!$UZ$9:$VE$41,START!$C$3,2)*-44/12)+($K40*INDEX('DEFAULT DATA'!$UZ$9:$VE$41,START!$C$3,3)*-44/12)+($K40*INDEX('DEFAULT DATA'!$UZ$9:$VE$41,START!$C$3,4)*-44/12)+($L40*INDEX('DEFAULT DATA'!$UZ$9:$VE$41,START!$C$3,5)*-44/12)+($M40*INDEX('DEFAULT DATA'!$UZ$9:$VE$41,START!$C$3,6)*-44/12))</f>
        <v>0</v>
      </c>
      <c r="AM40" s="205">
        <f>(($K40*INDEX('DEFAULT DATA'!$UZ$9:$VE$41,START!$C$3,1)*-44/12)+($K40*INDEX('DEFAULT DATA'!$UZ$9:$VE$41,START!$C$3,2)*-44/12)+($K40*INDEX('DEFAULT DATA'!$UZ$9:$VE$41,START!$C$3,3)*-44/12)+($K40*INDEX('DEFAULT DATA'!$UZ$9:$VE$41,START!$C$3,4)*-44/12)+($L40*INDEX('DEFAULT DATA'!$UZ$9:$VE$41,START!$C$3,5)*-44/12)+($M40*INDEX('DEFAULT DATA'!$UZ$9:$VE$41,START!$C$3,6)*-44/12))</f>
        <v>0</v>
      </c>
      <c r="AN40" s="205">
        <f>(($K40*INDEX('DEFAULT DATA'!$UZ$9:$VE$41,START!$C$3,1)*-44/12)+($K40*INDEX('DEFAULT DATA'!$UZ$9:$VE$41,START!$C$3,2)*-44/12)+($K40*INDEX('DEFAULT DATA'!$UZ$9:$VE$41,START!$C$3,3)*-44/12)+($K40*INDEX('DEFAULT DATA'!$UZ$9:$VE$41,START!$C$3,4)*-44/12)+($L40*INDEX('DEFAULT DATA'!$UZ$9:$VE$41,START!$C$3,5)*-44/12)+($M40*INDEX('DEFAULT DATA'!$UZ$9:$VE$41,START!$C$3,6)*-44/12))</f>
        <v>0</v>
      </c>
      <c r="AO40" s="205">
        <f>(($K40*INDEX('DEFAULT DATA'!$UZ$9:$VE$41,START!$C$3,1)*-44/12)+($K40*INDEX('DEFAULT DATA'!$UZ$9:$VE$41,START!$C$3,2)*-44/12)+($K40*INDEX('DEFAULT DATA'!$UZ$9:$VE$41,START!$C$3,3)*-44/12)+($K40*INDEX('DEFAULT DATA'!$UZ$9:$VE$41,START!$C$3,4)*-44/12)+($L40*INDEX('DEFAULT DATA'!$UZ$9:$VE$41,START!$C$3,5)*-44/12)+($M40*INDEX('DEFAULT DATA'!$UZ$9:$VE$41,START!$C$3,6)*-44/12))</f>
        <v>0</v>
      </c>
      <c r="AP40" s="205">
        <f>(($K40*INDEX('DEFAULT DATA'!$UZ$9:$VE$41,START!$C$3,1)*-44/12)+($K40*INDEX('DEFAULT DATA'!$UZ$9:$VE$41,START!$C$3,2)*-44/12)+($K40*INDEX('DEFAULT DATA'!$UZ$9:$VE$41,START!$C$3,3)*-44/12)+($K40*INDEX('DEFAULT DATA'!$UZ$9:$VE$41,START!$C$3,4)*-44/12)+($L40*INDEX('DEFAULT DATA'!$UZ$9:$VE$41,START!$C$3,5)*-44/12)+($M40*INDEX('DEFAULT DATA'!$UZ$9:$VE$41,START!$C$3,6)*-44/12))</f>
        <v>0</v>
      </c>
      <c r="AQ40" s="205">
        <f>(($K40*INDEX('DEFAULT DATA'!$UZ$9:$VE$41,START!$C$3,1)*-44/12)+($K40*INDEX('DEFAULT DATA'!$UZ$9:$VE$41,START!$C$3,2)*-44/12)+($K40*INDEX('DEFAULT DATA'!$UZ$9:$VE$41,START!$C$3,3)*-44/12)+($K40*INDEX('DEFAULT DATA'!$UZ$9:$VE$41,START!$C$3,4)*-44/12)+($L40*INDEX('DEFAULT DATA'!$UZ$9:$VE$41,START!$C$3,5)*-44/12)+($M40*INDEX('DEFAULT DATA'!$UZ$9:$VE$41,START!$C$3,6)*-44/12))</f>
        <v>0</v>
      </c>
      <c r="AR40" s="205">
        <f>(($K40*INDEX('DEFAULT DATA'!$UZ$9:$VE$41,START!$C$3,1)*-44/12)+($K40*INDEX('DEFAULT DATA'!$UZ$9:$VE$41,START!$C$3,2)*-44/12)+($K40*INDEX('DEFAULT DATA'!$UZ$9:$VE$41,START!$C$3,3)*-44/12)+($K40*INDEX('DEFAULT DATA'!$UZ$9:$VE$41,START!$C$3,4)*-44/12)+($L40*INDEX('DEFAULT DATA'!$UZ$9:$VE$41,START!$C$3,5)*-44/12)+($M40*INDEX('DEFAULT DATA'!$UZ$9:$VE$41,START!$C$3,6)*-44/12))</f>
        <v>0</v>
      </c>
      <c r="AS40" s="205">
        <f>(($K40*INDEX('DEFAULT DATA'!$UZ$9:$VE$41,START!$C$3,1)*-44/12)+($K40*INDEX('DEFAULT DATA'!$UZ$9:$VE$41,START!$C$3,2)*-44/12)+($K40*INDEX('DEFAULT DATA'!$UZ$9:$VE$41,START!$C$3,3)*-44/12)+($K40*INDEX('DEFAULT DATA'!$UZ$9:$VE$41,START!$C$3,4)*-44/12)+($L40*INDEX('DEFAULT DATA'!$UZ$9:$VE$41,START!$C$3,5)*-44/12)+($M40*INDEX('DEFAULT DATA'!$UZ$9:$VE$41,START!$C$3,6)*-44/12))</f>
        <v>0</v>
      </c>
      <c r="AT40" s="206">
        <f>(($K40*INDEX('DEFAULT DATA'!$UZ$9:$VE$41,START!$C$3,1)*-44/12)+($K40*INDEX('DEFAULT DATA'!$UZ$9:$VE$41,START!$C$3,2)*-44/12)+($K40*INDEX('DEFAULT DATA'!$UZ$9:$VE$41,START!$C$3,3)*-44/12)+($K40*INDEX('DEFAULT DATA'!$UZ$9:$VE$41,START!$C$3,4)*-44/12)+($L40*INDEX('DEFAULT DATA'!$UZ$9:$VE$41,START!$C$3,5)*-44/12)+($M40*INDEX('DEFAULT DATA'!$UZ$9:$VE$41,START!$C$3,6)*-44/12))</f>
        <v>0</v>
      </c>
      <c r="AV40" s="1103" t="str">
        <f t="shared" si="42"/>
        <v>(INPUT1*CSC_COL55*-44/12)+(INPUT1*CSC_COL56*-44/12)+(INPUT1*CSC_COL57*-44/12)+(INPUT1*CSC_COL58*-44/12)+(INPUT2*CSC_COL59*-44/12)+(INPUT3*CSC_COL60*-44/12)</v>
      </c>
      <c r="AW40" s="1117" t="s">
        <v>3050</v>
      </c>
      <c r="AX40" s="1110" t="s">
        <v>3046</v>
      </c>
      <c r="AY40" s="1110" t="s">
        <v>3046</v>
      </c>
      <c r="AZ40" s="1110" t="s">
        <v>3046</v>
      </c>
      <c r="BA40" s="1110" t="s">
        <v>3046</v>
      </c>
      <c r="BB40" s="1110" t="s">
        <v>3046</v>
      </c>
      <c r="BC40" s="1110" t="s">
        <v>3046</v>
      </c>
      <c r="BD40" s="1110" t="s">
        <v>3046</v>
      </c>
      <c r="BE40" s="1110" t="s">
        <v>3046</v>
      </c>
      <c r="BF40" s="1110" t="s">
        <v>3046</v>
      </c>
      <c r="BG40" s="1110" t="s">
        <v>3046</v>
      </c>
      <c r="BH40" s="1110" t="s">
        <v>3046</v>
      </c>
      <c r="BI40" s="1110" t="s">
        <v>3046</v>
      </c>
      <c r="BJ40" s="1110" t="s">
        <v>3046</v>
      </c>
      <c r="BK40" s="1110" t="s">
        <v>3046</v>
      </c>
      <c r="BL40" s="1110" t="s">
        <v>3046</v>
      </c>
      <c r="BM40" s="1110" t="s">
        <v>3046</v>
      </c>
      <c r="BN40" s="1110" t="s">
        <v>3046</v>
      </c>
      <c r="BO40" s="1110" t="s">
        <v>3046</v>
      </c>
      <c r="BP40" s="1105" t="s">
        <v>3047</v>
      </c>
      <c r="BQ40" s="1104" t="s">
        <v>3045</v>
      </c>
      <c r="BR40" s="1104" t="s">
        <v>3045</v>
      </c>
      <c r="BS40" s="1104" t="s">
        <v>3045</v>
      </c>
      <c r="BT40" s="1104" t="s">
        <v>3045</v>
      </c>
      <c r="BU40" s="1104" t="s">
        <v>3045</v>
      </c>
      <c r="BV40" s="1104" t="s">
        <v>3045</v>
      </c>
      <c r="BW40" s="1104" t="s">
        <v>3045</v>
      </c>
      <c r="BX40" s="1104" t="s">
        <v>3045</v>
      </c>
      <c r="BY40" s="1106" t="s">
        <v>3045</v>
      </c>
    </row>
    <row r="41" spans="1:77" ht="20.100000000000001" customHeight="1">
      <c r="A41" s="265"/>
      <c r="B41" s="258"/>
      <c r="C41" s="258"/>
      <c r="D41" s="258"/>
      <c r="E41" s="258"/>
      <c r="F41" s="258"/>
      <c r="G41" s="258"/>
      <c r="H41" s="258"/>
      <c r="I41" s="259"/>
      <c r="J41" s="124"/>
      <c r="K41" s="309">
        <f t="shared" si="38"/>
        <v>0</v>
      </c>
      <c r="L41" s="310">
        <f t="shared" si="39"/>
        <v>0</v>
      </c>
      <c r="M41" s="310">
        <f t="shared" si="40"/>
        <v>0</v>
      </c>
      <c r="N41" s="81">
        <f t="shared" si="43"/>
        <v>37</v>
      </c>
      <c r="O41" s="311" t="s">
        <v>499</v>
      </c>
      <c r="P41" s="312">
        <f t="shared" si="41"/>
        <v>2022</v>
      </c>
      <c r="Q41" s="77">
        <f>($K41*INDEX('DEFAULT DATA'!$NV$9:$WC$41,START!$C$3,($N41))*-44/12)+($K41*INDEX('DEFAULT DATA'!$NV$9:$WC$41,START!$C$3,($N41+1))*-44/12)+($K41*INDEX('DEFAULT DATA'!$NV$9:$WC$41,START!$C$3,($N41+2))*-44/12)+($K41*INDEX('DEFAULT DATA'!$NV$9:$WC$41,START!$C$3,($N41+3))*-44/12)+($L41*INDEX('DEFAULT DATA'!$NV$9:$WC$41,START!$C$3,($N41+4))*-44/12)+($M41*INDEX('DEFAULT DATA'!$NV$9:$WC$41,START!$C$3,($N41+5))*-44/12)</f>
        <v>0</v>
      </c>
      <c r="R41" s="77">
        <f>($K41*INDEX('DEFAULT DATA'!$NV$9:$WC$41,START!$C$3,($N41))*-44/12)+($K41*INDEX('DEFAULT DATA'!$NV$9:$WC$41,START!$C$3,($N41+1))*-44/12)+($K41*INDEX('DEFAULT DATA'!$NV$9:$WC$41,START!$C$3,($N41+2))*-44/12)+($K41*INDEX('DEFAULT DATA'!$NV$9:$WC$41,START!$C$3,($N41+3))*-44/12)+($L41*INDEX('DEFAULT DATA'!$NV$9:$WC$41,START!$C$3,($N41+4))*-44/12)+($M41*INDEX('DEFAULT DATA'!$NV$9:$WC$41,START!$C$3,($N41+5))*-44/12)</f>
        <v>0</v>
      </c>
      <c r="S41" s="77">
        <f>($K41*INDEX('DEFAULT DATA'!$NV$9:$WC$41,START!$C$3,($N41))*-44/12)+($K41*INDEX('DEFAULT DATA'!$NV$9:$WC$41,START!$C$3,($N41+1))*-44/12)+($K41*INDEX('DEFAULT DATA'!$NV$9:$WC$41,START!$C$3,($N41+2))*-44/12)+($K41*INDEX('DEFAULT DATA'!$NV$9:$WC$41,START!$C$3,($N41+3))*-44/12)+($L41*INDEX('DEFAULT DATA'!$NV$9:$WC$41,START!$C$3,($N41+4))*-44/12)+($M41*INDEX('DEFAULT DATA'!$NV$9:$WC$41,START!$C$3,($N41+5))*-44/12)</f>
        <v>0</v>
      </c>
      <c r="T41" s="77">
        <f>($K41*INDEX('DEFAULT DATA'!$NV$9:$WC$41,START!$C$3,($N41))*-44/12)+($K41*INDEX('DEFAULT DATA'!$NV$9:$WC$41,START!$C$3,($N41+1))*-44/12)+($K41*INDEX('DEFAULT DATA'!$NV$9:$WC$41,START!$C$3,($N41+2))*-44/12)+($K41*INDEX('DEFAULT DATA'!$NV$9:$WC$41,START!$C$3,($N41+3))*-44/12)+($L41*INDEX('DEFAULT DATA'!$NV$9:$WC$41,START!$C$3,($N41+4))*-44/12)+($M41*INDEX('DEFAULT DATA'!$NV$9:$WC$41,START!$C$3,($N41+5))*-44/12)</f>
        <v>0</v>
      </c>
      <c r="U41" s="77">
        <f>($K41*INDEX('DEFAULT DATA'!$NV$9:$WC$41,START!$C$3,($N41))*-44/12)+($K41*INDEX('DEFAULT DATA'!$NV$9:$WC$41,START!$C$3,($N41+1))*-44/12)+($K41*INDEX('DEFAULT DATA'!$NV$9:$WC$41,START!$C$3,($N41+2))*-44/12)+($K41*INDEX('DEFAULT DATA'!$NV$9:$WC$41,START!$C$3,($N41+3))*-44/12)+($L41*INDEX('DEFAULT DATA'!$NV$9:$WC$41,START!$C$3,($N41+4))*-44/12)+($M41*INDEX('DEFAULT DATA'!$NV$9:$WC$41,START!$C$3,($N41+5))*-44/12)</f>
        <v>0</v>
      </c>
      <c r="V41" s="77">
        <f>($K41*INDEX('DEFAULT DATA'!$NV$9:$WC$41,START!$C$3,($N41))*-44/12)+($K41*INDEX('DEFAULT DATA'!$NV$9:$WC$41,START!$C$3,($N41+1))*-44/12)+($K41*INDEX('DEFAULT DATA'!$NV$9:$WC$41,START!$C$3,($N41+2))*-44/12)+($K41*INDEX('DEFAULT DATA'!$NV$9:$WC$41,START!$C$3,($N41+3))*-44/12)+($L41*INDEX('DEFAULT DATA'!$NV$9:$WC$41,START!$C$3,($N41+4))*-44/12)+($M41*INDEX('DEFAULT DATA'!$NV$9:$WC$41,START!$C$3,($N41+5))*-44/12)</f>
        <v>0</v>
      </c>
      <c r="W41" s="77">
        <f>($K41*INDEX('DEFAULT DATA'!$NV$9:$WC$41,START!$C$3,($N41))*-44/12)+($K41*INDEX('DEFAULT DATA'!$NV$9:$WC$41,START!$C$3,($N41+1))*-44/12)+($K41*INDEX('DEFAULT DATA'!$NV$9:$WC$41,START!$C$3,($N41+2))*-44/12)+($K41*INDEX('DEFAULT DATA'!$NV$9:$WC$41,START!$C$3,($N41+3))*-44/12)+($L41*INDEX('DEFAULT DATA'!$NV$9:$WC$41,START!$C$3,($N41+4))*-44/12)+($M41*INDEX('DEFAULT DATA'!$NV$9:$WC$41,START!$C$3,($N41+5))*-44/12)</f>
        <v>0</v>
      </c>
      <c r="X41" s="77">
        <f>($K41*INDEX('DEFAULT DATA'!$NV$9:$WC$41,START!$C$3,($N41))*-44/12)+($K41*INDEX('DEFAULT DATA'!$NV$9:$WC$41,START!$C$3,($N41+1))*-44/12)+($K41*INDEX('DEFAULT DATA'!$NV$9:$WC$41,START!$C$3,($N41+2))*-44/12)+($K41*INDEX('DEFAULT DATA'!$NV$9:$WC$41,START!$C$3,($N41+3))*-44/12)+($L41*INDEX('DEFAULT DATA'!$NV$9:$WC$41,START!$C$3,($N41+4))*-44/12)+($M41*INDEX('DEFAULT DATA'!$NV$9:$WC$41,START!$C$3,($N41+5))*-44/12)</f>
        <v>0</v>
      </c>
      <c r="Y41" s="77">
        <f>($K41*INDEX('DEFAULT DATA'!$NV$9:$WC$41,START!$C$3,($N41))*-44/12)+($K41*INDEX('DEFAULT DATA'!$NV$9:$WC$41,START!$C$3,($N41+1))*-44/12)+($K41*INDEX('DEFAULT DATA'!$NV$9:$WC$41,START!$C$3,($N41+2))*-44/12)+($K41*INDEX('DEFAULT DATA'!$NV$9:$WC$41,START!$C$3,($N41+3))*-44/12)+($L41*INDEX('DEFAULT DATA'!$NV$9:$WC$41,START!$C$3,($N41+4))*-44/12)+($M41*INDEX('DEFAULT DATA'!$NV$9:$WC$41,START!$C$3,($N41+5))*-44/12)</f>
        <v>0</v>
      </c>
      <c r="Z41" s="77">
        <f>($K41*INDEX('DEFAULT DATA'!$NV$9:$WC$41,START!$C$3,($N41))*-44/12)+($K41*INDEX('DEFAULT DATA'!$NV$9:$WC$41,START!$C$3,($N41+1))*-44/12)+($K41*INDEX('DEFAULT DATA'!$NV$9:$WC$41,START!$C$3,($N41+2))*-44/12)+($K41*INDEX('DEFAULT DATA'!$NV$9:$WC$41,START!$C$3,($N41+3))*-44/12)+($L41*INDEX('DEFAULT DATA'!$NV$9:$WC$41,START!$C$3,($N41+4))*-44/12)+($M41*INDEX('DEFAULT DATA'!$NV$9:$WC$41,START!$C$3,($N41+5))*-44/12)</f>
        <v>0</v>
      </c>
      <c r="AA41" s="77">
        <f>($K41*INDEX('DEFAULT DATA'!$NV$9:$WC$41,START!$C$3,($N41))*-44/12)+($K41*INDEX('DEFAULT DATA'!$NV$9:$WC$41,START!$C$3,($N41+1))*-44/12)+($K41*INDEX('DEFAULT DATA'!$NV$9:$WC$41,START!$C$3,($N41+2))*-44/12)+($K41*INDEX('DEFAULT DATA'!$NV$9:$WC$41,START!$C$3,($N41+3))*-44/12)+($L41*INDEX('DEFAULT DATA'!$NV$9:$WC$41,START!$C$3,($N41+4))*-44/12)+($M41*INDEX('DEFAULT DATA'!$NV$9:$WC$41,START!$C$3,($N41+5))*-44/12)</f>
        <v>0</v>
      </c>
      <c r="AB41" s="77">
        <f>($K41*INDEX('DEFAULT DATA'!$NV$9:$WC$41,START!$C$3,($N41))*-44/12)+($K41*INDEX('DEFAULT DATA'!$NV$9:$WC$41,START!$C$3,($N41+1))*-44/12)+($K41*INDEX('DEFAULT DATA'!$NV$9:$WC$41,START!$C$3,($N41+2))*-44/12)+($K41*INDEX('DEFAULT DATA'!$NV$9:$WC$41,START!$C$3,($N41+3))*-44/12)+($L41*INDEX('DEFAULT DATA'!$NV$9:$WC$41,START!$C$3,($N41+4))*-44/12)+($M41*INDEX('DEFAULT DATA'!$NV$9:$WC$41,START!$C$3,($N41+5))*-44/12)</f>
        <v>0</v>
      </c>
      <c r="AC41" s="77">
        <f>($K41*INDEX('DEFAULT DATA'!$NV$9:$WC$41,START!$C$3,($N41))*-44/12)+($K41*INDEX('DEFAULT DATA'!$NV$9:$WC$41,START!$C$3,($N41+1))*-44/12)+($K41*INDEX('DEFAULT DATA'!$NV$9:$WC$41,START!$C$3,($N41+2))*-44/12)+($K41*INDEX('DEFAULT DATA'!$NV$9:$WC$41,START!$C$3,($N41+3))*-44/12)+($L41*INDEX('DEFAULT DATA'!$NV$9:$WC$41,START!$C$3,($N41+4))*-44/12)+($M41*INDEX('DEFAULT DATA'!$NV$9:$WC$41,START!$C$3,($N41+5))*-44/12)</f>
        <v>0</v>
      </c>
      <c r="AD41" s="77">
        <f>($K41*INDEX('DEFAULT DATA'!$NV$9:$WC$41,START!$C$3,($N41))*-44/12)+($K41*INDEX('DEFAULT DATA'!$NV$9:$WC$41,START!$C$3,($N41+1))*-44/12)+($K41*INDEX('DEFAULT DATA'!$NV$9:$WC$41,START!$C$3,($N41+2))*-44/12)+($K41*INDEX('DEFAULT DATA'!$NV$9:$WC$41,START!$C$3,($N41+3))*-44/12)+($L41*INDEX('DEFAULT DATA'!$NV$9:$WC$41,START!$C$3,($N41+4))*-44/12)+($M41*INDEX('DEFAULT DATA'!$NV$9:$WC$41,START!$C$3,($N41+5))*-44/12)</f>
        <v>0</v>
      </c>
      <c r="AE41" s="77">
        <f>($K41*INDEX('DEFAULT DATA'!$NV$9:$WC$41,START!$C$3,($N41))*-44/12)+($K41*INDEX('DEFAULT DATA'!$NV$9:$WC$41,START!$C$3,($N41+1))*-44/12)+($K41*INDEX('DEFAULT DATA'!$NV$9:$WC$41,START!$C$3,($N41+2))*-44/12)+($K41*INDEX('DEFAULT DATA'!$NV$9:$WC$41,START!$C$3,($N41+3))*-44/12)+($L41*INDEX('DEFAULT DATA'!$NV$9:$WC$41,START!$C$3,($N41+4))*-44/12)+($M41*INDEX('DEFAULT DATA'!$NV$9:$WC$41,START!$C$3,($N41+5))*-44/12)</f>
        <v>0</v>
      </c>
      <c r="AF41" s="77">
        <f>($K41*INDEX('DEFAULT DATA'!$NV$9:$WC$41,START!$C$3,($N41))*-44/12)+($K41*INDEX('DEFAULT DATA'!$NV$9:$WC$41,START!$C$3,($N41+1))*-44/12)+($K41*INDEX('DEFAULT DATA'!$NV$9:$WC$41,START!$C$3,($N41+2))*-44/12)+($K41*INDEX('DEFAULT DATA'!$NV$9:$WC$41,START!$C$3,($N41+3))*-44/12)+($L41*INDEX('DEFAULT DATA'!$NV$9:$WC$41,START!$C$3,($N41+4))*-44/12)+($M41*INDEX('DEFAULT DATA'!$NV$9:$WC$41,START!$C$3,($N41+5))*-44/12)</f>
        <v>0</v>
      </c>
      <c r="AG41" s="77">
        <f>($K41*INDEX('DEFAULT DATA'!$NV$9:$WC$41,START!$C$3,($N41))*-44/12)+($K41*INDEX('DEFAULT DATA'!$NV$9:$WC$41,START!$C$3,($N41+1))*-44/12)+($K41*INDEX('DEFAULT DATA'!$NV$9:$WC$41,START!$C$3,($N41+2))*-44/12)+($K41*INDEX('DEFAULT DATA'!$NV$9:$WC$41,START!$C$3,($N41+3))*-44/12)+($L41*INDEX('DEFAULT DATA'!$NV$9:$WC$41,START!$C$3,($N41+4))*-44/12)+($M41*INDEX('DEFAULT DATA'!$NV$9:$WC$41,START!$C$3,($N41+5))*-44/12)</f>
        <v>0</v>
      </c>
      <c r="AH41" s="77">
        <f>($K41*INDEX('DEFAULT DATA'!$NV$9:$WC$41,START!$C$3,($N41))*-44/12)+($K41*INDEX('DEFAULT DATA'!$NV$9:$WC$41,START!$C$3,($N41+1))*-44/12)+($K41*INDEX('DEFAULT DATA'!$NV$9:$WC$41,START!$C$3,($N41+2))*-44/12)+($K41*INDEX('DEFAULT DATA'!$NV$9:$WC$41,START!$C$3,($N41+3))*-44/12)+($L41*INDEX('DEFAULT DATA'!$NV$9:$WC$41,START!$C$3,($N41+4))*-44/12)+($M41*INDEX('DEFAULT DATA'!$NV$9:$WC$41,START!$C$3,($N41+5))*-44/12)</f>
        <v>0</v>
      </c>
      <c r="AI41" s="77">
        <f>($K41*INDEX('DEFAULT DATA'!$NV$9:$WC$41,START!$C$3,($N41))*-44/12)+($K41*INDEX('DEFAULT DATA'!$NV$9:$WC$41,START!$C$3,($N41+1))*-44/12)+($K41*INDEX('DEFAULT DATA'!$NV$9:$WC$41,START!$C$3,($N41+2))*-44/12)+($K41*INDEX('DEFAULT DATA'!$NV$9:$WC$41,START!$C$3,($N41+3))*-44/12)+($L41*INDEX('DEFAULT DATA'!$NV$9:$WC$41,START!$C$3,($N41+4))*-44/12)+($M41*INDEX('DEFAULT DATA'!$NV$9:$WC$41,START!$C$3,($N41+5))*-44/12)</f>
        <v>0</v>
      </c>
      <c r="AJ41" s="77">
        <f>($K41*INDEX('DEFAULT DATA'!$NV$9:$WC$41,START!$C$3,($N41))*-44/12)+($K41*INDEX('DEFAULT DATA'!$NV$9:$WC$41,START!$C$3,($N41+1))*-44/12)+($K41*INDEX('DEFAULT DATA'!$NV$9:$WC$41,START!$C$3,($N41+2))*-44/12)+($K41*INDEX('DEFAULT DATA'!$NV$9:$WC$41,START!$C$3,($N41+3))*-44/12)+($L41*INDEX('DEFAULT DATA'!$NV$9:$WC$41,START!$C$3,($N41+4))*-44/12)+($M41*INDEX('DEFAULT DATA'!$NV$9:$WC$41,START!$C$3,($N41+5))*-44/12)</f>
        <v>0</v>
      </c>
      <c r="AK41" s="77">
        <f>(($K41*INDEX('DEFAULT DATA'!$UZ$9:$VE$41,START!$C$3,1)*-44/12)+($K41*INDEX('DEFAULT DATA'!$UZ$9:$VE$41,START!$C$3,2)*-44/12)+($K41*INDEX('DEFAULT DATA'!$UZ$9:$VE$41,START!$C$3,3)*-44/12)+($K41*INDEX('DEFAULT DATA'!$UZ$9:$VE$41,START!$C$3,4)*-44/12)+($L41*INDEX('DEFAULT DATA'!$UZ$9:$VE$41,START!$C$3,5)*-44/12)+($M41*INDEX('DEFAULT DATA'!$UZ$9:$VE$41,START!$C$3,6)*-44/12))</f>
        <v>0</v>
      </c>
      <c r="AL41" s="77">
        <f>(($K41*INDEX('DEFAULT DATA'!$UZ$9:$VE$41,START!$C$3,1)*-44/12)+($K41*INDEX('DEFAULT DATA'!$UZ$9:$VE$41,START!$C$3,2)*-44/12)+($K41*INDEX('DEFAULT DATA'!$UZ$9:$VE$41,START!$C$3,3)*-44/12)+($K41*INDEX('DEFAULT DATA'!$UZ$9:$VE$41,START!$C$3,4)*-44/12)+($L41*INDEX('DEFAULT DATA'!$UZ$9:$VE$41,START!$C$3,5)*-44/12)+($M41*INDEX('DEFAULT DATA'!$UZ$9:$VE$41,START!$C$3,6)*-44/12))</f>
        <v>0</v>
      </c>
      <c r="AM41" s="77">
        <f>(($K41*INDEX('DEFAULT DATA'!$UZ$9:$VE$41,START!$C$3,1)*-44/12)+($K41*INDEX('DEFAULT DATA'!$UZ$9:$VE$41,START!$C$3,2)*-44/12)+($K41*INDEX('DEFAULT DATA'!$UZ$9:$VE$41,START!$C$3,3)*-44/12)+($K41*INDEX('DEFAULT DATA'!$UZ$9:$VE$41,START!$C$3,4)*-44/12)+($L41*INDEX('DEFAULT DATA'!$UZ$9:$VE$41,START!$C$3,5)*-44/12)+($M41*INDEX('DEFAULT DATA'!$UZ$9:$VE$41,START!$C$3,6)*-44/12))</f>
        <v>0</v>
      </c>
      <c r="AN41" s="77">
        <f>(($K41*INDEX('DEFAULT DATA'!$UZ$9:$VE$41,START!$C$3,1)*-44/12)+($K41*INDEX('DEFAULT DATA'!$UZ$9:$VE$41,START!$C$3,2)*-44/12)+($K41*INDEX('DEFAULT DATA'!$UZ$9:$VE$41,START!$C$3,3)*-44/12)+($K41*INDEX('DEFAULT DATA'!$UZ$9:$VE$41,START!$C$3,4)*-44/12)+($L41*INDEX('DEFAULT DATA'!$UZ$9:$VE$41,START!$C$3,5)*-44/12)+($M41*INDEX('DEFAULT DATA'!$UZ$9:$VE$41,START!$C$3,6)*-44/12))</f>
        <v>0</v>
      </c>
      <c r="AO41" s="77">
        <f>(($K41*INDEX('DEFAULT DATA'!$UZ$9:$VE$41,START!$C$3,1)*-44/12)+($K41*INDEX('DEFAULT DATA'!$UZ$9:$VE$41,START!$C$3,2)*-44/12)+($K41*INDEX('DEFAULT DATA'!$UZ$9:$VE$41,START!$C$3,3)*-44/12)+($K41*INDEX('DEFAULT DATA'!$UZ$9:$VE$41,START!$C$3,4)*-44/12)+($L41*INDEX('DEFAULT DATA'!$UZ$9:$VE$41,START!$C$3,5)*-44/12)+($M41*INDEX('DEFAULT DATA'!$UZ$9:$VE$41,START!$C$3,6)*-44/12))</f>
        <v>0</v>
      </c>
      <c r="AP41" s="77">
        <f>(($K41*INDEX('DEFAULT DATA'!$UZ$9:$VE$41,START!$C$3,1)*-44/12)+($K41*INDEX('DEFAULT DATA'!$UZ$9:$VE$41,START!$C$3,2)*-44/12)+($K41*INDEX('DEFAULT DATA'!$UZ$9:$VE$41,START!$C$3,3)*-44/12)+($K41*INDEX('DEFAULT DATA'!$UZ$9:$VE$41,START!$C$3,4)*-44/12)+($L41*INDEX('DEFAULT DATA'!$UZ$9:$VE$41,START!$C$3,5)*-44/12)+($M41*INDEX('DEFAULT DATA'!$UZ$9:$VE$41,START!$C$3,6)*-44/12))</f>
        <v>0</v>
      </c>
      <c r="AQ41" s="77">
        <f>(($K41*INDEX('DEFAULT DATA'!$UZ$9:$VE$41,START!$C$3,1)*-44/12)+($K41*INDEX('DEFAULT DATA'!$UZ$9:$VE$41,START!$C$3,2)*-44/12)+($K41*INDEX('DEFAULT DATA'!$UZ$9:$VE$41,START!$C$3,3)*-44/12)+($K41*INDEX('DEFAULT DATA'!$UZ$9:$VE$41,START!$C$3,4)*-44/12)+($L41*INDEX('DEFAULT DATA'!$UZ$9:$VE$41,START!$C$3,5)*-44/12)+($M41*INDEX('DEFAULT DATA'!$UZ$9:$VE$41,START!$C$3,6)*-44/12))</f>
        <v>0</v>
      </c>
      <c r="AR41" s="77">
        <f>(($K41*INDEX('DEFAULT DATA'!$UZ$9:$VE$41,START!$C$3,1)*-44/12)+($K41*INDEX('DEFAULT DATA'!$UZ$9:$VE$41,START!$C$3,2)*-44/12)+($K41*INDEX('DEFAULT DATA'!$UZ$9:$VE$41,START!$C$3,3)*-44/12)+($K41*INDEX('DEFAULT DATA'!$UZ$9:$VE$41,START!$C$3,4)*-44/12)+($L41*INDEX('DEFAULT DATA'!$UZ$9:$VE$41,START!$C$3,5)*-44/12)+($M41*INDEX('DEFAULT DATA'!$UZ$9:$VE$41,START!$C$3,6)*-44/12))</f>
        <v>0</v>
      </c>
      <c r="AS41" s="77">
        <f>(($K41*INDEX('DEFAULT DATA'!$UZ$9:$VE$41,START!$C$3,1)*-44/12)+($K41*INDEX('DEFAULT DATA'!$UZ$9:$VE$41,START!$C$3,2)*-44/12)+($K41*INDEX('DEFAULT DATA'!$UZ$9:$VE$41,START!$C$3,3)*-44/12)+($K41*INDEX('DEFAULT DATA'!$UZ$9:$VE$41,START!$C$3,4)*-44/12)+($L41*INDEX('DEFAULT DATA'!$UZ$9:$VE$41,START!$C$3,5)*-44/12)+($M41*INDEX('DEFAULT DATA'!$UZ$9:$VE$41,START!$C$3,6)*-44/12))</f>
        <v>0</v>
      </c>
      <c r="AT41" s="276">
        <f>(($K41*INDEX('DEFAULT DATA'!$UZ$9:$VE$41,START!$C$3,1)*-44/12)+($K41*INDEX('DEFAULT DATA'!$UZ$9:$VE$41,START!$C$3,2)*-44/12)+($K41*INDEX('DEFAULT DATA'!$UZ$9:$VE$41,START!$C$3,3)*-44/12)+($K41*INDEX('DEFAULT DATA'!$UZ$9:$VE$41,START!$C$3,4)*-44/12)+($L41*INDEX('DEFAULT DATA'!$UZ$9:$VE$41,START!$C$3,5)*-44/12)+($M41*INDEX('DEFAULT DATA'!$UZ$9:$VE$41,START!$C$3,6)*-44/12))</f>
        <v>0</v>
      </c>
      <c r="AV41" s="1097" t="str">
        <f t="shared" si="42"/>
        <v>(INPUT1*CSC_COL61*-44/12)+(INPUT1*CSC_COL62*-44/12)+(INPUT1*CSC_COL63*-44/12)+(INPUT1*CSC_COL64*-44/12)+(INPUT2*CSC_COL65*-44/12)+(INPUT3*CSC_COL66*-44/12)</v>
      </c>
      <c r="AW41" s="1087" t="s">
        <v>3043</v>
      </c>
      <c r="AX41" s="1087" t="s">
        <v>3043</v>
      </c>
      <c r="AY41" s="1087" t="s">
        <v>3043</v>
      </c>
      <c r="AZ41" s="1087" t="s">
        <v>3043</v>
      </c>
      <c r="BA41" s="1087" t="s">
        <v>3043</v>
      </c>
      <c r="BB41" s="1087" t="s">
        <v>3043</v>
      </c>
      <c r="BC41" s="1087" t="s">
        <v>3043</v>
      </c>
      <c r="BD41" s="1087" t="s">
        <v>3043</v>
      </c>
      <c r="BE41" s="1087" t="s">
        <v>3043</v>
      </c>
      <c r="BF41" s="1087" t="s">
        <v>3043</v>
      </c>
      <c r="BG41" s="1087" t="s">
        <v>3043</v>
      </c>
      <c r="BH41" s="1087" t="s">
        <v>3043</v>
      </c>
      <c r="BI41" s="1087" t="s">
        <v>3043</v>
      </c>
      <c r="BJ41" s="1087" t="s">
        <v>3043</v>
      </c>
      <c r="BK41" s="1087" t="s">
        <v>3043</v>
      </c>
      <c r="BL41" s="1087" t="s">
        <v>3043</v>
      </c>
      <c r="BM41" s="1087" t="s">
        <v>3043</v>
      </c>
      <c r="BN41" s="1087" t="s">
        <v>3043</v>
      </c>
      <c r="BO41" s="1087" t="s">
        <v>3043</v>
      </c>
      <c r="BP41" s="1112" t="s">
        <v>3047</v>
      </c>
      <c r="BQ41" s="1113" t="s">
        <v>3045</v>
      </c>
      <c r="BR41" s="1113" t="s">
        <v>3045</v>
      </c>
      <c r="BS41" s="1113" t="s">
        <v>3045</v>
      </c>
      <c r="BT41" s="1113" t="s">
        <v>3045</v>
      </c>
      <c r="BU41" s="1113" t="s">
        <v>3045</v>
      </c>
      <c r="BV41" s="1113" t="s">
        <v>3045</v>
      </c>
      <c r="BW41" s="1113" t="s">
        <v>3045</v>
      </c>
      <c r="BX41" s="1113" t="s">
        <v>3045</v>
      </c>
      <c r="BY41" s="1114" t="s">
        <v>3045</v>
      </c>
    </row>
    <row r="42" spans="1:77" ht="20.100000000000001" customHeight="1" thickBot="1">
      <c r="A42" s="265"/>
      <c r="B42" s="258"/>
      <c r="C42" s="258"/>
      <c r="D42" s="258"/>
      <c r="E42" s="258"/>
      <c r="F42" s="258"/>
      <c r="G42" s="258"/>
      <c r="H42" s="258"/>
      <c r="I42" s="259"/>
      <c r="J42" s="124"/>
      <c r="K42" s="309">
        <f t="shared" si="38"/>
        <v>0</v>
      </c>
      <c r="L42" s="310">
        <f t="shared" si="39"/>
        <v>0</v>
      </c>
      <c r="M42" s="310">
        <f t="shared" si="40"/>
        <v>0</v>
      </c>
      <c r="N42" s="81">
        <f t="shared" si="43"/>
        <v>43</v>
      </c>
      <c r="O42" s="311" t="s">
        <v>500</v>
      </c>
      <c r="P42" s="312">
        <f t="shared" si="41"/>
        <v>2022</v>
      </c>
      <c r="Q42" s="77">
        <f>($K42*INDEX('DEFAULT DATA'!$NV$9:$WC$41,START!$C$3,($N42))*-44/12)+($K42*INDEX('DEFAULT DATA'!$NV$9:$WC$41,START!$C$3,($N42+1))*-44/12)+($K42*INDEX('DEFAULT DATA'!$NV$9:$WC$41,START!$C$3,($N42+2))*-44/12)+($K42*INDEX('DEFAULT DATA'!$NV$9:$WC$41,START!$C$3,($N42+3))*-44/12)+($L42*INDEX('DEFAULT DATA'!$NV$9:$WC$41,START!$C$3,($N42+4))*-44/12)+($M42*INDEX('DEFAULT DATA'!$NV$9:$WC$41,START!$C$3,($N42+5))*-44/12)</f>
        <v>0</v>
      </c>
      <c r="R42" s="77">
        <f>($K42*INDEX('DEFAULT DATA'!$NV$9:$WC$41,START!$C$3,($N42))*-44/12)+($K42*INDEX('DEFAULT DATA'!$NV$9:$WC$41,START!$C$3,($N42+1))*-44/12)+($K42*INDEX('DEFAULT DATA'!$NV$9:$WC$41,START!$C$3,($N42+2))*-44/12)+($K42*INDEX('DEFAULT DATA'!$NV$9:$WC$41,START!$C$3,($N42+3))*-44/12)+($L42*INDEX('DEFAULT DATA'!$NV$9:$WC$41,START!$C$3,($N42+4))*-44/12)+($M42*INDEX('DEFAULT DATA'!$NV$9:$WC$41,START!$C$3,($N42+5))*-44/12)</f>
        <v>0</v>
      </c>
      <c r="S42" s="77">
        <f>($K42*INDEX('DEFAULT DATA'!$NV$9:$WC$41,START!$C$3,($N42))*-44/12)+($K42*INDEX('DEFAULT DATA'!$NV$9:$WC$41,START!$C$3,($N42+1))*-44/12)+($K42*INDEX('DEFAULT DATA'!$NV$9:$WC$41,START!$C$3,($N42+2))*-44/12)+($K42*INDEX('DEFAULT DATA'!$NV$9:$WC$41,START!$C$3,($N42+3))*-44/12)+($L42*INDEX('DEFAULT DATA'!$NV$9:$WC$41,START!$C$3,($N42+4))*-44/12)+($M42*INDEX('DEFAULT DATA'!$NV$9:$WC$41,START!$C$3,($N42+5))*-44/12)</f>
        <v>0</v>
      </c>
      <c r="T42" s="77">
        <f>($K42*INDEX('DEFAULT DATA'!$NV$9:$WC$41,START!$C$3,($N42))*-44/12)+($K42*INDEX('DEFAULT DATA'!$NV$9:$WC$41,START!$C$3,($N42+1))*-44/12)+($K42*INDEX('DEFAULT DATA'!$NV$9:$WC$41,START!$C$3,($N42+2))*-44/12)+($K42*INDEX('DEFAULT DATA'!$NV$9:$WC$41,START!$C$3,($N42+3))*-44/12)+($L42*INDEX('DEFAULT DATA'!$NV$9:$WC$41,START!$C$3,($N42+4))*-44/12)+($M42*INDEX('DEFAULT DATA'!$NV$9:$WC$41,START!$C$3,($N42+5))*-44/12)</f>
        <v>0</v>
      </c>
      <c r="U42" s="77">
        <f>($K42*INDEX('DEFAULT DATA'!$NV$9:$WC$41,START!$C$3,($N42))*-44/12)+($K42*INDEX('DEFAULT DATA'!$NV$9:$WC$41,START!$C$3,($N42+1))*-44/12)+($K42*INDEX('DEFAULT DATA'!$NV$9:$WC$41,START!$C$3,($N42+2))*-44/12)+($K42*INDEX('DEFAULT DATA'!$NV$9:$WC$41,START!$C$3,($N42+3))*-44/12)+($L42*INDEX('DEFAULT DATA'!$NV$9:$WC$41,START!$C$3,($N42+4))*-44/12)+($M42*INDEX('DEFAULT DATA'!$NV$9:$WC$41,START!$C$3,($N42+5))*-44/12)</f>
        <v>0</v>
      </c>
      <c r="V42" s="77">
        <f>($K42*INDEX('DEFAULT DATA'!$NV$9:$WC$41,START!$C$3,($N42))*-44/12)+($K42*INDEX('DEFAULT DATA'!$NV$9:$WC$41,START!$C$3,($N42+1))*-44/12)+($K42*INDEX('DEFAULT DATA'!$NV$9:$WC$41,START!$C$3,($N42+2))*-44/12)+($K42*INDEX('DEFAULT DATA'!$NV$9:$WC$41,START!$C$3,($N42+3))*-44/12)+($L42*INDEX('DEFAULT DATA'!$NV$9:$WC$41,START!$C$3,($N42+4))*-44/12)+($M42*INDEX('DEFAULT DATA'!$NV$9:$WC$41,START!$C$3,($N42+5))*-44/12)</f>
        <v>0</v>
      </c>
      <c r="W42" s="77">
        <f>($K42*INDEX('DEFAULT DATA'!$NV$9:$WC$41,START!$C$3,($N42))*-44/12)+($K42*INDEX('DEFAULT DATA'!$NV$9:$WC$41,START!$C$3,($N42+1))*-44/12)+($K42*INDEX('DEFAULT DATA'!$NV$9:$WC$41,START!$C$3,($N42+2))*-44/12)+($K42*INDEX('DEFAULT DATA'!$NV$9:$WC$41,START!$C$3,($N42+3))*-44/12)+($L42*INDEX('DEFAULT DATA'!$NV$9:$WC$41,START!$C$3,($N42+4))*-44/12)+($M42*INDEX('DEFAULT DATA'!$NV$9:$WC$41,START!$C$3,($N42+5))*-44/12)</f>
        <v>0</v>
      </c>
      <c r="X42" s="77">
        <f>($K42*INDEX('DEFAULT DATA'!$NV$9:$WC$41,START!$C$3,($N42))*-44/12)+($K42*INDEX('DEFAULT DATA'!$NV$9:$WC$41,START!$C$3,($N42+1))*-44/12)+($K42*INDEX('DEFAULT DATA'!$NV$9:$WC$41,START!$C$3,($N42+2))*-44/12)+($K42*INDEX('DEFAULT DATA'!$NV$9:$WC$41,START!$C$3,($N42+3))*-44/12)+($L42*INDEX('DEFAULT DATA'!$NV$9:$WC$41,START!$C$3,($N42+4))*-44/12)+($M42*INDEX('DEFAULT DATA'!$NV$9:$WC$41,START!$C$3,($N42+5))*-44/12)</f>
        <v>0</v>
      </c>
      <c r="Y42" s="77">
        <f>($K42*INDEX('DEFAULT DATA'!$NV$9:$WC$41,START!$C$3,($N42))*-44/12)+($K42*INDEX('DEFAULT DATA'!$NV$9:$WC$41,START!$C$3,($N42+1))*-44/12)+($K42*INDEX('DEFAULT DATA'!$NV$9:$WC$41,START!$C$3,($N42+2))*-44/12)+($K42*INDEX('DEFAULT DATA'!$NV$9:$WC$41,START!$C$3,($N42+3))*-44/12)+($L42*INDEX('DEFAULT DATA'!$NV$9:$WC$41,START!$C$3,($N42+4))*-44/12)+($M42*INDEX('DEFAULT DATA'!$NV$9:$WC$41,START!$C$3,($N42+5))*-44/12)</f>
        <v>0</v>
      </c>
      <c r="Z42" s="77">
        <f>($K42*INDEX('DEFAULT DATA'!$NV$9:$WC$41,START!$C$3,($N42))*-44/12)+($K42*INDEX('DEFAULT DATA'!$NV$9:$WC$41,START!$C$3,($N42+1))*-44/12)+($K42*INDEX('DEFAULT DATA'!$NV$9:$WC$41,START!$C$3,($N42+2))*-44/12)+($K42*INDEX('DEFAULT DATA'!$NV$9:$WC$41,START!$C$3,($N42+3))*-44/12)+($L42*INDEX('DEFAULT DATA'!$NV$9:$WC$41,START!$C$3,($N42+4))*-44/12)+($M42*INDEX('DEFAULT DATA'!$NV$9:$WC$41,START!$C$3,($N42+5))*-44/12)</f>
        <v>0</v>
      </c>
      <c r="AA42" s="77">
        <f>($K42*INDEX('DEFAULT DATA'!$NV$9:$WC$41,START!$C$3,($N42))*-44/12)+($K42*INDEX('DEFAULT DATA'!$NV$9:$WC$41,START!$C$3,($N42+1))*-44/12)+($K42*INDEX('DEFAULT DATA'!$NV$9:$WC$41,START!$C$3,($N42+2))*-44/12)+($K42*INDEX('DEFAULT DATA'!$NV$9:$WC$41,START!$C$3,($N42+3))*-44/12)+($L42*INDEX('DEFAULT DATA'!$NV$9:$WC$41,START!$C$3,($N42+4))*-44/12)+($M42*INDEX('DEFAULT DATA'!$NV$9:$WC$41,START!$C$3,($N42+5))*-44/12)</f>
        <v>0</v>
      </c>
      <c r="AB42" s="77">
        <f>($K42*INDEX('DEFAULT DATA'!$NV$9:$WC$41,START!$C$3,($N42))*-44/12)+($K42*INDEX('DEFAULT DATA'!$NV$9:$WC$41,START!$C$3,($N42+1))*-44/12)+($K42*INDEX('DEFAULT DATA'!$NV$9:$WC$41,START!$C$3,($N42+2))*-44/12)+($K42*INDEX('DEFAULT DATA'!$NV$9:$WC$41,START!$C$3,($N42+3))*-44/12)+($L42*INDEX('DEFAULT DATA'!$NV$9:$WC$41,START!$C$3,($N42+4))*-44/12)+($M42*INDEX('DEFAULT DATA'!$NV$9:$WC$41,START!$C$3,($N42+5))*-44/12)</f>
        <v>0</v>
      </c>
      <c r="AC42" s="77">
        <f>($K42*INDEX('DEFAULT DATA'!$NV$9:$WC$41,START!$C$3,($N42))*-44/12)+($K42*INDEX('DEFAULT DATA'!$NV$9:$WC$41,START!$C$3,($N42+1))*-44/12)+($K42*INDEX('DEFAULT DATA'!$NV$9:$WC$41,START!$C$3,($N42+2))*-44/12)+($K42*INDEX('DEFAULT DATA'!$NV$9:$WC$41,START!$C$3,($N42+3))*-44/12)+($L42*INDEX('DEFAULT DATA'!$NV$9:$WC$41,START!$C$3,($N42+4))*-44/12)+($M42*INDEX('DEFAULT DATA'!$NV$9:$WC$41,START!$C$3,($N42+5))*-44/12)</f>
        <v>0</v>
      </c>
      <c r="AD42" s="77">
        <f>($K42*INDEX('DEFAULT DATA'!$NV$9:$WC$41,START!$C$3,($N42))*-44/12)+($K42*INDEX('DEFAULT DATA'!$NV$9:$WC$41,START!$C$3,($N42+1))*-44/12)+($K42*INDEX('DEFAULT DATA'!$NV$9:$WC$41,START!$C$3,($N42+2))*-44/12)+($K42*INDEX('DEFAULT DATA'!$NV$9:$WC$41,START!$C$3,($N42+3))*-44/12)+($L42*INDEX('DEFAULT DATA'!$NV$9:$WC$41,START!$C$3,($N42+4))*-44/12)+($M42*INDEX('DEFAULT DATA'!$NV$9:$WC$41,START!$C$3,($N42+5))*-44/12)</f>
        <v>0</v>
      </c>
      <c r="AE42" s="77">
        <f>($K42*INDEX('DEFAULT DATA'!$NV$9:$WC$41,START!$C$3,($N42))*-44/12)+($K42*INDEX('DEFAULT DATA'!$NV$9:$WC$41,START!$C$3,($N42+1))*-44/12)+($K42*INDEX('DEFAULT DATA'!$NV$9:$WC$41,START!$C$3,($N42+2))*-44/12)+($K42*INDEX('DEFAULT DATA'!$NV$9:$WC$41,START!$C$3,($N42+3))*-44/12)+($L42*INDEX('DEFAULT DATA'!$NV$9:$WC$41,START!$C$3,($N42+4))*-44/12)+($M42*INDEX('DEFAULT DATA'!$NV$9:$WC$41,START!$C$3,($N42+5))*-44/12)</f>
        <v>0</v>
      </c>
      <c r="AF42" s="77">
        <f>($K42*INDEX('DEFAULT DATA'!$NV$9:$WC$41,START!$C$3,($N42))*-44/12)+($K42*INDEX('DEFAULT DATA'!$NV$9:$WC$41,START!$C$3,($N42+1))*-44/12)+($K42*INDEX('DEFAULT DATA'!$NV$9:$WC$41,START!$C$3,($N42+2))*-44/12)+($K42*INDEX('DEFAULT DATA'!$NV$9:$WC$41,START!$C$3,($N42+3))*-44/12)+($L42*INDEX('DEFAULT DATA'!$NV$9:$WC$41,START!$C$3,($N42+4))*-44/12)+($M42*INDEX('DEFAULT DATA'!$NV$9:$WC$41,START!$C$3,($N42+5))*-44/12)</f>
        <v>0</v>
      </c>
      <c r="AG42" s="77">
        <f>($K42*INDEX('DEFAULT DATA'!$NV$9:$WC$41,START!$C$3,($N42))*-44/12)+($K42*INDEX('DEFAULT DATA'!$NV$9:$WC$41,START!$C$3,($N42+1))*-44/12)+($K42*INDEX('DEFAULT DATA'!$NV$9:$WC$41,START!$C$3,($N42+2))*-44/12)+($K42*INDEX('DEFAULT DATA'!$NV$9:$WC$41,START!$C$3,($N42+3))*-44/12)+($L42*INDEX('DEFAULT DATA'!$NV$9:$WC$41,START!$C$3,($N42+4))*-44/12)+($M42*INDEX('DEFAULT DATA'!$NV$9:$WC$41,START!$C$3,($N42+5))*-44/12)</f>
        <v>0</v>
      </c>
      <c r="AH42" s="77">
        <f>($K42*INDEX('DEFAULT DATA'!$NV$9:$WC$41,START!$C$3,($N42))*-44/12)+($K42*INDEX('DEFAULT DATA'!$NV$9:$WC$41,START!$C$3,($N42+1))*-44/12)+($K42*INDEX('DEFAULT DATA'!$NV$9:$WC$41,START!$C$3,($N42+2))*-44/12)+($K42*INDEX('DEFAULT DATA'!$NV$9:$WC$41,START!$C$3,($N42+3))*-44/12)+($L42*INDEX('DEFAULT DATA'!$NV$9:$WC$41,START!$C$3,($N42+4))*-44/12)+($M42*INDEX('DEFAULT DATA'!$NV$9:$WC$41,START!$C$3,($N42+5))*-44/12)</f>
        <v>0</v>
      </c>
      <c r="AI42" s="77">
        <f>($K42*INDEX('DEFAULT DATA'!$NV$9:$WC$41,START!$C$3,($N42))*-44/12)+($K42*INDEX('DEFAULT DATA'!$NV$9:$WC$41,START!$C$3,($N42+1))*-44/12)+($K42*INDEX('DEFAULT DATA'!$NV$9:$WC$41,START!$C$3,($N42+2))*-44/12)+($K42*INDEX('DEFAULT DATA'!$NV$9:$WC$41,START!$C$3,($N42+3))*-44/12)+($L42*INDEX('DEFAULT DATA'!$NV$9:$WC$41,START!$C$3,($N42+4))*-44/12)+($M42*INDEX('DEFAULT DATA'!$NV$9:$WC$41,START!$C$3,($N42+5))*-44/12)</f>
        <v>0</v>
      </c>
      <c r="AJ42" s="77">
        <f>($K42*INDEX('DEFAULT DATA'!$NV$9:$WC$41,START!$C$3,($N42))*-44/12)+($K42*INDEX('DEFAULT DATA'!$NV$9:$WC$41,START!$C$3,($N42+1))*-44/12)+($K42*INDEX('DEFAULT DATA'!$NV$9:$WC$41,START!$C$3,($N42+2))*-44/12)+($K42*INDEX('DEFAULT DATA'!$NV$9:$WC$41,START!$C$3,($N42+3))*-44/12)+($L42*INDEX('DEFAULT DATA'!$NV$9:$WC$41,START!$C$3,($N42+4))*-44/12)+($M42*INDEX('DEFAULT DATA'!$NV$9:$WC$41,START!$C$3,($N42+5))*-44/12)</f>
        <v>0</v>
      </c>
      <c r="AK42" s="77">
        <f>(($K42*INDEX('DEFAULT DATA'!$UZ$9:$VE$41,START!$C$3,1)*-44/12)+($K42*INDEX('DEFAULT DATA'!$UZ$9:$VE$41,START!$C$3,2)*-44/12)+($K42*INDEX('DEFAULT DATA'!$UZ$9:$VE$41,START!$C$3,3)*-44/12)+($K42*INDEX('DEFAULT DATA'!$UZ$9:$VE$41,START!$C$3,4)*-44/12)+($L42*INDEX('DEFAULT DATA'!$UZ$9:$VE$41,START!$C$3,5)*-44/12)+($M42*INDEX('DEFAULT DATA'!$UZ$9:$VE$41,START!$C$3,6)*-44/12))</f>
        <v>0</v>
      </c>
      <c r="AL42" s="77">
        <f>(($K42*INDEX('DEFAULT DATA'!$UZ$9:$VE$41,START!$C$3,1)*-44/12)+($K42*INDEX('DEFAULT DATA'!$UZ$9:$VE$41,START!$C$3,2)*-44/12)+($K42*INDEX('DEFAULT DATA'!$UZ$9:$VE$41,START!$C$3,3)*-44/12)+($K42*INDEX('DEFAULT DATA'!$UZ$9:$VE$41,START!$C$3,4)*-44/12)+($L42*INDEX('DEFAULT DATA'!$UZ$9:$VE$41,START!$C$3,5)*-44/12)+($M42*INDEX('DEFAULT DATA'!$UZ$9:$VE$41,START!$C$3,6)*-44/12))</f>
        <v>0</v>
      </c>
      <c r="AM42" s="77">
        <f>(($K42*INDEX('DEFAULT DATA'!$UZ$9:$VE$41,START!$C$3,1)*-44/12)+($K42*INDEX('DEFAULT DATA'!$UZ$9:$VE$41,START!$C$3,2)*-44/12)+($K42*INDEX('DEFAULT DATA'!$UZ$9:$VE$41,START!$C$3,3)*-44/12)+($K42*INDEX('DEFAULT DATA'!$UZ$9:$VE$41,START!$C$3,4)*-44/12)+($L42*INDEX('DEFAULT DATA'!$UZ$9:$VE$41,START!$C$3,5)*-44/12)+($M42*INDEX('DEFAULT DATA'!$UZ$9:$VE$41,START!$C$3,6)*-44/12))</f>
        <v>0</v>
      </c>
      <c r="AN42" s="77">
        <f>(($K42*INDEX('DEFAULT DATA'!$UZ$9:$VE$41,START!$C$3,1)*-44/12)+($K42*INDEX('DEFAULT DATA'!$UZ$9:$VE$41,START!$C$3,2)*-44/12)+($K42*INDEX('DEFAULT DATA'!$UZ$9:$VE$41,START!$C$3,3)*-44/12)+($K42*INDEX('DEFAULT DATA'!$UZ$9:$VE$41,START!$C$3,4)*-44/12)+($L42*INDEX('DEFAULT DATA'!$UZ$9:$VE$41,START!$C$3,5)*-44/12)+($M42*INDEX('DEFAULT DATA'!$UZ$9:$VE$41,START!$C$3,6)*-44/12))</f>
        <v>0</v>
      </c>
      <c r="AO42" s="77">
        <f>(($K42*INDEX('DEFAULT DATA'!$UZ$9:$VE$41,START!$C$3,1)*-44/12)+($K42*INDEX('DEFAULT DATA'!$UZ$9:$VE$41,START!$C$3,2)*-44/12)+($K42*INDEX('DEFAULT DATA'!$UZ$9:$VE$41,START!$C$3,3)*-44/12)+($K42*INDEX('DEFAULT DATA'!$UZ$9:$VE$41,START!$C$3,4)*-44/12)+($L42*INDEX('DEFAULT DATA'!$UZ$9:$VE$41,START!$C$3,5)*-44/12)+($M42*INDEX('DEFAULT DATA'!$UZ$9:$VE$41,START!$C$3,6)*-44/12))</f>
        <v>0</v>
      </c>
      <c r="AP42" s="77">
        <f>(($K42*INDEX('DEFAULT DATA'!$UZ$9:$VE$41,START!$C$3,1)*-44/12)+($K42*INDEX('DEFAULT DATA'!$UZ$9:$VE$41,START!$C$3,2)*-44/12)+($K42*INDEX('DEFAULT DATA'!$UZ$9:$VE$41,START!$C$3,3)*-44/12)+($K42*INDEX('DEFAULT DATA'!$UZ$9:$VE$41,START!$C$3,4)*-44/12)+($L42*INDEX('DEFAULT DATA'!$UZ$9:$VE$41,START!$C$3,5)*-44/12)+($M42*INDEX('DEFAULT DATA'!$UZ$9:$VE$41,START!$C$3,6)*-44/12))</f>
        <v>0</v>
      </c>
      <c r="AQ42" s="77">
        <f>(($K42*INDEX('DEFAULT DATA'!$UZ$9:$VE$41,START!$C$3,1)*-44/12)+($K42*INDEX('DEFAULT DATA'!$UZ$9:$VE$41,START!$C$3,2)*-44/12)+($K42*INDEX('DEFAULT DATA'!$UZ$9:$VE$41,START!$C$3,3)*-44/12)+($K42*INDEX('DEFAULT DATA'!$UZ$9:$VE$41,START!$C$3,4)*-44/12)+($L42*INDEX('DEFAULT DATA'!$UZ$9:$VE$41,START!$C$3,5)*-44/12)+($M42*INDEX('DEFAULT DATA'!$UZ$9:$VE$41,START!$C$3,6)*-44/12))</f>
        <v>0</v>
      </c>
      <c r="AR42" s="77">
        <f>(($K42*INDEX('DEFAULT DATA'!$UZ$9:$VE$41,START!$C$3,1)*-44/12)+($K42*INDEX('DEFAULT DATA'!$UZ$9:$VE$41,START!$C$3,2)*-44/12)+($K42*INDEX('DEFAULT DATA'!$UZ$9:$VE$41,START!$C$3,3)*-44/12)+($K42*INDEX('DEFAULT DATA'!$UZ$9:$VE$41,START!$C$3,4)*-44/12)+($L42*INDEX('DEFAULT DATA'!$UZ$9:$VE$41,START!$C$3,5)*-44/12)+($M42*INDEX('DEFAULT DATA'!$UZ$9:$VE$41,START!$C$3,6)*-44/12))</f>
        <v>0</v>
      </c>
      <c r="AS42" s="77">
        <f>(($K42*INDEX('DEFAULT DATA'!$UZ$9:$VE$41,START!$C$3,1)*-44/12)+($K42*INDEX('DEFAULT DATA'!$UZ$9:$VE$41,START!$C$3,2)*-44/12)+($K42*INDEX('DEFAULT DATA'!$UZ$9:$VE$41,START!$C$3,3)*-44/12)+($K42*INDEX('DEFAULT DATA'!$UZ$9:$VE$41,START!$C$3,4)*-44/12)+($L42*INDEX('DEFAULT DATA'!$UZ$9:$VE$41,START!$C$3,5)*-44/12)+($M42*INDEX('DEFAULT DATA'!$UZ$9:$VE$41,START!$C$3,6)*-44/12))</f>
        <v>0</v>
      </c>
      <c r="AT42" s="276">
        <f>(($K42*INDEX('DEFAULT DATA'!$UZ$9:$VE$41,START!$C$3,1)*-44/12)+($K42*INDEX('DEFAULT DATA'!$UZ$9:$VE$41,START!$C$3,2)*-44/12)+($K42*INDEX('DEFAULT DATA'!$UZ$9:$VE$41,START!$C$3,3)*-44/12)+($K42*INDEX('DEFAULT DATA'!$UZ$9:$VE$41,START!$C$3,4)*-44/12)+($L42*INDEX('DEFAULT DATA'!$UZ$9:$VE$41,START!$C$3,5)*-44/12)+($M42*INDEX('DEFAULT DATA'!$UZ$9:$VE$41,START!$C$3,6)*-44/12))</f>
        <v>0</v>
      </c>
      <c r="AV42" s="1097" t="str">
        <f t="shared" si="42"/>
        <v>(INPUT1*CSC_COL67*-44/12)+(INPUT1*CSC_COL68*-44/12)+(INPUT1*CSC_COL69*-44/12)+(INPUT1*CSC_COL70*-44/12)+(INPUT2*CSC_COL71*-44/12)+(INPUT3*CSC_COL72*-44/12)</v>
      </c>
      <c r="AW42" s="1087" t="s">
        <v>3043</v>
      </c>
      <c r="AX42" s="1087" t="s">
        <v>3043</v>
      </c>
      <c r="AY42" s="1087" t="s">
        <v>3043</v>
      </c>
      <c r="AZ42" s="1087" t="s">
        <v>3043</v>
      </c>
      <c r="BA42" s="1087" t="s">
        <v>3043</v>
      </c>
      <c r="BB42" s="1087" t="s">
        <v>3043</v>
      </c>
      <c r="BC42" s="1087" t="s">
        <v>3043</v>
      </c>
      <c r="BD42" s="1087" t="s">
        <v>3043</v>
      </c>
      <c r="BE42" s="1087" t="s">
        <v>3043</v>
      </c>
      <c r="BF42" s="1087" t="s">
        <v>3043</v>
      </c>
      <c r="BG42" s="1087" t="s">
        <v>3043</v>
      </c>
      <c r="BH42" s="1087" t="s">
        <v>3043</v>
      </c>
      <c r="BI42" s="1087" t="s">
        <v>3043</v>
      </c>
      <c r="BJ42" s="1087" t="s">
        <v>3043</v>
      </c>
      <c r="BK42" s="1087" t="s">
        <v>3043</v>
      </c>
      <c r="BL42" s="1087" t="s">
        <v>3043</v>
      </c>
      <c r="BM42" s="1087" t="s">
        <v>3043</v>
      </c>
      <c r="BN42" s="1087" t="s">
        <v>3043</v>
      </c>
      <c r="BO42" s="1087" t="s">
        <v>3043</v>
      </c>
      <c r="BP42" s="1112" t="s">
        <v>3047</v>
      </c>
      <c r="BQ42" s="1113" t="s">
        <v>3045</v>
      </c>
      <c r="BR42" s="1113" t="s">
        <v>3045</v>
      </c>
      <c r="BS42" s="1113" t="s">
        <v>3045</v>
      </c>
      <c r="BT42" s="1113" t="s">
        <v>3045</v>
      </c>
      <c r="BU42" s="1113" t="s">
        <v>3045</v>
      </c>
      <c r="BV42" s="1113" t="s">
        <v>3045</v>
      </c>
      <c r="BW42" s="1113" t="s">
        <v>3045</v>
      </c>
      <c r="BX42" s="1113" t="s">
        <v>3045</v>
      </c>
      <c r="BY42" s="1114" t="s">
        <v>3045</v>
      </c>
    </row>
    <row r="43" spans="1:77" ht="20.100000000000001" customHeight="1" thickBot="1">
      <c r="A43" s="901"/>
      <c r="B43" s="1531" t="s">
        <v>271</v>
      </c>
      <c r="C43" s="1531"/>
      <c r="D43" s="1531"/>
      <c r="E43" s="1531"/>
      <c r="F43" s="1531"/>
      <c r="G43" s="1531"/>
      <c r="H43" s="1531"/>
      <c r="I43" s="1532"/>
      <c r="J43" s="280"/>
      <c r="K43" s="309">
        <f t="shared" si="38"/>
        <v>0</v>
      </c>
      <c r="L43" s="310">
        <f t="shared" si="39"/>
        <v>0</v>
      </c>
      <c r="M43" s="310">
        <f t="shared" si="40"/>
        <v>0</v>
      </c>
      <c r="N43" s="81">
        <f t="shared" si="43"/>
        <v>49</v>
      </c>
      <c r="O43" s="311" t="s">
        <v>501</v>
      </c>
      <c r="P43" s="312">
        <f t="shared" si="41"/>
        <v>2022</v>
      </c>
      <c r="Q43" s="77">
        <f>($K43*INDEX('DEFAULT DATA'!$NV$9:$WC$41,START!$C$3,($N43))*-44/12)+($K43*INDEX('DEFAULT DATA'!$NV$9:$WC$41,START!$C$3,($N43+1))*-44/12)+($K43*INDEX('DEFAULT DATA'!$NV$9:$WC$41,START!$C$3,($N43+2))*-44/12)+($K43*INDEX('DEFAULT DATA'!$NV$9:$WC$41,START!$C$3,($N43+3))*-44/12)+($L43*INDEX('DEFAULT DATA'!$NV$9:$WC$41,START!$C$3,($N43+4))*-44/12)+($M43*INDEX('DEFAULT DATA'!$NV$9:$WC$41,START!$C$3,($N43+5))*-44/12)</f>
        <v>0</v>
      </c>
      <c r="R43" s="77">
        <f>($K43*INDEX('DEFAULT DATA'!$NV$9:$WC$41,START!$C$3,($N43))*-44/12)+($K43*INDEX('DEFAULT DATA'!$NV$9:$WC$41,START!$C$3,($N43+1))*-44/12)+($K43*INDEX('DEFAULT DATA'!$NV$9:$WC$41,START!$C$3,($N43+2))*-44/12)+($K43*INDEX('DEFAULT DATA'!$NV$9:$WC$41,START!$C$3,($N43+3))*-44/12)+($L43*INDEX('DEFAULT DATA'!$NV$9:$WC$41,START!$C$3,($N43+4))*-44/12)+($M43*INDEX('DEFAULT DATA'!$NV$9:$WC$41,START!$C$3,($N43+5))*-44/12)</f>
        <v>0</v>
      </c>
      <c r="S43" s="77">
        <f>($K43*INDEX('DEFAULT DATA'!$NV$9:$WC$41,START!$C$3,($N43))*-44/12)+($K43*INDEX('DEFAULT DATA'!$NV$9:$WC$41,START!$C$3,($N43+1))*-44/12)+($K43*INDEX('DEFAULT DATA'!$NV$9:$WC$41,START!$C$3,($N43+2))*-44/12)+($K43*INDEX('DEFAULT DATA'!$NV$9:$WC$41,START!$C$3,($N43+3))*-44/12)+($L43*INDEX('DEFAULT DATA'!$NV$9:$WC$41,START!$C$3,($N43+4))*-44/12)+($M43*INDEX('DEFAULT DATA'!$NV$9:$WC$41,START!$C$3,($N43+5))*-44/12)</f>
        <v>0</v>
      </c>
      <c r="T43" s="77">
        <f>($K43*INDEX('DEFAULT DATA'!$NV$9:$WC$41,START!$C$3,($N43))*-44/12)+($K43*INDEX('DEFAULT DATA'!$NV$9:$WC$41,START!$C$3,($N43+1))*-44/12)+($K43*INDEX('DEFAULT DATA'!$NV$9:$WC$41,START!$C$3,($N43+2))*-44/12)+($K43*INDEX('DEFAULT DATA'!$NV$9:$WC$41,START!$C$3,($N43+3))*-44/12)+($L43*INDEX('DEFAULT DATA'!$NV$9:$WC$41,START!$C$3,($N43+4))*-44/12)+($M43*INDEX('DEFAULT DATA'!$NV$9:$WC$41,START!$C$3,($N43+5))*-44/12)</f>
        <v>0</v>
      </c>
      <c r="U43" s="77">
        <f>($K43*INDEX('DEFAULT DATA'!$NV$9:$WC$41,START!$C$3,($N43))*-44/12)+($K43*INDEX('DEFAULT DATA'!$NV$9:$WC$41,START!$C$3,($N43+1))*-44/12)+($K43*INDEX('DEFAULT DATA'!$NV$9:$WC$41,START!$C$3,($N43+2))*-44/12)+($K43*INDEX('DEFAULT DATA'!$NV$9:$WC$41,START!$C$3,($N43+3))*-44/12)+($L43*INDEX('DEFAULT DATA'!$NV$9:$WC$41,START!$C$3,($N43+4))*-44/12)+($M43*INDEX('DEFAULT DATA'!$NV$9:$WC$41,START!$C$3,($N43+5))*-44/12)</f>
        <v>0</v>
      </c>
      <c r="V43" s="77">
        <f>($K43*INDEX('DEFAULT DATA'!$NV$9:$WC$41,START!$C$3,($N43))*-44/12)+($K43*INDEX('DEFAULT DATA'!$NV$9:$WC$41,START!$C$3,($N43+1))*-44/12)+($K43*INDEX('DEFAULT DATA'!$NV$9:$WC$41,START!$C$3,($N43+2))*-44/12)+($K43*INDEX('DEFAULT DATA'!$NV$9:$WC$41,START!$C$3,($N43+3))*-44/12)+($L43*INDEX('DEFAULT DATA'!$NV$9:$WC$41,START!$C$3,($N43+4))*-44/12)+($M43*INDEX('DEFAULT DATA'!$NV$9:$WC$41,START!$C$3,($N43+5))*-44/12)</f>
        <v>0</v>
      </c>
      <c r="W43" s="77">
        <f>($K43*INDEX('DEFAULT DATA'!$NV$9:$WC$41,START!$C$3,($N43))*-44/12)+($K43*INDEX('DEFAULT DATA'!$NV$9:$WC$41,START!$C$3,($N43+1))*-44/12)+($K43*INDEX('DEFAULT DATA'!$NV$9:$WC$41,START!$C$3,($N43+2))*-44/12)+($K43*INDEX('DEFAULT DATA'!$NV$9:$WC$41,START!$C$3,($N43+3))*-44/12)+($L43*INDEX('DEFAULT DATA'!$NV$9:$WC$41,START!$C$3,($N43+4))*-44/12)+($M43*INDEX('DEFAULT DATA'!$NV$9:$WC$41,START!$C$3,($N43+5))*-44/12)</f>
        <v>0</v>
      </c>
      <c r="X43" s="77">
        <f>($K43*INDEX('DEFAULT DATA'!$NV$9:$WC$41,START!$C$3,($N43))*-44/12)+($K43*INDEX('DEFAULT DATA'!$NV$9:$WC$41,START!$C$3,($N43+1))*-44/12)+($K43*INDEX('DEFAULT DATA'!$NV$9:$WC$41,START!$C$3,($N43+2))*-44/12)+($K43*INDEX('DEFAULT DATA'!$NV$9:$WC$41,START!$C$3,($N43+3))*-44/12)+($L43*INDEX('DEFAULT DATA'!$NV$9:$WC$41,START!$C$3,($N43+4))*-44/12)+($M43*INDEX('DEFAULT DATA'!$NV$9:$WC$41,START!$C$3,($N43+5))*-44/12)</f>
        <v>0</v>
      </c>
      <c r="Y43" s="77">
        <f>($K43*INDEX('DEFAULT DATA'!$NV$9:$WC$41,START!$C$3,($N43))*-44/12)+($K43*INDEX('DEFAULT DATA'!$NV$9:$WC$41,START!$C$3,($N43+1))*-44/12)+($K43*INDEX('DEFAULT DATA'!$NV$9:$WC$41,START!$C$3,($N43+2))*-44/12)+($K43*INDEX('DEFAULT DATA'!$NV$9:$WC$41,START!$C$3,($N43+3))*-44/12)+($L43*INDEX('DEFAULT DATA'!$NV$9:$WC$41,START!$C$3,($N43+4))*-44/12)+($M43*INDEX('DEFAULT DATA'!$NV$9:$WC$41,START!$C$3,($N43+5))*-44/12)</f>
        <v>0</v>
      </c>
      <c r="Z43" s="77">
        <f>($K43*INDEX('DEFAULT DATA'!$NV$9:$WC$41,START!$C$3,($N43))*-44/12)+($K43*INDEX('DEFAULT DATA'!$NV$9:$WC$41,START!$C$3,($N43+1))*-44/12)+($K43*INDEX('DEFAULT DATA'!$NV$9:$WC$41,START!$C$3,($N43+2))*-44/12)+($K43*INDEX('DEFAULT DATA'!$NV$9:$WC$41,START!$C$3,($N43+3))*-44/12)+($L43*INDEX('DEFAULT DATA'!$NV$9:$WC$41,START!$C$3,($N43+4))*-44/12)+($M43*INDEX('DEFAULT DATA'!$NV$9:$WC$41,START!$C$3,($N43+5))*-44/12)</f>
        <v>0</v>
      </c>
      <c r="AA43" s="77">
        <f>($K43*INDEX('DEFAULT DATA'!$NV$9:$WC$41,START!$C$3,($N43))*-44/12)+($K43*INDEX('DEFAULT DATA'!$NV$9:$WC$41,START!$C$3,($N43+1))*-44/12)+($K43*INDEX('DEFAULT DATA'!$NV$9:$WC$41,START!$C$3,($N43+2))*-44/12)+($K43*INDEX('DEFAULT DATA'!$NV$9:$WC$41,START!$C$3,($N43+3))*-44/12)+($L43*INDEX('DEFAULT DATA'!$NV$9:$WC$41,START!$C$3,($N43+4))*-44/12)+($M43*INDEX('DEFAULT DATA'!$NV$9:$WC$41,START!$C$3,($N43+5))*-44/12)</f>
        <v>0</v>
      </c>
      <c r="AB43" s="77">
        <f>($K43*INDEX('DEFAULT DATA'!$NV$9:$WC$41,START!$C$3,($N43))*-44/12)+($K43*INDEX('DEFAULT DATA'!$NV$9:$WC$41,START!$C$3,($N43+1))*-44/12)+($K43*INDEX('DEFAULT DATA'!$NV$9:$WC$41,START!$C$3,($N43+2))*-44/12)+($K43*INDEX('DEFAULT DATA'!$NV$9:$WC$41,START!$C$3,($N43+3))*-44/12)+($L43*INDEX('DEFAULT DATA'!$NV$9:$WC$41,START!$C$3,($N43+4))*-44/12)+($M43*INDEX('DEFAULT DATA'!$NV$9:$WC$41,START!$C$3,($N43+5))*-44/12)</f>
        <v>0</v>
      </c>
      <c r="AC43" s="77">
        <f>($K43*INDEX('DEFAULT DATA'!$NV$9:$WC$41,START!$C$3,($N43))*-44/12)+($K43*INDEX('DEFAULT DATA'!$NV$9:$WC$41,START!$C$3,($N43+1))*-44/12)+($K43*INDEX('DEFAULT DATA'!$NV$9:$WC$41,START!$C$3,($N43+2))*-44/12)+($K43*INDEX('DEFAULT DATA'!$NV$9:$WC$41,START!$C$3,($N43+3))*-44/12)+($L43*INDEX('DEFAULT DATA'!$NV$9:$WC$41,START!$C$3,($N43+4))*-44/12)+($M43*INDEX('DEFAULT DATA'!$NV$9:$WC$41,START!$C$3,($N43+5))*-44/12)</f>
        <v>0</v>
      </c>
      <c r="AD43" s="77">
        <f>($K43*INDEX('DEFAULT DATA'!$NV$9:$WC$41,START!$C$3,($N43))*-44/12)+($K43*INDEX('DEFAULT DATA'!$NV$9:$WC$41,START!$C$3,($N43+1))*-44/12)+($K43*INDEX('DEFAULT DATA'!$NV$9:$WC$41,START!$C$3,($N43+2))*-44/12)+($K43*INDEX('DEFAULT DATA'!$NV$9:$WC$41,START!$C$3,($N43+3))*-44/12)+($L43*INDEX('DEFAULT DATA'!$NV$9:$WC$41,START!$C$3,($N43+4))*-44/12)+($M43*INDEX('DEFAULT DATA'!$NV$9:$WC$41,START!$C$3,($N43+5))*-44/12)</f>
        <v>0</v>
      </c>
      <c r="AE43" s="77">
        <f>($K43*INDEX('DEFAULT DATA'!$NV$9:$WC$41,START!$C$3,($N43))*-44/12)+($K43*INDEX('DEFAULT DATA'!$NV$9:$WC$41,START!$C$3,($N43+1))*-44/12)+($K43*INDEX('DEFAULT DATA'!$NV$9:$WC$41,START!$C$3,($N43+2))*-44/12)+($K43*INDEX('DEFAULT DATA'!$NV$9:$WC$41,START!$C$3,($N43+3))*-44/12)+($L43*INDEX('DEFAULT DATA'!$NV$9:$WC$41,START!$C$3,($N43+4))*-44/12)+($M43*INDEX('DEFAULT DATA'!$NV$9:$WC$41,START!$C$3,($N43+5))*-44/12)</f>
        <v>0</v>
      </c>
      <c r="AF43" s="77">
        <f>($K43*INDEX('DEFAULT DATA'!$NV$9:$WC$41,START!$C$3,($N43))*-44/12)+($K43*INDEX('DEFAULT DATA'!$NV$9:$WC$41,START!$C$3,($N43+1))*-44/12)+($K43*INDEX('DEFAULT DATA'!$NV$9:$WC$41,START!$C$3,($N43+2))*-44/12)+($K43*INDEX('DEFAULT DATA'!$NV$9:$WC$41,START!$C$3,($N43+3))*-44/12)+($L43*INDEX('DEFAULT DATA'!$NV$9:$WC$41,START!$C$3,($N43+4))*-44/12)+($M43*INDEX('DEFAULT DATA'!$NV$9:$WC$41,START!$C$3,($N43+5))*-44/12)</f>
        <v>0</v>
      </c>
      <c r="AG43" s="77">
        <f>($K43*INDEX('DEFAULT DATA'!$NV$9:$WC$41,START!$C$3,($N43))*-44/12)+($K43*INDEX('DEFAULT DATA'!$NV$9:$WC$41,START!$C$3,($N43+1))*-44/12)+($K43*INDEX('DEFAULT DATA'!$NV$9:$WC$41,START!$C$3,($N43+2))*-44/12)+($K43*INDEX('DEFAULT DATA'!$NV$9:$WC$41,START!$C$3,($N43+3))*-44/12)+($L43*INDEX('DEFAULT DATA'!$NV$9:$WC$41,START!$C$3,($N43+4))*-44/12)+($M43*INDEX('DEFAULT DATA'!$NV$9:$WC$41,START!$C$3,($N43+5))*-44/12)</f>
        <v>0</v>
      </c>
      <c r="AH43" s="77">
        <f>($K43*INDEX('DEFAULT DATA'!$NV$9:$WC$41,START!$C$3,($N43))*-44/12)+($K43*INDEX('DEFAULT DATA'!$NV$9:$WC$41,START!$C$3,($N43+1))*-44/12)+($K43*INDEX('DEFAULT DATA'!$NV$9:$WC$41,START!$C$3,($N43+2))*-44/12)+($K43*INDEX('DEFAULT DATA'!$NV$9:$WC$41,START!$C$3,($N43+3))*-44/12)+($L43*INDEX('DEFAULT DATA'!$NV$9:$WC$41,START!$C$3,($N43+4))*-44/12)+($M43*INDEX('DEFAULT DATA'!$NV$9:$WC$41,START!$C$3,($N43+5))*-44/12)</f>
        <v>0</v>
      </c>
      <c r="AI43" s="77">
        <f>($K43*INDEX('DEFAULT DATA'!$NV$9:$WC$41,START!$C$3,($N43))*-44/12)+($K43*INDEX('DEFAULT DATA'!$NV$9:$WC$41,START!$C$3,($N43+1))*-44/12)+($K43*INDEX('DEFAULT DATA'!$NV$9:$WC$41,START!$C$3,($N43+2))*-44/12)+($K43*INDEX('DEFAULT DATA'!$NV$9:$WC$41,START!$C$3,($N43+3))*-44/12)+($L43*INDEX('DEFAULT DATA'!$NV$9:$WC$41,START!$C$3,($N43+4))*-44/12)+($M43*INDEX('DEFAULT DATA'!$NV$9:$WC$41,START!$C$3,($N43+5))*-44/12)</f>
        <v>0</v>
      </c>
      <c r="AJ43" s="77">
        <f>($K43*INDEX('DEFAULT DATA'!$NV$9:$WC$41,START!$C$3,($N43))*-44/12)+($K43*INDEX('DEFAULT DATA'!$NV$9:$WC$41,START!$C$3,($N43+1))*-44/12)+($K43*INDEX('DEFAULT DATA'!$NV$9:$WC$41,START!$C$3,($N43+2))*-44/12)+($K43*INDEX('DEFAULT DATA'!$NV$9:$WC$41,START!$C$3,($N43+3))*-44/12)+($L43*INDEX('DEFAULT DATA'!$NV$9:$WC$41,START!$C$3,($N43+4))*-44/12)+($M43*INDEX('DEFAULT DATA'!$NV$9:$WC$41,START!$C$3,($N43+5))*-44/12)</f>
        <v>0</v>
      </c>
      <c r="AK43" s="77">
        <f>(($K43*INDEX('DEFAULT DATA'!$UZ$9:$VE$41,START!$C$3,1)*-44/12)+($K43*INDEX('DEFAULT DATA'!$UZ$9:$VE$41,START!$C$3,2)*-44/12)+($K43*INDEX('DEFAULT DATA'!$UZ$9:$VE$41,START!$C$3,3)*-44/12)+($K43*INDEX('DEFAULT DATA'!$UZ$9:$VE$41,START!$C$3,4)*-44/12)+($L43*INDEX('DEFAULT DATA'!$UZ$9:$VE$41,START!$C$3,5)*-44/12)+($M43*INDEX('DEFAULT DATA'!$UZ$9:$VE$41,START!$C$3,6)*-44/12))</f>
        <v>0</v>
      </c>
      <c r="AL43" s="77">
        <f>(($K43*INDEX('DEFAULT DATA'!$UZ$9:$VE$41,START!$C$3,1)*-44/12)+($K43*INDEX('DEFAULT DATA'!$UZ$9:$VE$41,START!$C$3,2)*-44/12)+($K43*INDEX('DEFAULT DATA'!$UZ$9:$VE$41,START!$C$3,3)*-44/12)+($K43*INDEX('DEFAULT DATA'!$UZ$9:$VE$41,START!$C$3,4)*-44/12)+($L43*INDEX('DEFAULT DATA'!$UZ$9:$VE$41,START!$C$3,5)*-44/12)+($M43*INDEX('DEFAULT DATA'!$UZ$9:$VE$41,START!$C$3,6)*-44/12))</f>
        <v>0</v>
      </c>
      <c r="AM43" s="77">
        <f>(($K43*INDEX('DEFAULT DATA'!$UZ$9:$VE$41,START!$C$3,1)*-44/12)+($K43*INDEX('DEFAULT DATA'!$UZ$9:$VE$41,START!$C$3,2)*-44/12)+($K43*INDEX('DEFAULT DATA'!$UZ$9:$VE$41,START!$C$3,3)*-44/12)+($K43*INDEX('DEFAULT DATA'!$UZ$9:$VE$41,START!$C$3,4)*-44/12)+($L43*INDEX('DEFAULT DATA'!$UZ$9:$VE$41,START!$C$3,5)*-44/12)+($M43*INDEX('DEFAULT DATA'!$UZ$9:$VE$41,START!$C$3,6)*-44/12))</f>
        <v>0</v>
      </c>
      <c r="AN43" s="77">
        <f>(($K43*INDEX('DEFAULT DATA'!$UZ$9:$VE$41,START!$C$3,1)*-44/12)+($K43*INDEX('DEFAULT DATA'!$UZ$9:$VE$41,START!$C$3,2)*-44/12)+($K43*INDEX('DEFAULT DATA'!$UZ$9:$VE$41,START!$C$3,3)*-44/12)+($K43*INDEX('DEFAULT DATA'!$UZ$9:$VE$41,START!$C$3,4)*-44/12)+($L43*INDEX('DEFAULT DATA'!$UZ$9:$VE$41,START!$C$3,5)*-44/12)+($M43*INDEX('DEFAULT DATA'!$UZ$9:$VE$41,START!$C$3,6)*-44/12))</f>
        <v>0</v>
      </c>
      <c r="AO43" s="77">
        <f>(($K43*INDEX('DEFAULT DATA'!$UZ$9:$VE$41,START!$C$3,1)*-44/12)+($K43*INDEX('DEFAULT DATA'!$UZ$9:$VE$41,START!$C$3,2)*-44/12)+($K43*INDEX('DEFAULT DATA'!$UZ$9:$VE$41,START!$C$3,3)*-44/12)+($K43*INDEX('DEFAULT DATA'!$UZ$9:$VE$41,START!$C$3,4)*-44/12)+($L43*INDEX('DEFAULT DATA'!$UZ$9:$VE$41,START!$C$3,5)*-44/12)+($M43*INDEX('DEFAULT DATA'!$UZ$9:$VE$41,START!$C$3,6)*-44/12))</f>
        <v>0</v>
      </c>
      <c r="AP43" s="77">
        <f>(($K43*INDEX('DEFAULT DATA'!$UZ$9:$VE$41,START!$C$3,1)*-44/12)+($K43*INDEX('DEFAULT DATA'!$UZ$9:$VE$41,START!$C$3,2)*-44/12)+($K43*INDEX('DEFAULT DATA'!$UZ$9:$VE$41,START!$C$3,3)*-44/12)+($K43*INDEX('DEFAULT DATA'!$UZ$9:$VE$41,START!$C$3,4)*-44/12)+($L43*INDEX('DEFAULT DATA'!$UZ$9:$VE$41,START!$C$3,5)*-44/12)+($M43*INDEX('DEFAULT DATA'!$UZ$9:$VE$41,START!$C$3,6)*-44/12))</f>
        <v>0</v>
      </c>
      <c r="AQ43" s="77">
        <f>(($K43*INDEX('DEFAULT DATA'!$UZ$9:$VE$41,START!$C$3,1)*-44/12)+($K43*INDEX('DEFAULT DATA'!$UZ$9:$VE$41,START!$C$3,2)*-44/12)+($K43*INDEX('DEFAULT DATA'!$UZ$9:$VE$41,START!$C$3,3)*-44/12)+($K43*INDEX('DEFAULT DATA'!$UZ$9:$VE$41,START!$C$3,4)*-44/12)+($L43*INDEX('DEFAULT DATA'!$UZ$9:$VE$41,START!$C$3,5)*-44/12)+($M43*INDEX('DEFAULT DATA'!$UZ$9:$VE$41,START!$C$3,6)*-44/12))</f>
        <v>0</v>
      </c>
      <c r="AR43" s="77">
        <f>(($K43*INDEX('DEFAULT DATA'!$UZ$9:$VE$41,START!$C$3,1)*-44/12)+($K43*INDEX('DEFAULT DATA'!$UZ$9:$VE$41,START!$C$3,2)*-44/12)+($K43*INDEX('DEFAULT DATA'!$UZ$9:$VE$41,START!$C$3,3)*-44/12)+($K43*INDEX('DEFAULT DATA'!$UZ$9:$VE$41,START!$C$3,4)*-44/12)+($L43*INDEX('DEFAULT DATA'!$UZ$9:$VE$41,START!$C$3,5)*-44/12)+($M43*INDEX('DEFAULT DATA'!$UZ$9:$VE$41,START!$C$3,6)*-44/12))</f>
        <v>0</v>
      </c>
      <c r="AS43" s="77">
        <f>(($K43*INDEX('DEFAULT DATA'!$UZ$9:$VE$41,START!$C$3,1)*-44/12)+($K43*INDEX('DEFAULT DATA'!$UZ$9:$VE$41,START!$C$3,2)*-44/12)+($K43*INDEX('DEFAULT DATA'!$UZ$9:$VE$41,START!$C$3,3)*-44/12)+($K43*INDEX('DEFAULT DATA'!$UZ$9:$VE$41,START!$C$3,4)*-44/12)+($L43*INDEX('DEFAULT DATA'!$UZ$9:$VE$41,START!$C$3,5)*-44/12)+($M43*INDEX('DEFAULT DATA'!$UZ$9:$VE$41,START!$C$3,6)*-44/12))</f>
        <v>0</v>
      </c>
      <c r="AT43" s="276">
        <f>(($K43*INDEX('DEFAULT DATA'!$UZ$9:$VE$41,START!$C$3,1)*-44/12)+($K43*INDEX('DEFAULT DATA'!$UZ$9:$VE$41,START!$C$3,2)*-44/12)+($K43*INDEX('DEFAULT DATA'!$UZ$9:$VE$41,START!$C$3,3)*-44/12)+($K43*INDEX('DEFAULT DATA'!$UZ$9:$VE$41,START!$C$3,4)*-44/12)+($L43*INDEX('DEFAULT DATA'!$UZ$9:$VE$41,START!$C$3,5)*-44/12)+($M43*INDEX('DEFAULT DATA'!$UZ$9:$VE$41,START!$C$3,6)*-44/12))</f>
        <v>0</v>
      </c>
      <c r="AV43" s="1097" t="str">
        <f t="shared" si="42"/>
        <v>(INPUT1*CSC_COL73*-44/12)+(INPUT1*CSC_COL74*-44/12)+(INPUT1*CSC_COL75*-44/12)+(INPUT1*CSC_COL76*-44/12)+(INPUT2*CSC_COL77*-44/12)+(INPUT3*CSC_COL78*-44/12)</v>
      </c>
      <c r="AW43" s="1087" t="s">
        <v>3043</v>
      </c>
      <c r="AX43" s="1087" t="s">
        <v>3043</v>
      </c>
      <c r="AY43" s="1087" t="s">
        <v>3043</v>
      </c>
      <c r="AZ43" s="1087" t="s">
        <v>3043</v>
      </c>
      <c r="BA43" s="1087" t="s">
        <v>3043</v>
      </c>
      <c r="BB43" s="1087" t="s">
        <v>3043</v>
      </c>
      <c r="BC43" s="1087" t="s">
        <v>3043</v>
      </c>
      <c r="BD43" s="1087" t="s">
        <v>3043</v>
      </c>
      <c r="BE43" s="1087" t="s">
        <v>3043</v>
      </c>
      <c r="BF43" s="1087" t="s">
        <v>3043</v>
      </c>
      <c r="BG43" s="1087" t="s">
        <v>3043</v>
      </c>
      <c r="BH43" s="1087" t="s">
        <v>3043</v>
      </c>
      <c r="BI43" s="1087" t="s">
        <v>3043</v>
      </c>
      <c r="BJ43" s="1087" t="s">
        <v>3043</v>
      </c>
      <c r="BK43" s="1087" t="s">
        <v>3043</v>
      </c>
      <c r="BL43" s="1087" t="s">
        <v>3043</v>
      </c>
      <c r="BM43" s="1087" t="s">
        <v>3043</v>
      </c>
      <c r="BN43" s="1087" t="s">
        <v>3043</v>
      </c>
      <c r="BO43" s="1087" t="s">
        <v>3043</v>
      </c>
      <c r="BP43" s="1112" t="s">
        <v>3047</v>
      </c>
      <c r="BQ43" s="1113" t="s">
        <v>3045</v>
      </c>
      <c r="BR43" s="1113" t="s">
        <v>3045</v>
      </c>
      <c r="BS43" s="1113" t="s">
        <v>3045</v>
      </c>
      <c r="BT43" s="1113" t="s">
        <v>3045</v>
      </c>
      <c r="BU43" s="1113" t="s">
        <v>3045</v>
      </c>
      <c r="BV43" s="1113" t="s">
        <v>3045</v>
      </c>
      <c r="BW43" s="1113" t="s">
        <v>3045</v>
      </c>
      <c r="BX43" s="1113" t="s">
        <v>3045</v>
      </c>
      <c r="BY43" s="1114" t="s">
        <v>3045</v>
      </c>
    </row>
    <row r="44" spans="1:77" ht="20.100000000000001" customHeight="1" thickBot="1">
      <c r="A44" s="281"/>
      <c r="B44" s="218"/>
      <c r="C44" s="218"/>
      <c r="D44" s="218"/>
      <c r="E44" s="218"/>
      <c r="F44" s="218"/>
      <c r="G44" s="218"/>
      <c r="H44" s="218"/>
      <c r="I44" s="266"/>
      <c r="J44" s="124"/>
      <c r="K44" s="313">
        <f t="shared" si="38"/>
        <v>0</v>
      </c>
      <c r="L44" s="314">
        <f t="shared" si="39"/>
        <v>0</v>
      </c>
      <c r="M44" s="314">
        <f t="shared" si="40"/>
        <v>0</v>
      </c>
      <c r="N44" s="155">
        <f t="shared" si="43"/>
        <v>55</v>
      </c>
      <c r="O44" s="315" t="s">
        <v>502</v>
      </c>
      <c r="P44" s="316">
        <f t="shared" si="41"/>
        <v>2022</v>
      </c>
      <c r="Q44" s="273">
        <f>($K44*INDEX('DEFAULT DATA'!$NV$9:$WC$41,START!$C$3,($N44))*-44/12)+($K44*INDEX('DEFAULT DATA'!$NV$9:$WC$41,START!$C$3,($N44+1))*-44/12)+($K44*INDEX('DEFAULT DATA'!$NV$9:$WC$41,START!$C$3,($N44+2))*-44/12)+($K44*INDEX('DEFAULT DATA'!$NV$9:$WC$41,START!$C$3,($N44+3))*-44/12)+($L44*INDEX('DEFAULT DATA'!$NV$9:$WC$41,START!$C$3,($N44+4))*-44/12)+($M44*INDEX('DEFAULT DATA'!$NV$9:$WC$41,START!$C$3,($N44+5))*-44/12)</f>
        <v>0</v>
      </c>
      <c r="R44" s="273">
        <f>($K44*INDEX('DEFAULT DATA'!$NV$9:$WC$41,START!$C$3,($N44))*-44/12)+($K44*INDEX('DEFAULT DATA'!$NV$9:$WC$41,START!$C$3,($N44+1))*-44/12)+($K44*INDEX('DEFAULT DATA'!$NV$9:$WC$41,START!$C$3,($N44+2))*-44/12)+($K44*INDEX('DEFAULT DATA'!$NV$9:$WC$41,START!$C$3,($N44+3))*-44/12)+($L44*INDEX('DEFAULT DATA'!$NV$9:$WC$41,START!$C$3,($N44+4))*-44/12)+($M44*INDEX('DEFAULT DATA'!$NV$9:$WC$41,START!$C$3,($N44+5))*-44/12)</f>
        <v>0</v>
      </c>
      <c r="S44" s="273">
        <f>($K44*INDEX('DEFAULT DATA'!$NV$9:$WC$41,START!$C$3,($N44))*-44/12)+($K44*INDEX('DEFAULT DATA'!$NV$9:$WC$41,START!$C$3,($N44+1))*-44/12)+($K44*INDEX('DEFAULT DATA'!$NV$9:$WC$41,START!$C$3,($N44+2))*-44/12)+($K44*INDEX('DEFAULT DATA'!$NV$9:$WC$41,START!$C$3,($N44+3))*-44/12)+($L44*INDEX('DEFAULT DATA'!$NV$9:$WC$41,START!$C$3,($N44+4))*-44/12)+($M44*INDEX('DEFAULT DATA'!$NV$9:$WC$41,START!$C$3,($N44+5))*-44/12)</f>
        <v>0</v>
      </c>
      <c r="T44" s="273">
        <f>($K44*INDEX('DEFAULT DATA'!$NV$9:$WC$41,START!$C$3,($N44))*-44/12)+($K44*INDEX('DEFAULT DATA'!$NV$9:$WC$41,START!$C$3,($N44+1))*-44/12)+($K44*INDEX('DEFAULT DATA'!$NV$9:$WC$41,START!$C$3,($N44+2))*-44/12)+($K44*INDEX('DEFAULT DATA'!$NV$9:$WC$41,START!$C$3,($N44+3))*-44/12)+($L44*INDEX('DEFAULT DATA'!$NV$9:$WC$41,START!$C$3,($N44+4))*-44/12)+($M44*INDEX('DEFAULT DATA'!$NV$9:$WC$41,START!$C$3,($N44+5))*-44/12)</f>
        <v>0</v>
      </c>
      <c r="U44" s="273">
        <f>($K44*INDEX('DEFAULT DATA'!$NV$9:$WC$41,START!$C$3,($N44))*-44/12)+($K44*INDEX('DEFAULT DATA'!$NV$9:$WC$41,START!$C$3,($N44+1))*-44/12)+($K44*INDEX('DEFAULT DATA'!$NV$9:$WC$41,START!$C$3,($N44+2))*-44/12)+($K44*INDEX('DEFAULT DATA'!$NV$9:$WC$41,START!$C$3,($N44+3))*-44/12)+($L44*INDEX('DEFAULT DATA'!$NV$9:$WC$41,START!$C$3,($N44+4))*-44/12)+($M44*INDEX('DEFAULT DATA'!$NV$9:$WC$41,START!$C$3,($N44+5))*-44/12)</f>
        <v>0</v>
      </c>
      <c r="V44" s="273">
        <f>($K44*INDEX('DEFAULT DATA'!$NV$9:$WC$41,START!$C$3,($N44))*-44/12)+($K44*INDEX('DEFAULT DATA'!$NV$9:$WC$41,START!$C$3,($N44+1))*-44/12)+($K44*INDEX('DEFAULT DATA'!$NV$9:$WC$41,START!$C$3,($N44+2))*-44/12)+($K44*INDEX('DEFAULT DATA'!$NV$9:$WC$41,START!$C$3,($N44+3))*-44/12)+($L44*INDEX('DEFAULT DATA'!$NV$9:$WC$41,START!$C$3,($N44+4))*-44/12)+($M44*INDEX('DEFAULT DATA'!$NV$9:$WC$41,START!$C$3,($N44+5))*-44/12)</f>
        <v>0</v>
      </c>
      <c r="W44" s="273">
        <f>($K44*INDEX('DEFAULT DATA'!$NV$9:$WC$41,START!$C$3,($N44))*-44/12)+($K44*INDEX('DEFAULT DATA'!$NV$9:$WC$41,START!$C$3,($N44+1))*-44/12)+($K44*INDEX('DEFAULT DATA'!$NV$9:$WC$41,START!$C$3,($N44+2))*-44/12)+($K44*INDEX('DEFAULT DATA'!$NV$9:$WC$41,START!$C$3,($N44+3))*-44/12)+($L44*INDEX('DEFAULT DATA'!$NV$9:$WC$41,START!$C$3,($N44+4))*-44/12)+($M44*INDEX('DEFAULT DATA'!$NV$9:$WC$41,START!$C$3,($N44+5))*-44/12)</f>
        <v>0</v>
      </c>
      <c r="X44" s="273">
        <f>($K44*INDEX('DEFAULT DATA'!$NV$9:$WC$41,START!$C$3,($N44))*-44/12)+($K44*INDEX('DEFAULT DATA'!$NV$9:$WC$41,START!$C$3,($N44+1))*-44/12)+($K44*INDEX('DEFAULT DATA'!$NV$9:$WC$41,START!$C$3,($N44+2))*-44/12)+($K44*INDEX('DEFAULT DATA'!$NV$9:$WC$41,START!$C$3,($N44+3))*-44/12)+($L44*INDEX('DEFAULT DATA'!$NV$9:$WC$41,START!$C$3,($N44+4))*-44/12)+($M44*INDEX('DEFAULT DATA'!$NV$9:$WC$41,START!$C$3,($N44+5))*-44/12)</f>
        <v>0</v>
      </c>
      <c r="Y44" s="273">
        <f>($K44*INDEX('DEFAULT DATA'!$NV$9:$WC$41,START!$C$3,($N44))*-44/12)+($K44*INDEX('DEFAULT DATA'!$NV$9:$WC$41,START!$C$3,($N44+1))*-44/12)+($K44*INDEX('DEFAULT DATA'!$NV$9:$WC$41,START!$C$3,($N44+2))*-44/12)+($K44*INDEX('DEFAULT DATA'!$NV$9:$WC$41,START!$C$3,($N44+3))*-44/12)+($L44*INDEX('DEFAULT DATA'!$NV$9:$WC$41,START!$C$3,($N44+4))*-44/12)+($M44*INDEX('DEFAULT DATA'!$NV$9:$WC$41,START!$C$3,($N44+5))*-44/12)</f>
        <v>0</v>
      </c>
      <c r="Z44" s="273">
        <f>($K44*INDEX('DEFAULT DATA'!$NV$9:$WC$41,START!$C$3,($N44))*-44/12)+($K44*INDEX('DEFAULT DATA'!$NV$9:$WC$41,START!$C$3,($N44+1))*-44/12)+($K44*INDEX('DEFAULT DATA'!$NV$9:$WC$41,START!$C$3,($N44+2))*-44/12)+($K44*INDEX('DEFAULT DATA'!$NV$9:$WC$41,START!$C$3,($N44+3))*-44/12)+($L44*INDEX('DEFAULT DATA'!$NV$9:$WC$41,START!$C$3,($N44+4))*-44/12)+($M44*INDEX('DEFAULT DATA'!$NV$9:$WC$41,START!$C$3,($N44+5))*-44/12)</f>
        <v>0</v>
      </c>
      <c r="AA44" s="273">
        <f>($K44*INDEX('DEFAULT DATA'!$NV$9:$WC$41,START!$C$3,($N44))*-44/12)+($K44*INDEX('DEFAULT DATA'!$NV$9:$WC$41,START!$C$3,($N44+1))*-44/12)+($K44*INDEX('DEFAULT DATA'!$NV$9:$WC$41,START!$C$3,($N44+2))*-44/12)+($K44*INDEX('DEFAULT DATA'!$NV$9:$WC$41,START!$C$3,($N44+3))*-44/12)+($L44*INDEX('DEFAULT DATA'!$NV$9:$WC$41,START!$C$3,($N44+4))*-44/12)+($M44*INDEX('DEFAULT DATA'!$NV$9:$WC$41,START!$C$3,($N44+5))*-44/12)</f>
        <v>0</v>
      </c>
      <c r="AB44" s="273">
        <f>($K44*INDEX('DEFAULT DATA'!$NV$9:$WC$41,START!$C$3,($N44))*-44/12)+($K44*INDEX('DEFAULT DATA'!$NV$9:$WC$41,START!$C$3,($N44+1))*-44/12)+($K44*INDEX('DEFAULT DATA'!$NV$9:$WC$41,START!$C$3,($N44+2))*-44/12)+($K44*INDEX('DEFAULT DATA'!$NV$9:$WC$41,START!$C$3,($N44+3))*-44/12)+($L44*INDEX('DEFAULT DATA'!$NV$9:$WC$41,START!$C$3,($N44+4))*-44/12)+($M44*INDEX('DEFAULT DATA'!$NV$9:$WC$41,START!$C$3,($N44+5))*-44/12)</f>
        <v>0</v>
      </c>
      <c r="AC44" s="273">
        <f>($K44*INDEX('DEFAULT DATA'!$NV$9:$WC$41,START!$C$3,($N44))*-44/12)+($K44*INDEX('DEFAULT DATA'!$NV$9:$WC$41,START!$C$3,($N44+1))*-44/12)+($K44*INDEX('DEFAULT DATA'!$NV$9:$WC$41,START!$C$3,($N44+2))*-44/12)+($K44*INDEX('DEFAULT DATA'!$NV$9:$WC$41,START!$C$3,($N44+3))*-44/12)+($L44*INDEX('DEFAULT DATA'!$NV$9:$WC$41,START!$C$3,($N44+4))*-44/12)+($M44*INDEX('DEFAULT DATA'!$NV$9:$WC$41,START!$C$3,($N44+5))*-44/12)</f>
        <v>0</v>
      </c>
      <c r="AD44" s="273">
        <f>($K44*INDEX('DEFAULT DATA'!$NV$9:$WC$41,START!$C$3,($N44))*-44/12)+($K44*INDEX('DEFAULT DATA'!$NV$9:$WC$41,START!$C$3,($N44+1))*-44/12)+($K44*INDEX('DEFAULT DATA'!$NV$9:$WC$41,START!$C$3,($N44+2))*-44/12)+($K44*INDEX('DEFAULT DATA'!$NV$9:$WC$41,START!$C$3,($N44+3))*-44/12)+($L44*INDEX('DEFAULT DATA'!$NV$9:$WC$41,START!$C$3,($N44+4))*-44/12)+($M44*INDEX('DEFAULT DATA'!$NV$9:$WC$41,START!$C$3,($N44+5))*-44/12)</f>
        <v>0</v>
      </c>
      <c r="AE44" s="273">
        <f>($K44*INDEX('DEFAULT DATA'!$NV$9:$WC$41,START!$C$3,($N44))*-44/12)+($K44*INDEX('DEFAULT DATA'!$NV$9:$WC$41,START!$C$3,($N44+1))*-44/12)+($K44*INDEX('DEFAULT DATA'!$NV$9:$WC$41,START!$C$3,($N44+2))*-44/12)+($K44*INDEX('DEFAULT DATA'!$NV$9:$WC$41,START!$C$3,($N44+3))*-44/12)+($L44*INDEX('DEFAULT DATA'!$NV$9:$WC$41,START!$C$3,($N44+4))*-44/12)+($M44*INDEX('DEFAULT DATA'!$NV$9:$WC$41,START!$C$3,($N44+5))*-44/12)</f>
        <v>0</v>
      </c>
      <c r="AF44" s="273">
        <f>($K44*INDEX('DEFAULT DATA'!$NV$9:$WC$41,START!$C$3,($N44))*-44/12)+($K44*INDEX('DEFAULT DATA'!$NV$9:$WC$41,START!$C$3,($N44+1))*-44/12)+($K44*INDEX('DEFAULT DATA'!$NV$9:$WC$41,START!$C$3,($N44+2))*-44/12)+($K44*INDEX('DEFAULT DATA'!$NV$9:$WC$41,START!$C$3,($N44+3))*-44/12)+($L44*INDEX('DEFAULT DATA'!$NV$9:$WC$41,START!$C$3,($N44+4))*-44/12)+($M44*INDEX('DEFAULT DATA'!$NV$9:$WC$41,START!$C$3,($N44+5))*-44/12)</f>
        <v>0</v>
      </c>
      <c r="AG44" s="273">
        <f>($K44*INDEX('DEFAULT DATA'!$NV$9:$WC$41,START!$C$3,($N44))*-44/12)+($K44*INDEX('DEFAULT DATA'!$NV$9:$WC$41,START!$C$3,($N44+1))*-44/12)+($K44*INDEX('DEFAULT DATA'!$NV$9:$WC$41,START!$C$3,($N44+2))*-44/12)+($K44*INDEX('DEFAULT DATA'!$NV$9:$WC$41,START!$C$3,($N44+3))*-44/12)+($L44*INDEX('DEFAULT DATA'!$NV$9:$WC$41,START!$C$3,($N44+4))*-44/12)+($M44*INDEX('DEFAULT DATA'!$NV$9:$WC$41,START!$C$3,($N44+5))*-44/12)</f>
        <v>0</v>
      </c>
      <c r="AH44" s="273">
        <f>($K44*INDEX('DEFAULT DATA'!$NV$9:$WC$41,START!$C$3,($N44))*-44/12)+($K44*INDEX('DEFAULT DATA'!$NV$9:$WC$41,START!$C$3,($N44+1))*-44/12)+($K44*INDEX('DEFAULT DATA'!$NV$9:$WC$41,START!$C$3,($N44+2))*-44/12)+($K44*INDEX('DEFAULT DATA'!$NV$9:$WC$41,START!$C$3,($N44+3))*-44/12)+($L44*INDEX('DEFAULT DATA'!$NV$9:$WC$41,START!$C$3,($N44+4))*-44/12)+($M44*INDEX('DEFAULT DATA'!$NV$9:$WC$41,START!$C$3,($N44+5))*-44/12)</f>
        <v>0</v>
      </c>
      <c r="AI44" s="273">
        <f>($K44*INDEX('DEFAULT DATA'!$NV$9:$WC$41,START!$C$3,($N44))*-44/12)+($K44*INDEX('DEFAULT DATA'!$NV$9:$WC$41,START!$C$3,($N44+1))*-44/12)+($K44*INDEX('DEFAULT DATA'!$NV$9:$WC$41,START!$C$3,($N44+2))*-44/12)+($K44*INDEX('DEFAULT DATA'!$NV$9:$WC$41,START!$C$3,($N44+3))*-44/12)+($L44*INDEX('DEFAULT DATA'!$NV$9:$WC$41,START!$C$3,($N44+4))*-44/12)+($M44*INDEX('DEFAULT DATA'!$NV$9:$WC$41,START!$C$3,($N44+5))*-44/12)</f>
        <v>0</v>
      </c>
      <c r="AJ44" s="273">
        <f>($K44*INDEX('DEFAULT DATA'!$NV$9:$WC$41,START!$C$3,($N44))*-44/12)+($K44*INDEX('DEFAULT DATA'!$NV$9:$WC$41,START!$C$3,($N44+1))*-44/12)+($K44*INDEX('DEFAULT DATA'!$NV$9:$WC$41,START!$C$3,($N44+2))*-44/12)+($K44*INDEX('DEFAULT DATA'!$NV$9:$WC$41,START!$C$3,($N44+3))*-44/12)+($L44*INDEX('DEFAULT DATA'!$NV$9:$WC$41,START!$C$3,($N44+4))*-44/12)+($M44*INDEX('DEFAULT DATA'!$NV$9:$WC$41,START!$C$3,($N44+5))*-44/12)</f>
        <v>0</v>
      </c>
      <c r="AK44" s="273">
        <f>(($K44*INDEX('DEFAULT DATA'!$UZ$9:$VE$41,START!$C$3,1)*-44/12)+($K44*INDEX('DEFAULT DATA'!$UZ$9:$VE$41,START!$C$3,2)*-44/12)+($K44*INDEX('DEFAULT DATA'!$UZ$9:$VE$41,START!$C$3,3)*-44/12)+($K44*INDEX('DEFAULT DATA'!$UZ$9:$VE$41,START!$C$3,4)*-44/12)+($L44*INDEX('DEFAULT DATA'!$UZ$9:$VE$41,START!$C$3,5)*-44/12)+($M44*INDEX('DEFAULT DATA'!$UZ$9:$VE$41,START!$C$3,6)*-44/12))</f>
        <v>0</v>
      </c>
      <c r="AL44" s="273">
        <f>(($K44*INDEX('DEFAULT DATA'!$UZ$9:$VE$41,START!$C$3,1)*-44/12)+($K44*INDEX('DEFAULT DATA'!$UZ$9:$VE$41,START!$C$3,2)*-44/12)+($K44*INDEX('DEFAULT DATA'!$UZ$9:$VE$41,START!$C$3,3)*-44/12)+($K44*INDEX('DEFAULT DATA'!$UZ$9:$VE$41,START!$C$3,4)*-44/12)+($L44*INDEX('DEFAULT DATA'!$UZ$9:$VE$41,START!$C$3,5)*-44/12)+($M44*INDEX('DEFAULT DATA'!$UZ$9:$VE$41,START!$C$3,6)*-44/12))</f>
        <v>0</v>
      </c>
      <c r="AM44" s="273">
        <f>(($K44*INDEX('DEFAULT DATA'!$UZ$9:$VE$41,START!$C$3,1)*-44/12)+($K44*INDEX('DEFAULT DATA'!$UZ$9:$VE$41,START!$C$3,2)*-44/12)+($K44*INDEX('DEFAULT DATA'!$UZ$9:$VE$41,START!$C$3,3)*-44/12)+($K44*INDEX('DEFAULT DATA'!$UZ$9:$VE$41,START!$C$3,4)*-44/12)+($L44*INDEX('DEFAULT DATA'!$UZ$9:$VE$41,START!$C$3,5)*-44/12)+($M44*INDEX('DEFAULT DATA'!$UZ$9:$VE$41,START!$C$3,6)*-44/12))</f>
        <v>0</v>
      </c>
      <c r="AN44" s="273">
        <f>(($K44*INDEX('DEFAULT DATA'!$UZ$9:$VE$41,START!$C$3,1)*-44/12)+($K44*INDEX('DEFAULT DATA'!$UZ$9:$VE$41,START!$C$3,2)*-44/12)+($K44*INDEX('DEFAULT DATA'!$UZ$9:$VE$41,START!$C$3,3)*-44/12)+($K44*INDEX('DEFAULT DATA'!$UZ$9:$VE$41,START!$C$3,4)*-44/12)+($L44*INDEX('DEFAULT DATA'!$UZ$9:$VE$41,START!$C$3,5)*-44/12)+($M44*INDEX('DEFAULT DATA'!$UZ$9:$VE$41,START!$C$3,6)*-44/12))</f>
        <v>0</v>
      </c>
      <c r="AO44" s="273">
        <f>(($K44*INDEX('DEFAULT DATA'!$UZ$9:$VE$41,START!$C$3,1)*-44/12)+($K44*INDEX('DEFAULT DATA'!$UZ$9:$VE$41,START!$C$3,2)*-44/12)+($K44*INDEX('DEFAULT DATA'!$UZ$9:$VE$41,START!$C$3,3)*-44/12)+($K44*INDEX('DEFAULT DATA'!$UZ$9:$VE$41,START!$C$3,4)*-44/12)+($L44*INDEX('DEFAULT DATA'!$UZ$9:$VE$41,START!$C$3,5)*-44/12)+($M44*INDEX('DEFAULT DATA'!$UZ$9:$VE$41,START!$C$3,6)*-44/12))</f>
        <v>0</v>
      </c>
      <c r="AP44" s="273">
        <f>(($K44*INDEX('DEFAULT DATA'!$UZ$9:$VE$41,START!$C$3,1)*-44/12)+($K44*INDEX('DEFAULT DATA'!$UZ$9:$VE$41,START!$C$3,2)*-44/12)+($K44*INDEX('DEFAULT DATA'!$UZ$9:$VE$41,START!$C$3,3)*-44/12)+($K44*INDEX('DEFAULT DATA'!$UZ$9:$VE$41,START!$C$3,4)*-44/12)+($L44*INDEX('DEFAULT DATA'!$UZ$9:$VE$41,START!$C$3,5)*-44/12)+($M44*INDEX('DEFAULT DATA'!$UZ$9:$VE$41,START!$C$3,6)*-44/12))</f>
        <v>0</v>
      </c>
      <c r="AQ44" s="273">
        <f>(($K44*INDEX('DEFAULT DATA'!$UZ$9:$VE$41,START!$C$3,1)*-44/12)+($K44*INDEX('DEFAULT DATA'!$UZ$9:$VE$41,START!$C$3,2)*-44/12)+($K44*INDEX('DEFAULT DATA'!$UZ$9:$VE$41,START!$C$3,3)*-44/12)+($K44*INDEX('DEFAULT DATA'!$UZ$9:$VE$41,START!$C$3,4)*-44/12)+($L44*INDEX('DEFAULT DATA'!$UZ$9:$VE$41,START!$C$3,5)*-44/12)+($M44*INDEX('DEFAULT DATA'!$UZ$9:$VE$41,START!$C$3,6)*-44/12))</f>
        <v>0</v>
      </c>
      <c r="AR44" s="273">
        <f>(($K44*INDEX('DEFAULT DATA'!$UZ$9:$VE$41,START!$C$3,1)*-44/12)+($K44*INDEX('DEFAULT DATA'!$UZ$9:$VE$41,START!$C$3,2)*-44/12)+($K44*INDEX('DEFAULT DATA'!$UZ$9:$VE$41,START!$C$3,3)*-44/12)+($K44*INDEX('DEFAULT DATA'!$UZ$9:$VE$41,START!$C$3,4)*-44/12)+($L44*INDEX('DEFAULT DATA'!$UZ$9:$VE$41,START!$C$3,5)*-44/12)+($M44*INDEX('DEFAULT DATA'!$UZ$9:$VE$41,START!$C$3,6)*-44/12))</f>
        <v>0</v>
      </c>
      <c r="AS44" s="273">
        <f>(($K44*INDEX('DEFAULT DATA'!$UZ$9:$VE$41,START!$C$3,1)*-44/12)+($K44*INDEX('DEFAULT DATA'!$UZ$9:$VE$41,START!$C$3,2)*-44/12)+($K44*INDEX('DEFAULT DATA'!$UZ$9:$VE$41,START!$C$3,3)*-44/12)+($K44*INDEX('DEFAULT DATA'!$UZ$9:$VE$41,START!$C$3,4)*-44/12)+($L44*INDEX('DEFAULT DATA'!$UZ$9:$VE$41,START!$C$3,5)*-44/12)+($M44*INDEX('DEFAULT DATA'!$UZ$9:$VE$41,START!$C$3,6)*-44/12))</f>
        <v>0</v>
      </c>
      <c r="AT44" s="282">
        <f>(($K44*INDEX('DEFAULT DATA'!$UZ$9:$VE$41,START!$C$3,1)*-44/12)+($K44*INDEX('DEFAULT DATA'!$UZ$9:$VE$41,START!$C$3,2)*-44/12)+($K44*INDEX('DEFAULT DATA'!$UZ$9:$VE$41,START!$C$3,3)*-44/12)+($K44*INDEX('DEFAULT DATA'!$UZ$9:$VE$41,START!$C$3,4)*-44/12)+($L44*INDEX('DEFAULT DATA'!$UZ$9:$VE$41,START!$C$3,5)*-44/12)+($M44*INDEX('DEFAULT DATA'!$UZ$9:$VE$41,START!$C$3,6)*-44/12))</f>
        <v>0</v>
      </c>
      <c r="AV44" s="1098" t="str">
        <f t="shared" si="42"/>
        <v>(INPUT1*CSC_COL79*-44/12)+(INPUT1*CSC_COL80*-44/12)+(INPUT1*CSC_COL81*-44/12)+(INPUT1*CSC_COL82*-44/12)+(INPUT2*CSC_COL83*-44/12)+(INPUT3*CSC_COL84*-44/12)</v>
      </c>
      <c r="AW44" s="1099" t="s">
        <v>3043</v>
      </c>
      <c r="AX44" s="1099" t="s">
        <v>3043</v>
      </c>
      <c r="AY44" s="1099" t="s">
        <v>3043</v>
      </c>
      <c r="AZ44" s="1099" t="s">
        <v>3043</v>
      </c>
      <c r="BA44" s="1099" t="s">
        <v>3043</v>
      </c>
      <c r="BB44" s="1099" t="s">
        <v>3043</v>
      </c>
      <c r="BC44" s="1099" t="s">
        <v>3043</v>
      </c>
      <c r="BD44" s="1099" t="s">
        <v>3043</v>
      </c>
      <c r="BE44" s="1099" t="s">
        <v>3043</v>
      </c>
      <c r="BF44" s="1099" t="s">
        <v>3043</v>
      </c>
      <c r="BG44" s="1099" t="s">
        <v>3043</v>
      </c>
      <c r="BH44" s="1099" t="s">
        <v>3043</v>
      </c>
      <c r="BI44" s="1099" t="s">
        <v>3043</v>
      </c>
      <c r="BJ44" s="1099" t="s">
        <v>3043</v>
      </c>
      <c r="BK44" s="1099" t="s">
        <v>3043</v>
      </c>
      <c r="BL44" s="1099" t="s">
        <v>3043</v>
      </c>
      <c r="BM44" s="1099" t="s">
        <v>3043</v>
      </c>
      <c r="BN44" s="1099" t="s">
        <v>3043</v>
      </c>
      <c r="BO44" s="1099" t="s">
        <v>3043</v>
      </c>
      <c r="BP44" s="1118" t="s">
        <v>3047</v>
      </c>
      <c r="BQ44" s="1115" t="s">
        <v>3045</v>
      </c>
      <c r="BR44" s="1115" t="s">
        <v>3045</v>
      </c>
      <c r="BS44" s="1115" t="s">
        <v>3045</v>
      </c>
      <c r="BT44" s="1115" t="s">
        <v>3045</v>
      </c>
      <c r="BU44" s="1115" t="s">
        <v>3045</v>
      </c>
      <c r="BV44" s="1115" t="s">
        <v>3045</v>
      </c>
      <c r="BW44" s="1115" t="s">
        <v>3045</v>
      </c>
      <c r="BX44" s="1115" t="s">
        <v>3045</v>
      </c>
      <c r="BY44" s="1116" t="s">
        <v>3045</v>
      </c>
    </row>
    <row r="45" spans="1:77" ht="20.100000000000001" customHeight="1">
      <c r="A45" s="254"/>
      <c r="B45" s="286"/>
      <c r="C45" s="284"/>
      <c r="D45" s="284"/>
      <c r="E45" s="286"/>
      <c r="F45" s="1519" t="s">
        <v>592</v>
      </c>
      <c r="G45" s="1519"/>
      <c r="H45" s="284" t="s">
        <v>600</v>
      </c>
      <c r="I45" s="285"/>
      <c r="J45" s="286"/>
      <c r="K45" s="306">
        <f t="shared" si="38"/>
        <v>0</v>
      </c>
      <c r="L45" s="210">
        <f t="shared" si="39"/>
        <v>0</v>
      </c>
      <c r="M45" s="210">
        <f t="shared" si="40"/>
        <v>0</v>
      </c>
      <c r="N45" s="152">
        <f t="shared" si="43"/>
        <v>61</v>
      </c>
      <c r="O45" s="307" t="s">
        <v>503</v>
      </c>
      <c r="P45" s="308">
        <f t="shared" si="41"/>
        <v>2022</v>
      </c>
      <c r="Q45" s="205">
        <f>($K45*INDEX('DEFAULT DATA'!$NV$9:$WC$41,START!$C$3,($N45))*-44/12)+($K45*INDEX('DEFAULT DATA'!$NV$9:$WC$41,START!$C$3,($N45+1))*-44/12)+($K45*INDEX('DEFAULT DATA'!$NV$9:$WC$41,START!$C$3,($N45+2))*-44/12)+($K45*INDEX('DEFAULT DATA'!$NV$9:$WC$41,START!$C$3,($N45+3))*-44/12)+($L45*INDEX('DEFAULT DATA'!$NV$9:$WC$41,START!$C$3,($N45+4))*-44/12)+($M45*INDEX('DEFAULT DATA'!$NV$9:$WC$41,START!$C$3,($N45+5))*-44/12)</f>
        <v>0</v>
      </c>
      <c r="R45" s="205">
        <f>($L45*INDEX('DEFAULT DATA'!$NV$9:$WC$41,START!$C$3,($N45+4))*-44/12)+($M45*INDEX('DEFAULT DATA'!$NV$9:$WC$41,START!$C$3,($N45+5))*-44/12)</f>
        <v>0</v>
      </c>
      <c r="S45" s="205">
        <f>($L45*INDEX('DEFAULT DATA'!$NV$9:$WC$41,START!$C$3,($N45+4))*-44/12)+($M45*INDEX('DEFAULT DATA'!$NV$9:$WC$41,START!$C$3,($N45+5))*-44/12)</f>
        <v>0</v>
      </c>
      <c r="T45" s="205">
        <f>($L45*INDEX('DEFAULT DATA'!$NV$9:$WC$41,START!$C$3,($N45+4))*-44/12)+($M45*INDEX('DEFAULT DATA'!$NV$9:$WC$41,START!$C$3,($N45+5))*-44/12)</f>
        <v>0</v>
      </c>
      <c r="U45" s="205">
        <f>($L45*INDEX('DEFAULT DATA'!$NV$9:$WC$41,START!$C$3,($N45+4))*-44/12)+($M45*INDEX('DEFAULT DATA'!$NV$9:$WC$41,START!$C$3,($N45+5))*-44/12)</f>
        <v>0</v>
      </c>
      <c r="V45" s="205">
        <f>($L45*INDEX('DEFAULT DATA'!$NV$9:$WC$41,START!$C$3,($N45+4))*-44/12)+($M45*INDEX('DEFAULT DATA'!$NV$9:$WC$41,START!$C$3,($N45+5))*-44/12)</f>
        <v>0</v>
      </c>
      <c r="W45" s="205">
        <f>($L45*INDEX('DEFAULT DATA'!$NV$9:$WC$41,START!$C$3,($N45+4))*-44/12)+($M45*INDEX('DEFAULT DATA'!$NV$9:$WC$41,START!$C$3,($N45+5))*-44/12)</f>
        <v>0</v>
      </c>
      <c r="X45" s="205">
        <f>($L45*INDEX('DEFAULT DATA'!$NV$9:$WC$41,START!$C$3,($N45+4))*-44/12)+($M45*INDEX('DEFAULT DATA'!$NV$9:$WC$41,START!$C$3,($N45+5))*-44/12)</f>
        <v>0</v>
      </c>
      <c r="Y45" s="205">
        <f>($L45*INDEX('DEFAULT DATA'!$NV$9:$WC$41,START!$C$3,($N45+4))*-44/12)+($M45*INDEX('DEFAULT DATA'!$NV$9:$WC$41,START!$C$3,($N45+5))*-44/12)</f>
        <v>0</v>
      </c>
      <c r="Z45" s="205">
        <f>($L45*INDEX('DEFAULT DATA'!$NV$9:$WC$41,START!$C$3,($N45+4))*-44/12)+($M45*INDEX('DEFAULT DATA'!$NV$9:$WC$41,START!$C$3,($N45+5))*-44/12)</f>
        <v>0</v>
      </c>
      <c r="AA45" s="205">
        <f>($L45*INDEX('DEFAULT DATA'!$NV$9:$WC$41,START!$C$3,($N45+4))*-44/12)+($M45*INDEX('DEFAULT DATA'!$NV$9:$WC$41,START!$C$3,($N45+5))*-44/12)</f>
        <v>0</v>
      </c>
      <c r="AB45" s="205">
        <f>($L45*INDEX('DEFAULT DATA'!$NV$9:$WC$41,START!$C$3,($N45+4))*-44/12)+($M45*INDEX('DEFAULT DATA'!$NV$9:$WC$41,START!$C$3,($N45+5))*-44/12)</f>
        <v>0</v>
      </c>
      <c r="AC45" s="205">
        <f>($L45*INDEX('DEFAULT DATA'!$NV$9:$WC$41,START!$C$3,($N45+4))*-44/12)+($M45*INDEX('DEFAULT DATA'!$NV$9:$WC$41,START!$C$3,($N45+5))*-44/12)</f>
        <v>0</v>
      </c>
      <c r="AD45" s="205">
        <f>($L45*INDEX('DEFAULT DATA'!$NV$9:$WC$41,START!$C$3,($N45+4))*-44/12)+($M45*INDEX('DEFAULT DATA'!$NV$9:$WC$41,START!$C$3,($N45+5))*-44/12)</f>
        <v>0</v>
      </c>
      <c r="AE45" s="205">
        <f>($L45*INDEX('DEFAULT DATA'!$NV$9:$WC$41,START!$C$3,($N45+4))*-44/12)+($M45*INDEX('DEFAULT DATA'!$NV$9:$WC$41,START!$C$3,($N45+5))*-44/12)</f>
        <v>0</v>
      </c>
      <c r="AF45" s="205">
        <f>($L45*INDEX('DEFAULT DATA'!$NV$9:$WC$41,START!$C$3,($N45+4))*-44/12)+($M45*INDEX('DEFAULT DATA'!$NV$9:$WC$41,START!$C$3,($N45+5))*-44/12)</f>
        <v>0</v>
      </c>
      <c r="AG45" s="205">
        <f>($L45*INDEX('DEFAULT DATA'!$NV$9:$WC$41,START!$C$3,($N45+4))*-44/12)+($M45*INDEX('DEFAULT DATA'!$NV$9:$WC$41,START!$C$3,($N45+5))*-44/12)</f>
        <v>0</v>
      </c>
      <c r="AH45" s="205">
        <f>($L45*INDEX('DEFAULT DATA'!$NV$9:$WC$41,START!$C$3,($N45+4))*-44/12)+($M45*INDEX('DEFAULT DATA'!$NV$9:$WC$41,START!$C$3,($N45+5))*-44/12)</f>
        <v>0</v>
      </c>
      <c r="AI45" s="205">
        <f>($L45*INDEX('DEFAULT DATA'!$NV$9:$WC$41,START!$C$3,($N45+4))*-44/12)+($M45*INDEX('DEFAULT DATA'!$NV$9:$WC$41,START!$C$3,($N45+5))*-44/12)</f>
        <v>0</v>
      </c>
      <c r="AJ45" s="205">
        <f>($L45*INDEX('DEFAULT DATA'!$NV$9:$WC$41,START!$C$3,($N45+4))*-44/12)+($M45*INDEX('DEFAULT DATA'!$NV$9:$WC$41,START!$C$3,($N45+5))*-44/12)</f>
        <v>0</v>
      </c>
      <c r="AK45" s="205">
        <f>(($K45*INDEX('DEFAULT DATA'!$VF$9:$VK$41,START!$C$3,1)*-44/12)+($K45*INDEX('DEFAULT DATA'!$VF$9:$VK$41,START!$C$3,2)*-44/12)+($K45*INDEX('DEFAULT DATA'!$VF$9:$VK$41,START!$C$3,3)*-44/12)+($K45*INDEX('DEFAULT DATA'!$VF$9:$VK$41,START!$C$3,4)*-44/12)+($L45*INDEX('DEFAULT DATA'!$VF$9:$VK$41,START!$C$3,5)*-44/12)+($M45*INDEX('DEFAULT DATA'!$VF$9:$VK$41,START!$C$3,6)*-44/12))</f>
        <v>0</v>
      </c>
      <c r="AL45" s="205">
        <f>(($K45*INDEX('DEFAULT DATA'!$VF$9:$VK$41,START!$C$3,1)*-44/12)+($K45*INDEX('DEFAULT DATA'!$VF$9:$VK$41,START!$C$3,2)*-44/12)+($K45*INDEX('DEFAULT DATA'!$VF$9:$VK$41,START!$C$3,3)*-44/12)+($K45*INDEX('DEFAULT DATA'!$VF$9:$VK$41,START!$C$3,4)*-44/12)+($L45*INDEX('DEFAULT DATA'!$VF$9:$VK$41,START!$C$3,5)*-44/12)+($M45*INDEX('DEFAULT DATA'!$VF$9:$VK$41,START!$C$3,6)*-44/12))</f>
        <v>0</v>
      </c>
      <c r="AM45" s="205">
        <f>(($K45*INDEX('DEFAULT DATA'!$VF$9:$VK$41,START!$C$3,1)*-44/12)+($K45*INDEX('DEFAULT DATA'!$VF$9:$VK$41,START!$C$3,2)*-44/12)+($K45*INDEX('DEFAULT DATA'!$VF$9:$VK$41,START!$C$3,3)*-44/12)+($K45*INDEX('DEFAULT DATA'!$VF$9:$VK$41,START!$C$3,4)*-44/12)+($L45*INDEX('DEFAULT DATA'!$VF$9:$VK$41,START!$C$3,5)*-44/12)+($M45*INDEX('DEFAULT DATA'!$VF$9:$VK$41,START!$C$3,6)*-44/12))</f>
        <v>0</v>
      </c>
      <c r="AN45" s="205">
        <f>(($K45*INDEX('DEFAULT DATA'!$VF$9:$VK$41,START!$C$3,1)*-44/12)+($K45*INDEX('DEFAULT DATA'!$VF$9:$VK$41,START!$C$3,2)*-44/12)+($K45*INDEX('DEFAULT DATA'!$VF$9:$VK$41,START!$C$3,3)*-44/12)+($K45*INDEX('DEFAULT DATA'!$VF$9:$VK$41,START!$C$3,4)*-44/12)+($L45*INDEX('DEFAULT DATA'!$VF$9:$VK$41,START!$C$3,5)*-44/12)+($M45*INDEX('DEFAULT DATA'!$VF$9:$VK$41,START!$C$3,6)*-44/12))</f>
        <v>0</v>
      </c>
      <c r="AO45" s="205">
        <f>(($K45*INDEX('DEFAULT DATA'!$VF$9:$VK$41,START!$C$3,1)*-44/12)+($K45*INDEX('DEFAULT DATA'!$VF$9:$VK$41,START!$C$3,2)*-44/12)+($K45*INDEX('DEFAULT DATA'!$VF$9:$VK$41,START!$C$3,3)*-44/12)+($K45*INDEX('DEFAULT DATA'!$VF$9:$VK$41,START!$C$3,4)*-44/12)+($L45*INDEX('DEFAULT DATA'!$VF$9:$VK$41,START!$C$3,5)*-44/12)+($M45*INDEX('DEFAULT DATA'!$VF$9:$VK$41,START!$C$3,6)*-44/12))</f>
        <v>0</v>
      </c>
      <c r="AP45" s="205">
        <f>(($K45*INDEX('DEFAULT DATA'!$VF$9:$VK$41,START!$C$3,1)*-44/12)+($K45*INDEX('DEFAULT DATA'!$VF$9:$VK$41,START!$C$3,2)*-44/12)+($K45*INDEX('DEFAULT DATA'!$VF$9:$VK$41,START!$C$3,3)*-44/12)+($K45*INDEX('DEFAULT DATA'!$VF$9:$VK$41,START!$C$3,4)*-44/12)+($L45*INDEX('DEFAULT DATA'!$VF$9:$VK$41,START!$C$3,5)*-44/12)+($M45*INDEX('DEFAULT DATA'!$VF$9:$VK$41,START!$C$3,6)*-44/12))</f>
        <v>0</v>
      </c>
      <c r="AQ45" s="205">
        <f>(($K45*INDEX('DEFAULT DATA'!$VF$9:$VK$41,START!$C$3,1)*-44/12)+($K45*INDEX('DEFAULT DATA'!$VF$9:$VK$41,START!$C$3,2)*-44/12)+($K45*INDEX('DEFAULT DATA'!$VF$9:$VK$41,START!$C$3,3)*-44/12)+($K45*INDEX('DEFAULT DATA'!$VF$9:$VK$41,START!$C$3,4)*-44/12)+($L45*INDEX('DEFAULT DATA'!$VF$9:$VK$41,START!$C$3,5)*-44/12)+($M45*INDEX('DEFAULT DATA'!$VF$9:$VK$41,START!$C$3,6)*-44/12))</f>
        <v>0</v>
      </c>
      <c r="AR45" s="205">
        <f>(($K45*INDEX('DEFAULT DATA'!$VF$9:$VK$41,START!$C$3,1)*-44/12)+($K45*INDEX('DEFAULT DATA'!$VF$9:$VK$41,START!$C$3,2)*-44/12)+($K45*INDEX('DEFAULT DATA'!$VF$9:$VK$41,START!$C$3,3)*-44/12)+($K45*INDEX('DEFAULT DATA'!$VF$9:$VK$41,START!$C$3,4)*-44/12)+($L45*INDEX('DEFAULT DATA'!$VF$9:$VK$41,START!$C$3,5)*-44/12)+($M45*INDEX('DEFAULT DATA'!$VF$9:$VK$41,START!$C$3,6)*-44/12))</f>
        <v>0</v>
      </c>
      <c r="AS45" s="205">
        <f>(($K45*INDEX('DEFAULT DATA'!$VF$9:$VK$41,START!$C$3,1)*-44/12)+($K45*INDEX('DEFAULT DATA'!$VF$9:$VK$41,START!$C$3,2)*-44/12)+($K45*INDEX('DEFAULT DATA'!$VF$9:$VK$41,START!$C$3,3)*-44/12)+($K45*INDEX('DEFAULT DATA'!$VF$9:$VK$41,START!$C$3,4)*-44/12)+($L45*INDEX('DEFAULT DATA'!$VF$9:$VK$41,START!$C$3,5)*-44/12)+($M45*INDEX('DEFAULT DATA'!$VF$9:$VK$41,START!$C$3,6)*-44/12))</f>
        <v>0</v>
      </c>
      <c r="AT45" s="206">
        <f>(($K45*INDEX('DEFAULT DATA'!$VF$9:$VK$41,START!$C$3,1)*-44/12)+($K45*INDEX('DEFAULT DATA'!$VF$9:$VK$41,START!$C$3,2)*-44/12)+($K45*INDEX('DEFAULT DATA'!$VF$9:$VK$41,START!$C$3,3)*-44/12)+($K45*INDEX('DEFAULT DATA'!$VF$9:$VK$41,START!$C$3,4)*-44/12)+($L45*INDEX('DEFAULT DATA'!$VF$9:$VK$41,START!$C$3,5)*-44/12)+($M45*INDEX('DEFAULT DATA'!$VF$9:$VK$41,START!$C$3,6)*-44/12))</f>
        <v>0</v>
      </c>
      <c r="AV45" s="1103" t="str">
        <f t="shared" si="42"/>
        <v>(INPUT1*CSC_COL85*-44/12)+(INPUT1*CSC_COL86*-44/12)+(INPUT1*CSC_COL87*-44/12)+(INPUT1*CSC_COL88*-44/12)+(INPUT2*CSC_COL89*-44/12)+(INPUT3*CSC_COL90*-44/12)</v>
      </c>
      <c r="AW45" s="1110" t="s">
        <v>3049</v>
      </c>
      <c r="AX45" s="1110" t="s">
        <v>3046</v>
      </c>
      <c r="AY45" s="1110" t="s">
        <v>3046</v>
      </c>
      <c r="AZ45" s="1110" t="s">
        <v>3046</v>
      </c>
      <c r="BA45" s="1110" t="s">
        <v>3046</v>
      </c>
      <c r="BB45" s="1110" t="s">
        <v>3046</v>
      </c>
      <c r="BC45" s="1110" t="s">
        <v>3046</v>
      </c>
      <c r="BD45" s="1110" t="s">
        <v>3046</v>
      </c>
      <c r="BE45" s="1110" t="s">
        <v>3046</v>
      </c>
      <c r="BF45" s="1110" t="s">
        <v>3046</v>
      </c>
      <c r="BG45" s="1110" t="s">
        <v>3046</v>
      </c>
      <c r="BH45" s="1110" t="s">
        <v>3046</v>
      </c>
      <c r="BI45" s="1110" t="s">
        <v>3046</v>
      </c>
      <c r="BJ45" s="1110" t="s">
        <v>3046</v>
      </c>
      <c r="BK45" s="1110" t="s">
        <v>3046</v>
      </c>
      <c r="BL45" s="1110" t="s">
        <v>3046</v>
      </c>
      <c r="BM45" s="1110" t="s">
        <v>3046</v>
      </c>
      <c r="BN45" s="1110" t="s">
        <v>3046</v>
      </c>
      <c r="BO45" s="1110" t="s">
        <v>3046</v>
      </c>
      <c r="BP45" s="1105" t="s">
        <v>3053</v>
      </c>
      <c r="BQ45" s="1104" t="s">
        <v>3045</v>
      </c>
      <c r="BR45" s="1104" t="s">
        <v>3045</v>
      </c>
      <c r="BS45" s="1104" t="s">
        <v>3045</v>
      </c>
      <c r="BT45" s="1104" t="s">
        <v>3045</v>
      </c>
      <c r="BU45" s="1104" t="s">
        <v>3045</v>
      </c>
      <c r="BV45" s="1104" t="s">
        <v>3045</v>
      </c>
      <c r="BW45" s="1104" t="s">
        <v>3045</v>
      </c>
      <c r="BX45" s="1104" t="s">
        <v>3045</v>
      </c>
      <c r="BY45" s="1106" t="s">
        <v>3045</v>
      </c>
    </row>
    <row r="46" spans="1:77" ht="20.100000000000001" customHeight="1" thickBot="1">
      <c r="A46" s="908"/>
      <c r="B46" s="909" t="s">
        <v>590</v>
      </c>
      <c r="C46" s="287"/>
      <c r="D46" s="287"/>
      <c r="E46" s="910" t="s">
        <v>591</v>
      </c>
      <c r="F46" s="288" t="s">
        <v>535</v>
      </c>
      <c r="G46" s="289" t="s">
        <v>536</v>
      </c>
      <c r="H46" s="287" t="s">
        <v>601</v>
      </c>
      <c r="I46" s="290"/>
      <c r="J46" s="286"/>
      <c r="K46" s="309">
        <f t="shared" si="38"/>
        <v>0</v>
      </c>
      <c r="L46" s="310">
        <f t="shared" si="39"/>
        <v>0</v>
      </c>
      <c r="M46" s="310">
        <f t="shared" si="40"/>
        <v>0</v>
      </c>
      <c r="N46" s="81">
        <f t="shared" si="43"/>
        <v>67</v>
      </c>
      <c r="O46" s="311" t="s">
        <v>504</v>
      </c>
      <c r="P46" s="312">
        <f t="shared" si="41"/>
        <v>2022</v>
      </c>
      <c r="Q46" s="77">
        <f>($K46*INDEX('DEFAULT DATA'!$NV$9:$WC$41,START!$C$3,($N46))*-44/12)+($K46*INDEX('DEFAULT DATA'!$NV$9:$WC$41,START!$C$3,($N46+1))*-44/12)+($K46*INDEX('DEFAULT DATA'!$NV$9:$WC$41,START!$C$3,($N46+2))*-44/12)+($K46*INDEX('DEFAULT DATA'!$NV$9:$WC$41,START!$C$3,($N46+3))*-44/12)+($L46*INDEX('DEFAULT DATA'!$NV$9:$WC$41,START!$C$3,($N46+4))*-44/12)+($M46*INDEX('DEFAULT DATA'!$NV$9:$WC$41,START!$C$3,($N46+5))*-44/12)</f>
        <v>0</v>
      </c>
      <c r="R46" s="77">
        <f>($K46*INDEX('DEFAULT DATA'!$NV$9:$WC$41,START!$C$3,($N46))*-44/12)+($K46*INDEX('DEFAULT DATA'!$NV$9:$WC$41,START!$C$3,($N46+1))*-44/12)+($K46*INDEX('DEFAULT DATA'!$NV$9:$WC$41,START!$C$3,($N46+2))*-44/12)+($K46*INDEX('DEFAULT DATA'!$NV$9:$WC$41,START!$C$3,($N46+3))*-44/12)+($L46*INDEX('DEFAULT DATA'!$NV$9:$WC$41,START!$C$3,($N46+4))*-44/12)+($M46*INDEX('DEFAULT DATA'!$NV$9:$WC$41,START!$C$3,($N46+5))*-44/12)</f>
        <v>0</v>
      </c>
      <c r="S46" s="77">
        <f>($K46*INDEX('DEFAULT DATA'!$NV$9:$WC$41,START!$C$3,($N46))*-44/12)+($K46*INDEX('DEFAULT DATA'!$NV$9:$WC$41,START!$C$3,($N46+1))*-44/12)+($K46*INDEX('DEFAULT DATA'!$NV$9:$WC$41,START!$C$3,($N46+2))*-44/12)+($K46*INDEX('DEFAULT DATA'!$NV$9:$WC$41,START!$C$3,($N46+3))*-44/12)+($L46*INDEX('DEFAULT DATA'!$NV$9:$WC$41,START!$C$3,($N46+4))*-44/12)+($M46*INDEX('DEFAULT DATA'!$NV$9:$WC$41,START!$C$3,($N46+5))*-44/12)</f>
        <v>0</v>
      </c>
      <c r="T46" s="77">
        <f>($K46*INDEX('DEFAULT DATA'!$NV$9:$WC$41,START!$C$3,($N46))*-44/12)+($K46*INDEX('DEFAULT DATA'!$NV$9:$WC$41,START!$C$3,($N46+1))*-44/12)+($K46*INDEX('DEFAULT DATA'!$NV$9:$WC$41,START!$C$3,($N46+2))*-44/12)+($K46*INDEX('DEFAULT DATA'!$NV$9:$WC$41,START!$C$3,($N46+3))*-44/12)+($L46*INDEX('DEFAULT DATA'!$NV$9:$WC$41,START!$C$3,($N46+4))*-44/12)+($M46*INDEX('DEFAULT DATA'!$NV$9:$WC$41,START!$C$3,($N46+5))*-44/12)</f>
        <v>0</v>
      </c>
      <c r="U46" s="77">
        <f>($K46*INDEX('DEFAULT DATA'!$NV$9:$WC$41,START!$C$3,($N46))*-44/12)+($K46*INDEX('DEFAULT DATA'!$NV$9:$WC$41,START!$C$3,($N46+1))*-44/12)+($K46*INDEX('DEFAULT DATA'!$NV$9:$WC$41,START!$C$3,($N46+2))*-44/12)+($K46*INDEX('DEFAULT DATA'!$NV$9:$WC$41,START!$C$3,($N46+3))*-44/12)+($L46*INDEX('DEFAULT DATA'!$NV$9:$WC$41,START!$C$3,($N46+4))*-44/12)+($M46*INDEX('DEFAULT DATA'!$NV$9:$WC$41,START!$C$3,($N46+5))*-44/12)</f>
        <v>0</v>
      </c>
      <c r="V46" s="77">
        <f>($K46*INDEX('DEFAULT DATA'!$NV$9:$WC$41,START!$C$3,($N46))*-44/12)+($K46*INDEX('DEFAULT DATA'!$NV$9:$WC$41,START!$C$3,($N46+1))*-44/12)+($K46*INDEX('DEFAULT DATA'!$NV$9:$WC$41,START!$C$3,($N46+2))*-44/12)+($K46*INDEX('DEFAULT DATA'!$NV$9:$WC$41,START!$C$3,($N46+3))*-44/12)+($L46*INDEX('DEFAULT DATA'!$NV$9:$WC$41,START!$C$3,($N46+4))*-44/12)+($M46*INDEX('DEFAULT DATA'!$NV$9:$WC$41,START!$C$3,($N46+5))*-44/12)</f>
        <v>0</v>
      </c>
      <c r="W46" s="77">
        <f>($K46*INDEX('DEFAULT DATA'!$NV$9:$WC$41,START!$C$3,($N46))*-44/12)+($K46*INDEX('DEFAULT DATA'!$NV$9:$WC$41,START!$C$3,($N46+1))*-44/12)+($K46*INDEX('DEFAULT DATA'!$NV$9:$WC$41,START!$C$3,($N46+2))*-44/12)+($K46*INDEX('DEFAULT DATA'!$NV$9:$WC$41,START!$C$3,($N46+3))*-44/12)+($L46*INDEX('DEFAULT DATA'!$NV$9:$WC$41,START!$C$3,($N46+4))*-44/12)+($M46*INDEX('DEFAULT DATA'!$NV$9:$WC$41,START!$C$3,($N46+5))*-44/12)</f>
        <v>0</v>
      </c>
      <c r="X46" s="77">
        <f>($K46*INDEX('DEFAULT DATA'!$NV$9:$WC$41,START!$C$3,($N46))*-44/12)+($K46*INDEX('DEFAULT DATA'!$NV$9:$WC$41,START!$C$3,($N46+1))*-44/12)+($K46*INDEX('DEFAULT DATA'!$NV$9:$WC$41,START!$C$3,($N46+2))*-44/12)+($K46*INDEX('DEFAULT DATA'!$NV$9:$WC$41,START!$C$3,($N46+3))*-44/12)+($L46*INDEX('DEFAULT DATA'!$NV$9:$WC$41,START!$C$3,($N46+4))*-44/12)+($M46*INDEX('DEFAULT DATA'!$NV$9:$WC$41,START!$C$3,($N46+5))*-44/12)</f>
        <v>0</v>
      </c>
      <c r="Y46" s="77">
        <f>($K46*INDEX('DEFAULT DATA'!$NV$9:$WC$41,START!$C$3,($N46))*-44/12)+($K46*INDEX('DEFAULT DATA'!$NV$9:$WC$41,START!$C$3,($N46+1))*-44/12)+($K46*INDEX('DEFAULT DATA'!$NV$9:$WC$41,START!$C$3,($N46+2))*-44/12)+($K46*INDEX('DEFAULT DATA'!$NV$9:$WC$41,START!$C$3,($N46+3))*-44/12)+($L46*INDEX('DEFAULT DATA'!$NV$9:$WC$41,START!$C$3,($N46+4))*-44/12)+($M46*INDEX('DEFAULT DATA'!$NV$9:$WC$41,START!$C$3,($N46+5))*-44/12)</f>
        <v>0</v>
      </c>
      <c r="Z46" s="77">
        <f>($K46*INDEX('DEFAULT DATA'!$NV$9:$WC$41,START!$C$3,($N46))*-44/12)+($K46*INDEX('DEFAULT DATA'!$NV$9:$WC$41,START!$C$3,($N46+1))*-44/12)+($K46*INDEX('DEFAULT DATA'!$NV$9:$WC$41,START!$C$3,($N46+2))*-44/12)+($K46*INDEX('DEFAULT DATA'!$NV$9:$WC$41,START!$C$3,($N46+3))*-44/12)+($L46*INDEX('DEFAULT DATA'!$NV$9:$WC$41,START!$C$3,($N46+4))*-44/12)+($M46*INDEX('DEFAULT DATA'!$NV$9:$WC$41,START!$C$3,($N46+5))*-44/12)</f>
        <v>0</v>
      </c>
      <c r="AA46" s="77">
        <f>($K46*INDEX('DEFAULT DATA'!$NV$9:$WC$41,START!$C$3,($N46))*-44/12)+($K46*INDEX('DEFAULT DATA'!$NV$9:$WC$41,START!$C$3,($N46+1))*-44/12)+($K46*INDEX('DEFAULT DATA'!$NV$9:$WC$41,START!$C$3,($N46+2))*-44/12)+($K46*INDEX('DEFAULT DATA'!$NV$9:$WC$41,START!$C$3,($N46+3))*-44/12)+($L46*INDEX('DEFAULT DATA'!$NV$9:$WC$41,START!$C$3,($N46+4))*-44/12)+($M46*INDEX('DEFAULT DATA'!$NV$9:$WC$41,START!$C$3,($N46+5))*-44/12)</f>
        <v>0</v>
      </c>
      <c r="AB46" s="77">
        <f>($K46*INDEX('DEFAULT DATA'!$NV$9:$WC$41,START!$C$3,($N46))*-44/12)+($K46*INDEX('DEFAULT DATA'!$NV$9:$WC$41,START!$C$3,($N46+1))*-44/12)+($K46*INDEX('DEFAULT DATA'!$NV$9:$WC$41,START!$C$3,($N46+2))*-44/12)+($K46*INDEX('DEFAULT DATA'!$NV$9:$WC$41,START!$C$3,($N46+3))*-44/12)+($L46*INDEX('DEFAULT DATA'!$NV$9:$WC$41,START!$C$3,($N46+4))*-44/12)+($M46*INDEX('DEFAULT DATA'!$NV$9:$WC$41,START!$C$3,($N46+5))*-44/12)</f>
        <v>0</v>
      </c>
      <c r="AC46" s="77">
        <f>($K46*INDEX('DEFAULT DATA'!$NV$9:$WC$41,START!$C$3,($N46))*-44/12)+($K46*INDEX('DEFAULT DATA'!$NV$9:$WC$41,START!$C$3,($N46+1))*-44/12)+($K46*INDEX('DEFAULT DATA'!$NV$9:$WC$41,START!$C$3,($N46+2))*-44/12)+($K46*INDEX('DEFAULT DATA'!$NV$9:$WC$41,START!$C$3,($N46+3))*-44/12)+($L46*INDEX('DEFAULT DATA'!$NV$9:$WC$41,START!$C$3,($N46+4))*-44/12)+($M46*INDEX('DEFAULT DATA'!$NV$9:$WC$41,START!$C$3,($N46+5))*-44/12)</f>
        <v>0</v>
      </c>
      <c r="AD46" s="77">
        <f>($K46*INDEX('DEFAULT DATA'!$NV$9:$WC$41,START!$C$3,($N46))*-44/12)+($K46*INDEX('DEFAULT DATA'!$NV$9:$WC$41,START!$C$3,($N46+1))*-44/12)+($K46*INDEX('DEFAULT DATA'!$NV$9:$WC$41,START!$C$3,($N46+2))*-44/12)+($K46*INDEX('DEFAULT DATA'!$NV$9:$WC$41,START!$C$3,($N46+3))*-44/12)+($L46*INDEX('DEFAULT DATA'!$NV$9:$WC$41,START!$C$3,($N46+4))*-44/12)+($M46*INDEX('DEFAULT DATA'!$NV$9:$WC$41,START!$C$3,($N46+5))*-44/12)</f>
        <v>0</v>
      </c>
      <c r="AE46" s="77">
        <f>($K46*INDEX('DEFAULT DATA'!$NV$9:$WC$41,START!$C$3,($N46))*-44/12)+($K46*INDEX('DEFAULT DATA'!$NV$9:$WC$41,START!$C$3,($N46+1))*-44/12)+($K46*INDEX('DEFAULT DATA'!$NV$9:$WC$41,START!$C$3,($N46+2))*-44/12)+($K46*INDEX('DEFAULT DATA'!$NV$9:$WC$41,START!$C$3,($N46+3))*-44/12)+($L46*INDEX('DEFAULT DATA'!$NV$9:$WC$41,START!$C$3,($N46+4))*-44/12)+($M46*INDEX('DEFAULT DATA'!$NV$9:$WC$41,START!$C$3,($N46+5))*-44/12)</f>
        <v>0</v>
      </c>
      <c r="AF46" s="77">
        <f>($K46*INDEX('DEFAULT DATA'!$NV$9:$WC$41,START!$C$3,($N46))*-44/12)+($K46*INDEX('DEFAULT DATA'!$NV$9:$WC$41,START!$C$3,($N46+1))*-44/12)+($K46*INDEX('DEFAULT DATA'!$NV$9:$WC$41,START!$C$3,($N46+2))*-44/12)+($K46*INDEX('DEFAULT DATA'!$NV$9:$WC$41,START!$C$3,($N46+3))*-44/12)+($L46*INDEX('DEFAULT DATA'!$NV$9:$WC$41,START!$C$3,($N46+4))*-44/12)+($M46*INDEX('DEFAULT DATA'!$NV$9:$WC$41,START!$C$3,($N46+5))*-44/12)</f>
        <v>0</v>
      </c>
      <c r="AG46" s="77">
        <f>($K46*INDEX('DEFAULT DATA'!$NV$9:$WC$41,START!$C$3,($N46))*-44/12)+($K46*INDEX('DEFAULT DATA'!$NV$9:$WC$41,START!$C$3,($N46+1))*-44/12)+($K46*INDEX('DEFAULT DATA'!$NV$9:$WC$41,START!$C$3,($N46+2))*-44/12)+($K46*INDEX('DEFAULT DATA'!$NV$9:$WC$41,START!$C$3,($N46+3))*-44/12)+($L46*INDEX('DEFAULT DATA'!$NV$9:$WC$41,START!$C$3,($N46+4))*-44/12)+($M46*INDEX('DEFAULT DATA'!$NV$9:$WC$41,START!$C$3,($N46+5))*-44/12)</f>
        <v>0</v>
      </c>
      <c r="AH46" s="77">
        <f>($K46*INDEX('DEFAULT DATA'!$NV$9:$WC$41,START!$C$3,($N46))*-44/12)+($K46*INDEX('DEFAULT DATA'!$NV$9:$WC$41,START!$C$3,($N46+1))*-44/12)+($K46*INDEX('DEFAULT DATA'!$NV$9:$WC$41,START!$C$3,($N46+2))*-44/12)+($K46*INDEX('DEFAULT DATA'!$NV$9:$WC$41,START!$C$3,($N46+3))*-44/12)+($L46*INDEX('DEFAULT DATA'!$NV$9:$WC$41,START!$C$3,($N46+4))*-44/12)+($M46*INDEX('DEFAULT DATA'!$NV$9:$WC$41,START!$C$3,($N46+5))*-44/12)</f>
        <v>0</v>
      </c>
      <c r="AI46" s="77">
        <f>($K46*INDEX('DEFAULT DATA'!$NV$9:$WC$41,START!$C$3,($N46))*-44/12)+($K46*INDEX('DEFAULT DATA'!$NV$9:$WC$41,START!$C$3,($N46+1))*-44/12)+($K46*INDEX('DEFAULT DATA'!$NV$9:$WC$41,START!$C$3,($N46+2))*-44/12)+($K46*INDEX('DEFAULT DATA'!$NV$9:$WC$41,START!$C$3,($N46+3))*-44/12)+($L46*INDEX('DEFAULT DATA'!$NV$9:$WC$41,START!$C$3,($N46+4))*-44/12)+($M46*INDEX('DEFAULT DATA'!$NV$9:$WC$41,START!$C$3,($N46+5))*-44/12)</f>
        <v>0</v>
      </c>
      <c r="AJ46" s="77">
        <f>($K46*INDEX('DEFAULT DATA'!$NV$9:$WC$41,START!$C$3,($N46))*-44/12)+($K46*INDEX('DEFAULT DATA'!$NV$9:$WC$41,START!$C$3,($N46+1))*-44/12)+($K46*INDEX('DEFAULT DATA'!$NV$9:$WC$41,START!$C$3,($N46+2))*-44/12)+($K46*INDEX('DEFAULT DATA'!$NV$9:$WC$41,START!$C$3,($N46+3))*-44/12)+($L46*INDEX('DEFAULT DATA'!$NV$9:$WC$41,START!$C$3,($N46+4))*-44/12)+($M46*INDEX('DEFAULT DATA'!$NV$9:$WC$41,START!$C$3,($N46+5))*-44/12)</f>
        <v>0</v>
      </c>
      <c r="AK46" s="271">
        <f>(($K46*INDEX('DEFAULT DATA'!$VF$9:$VK$41,START!$C$3,1)*-44/12)+($K46*INDEX('DEFAULT DATA'!$VF$9:$VK$41,START!$C$3,2)*-44/12)+($K46*INDEX('DEFAULT DATA'!$VF$9:$VK$41,START!$C$3,3)*-44/12)+($K46*INDEX('DEFAULT DATA'!$VF$9:$VK$41,START!$C$3,4)*-44/12)+($L46*INDEX('DEFAULT DATA'!$VF$9:$VK$41,START!$C$3,5)*-44/12)+($M46*INDEX('DEFAULT DATA'!$VF$9:$VK$41,START!$C$3,6)*-44/12))</f>
        <v>0</v>
      </c>
      <c r="AL46" s="271">
        <f>(($K46*INDEX('DEFAULT DATA'!$VF$9:$VK$41,START!$C$3,1)*-44/12)+($K46*INDEX('DEFAULT DATA'!$VF$9:$VK$41,START!$C$3,2)*-44/12)+($K46*INDEX('DEFAULT DATA'!$VF$9:$VK$41,START!$C$3,3)*-44/12)+($K46*INDEX('DEFAULT DATA'!$VF$9:$VK$41,START!$C$3,4)*-44/12)+($L46*INDEX('DEFAULT DATA'!$VF$9:$VK$41,START!$C$3,5)*-44/12)+($M46*INDEX('DEFAULT DATA'!$VF$9:$VK$41,START!$C$3,6)*-44/12))</f>
        <v>0</v>
      </c>
      <c r="AM46" s="271">
        <f>(($K46*INDEX('DEFAULT DATA'!$VF$9:$VK$41,START!$C$3,1)*-44/12)+($K46*INDEX('DEFAULT DATA'!$VF$9:$VK$41,START!$C$3,2)*-44/12)+($K46*INDEX('DEFAULT DATA'!$VF$9:$VK$41,START!$C$3,3)*-44/12)+($K46*INDEX('DEFAULT DATA'!$VF$9:$VK$41,START!$C$3,4)*-44/12)+($L46*INDEX('DEFAULT DATA'!$VF$9:$VK$41,START!$C$3,5)*-44/12)+($M46*INDEX('DEFAULT DATA'!$VF$9:$VK$41,START!$C$3,6)*-44/12))</f>
        <v>0</v>
      </c>
      <c r="AN46" s="271">
        <f>(($K46*INDEX('DEFAULT DATA'!$VF$9:$VK$41,START!$C$3,1)*-44/12)+($K46*INDEX('DEFAULT DATA'!$VF$9:$VK$41,START!$C$3,2)*-44/12)+($K46*INDEX('DEFAULT DATA'!$VF$9:$VK$41,START!$C$3,3)*-44/12)+($K46*INDEX('DEFAULT DATA'!$VF$9:$VK$41,START!$C$3,4)*-44/12)+($L46*INDEX('DEFAULT DATA'!$VF$9:$VK$41,START!$C$3,5)*-44/12)+($M46*INDEX('DEFAULT DATA'!$VF$9:$VK$41,START!$C$3,6)*-44/12))</f>
        <v>0</v>
      </c>
      <c r="AO46" s="271">
        <f>(($K46*INDEX('DEFAULT DATA'!$VF$9:$VK$41,START!$C$3,1)*-44/12)+($K46*INDEX('DEFAULT DATA'!$VF$9:$VK$41,START!$C$3,2)*-44/12)+($K46*INDEX('DEFAULT DATA'!$VF$9:$VK$41,START!$C$3,3)*-44/12)+($K46*INDEX('DEFAULT DATA'!$VF$9:$VK$41,START!$C$3,4)*-44/12)+($L46*INDEX('DEFAULT DATA'!$VF$9:$VK$41,START!$C$3,5)*-44/12)+($M46*INDEX('DEFAULT DATA'!$VF$9:$VK$41,START!$C$3,6)*-44/12))</f>
        <v>0</v>
      </c>
      <c r="AP46" s="271">
        <f>(($K46*INDEX('DEFAULT DATA'!$VF$9:$VK$41,START!$C$3,1)*-44/12)+($K46*INDEX('DEFAULT DATA'!$VF$9:$VK$41,START!$C$3,2)*-44/12)+($K46*INDEX('DEFAULT DATA'!$VF$9:$VK$41,START!$C$3,3)*-44/12)+($K46*INDEX('DEFAULT DATA'!$VF$9:$VK$41,START!$C$3,4)*-44/12)+($L46*INDEX('DEFAULT DATA'!$VF$9:$VK$41,START!$C$3,5)*-44/12)+($M46*INDEX('DEFAULT DATA'!$VF$9:$VK$41,START!$C$3,6)*-44/12))</f>
        <v>0</v>
      </c>
      <c r="AQ46" s="271">
        <f>(($K46*INDEX('DEFAULT DATA'!$VF$9:$VK$41,START!$C$3,1)*-44/12)+($K46*INDEX('DEFAULT DATA'!$VF$9:$VK$41,START!$C$3,2)*-44/12)+($K46*INDEX('DEFAULT DATA'!$VF$9:$VK$41,START!$C$3,3)*-44/12)+($K46*INDEX('DEFAULT DATA'!$VF$9:$VK$41,START!$C$3,4)*-44/12)+($L46*INDEX('DEFAULT DATA'!$VF$9:$VK$41,START!$C$3,5)*-44/12)+($M46*INDEX('DEFAULT DATA'!$VF$9:$VK$41,START!$C$3,6)*-44/12))</f>
        <v>0</v>
      </c>
      <c r="AR46" s="271">
        <f>(($K46*INDEX('DEFAULT DATA'!$VF$9:$VK$41,START!$C$3,1)*-44/12)+($K46*INDEX('DEFAULT DATA'!$VF$9:$VK$41,START!$C$3,2)*-44/12)+($K46*INDEX('DEFAULT DATA'!$VF$9:$VK$41,START!$C$3,3)*-44/12)+($K46*INDEX('DEFAULT DATA'!$VF$9:$VK$41,START!$C$3,4)*-44/12)+($L46*INDEX('DEFAULT DATA'!$VF$9:$VK$41,START!$C$3,5)*-44/12)+($M46*INDEX('DEFAULT DATA'!$VF$9:$VK$41,START!$C$3,6)*-44/12))</f>
        <v>0</v>
      </c>
      <c r="AS46" s="271">
        <f>(($K46*INDEX('DEFAULT DATA'!$VF$9:$VK$41,START!$C$3,1)*-44/12)+($K46*INDEX('DEFAULT DATA'!$VF$9:$VK$41,START!$C$3,2)*-44/12)+($K46*INDEX('DEFAULT DATA'!$VF$9:$VK$41,START!$C$3,3)*-44/12)+($K46*INDEX('DEFAULT DATA'!$VF$9:$VK$41,START!$C$3,4)*-44/12)+($L46*INDEX('DEFAULT DATA'!$VF$9:$VK$41,START!$C$3,5)*-44/12)+($M46*INDEX('DEFAULT DATA'!$VF$9:$VK$41,START!$C$3,6)*-44/12))</f>
        <v>0</v>
      </c>
      <c r="AT46" s="272">
        <f>(($K46*INDEX('DEFAULT DATA'!$VF$9:$VK$41,START!$C$3,1)*-44/12)+($K46*INDEX('DEFAULT DATA'!$VF$9:$VK$41,START!$C$3,2)*-44/12)+($K46*INDEX('DEFAULT DATA'!$VF$9:$VK$41,START!$C$3,3)*-44/12)+($K46*INDEX('DEFAULT DATA'!$VF$9:$VK$41,START!$C$3,4)*-44/12)+($L46*INDEX('DEFAULT DATA'!$VF$9:$VK$41,START!$C$3,5)*-44/12)+($M46*INDEX('DEFAULT DATA'!$VF$9:$VK$41,START!$C$3,6)*-44/12))</f>
        <v>0</v>
      </c>
      <c r="AV46" s="1097" t="str">
        <f t="shared" si="42"/>
        <v>(INPUT1*CSC_COL91*-44/12)+(INPUT1*CSC_COL92*-44/12)+(INPUT1*CSC_COL93*-44/12)+(INPUT1*CSC_COL94*-44/12)+(INPUT2*CSC_COL95*-44/12)+(INPUT3*CSC_COL96*-44/12)</v>
      </c>
      <c r="AW46" s="1087" t="s">
        <v>3043</v>
      </c>
      <c r="AX46" s="1087" t="s">
        <v>3043</v>
      </c>
      <c r="AY46" s="1087" t="s">
        <v>3043</v>
      </c>
      <c r="AZ46" s="1087" t="s">
        <v>3043</v>
      </c>
      <c r="BA46" s="1087" t="s">
        <v>3043</v>
      </c>
      <c r="BB46" s="1087" t="s">
        <v>3043</v>
      </c>
      <c r="BC46" s="1087" t="s">
        <v>3043</v>
      </c>
      <c r="BD46" s="1087" t="s">
        <v>3043</v>
      </c>
      <c r="BE46" s="1087" t="s">
        <v>3043</v>
      </c>
      <c r="BF46" s="1087" t="s">
        <v>3043</v>
      </c>
      <c r="BG46" s="1087" t="s">
        <v>3043</v>
      </c>
      <c r="BH46" s="1087" t="s">
        <v>3043</v>
      </c>
      <c r="BI46" s="1087" t="s">
        <v>3043</v>
      </c>
      <c r="BJ46" s="1087" t="s">
        <v>3043</v>
      </c>
      <c r="BK46" s="1087" t="s">
        <v>3043</v>
      </c>
      <c r="BL46" s="1087" t="s">
        <v>3043</v>
      </c>
      <c r="BM46" s="1087" t="s">
        <v>3043</v>
      </c>
      <c r="BN46" s="1087" t="s">
        <v>3043</v>
      </c>
      <c r="BO46" s="1087" t="s">
        <v>3043</v>
      </c>
      <c r="BP46" s="1112" t="s">
        <v>3053</v>
      </c>
      <c r="BQ46" s="1113" t="s">
        <v>3045</v>
      </c>
      <c r="BR46" s="1113" t="s">
        <v>3045</v>
      </c>
      <c r="BS46" s="1113" t="s">
        <v>3045</v>
      </c>
      <c r="BT46" s="1113" t="s">
        <v>3045</v>
      </c>
      <c r="BU46" s="1113" t="s">
        <v>3045</v>
      </c>
      <c r="BV46" s="1113" t="s">
        <v>3045</v>
      </c>
      <c r="BW46" s="1113" t="s">
        <v>3045</v>
      </c>
      <c r="BX46" s="1113" t="s">
        <v>3045</v>
      </c>
      <c r="BY46" s="1114" t="s">
        <v>3045</v>
      </c>
    </row>
    <row r="47" spans="1:77" ht="20.100000000000001" customHeight="1">
      <c r="A47" s="281"/>
      <c r="B47" s="902" t="s">
        <v>537</v>
      </c>
      <c r="C47" s="218"/>
      <c r="D47" s="218"/>
      <c r="E47" s="1452">
        <v>0</v>
      </c>
      <c r="F47" s="1451">
        <f>E47-G47</f>
        <v>0</v>
      </c>
      <c r="G47" s="1453">
        <v>0</v>
      </c>
      <c r="H47" s="218">
        <v>7</v>
      </c>
      <c r="I47" s="266"/>
      <c r="J47" s="124"/>
      <c r="K47" s="309">
        <f t="shared" si="38"/>
        <v>0</v>
      </c>
      <c r="L47" s="310">
        <f t="shared" si="39"/>
        <v>0</v>
      </c>
      <c r="M47" s="310">
        <f t="shared" si="40"/>
        <v>0</v>
      </c>
      <c r="N47" s="81">
        <f t="shared" si="43"/>
        <v>73</v>
      </c>
      <c r="O47" s="311" t="s">
        <v>505</v>
      </c>
      <c r="P47" s="312">
        <f t="shared" si="41"/>
        <v>2022</v>
      </c>
      <c r="Q47" s="77">
        <f>($K47*INDEX('DEFAULT DATA'!$NV$9:$WC$41,START!$C$3,($N47))*-44/12)+($K47*INDEX('DEFAULT DATA'!$NV$9:$WC$41,START!$C$3,($N47+1))*-44/12)+($K47*INDEX('DEFAULT DATA'!$NV$9:$WC$41,START!$C$3,($N47+2))*-44/12)+($K47*INDEX('DEFAULT DATA'!$NV$9:$WC$41,START!$C$3,($N47+3))*-44/12)+($L47*INDEX('DEFAULT DATA'!$NV$9:$WC$41,START!$C$3,($N47+4))*-44/12)+($M47*INDEX('DEFAULT DATA'!$NV$9:$WC$41,START!$C$3,($N47+5))*-44/12)</f>
        <v>0</v>
      </c>
      <c r="R47" s="77">
        <f>($K47*INDEX('DEFAULT DATA'!$NV$9:$WC$41,START!$C$3,($N47))*-44/12)+($K47*INDEX('DEFAULT DATA'!$NV$9:$WC$41,START!$C$3,($N47+1))*-44/12)+($K47*INDEX('DEFAULT DATA'!$NV$9:$WC$41,START!$C$3,($N47+2))*-44/12)+($K47*INDEX('DEFAULT DATA'!$NV$9:$WC$41,START!$C$3,($N47+3))*-44/12)+($L47*INDEX('DEFAULT DATA'!$NV$9:$WC$41,START!$C$3,($N47+4))*-44/12)+($M47*INDEX('DEFAULT DATA'!$NV$9:$WC$41,START!$C$3,($N47+5))*-44/12)</f>
        <v>0</v>
      </c>
      <c r="S47" s="77">
        <f>($K47*INDEX('DEFAULT DATA'!$NV$9:$WC$41,START!$C$3,($N47))*-44/12)+($K47*INDEX('DEFAULT DATA'!$NV$9:$WC$41,START!$C$3,($N47+1))*-44/12)+($K47*INDEX('DEFAULT DATA'!$NV$9:$WC$41,START!$C$3,($N47+2))*-44/12)+($K47*INDEX('DEFAULT DATA'!$NV$9:$WC$41,START!$C$3,($N47+3))*-44/12)+($L47*INDEX('DEFAULT DATA'!$NV$9:$WC$41,START!$C$3,($N47+4))*-44/12)+($M47*INDEX('DEFAULT DATA'!$NV$9:$WC$41,START!$C$3,($N47+5))*-44/12)</f>
        <v>0</v>
      </c>
      <c r="T47" s="77">
        <f>($K47*INDEX('DEFAULT DATA'!$NV$9:$WC$41,START!$C$3,($N47))*-44/12)+($K47*INDEX('DEFAULT DATA'!$NV$9:$WC$41,START!$C$3,($N47+1))*-44/12)+($K47*INDEX('DEFAULT DATA'!$NV$9:$WC$41,START!$C$3,($N47+2))*-44/12)+($K47*INDEX('DEFAULT DATA'!$NV$9:$WC$41,START!$C$3,($N47+3))*-44/12)+($L47*INDEX('DEFAULT DATA'!$NV$9:$WC$41,START!$C$3,($N47+4))*-44/12)+($M47*INDEX('DEFAULT DATA'!$NV$9:$WC$41,START!$C$3,($N47+5))*-44/12)</f>
        <v>0</v>
      </c>
      <c r="U47" s="77">
        <f>($K47*INDEX('DEFAULT DATA'!$NV$9:$WC$41,START!$C$3,($N47))*-44/12)+($K47*INDEX('DEFAULT DATA'!$NV$9:$WC$41,START!$C$3,($N47+1))*-44/12)+($K47*INDEX('DEFAULT DATA'!$NV$9:$WC$41,START!$C$3,($N47+2))*-44/12)+($K47*INDEX('DEFAULT DATA'!$NV$9:$WC$41,START!$C$3,($N47+3))*-44/12)+($L47*INDEX('DEFAULT DATA'!$NV$9:$WC$41,START!$C$3,($N47+4))*-44/12)+($M47*INDEX('DEFAULT DATA'!$NV$9:$WC$41,START!$C$3,($N47+5))*-44/12)</f>
        <v>0</v>
      </c>
      <c r="V47" s="77">
        <f>($K47*INDEX('DEFAULT DATA'!$NV$9:$WC$41,START!$C$3,($N47))*-44/12)+($K47*INDEX('DEFAULT DATA'!$NV$9:$WC$41,START!$C$3,($N47+1))*-44/12)+($K47*INDEX('DEFAULT DATA'!$NV$9:$WC$41,START!$C$3,($N47+2))*-44/12)+($K47*INDEX('DEFAULT DATA'!$NV$9:$WC$41,START!$C$3,($N47+3))*-44/12)+($L47*INDEX('DEFAULT DATA'!$NV$9:$WC$41,START!$C$3,($N47+4))*-44/12)+($M47*INDEX('DEFAULT DATA'!$NV$9:$WC$41,START!$C$3,($N47+5))*-44/12)</f>
        <v>0</v>
      </c>
      <c r="W47" s="77">
        <f>($K47*INDEX('DEFAULT DATA'!$NV$9:$WC$41,START!$C$3,($N47))*-44/12)+($K47*INDEX('DEFAULT DATA'!$NV$9:$WC$41,START!$C$3,($N47+1))*-44/12)+($K47*INDEX('DEFAULT DATA'!$NV$9:$WC$41,START!$C$3,($N47+2))*-44/12)+($K47*INDEX('DEFAULT DATA'!$NV$9:$WC$41,START!$C$3,($N47+3))*-44/12)+($L47*INDEX('DEFAULT DATA'!$NV$9:$WC$41,START!$C$3,($N47+4))*-44/12)+($M47*INDEX('DEFAULT DATA'!$NV$9:$WC$41,START!$C$3,($N47+5))*-44/12)</f>
        <v>0</v>
      </c>
      <c r="X47" s="77">
        <f>($K47*INDEX('DEFAULT DATA'!$NV$9:$WC$41,START!$C$3,($N47))*-44/12)+($K47*INDEX('DEFAULT DATA'!$NV$9:$WC$41,START!$C$3,($N47+1))*-44/12)+($K47*INDEX('DEFAULT DATA'!$NV$9:$WC$41,START!$C$3,($N47+2))*-44/12)+($K47*INDEX('DEFAULT DATA'!$NV$9:$WC$41,START!$C$3,($N47+3))*-44/12)+($L47*INDEX('DEFAULT DATA'!$NV$9:$WC$41,START!$C$3,($N47+4))*-44/12)+($M47*INDEX('DEFAULT DATA'!$NV$9:$WC$41,START!$C$3,($N47+5))*-44/12)</f>
        <v>0</v>
      </c>
      <c r="Y47" s="77">
        <f>($K47*INDEX('DEFAULT DATA'!$NV$9:$WC$41,START!$C$3,($N47))*-44/12)+($K47*INDEX('DEFAULT DATA'!$NV$9:$WC$41,START!$C$3,($N47+1))*-44/12)+($K47*INDEX('DEFAULT DATA'!$NV$9:$WC$41,START!$C$3,($N47+2))*-44/12)+($K47*INDEX('DEFAULT DATA'!$NV$9:$WC$41,START!$C$3,($N47+3))*-44/12)+($L47*INDEX('DEFAULT DATA'!$NV$9:$WC$41,START!$C$3,($N47+4))*-44/12)+($M47*INDEX('DEFAULT DATA'!$NV$9:$WC$41,START!$C$3,($N47+5))*-44/12)</f>
        <v>0</v>
      </c>
      <c r="Z47" s="77">
        <f>($K47*INDEX('DEFAULT DATA'!$NV$9:$WC$41,START!$C$3,($N47))*-44/12)+($K47*INDEX('DEFAULT DATA'!$NV$9:$WC$41,START!$C$3,($N47+1))*-44/12)+($K47*INDEX('DEFAULT DATA'!$NV$9:$WC$41,START!$C$3,($N47+2))*-44/12)+($K47*INDEX('DEFAULT DATA'!$NV$9:$WC$41,START!$C$3,($N47+3))*-44/12)+($L47*INDEX('DEFAULT DATA'!$NV$9:$WC$41,START!$C$3,($N47+4))*-44/12)+($M47*INDEX('DEFAULT DATA'!$NV$9:$WC$41,START!$C$3,($N47+5))*-44/12)</f>
        <v>0</v>
      </c>
      <c r="AA47" s="77">
        <f>($K47*INDEX('DEFAULT DATA'!$NV$9:$WC$41,START!$C$3,($N47))*-44/12)+($K47*INDEX('DEFAULT DATA'!$NV$9:$WC$41,START!$C$3,($N47+1))*-44/12)+($K47*INDEX('DEFAULT DATA'!$NV$9:$WC$41,START!$C$3,($N47+2))*-44/12)+($K47*INDEX('DEFAULT DATA'!$NV$9:$WC$41,START!$C$3,($N47+3))*-44/12)+($L47*INDEX('DEFAULT DATA'!$NV$9:$WC$41,START!$C$3,($N47+4))*-44/12)+($M47*INDEX('DEFAULT DATA'!$NV$9:$WC$41,START!$C$3,($N47+5))*-44/12)</f>
        <v>0</v>
      </c>
      <c r="AB47" s="77">
        <f>($K47*INDEX('DEFAULT DATA'!$NV$9:$WC$41,START!$C$3,($N47))*-44/12)+($K47*INDEX('DEFAULT DATA'!$NV$9:$WC$41,START!$C$3,($N47+1))*-44/12)+($K47*INDEX('DEFAULT DATA'!$NV$9:$WC$41,START!$C$3,($N47+2))*-44/12)+($K47*INDEX('DEFAULT DATA'!$NV$9:$WC$41,START!$C$3,($N47+3))*-44/12)+($L47*INDEX('DEFAULT DATA'!$NV$9:$WC$41,START!$C$3,($N47+4))*-44/12)+($M47*INDEX('DEFAULT DATA'!$NV$9:$WC$41,START!$C$3,($N47+5))*-44/12)</f>
        <v>0</v>
      </c>
      <c r="AC47" s="77">
        <f>($K47*INDEX('DEFAULT DATA'!$NV$9:$WC$41,START!$C$3,($N47))*-44/12)+($K47*INDEX('DEFAULT DATA'!$NV$9:$WC$41,START!$C$3,($N47+1))*-44/12)+($K47*INDEX('DEFAULT DATA'!$NV$9:$WC$41,START!$C$3,($N47+2))*-44/12)+($K47*INDEX('DEFAULT DATA'!$NV$9:$WC$41,START!$C$3,($N47+3))*-44/12)+($L47*INDEX('DEFAULT DATA'!$NV$9:$WC$41,START!$C$3,($N47+4))*-44/12)+($M47*INDEX('DEFAULT DATA'!$NV$9:$WC$41,START!$C$3,($N47+5))*-44/12)</f>
        <v>0</v>
      </c>
      <c r="AD47" s="77">
        <f>($K47*INDEX('DEFAULT DATA'!$NV$9:$WC$41,START!$C$3,($N47))*-44/12)+($K47*INDEX('DEFAULT DATA'!$NV$9:$WC$41,START!$C$3,($N47+1))*-44/12)+($K47*INDEX('DEFAULT DATA'!$NV$9:$WC$41,START!$C$3,($N47+2))*-44/12)+($K47*INDEX('DEFAULT DATA'!$NV$9:$WC$41,START!$C$3,($N47+3))*-44/12)+($L47*INDEX('DEFAULT DATA'!$NV$9:$WC$41,START!$C$3,($N47+4))*-44/12)+($M47*INDEX('DEFAULT DATA'!$NV$9:$WC$41,START!$C$3,($N47+5))*-44/12)</f>
        <v>0</v>
      </c>
      <c r="AE47" s="77">
        <f>($K47*INDEX('DEFAULT DATA'!$NV$9:$WC$41,START!$C$3,($N47))*-44/12)+($K47*INDEX('DEFAULT DATA'!$NV$9:$WC$41,START!$C$3,($N47+1))*-44/12)+($K47*INDEX('DEFAULT DATA'!$NV$9:$WC$41,START!$C$3,($N47+2))*-44/12)+($K47*INDEX('DEFAULT DATA'!$NV$9:$WC$41,START!$C$3,($N47+3))*-44/12)+($L47*INDEX('DEFAULT DATA'!$NV$9:$WC$41,START!$C$3,($N47+4))*-44/12)+($M47*INDEX('DEFAULT DATA'!$NV$9:$WC$41,START!$C$3,($N47+5))*-44/12)</f>
        <v>0</v>
      </c>
      <c r="AF47" s="77">
        <f>($K47*INDEX('DEFAULT DATA'!$NV$9:$WC$41,START!$C$3,($N47))*-44/12)+($K47*INDEX('DEFAULT DATA'!$NV$9:$WC$41,START!$C$3,($N47+1))*-44/12)+($K47*INDEX('DEFAULT DATA'!$NV$9:$WC$41,START!$C$3,($N47+2))*-44/12)+($K47*INDEX('DEFAULT DATA'!$NV$9:$WC$41,START!$C$3,($N47+3))*-44/12)+($L47*INDEX('DEFAULT DATA'!$NV$9:$WC$41,START!$C$3,($N47+4))*-44/12)+($M47*INDEX('DEFAULT DATA'!$NV$9:$WC$41,START!$C$3,($N47+5))*-44/12)</f>
        <v>0</v>
      </c>
      <c r="AG47" s="77">
        <f>($K47*INDEX('DEFAULT DATA'!$NV$9:$WC$41,START!$C$3,($N47))*-44/12)+($K47*INDEX('DEFAULT DATA'!$NV$9:$WC$41,START!$C$3,($N47+1))*-44/12)+($K47*INDEX('DEFAULT DATA'!$NV$9:$WC$41,START!$C$3,($N47+2))*-44/12)+($K47*INDEX('DEFAULT DATA'!$NV$9:$WC$41,START!$C$3,($N47+3))*-44/12)+($L47*INDEX('DEFAULT DATA'!$NV$9:$WC$41,START!$C$3,($N47+4))*-44/12)+($M47*INDEX('DEFAULT DATA'!$NV$9:$WC$41,START!$C$3,($N47+5))*-44/12)</f>
        <v>0</v>
      </c>
      <c r="AH47" s="77">
        <f>($K47*INDEX('DEFAULT DATA'!$NV$9:$WC$41,START!$C$3,($N47))*-44/12)+($K47*INDEX('DEFAULT DATA'!$NV$9:$WC$41,START!$C$3,($N47+1))*-44/12)+($K47*INDEX('DEFAULT DATA'!$NV$9:$WC$41,START!$C$3,($N47+2))*-44/12)+($K47*INDEX('DEFAULT DATA'!$NV$9:$WC$41,START!$C$3,($N47+3))*-44/12)+($L47*INDEX('DEFAULT DATA'!$NV$9:$WC$41,START!$C$3,($N47+4))*-44/12)+($M47*INDEX('DEFAULT DATA'!$NV$9:$WC$41,START!$C$3,($N47+5))*-44/12)</f>
        <v>0</v>
      </c>
      <c r="AI47" s="77">
        <f>($K47*INDEX('DEFAULT DATA'!$NV$9:$WC$41,START!$C$3,($N47))*-44/12)+($K47*INDEX('DEFAULT DATA'!$NV$9:$WC$41,START!$C$3,($N47+1))*-44/12)+($K47*INDEX('DEFAULT DATA'!$NV$9:$WC$41,START!$C$3,($N47+2))*-44/12)+($K47*INDEX('DEFAULT DATA'!$NV$9:$WC$41,START!$C$3,($N47+3))*-44/12)+($L47*INDEX('DEFAULT DATA'!$NV$9:$WC$41,START!$C$3,($N47+4))*-44/12)+($M47*INDEX('DEFAULT DATA'!$NV$9:$WC$41,START!$C$3,($N47+5))*-44/12)</f>
        <v>0</v>
      </c>
      <c r="AJ47" s="77">
        <f>($K47*INDEX('DEFAULT DATA'!$NV$9:$WC$41,START!$C$3,($N47))*-44/12)+($K47*INDEX('DEFAULT DATA'!$NV$9:$WC$41,START!$C$3,($N47+1))*-44/12)+($K47*INDEX('DEFAULT DATA'!$NV$9:$WC$41,START!$C$3,($N47+2))*-44/12)+($K47*INDEX('DEFAULT DATA'!$NV$9:$WC$41,START!$C$3,($N47+3))*-44/12)+($L47*INDEX('DEFAULT DATA'!$NV$9:$WC$41,START!$C$3,($N47+4))*-44/12)+($M47*INDEX('DEFAULT DATA'!$NV$9:$WC$41,START!$C$3,($N47+5))*-44/12)</f>
        <v>0</v>
      </c>
      <c r="AK47" s="271">
        <f>(($K47*INDEX('DEFAULT DATA'!$VF$9:$VK$41,START!$C$3,1)*-44/12)+($K47*INDEX('DEFAULT DATA'!$VF$9:$VK$41,START!$C$3,2)*-44/12)+($K47*INDEX('DEFAULT DATA'!$VF$9:$VK$41,START!$C$3,3)*-44/12)+($K47*INDEX('DEFAULT DATA'!$VF$9:$VK$41,START!$C$3,4)*-44/12)+($L47*INDEX('DEFAULT DATA'!$VF$9:$VK$41,START!$C$3,5)*-44/12)+($M47*INDEX('DEFAULT DATA'!$VF$9:$VK$41,START!$C$3,6)*-44/12))</f>
        <v>0</v>
      </c>
      <c r="AL47" s="271">
        <f>(($K47*INDEX('DEFAULT DATA'!$VF$9:$VK$41,START!$C$3,1)*-44/12)+($K47*INDEX('DEFAULT DATA'!$VF$9:$VK$41,START!$C$3,2)*-44/12)+($K47*INDEX('DEFAULT DATA'!$VF$9:$VK$41,START!$C$3,3)*-44/12)+($K47*INDEX('DEFAULT DATA'!$VF$9:$VK$41,START!$C$3,4)*-44/12)+($L47*INDEX('DEFAULT DATA'!$VF$9:$VK$41,START!$C$3,5)*-44/12)+($M47*INDEX('DEFAULT DATA'!$VF$9:$VK$41,START!$C$3,6)*-44/12))</f>
        <v>0</v>
      </c>
      <c r="AM47" s="271">
        <f>(($K47*INDEX('DEFAULT DATA'!$VF$9:$VK$41,START!$C$3,1)*-44/12)+($K47*INDEX('DEFAULT DATA'!$VF$9:$VK$41,START!$C$3,2)*-44/12)+($K47*INDEX('DEFAULT DATA'!$VF$9:$VK$41,START!$C$3,3)*-44/12)+($K47*INDEX('DEFAULT DATA'!$VF$9:$VK$41,START!$C$3,4)*-44/12)+($L47*INDEX('DEFAULT DATA'!$VF$9:$VK$41,START!$C$3,5)*-44/12)+($M47*INDEX('DEFAULT DATA'!$VF$9:$VK$41,START!$C$3,6)*-44/12))</f>
        <v>0</v>
      </c>
      <c r="AN47" s="271">
        <f>(($K47*INDEX('DEFAULT DATA'!$VF$9:$VK$41,START!$C$3,1)*-44/12)+($K47*INDEX('DEFAULT DATA'!$VF$9:$VK$41,START!$C$3,2)*-44/12)+($K47*INDEX('DEFAULT DATA'!$VF$9:$VK$41,START!$C$3,3)*-44/12)+($K47*INDEX('DEFAULT DATA'!$VF$9:$VK$41,START!$C$3,4)*-44/12)+($L47*INDEX('DEFAULT DATA'!$VF$9:$VK$41,START!$C$3,5)*-44/12)+($M47*INDEX('DEFAULT DATA'!$VF$9:$VK$41,START!$C$3,6)*-44/12))</f>
        <v>0</v>
      </c>
      <c r="AO47" s="271">
        <f>(($K47*INDEX('DEFAULT DATA'!$VF$9:$VK$41,START!$C$3,1)*-44/12)+($K47*INDEX('DEFAULT DATA'!$VF$9:$VK$41,START!$C$3,2)*-44/12)+($K47*INDEX('DEFAULT DATA'!$VF$9:$VK$41,START!$C$3,3)*-44/12)+($K47*INDEX('DEFAULT DATA'!$VF$9:$VK$41,START!$C$3,4)*-44/12)+($L47*INDEX('DEFAULT DATA'!$VF$9:$VK$41,START!$C$3,5)*-44/12)+($M47*INDEX('DEFAULT DATA'!$VF$9:$VK$41,START!$C$3,6)*-44/12))</f>
        <v>0</v>
      </c>
      <c r="AP47" s="271">
        <f>(($K47*INDEX('DEFAULT DATA'!$VF$9:$VK$41,START!$C$3,1)*-44/12)+($K47*INDEX('DEFAULT DATA'!$VF$9:$VK$41,START!$C$3,2)*-44/12)+($K47*INDEX('DEFAULT DATA'!$VF$9:$VK$41,START!$C$3,3)*-44/12)+($K47*INDEX('DEFAULT DATA'!$VF$9:$VK$41,START!$C$3,4)*-44/12)+($L47*INDEX('DEFAULT DATA'!$VF$9:$VK$41,START!$C$3,5)*-44/12)+($M47*INDEX('DEFAULT DATA'!$VF$9:$VK$41,START!$C$3,6)*-44/12))</f>
        <v>0</v>
      </c>
      <c r="AQ47" s="271">
        <f>(($K47*INDEX('DEFAULT DATA'!$VF$9:$VK$41,START!$C$3,1)*-44/12)+($K47*INDEX('DEFAULT DATA'!$VF$9:$VK$41,START!$C$3,2)*-44/12)+($K47*INDEX('DEFAULT DATA'!$VF$9:$VK$41,START!$C$3,3)*-44/12)+($K47*INDEX('DEFAULT DATA'!$VF$9:$VK$41,START!$C$3,4)*-44/12)+($L47*INDEX('DEFAULT DATA'!$VF$9:$VK$41,START!$C$3,5)*-44/12)+($M47*INDEX('DEFAULT DATA'!$VF$9:$VK$41,START!$C$3,6)*-44/12))</f>
        <v>0</v>
      </c>
      <c r="AR47" s="271">
        <f>(($K47*INDEX('DEFAULT DATA'!$VF$9:$VK$41,START!$C$3,1)*-44/12)+($K47*INDEX('DEFAULT DATA'!$VF$9:$VK$41,START!$C$3,2)*-44/12)+($K47*INDEX('DEFAULT DATA'!$VF$9:$VK$41,START!$C$3,3)*-44/12)+($K47*INDEX('DEFAULT DATA'!$VF$9:$VK$41,START!$C$3,4)*-44/12)+($L47*INDEX('DEFAULT DATA'!$VF$9:$VK$41,START!$C$3,5)*-44/12)+($M47*INDEX('DEFAULT DATA'!$VF$9:$VK$41,START!$C$3,6)*-44/12))</f>
        <v>0</v>
      </c>
      <c r="AS47" s="271">
        <f>(($K47*INDEX('DEFAULT DATA'!$VF$9:$VK$41,START!$C$3,1)*-44/12)+($K47*INDEX('DEFAULT DATA'!$VF$9:$VK$41,START!$C$3,2)*-44/12)+($K47*INDEX('DEFAULT DATA'!$VF$9:$VK$41,START!$C$3,3)*-44/12)+($K47*INDEX('DEFAULT DATA'!$VF$9:$VK$41,START!$C$3,4)*-44/12)+($L47*INDEX('DEFAULT DATA'!$VF$9:$VK$41,START!$C$3,5)*-44/12)+($M47*INDEX('DEFAULT DATA'!$VF$9:$VK$41,START!$C$3,6)*-44/12))</f>
        <v>0</v>
      </c>
      <c r="AT47" s="272">
        <f>(($K47*INDEX('DEFAULT DATA'!$VF$9:$VK$41,START!$C$3,1)*-44/12)+($K47*INDEX('DEFAULT DATA'!$VF$9:$VK$41,START!$C$3,2)*-44/12)+($K47*INDEX('DEFAULT DATA'!$VF$9:$VK$41,START!$C$3,3)*-44/12)+($K47*INDEX('DEFAULT DATA'!$VF$9:$VK$41,START!$C$3,4)*-44/12)+($L47*INDEX('DEFAULT DATA'!$VF$9:$VK$41,START!$C$3,5)*-44/12)+($M47*INDEX('DEFAULT DATA'!$VF$9:$VK$41,START!$C$3,6)*-44/12))</f>
        <v>0</v>
      </c>
      <c r="AV47" s="1097" t="str">
        <f t="shared" si="42"/>
        <v>(INPUT1*CSC_COL97*-44/12)+(INPUT1*CSC_COL98*-44/12)+(INPUT1*CSC_COL99*-44/12)+(INPUT1*CSC_COL100*-44/12)+(INPUT2*CSC_COL101*-44/12)+(INPUT3*CSC_COL102*-44/12)</v>
      </c>
      <c r="AW47" s="1087" t="s">
        <v>3043</v>
      </c>
      <c r="AX47" s="1087" t="s">
        <v>3043</v>
      </c>
      <c r="AY47" s="1087" t="s">
        <v>3043</v>
      </c>
      <c r="AZ47" s="1087" t="s">
        <v>3043</v>
      </c>
      <c r="BA47" s="1087" t="s">
        <v>3043</v>
      </c>
      <c r="BB47" s="1087" t="s">
        <v>3043</v>
      </c>
      <c r="BC47" s="1087" t="s">
        <v>3043</v>
      </c>
      <c r="BD47" s="1087" t="s">
        <v>3043</v>
      </c>
      <c r="BE47" s="1087" t="s">
        <v>3043</v>
      </c>
      <c r="BF47" s="1087" t="s">
        <v>3043</v>
      </c>
      <c r="BG47" s="1087" t="s">
        <v>3043</v>
      </c>
      <c r="BH47" s="1087" t="s">
        <v>3043</v>
      </c>
      <c r="BI47" s="1087" t="s">
        <v>3043</v>
      </c>
      <c r="BJ47" s="1087" t="s">
        <v>3043</v>
      </c>
      <c r="BK47" s="1087" t="s">
        <v>3043</v>
      </c>
      <c r="BL47" s="1087" t="s">
        <v>3043</v>
      </c>
      <c r="BM47" s="1087" t="s">
        <v>3043</v>
      </c>
      <c r="BN47" s="1087" t="s">
        <v>3043</v>
      </c>
      <c r="BO47" s="1087" t="s">
        <v>3043</v>
      </c>
      <c r="BP47" s="1112" t="s">
        <v>3053</v>
      </c>
      <c r="BQ47" s="1113" t="s">
        <v>3045</v>
      </c>
      <c r="BR47" s="1113" t="s">
        <v>3045</v>
      </c>
      <c r="BS47" s="1113" t="s">
        <v>3045</v>
      </c>
      <c r="BT47" s="1113" t="s">
        <v>3045</v>
      </c>
      <c r="BU47" s="1113" t="s">
        <v>3045</v>
      </c>
      <c r="BV47" s="1113" t="s">
        <v>3045</v>
      </c>
      <c r="BW47" s="1113" t="s">
        <v>3045</v>
      </c>
      <c r="BX47" s="1113" t="s">
        <v>3045</v>
      </c>
      <c r="BY47" s="1114" t="s">
        <v>3045</v>
      </c>
    </row>
    <row r="48" spans="1:77" ht="20.100000000000001" customHeight="1">
      <c r="A48" s="254"/>
      <c r="B48" s="903" t="s">
        <v>538</v>
      </c>
      <c r="C48" s="668"/>
      <c r="D48" s="668"/>
      <c r="E48" s="614">
        <v>10000</v>
      </c>
      <c r="F48" s="1451">
        <f t="shared" ref="F48:F76" si="44">E48-G48</f>
        <v>10000</v>
      </c>
      <c r="G48" s="615">
        <v>0</v>
      </c>
      <c r="H48" s="668">
        <v>9</v>
      </c>
      <c r="I48" s="291"/>
      <c r="J48" s="124"/>
      <c r="K48" s="309">
        <f t="shared" si="38"/>
        <v>0</v>
      </c>
      <c r="L48" s="310">
        <f t="shared" si="39"/>
        <v>0</v>
      </c>
      <c r="M48" s="310">
        <f t="shared" si="40"/>
        <v>0</v>
      </c>
      <c r="N48" s="81">
        <f t="shared" si="43"/>
        <v>79</v>
      </c>
      <c r="O48" s="311" t="s">
        <v>506</v>
      </c>
      <c r="P48" s="312">
        <f t="shared" si="41"/>
        <v>2022</v>
      </c>
      <c r="Q48" s="77">
        <f>($K48*INDEX('DEFAULT DATA'!$NV$9:$WC$41,START!$C$3,($N48))*-44/12)+($K48*INDEX('DEFAULT DATA'!$NV$9:$WC$41,START!$C$3,($N48+1))*-44/12)+($K48*INDEX('DEFAULT DATA'!$NV$9:$WC$41,START!$C$3,($N48+2))*-44/12)+($K48*INDEX('DEFAULT DATA'!$NV$9:$WC$41,START!$C$3,($N48+3))*-44/12)+($L48*INDEX('DEFAULT DATA'!$NV$9:$WC$41,START!$C$3,($N48+4))*-44/12)+($M48*INDEX('DEFAULT DATA'!$NV$9:$WC$41,START!$C$3,($N48+5))*-44/12)</f>
        <v>0</v>
      </c>
      <c r="R48" s="77">
        <f>($K48*INDEX('DEFAULT DATA'!$NV$9:$WC$41,START!$C$3,($N48))*-44/12)+($K48*INDEX('DEFAULT DATA'!$NV$9:$WC$41,START!$C$3,($N48+1))*-44/12)+($K48*INDEX('DEFAULT DATA'!$NV$9:$WC$41,START!$C$3,($N48+2))*-44/12)+($K48*INDEX('DEFAULT DATA'!$NV$9:$WC$41,START!$C$3,($N48+3))*-44/12)+($L48*INDEX('DEFAULT DATA'!$NV$9:$WC$41,START!$C$3,($N48+4))*-44/12)+($M48*INDEX('DEFAULT DATA'!$NV$9:$WC$41,START!$C$3,($N48+5))*-44/12)</f>
        <v>0</v>
      </c>
      <c r="S48" s="77">
        <f>($K48*INDEX('DEFAULT DATA'!$NV$9:$WC$41,START!$C$3,($N48))*-44/12)+($K48*INDEX('DEFAULT DATA'!$NV$9:$WC$41,START!$C$3,($N48+1))*-44/12)+($K48*INDEX('DEFAULT DATA'!$NV$9:$WC$41,START!$C$3,($N48+2))*-44/12)+($K48*INDEX('DEFAULT DATA'!$NV$9:$WC$41,START!$C$3,($N48+3))*-44/12)+($L48*INDEX('DEFAULT DATA'!$NV$9:$WC$41,START!$C$3,($N48+4))*-44/12)+($M48*INDEX('DEFAULT DATA'!$NV$9:$WC$41,START!$C$3,($N48+5))*-44/12)</f>
        <v>0</v>
      </c>
      <c r="T48" s="77">
        <f>($K48*INDEX('DEFAULT DATA'!$NV$9:$WC$41,START!$C$3,($N48))*-44/12)+($K48*INDEX('DEFAULT DATA'!$NV$9:$WC$41,START!$C$3,($N48+1))*-44/12)+($K48*INDEX('DEFAULT DATA'!$NV$9:$WC$41,START!$C$3,($N48+2))*-44/12)+($K48*INDEX('DEFAULT DATA'!$NV$9:$WC$41,START!$C$3,($N48+3))*-44/12)+($L48*INDEX('DEFAULT DATA'!$NV$9:$WC$41,START!$C$3,($N48+4))*-44/12)+($M48*INDEX('DEFAULT DATA'!$NV$9:$WC$41,START!$C$3,($N48+5))*-44/12)</f>
        <v>0</v>
      </c>
      <c r="U48" s="77">
        <f>($K48*INDEX('DEFAULT DATA'!$NV$9:$WC$41,START!$C$3,($N48))*-44/12)+($K48*INDEX('DEFAULT DATA'!$NV$9:$WC$41,START!$C$3,($N48+1))*-44/12)+($K48*INDEX('DEFAULT DATA'!$NV$9:$WC$41,START!$C$3,($N48+2))*-44/12)+($K48*INDEX('DEFAULT DATA'!$NV$9:$WC$41,START!$C$3,($N48+3))*-44/12)+($L48*INDEX('DEFAULT DATA'!$NV$9:$WC$41,START!$C$3,($N48+4))*-44/12)+($M48*INDEX('DEFAULT DATA'!$NV$9:$WC$41,START!$C$3,($N48+5))*-44/12)</f>
        <v>0</v>
      </c>
      <c r="V48" s="77">
        <f>($K48*INDEX('DEFAULT DATA'!$NV$9:$WC$41,START!$C$3,($N48))*-44/12)+($K48*INDEX('DEFAULT DATA'!$NV$9:$WC$41,START!$C$3,($N48+1))*-44/12)+($K48*INDEX('DEFAULT DATA'!$NV$9:$WC$41,START!$C$3,($N48+2))*-44/12)+($K48*INDEX('DEFAULT DATA'!$NV$9:$WC$41,START!$C$3,($N48+3))*-44/12)+($L48*INDEX('DEFAULT DATA'!$NV$9:$WC$41,START!$C$3,($N48+4))*-44/12)+($M48*INDEX('DEFAULT DATA'!$NV$9:$WC$41,START!$C$3,($N48+5))*-44/12)</f>
        <v>0</v>
      </c>
      <c r="W48" s="77">
        <f>($K48*INDEX('DEFAULT DATA'!$NV$9:$WC$41,START!$C$3,($N48))*-44/12)+($K48*INDEX('DEFAULT DATA'!$NV$9:$WC$41,START!$C$3,($N48+1))*-44/12)+($K48*INDEX('DEFAULT DATA'!$NV$9:$WC$41,START!$C$3,($N48+2))*-44/12)+($K48*INDEX('DEFAULT DATA'!$NV$9:$WC$41,START!$C$3,($N48+3))*-44/12)+($L48*INDEX('DEFAULT DATA'!$NV$9:$WC$41,START!$C$3,($N48+4))*-44/12)+($M48*INDEX('DEFAULT DATA'!$NV$9:$WC$41,START!$C$3,($N48+5))*-44/12)</f>
        <v>0</v>
      </c>
      <c r="X48" s="77">
        <f>($K48*INDEX('DEFAULT DATA'!$NV$9:$WC$41,START!$C$3,($N48))*-44/12)+($K48*INDEX('DEFAULT DATA'!$NV$9:$WC$41,START!$C$3,($N48+1))*-44/12)+($K48*INDEX('DEFAULT DATA'!$NV$9:$WC$41,START!$C$3,($N48+2))*-44/12)+($K48*INDEX('DEFAULT DATA'!$NV$9:$WC$41,START!$C$3,($N48+3))*-44/12)+($L48*INDEX('DEFAULT DATA'!$NV$9:$WC$41,START!$C$3,($N48+4))*-44/12)+($M48*INDEX('DEFAULT DATA'!$NV$9:$WC$41,START!$C$3,($N48+5))*-44/12)</f>
        <v>0</v>
      </c>
      <c r="Y48" s="77">
        <f>($K48*INDEX('DEFAULT DATA'!$NV$9:$WC$41,START!$C$3,($N48))*-44/12)+($K48*INDEX('DEFAULT DATA'!$NV$9:$WC$41,START!$C$3,($N48+1))*-44/12)+($K48*INDEX('DEFAULT DATA'!$NV$9:$WC$41,START!$C$3,($N48+2))*-44/12)+($K48*INDEX('DEFAULT DATA'!$NV$9:$WC$41,START!$C$3,($N48+3))*-44/12)+($L48*INDEX('DEFAULT DATA'!$NV$9:$WC$41,START!$C$3,($N48+4))*-44/12)+($M48*INDEX('DEFAULT DATA'!$NV$9:$WC$41,START!$C$3,($N48+5))*-44/12)</f>
        <v>0</v>
      </c>
      <c r="Z48" s="77">
        <f>($K48*INDEX('DEFAULT DATA'!$NV$9:$WC$41,START!$C$3,($N48))*-44/12)+($K48*INDEX('DEFAULT DATA'!$NV$9:$WC$41,START!$C$3,($N48+1))*-44/12)+($K48*INDEX('DEFAULT DATA'!$NV$9:$WC$41,START!$C$3,($N48+2))*-44/12)+($K48*INDEX('DEFAULT DATA'!$NV$9:$WC$41,START!$C$3,($N48+3))*-44/12)+($L48*INDEX('DEFAULT DATA'!$NV$9:$WC$41,START!$C$3,($N48+4))*-44/12)+($M48*INDEX('DEFAULT DATA'!$NV$9:$WC$41,START!$C$3,($N48+5))*-44/12)</f>
        <v>0</v>
      </c>
      <c r="AA48" s="77">
        <f>($K48*INDEX('DEFAULT DATA'!$NV$9:$WC$41,START!$C$3,($N48))*-44/12)+($K48*INDEX('DEFAULT DATA'!$NV$9:$WC$41,START!$C$3,($N48+1))*-44/12)+($K48*INDEX('DEFAULT DATA'!$NV$9:$WC$41,START!$C$3,($N48+2))*-44/12)+($K48*INDEX('DEFAULT DATA'!$NV$9:$WC$41,START!$C$3,($N48+3))*-44/12)+($L48*INDEX('DEFAULT DATA'!$NV$9:$WC$41,START!$C$3,($N48+4))*-44/12)+($M48*INDEX('DEFAULT DATA'!$NV$9:$WC$41,START!$C$3,($N48+5))*-44/12)</f>
        <v>0</v>
      </c>
      <c r="AB48" s="77">
        <f>($K48*INDEX('DEFAULT DATA'!$NV$9:$WC$41,START!$C$3,($N48))*-44/12)+($K48*INDEX('DEFAULT DATA'!$NV$9:$WC$41,START!$C$3,($N48+1))*-44/12)+($K48*INDEX('DEFAULT DATA'!$NV$9:$WC$41,START!$C$3,($N48+2))*-44/12)+($K48*INDEX('DEFAULT DATA'!$NV$9:$WC$41,START!$C$3,($N48+3))*-44/12)+($L48*INDEX('DEFAULT DATA'!$NV$9:$WC$41,START!$C$3,($N48+4))*-44/12)+($M48*INDEX('DEFAULT DATA'!$NV$9:$WC$41,START!$C$3,($N48+5))*-44/12)</f>
        <v>0</v>
      </c>
      <c r="AC48" s="77">
        <f>($K48*INDEX('DEFAULT DATA'!$NV$9:$WC$41,START!$C$3,($N48))*-44/12)+($K48*INDEX('DEFAULT DATA'!$NV$9:$WC$41,START!$C$3,($N48+1))*-44/12)+($K48*INDEX('DEFAULT DATA'!$NV$9:$WC$41,START!$C$3,($N48+2))*-44/12)+($K48*INDEX('DEFAULT DATA'!$NV$9:$WC$41,START!$C$3,($N48+3))*-44/12)+($L48*INDEX('DEFAULT DATA'!$NV$9:$WC$41,START!$C$3,($N48+4))*-44/12)+($M48*INDEX('DEFAULT DATA'!$NV$9:$WC$41,START!$C$3,($N48+5))*-44/12)</f>
        <v>0</v>
      </c>
      <c r="AD48" s="77">
        <f>($K48*INDEX('DEFAULT DATA'!$NV$9:$WC$41,START!$C$3,($N48))*-44/12)+($K48*INDEX('DEFAULT DATA'!$NV$9:$WC$41,START!$C$3,($N48+1))*-44/12)+($K48*INDEX('DEFAULT DATA'!$NV$9:$WC$41,START!$C$3,($N48+2))*-44/12)+($K48*INDEX('DEFAULT DATA'!$NV$9:$WC$41,START!$C$3,($N48+3))*-44/12)+($L48*INDEX('DEFAULT DATA'!$NV$9:$WC$41,START!$C$3,($N48+4))*-44/12)+($M48*INDEX('DEFAULT DATA'!$NV$9:$WC$41,START!$C$3,($N48+5))*-44/12)</f>
        <v>0</v>
      </c>
      <c r="AE48" s="77">
        <f>($K48*INDEX('DEFAULT DATA'!$NV$9:$WC$41,START!$C$3,($N48))*-44/12)+($K48*INDEX('DEFAULT DATA'!$NV$9:$WC$41,START!$C$3,($N48+1))*-44/12)+($K48*INDEX('DEFAULT DATA'!$NV$9:$WC$41,START!$C$3,($N48+2))*-44/12)+($K48*INDEX('DEFAULT DATA'!$NV$9:$WC$41,START!$C$3,($N48+3))*-44/12)+($L48*INDEX('DEFAULT DATA'!$NV$9:$WC$41,START!$C$3,($N48+4))*-44/12)+($M48*INDEX('DEFAULT DATA'!$NV$9:$WC$41,START!$C$3,($N48+5))*-44/12)</f>
        <v>0</v>
      </c>
      <c r="AF48" s="77">
        <f>($K48*INDEX('DEFAULT DATA'!$NV$9:$WC$41,START!$C$3,($N48))*-44/12)+($K48*INDEX('DEFAULT DATA'!$NV$9:$WC$41,START!$C$3,($N48+1))*-44/12)+($K48*INDEX('DEFAULT DATA'!$NV$9:$WC$41,START!$C$3,($N48+2))*-44/12)+($K48*INDEX('DEFAULT DATA'!$NV$9:$WC$41,START!$C$3,($N48+3))*-44/12)+($L48*INDEX('DEFAULT DATA'!$NV$9:$WC$41,START!$C$3,($N48+4))*-44/12)+($M48*INDEX('DEFAULT DATA'!$NV$9:$WC$41,START!$C$3,($N48+5))*-44/12)</f>
        <v>0</v>
      </c>
      <c r="AG48" s="77">
        <f>($K48*INDEX('DEFAULT DATA'!$NV$9:$WC$41,START!$C$3,($N48))*-44/12)+($K48*INDEX('DEFAULT DATA'!$NV$9:$WC$41,START!$C$3,($N48+1))*-44/12)+($K48*INDEX('DEFAULT DATA'!$NV$9:$WC$41,START!$C$3,($N48+2))*-44/12)+($K48*INDEX('DEFAULT DATA'!$NV$9:$WC$41,START!$C$3,($N48+3))*-44/12)+($L48*INDEX('DEFAULT DATA'!$NV$9:$WC$41,START!$C$3,($N48+4))*-44/12)+($M48*INDEX('DEFAULT DATA'!$NV$9:$WC$41,START!$C$3,($N48+5))*-44/12)</f>
        <v>0</v>
      </c>
      <c r="AH48" s="77">
        <f>($K48*INDEX('DEFAULT DATA'!$NV$9:$WC$41,START!$C$3,($N48))*-44/12)+($K48*INDEX('DEFAULT DATA'!$NV$9:$WC$41,START!$C$3,($N48+1))*-44/12)+($K48*INDEX('DEFAULT DATA'!$NV$9:$WC$41,START!$C$3,($N48+2))*-44/12)+($K48*INDEX('DEFAULT DATA'!$NV$9:$WC$41,START!$C$3,($N48+3))*-44/12)+($L48*INDEX('DEFAULT DATA'!$NV$9:$WC$41,START!$C$3,($N48+4))*-44/12)+($M48*INDEX('DEFAULT DATA'!$NV$9:$WC$41,START!$C$3,($N48+5))*-44/12)</f>
        <v>0</v>
      </c>
      <c r="AI48" s="77">
        <f>($K48*INDEX('DEFAULT DATA'!$NV$9:$WC$41,START!$C$3,($N48))*-44/12)+($K48*INDEX('DEFAULT DATA'!$NV$9:$WC$41,START!$C$3,($N48+1))*-44/12)+($K48*INDEX('DEFAULT DATA'!$NV$9:$WC$41,START!$C$3,($N48+2))*-44/12)+($K48*INDEX('DEFAULT DATA'!$NV$9:$WC$41,START!$C$3,($N48+3))*-44/12)+($L48*INDEX('DEFAULT DATA'!$NV$9:$WC$41,START!$C$3,($N48+4))*-44/12)+($M48*INDEX('DEFAULT DATA'!$NV$9:$WC$41,START!$C$3,($N48+5))*-44/12)</f>
        <v>0</v>
      </c>
      <c r="AJ48" s="77">
        <f>($K48*INDEX('DEFAULT DATA'!$NV$9:$WC$41,START!$C$3,($N48))*-44/12)+($K48*INDEX('DEFAULT DATA'!$NV$9:$WC$41,START!$C$3,($N48+1))*-44/12)+($K48*INDEX('DEFAULT DATA'!$NV$9:$WC$41,START!$C$3,($N48+2))*-44/12)+($K48*INDEX('DEFAULT DATA'!$NV$9:$WC$41,START!$C$3,($N48+3))*-44/12)+($L48*INDEX('DEFAULT DATA'!$NV$9:$WC$41,START!$C$3,($N48+4))*-44/12)+($M48*INDEX('DEFAULT DATA'!$NV$9:$WC$41,START!$C$3,($N48+5))*-44/12)</f>
        <v>0</v>
      </c>
      <c r="AK48" s="271">
        <f>(($K48*INDEX('DEFAULT DATA'!$VF$9:$VK$41,START!$C$3,1)*-44/12)+($K48*INDEX('DEFAULT DATA'!$VF$9:$VK$41,START!$C$3,2)*-44/12)+($K48*INDEX('DEFAULT DATA'!$VF$9:$VK$41,START!$C$3,3)*-44/12)+($K48*INDEX('DEFAULT DATA'!$VF$9:$VK$41,START!$C$3,4)*-44/12)+($L48*INDEX('DEFAULT DATA'!$VF$9:$VK$41,START!$C$3,5)*-44/12)+($M48*INDEX('DEFAULT DATA'!$VF$9:$VK$41,START!$C$3,6)*-44/12))</f>
        <v>0</v>
      </c>
      <c r="AL48" s="271">
        <f>(($K48*INDEX('DEFAULT DATA'!$VF$9:$VK$41,START!$C$3,1)*-44/12)+($K48*INDEX('DEFAULT DATA'!$VF$9:$VK$41,START!$C$3,2)*-44/12)+($K48*INDEX('DEFAULT DATA'!$VF$9:$VK$41,START!$C$3,3)*-44/12)+($K48*INDEX('DEFAULT DATA'!$VF$9:$VK$41,START!$C$3,4)*-44/12)+($L48*INDEX('DEFAULT DATA'!$VF$9:$VK$41,START!$C$3,5)*-44/12)+($M48*INDEX('DEFAULT DATA'!$VF$9:$VK$41,START!$C$3,6)*-44/12))</f>
        <v>0</v>
      </c>
      <c r="AM48" s="271">
        <f>(($K48*INDEX('DEFAULT DATA'!$VF$9:$VK$41,START!$C$3,1)*-44/12)+($K48*INDEX('DEFAULT DATA'!$VF$9:$VK$41,START!$C$3,2)*-44/12)+($K48*INDEX('DEFAULT DATA'!$VF$9:$VK$41,START!$C$3,3)*-44/12)+($K48*INDEX('DEFAULT DATA'!$VF$9:$VK$41,START!$C$3,4)*-44/12)+($L48*INDEX('DEFAULT DATA'!$VF$9:$VK$41,START!$C$3,5)*-44/12)+($M48*INDEX('DEFAULT DATA'!$VF$9:$VK$41,START!$C$3,6)*-44/12))</f>
        <v>0</v>
      </c>
      <c r="AN48" s="271">
        <f>(($K48*INDEX('DEFAULT DATA'!$VF$9:$VK$41,START!$C$3,1)*-44/12)+($K48*INDEX('DEFAULT DATA'!$VF$9:$VK$41,START!$C$3,2)*-44/12)+($K48*INDEX('DEFAULT DATA'!$VF$9:$VK$41,START!$C$3,3)*-44/12)+($K48*INDEX('DEFAULT DATA'!$VF$9:$VK$41,START!$C$3,4)*-44/12)+($L48*INDEX('DEFAULT DATA'!$VF$9:$VK$41,START!$C$3,5)*-44/12)+($M48*INDEX('DEFAULT DATA'!$VF$9:$VK$41,START!$C$3,6)*-44/12))</f>
        <v>0</v>
      </c>
      <c r="AO48" s="271">
        <f>(($K48*INDEX('DEFAULT DATA'!$VF$9:$VK$41,START!$C$3,1)*-44/12)+($K48*INDEX('DEFAULT DATA'!$VF$9:$VK$41,START!$C$3,2)*-44/12)+($K48*INDEX('DEFAULT DATA'!$VF$9:$VK$41,START!$C$3,3)*-44/12)+($K48*INDEX('DEFAULT DATA'!$VF$9:$VK$41,START!$C$3,4)*-44/12)+($L48*INDEX('DEFAULT DATA'!$VF$9:$VK$41,START!$C$3,5)*-44/12)+($M48*INDEX('DEFAULT DATA'!$VF$9:$VK$41,START!$C$3,6)*-44/12))</f>
        <v>0</v>
      </c>
      <c r="AP48" s="271">
        <f>(($K48*INDEX('DEFAULT DATA'!$VF$9:$VK$41,START!$C$3,1)*-44/12)+($K48*INDEX('DEFAULT DATA'!$VF$9:$VK$41,START!$C$3,2)*-44/12)+($K48*INDEX('DEFAULT DATA'!$VF$9:$VK$41,START!$C$3,3)*-44/12)+($K48*INDEX('DEFAULT DATA'!$VF$9:$VK$41,START!$C$3,4)*-44/12)+($L48*INDEX('DEFAULT DATA'!$VF$9:$VK$41,START!$C$3,5)*-44/12)+($M48*INDEX('DEFAULT DATA'!$VF$9:$VK$41,START!$C$3,6)*-44/12))</f>
        <v>0</v>
      </c>
      <c r="AQ48" s="271">
        <f>(($K48*INDEX('DEFAULT DATA'!$VF$9:$VK$41,START!$C$3,1)*-44/12)+($K48*INDEX('DEFAULT DATA'!$VF$9:$VK$41,START!$C$3,2)*-44/12)+($K48*INDEX('DEFAULT DATA'!$VF$9:$VK$41,START!$C$3,3)*-44/12)+($K48*INDEX('DEFAULT DATA'!$VF$9:$VK$41,START!$C$3,4)*-44/12)+($L48*INDEX('DEFAULT DATA'!$VF$9:$VK$41,START!$C$3,5)*-44/12)+($M48*INDEX('DEFAULT DATA'!$VF$9:$VK$41,START!$C$3,6)*-44/12))</f>
        <v>0</v>
      </c>
      <c r="AR48" s="271">
        <f>(($K48*INDEX('DEFAULT DATA'!$VF$9:$VK$41,START!$C$3,1)*-44/12)+($K48*INDEX('DEFAULT DATA'!$VF$9:$VK$41,START!$C$3,2)*-44/12)+($K48*INDEX('DEFAULT DATA'!$VF$9:$VK$41,START!$C$3,3)*-44/12)+($K48*INDEX('DEFAULT DATA'!$VF$9:$VK$41,START!$C$3,4)*-44/12)+($L48*INDEX('DEFAULT DATA'!$VF$9:$VK$41,START!$C$3,5)*-44/12)+($M48*INDEX('DEFAULT DATA'!$VF$9:$VK$41,START!$C$3,6)*-44/12))</f>
        <v>0</v>
      </c>
      <c r="AS48" s="271">
        <f>(($K48*INDEX('DEFAULT DATA'!$VF$9:$VK$41,START!$C$3,1)*-44/12)+($K48*INDEX('DEFAULT DATA'!$VF$9:$VK$41,START!$C$3,2)*-44/12)+($K48*INDEX('DEFAULT DATA'!$VF$9:$VK$41,START!$C$3,3)*-44/12)+($K48*INDEX('DEFAULT DATA'!$VF$9:$VK$41,START!$C$3,4)*-44/12)+($L48*INDEX('DEFAULT DATA'!$VF$9:$VK$41,START!$C$3,5)*-44/12)+($M48*INDEX('DEFAULT DATA'!$VF$9:$VK$41,START!$C$3,6)*-44/12))</f>
        <v>0</v>
      </c>
      <c r="AT48" s="272">
        <f>(($K48*INDEX('DEFAULT DATA'!$VF$9:$VK$41,START!$C$3,1)*-44/12)+($K48*INDEX('DEFAULT DATA'!$VF$9:$VK$41,START!$C$3,2)*-44/12)+($K48*INDEX('DEFAULT DATA'!$VF$9:$VK$41,START!$C$3,3)*-44/12)+($K48*INDEX('DEFAULT DATA'!$VF$9:$VK$41,START!$C$3,4)*-44/12)+($L48*INDEX('DEFAULT DATA'!$VF$9:$VK$41,START!$C$3,5)*-44/12)+($M48*INDEX('DEFAULT DATA'!$VF$9:$VK$41,START!$C$3,6)*-44/12))</f>
        <v>0</v>
      </c>
      <c r="AV48" s="1097" t="str">
        <f t="shared" si="42"/>
        <v>(INPUT1*CSC_COL103*-44/12)+(INPUT1*CSC_COL104*-44/12)+(INPUT1*CSC_COL105*-44/12)+(INPUT1*CSC_COL106*-44/12)+(INPUT2*CSC_COL107*-44/12)+(INPUT3*CSC_COL108*-44/12)</v>
      </c>
      <c r="AW48" s="1087" t="s">
        <v>3043</v>
      </c>
      <c r="AX48" s="1087" t="s">
        <v>3043</v>
      </c>
      <c r="AY48" s="1087" t="s">
        <v>3043</v>
      </c>
      <c r="AZ48" s="1087" t="s">
        <v>3043</v>
      </c>
      <c r="BA48" s="1087" t="s">
        <v>3043</v>
      </c>
      <c r="BB48" s="1087" t="s">
        <v>3043</v>
      </c>
      <c r="BC48" s="1087" t="s">
        <v>3043</v>
      </c>
      <c r="BD48" s="1087" t="s">
        <v>3043</v>
      </c>
      <c r="BE48" s="1087" t="s">
        <v>3043</v>
      </c>
      <c r="BF48" s="1087" t="s">
        <v>3043</v>
      </c>
      <c r="BG48" s="1087" t="s">
        <v>3043</v>
      </c>
      <c r="BH48" s="1087" t="s">
        <v>3043</v>
      </c>
      <c r="BI48" s="1087" t="s">
        <v>3043</v>
      </c>
      <c r="BJ48" s="1087" t="s">
        <v>3043</v>
      </c>
      <c r="BK48" s="1087" t="s">
        <v>3043</v>
      </c>
      <c r="BL48" s="1087" t="s">
        <v>3043</v>
      </c>
      <c r="BM48" s="1087" t="s">
        <v>3043</v>
      </c>
      <c r="BN48" s="1087" t="s">
        <v>3043</v>
      </c>
      <c r="BO48" s="1087" t="s">
        <v>3043</v>
      </c>
      <c r="BP48" s="1112" t="s">
        <v>3053</v>
      </c>
      <c r="BQ48" s="1113" t="s">
        <v>3045</v>
      </c>
      <c r="BR48" s="1113" t="s">
        <v>3045</v>
      </c>
      <c r="BS48" s="1113" t="s">
        <v>3045</v>
      </c>
      <c r="BT48" s="1113" t="s">
        <v>3045</v>
      </c>
      <c r="BU48" s="1113" t="s">
        <v>3045</v>
      </c>
      <c r="BV48" s="1113" t="s">
        <v>3045</v>
      </c>
      <c r="BW48" s="1113" t="s">
        <v>3045</v>
      </c>
      <c r="BX48" s="1113" t="s">
        <v>3045</v>
      </c>
      <c r="BY48" s="1114" t="s">
        <v>3045</v>
      </c>
    </row>
    <row r="49" spans="1:77" ht="20.100000000000001" customHeight="1" thickBot="1">
      <c r="A49" s="254"/>
      <c r="B49" s="903" t="s">
        <v>539</v>
      </c>
      <c r="C49" s="668"/>
      <c r="D49" s="668"/>
      <c r="E49" s="616">
        <v>0</v>
      </c>
      <c r="F49" s="1451">
        <f t="shared" si="44"/>
        <v>0</v>
      </c>
      <c r="G49" s="617">
        <v>0</v>
      </c>
      <c r="H49" s="668">
        <v>4</v>
      </c>
      <c r="I49" s="291"/>
      <c r="J49" s="124"/>
      <c r="K49" s="313">
        <f t="shared" si="38"/>
        <v>0</v>
      </c>
      <c r="L49" s="314">
        <f t="shared" si="39"/>
        <v>0</v>
      </c>
      <c r="M49" s="314">
        <f t="shared" si="40"/>
        <v>0</v>
      </c>
      <c r="N49" s="155">
        <f t="shared" si="43"/>
        <v>85</v>
      </c>
      <c r="O49" s="315" t="s">
        <v>507</v>
      </c>
      <c r="P49" s="316">
        <f t="shared" si="41"/>
        <v>2022</v>
      </c>
      <c r="Q49" s="273">
        <f>($K49*INDEX('DEFAULT DATA'!$NV$9:$WC$41,START!$C$3,($N49))*-44/12)+($K49*INDEX('DEFAULT DATA'!$NV$9:$WC$41,START!$C$3,($N49+1))*-44/12)+($K49*INDEX('DEFAULT DATA'!$NV$9:$WC$41,START!$C$3,($N49+2))*-44/12)+($K49*INDEX('DEFAULT DATA'!$NV$9:$WC$41,START!$C$3,($N49+3))*-44/12)+($L49*INDEX('DEFAULT DATA'!$NV$9:$WC$41,START!$C$3,($N49+4))*-44/12)+($M49*INDEX('DEFAULT DATA'!$NV$9:$WC$41,START!$C$3,($N49+5))*-44/12)</f>
        <v>0</v>
      </c>
      <c r="R49" s="273">
        <f>($K49*INDEX('DEFAULT DATA'!$NV$9:$WC$41,START!$C$3,($N49))*-44/12)+($K49*INDEX('DEFAULT DATA'!$NV$9:$WC$41,START!$C$3,($N49+1))*-44/12)+($K49*INDEX('DEFAULT DATA'!$NV$9:$WC$41,START!$C$3,($N49+2))*-44/12)+($K49*INDEX('DEFAULT DATA'!$NV$9:$WC$41,START!$C$3,($N49+3))*-44/12)+($L49*INDEX('DEFAULT DATA'!$NV$9:$WC$41,START!$C$3,($N49+4))*-44/12)+($M49*INDEX('DEFAULT DATA'!$NV$9:$WC$41,START!$C$3,($N49+5))*-44/12)</f>
        <v>0</v>
      </c>
      <c r="S49" s="273">
        <f>($K49*INDEX('DEFAULT DATA'!$NV$9:$WC$41,START!$C$3,($N49))*-44/12)+($K49*INDEX('DEFAULT DATA'!$NV$9:$WC$41,START!$C$3,($N49+1))*-44/12)+($K49*INDEX('DEFAULT DATA'!$NV$9:$WC$41,START!$C$3,($N49+2))*-44/12)+($K49*INDEX('DEFAULT DATA'!$NV$9:$WC$41,START!$C$3,($N49+3))*-44/12)+($L49*INDEX('DEFAULT DATA'!$NV$9:$WC$41,START!$C$3,($N49+4))*-44/12)+($M49*INDEX('DEFAULT DATA'!$NV$9:$WC$41,START!$C$3,($N49+5))*-44/12)</f>
        <v>0</v>
      </c>
      <c r="T49" s="273">
        <f>($K49*INDEX('DEFAULT DATA'!$NV$9:$WC$41,START!$C$3,($N49))*-44/12)+($K49*INDEX('DEFAULT DATA'!$NV$9:$WC$41,START!$C$3,($N49+1))*-44/12)+($K49*INDEX('DEFAULT DATA'!$NV$9:$WC$41,START!$C$3,($N49+2))*-44/12)+($K49*INDEX('DEFAULT DATA'!$NV$9:$WC$41,START!$C$3,($N49+3))*-44/12)+($L49*INDEX('DEFAULT DATA'!$NV$9:$WC$41,START!$C$3,($N49+4))*-44/12)+($M49*INDEX('DEFAULT DATA'!$NV$9:$WC$41,START!$C$3,($N49+5))*-44/12)</f>
        <v>0</v>
      </c>
      <c r="U49" s="273">
        <f>($K49*INDEX('DEFAULT DATA'!$NV$9:$WC$41,START!$C$3,($N49))*-44/12)+($K49*INDEX('DEFAULT DATA'!$NV$9:$WC$41,START!$C$3,($N49+1))*-44/12)+($K49*INDEX('DEFAULT DATA'!$NV$9:$WC$41,START!$C$3,($N49+2))*-44/12)+($K49*INDEX('DEFAULT DATA'!$NV$9:$WC$41,START!$C$3,($N49+3))*-44/12)+($L49*INDEX('DEFAULT DATA'!$NV$9:$WC$41,START!$C$3,($N49+4))*-44/12)+($M49*INDEX('DEFAULT DATA'!$NV$9:$WC$41,START!$C$3,($N49+5))*-44/12)</f>
        <v>0</v>
      </c>
      <c r="V49" s="273">
        <f>($K49*INDEX('DEFAULT DATA'!$NV$9:$WC$41,START!$C$3,($N49))*-44/12)+($K49*INDEX('DEFAULT DATA'!$NV$9:$WC$41,START!$C$3,($N49+1))*-44/12)+($K49*INDEX('DEFAULT DATA'!$NV$9:$WC$41,START!$C$3,($N49+2))*-44/12)+($K49*INDEX('DEFAULT DATA'!$NV$9:$WC$41,START!$C$3,($N49+3))*-44/12)+($L49*INDEX('DEFAULT DATA'!$NV$9:$WC$41,START!$C$3,($N49+4))*-44/12)+($M49*INDEX('DEFAULT DATA'!$NV$9:$WC$41,START!$C$3,($N49+5))*-44/12)</f>
        <v>0</v>
      </c>
      <c r="W49" s="273">
        <f>($K49*INDEX('DEFAULT DATA'!$NV$9:$WC$41,START!$C$3,($N49))*-44/12)+($K49*INDEX('DEFAULT DATA'!$NV$9:$WC$41,START!$C$3,($N49+1))*-44/12)+($K49*INDEX('DEFAULT DATA'!$NV$9:$WC$41,START!$C$3,($N49+2))*-44/12)+($K49*INDEX('DEFAULT DATA'!$NV$9:$WC$41,START!$C$3,($N49+3))*-44/12)+($L49*INDEX('DEFAULT DATA'!$NV$9:$WC$41,START!$C$3,($N49+4))*-44/12)+($M49*INDEX('DEFAULT DATA'!$NV$9:$WC$41,START!$C$3,($N49+5))*-44/12)</f>
        <v>0</v>
      </c>
      <c r="X49" s="273">
        <f>($K49*INDEX('DEFAULT DATA'!$NV$9:$WC$41,START!$C$3,($N49))*-44/12)+($K49*INDEX('DEFAULT DATA'!$NV$9:$WC$41,START!$C$3,($N49+1))*-44/12)+($K49*INDEX('DEFAULT DATA'!$NV$9:$WC$41,START!$C$3,($N49+2))*-44/12)+($K49*INDEX('DEFAULT DATA'!$NV$9:$WC$41,START!$C$3,($N49+3))*-44/12)+($L49*INDEX('DEFAULT DATA'!$NV$9:$WC$41,START!$C$3,($N49+4))*-44/12)+($M49*INDEX('DEFAULT DATA'!$NV$9:$WC$41,START!$C$3,($N49+5))*-44/12)</f>
        <v>0</v>
      </c>
      <c r="Y49" s="273">
        <f>($K49*INDEX('DEFAULT DATA'!$NV$9:$WC$41,START!$C$3,($N49))*-44/12)+($K49*INDEX('DEFAULT DATA'!$NV$9:$WC$41,START!$C$3,($N49+1))*-44/12)+($K49*INDEX('DEFAULT DATA'!$NV$9:$WC$41,START!$C$3,($N49+2))*-44/12)+($K49*INDEX('DEFAULT DATA'!$NV$9:$WC$41,START!$C$3,($N49+3))*-44/12)+($L49*INDEX('DEFAULT DATA'!$NV$9:$WC$41,START!$C$3,($N49+4))*-44/12)+($M49*INDEX('DEFAULT DATA'!$NV$9:$WC$41,START!$C$3,($N49+5))*-44/12)</f>
        <v>0</v>
      </c>
      <c r="Z49" s="273">
        <f>($K49*INDEX('DEFAULT DATA'!$NV$9:$WC$41,START!$C$3,($N49))*-44/12)+($K49*INDEX('DEFAULT DATA'!$NV$9:$WC$41,START!$C$3,($N49+1))*-44/12)+($K49*INDEX('DEFAULT DATA'!$NV$9:$WC$41,START!$C$3,($N49+2))*-44/12)+($K49*INDEX('DEFAULT DATA'!$NV$9:$WC$41,START!$C$3,($N49+3))*-44/12)+($L49*INDEX('DEFAULT DATA'!$NV$9:$WC$41,START!$C$3,($N49+4))*-44/12)+($M49*INDEX('DEFAULT DATA'!$NV$9:$WC$41,START!$C$3,($N49+5))*-44/12)</f>
        <v>0</v>
      </c>
      <c r="AA49" s="273">
        <f>($K49*INDEX('DEFAULT DATA'!$NV$9:$WC$41,START!$C$3,($N49))*-44/12)+($K49*INDEX('DEFAULT DATA'!$NV$9:$WC$41,START!$C$3,($N49+1))*-44/12)+($K49*INDEX('DEFAULT DATA'!$NV$9:$WC$41,START!$C$3,($N49+2))*-44/12)+($K49*INDEX('DEFAULT DATA'!$NV$9:$WC$41,START!$C$3,($N49+3))*-44/12)+($L49*INDEX('DEFAULT DATA'!$NV$9:$WC$41,START!$C$3,($N49+4))*-44/12)+($M49*INDEX('DEFAULT DATA'!$NV$9:$WC$41,START!$C$3,($N49+5))*-44/12)</f>
        <v>0</v>
      </c>
      <c r="AB49" s="273">
        <f>($K49*INDEX('DEFAULT DATA'!$NV$9:$WC$41,START!$C$3,($N49))*-44/12)+($K49*INDEX('DEFAULT DATA'!$NV$9:$WC$41,START!$C$3,($N49+1))*-44/12)+($K49*INDEX('DEFAULT DATA'!$NV$9:$WC$41,START!$C$3,($N49+2))*-44/12)+($K49*INDEX('DEFAULT DATA'!$NV$9:$WC$41,START!$C$3,($N49+3))*-44/12)+($L49*INDEX('DEFAULT DATA'!$NV$9:$WC$41,START!$C$3,($N49+4))*-44/12)+($M49*INDEX('DEFAULT DATA'!$NV$9:$WC$41,START!$C$3,($N49+5))*-44/12)</f>
        <v>0</v>
      </c>
      <c r="AC49" s="273">
        <f>($K49*INDEX('DEFAULT DATA'!$NV$9:$WC$41,START!$C$3,($N49))*-44/12)+($K49*INDEX('DEFAULT DATA'!$NV$9:$WC$41,START!$C$3,($N49+1))*-44/12)+($K49*INDEX('DEFAULT DATA'!$NV$9:$WC$41,START!$C$3,($N49+2))*-44/12)+($K49*INDEX('DEFAULT DATA'!$NV$9:$WC$41,START!$C$3,($N49+3))*-44/12)+($L49*INDEX('DEFAULT DATA'!$NV$9:$WC$41,START!$C$3,($N49+4))*-44/12)+($M49*INDEX('DEFAULT DATA'!$NV$9:$WC$41,START!$C$3,($N49+5))*-44/12)</f>
        <v>0</v>
      </c>
      <c r="AD49" s="273">
        <f>($K49*INDEX('DEFAULT DATA'!$NV$9:$WC$41,START!$C$3,($N49))*-44/12)+($K49*INDEX('DEFAULT DATA'!$NV$9:$WC$41,START!$C$3,($N49+1))*-44/12)+($K49*INDEX('DEFAULT DATA'!$NV$9:$WC$41,START!$C$3,($N49+2))*-44/12)+($K49*INDEX('DEFAULT DATA'!$NV$9:$WC$41,START!$C$3,($N49+3))*-44/12)+($L49*INDEX('DEFAULT DATA'!$NV$9:$WC$41,START!$C$3,($N49+4))*-44/12)+($M49*INDEX('DEFAULT DATA'!$NV$9:$WC$41,START!$C$3,($N49+5))*-44/12)</f>
        <v>0</v>
      </c>
      <c r="AE49" s="273">
        <f>($K49*INDEX('DEFAULT DATA'!$NV$9:$WC$41,START!$C$3,($N49))*-44/12)+($K49*INDEX('DEFAULT DATA'!$NV$9:$WC$41,START!$C$3,($N49+1))*-44/12)+($K49*INDEX('DEFAULT DATA'!$NV$9:$WC$41,START!$C$3,($N49+2))*-44/12)+($K49*INDEX('DEFAULT DATA'!$NV$9:$WC$41,START!$C$3,($N49+3))*-44/12)+($L49*INDEX('DEFAULT DATA'!$NV$9:$WC$41,START!$C$3,($N49+4))*-44/12)+($M49*INDEX('DEFAULT DATA'!$NV$9:$WC$41,START!$C$3,($N49+5))*-44/12)</f>
        <v>0</v>
      </c>
      <c r="AF49" s="273">
        <f>($K49*INDEX('DEFAULT DATA'!$NV$9:$WC$41,START!$C$3,($N49))*-44/12)+($K49*INDEX('DEFAULT DATA'!$NV$9:$WC$41,START!$C$3,($N49+1))*-44/12)+($K49*INDEX('DEFAULT DATA'!$NV$9:$WC$41,START!$C$3,($N49+2))*-44/12)+($K49*INDEX('DEFAULT DATA'!$NV$9:$WC$41,START!$C$3,($N49+3))*-44/12)+($L49*INDEX('DEFAULT DATA'!$NV$9:$WC$41,START!$C$3,($N49+4))*-44/12)+($M49*INDEX('DEFAULT DATA'!$NV$9:$WC$41,START!$C$3,($N49+5))*-44/12)</f>
        <v>0</v>
      </c>
      <c r="AG49" s="273">
        <f>($K49*INDEX('DEFAULT DATA'!$NV$9:$WC$41,START!$C$3,($N49))*-44/12)+($K49*INDEX('DEFAULT DATA'!$NV$9:$WC$41,START!$C$3,($N49+1))*-44/12)+($K49*INDEX('DEFAULT DATA'!$NV$9:$WC$41,START!$C$3,($N49+2))*-44/12)+($K49*INDEX('DEFAULT DATA'!$NV$9:$WC$41,START!$C$3,($N49+3))*-44/12)+($L49*INDEX('DEFAULT DATA'!$NV$9:$WC$41,START!$C$3,($N49+4))*-44/12)+($M49*INDEX('DEFAULT DATA'!$NV$9:$WC$41,START!$C$3,($N49+5))*-44/12)</f>
        <v>0</v>
      </c>
      <c r="AH49" s="273">
        <f>($K49*INDEX('DEFAULT DATA'!$NV$9:$WC$41,START!$C$3,($N49))*-44/12)+($K49*INDEX('DEFAULT DATA'!$NV$9:$WC$41,START!$C$3,($N49+1))*-44/12)+($K49*INDEX('DEFAULT DATA'!$NV$9:$WC$41,START!$C$3,($N49+2))*-44/12)+($K49*INDEX('DEFAULT DATA'!$NV$9:$WC$41,START!$C$3,($N49+3))*-44/12)+($L49*INDEX('DEFAULT DATA'!$NV$9:$WC$41,START!$C$3,($N49+4))*-44/12)+($M49*INDEX('DEFAULT DATA'!$NV$9:$WC$41,START!$C$3,($N49+5))*-44/12)</f>
        <v>0</v>
      </c>
      <c r="AI49" s="273">
        <f>($K49*INDEX('DEFAULT DATA'!$NV$9:$WC$41,START!$C$3,($N49))*-44/12)+($K49*INDEX('DEFAULT DATA'!$NV$9:$WC$41,START!$C$3,($N49+1))*-44/12)+($K49*INDEX('DEFAULT DATA'!$NV$9:$WC$41,START!$C$3,($N49+2))*-44/12)+($K49*INDEX('DEFAULT DATA'!$NV$9:$WC$41,START!$C$3,($N49+3))*-44/12)+($L49*INDEX('DEFAULT DATA'!$NV$9:$WC$41,START!$C$3,($N49+4))*-44/12)+($M49*INDEX('DEFAULT DATA'!$NV$9:$WC$41,START!$C$3,($N49+5))*-44/12)</f>
        <v>0</v>
      </c>
      <c r="AJ49" s="273">
        <f>($K49*INDEX('DEFAULT DATA'!$NV$9:$WC$41,START!$C$3,($N49))*-44/12)+($K49*INDEX('DEFAULT DATA'!$NV$9:$WC$41,START!$C$3,($N49+1))*-44/12)+($K49*INDEX('DEFAULT DATA'!$NV$9:$WC$41,START!$C$3,($N49+2))*-44/12)+($K49*INDEX('DEFAULT DATA'!$NV$9:$WC$41,START!$C$3,($N49+3))*-44/12)+($L49*INDEX('DEFAULT DATA'!$NV$9:$WC$41,START!$C$3,($N49+4))*-44/12)+($M49*INDEX('DEFAULT DATA'!$NV$9:$WC$41,START!$C$3,($N49+5))*-44/12)</f>
        <v>0</v>
      </c>
      <c r="AK49" s="274">
        <f>(($K49*INDEX('DEFAULT DATA'!$VF$9:$VK$41,START!$C$3,1)*-44/12)+($K49*INDEX('DEFAULT DATA'!$VF$9:$VK$41,START!$C$3,2)*-44/12)+($K49*INDEX('DEFAULT DATA'!$VF$9:$VK$41,START!$C$3,3)*-44/12)+($K49*INDEX('DEFAULT DATA'!$VF$9:$VK$41,START!$C$3,4)*-44/12)+($L49*INDEX('DEFAULT DATA'!$VF$9:$VK$41,START!$C$3,5)*-44/12)+($M49*INDEX('DEFAULT DATA'!$VF$9:$VK$41,START!$C$3,6)*-44/12))</f>
        <v>0</v>
      </c>
      <c r="AL49" s="274">
        <f>(($K49*INDEX('DEFAULT DATA'!$VF$9:$VK$41,START!$C$3,1)*-44/12)+($K49*INDEX('DEFAULT DATA'!$VF$9:$VK$41,START!$C$3,2)*-44/12)+($K49*INDEX('DEFAULT DATA'!$VF$9:$VK$41,START!$C$3,3)*-44/12)+($K49*INDEX('DEFAULT DATA'!$VF$9:$VK$41,START!$C$3,4)*-44/12)+($L49*INDEX('DEFAULT DATA'!$VF$9:$VK$41,START!$C$3,5)*-44/12)+($M49*INDEX('DEFAULT DATA'!$VF$9:$VK$41,START!$C$3,6)*-44/12))</f>
        <v>0</v>
      </c>
      <c r="AM49" s="274">
        <f>(($K49*INDEX('DEFAULT DATA'!$VF$9:$VK$41,START!$C$3,1)*-44/12)+($K49*INDEX('DEFAULT DATA'!$VF$9:$VK$41,START!$C$3,2)*-44/12)+($K49*INDEX('DEFAULT DATA'!$VF$9:$VK$41,START!$C$3,3)*-44/12)+($K49*INDEX('DEFAULT DATA'!$VF$9:$VK$41,START!$C$3,4)*-44/12)+($L49*INDEX('DEFAULT DATA'!$VF$9:$VK$41,START!$C$3,5)*-44/12)+($M49*INDEX('DEFAULT DATA'!$VF$9:$VK$41,START!$C$3,6)*-44/12))</f>
        <v>0</v>
      </c>
      <c r="AN49" s="274">
        <f>(($K49*INDEX('DEFAULT DATA'!$VF$9:$VK$41,START!$C$3,1)*-44/12)+($K49*INDEX('DEFAULT DATA'!$VF$9:$VK$41,START!$C$3,2)*-44/12)+($K49*INDEX('DEFAULT DATA'!$VF$9:$VK$41,START!$C$3,3)*-44/12)+($K49*INDEX('DEFAULT DATA'!$VF$9:$VK$41,START!$C$3,4)*-44/12)+($L49*INDEX('DEFAULT DATA'!$VF$9:$VK$41,START!$C$3,5)*-44/12)+($M49*INDEX('DEFAULT DATA'!$VF$9:$VK$41,START!$C$3,6)*-44/12))</f>
        <v>0</v>
      </c>
      <c r="AO49" s="274">
        <f>(($K49*INDEX('DEFAULT DATA'!$VF$9:$VK$41,START!$C$3,1)*-44/12)+($K49*INDEX('DEFAULT DATA'!$VF$9:$VK$41,START!$C$3,2)*-44/12)+($K49*INDEX('DEFAULT DATA'!$VF$9:$VK$41,START!$C$3,3)*-44/12)+($K49*INDEX('DEFAULT DATA'!$VF$9:$VK$41,START!$C$3,4)*-44/12)+($L49*INDEX('DEFAULT DATA'!$VF$9:$VK$41,START!$C$3,5)*-44/12)+($M49*INDEX('DEFAULT DATA'!$VF$9:$VK$41,START!$C$3,6)*-44/12))</f>
        <v>0</v>
      </c>
      <c r="AP49" s="274">
        <f>(($K49*INDEX('DEFAULT DATA'!$VF$9:$VK$41,START!$C$3,1)*-44/12)+($K49*INDEX('DEFAULT DATA'!$VF$9:$VK$41,START!$C$3,2)*-44/12)+($K49*INDEX('DEFAULT DATA'!$VF$9:$VK$41,START!$C$3,3)*-44/12)+($K49*INDEX('DEFAULT DATA'!$VF$9:$VK$41,START!$C$3,4)*-44/12)+($L49*INDEX('DEFAULT DATA'!$VF$9:$VK$41,START!$C$3,5)*-44/12)+($M49*INDEX('DEFAULT DATA'!$VF$9:$VK$41,START!$C$3,6)*-44/12))</f>
        <v>0</v>
      </c>
      <c r="AQ49" s="274">
        <f>(($K49*INDEX('DEFAULT DATA'!$VF$9:$VK$41,START!$C$3,1)*-44/12)+($K49*INDEX('DEFAULT DATA'!$VF$9:$VK$41,START!$C$3,2)*-44/12)+($K49*INDEX('DEFAULT DATA'!$VF$9:$VK$41,START!$C$3,3)*-44/12)+($K49*INDEX('DEFAULT DATA'!$VF$9:$VK$41,START!$C$3,4)*-44/12)+($L49*INDEX('DEFAULT DATA'!$VF$9:$VK$41,START!$C$3,5)*-44/12)+($M49*INDEX('DEFAULT DATA'!$VF$9:$VK$41,START!$C$3,6)*-44/12))</f>
        <v>0</v>
      </c>
      <c r="AR49" s="274">
        <f>(($K49*INDEX('DEFAULT DATA'!$VF$9:$VK$41,START!$C$3,1)*-44/12)+($K49*INDEX('DEFAULT DATA'!$VF$9:$VK$41,START!$C$3,2)*-44/12)+($K49*INDEX('DEFAULT DATA'!$VF$9:$VK$41,START!$C$3,3)*-44/12)+($K49*INDEX('DEFAULT DATA'!$VF$9:$VK$41,START!$C$3,4)*-44/12)+($L49*INDEX('DEFAULT DATA'!$VF$9:$VK$41,START!$C$3,5)*-44/12)+($M49*INDEX('DEFAULT DATA'!$VF$9:$VK$41,START!$C$3,6)*-44/12))</f>
        <v>0</v>
      </c>
      <c r="AS49" s="274">
        <f>(($K49*INDEX('DEFAULT DATA'!$VF$9:$VK$41,START!$C$3,1)*-44/12)+($K49*INDEX('DEFAULT DATA'!$VF$9:$VK$41,START!$C$3,2)*-44/12)+($K49*INDEX('DEFAULT DATA'!$VF$9:$VK$41,START!$C$3,3)*-44/12)+($K49*INDEX('DEFAULT DATA'!$VF$9:$VK$41,START!$C$3,4)*-44/12)+($L49*INDEX('DEFAULT DATA'!$VF$9:$VK$41,START!$C$3,5)*-44/12)+($M49*INDEX('DEFAULT DATA'!$VF$9:$VK$41,START!$C$3,6)*-44/12))</f>
        <v>0</v>
      </c>
      <c r="AT49" s="275">
        <f>(($K49*INDEX('DEFAULT DATA'!$VF$9:$VK$41,START!$C$3,1)*-44/12)+($K49*INDEX('DEFAULT DATA'!$VF$9:$VK$41,START!$C$3,2)*-44/12)+($K49*INDEX('DEFAULT DATA'!$VF$9:$VK$41,START!$C$3,3)*-44/12)+($K49*INDEX('DEFAULT DATA'!$VF$9:$VK$41,START!$C$3,4)*-44/12)+($L49*INDEX('DEFAULT DATA'!$VF$9:$VK$41,START!$C$3,5)*-44/12)+($M49*INDEX('DEFAULT DATA'!$VF$9:$VK$41,START!$C$3,6)*-44/12))</f>
        <v>0</v>
      </c>
      <c r="AV49" s="1098" t="str">
        <f t="shared" si="42"/>
        <v>(INPUT1*CSC_COL109*-44/12)+(INPUT1*CSC_COL110*-44/12)+(INPUT1*CSC_COL111*-44/12)+(INPUT1*CSC_COL112*-44/12)+(INPUT2*CSC_COL113*-44/12)+(INPUT3*CSC_COL114*-44/12)</v>
      </c>
      <c r="AW49" s="1099" t="s">
        <v>3043</v>
      </c>
      <c r="AX49" s="1099" t="s">
        <v>3043</v>
      </c>
      <c r="AY49" s="1099" t="s">
        <v>3043</v>
      </c>
      <c r="AZ49" s="1099" t="s">
        <v>3043</v>
      </c>
      <c r="BA49" s="1099" t="s">
        <v>3043</v>
      </c>
      <c r="BB49" s="1099" t="s">
        <v>3043</v>
      </c>
      <c r="BC49" s="1099" t="s">
        <v>3043</v>
      </c>
      <c r="BD49" s="1099" t="s">
        <v>3043</v>
      </c>
      <c r="BE49" s="1099" t="s">
        <v>3043</v>
      </c>
      <c r="BF49" s="1099" t="s">
        <v>3043</v>
      </c>
      <c r="BG49" s="1099" t="s">
        <v>3043</v>
      </c>
      <c r="BH49" s="1099" t="s">
        <v>3043</v>
      </c>
      <c r="BI49" s="1099" t="s">
        <v>3043</v>
      </c>
      <c r="BJ49" s="1099" t="s">
        <v>3043</v>
      </c>
      <c r="BK49" s="1099" t="s">
        <v>3043</v>
      </c>
      <c r="BL49" s="1099" t="s">
        <v>3043</v>
      </c>
      <c r="BM49" s="1099" t="s">
        <v>3043</v>
      </c>
      <c r="BN49" s="1099" t="s">
        <v>3043</v>
      </c>
      <c r="BO49" s="1099" t="s">
        <v>3043</v>
      </c>
      <c r="BP49" s="1118" t="s">
        <v>3053</v>
      </c>
      <c r="BQ49" s="1115" t="s">
        <v>3045</v>
      </c>
      <c r="BR49" s="1115" t="s">
        <v>3045</v>
      </c>
      <c r="BS49" s="1115" t="s">
        <v>3045</v>
      </c>
      <c r="BT49" s="1115" t="s">
        <v>3045</v>
      </c>
      <c r="BU49" s="1115" t="s">
        <v>3045</v>
      </c>
      <c r="BV49" s="1115" t="s">
        <v>3045</v>
      </c>
      <c r="BW49" s="1115" t="s">
        <v>3045</v>
      </c>
      <c r="BX49" s="1115" t="s">
        <v>3045</v>
      </c>
      <c r="BY49" s="1116" t="s">
        <v>3045</v>
      </c>
    </row>
    <row r="50" spans="1:77" ht="20.100000000000001" customHeight="1">
      <c r="A50" s="254"/>
      <c r="B50" s="903" t="s">
        <v>540</v>
      </c>
      <c r="C50" s="668"/>
      <c r="D50" s="668"/>
      <c r="E50" s="616">
        <v>0</v>
      </c>
      <c r="F50" s="1451">
        <f t="shared" si="44"/>
        <v>0</v>
      </c>
      <c r="G50" s="617">
        <v>0</v>
      </c>
      <c r="H50" s="668">
        <v>4</v>
      </c>
      <c r="I50" s="291"/>
      <c r="J50" s="124"/>
      <c r="K50" s="306">
        <f t="shared" si="38"/>
        <v>0</v>
      </c>
      <c r="L50" s="210">
        <f t="shared" si="39"/>
        <v>0</v>
      </c>
      <c r="M50" s="210">
        <f t="shared" si="40"/>
        <v>0</v>
      </c>
      <c r="N50" s="152">
        <f t="shared" si="43"/>
        <v>91</v>
      </c>
      <c r="O50" s="307" t="s">
        <v>525</v>
      </c>
      <c r="P50" s="308">
        <f t="shared" si="41"/>
        <v>2022</v>
      </c>
      <c r="Q50" s="205">
        <f>($K50*INDEX('DEFAULT DATA'!$NV$9:$WC$41,START!$C$3,($N50))*-44/12)+($K50*INDEX('DEFAULT DATA'!$NV$9:$WC$41,START!$C$3,($N50+1))*-44/12)+($K50*INDEX('DEFAULT DATA'!$NV$9:$WC$41,START!$C$3,($N50+2))*-44/12)+($K50*INDEX('DEFAULT DATA'!$NV$9:$WC$41,START!$C$3,($N50+3))*-44/12)+($L50*INDEX('DEFAULT DATA'!$NV$9:$WC$41,START!$C$3,($N50+4))*-44/12)+($M50*INDEX('DEFAULT DATA'!$NV$9:$WC$41,START!$C$3,($N50+5))*-44/12)</f>
        <v>0</v>
      </c>
      <c r="R50" s="205">
        <f>($K50*INDEX('DEFAULT DATA'!$NV$9:$WC$41,START!$C$3,($N50))*-44/12)+($K50*INDEX('DEFAULT DATA'!$NV$9:$WC$41,START!$C$3,($N50+1))*-44/12)+($K50*INDEX('DEFAULT DATA'!$NV$9:$WC$41,START!$C$3,($N50+2))*-44/12)+($K50*INDEX('DEFAULT DATA'!$NV$9:$WC$41,START!$C$3,($N50+3))*-44/12)+($L50*INDEX('DEFAULT DATA'!$NV$9:$WC$41,START!$C$3,($N50+4))*-44/12)+($M50*INDEX('DEFAULT DATA'!$NV$9:$WC$41,START!$C$3,($N50+5))*-44/12)</f>
        <v>0</v>
      </c>
      <c r="S50" s="205">
        <f>($K50*INDEX('DEFAULT DATA'!$NV$9:$WC$41,START!$C$3,($N50))*-44/12)+($K50*INDEX('DEFAULT DATA'!$NV$9:$WC$41,START!$C$3,($N50+1))*-44/12)+($K50*INDEX('DEFAULT DATA'!$NV$9:$WC$41,START!$C$3,($N50+2))*-44/12)+($K50*INDEX('DEFAULT DATA'!$NV$9:$WC$41,START!$C$3,($N50+3))*-44/12)+($L50*INDEX('DEFAULT DATA'!$NV$9:$WC$41,START!$C$3,($N50+4))*-44/12)+($M50*INDEX('DEFAULT DATA'!$NV$9:$WC$41,START!$C$3,($N50+5))*-44/12)</f>
        <v>0</v>
      </c>
      <c r="T50" s="205">
        <f>($K50*INDEX('DEFAULT DATA'!$NV$9:$WC$41,START!$C$3,($N50))*-44/12)+($K50*INDEX('DEFAULT DATA'!$NV$9:$WC$41,START!$C$3,($N50+1))*-44/12)+($K50*INDEX('DEFAULT DATA'!$NV$9:$WC$41,START!$C$3,($N50+2))*-44/12)+($K50*INDEX('DEFAULT DATA'!$NV$9:$WC$41,START!$C$3,($N50+3))*-44/12)+($L50*INDEX('DEFAULT DATA'!$NV$9:$WC$41,START!$C$3,($N50+4))*-44/12)+($M50*INDEX('DEFAULT DATA'!$NV$9:$WC$41,START!$C$3,($N50+5))*-44/12)</f>
        <v>0</v>
      </c>
      <c r="U50" s="205">
        <f>($K50*INDEX('DEFAULT DATA'!$NV$9:$WC$41,START!$C$3,($N50))*-44/12)+($K50*INDEX('DEFAULT DATA'!$NV$9:$WC$41,START!$C$3,($N50+1))*-44/12)+($K50*INDEX('DEFAULT DATA'!$NV$9:$WC$41,START!$C$3,($N50+2))*-44/12)+($K50*INDEX('DEFAULT DATA'!$NV$9:$WC$41,START!$C$3,($N50+3))*-44/12)+($L50*INDEX('DEFAULT DATA'!$NV$9:$WC$41,START!$C$3,($N50+4))*-44/12)+($M50*INDEX('DEFAULT DATA'!$NV$9:$WC$41,START!$C$3,($N50+5))*-44/12)</f>
        <v>0</v>
      </c>
      <c r="V50" s="205">
        <f>($K50*INDEX('DEFAULT DATA'!$VL$9:$VQ$41,START!$C$3,1)*-44/12)+($K50*INDEX('DEFAULT DATA'!$VL$9:$VQ$41,START!$C$3,2)*-44/12)+($K50*INDEX('DEFAULT DATA'!$VL$9:$VQ$41,START!$C$3,3)*-44/12)+($K50*INDEX('DEFAULT DATA'!$VL$9:$VQ$41,START!$C$3,4)*-44/12)+($L50*INDEX('DEFAULT DATA'!$VL$9:$VQ$41,START!$C$3,5)*-44/12)+($M50*INDEX('DEFAULT DATA'!$VL$9:$VQ$41,START!$C$3,6)*-44/12)</f>
        <v>0</v>
      </c>
      <c r="W50" s="205">
        <f>($K50*INDEX('DEFAULT DATA'!$VL$9:$VQ$41,START!$C$3,1)*-44/12)+($K50*INDEX('DEFAULT DATA'!$VL$9:$VQ$41,START!$C$3,2)*-44/12)+($K50*INDEX('DEFAULT DATA'!$VL$9:$VQ$41,START!$C$3,3)*-44/12)+($K50*INDEX('DEFAULT DATA'!$VL$9:$VQ$41,START!$C$3,4)*-44/12)+($L50*INDEX('DEFAULT DATA'!$VL$9:$VQ$41,START!$C$3,5)*-44/12)+($M50*INDEX('DEFAULT DATA'!$VL$9:$VQ$41,START!$C$3,6)*-44/12)</f>
        <v>0</v>
      </c>
      <c r="X50" s="205">
        <f>($K50*INDEX('DEFAULT DATA'!$VL$9:$VQ$41,START!$C$3,1)*-44/12)+($K50*INDEX('DEFAULT DATA'!$VL$9:$VQ$41,START!$C$3,2)*-44/12)+($K50*INDEX('DEFAULT DATA'!$VL$9:$VQ$41,START!$C$3,3)*-44/12)+($K50*INDEX('DEFAULT DATA'!$VL$9:$VQ$41,START!$C$3,4)*-44/12)+($L50*INDEX('DEFAULT DATA'!$VL$9:$VQ$41,START!$C$3,5)*-44/12)+($M50*INDEX('DEFAULT DATA'!$VL$9:$VQ$41,START!$C$3,6)*-44/12)</f>
        <v>0</v>
      </c>
      <c r="Y50" s="205">
        <f>($K50*INDEX('DEFAULT DATA'!$VL$9:$VQ$41,START!$C$3,1)*-44/12)+($K50*INDEX('DEFAULT DATA'!$VL$9:$VQ$41,START!$C$3,2)*-44/12)+($K50*INDEX('DEFAULT DATA'!$VL$9:$VQ$41,START!$C$3,3)*-44/12)+($K50*INDEX('DEFAULT DATA'!$VL$9:$VQ$41,START!$C$3,4)*-44/12)+($L50*INDEX('DEFAULT DATA'!$VL$9:$VQ$41,START!$C$3,5)*-44/12)+($M50*INDEX('DEFAULT DATA'!$VL$9:$VQ$41,START!$C$3,6)*-44/12)</f>
        <v>0</v>
      </c>
      <c r="Z50" s="205">
        <f>($K50*INDEX('DEFAULT DATA'!$VL$9:$VQ$41,START!$C$3,1)*-44/12)+($K50*INDEX('DEFAULT DATA'!$VL$9:$VQ$41,START!$C$3,2)*-44/12)+($K50*INDEX('DEFAULT DATA'!$VL$9:$VQ$41,START!$C$3,3)*-44/12)+($K50*INDEX('DEFAULT DATA'!$VL$9:$VQ$41,START!$C$3,4)*-44/12)+($L50*INDEX('DEFAULT DATA'!$VL$9:$VQ$41,START!$C$3,5)*-44/12)+($M50*INDEX('DEFAULT DATA'!$VL$9:$VQ$41,START!$C$3,6)*-44/12)</f>
        <v>0</v>
      </c>
      <c r="AA50" s="205">
        <f>($K50*INDEX('DEFAULT DATA'!$VL$9:$VQ$41,START!$C$3,1)*-44/12)+($K50*INDEX('DEFAULT DATA'!$VL$9:$VQ$41,START!$C$3,2)*-44/12)+($K50*INDEX('DEFAULT DATA'!$VL$9:$VQ$41,START!$C$3,3)*-44/12)+($K50*INDEX('DEFAULT DATA'!$VL$9:$VQ$41,START!$C$3,4)*-44/12)+($L50*INDEX('DEFAULT DATA'!$VL$9:$VQ$41,START!$C$3,5)*-44/12)+($M50*INDEX('DEFAULT DATA'!$VL$9:$VQ$41,START!$C$3,6)*-44/12)</f>
        <v>0</v>
      </c>
      <c r="AB50" s="205">
        <f>($K50*INDEX('DEFAULT DATA'!$VL$9:$VQ$41,START!$C$3,1)*-44/12)+($K50*INDEX('DEFAULT DATA'!$VL$9:$VQ$41,START!$C$3,2)*-44/12)+($K50*INDEX('DEFAULT DATA'!$VL$9:$VQ$41,START!$C$3,3)*-44/12)+($K50*INDEX('DEFAULT DATA'!$VL$9:$VQ$41,START!$C$3,4)*-44/12)+($L50*INDEX('DEFAULT DATA'!$VL$9:$VQ$41,START!$C$3,5)*-44/12)+($M50*INDEX('DEFAULT DATA'!$VL$9:$VQ$41,START!$C$3,6)*-44/12)</f>
        <v>0</v>
      </c>
      <c r="AC50" s="205">
        <f>($K50*INDEX('DEFAULT DATA'!$VL$9:$VQ$41,START!$C$3,1)*-44/12)+($K50*INDEX('DEFAULT DATA'!$VL$9:$VQ$41,START!$C$3,2)*-44/12)+($K50*INDEX('DEFAULT DATA'!$VL$9:$VQ$41,START!$C$3,3)*-44/12)+($K50*INDEX('DEFAULT DATA'!$VL$9:$VQ$41,START!$C$3,4)*-44/12)+($L50*INDEX('DEFAULT DATA'!$VL$9:$VQ$41,START!$C$3,5)*-44/12)+($M50*INDEX('DEFAULT DATA'!$VL$9:$VQ$41,START!$C$3,6)*-44/12)</f>
        <v>0</v>
      </c>
      <c r="AD50" s="205">
        <f>($K50*INDEX('DEFAULT DATA'!$VL$9:$VQ$41,START!$C$3,1)*-44/12)+($K50*INDEX('DEFAULT DATA'!$VL$9:$VQ$41,START!$C$3,2)*-44/12)+($K50*INDEX('DEFAULT DATA'!$VL$9:$VQ$41,START!$C$3,3)*-44/12)+($K50*INDEX('DEFAULT DATA'!$VL$9:$VQ$41,START!$C$3,4)*-44/12)+($L50*INDEX('DEFAULT DATA'!$VL$9:$VQ$41,START!$C$3,5)*-44/12)+($M50*INDEX('DEFAULT DATA'!$VL$9:$VQ$41,START!$C$3,6)*-44/12)</f>
        <v>0</v>
      </c>
      <c r="AE50" s="205">
        <f>($K50*INDEX('DEFAULT DATA'!$VL$9:$VQ$41,START!$C$3,1)*-44/12)+($K50*INDEX('DEFAULT DATA'!$VL$9:$VQ$41,START!$C$3,2)*-44/12)+($K50*INDEX('DEFAULT DATA'!$VL$9:$VQ$41,START!$C$3,3)*-44/12)+($K50*INDEX('DEFAULT DATA'!$VL$9:$VQ$41,START!$C$3,4)*-44/12)+($L50*INDEX('DEFAULT DATA'!$VL$9:$VQ$41,START!$C$3,5)*-44/12)+($M50*INDEX('DEFAULT DATA'!$VL$9:$VQ$41,START!$C$3,6)*-44/12)</f>
        <v>0</v>
      </c>
      <c r="AF50" s="205">
        <f>($K50*INDEX('DEFAULT DATA'!$VL$9:$VQ$41,START!$C$3,1)*-44/12)+($K50*INDEX('DEFAULT DATA'!$VL$9:$VQ$41,START!$C$3,2)*-44/12)+($K50*INDEX('DEFAULT DATA'!$VL$9:$VQ$41,START!$C$3,3)*-44/12)+($K50*INDEX('DEFAULT DATA'!$VL$9:$VQ$41,START!$C$3,4)*-44/12)+($L50*INDEX('DEFAULT DATA'!$VL$9:$VQ$41,START!$C$3,5)*-44/12)+($M50*INDEX('DEFAULT DATA'!$VL$9:$VQ$41,START!$C$3,6)*-44/12)</f>
        <v>0</v>
      </c>
      <c r="AG50" s="205">
        <f>($K50*INDEX('DEFAULT DATA'!$VL$9:$VQ$41,START!$C$3,1)*-44/12)+($K50*INDEX('DEFAULT DATA'!$VL$9:$VQ$41,START!$C$3,2)*-44/12)+($K50*INDEX('DEFAULT DATA'!$VL$9:$VQ$41,START!$C$3,3)*-44/12)+($K50*INDEX('DEFAULT DATA'!$VL$9:$VQ$41,START!$C$3,4)*-44/12)+($L50*INDEX('DEFAULT DATA'!$VL$9:$VQ$41,START!$C$3,5)*-44/12)+($M50*INDEX('DEFAULT DATA'!$VL$9:$VQ$41,START!$C$3,6)*-44/12)</f>
        <v>0</v>
      </c>
      <c r="AH50" s="205">
        <f>($K50*INDEX('DEFAULT DATA'!$VL$9:$VQ$41,START!$C$3,1)*-44/12)+($K50*INDEX('DEFAULT DATA'!$VL$9:$VQ$41,START!$C$3,2)*-44/12)+($K50*INDEX('DEFAULT DATA'!$VL$9:$VQ$41,START!$C$3,3)*-44/12)+($K50*INDEX('DEFAULT DATA'!$VL$9:$VQ$41,START!$C$3,4)*-44/12)+($L50*INDEX('DEFAULT DATA'!$VL$9:$VQ$41,START!$C$3,5)*-44/12)+($M50*INDEX('DEFAULT DATA'!$VL$9:$VQ$41,START!$C$3,6)*-44/12)</f>
        <v>0</v>
      </c>
      <c r="AI50" s="205">
        <f>($K50*INDEX('DEFAULT DATA'!$VL$9:$VQ$41,START!$C$3,1)*-44/12)+($K50*INDEX('DEFAULT DATA'!$VL$9:$VQ$41,START!$C$3,2)*-44/12)+($K50*INDEX('DEFAULT DATA'!$VL$9:$VQ$41,START!$C$3,3)*-44/12)+($K50*INDEX('DEFAULT DATA'!$VL$9:$VQ$41,START!$C$3,4)*-44/12)+($L50*INDEX('DEFAULT DATA'!$VL$9:$VQ$41,START!$C$3,5)*-44/12)+($M50*INDEX('DEFAULT DATA'!$VL$9:$VQ$41,START!$C$3,6)*-44/12)</f>
        <v>0</v>
      </c>
      <c r="AJ50" s="205">
        <f>($K50*INDEX('DEFAULT DATA'!$VL$9:$VQ$41,START!$C$3,1)*-44/12)+($K50*INDEX('DEFAULT DATA'!$VL$9:$VQ$41,START!$C$3,2)*-44/12)+($K50*INDEX('DEFAULT DATA'!$VL$9:$VQ$41,START!$C$3,3)*-44/12)+($K50*INDEX('DEFAULT DATA'!$VL$9:$VQ$41,START!$C$3,4)*-44/12)+($L50*INDEX('DEFAULT DATA'!$VL$9:$VQ$41,START!$C$3,5)*-44/12)+($M50*INDEX('DEFAULT DATA'!$VL$9:$VQ$41,START!$C$3,6)*-44/12)</f>
        <v>0</v>
      </c>
      <c r="AK50" s="205">
        <f>($K50*INDEX('DEFAULT DATA'!$VL$9:$VQ$41,START!$C$3,1)*-44/12)+($K50*INDEX('DEFAULT DATA'!$VL$9:$VQ$41,START!$C$3,2)*-44/12)+($K50*INDEX('DEFAULT DATA'!$VL$9:$VQ$41,START!$C$3,3)*-44/12)+($K50*INDEX('DEFAULT DATA'!$VL$9:$VQ$41,START!$C$3,4)*-44/12)+($L50*INDEX('DEFAULT DATA'!$VL$9:$VQ$41,START!$C$3,5)*-44/12)+($M50*INDEX('DEFAULT DATA'!$VL$9:$VQ$41,START!$C$3,6)*-44/12)</f>
        <v>0</v>
      </c>
      <c r="AL50" s="205">
        <f>($K50*INDEX('DEFAULT DATA'!$VL$9:$VQ$41,START!$C$3,1)*-44/12)+($K50*INDEX('DEFAULT DATA'!$VL$9:$VQ$41,START!$C$3,2)*-44/12)+($K50*INDEX('DEFAULT DATA'!$VL$9:$VQ$41,START!$C$3,3)*-44/12)+($K50*INDEX('DEFAULT DATA'!$VL$9:$VQ$41,START!$C$3,4)*-44/12)+($L50*INDEX('DEFAULT DATA'!$VL$9:$VQ$41,START!$C$3,5)*-44/12)+($M50*INDEX('DEFAULT DATA'!$VL$9:$VQ$41,START!$C$3,6)*-44/12)</f>
        <v>0</v>
      </c>
      <c r="AM50" s="205">
        <f>($K50*INDEX('DEFAULT DATA'!$VL$9:$VQ$41,START!$C$3,1)*-44/12)+($K50*INDEX('DEFAULT DATA'!$VL$9:$VQ$41,START!$C$3,2)*-44/12)+($K50*INDEX('DEFAULT DATA'!$VL$9:$VQ$41,START!$C$3,3)*-44/12)+($K50*INDEX('DEFAULT DATA'!$VL$9:$VQ$41,START!$C$3,4)*-44/12)+($L50*INDEX('DEFAULT DATA'!$VL$9:$VQ$41,START!$C$3,5)*-44/12)+($M50*INDEX('DEFAULT DATA'!$VL$9:$VQ$41,START!$C$3,6)*-44/12)</f>
        <v>0</v>
      </c>
      <c r="AN50" s="205">
        <f>($K50*INDEX('DEFAULT DATA'!$VL$9:$VQ$41,START!$C$3,1)*-44/12)+($K50*INDEX('DEFAULT DATA'!$VL$9:$VQ$41,START!$C$3,2)*-44/12)+($K50*INDEX('DEFAULT DATA'!$VL$9:$VQ$41,START!$C$3,3)*-44/12)+($K50*INDEX('DEFAULT DATA'!$VL$9:$VQ$41,START!$C$3,4)*-44/12)+($L50*INDEX('DEFAULT DATA'!$VL$9:$VQ$41,START!$C$3,5)*-44/12)+($M50*INDEX('DEFAULT DATA'!$VL$9:$VQ$41,START!$C$3,6)*-44/12)</f>
        <v>0</v>
      </c>
      <c r="AO50" s="205">
        <f>($K50*INDEX('DEFAULT DATA'!$VL$9:$VQ$41,START!$C$3,1)*-44/12)+($K50*INDEX('DEFAULT DATA'!$VL$9:$VQ$41,START!$C$3,2)*-44/12)+($K50*INDEX('DEFAULT DATA'!$VL$9:$VQ$41,START!$C$3,3)*-44/12)+($K50*INDEX('DEFAULT DATA'!$VL$9:$VQ$41,START!$C$3,4)*-44/12)+($L50*INDEX('DEFAULT DATA'!$VL$9:$VQ$41,START!$C$3,5)*-44/12)+($M50*INDEX('DEFAULT DATA'!$VL$9:$VQ$41,START!$C$3,6)*-44/12)</f>
        <v>0</v>
      </c>
      <c r="AP50" s="205">
        <f>($K50*INDEX('DEFAULT DATA'!$VL$9:$VQ$41,START!$C$3,1)*-44/12)+($K50*INDEX('DEFAULT DATA'!$VL$9:$VQ$41,START!$C$3,2)*-44/12)+($K50*INDEX('DEFAULT DATA'!$VL$9:$VQ$41,START!$C$3,3)*-44/12)+($K50*INDEX('DEFAULT DATA'!$VL$9:$VQ$41,START!$C$3,4)*-44/12)+($L50*INDEX('DEFAULT DATA'!$VL$9:$VQ$41,START!$C$3,5)*-44/12)+($M50*INDEX('DEFAULT DATA'!$VL$9:$VQ$41,START!$C$3,6)*-44/12)</f>
        <v>0</v>
      </c>
      <c r="AQ50" s="205">
        <f>($K50*INDEX('DEFAULT DATA'!$VL$9:$VQ$41,START!$C$3,1)*-44/12)+($K50*INDEX('DEFAULT DATA'!$VL$9:$VQ$41,START!$C$3,2)*-44/12)+($K50*INDEX('DEFAULT DATA'!$VL$9:$VQ$41,START!$C$3,3)*-44/12)+($K50*INDEX('DEFAULT DATA'!$VL$9:$VQ$41,START!$C$3,4)*-44/12)+($L50*INDEX('DEFAULT DATA'!$VL$9:$VQ$41,START!$C$3,5)*-44/12)+($M50*INDEX('DEFAULT DATA'!$VL$9:$VQ$41,START!$C$3,6)*-44/12)</f>
        <v>0</v>
      </c>
      <c r="AR50" s="205">
        <f>($K50*INDEX('DEFAULT DATA'!$VL$9:$VQ$41,START!$C$3,1)*-44/12)+($K50*INDEX('DEFAULT DATA'!$VL$9:$VQ$41,START!$C$3,2)*-44/12)+($K50*INDEX('DEFAULT DATA'!$VL$9:$VQ$41,START!$C$3,3)*-44/12)+($K50*INDEX('DEFAULT DATA'!$VL$9:$VQ$41,START!$C$3,4)*-44/12)+($L50*INDEX('DEFAULT DATA'!$VL$9:$VQ$41,START!$C$3,5)*-44/12)+($M50*INDEX('DEFAULT DATA'!$VL$9:$VQ$41,START!$C$3,6)*-44/12)</f>
        <v>0</v>
      </c>
      <c r="AS50" s="205">
        <f>($K50*INDEX('DEFAULT DATA'!$VL$9:$VQ$41,START!$C$3,1)*-44/12)+($K50*INDEX('DEFAULT DATA'!$VL$9:$VQ$41,START!$C$3,2)*-44/12)+($K50*INDEX('DEFAULT DATA'!$VL$9:$VQ$41,START!$C$3,3)*-44/12)+($K50*INDEX('DEFAULT DATA'!$VL$9:$VQ$41,START!$C$3,4)*-44/12)+($L50*INDEX('DEFAULT DATA'!$VL$9:$VQ$41,START!$C$3,5)*-44/12)+($M50*INDEX('DEFAULT DATA'!$VL$9:$VQ$41,START!$C$3,6)*-44/12)</f>
        <v>0</v>
      </c>
      <c r="AT50" s="206">
        <f>($K50*INDEX('DEFAULT DATA'!$VL$9:$VQ$41,START!$C$3,1)*-44/12)+($K50*INDEX('DEFAULT DATA'!$VL$9:$VQ$41,START!$C$3,2)*-44/12)+($K50*INDEX('DEFAULT DATA'!$VL$9:$VQ$41,START!$C$3,3)*-44/12)+($K50*INDEX('DEFAULT DATA'!$VL$9:$VQ$41,START!$C$3,4)*-44/12)+($L50*INDEX('DEFAULT DATA'!$VL$9:$VQ$41,START!$C$3,5)*-44/12)+($M50*INDEX('DEFAULT DATA'!$VL$9:$VQ$41,START!$C$3,6)*-44/12)</f>
        <v>0</v>
      </c>
      <c r="AV50" s="1119" t="str">
        <f t="shared" si="42"/>
        <v>(INPUT1*CSC_COL115*-44/12)+(INPUT1*CSC_COL116*-44/12)+(INPUT1*CSC_COL117*-44/12)+(INPUT1*CSC_COL118*-44/12)+(INPUT2*CSC_COL119*-44/12)+(INPUT3*CSC_COL120*-44/12)</v>
      </c>
      <c r="AW50" s="1110" t="s">
        <v>3043</v>
      </c>
      <c r="AX50" s="1110" t="s">
        <v>3043</v>
      </c>
      <c r="AY50" s="1110" t="s">
        <v>3043</v>
      </c>
      <c r="AZ50" s="1110" t="s">
        <v>3043</v>
      </c>
      <c r="BA50" s="1104" t="s">
        <v>3054</v>
      </c>
      <c r="BB50" s="1104" t="s">
        <v>3048</v>
      </c>
      <c r="BC50" s="1104" t="s">
        <v>3048</v>
      </c>
      <c r="BD50" s="1104" t="s">
        <v>3048</v>
      </c>
      <c r="BE50" s="1104" t="s">
        <v>3048</v>
      </c>
      <c r="BF50" s="1104" t="s">
        <v>3048</v>
      </c>
      <c r="BG50" s="1104" t="s">
        <v>3048</v>
      </c>
      <c r="BH50" s="1104" t="s">
        <v>3048</v>
      </c>
      <c r="BI50" s="1104" t="s">
        <v>3048</v>
      </c>
      <c r="BJ50" s="1104" t="s">
        <v>3048</v>
      </c>
      <c r="BK50" s="1104" t="s">
        <v>3048</v>
      </c>
      <c r="BL50" s="1104" t="s">
        <v>3048</v>
      </c>
      <c r="BM50" s="1104" t="s">
        <v>3048</v>
      </c>
      <c r="BN50" s="1104" t="s">
        <v>3048</v>
      </c>
      <c r="BO50" s="1104" t="s">
        <v>3048</v>
      </c>
      <c r="BP50" s="1104" t="s">
        <v>3048</v>
      </c>
      <c r="BQ50" s="1104" t="s">
        <v>3048</v>
      </c>
      <c r="BR50" s="1104" t="s">
        <v>3048</v>
      </c>
      <c r="BS50" s="1104" t="s">
        <v>3048</v>
      </c>
      <c r="BT50" s="1104" t="s">
        <v>3048</v>
      </c>
      <c r="BU50" s="1104" t="s">
        <v>3048</v>
      </c>
      <c r="BV50" s="1104" t="s">
        <v>3048</v>
      </c>
      <c r="BW50" s="1104" t="s">
        <v>3048</v>
      </c>
      <c r="BX50" s="1104" t="s">
        <v>3048</v>
      </c>
      <c r="BY50" s="1106" t="s">
        <v>3048</v>
      </c>
    </row>
    <row r="51" spans="1:77" ht="20.100000000000001" customHeight="1" thickBot="1">
      <c r="A51" s="908"/>
      <c r="B51" s="904" t="s">
        <v>541</v>
      </c>
      <c r="C51" s="292"/>
      <c r="D51" s="292"/>
      <c r="E51" s="618">
        <v>0</v>
      </c>
      <c r="F51" s="1451">
        <f t="shared" si="44"/>
        <v>0</v>
      </c>
      <c r="G51" s="619">
        <v>0</v>
      </c>
      <c r="H51" s="292">
        <v>4</v>
      </c>
      <c r="I51" s="293"/>
      <c r="J51" s="124"/>
      <c r="K51" s="309">
        <f t="shared" si="38"/>
        <v>0</v>
      </c>
      <c r="L51" s="310">
        <f t="shared" si="39"/>
        <v>0</v>
      </c>
      <c r="M51" s="310">
        <f t="shared" si="40"/>
        <v>0</v>
      </c>
      <c r="N51" s="81">
        <f t="shared" si="43"/>
        <v>97</v>
      </c>
      <c r="O51" s="311" t="s">
        <v>521</v>
      </c>
      <c r="P51" s="312">
        <f t="shared" si="41"/>
        <v>2022</v>
      </c>
      <c r="Q51" s="77">
        <f>($K51*INDEX('DEFAULT DATA'!$NV$9:$WC$41,START!$C$3,($N51))*-44/12)+($K51*INDEX('DEFAULT DATA'!$NV$9:$WC$41,START!$C$3,($N51+1))*-44/12)+($K51*INDEX('DEFAULT DATA'!$NV$9:$WC$41,START!$C$3,($N51+2))*-44/12)+($K51*INDEX('DEFAULT DATA'!$NV$9:$WC$41,START!$C$3,($N51+3))*-44/12)+($L51*INDEX('DEFAULT DATA'!$NV$9:$WC$41,START!$C$3,($N51+4))*-44/12)+($M51*INDEX('DEFAULT DATA'!$NV$9:$WC$41,START!$C$3,($N51+5))*-44/12)</f>
        <v>0</v>
      </c>
      <c r="R51" s="77">
        <f>($K51*INDEX('DEFAULT DATA'!$NV$9:$WC$41,START!$C$3,($N51))*-44/12)+($K51*INDEX('DEFAULT DATA'!$NV$9:$WC$41,START!$C$3,($N51+1))*-44/12)+($K51*INDEX('DEFAULT DATA'!$NV$9:$WC$41,START!$C$3,($N51+2))*-44/12)+($K51*INDEX('DEFAULT DATA'!$NV$9:$WC$41,START!$C$3,($N51+3))*-44/12)+($L51*INDEX('DEFAULT DATA'!$NV$9:$WC$41,START!$C$3,($N51+4))*-44/12)+($M51*INDEX('DEFAULT DATA'!$NV$9:$WC$41,START!$C$3,($N51+5))*-44/12)</f>
        <v>0</v>
      </c>
      <c r="S51" s="77">
        <f>($K51*INDEX('DEFAULT DATA'!$NV$9:$WC$41,START!$C$3,($N51))*-44/12)+($K51*INDEX('DEFAULT DATA'!$NV$9:$WC$41,START!$C$3,($N51+1))*-44/12)+($K51*INDEX('DEFAULT DATA'!$NV$9:$WC$41,START!$C$3,($N51+2))*-44/12)+($K51*INDEX('DEFAULT DATA'!$NV$9:$WC$41,START!$C$3,($N51+3))*-44/12)+($L51*INDEX('DEFAULT DATA'!$NV$9:$WC$41,START!$C$3,($N51+4))*-44/12)+($M51*INDEX('DEFAULT DATA'!$NV$9:$WC$41,START!$C$3,($N51+5))*-44/12)</f>
        <v>0</v>
      </c>
      <c r="T51" s="77">
        <f>($K51*INDEX('DEFAULT DATA'!$NV$9:$WC$41,START!$C$3,($N51))*-44/12)+($K51*INDEX('DEFAULT DATA'!$NV$9:$WC$41,START!$C$3,($N51+1))*-44/12)+($K51*INDEX('DEFAULT DATA'!$NV$9:$WC$41,START!$C$3,($N51+2))*-44/12)+($K51*INDEX('DEFAULT DATA'!$NV$9:$WC$41,START!$C$3,($N51+3))*-44/12)+($L51*INDEX('DEFAULT DATA'!$NV$9:$WC$41,START!$C$3,($N51+4))*-44/12)+($M51*INDEX('DEFAULT DATA'!$NV$9:$WC$41,START!$C$3,($N51+5))*-44/12)</f>
        <v>0</v>
      </c>
      <c r="U51" s="77">
        <f>($K51*INDEX('DEFAULT DATA'!$NV$9:$WC$41,START!$C$3,($N51))*-44/12)+($K51*INDEX('DEFAULT DATA'!$NV$9:$WC$41,START!$C$3,($N51+1))*-44/12)+($K51*INDEX('DEFAULT DATA'!$NV$9:$WC$41,START!$C$3,($N51+2))*-44/12)+($K51*INDEX('DEFAULT DATA'!$NV$9:$WC$41,START!$C$3,($N51+3))*-44/12)+($L51*INDEX('DEFAULT DATA'!$NV$9:$WC$41,START!$C$3,($N51+4))*-44/12)+($M51*INDEX('DEFAULT DATA'!$NV$9:$WC$41,START!$C$3,($N51+5))*-44/12)</f>
        <v>0</v>
      </c>
      <c r="V51" s="77">
        <f>($K51*INDEX('DEFAULT DATA'!$NV$9:$WC$41,START!$C$3,($N51))*-44/12)+($K51*INDEX('DEFAULT DATA'!$NV$9:$WC$41,START!$C$3,($N51+1))*-44/12)+($K51*INDEX('DEFAULT DATA'!$NV$9:$WC$41,START!$C$3,($N51+2))*-44/12)+($K51*INDEX('DEFAULT DATA'!$NV$9:$WC$41,START!$C$3,($N51+3))*-44/12)+($L51*INDEX('DEFAULT DATA'!$NV$9:$WC$41,START!$C$3,($N51+4))*-44/12)+($M51*INDEX('DEFAULT DATA'!$NV$9:$WC$41,START!$C$3,($N51+5))*-44/12)</f>
        <v>0</v>
      </c>
      <c r="W51" s="77">
        <f>($K51*INDEX('DEFAULT DATA'!$NV$9:$WC$41,START!$C$3,($N51))*-44/12)+($K51*INDEX('DEFAULT DATA'!$NV$9:$WC$41,START!$C$3,($N51+1))*-44/12)+($K51*INDEX('DEFAULT DATA'!$NV$9:$WC$41,START!$C$3,($N51+2))*-44/12)+($K51*INDEX('DEFAULT DATA'!$NV$9:$WC$41,START!$C$3,($N51+3))*-44/12)+($L51*INDEX('DEFAULT DATA'!$NV$9:$WC$41,START!$C$3,($N51+4))*-44/12)+($M51*INDEX('DEFAULT DATA'!$NV$9:$WC$41,START!$C$3,($N51+5))*-44/12)</f>
        <v>0</v>
      </c>
      <c r="X51" s="77">
        <f>($K51*INDEX('DEFAULT DATA'!$NV$9:$WC$41,START!$C$3,($N51))*-44/12)+($K51*INDEX('DEFAULT DATA'!$NV$9:$WC$41,START!$C$3,($N51+1))*-44/12)+($K51*INDEX('DEFAULT DATA'!$NV$9:$WC$41,START!$C$3,($N51+2))*-44/12)+($K51*INDEX('DEFAULT DATA'!$NV$9:$WC$41,START!$C$3,($N51+3))*-44/12)+($L51*INDEX('DEFAULT DATA'!$NV$9:$WC$41,START!$C$3,($N51+4))*-44/12)+($M51*INDEX('DEFAULT DATA'!$NV$9:$WC$41,START!$C$3,($N51+5))*-44/12)</f>
        <v>0</v>
      </c>
      <c r="Y51" s="77">
        <f>($K51*INDEX('DEFAULT DATA'!$NV$9:$WC$41,START!$C$3,($N51))*-44/12)+($K51*INDEX('DEFAULT DATA'!$NV$9:$WC$41,START!$C$3,($N51+1))*-44/12)+($K51*INDEX('DEFAULT DATA'!$NV$9:$WC$41,START!$C$3,($N51+2))*-44/12)+($K51*INDEX('DEFAULT DATA'!$NV$9:$WC$41,START!$C$3,($N51+3))*-44/12)+($L51*INDEX('DEFAULT DATA'!$NV$9:$WC$41,START!$C$3,($N51+4))*-44/12)+($M51*INDEX('DEFAULT DATA'!$NV$9:$WC$41,START!$C$3,($N51+5))*-44/12)</f>
        <v>0</v>
      </c>
      <c r="Z51" s="77">
        <f>($K51*INDEX('DEFAULT DATA'!$NV$9:$WC$41,START!$C$3,($N51))*-44/12)+($K51*INDEX('DEFAULT DATA'!$NV$9:$WC$41,START!$C$3,($N51+1))*-44/12)+($K51*INDEX('DEFAULT DATA'!$NV$9:$WC$41,START!$C$3,($N51+2))*-44/12)+($K51*INDEX('DEFAULT DATA'!$NV$9:$WC$41,START!$C$3,($N51+3))*-44/12)+($L51*INDEX('DEFAULT DATA'!$NV$9:$WC$41,START!$C$3,($N51+4))*-44/12)+($M51*INDEX('DEFAULT DATA'!$NV$9:$WC$41,START!$C$3,($N51+5))*-44/12)</f>
        <v>0</v>
      </c>
      <c r="AA51" s="77">
        <f>($K51*INDEX('DEFAULT DATA'!$NV$9:$WC$41,START!$C$3,($N51))*-44/12)+($K51*INDEX('DEFAULT DATA'!$NV$9:$WC$41,START!$C$3,($N51+1))*-44/12)+($K51*INDEX('DEFAULT DATA'!$NV$9:$WC$41,START!$C$3,($N51+2))*-44/12)+($K51*INDEX('DEFAULT DATA'!$NV$9:$WC$41,START!$C$3,($N51+3))*-44/12)+($L51*INDEX('DEFAULT DATA'!$NV$9:$WC$41,START!$C$3,($N51+4))*-44/12)+($M51*INDEX('DEFAULT DATA'!$NV$9:$WC$41,START!$C$3,($N51+5))*-44/12)</f>
        <v>0</v>
      </c>
      <c r="AB51" s="77">
        <f>($K51*INDEX('DEFAULT DATA'!$NV$9:$WC$41,START!$C$3,($N51))*-44/12)+($K51*INDEX('DEFAULT DATA'!$NV$9:$WC$41,START!$C$3,($N51+1))*-44/12)+($K51*INDEX('DEFAULT DATA'!$NV$9:$WC$41,START!$C$3,($N51+2))*-44/12)+($K51*INDEX('DEFAULT DATA'!$NV$9:$WC$41,START!$C$3,($N51+3))*-44/12)+($L51*INDEX('DEFAULT DATA'!$NV$9:$WC$41,START!$C$3,($N51+4))*-44/12)+($M51*INDEX('DEFAULT DATA'!$NV$9:$WC$41,START!$C$3,($N51+5))*-44/12)</f>
        <v>0</v>
      </c>
      <c r="AC51" s="77">
        <f>($K51*INDEX('DEFAULT DATA'!$NV$9:$WC$41,START!$C$3,($N51))*-44/12)+($K51*INDEX('DEFAULT DATA'!$NV$9:$WC$41,START!$C$3,($N51+1))*-44/12)+($K51*INDEX('DEFAULT DATA'!$NV$9:$WC$41,START!$C$3,($N51+2))*-44/12)+($K51*INDEX('DEFAULT DATA'!$NV$9:$WC$41,START!$C$3,($N51+3))*-44/12)+($L51*INDEX('DEFAULT DATA'!$NV$9:$WC$41,START!$C$3,($N51+4))*-44/12)+($M51*INDEX('DEFAULT DATA'!$NV$9:$WC$41,START!$C$3,($N51+5))*-44/12)</f>
        <v>0</v>
      </c>
      <c r="AD51" s="77">
        <f>($K51*INDEX('DEFAULT DATA'!$NV$9:$WC$41,START!$C$3,($N51))*-44/12)+($K51*INDEX('DEFAULT DATA'!$NV$9:$WC$41,START!$C$3,($N51+1))*-44/12)+($K51*INDEX('DEFAULT DATA'!$NV$9:$WC$41,START!$C$3,($N51+2))*-44/12)+($K51*INDEX('DEFAULT DATA'!$NV$9:$WC$41,START!$C$3,($N51+3))*-44/12)+($L51*INDEX('DEFAULT DATA'!$NV$9:$WC$41,START!$C$3,($N51+4))*-44/12)+($M51*INDEX('DEFAULT DATA'!$NV$9:$WC$41,START!$C$3,($N51+5))*-44/12)</f>
        <v>0</v>
      </c>
      <c r="AE51" s="77">
        <f>($K51*INDEX('DEFAULT DATA'!$NV$9:$WC$41,START!$C$3,($N51))*-44/12)+($K51*INDEX('DEFAULT DATA'!$NV$9:$WC$41,START!$C$3,($N51+1))*-44/12)+($K51*INDEX('DEFAULT DATA'!$NV$9:$WC$41,START!$C$3,($N51+2))*-44/12)+($K51*INDEX('DEFAULT DATA'!$NV$9:$WC$41,START!$C$3,($N51+3))*-44/12)+($L51*INDEX('DEFAULT DATA'!$NV$9:$WC$41,START!$C$3,($N51+4))*-44/12)+($M51*INDEX('DEFAULT DATA'!$NV$9:$WC$41,START!$C$3,($N51+5))*-44/12)</f>
        <v>0</v>
      </c>
      <c r="AF51" s="77">
        <f>($K51*INDEX('DEFAULT DATA'!$NV$9:$WC$41,START!$C$3,($N51))*-44/12)+($K51*INDEX('DEFAULT DATA'!$NV$9:$WC$41,START!$C$3,($N51+1))*-44/12)+($K51*INDEX('DEFAULT DATA'!$NV$9:$WC$41,START!$C$3,($N51+2))*-44/12)+($K51*INDEX('DEFAULT DATA'!$NV$9:$WC$41,START!$C$3,($N51+3))*-44/12)+($L51*INDEX('DEFAULT DATA'!$NV$9:$WC$41,START!$C$3,($N51+4))*-44/12)+($M51*INDEX('DEFAULT DATA'!$NV$9:$WC$41,START!$C$3,($N51+5))*-44/12)</f>
        <v>0</v>
      </c>
      <c r="AG51" s="77">
        <f>($K51*INDEX('DEFAULT DATA'!$NV$9:$WC$41,START!$C$3,($N51))*-44/12)+($K51*INDEX('DEFAULT DATA'!$NV$9:$WC$41,START!$C$3,($N51+1))*-44/12)+($K51*INDEX('DEFAULT DATA'!$NV$9:$WC$41,START!$C$3,($N51+2))*-44/12)+($K51*INDEX('DEFAULT DATA'!$NV$9:$WC$41,START!$C$3,($N51+3))*-44/12)+($L51*INDEX('DEFAULT DATA'!$NV$9:$WC$41,START!$C$3,($N51+4))*-44/12)+($M51*INDEX('DEFAULT DATA'!$NV$9:$WC$41,START!$C$3,($N51+5))*-44/12)</f>
        <v>0</v>
      </c>
      <c r="AH51" s="77">
        <f>($K51*INDEX('DEFAULT DATA'!$NV$9:$WC$41,START!$C$3,($N51))*-44/12)+($K51*INDEX('DEFAULT DATA'!$NV$9:$WC$41,START!$C$3,($N51+1))*-44/12)+($K51*INDEX('DEFAULT DATA'!$NV$9:$WC$41,START!$C$3,($N51+2))*-44/12)+($K51*INDEX('DEFAULT DATA'!$NV$9:$WC$41,START!$C$3,($N51+3))*-44/12)+($L51*INDEX('DEFAULT DATA'!$NV$9:$WC$41,START!$C$3,($N51+4))*-44/12)+($M51*INDEX('DEFAULT DATA'!$NV$9:$WC$41,START!$C$3,($N51+5))*-44/12)</f>
        <v>0</v>
      </c>
      <c r="AI51" s="77">
        <f>($K51*INDEX('DEFAULT DATA'!$NV$9:$WC$41,START!$C$3,($N51))*-44/12)+($K51*INDEX('DEFAULT DATA'!$NV$9:$WC$41,START!$C$3,($N51+1))*-44/12)+($K51*INDEX('DEFAULT DATA'!$NV$9:$WC$41,START!$C$3,($N51+2))*-44/12)+($K51*INDEX('DEFAULT DATA'!$NV$9:$WC$41,START!$C$3,($N51+3))*-44/12)+($L51*INDEX('DEFAULT DATA'!$NV$9:$WC$41,START!$C$3,($N51+4))*-44/12)+($M51*INDEX('DEFAULT DATA'!$NV$9:$WC$41,START!$C$3,($N51+5))*-44/12)</f>
        <v>0</v>
      </c>
      <c r="AJ51" s="77">
        <f>($K51*INDEX('DEFAULT DATA'!$NV$9:$WC$41,START!$C$3,($N51))*-44/12)+($K51*INDEX('DEFAULT DATA'!$NV$9:$WC$41,START!$C$3,($N51+1))*-44/12)+($K51*INDEX('DEFAULT DATA'!$NV$9:$WC$41,START!$C$3,($N51+2))*-44/12)+($K51*INDEX('DEFAULT DATA'!$NV$9:$WC$41,START!$C$3,($N51+3))*-44/12)+($L51*INDEX('DEFAULT DATA'!$NV$9:$WC$41,START!$C$3,($N51+4))*-44/12)+($M51*INDEX('DEFAULT DATA'!$NV$9:$WC$41,START!$C$3,($N51+5))*-44/12)</f>
        <v>0</v>
      </c>
      <c r="AK51" s="77">
        <f>($K51*INDEX('DEFAULT DATA'!$NV$9:$WC$41,START!$C$3,($N51))*-44/12)+($K51*INDEX('DEFAULT DATA'!$NV$9:$WC$41,START!$C$3,($N51+1))*-44/12)+($K51*INDEX('DEFAULT DATA'!$NV$9:$WC$41,START!$C$3,($N51+2))*-44/12)+($K51*INDEX('DEFAULT DATA'!$NV$9:$WC$41,START!$C$3,($N51+3))*-44/12)+($L51*INDEX('DEFAULT DATA'!$NV$9:$WC$41,START!$C$3,($N51+4))*-44/12)+($M51*INDEX('DEFAULT DATA'!$NV$9:$WC$41,START!$C$3,($N51+5))*-44/12)</f>
        <v>0</v>
      </c>
      <c r="AL51" s="77">
        <f>($K51*INDEX('DEFAULT DATA'!$NV$9:$WC$41,START!$C$3,($N51))*-44/12)+($K51*INDEX('DEFAULT DATA'!$NV$9:$WC$41,START!$C$3,($N51+1))*-44/12)+($K51*INDEX('DEFAULT DATA'!$NV$9:$WC$41,START!$C$3,($N51+2))*-44/12)+($K51*INDEX('DEFAULT DATA'!$NV$9:$WC$41,START!$C$3,($N51+3))*-44/12)+($L51*INDEX('DEFAULT DATA'!$NV$9:$WC$41,START!$C$3,($N51+4))*-44/12)+($M51*INDEX('DEFAULT DATA'!$NV$9:$WC$41,START!$C$3,($N51+5))*-44/12)</f>
        <v>0</v>
      </c>
      <c r="AM51" s="77">
        <f>($K51*INDEX('DEFAULT DATA'!$NV$9:$WC$41,START!$C$3,($N51))*-44/12)+($K51*INDEX('DEFAULT DATA'!$NV$9:$WC$41,START!$C$3,($N51+1))*-44/12)+($K51*INDEX('DEFAULT DATA'!$NV$9:$WC$41,START!$C$3,($N51+2))*-44/12)+($K51*INDEX('DEFAULT DATA'!$NV$9:$WC$41,START!$C$3,($N51+3))*-44/12)+($L51*INDEX('DEFAULT DATA'!$NV$9:$WC$41,START!$C$3,($N51+4))*-44/12)+($M51*INDEX('DEFAULT DATA'!$NV$9:$WC$41,START!$C$3,($N51+5))*-44/12)</f>
        <v>0</v>
      </c>
      <c r="AN51" s="77">
        <f>($K51*INDEX('DEFAULT DATA'!$NV$9:$WC$41,START!$C$3,($N51))*-44/12)+($K51*INDEX('DEFAULT DATA'!$NV$9:$WC$41,START!$C$3,($N51+1))*-44/12)+($K51*INDEX('DEFAULT DATA'!$NV$9:$WC$41,START!$C$3,($N51+2))*-44/12)+($K51*INDEX('DEFAULT DATA'!$NV$9:$WC$41,START!$C$3,($N51+3))*-44/12)+($L51*INDEX('DEFAULT DATA'!$NV$9:$WC$41,START!$C$3,($N51+4))*-44/12)+($M51*INDEX('DEFAULT DATA'!$NV$9:$WC$41,START!$C$3,($N51+5))*-44/12)</f>
        <v>0</v>
      </c>
      <c r="AO51" s="77">
        <f>($K51*INDEX('DEFAULT DATA'!$NV$9:$WC$41,START!$C$3,($N51))*-44/12)+($K51*INDEX('DEFAULT DATA'!$NV$9:$WC$41,START!$C$3,($N51+1))*-44/12)+($K51*INDEX('DEFAULT DATA'!$NV$9:$WC$41,START!$C$3,($N51+2))*-44/12)+($K51*INDEX('DEFAULT DATA'!$NV$9:$WC$41,START!$C$3,($N51+3))*-44/12)+($L51*INDEX('DEFAULT DATA'!$NV$9:$WC$41,START!$C$3,($N51+4))*-44/12)+($M51*INDEX('DEFAULT DATA'!$NV$9:$WC$41,START!$C$3,($N51+5))*-44/12)</f>
        <v>0</v>
      </c>
      <c r="AP51" s="77">
        <f>($K51*INDEX('DEFAULT DATA'!$NV$9:$WC$41,START!$C$3,($N51))*-44/12)+($K51*INDEX('DEFAULT DATA'!$NV$9:$WC$41,START!$C$3,($N51+1))*-44/12)+($K51*INDEX('DEFAULT DATA'!$NV$9:$WC$41,START!$C$3,($N51+2))*-44/12)+($K51*INDEX('DEFAULT DATA'!$NV$9:$WC$41,START!$C$3,($N51+3))*-44/12)+($L51*INDEX('DEFAULT DATA'!$NV$9:$WC$41,START!$C$3,($N51+4))*-44/12)+($M51*INDEX('DEFAULT DATA'!$NV$9:$WC$41,START!$C$3,($N51+5))*-44/12)</f>
        <v>0</v>
      </c>
      <c r="AQ51" s="77">
        <f>($K51*INDEX('DEFAULT DATA'!$NV$9:$WC$41,START!$C$3,($N51))*-44/12)+($K51*INDEX('DEFAULT DATA'!$NV$9:$WC$41,START!$C$3,($N51+1))*-44/12)+($K51*INDEX('DEFAULT DATA'!$NV$9:$WC$41,START!$C$3,($N51+2))*-44/12)+($K51*INDEX('DEFAULT DATA'!$NV$9:$WC$41,START!$C$3,($N51+3))*-44/12)+($L51*INDEX('DEFAULT DATA'!$NV$9:$WC$41,START!$C$3,($N51+4))*-44/12)+($M51*INDEX('DEFAULT DATA'!$NV$9:$WC$41,START!$C$3,($N51+5))*-44/12)</f>
        <v>0</v>
      </c>
      <c r="AR51" s="77">
        <f>($K51*INDEX('DEFAULT DATA'!$NV$9:$WC$41,START!$C$3,($N51))*-44/12)+($K51*INDEX('DEFAULT DATA'!$NV$9:$WC$41,START!$C$3,($N51+1))*-44/12)+($K51*INDEX('DEFAULT DATA'!$NV$9:$WC$41,START!$C$3,($N51+2))*-44/12)+($K51*INDEX('DEFAULT DATA'!$NV$9:$WC$41,START!$C$3,($N51+3))*-44/12)+($L51*INDEX('DEFAULT DATA'!$NV$9:$WC$41,START!$C$3,($N51+4))*-44/12)+($M51*INDEX('DEFAULT DATA'!$NV$9:$WC$41,START!$C$3,($N51+5))*-44/12)</f>
        <v>0</v>
      </c>
      <c r="AS51" s="77">
        <f>($K51*INDEX('DEFAULT DATA'!$NV$9:$WC$41,START!$C$3,($N51))*-44/12)+($K51*INDEX('DEFAULT DATA'!$NV$9:$WC$41,START!$C$3,($N51+1))*-44/12)+($K51*INDEX('DEFAULT DATA'!$NV$9:$WC$41,START!$C$3,($N51+2))*-44/12)+($K51*INDEX('DEFAULT DATA'!$NV$9:$WC$41,START!$C$3,($N51+3))*-44/12)+($L51*INDEX('DEFAULT DATA'!$NV$9:$WC$41,START!$C$3,($N51+4))*-44/12)+($M51*INDEX('DEFAULT DATA'!$NV$9:$WC$41,START!$C$3,($N51+5))*-44/12)</f>
        <v>0</v>
      </c>
      <c r="AT51" s="276">
        <f>($K51*INDEX('DEFAULT DATA'!$NV$9:$WC$41,START!$C$3,($N51))*-44/12)+($K51*INDEX('DEFAULT DATA'!$NV$9:$WC$41,START!$C$3,($N51+1))*-44/12)+($K51*INDEX('DEFAULT DATA'!$NV$9:$WC$41,START!$C$3,($N51+2))*-44/12)+($K51*INDEX('DEFAULT DATA'!$NV$9:$WC$41,START!$C$3,($N51+3))*-44/12)+($L51*INDEX('DEFAULT DATA'!$NV$9:$WC$41,START!$C$3,($N51+4))*-44/12)+($M51*INDEX('DEFAULT DATA'!$NV$9:$WC$41,START!$C$3,($N51+5))*-44/12)</f>
        <v>0</v>
      </c>
      <c r="AV51" s="1107" t="str">
        <f t="shared" si="42"/>
        <v>(INPUT1*CSC_COL121*-44/12)+(INPUT1*CSC_COL122*-44/12)+(INPUT1*CSC_COL123*-44/12)+(INPUT1*CSC_COL124*-44/12)+(INPUT2*CSC_COL125*-44/12)+(INPUT3*CSC_COL126*-44/12)</v>
      </c>
      <c r="AW51" s="1108" t="s">
        <v>3043</v>
      </c>
      <c r="AX51" s="1108" t="s">
        <v>3043</v>
      </c>
      <c r="AY51" s="1108" t="s">
        <v>3043</v>
      </c>
      <c r="AZ51" s="1108" t="s">
        <v>3043</v>
      </c>
      <c r="BA51" s="1108" t="s">
        <v>3043</v>
      </c>
      <c r="BB51" s="1108" t="s">
        <v>3043</v>
      </c>
      <c r="BC51" s="1108" t="s">
        <v>3043</v>
      </c>
      <c r="BD51" s="1108" t="s">
        <v>3043</v>
      </c>
      <c r="BE51" s="1108" t="s">
        <v>3043</v>
      </c>
      <c r="BF51" s="1108" t="s">
        <v>3043</v>
      </c>
      <c r="BG51" s="1108" t="s">
        <v>3043</v>
      </c>
      <c r="BH51" s="1108" t="s">
        <v>3043</v>
      </c>
      <c r="BI51" s="1108" t="s">
        <v>3043</v>
      </c>
      <c r="BJ51" s="1108" t="s">
        <v>3043</v>
      </c>
      <c r="BK51" s="1108" t="s">
        <v>3043</v>
      </c>
      <c r="BL51" s="1108" t="s">
        <v>3043</v>
      </c>
      <c r="BM51" s="1108" t="s">
        <v>3043</v>
      </c>
      <c r="BN51" s="1108" t="s">
        <v>3043</v>
      </c>
      <c r="BO51" s="1108" t="s">
        <v>3043</v>
      </c>
      <c r="BP51" s="1108" t="s">
        <v>3043</v>
      </c>
      <c r="BQ51" s="1108" t="s">
        <v>3043</v>
      </c>
      <c r="BR51" s="1108" t="s">
        <v>3043</v>
      </c>
      <c r="BS51" s="1108" t="s">
        <v>3043</v>
      </c>
      <c r="BT51" s="1108" t="s">
        <v>3043</v>
      </c>
      <c r="BU51" s="1108" t="s">
        <v>3043</v>
      </c>
      <c r="BV51" s="1108" t="s">
        <v>3043</v>
      </c>
      <c r="BW51" s="1108" t="s">
        <v>3043</v>
      </c>
      <c r="BX51" s="1108" t="s">
        <v>3043</v>
      </c>
      <c r="BY51" s="1109" t="s">
        <v>3043</v>
      </c>
    </row>
    <row r="52" spans="1:77" ht="20.100000000000001" customHeight="1">
      <c r="A52" s="281"/>
      <c r="B52" s="902" t="s">
        <v>542</v>
      </c>
      <c r="C52" s="218"/>
      <c r="D52" s="218"/>
      <c r="E52" s="612">
        <v>0</v>
      </c>
      <c r="F52" s="1451">
        <f t="shared" si="44"/>
        <v>0</v>
      </c>
      <c r="G52" s="613">
        <v>0</v>
      </c>
      <c r="H52" s="218">
        <v>1</v>
      </c>
      <c r="I52" s="266"/>
      <c r="J52" s="124"/>
      <c r="K52" s="309">
        <f t="shared" si="38"/>
        <v>0</v>
      </c>
      <c r="L52" s="310">
        <f t="shared" si="39"/>
        <v>0</v>
      </c>
      <c r="M52" s="310">
        <f t="shared" si="40"/>
        <v>0</v>
      </c>
      <c r="N52" s="81">
        <f t="shared" si="43"/>
        <v>103</v>
      </c>
      <c r="O52" s="311" t="s">
        <v>522</v>
      </c>
      <c r="P52" s="312">
        <f t="shared" si="41"/>
        <v>2022</v>
      </c>
      <c r="Q52" s="77">
        <f>($K52*INDEX('DEFAULT DATA'!$NV$9:$WC$41,START!$C$3,($N52))*-44/12)+($K52*INDEX('DEFAULT DATA'!$NV$9:$WC$41,START!$C$3,($N52+1))*-44/12)+($K52*INDEX('DEFAULT DATA'!$NV$9:$WC$41,START!$C$3,($N52+2))*-44/12)+($K52*INDEX('DEFAULT DATA'!$NV$9:$WC$41,START!$C$3,($N52+3))*-44/12)+($L52*INDEX('DEFAULT DATA'!$NV$9:$WC$41,START!$C$3,($N52+4))*-44/12)+($M52*INDEX('DEFAULT DATA'!$NV$9:$WC$41,START!$C$3,($N52+5))*-44/12)</f>
        <v>0</v>
      </c>
      <c r="R52" s="77">
        <f>($K52*INDEX('DEFAULT DATA'!$NV$9:$WC$41,START!$C$3,($N52))*-44/12)+($K52*INDEX('DEFAULT DATA'!$NV$9:$WC$41,START!$C$3,($N52+1))*-44/12)+($K52*INDEX('DEFAULT DATA'!$NV$9:$WC$41,START!$C$3,($N52+2))*-44/12)+($K52*INDEX('DEFAULT DATA'!$NV$9:$WC$41,START!$C$3,($N52+3))*-44/12)+($L52*INDEX('DEFAULT DATA'!$NV$9:$WC$41,START!$C$3,($N52+4))*-44/12)+($M52*INDEX('DEFAULT DATA'!$NV$9:$WC$41,START!$C$3,($N52+5))*-44/12)</f>
        <v>0</v>
      </c>
      <c r="S52" s="77">
        <f>($K52*INDEX('DEFAULT DATA'!$NV$9:$WC$41,START!$C$3,($N52))*-44/12)+($K52*INDEX('DEFAULT DATA'!$NV$9:$WC$41,START!$C$3,($N52+1))*-44/12)+($K52*INDEX('DEFAULT DATA'!$NV$9:$WC$41,START!$C$3,($N52+2))*-44/12)+($K52*INDEX('DEFAULT DATA'!$NV$9:$WC$41,START!$C$3,($N52+3))*-44/12)+($L52*INDEX('DEFAULT DATA'!$NV$9:$WC$41,START!$C$3,($N52+4))*-44/12)+($M52*INDEX('DEFAULT DATA'!$NV$9:$WC$41,START!$C$3,($N52+5))*-44/12)</f>
        <v>0</v>
      </c>
      <c r="T52" s="77">
        <f>($K52*INDEX('DEFAULT DATA'!$NV$9:$WC$41,START!$C$3,($N52))*-44/12)+($K52*INDEX('DEFAULT DATA'!$NV$9:$WC$41,START!$C$3,($N52+1))*-44/12)+($K52*INDEX('DEFAULT DATA'!$NV$9:$WC$41,START!$C$3,($N52+2))*-44/12)+($K52*INDEX('DEFAULT DATA'!$NV$9:$WC$41,START!$C$3,($N52+3))*-44/12)+($L52*INDEX('DEFAULT DATA'!$NV$9:$WC$41,START!$C$3,($N52+4))*-44/12)+($M52*INDEX('DEFAULT DATA'!$NV$9:$WC$41,START!$C$3,($N52+5))*-44/12)</f>
        <v>0</v>
      </c>
      <c r="U52" s="77">
        <f>($K52*INDEX('DEFAULT DATA'!$NV$9:$WC$41,START!$C$3,($N52))*-44/12)+($K52*INDEX('DEFAULT DATA'!$NV$9:$WC$41,START!$C$3,($N52+1))*-44/12)+($K52*INDEX('DEFAULT DATA'!$NV$9:$WC$41,START!$C$3,($N52+2))*-44/12)+($K52*INDEX('DEFAULT DATA'!$NV$9:$WC$41,START!$C$3,($N52+3))*-44/12)+($L52*INDEX('DEFAULT DATA'!$NV$9:$WC$41,START!$C$3,($N52+4))*-44/12)+($M52*INDEX('DEFAULT DATA'!$NV$9:$WC$41,START!$C$3,($N52+5))*-44/12)</f>
        <v>0</v>
      </c>
      <c r="V52" s="77">
        <f>($K52*INDEX('DEFAULT DATA'!$NV$9:$WC$41,START!$C$3,($N52))*-44/12)+($K52*INDEX('DEFAULT DATA'!$NV$9:$WC$41,START!$C$3,($N52+1))*-44/12)+($K52*INDEX('DEFAULT DATA'!$NV$9:$WC$41,START!$C$3,($N52+2))*-44/12)+($K52*INDEX('DEFAULT DATA'!$NV$9:$WC$41,START!$C$3,($N52+3))*-44/12)+($L52*INDEX('DEFAULT DATA'!$NV$9:$WC$41,START!$C$3,($N52+4))*-44/12)+($M52*INDEX('DEFAULT DATA'!$NV$9:$WC$41,START!$C$3,($N52+5))*-44/12)</f>
        <v>0</v>
      </c>
      <c r="W52" s="77">
        <f>($K52*INDEX('DEFAULT DATA'!$NV$9:$WC$41,START!$C$3,($N52))*-44/12)+($K52*INDEX('DEFAULT DATA'!$NV$9:$WC$41,START!$C$3,($N52+1))*-44/12)+($K52*INDEX('DEFAULT DATA'!$NV$9:$WC$41,START!$C$3,($N52+2))*-44/12)+($K52*INDEX('DEFAULT DATA'!$NV$9:$WC$41,START!$C$3,($N52+3))*-44/12)+($L52*INDEX('DEFAULT DATA'!$NV$9:$WC$41,START!$C$3,($N52+4))*-44/12)+($M52*INDEX('DEFAULT DATA'!$NV$9:$WC$41,START!$C$3,($N52+5))*-44/12)</f>
        <v>0</v>
      </c>
      <c r="X52" s="77">
        <f>($K52*INDEX('DEFAULT DATA'!$NV$9:$WC$41,START!$C$3,($N52))*-44/12)+($K52*INDEX('DEFAULT DATA'!$NV$9:$WC$41,START!$C$3,($N52+1))*-44/12)+($K52*INDEX('DEFAULT DATA'!$NV$9:$WC$41,START!$C$3,($N52+2))*-44/12)+($K52*INDEX('DEFAULT DATA'!$NV$9:$WC$41,START!$C$3,($N52+3))*-44/12)+($L52*INDEX('DEFAULT DATA'!$NV$9:$WC$41,START!$C$3,($N52+4))*-44/12)+($M52*INDEX('DEFAULT DATA'!$NV$9:$WC$41,START!$C$3,($N52+5))*-44/12)</f>
        <v>0</v>
      </c>
      <c r="Y52" s="77">
        <f>($K52*INDEX('DEFAULT DATA'!$NV$9:$WC$41,START!$C$3,($N52))*-44/12)+($K52*INDEX('DEFAULT DATA'!$NV$9:$WC$41,START!$C$3,($N52+1))*-44/12)+($K52*INDEX('DEFAULT DATA'!$NV$9:$WC$41,START!$C$3,($N52+2))*-44/12)+($K52*INDEX('DEFAULT DATA'!$NV$9:$WC$41,START!$C$3,($N52+3))*-44/12)+($L52*INDEX('DEFAULT DATA'!$NV$9:$WC$41,START!$C$3,($N52+4))*-44/12)+($M52*INDEX('DEFAULT DATA'!$NV$9:$WC$41,START!$C$3,($N52+5))*-44/12)</f>
        <v>0</v>
      </c>
      <c r="Z52" s="77">
        <f>($K52*INDEX('DEFAULT DATA'!$NV$9:$WC$41,START!$C$3,($N52))*-44/12)+($K52*INDEX('DEFAULT DATA'!$NV$9:$WC$41,START!$C$3,($N52+1))*-44/12)+($K52*INDEX('DEFAULT DATA'!$NV$9:$WC$41,START!$C$3,($N52+2))*-44/12)+($K52*INDEX('DEFAULT DATA'!$NV$9:$WC$41,START!$C$3,($N52+3))*-44/12)+($L52*INDEX('DEFAULT DATA'!$NV$9:$WC$41,START!$C$3,($N52+4))*-44/12)+($M52*INDEX('DEFAULT DATA'!$NV$9:$WC$41,START!$C$3,($N52+5))*-44/12)</f>
        <v>0</v>
      </c>
      <c r="AA52" s="77">
        <f>($K52*INDEX('DEFAULT DATA'!$NV$9:$WC$41,START!$C$3,($N52))*-44/12)+($K52*INDEX('DEFAULT DATA'!$NV$9:$WC$41,START!$C$3,($N52+1))*-44/12)+($K52*INDEX('DEFAULT DATA'!$NV$9:$WC$41,START!$C$3,($N52+2))*-44/12)+($K52*INDEX('DEFAULT DATA'!$NV$9:$WC$41,START!$C$3,($N52+3))*-44/12)+($L52*INDEX('DEFAULT DATA'!$NV$9:$WC$41,START!$C$3,($N52+4))*-44/12)+($M52*INDEX('DEFAULT DATA'!$NV$9:$WC$41,START!$C$3,($N52+5))*-44/12)</f>
        <v>0</v>
      </c>
      <c r="AB52" s="77">
        <f>($K52*INDEX('DEFAULT DATA'!$NV$9:$WC$41,START!$C$3,($N52))*-44/12)+($K52*INDEX('DEFAULT DATA'!$NV$9:$WC$41,START!$C$3,($N52+1))*-44/12)+($K52*INDEX('DEFAULT DATA'!$NV$9:$WC$41,START!$C$3,($N52+2))*-44/12)+($K52*INDEX('DEFAULT DATA'!$NV$9:$WC$41,START!$C$3,($N52+3))*-44/12)+($L52*INDEX('DEFAULT DATA'!$NV$9:$WC$41,START!$C$3,($N52+4))*-44/12)+($M52*INDEX('DEFAULT DATA'!$NV$9:$WC$41,START!$C$3,($N52+5))*-44/12)</f>
        <v>0</v>
      </c>
      <c r="AC52" s="77">
        <f>($K52*INDEX('DEFAULT DATA'!$NV$9:$WC$41,START!$C$3,($N52))*-44/12)+($K52*INDEX('DEFAULT DATA'!$NV$9:$WC$41,START!$C$3,($N52+1))*-44/12)+($K52*INDEX('DEFAULT DATA'!$NV$9:$WC$41,START!$C$3,($N52+2))*-44/12)+($K52*INDEX('DEFAULT DATA'!$NV$9:$WC$41,START!$C$3,($N52+3))*-44/12)+($L52*INDEX('DEFAULT DATA'!$NV$9:$WC$41,START!$C$3,($N52+4))*-44/12)+($M52*INDEX('DEFAULT DATA'!$NV$9:$WC$41,START!$C$3,($N52+5))*-44/12)</f>
        <v>0</v>
      </c>
      <c r="AD52" s="77">
        <f>($K52*INDEX('DEFAULT DATA'!$NV$9:$WC$41,START!$C$3,($N52))*-44/12)+($K52*INDEX('DEFAULT DATA'!$NV$9:$WC$41,START!$C$3,($N52+1))*-44/12)+($K52*INDEX('DEFAULT DATA'!$NV$9:$WC$41,START!$C$3,($N52+2))*-44/12)+($K52*INDEX('DEFAULT DATA'!$NV$9:$WC$41,START!$C$3,($N52+3))*-44/12)+($L52*INDEX('DEFAULT DATA'!$NV$9:$WC$41,START!$C$3,($N52+4))*-44/12)+($M52*INDEX('DEFAULT DATA'!$NV$9:$WC$41,START!$C$3,($N52+5))*-44/12)</f>
        <v>0</v>
      </c>
      <c r="AE52" s="77">
        <f>($K52*INDEX('DEFAULT DATA'!$NV$9:$WC$41,START!$C$3,($N52))*-44/12)+($K52*INDEX('DEFAULT DATA'!$NV$9:$WC$41,START!$C$3,($N52+1))*-44/12)+($K52*INDEX('DEFAULT DATA'!$NV$9:$WC$41,START!$C$3,($N52+2))*-44/12)+($K52*INDEX('DEFAULT DATA'!$NV$9:$WC$41,START!$C$3,($N52+3))*-44/12)+($L52*INDEX('DEFAULT DATA'!$NV$9:$WC$41,START!$C$3,($N52+4))*-44/12)+($M52*INDEX('DEFAULT DATA'!$NV$9:$WC$41,START!$C$3,($N52+5))*-44/12)</f>
        <v>0</v>
      </c>
      <c r="AF52" s="77">
        <f>($K52*INDEX('DEFAULT DATA'!$NV$9:$WC$41,START!$C$3,($N52))*-44/12)+($K52*INDEX('DEFAULT DATA'!$NV$9:$WC$41,START!$C$3,($N52+1))*-44/12)+($K52*INDEX('DEFAULT DATA'!$NV$9:$WC$41,START!$C$3,($N52+2))*-44/12)+($K52*INDEX('DEFAULT DATA'!$NV$9:$WC$41,START!$C$3,($N52+3))*-44/12)+($L52*INDEX('DEFAULT DATA'!$NV$9:$WC$41,START!$C$3,($N52+4))*-44/12)+($M52*INDEX('DEFAULT DATA'!$NV$9:$WC$41,START!$C$3,($N52+5))*-44/12)</f>
        <v>0</v>
      </c>
      <c r="AG52" s="77">
        <f>($K52*INDEX('DEFAULT DATA'!$NV$9:$WC$41,START!$C$3,($N52))*-44/12)+($K52*INDEX('DEFAULT DATA'!$NV$9:$WC$41,START!$C$3,($N52+1))*-44/12)+($K52*INDEX('DEFAULT DATA'!$NV$9:$WC$41,START!$C$3,($N52+2))*-44/12)+($K52*INDEX('DEFAULT DATA'!$NV$9:$WC$41,START!$C$3,($N52+3))*-44/12)+($L52*INDEX('DEFAULT DATA'!$NV$9:$WC$41,START!$C$3,($N52+4))*-44/12)+($M52*INDEX('DEFAULT DATA'!$NV$9:$WC$41,START!$C$3,($N52+5))*-44/12)</f>
        <v>0</v>
      </c>
      <c r="AH52" s="77">
        <f>($K52*INDEX('DEFAULT DATA'!$NV$9:$WC$41,START!$C$3,($N52))*-44/12)+($K52*INDEX('DEFAULT DATA'!$NV$9:$WC$41,START!$C$3,($N52+1))*-44/12)+($K52*INDEX('DEFAULT DATA'!$NV$9:$WC$41,START!$C$3,($N52+2))*-44/12)+($K52*INDEX('DEFAULT DATA'!$NV$9:$WC$41,START!$C$3,($N52+3))*-44/12)+($L52*INDEX('DEFAULT DATA'!$NV$9:$WC$41,START!$C$3,($N52+4))*-44/12)+($M52*INDEX('DEFAULT DATA'!$NV$9:$WC$41,START!$C$3,($N52+5))*-44/12)</f>
        <v>0</v>
      </c>
      <c r="AI52" s="77">
        <f>($K52*INDEX('DEFAULT DATA'!$NV$9:$WC$41,START!$C$3,($N52))*-44/12)+($K52*INDEX('DEFAULT DATA'!$NV$9:$WC$41,START!$C$3,($N52+1))*-44/12)+($K52*INDEX('DEFAULT DATA'!$NV$9:$WC$41,START!$C$3,($N52+2))*-44/12)+($K52*INDEX('DEFAULT DATA'!$NV$9:$WC$41,START!$C$3,($N52+3))*-44/12)+($L52*INDEX('DEFAULT DATA'!$NV$9:$WC$41,START!$C$3,($N52+4))*-44/12)+($M52*INDEX('DEFAULT DATA'!$NV$9:$WC$41,START!$C$3,($N52+5))*-44/12)</f>
        <v>0</v>
      </c>
      <c r="AJ52" s="77">
        <f>($K52*INDEX('DEFAULT DATA'!$NV$9:$WC$41,START!$C$3,($N52))*-44/12)+($K52*INDEX('DEFAULT DATA'!$NV$9:$WC$41,START!$C$3,($N52+1))*-44/12)+($K52*INDEX('DEFAULT DATA'!$NV$9:$WC$41,START!$C$3,($N52+2))*-44/12)+($K52*INDEX('DEFAULT DATA'!$NV$9:$WC$41,START!$C$3,($N52+3))*-44/12)+($L52*INDEX('DEFAULT DATA'!$NV$9:$WC$41,START!$C$3,($N52+4))*-44/12)+($M52*INDEX('DEFAULT DATA'!$NV$9:$WC$41,START!$C$3,($N52+5))*-44/12)</f>
        <v>0</v>
      </c>
      <c r="AK52" s="77">
        <f>($K52*INDEX('DEFAULT DATA'!$VR$9:$VW$41,START!$C$3,1)*-44/12)+($K52*INDEX('DEFAULT DATA'!$VR$9:$VW$41,START!$C$3,2)*-44/12)+($K52*INDEX('DEFAULT DATA'!$VR$9:$VW$41,START!$C$3,3)*-44/12)+($K52*INDEX('DEFAULT DATA'!$VR$9:$VW$41,START!$C$3,4)*-44/12)+($L52*INDEX('DEFAULT DATA'!$VR$9:$VW$41,START!$C$3,5)*-44/12)+($M52*INDEX('DEFAULT DATA'!$VR$9:$VW$41,START!$C$3,6)*-44/12)</f>
        <v>0</v>
      </c>
      <c r="AL52" s="77">
        <f>($K52*INDEX('DEFAULT DATA'!$VR$9:$VW$41,START!$C$3,1)*-44/12)+($K52*INDEX('DEFAULT DATA'!$VR$9:$VW$41,START!$C$3,2)*-44/12)+($K52*INDEX('DEFAULT DATA'!$VR$9:$VW$41,START!$C$3,3)*-44/12)+($K52*INDEX('DEFAULT DATA'!$VR$9:$VW$41,START!$C$3,4)*-44/12)+($L52*INDEX('DEFAULT DATA'!$VR$9:$VW$41,START!$C$3,5)*-44/12)+($M52*INDEX('DEFAULT DATA'!$VR$9:$VW$41,START!$C$3,6)*-44/12)</f>
        <v>0</v>
      </c>
      <c r="AM52" s="77">
        <f>($K52*INDEX('DEFAULT DATA'!$VR$9:$VW$41,START!$C$3,1)*-44/12)+($K52*INDEX('DEFAULT DATA'!$VR$9:$VW$41,START!$C$3,2)*-44/12)+($K52*INDEX('DEFAULT DATA'!$VR$9:$VW$41,START!$C$3,3)*-44/12)+($K52*INDEX('DEFAULT DATA'!$VR$9:$VW$41,START!$C$3,4)*-44/12)+($L52*INDEX('DEFAULT DATA'!$VR$9:$VW$41,START!$C$3,5)*-44/12)+($M52*INDEX('DEFAULT DATA'!$VR$9:$VW$41,START!$C$3,6)*-44/12)</f>
        <v>0</v>
      </c>
      <c r="AN52" s="77">
        <f>($K52*INDEX('DEFAULT DATA'!$VR$9:$VW$41,START!$C$3,1)*-44/12)+($K52*INDEX('DEFAULT DATA'!$VR$9:$VW$41,START!$C$3,2)*-44/12)+($K52*INDEX('DEFAULT DATA'!$VR$9:$VW$41,START!$C$3,3)*-44/12)+($K52*INDEX('DEFAULT DATA'!$VR$9:$VW$41,START!$C$3,4)*-44/12)+($L52*INDEX('DEFAULT DATA'!$VR$9:$VW$41,START!$C$3,5)*-44/12)+($M52*INDEX('DEFAULT DATA'!$VR$9:$VW$41,START!$C$3,6)*-44/12)</f>
        <v>0</v>
      </c>
      <c r="AO52" s="77">
        <f>($K52*INDEX('DEFAULT DATA'!$VR$9:$VW$41,START!$C$3,1)*-44/12)+($K52*INDEX('DEFAULT DATA'!$VR$9:$VW$41,START!$C$3,2)*-44/12)+($K52*INDEX('DEFAULT DATA'!$VR$9:$VW$41,START!$C$3,3)*-44/12)+($K52*INDEX('DEFAULT DATA'!$VR$9:$VW$41,START!$C$3,4)*-44/12)+($L52*INDEX('DEFAULT DATA'!$VR$9:$VW$41,START!$C$3,5)*-44/12)+($M52*INDEX('DEFAULT DATA'!$VR$9:$VW$41,START!$C$3,6)*-44/12)</f>
        <v>0</v>
      </c>
      <c r="AP52" s="77">
        <f>($K52*INDEX('DEFAULT DATA'!$VR$9:$VW$41,START!$C$3,1)*-44/12)+($K52*INDEX('DEFAULT DATA'!$VR$9:$VW$41,START!$C$3,2)*-44/12)+($K52*INDEX('DEFAULT DATA'!$VR$9:$VW$41,START!$C$3,3)*-44/12)+($K52*INDEX('DEFAULT DATA'!$VR$9:$VW$41,START!$C$3,4)*-44/12)+($L52*INDEX('DEFAULT DATA'!$VR$9:$VW$41,START!$C$3,5)*-44/12)+($M52*INDEX('DEFAULT DATA'!$VR$9:$VW$41,START!$C$3,6)*-44/12)</f>
        <v>0</v>
      </c>
      <c r="AQ52" s="77">
        <f>($K52*INDEX('DEFAULT DATA'!$VR$9:$VW$41,START!$C$3,1)*-44/12)+($K52*INDEX('DEFAULT DATA'!$VR$9:$VW$41,START!$C$3,2)*-44/12)+($K52*INDEX('DEFAULT DATA'!$VR$9:$VW$41,START!$C$3,3)*-44/12)+($K52*INDEX('DEFAULT DATA'!$VR$9:$VW$41,START!$C$3,4)*-44/12)+($L52*INDEX('DEFAULT DATA'!$VR$9:$VW$41,START!$C$3,5)*-44/12)+($M52*INDEX('DEFAULT DATA'!$VR$9:$VW$41,START!$C$3,6)*-44/12)</f>
        <v>0</v>
      </c>
      <c r="AR52" s="77">
        <f>($K52*INDEX('DEFAULT DATA'!$VR$9:$VW$41,START!$C$3,1)*-44/12)+($K52*INDEX('DEFAULT DATA'!$VR$9:$VW$41,START!$C$3,2)*-44/12)+($K52*INDEX('DEFAULT DATA'!$VR$9:$VW$41,START!$C$3,3)*-44/12)+($K52*INDEX('DEFAULT DATA'!$VR$9:$VW$41,START!$C$3,4)*-44/12)+($L52*INDEX('DEFAULT DATA'!$VR$9:$VW$41,START!$C$3,5)*-44/12)+($M52*INDEX('DEFAULT DATA'!$VR$9:$VW$41,START!$C$3,6)*-44/12)</f>
        <v>0</v>
      </c>
      <c r="AS52" s="77">
        <f>($K52*INDEX('DEFAULT DATA'!$VR$9:$VW$41,START!$C$3,1)*-44/12)+($K52*INDEX('DEFAULT DATA'!$VR$9:$VW$41,START!$C$3,2)*-44/12)+($K52*INDEX('DEFAULT DATA'!$VR$9:$VW$41,START!$C$3,3)*-44/12)+($K52*INDEX('DEFAULT DATA'!$VR$9:$VW$41,START!$C$3,4)*-44/12)+($L52*INDEX('DEFAULT DATA'!$VR$9:$VW$41,START!$C$3,5)*-44/12)+($M52*INDEX('DEFAULT DATA'!$VR$9:$VW$41,START!$C$3,6)*-44/12)</f>
        <v>0</v>
      </c>
      <c r="AT52" s="276">
        <f>($K52*INDEX('DEFAULT DATA'!$VR$9:$VW$41,START!$C$3,1)*-44/12)+($K52*INDEX('DEFAULT DATA'!$VR$9:$VW$41,START!$C$3,2)*-44/12)+($K52*INDEX('DEFAULT DATA'!$VR$9:$VW$41,START!$C$3,3)*-44/12)+($K52*INDEX('DEFAULT DATA'!$VR$9:$VW$41,START!$C$3,4)*-44/12)+($L52*INDEX('DEFAULT DATA'!$VR$9:$VW$41,START!$C$3,5)*-44/12)+($M52*INDEX('DEFAULT DATA'!$VR$9:$VW$41,START!$C$3,6)*-44/12)</f>
        <v>0</v>
      </c>
      <c r="AV52" s="1097" t="str">
        <f t="shared" si="42"/>
        <v>(INPUT1*CSC_COL127*-44/12)+(INPUT1*CSC_COL128*-44/12)+(INPUT1*CSC_COL129*-44/12)+(INPUT1*CSC_COL130*-44/12)+(INPUT2*CSC_COL131*-44/12)+(INPUT3*CSC_COL132*-44/12)</v>
      </c>
      <c r="AW52" s="1087" t="s">
        <v>3043</v>
      </c>
      <c r="AX52" s="1087" t="s">
        <v>3043</v>
      </c>
      <c r="AY52" s="1087" t="s">
        <v>3043</v>
      </c>
      <c r="AZ52" s="1087" t="s">
        <v>3043</v>
      </c>
      <c r="BA52" s="1087" t="s">
        <v>3043</v>
      </c>
      <c r="BB52" s="1087" t="s">
        <v>3043</v>
      </c>
      <c r="BC52" s="1087" t="s">
        <v>3043</v>
      </c>
      <c r="BD52" s="1087" t="s">
        <v>3043</v>
      </c>
      <c r="BE52" s="1087" t="s">
        <v>3043</v>
      </c>
      <c r="BF52" s="1087" t="s">
        <v>3043</v>
      </c>
      <c r="BG52" s="1087" t="s">
        <v>3043</v>
      </c>
      <c r="BH52" s="1087" t="s">
        <v>3043</v>
      </c>
      <c r="BI52" s="1087" t="s">
        <v>3043</v>
      </c>
      <c r="BJ52" s="1087" t="s">
        <v>3043</v>
      </c>
      <c r="BK52" s="1087" t="s">
        <v>3043</v>
      </c>
      <c r="BL52" s="1087" t="s">
        <v>3043</v>
      </c>
      <c r="BM52" s="1087" t="s">
        <v>3043</v>
      </c>
      <c r="BN52" s="1087" t="s">
        <v>3043</v>
      </c>
      <c r="BO52" s="1087" t="s">
        <v>3043</v>
      </c>
      <c r="BP52" s="1120" t="s">
        <v>3055</v>
      </c>
      <c r="BQ52" s="1113" t="s">
        <v>3045</v>
      </c>
      <c r="BR52" s="1113" t="s">
        <v>3045</v>
      </c>
      <c r="BS52" s="1113" t="s">
        <v>3045</v>
      </c>
      <c r="BT52" s="1113" t="s">
        <v>3045</v>
      </c>
      <c r="BU52" s="1113" t="s">
        <v>3045</v>
      </c>
      <c r="BV52" s="1113" t="s">
        <v>3045</v>
      </c>
      <c r="BW52" s="1113" t="s">
        <v>3045</v>
      </c>
      <c r="BX52" s="1113" t="s">
        <v>3045</v>
      </c>
      <c r="BY52" s="1114" t="s">
        <v>3045</v>
      </c>
    </row>
    <row r="53" spans="1:77" ht="20.100000000000001" customHeight="1">
      <c r="A53" s="254"/>
      <c r="B53" s="903" t="s">
        <v>543</v>
      </c>
      <c r="C53" s="668"/>
      <c r="D53" s="668"/>
      <c r="E53" s="616">
        <v>0</v>
      </c>
      <c r="F53" s="1451">
        <f t="shared" si="44"/>
        <v>0</v>
      </c>
      <c r="G53" s="617">
        <v>0</v>
      </c>
      <c r="H53" s="668">
        <v>1</v>
      </c>
      <c r="I53" s="291"/>
      <c r="J53" s="124"/>
      <c r="K53" s="309">
        <f t="shared" si="38"/>
        <v>0</v>
      </c>
      <c r="L53" s="310">
        <f t="shared" si="39"/>
        <v>0</v>
      </c>
      <c r="M53" s="310">
        <f t="shared" si="40"/>
        <v>0</v>
      </c>
      <c r="N53" s="81">
        <f t="shared" si="43"/>
        <v>109</v>
      </c>
      <c r="O53" s="311" t="s">
        <v>523</v>
      </c>
      <c r="P53" s="312">
        <f t="shared" si="41"/>
        <v>2022</v>
      </c>
      <c r="Q53" s="77">
        <f>($K53*INDEX('DEFAULT DATA'!$NV$9:$WC$41,START!$C$3,($N53))*-44/12)+($K53*INDEX('DEFAULT DATA'!$NV$9:$WC$41,START!$C$3,($N53+1))*-44/12)+($K53*INDEX('DEFAULT DATA'!$NV$9:$WC$41,START!$C$3,($N53+2))*-44/12)+($K53*INDEX('DEFAULT DATA'!$NV$9:$WC$41,START!$C$3,($N53+3))*-44/12)+($L53*INDEX('DEFAULT DATA'!$NV$9:$WC$41,START!$C$3,($N53+4))*-44/12)+($M53*INDEX('DEFAULT DATA'!$NV$9:$WC$41,START!$C$3,($N53+5))*-44/12)</f>
        <v>0</v>
      </c>
      <c r="R53" s="77">
        <f>($K53*INDEX('DEFAULT DATA'!$NV$9:$WC$41,START!$C$3,($N53))*-44/12)+($K53*INDEX('DEFAULT DATA'!$NV$9:$WC$41,START!$C$3,($N53+1))*-44/12)+($K53*INDEX('DEFAULT DATA'!$NV$9:$WC$41,START!$C$3,($N53+2))*-44/12)+($K53*INDEX('DEFAULT DATA'!$NV$9:$WC$41,START!$C$3,($N53+3))*-44/12)+($L53*INDEX('DEFAULT DATA'!$NV$9:$WC$41,START!$C$3,($N53+4))*-44/12)+($M53*INDEX('DEFAULT DATA'!$NV$9:$WC$41,START!$C$3,($N53+5))*-44/12)</f>
        <v>0</v>
      </c>
      <c r="S53" s="77">
        <f>($K53*INDEX('DEFAULT DATA'!$NV$9:$WC$41,START!$C$3,($N53))*-44/12)+($K53*INDEX('DEFAULT DATA'!$NV$9:$WC$41,START!$C$3,($N53+1))*-44/12)+($K53*INDEX('DEFAULT DATA'!$NV$9:$WC$41,START!$C$3,($N53+2))*-44/12)+($K53*INDEX('DEFAULT DATA'!$NV$9:$WC$41,START!$C$3,($N53+3))*-44/12)+($L53*INDEX('DEFAULT DATA'!$NV$9:$WC$41,START!$C$3,($N53+4))*-44/12)+($M53*INDEX('DEFAULT DATA'!$NV$9:$WC$41,START!$C$3,($N53+5))*-44/12)</f>
        <v>0</v>
      </c>
      <c r="T53" s="77">
        <f>($K53*INDEX('DEFAULT DATA'!$NV$9:$WC$41,START!$C$3,($N53))*-44/12)+($K53*INDEX('DEFAULT DATA'!$NV$9:$WC$41,START!$C$3,($N53+1))*-44/12)+($K53*INDEX('DEFAULT DATA'!$NV$9:$WC$41,START!$C$3,($N53+2))*-44/12)+($K53*INDEX('DEFAULT DATA'!$NV$9:$WC$41,START!$C$3,($N53+3))*-44/12)+($L53*INDEX('DEFAULT DATA'!$NV$9:$WC$41,START!$C$3,($N53+4))*-44/12)+($M53*INDEX('DEFAULT DATA'!$NV$9:$WC$41,START!$C$3,($N53+5))*-44/12)</f>
        <v>0</v>
      </c>
      <c r="U53" s="77">
        <f>($K53*INDEX('DEFAULT DATA'!$NV$9:$WC$41,START!$C$3,($N53))*-44/12)+($K53*INDEX('DEFAULT DATA'!$NV$9:$WC$41,START!$C$3,($N53+1))*-44/12)+($K53*INDEX('DEFAULT DATA'!$NV$9:$WC$41,START!$C$3,($N53+2))*-44/12)+($K53*INDEX('DEFAULT DATA'!$NV$9:$WC$41,START!$C$3,($N53+3))*-44/12)+($L53*INDEX('DEFAULT DATA'!$NV$9:$WC$41,START!$C$3,($N53+4))*-44/12)+($M53*INDEX('DEFAULT DATA'!$NV$9:$WC$41,START!$C$3,($N53+5))*-44/12)</f>
        <v>0</v>
      </c>
      <c r="V53" s="77">
        <f>($K53*INDEX('DEFAULT DATA'!$NV$9:$WC$41,START!$C$3,($N53))*-44/12)+($K53*INDEX('DEFAULT DATA'!$NV$9:$WC$41,START!$C$3,($N53+1))*-44/12)+($K53*INDEX('DEFAULT DATA'!$NV$9:$WC$41,START!$C$3,($N53+2))*-44/12)+($K53*INDEX('DEFAULT DATA'!$NV$9:$WC$41,START!$C$3,($N53+3))*-44/12)+($L53*INDEX('DEFAULT DATA'!$NV$9:$WC$41,START!$C$3,($N53+4))*-44/12)+($M53*INDEX('DEFAULT DATA'!$NV$9:$WC$41,START!$C$3,($N53+5))*-44/12)</f>
        <v>0</v>
      </c>
      <c r="W53" s="77">
        <f>($K53*INDEX('DEFAULT DATA'!$NV$9:$WC$41,START!$C$3,($N53))*-44/12)+($K53*INDEX('DEFAULT DATA'!$NV$9:$WC$41,START!$C$3,($N53+1))*-44/12)+($K53*INDEX('DEFAULT DATA'!$NV$9:$WC$41,START!$C$3,($N53+2))*-44/12)+($K53*INDEX('DEFAULT DATA'!$NV$9:$WC$41,START!$C$3,($N53+3))*-44/12)+($L53*INDEX('DEFAULT DATA'!$NV$9:$WC$41,START!$C$3,($N53+4))*-44/12)+($M53*INDEX('DEFAULT DATA'!$NV$9:$WC$41,START!$C$3,($N53+5))*-44/12)</f>
        <v>0</v>
      </c>
      <c r="X53" s="77">
        <f>($K53*INDEX('DEFAULT DATA'!$NV$9:$WC$41,START!$C$3,($N53))*-44/12)+($K53*INDEX('DEFAULT DATA'!$NV$9:$WC$41,START!$C$3,($N53+1))*-44/12)+($K53*INDEX('DEFAULT DATA'!$NV$9:$WC$41,START!$C$3,($N53+2))*-44/12)+($K53*INDEX('DEFAULT DATA'!$NV$9:$WC$41,START!$C$3,($N53+3))*-44/12)+($L53*INDEX('DEFAULT DATA'!$NV$9:$WC$41,START!$C$3,($N53+4))*-44/12)+($M53*INDEX('DEFAULT DATA'!$NV$9:$WC$41,START!$C$3,($N53+5))*-44/12)</f>
        <v>0</v>
      </c>
      <c r="Y53" s="77">
        <f>($K53*INDEX('DEFAULT DATA'!$NV$9:$WC$41,START!$C$3,($N53))*-44/12)+($K53*INDEX('DEFAULT DATA'!$NV$9:$WC$41,START!$C$3,($N53+1))*-44/12)+($K53*INDEX('DEFAULT DATA'!$NV$9:$WC$41,START!$C$3,($N53+2))*-44/12)+($K53*INDEX('DEFAULT DATA'!$NV$9:$WC$41,START!$C$3,($N53+3))*-44/12)+($L53*INDEX('DEFAULT DATA'!$NV$9:$WC$41,START!$C$3,($N53+4))*-44/12)+($M53*INDEX('DEFAULT DATA'!$NV$9:$WC$41,START!$C$3,($N53+5))*-44/12)</f>
        <v>0</v>
      </c>
      <c r="Z53" s="77">
        <f>($K53*INDEX('DEFAULT DATA'!$NV$9:$WC$41,START!$C$3,($N53))*-44/12)+($K53*INDEX('DEFAULT DATA'!$NV$9:$WC$41,START!$C$3,($N53+1))*-44/12)+($K53*INDEX('DEFAULT DATA'!$NV$9:$WC$41,START!$C$3,($N53+2))*-44/12)+($K53*INDEX('DEFAULT DATA'!$NV$9:$WC$41,START!$C$3,($N53+3))*-44/12)+($L53*INDEX('DEFAULT DATA'!$NV$9:$WC$41,START!$C$3,($N53+4))*-44/12)+($M53*INDEX('DEFAULT DATA'!$NV$9:$WC$41,START!$C$3,($N53+5))*-44/12)</f>
        <v>0</v>
      </c>
      <c r="AA53" s="77">
        <f>($K53*INDEX('DEFAULT DATA'!$NV$9:$WC$41,START!$C$3,($N53))*-44/12)+($K53*INDEX('DEFAULT DATA'!$NV$9:$WC$41,START!$C$3,($N53+1))*-44/12)+($K53*INDEX('DEFAULT DATA'!$NV$9:$WC$41,START!$C$3,($N53+2))*-44/12)+($K53*INDEX('DEFAULT DATA'!$NV$9:$WC$41,START!$C$3,($N53+3))*-44/12)+($L53*INDEX('DEFAULT DATA'!$NV$9:$WC$41,START!$C$3,($N53+4))*-44/12)+($M53*INDEX('DEFAULT DATA'!$NV$9:$WC$41,START!$C$3,($N53+5))*-44/12)</f>
        <v>0</v>
      </c>
      <c r="AB53" s="77">
        <f>($K53*INDEX('DEFAULT DATA'!$NV$9:$WC$41,START!$C$3,($N53))*-44/12)+($K53*INDEX('DEFAULT DATA'!$NV$9:$WC$41,START!$C$3,($N53+1))*-44/12)+($K53*INDEX('DEFAULT DATA'!$NV$9:$WC$41,START!$C$3,($N53+2))*-44/12)+($K53*INDEX('DEFAULT DATA'!$NV$9:$WC$41,START!$C$3,($N53+3))*-44/12)+($L53*INDEX('DEFAULT DATA'!$NV$9:$WC$41,START!$C$3,($N53+4))*-44/12)+($M53*INDEX('DEFAULT DATA'!$NV$9:$WC$41,START!$C$3,($N53+5))*-44/12)</f>
        <v>0</v>
      </c>
      <c r="AC53" s="77">
        <f>($K53*INDEX('DEFAULT DATA'!$NV$9:$WC$41,START!$C$3,($N53))*-44/12)+($K53*INDEX('DEFAULT DATA'!$NV$9:$WC$41,START!$C$3,($N53+1))*-44/12)+($K53*INDEX('DEFAULT DATA'!$NV$9:$WC$41,START!$C$3,($N53+2))*-44/12)+($K53*INDEX('DEFAULT DATA'!$NV$9:$WC$41,START!$C$3,($N53+3))*-44/12)+($L53*INDEX('DEFAULT DATA'!$NV$9:$WC$41,START!$C$3,($N53+4))*-44/12)+($M53*INDEX('DEFAULT DATA'!$NV$9:$WC$41,START!$C$3,($N53+5))*-44/12)</f>
        <v>0</v>
      </c>
      <c r="AD53" s="77">
        <f>($K53*INDEX('DEFAULT DATA'!$NV$9:$WC$41,START!$C$3,($N53))*-44/12)+($K53*INDEX('DEFAULT DATA'!$NV$9:$WC$41,START!$C$3,($N53+1))*-44/12)+($K53*INDEX('DEFAULT DATA'!$NV$9:$WC$41,START!$C$3,($N53+2))*-44/12)+($K53*INDEX('DEFAULT DATA'!$NV$9:$WC$41,START!$C$3,($N53+3))*-44/12)+($L53*INDEX('DEFAULT DATA'!$NV$9:$WC$41,START!$C$3,($N53+4))*-44/12)+($M53*INDEX('DEFAULT DATA'!$NV$9:$WC$41,START!$C$3,($N53+5))*-44/12)</f>
        <v>0</v>
      </c>
      <c r="AE53" s="77">
        <f>($K53*INDEX('DEFAULT DATA'!$NV$9:$WC$41,START!$C$3,($N53))*-44/12)+($K53*INDEX('DEFAULT DATA'!$NV$9:$WC$41,START!$C$3,($N53+1))*-44/12)+($K53*INDEX('DEFAULT DATA'!$NV$9:$WC$41,START!$C$3,($N53+2))*-44/12)+($K53*INDEX('DEFAULT DATA'!$NV$9:$WC$41,START!$C$3,($N53+3))*-44/12)+($L53*INDEX('DEFAULT DATA'!$NV$9:$WC$41,START!$C$3,($N53+4))*-44/12)+($M53*INDEX('DEFAULT DATA'!$NV$9:$WC$41,START!$C$3,($N53+5))*-44/12)</f>
        <v>0</v>
      </c>
      <c r="AF53" s="77">
        <f>($K53*INDEX('DEFAULT DATA'!$NV$9:$WC$41,START!$C$3,($N53))*-44/12)+($K53*INDEX('DEFAULT DATA'!$NV$9:$WC$41,START!$C$3,($N53+1))*-44/12)+($K53*INDEX('DEFAULT DATA'!$NV$9:$WC$41,START!$C$3,($N53+2))*-44/12)+($K53*INDEX('DEFAULT DATA'!$NV$9:$WC$41,START!$C$3,($N53+3))*-44/12)+($L53*INDEX('DEFAULT DATA'!$NV$9:$WC$41,START!$C$3,($N53+4))*-44/12)+($M53*INDEX('DEFAULT DATA'!$NV$9:$WC$41,START!$C$3,($N53+5))*-44/12)</f>
        <v>0</v>
      </c>
      <c r="AG53" s="77">
        <f>($K53*INDEX('DEFAULT DATA'!$NV$9:$WC$41,START!$C$3,($N53))*-44/12)+($K53*INDEX('DEFAULT DATA'!$NV$9:$WC$41,START!$C$3,($N53+1))*-44/12)+($K53*INDEX('DEFAULT DATA'!$NV$9:$WC$41,START!$C$3,($N53+2))*-44/12)+($K53*INDEX('DEFAULT DATA'!$NV$9:$WC$41,START!$C$3,($N53+3))*-44/12)+($L53*INDEX('DEFAULT DATA'!$NV$9:$WC$41,START!$C$3,($N53+4))*-44/12)+($M53*INDEX('DEFAULT DATA'!$NV$9:$WC$41,START!$C$3,($N53+5))*-44/12)</f>
        <v>0</v>
      </c>
      <c r="AH53" s="77">
        <f>($K53*INDEX('DEFAULT DATA'!$NV$9:$WC$41,START!$C$3,($N53))*-44/12)+($K53*INDEX('DEFAULT DATA'!$NV$9:$WC$41,START!$C$3,($N53+1))*-44/12)+($K53*INDEX('DEFAULT DATA'!$NV$9:$WC$41,START!$C$3,($N53+2))*-44/12)+($K53*INDEX('DEFAULT DATA'!$NV$9:$WC$41,START!$C$3,($N53+3))*-44/12)+($L53*INDEX('DEFAULT DATA'!$NV$9:$WC$41,START!$C$3,($N53+4))*-44/12)+($M53*INDEX('DEFAULT DATA'!$NV$9:$WC$41,START!$C$3,($N53+5))*-44/12)</f>
        <v>0</v>
      </c>
      <c r="AI53" s="77">
        <f>($K53*INDEX('DEFAULT DATA'!$NV$9:$WC$41,START!$C$3,($N53))*-44/12)+($K53*INDEX('DEFAULT DATA'!$NV$9:$WC$41,START!$C$3,($N53+1))*-44/12)+($K53*INDEX('DEFAULT DATA'!$NV$9:$WC$41,START!$C$3,($N53+2))*-44/12)+($K53*INDEX('DEFAULT DATA'!$NV$9:$WC$41,START!$C$3,($N53+3))*-44/12)+($L53*INDEX('DEFAULT DATA'!$NV$9:$WC$41,START!$C$3,($N53+4))*-44/12)+($M53*INDEX('DEFAULT DATA'!$NV$9:$WC$41,START!$C$3,($N53+5))*-44/12)</f>
        <v>0</v>
      </c>
      <c r="AJ53" s="77">
        <f>($K53*INDEX('DEFAULT DATA'!$NV$9:$WC$41,START!$C$3,($N53))*-44/12)+($K53*INDEX('DEFAULT DATA'!$NV$9:$WC$41,START!$C$3,($N53+1))*-44/12)+($K53*INDEX('DEFAULT DATA'!$NV$9:$WC$41,START!$C$3,($N53+2))*-44/12)+($K53*INDEX('DEFAULT DATA'!$NV$9:$WC$41,START!$C$3,($N53+3))*-44/12)+($L53*INDEX('DEFAULT DATA'!$NV$9:$WC$41,START!$C$3,($N53+4))*-44/12)+($M53*INDEX('DEFAULT DATA'!$NV$9:$WC$41,START!$C$3,($N53+5))*-44/12)</f>
        <v>0</v>
      </c>
      <c r="AK53" s="77">
        <f>($K53*INDEX('DEFAULT DATA'!$VR$9:$VW$41,START!$C$3,1)*-44/12)+($K53*INDEX('DEFAULT DATA'!$VR$9:$VW$41,START!$C$3,2)*-44/12)+($K53*INDEX('DEFAULT DATA'!$VR$9:$VW$41,START!$C$3,3)*-44/12)+($K53*INDEX('DEFAULT DATA'!$VR$9:$VW$41,START!$C$3,4)*-44/12)+($L53*INDEX('DEFAULT DATA'!$VR$9:$VW$41,START!$C$3,5)*-44/12)+($M53*INDEX('DEFAULT DATA'!$VR$9:$VW$41,START!$C$3,6)*-44/12)</f>
        <v>0</v>
      </c>
      <c r="AL53" s="77">
        <f>($K53*INDEX('DEFAULT DATA'!$VR$9:$VW$41,START!$C$3,1)*-44/12)+($K53*INDEX('DEFAULT DATA'!$VR$9:$VW$41,START!$C$3,2)*-44/12)+($K53*INDEX('DEFAULT DATA'!$VR$9:$VW$41,START!$C$3,3)*-44/12)+($K53*INDEX('DEFAULT DATA'!$VR$9:$VW$41,START!$C$3,4)*-44/12)+($L53*INDEX('DEFAULT DATA'!$VR$9:$VW$41,START!$C$3,5)*-44/12)+($M53*INDEX('DEFAULT DATA'!$VR$9:$VW$41,START!$C$3,6)*-44/12)</f>
        <v>0</v>
      </c>
      <c r="AM53" s="77">
        <f>($K53*INDEX('DEFAULT DATA'!$VR$9:$VW$41,START!$C$3,1)*-44/12)+($K53*INDEX('DEFAULT DATA'!$VR$9:$VW$41,START!$C$3,2)*-44/12)+($K53*INDEX('DEFAULT DATA'!$VR$9:$VW$41,START!$C$3,3)*-44/12)+($K53*INDEX('DEFAULT DATA'!$VR$9:$VW$41,START!$C$3,4)*-44/12)+($L53*INDEX('DEFAULT DATA'!$VR$9:$VW$41,START!$C$3,5)*-44/12)+($M53*INDEX('DEFAULT DATA'!$VR$9:$VW$41,START!$C$3,6)*-44/12)</f>
        <v>0</v>
      </c>
      <c r="AN53" s="77">
        <f>($K53*INDEX('DEFAULT DATA'!$VR$9:$VW$41,START!$C$3,1)*-44/12)+($K53*INDEX('DEFAULT DATA'!$VR$9:$VW$41,START!$C$3,2)*-44/12)+($K53*INDEX('DEFAULT DATA'!$VR$9:$VW$41,START!$C$3,3)*-44/12)+($K53*INDEX('DEFAULT DATA'!$VR$9:$VW$41,START!$C$3,4)*-44/12)+($L53*INDEX('DEFAULT DATA'!$VR$9:$VW$41,START!$C$3,5)*-44/12)+($M53*INDEX('DEFAULT DATA'!$VR$9:$VW$41,START!$C$3,6)*-44/12)</f>
        <v>0</v>
      </c>
      <c r="AO53" s="77">
        <f>($K53*INDEX('DEFAULT DATA'!$VR$9:$VW$41,START!$C$3,1)*-44/12)+($K53*INDEX('DEFAULT DATA'!$VR$9:$VW$41,START!$C$3,2)*-44/12)+($K53*INDEX('DEFAULT DATA'!$VR$9:$VW$41,START!$C$3,3)*-44/12)+($K53*INDEX('DEFAULT DATA'!$VR$9:$VW$41,START!$C$3,4)*-44/12)+($L53*INDEX('DEFAULT DATA'!$VR$9:$VW$41,START!$C$3,5)*-44/12)+($M53*INDEX('DEFAULT DATA'!$VR$9:$VW$41,START!$C$3,6)*-44/12)</f>
        <v>0</v>
      </c>
      <c r="AP53" s="77">
        <f>($K53*INDEX('DEFAULT DATA'!$VR$9:$VW$41,START!$C$3,1)*-44/12)+($K53*INDEX('DEFAULT DATA'!$VR$9:$VW$41,START!$C$3,2)*-44/12)+($K53*INDEX('DEFAULT DATA'!$VR$9:$VW$41,START!$C$3,3)*-44/12)+($K53*INDEX('DEFAULT DATA'!$VR$9:$VW$41,START!$C$3,4)*-44/12)+($L53*INDEX('DEFAULT DATA'!$VR$9:$VW$41,START!$C$3,5)*-44/12)+($M53*INDEX('DEFAULT DATA'!$VR$9:$VW$41,START!$C$3,6)*-44/12)</f>
        <v>0</v>
      </c>
      <c r="AQ53" s="77">
        <f>($K53*INDEX('DEFAULT DATA'!$VR$9:$VW$41,START!$C$3,1)*-44/12)+($K53*INDEX('DEFAULT DATA'!$VR$9:$VW$41,START!$C$3,2)*-44/12)+($K53*INDEX('DEFAULT DATA'!$VR$9:$VW$41,START!$C$3,3)*-44/12)+($K53*INDEX('DEFAULT DATA'!$VR$9:$VW$41,START!$C$3,4)*-44/12)+($L53*INDEX('DEFAULT DATA'!$VR$9:$VW$41,START!$C$3,5)*-44/12)+($M53*INDEX('DEFAULT DATA'!$VR$9:$VW$41,START!$C$3,6)*-44/12)</f>
        <v>0</v>
      </c>
      <c r="AR53" s="77">
        <f>($K53*INDEX('DEFAULT DATA'!$VR$9:$VW$41,START!$C$3,1)*-44/12)+($K53*INDEX('DEFAULT DATA'!$VR$9:$VW$41,START!$C$3,2)*-44/12)+($K53*INDEX('DEFAULT DATA'!$VR$9:$VW$41,START!$C$3,3)*-44/12)+($K53*INDEX('DEFAULT DATA'!$VR$9:$VW$41,START!$C$3,4)*-44/12)+($L53*INDEX('DEFAULT DATA'!$VR$9:$VW$41,START!$C$3,5)*-44/12)+($M53*INDEX('DEFAULT DATA'!$VR$9:$VW$41,START!$C$3,6)*-44/12)</f>
        <v>0</v>
      </c>
      <c r="AS53" s="77">
        <f>($K53*INDEX('DEFAULT DATA'!$VR$9:$VW$41,START!$C$3,1)*-44/12)+($K53*INDEX('DEFAULT DATA'!$VR$9:$VW$41,START!$C$3,2)*-44/12)+($K53*INDEX('DEFAULT DATA'!$VR$9:$VW$41,START!$C$3,3)*-44/12)+($K53*INDEX('DEFAULT DATA'!$VR$9:$VW$41,START!$C$3,4)*-44/12)+($L53*INDEX('DEFAULT DATA'!$VR$9:$VW$41,START!$C$3,5)*-44/12)+($M53*INDEX('DEFAULT DATA'!$VR$9:$VW$41,START!$C$3,6)*-44/12)</f>
        <v>0</v>
      </c>
      <c r="AT53" s="276">
        <f>($K53*INDEX('DEFAULT DATA'!$VR$9:$VW$41,START!$C$3,1)*-44/12)+($K53*INDEX('DEFAULT DATA'!$VR$9:$VW$41,START!$C$3,2)*-44/12)+($K53*INDEX('DEFAULT DATA'!$VR$9:$VW$41,START!$C$3,3)*-44/12)+($K53*INDEX('DEFAULT DATA'!$VR$9:$VW$41,START!$C$3,4)*-44/12)+($L53*INDEX('DEFAULT DATA'!$VR$9:$VW$41,START!$C$3,5)*-44/12)+($M53*INDEX('DEFAULT DATA'!$VR$9:$VW$41,START!$C$3,6)*-44/12)</f>
        <v>0</v>
      </c>
      <c r="AV53" s="1097" t="str">
        <f t="shared" si="42"/>
        <v>(INPUT1*CSC_COL133*-44/12)+(INPUT1*CSC_COL134*-44/12)+(INPUT1*CSC_COL135*-44/12)+(INPUT1*CSC_COL136*-44/12)+(INPUT2*CSC_COL137*-44/12)+(INPUT3*CSC_COL138*-44/12)</v>
      </c>
      <c r="AW53" s="1087" t="s">
        <v>3043</v>
      </c>
      <c r="AX53" s="1087" t="s">
        <v>3043</v>
      </c>
      <c r="AY53" s="1087" t="s">
        <v>3043</v>
      </c>
      <c r="AZ53" s="1087" t="s">
        <v>3043</v>
      </c>
      <c r="BA53" s="1087" t="s">
        <v>3043</v>
      </c>
      <c r="BB53" s="1087" t="s">
        <v>3043</v>
      </c>
      <c r="BC53" s="1087" t="s">
        <v>3043</v>
      </c>
      <c r="BD53" s="1087" t="s">
        <v>3043</v>
      </c>
      <c r="BE53" s="1087" t="s">
        <v>3043</v>
      </c>
      <c r="BF53" s="1087" t="s">
        <v>3043</v>
      </c>
      <c r="BG53" s="1087" t="s">
        <v>3043</v>
      </c>
      <c r="BH53" s="1087" t="s">
        <v>3043</v>
      </c>
      <c r="BI53" s="1087" t="s">
        <v>3043</v>
      </c>
      <c r="BJ53" s="1087" t="s">
        <v>3043</v>
      </c>
      <c r="BK53" s="1087" t="s">
        <v>3043</v>
      </c>
      <c r="BL53" s="1087" t="s">
        <v>3043</v>
      </c>
      <c r="BM53" s="1087" t="s">
        <v>3043</v>
      </c>
      <c r="BN53" s="1087" t="s">
        <v>3043</v>
      </c>
      <c r="BO53" s="1087" t="s">
        <v>3043</v>
      </c>
      <c r="BP53" s="1120" t="s">
        <v>3055</v>
      </c>
      <c r="BQ53" s="1113" t="s">
        <v>3045</v>
      </c>
      <c r="BR53" s="1113" t="s">
        <v>3045</v>
      </c>
      <c r="BS53" s="1113" t="s">
        <v>3045</v>
      </c>
      <c r="BT53" s="1113" t="s">
        <v>3045</v>
      </c>
      <c r="BU53" s="1113" t="s">
        <v>3045</v>
      </c>
      <c r="BV53" s="1113" t="s">
        <v>3045</v>
      </c>
      <c r="BW53" s="1113" t="s">
        <v>3045</v>
      </c>
      <c r="BX53" s="1113" t="s">
        <v>3045</v>
      </c>
      <c r="BY53" s="1114" t="s">
        <v>3045</v>
      </c>
    </row>
    <row r="54" spans="1:77" ht="20.100000000000001" customHeight="1" thickBot="1">
      <c r="A54" s="254"/>
      <c r="B54" s="903" t="s">
        <v>544</v>
      </c>
      <c r="C54" s="668"/>
      <c r="D54" s="668"/>
      <c r="E54" s="616">
        <v>0</v>
      </c>
      <c r="F54" s="1451">
        <f t="shared" si="44"/>
        <v>0</v>
      </c>
      <c r="G54" s="617">
        <v>0</v>
      </c>
      <c r="H54" s="668">
        <v>1</v>
      </c>
      <c r="I54" s="291"/>
      <c r="J54" s="124"/>
      <c r="K54" s="313">
        <f>E66</f>
        <v>0</v>
      </c>
      <c r="L54" s="314">
        <f t="shared" si="39"/>
        <v>0</v>
      </c>
      <c r="M54" s="314">
        <f t="shared" si="40"/>
        <v>0</v>
      </c>
      <c r="N54" s="155">
        <f t="shared" si="43"/>
        <v>115</v>
      </c>
      <c r="O54" s="315" t="s">
        <v>524</v>
      </c>
      <c r="P54" s="316">
        <f t="shared" si="41"/>
        <v>2022</v>
      </c>
      <c r="Q54" s="273">
        <f>($K54*INDEX('DEFAULT DATA'!$NV$9:$WC$41,START!$C$3,($N54))*-44/12)+($K54*INDEX('DEFAULT DATA'!$NV$9:$WC$41,START!$C$3,($N54+1))*-44/12)+($K54*INDEX('DEFAULT DATA'!$NV$9:$WC$41,START!$C$3,($N54+2))*-44/12)+($K54*INDEX('DEFAULT DATA'!$NV$9:$WC$41,START!$C$3,($N54+3))*-44/12)+($L54*INDEX('DEFAULT DATA'!$NV$9:$WC$41,START!$C$3,($N54+4))*-44/12)+($M54*INDEX('DEFAULT DATA'!$NV$9:$WC$41,START!$C$3,($N54+5))*-44/12)</f>
        <v>0</v>
      </c>
      <c r="R54" s="273">
        <f>($K54*INDEX('DEFAULT DATA'!$NV$9:$WC$41,START!$C$3,($N54))*-44/12)+($K54*INDEX('DEFAULT DATA'!$NV$9:$WC$41,START!$C$3,($N54+1))*-44/12)+($K54*INDEX('DEFAULT DATA'!$NV$9:$WC$41,START!$C$3,($N54+2))*-44/12)+($K54*INDEX('DEFAULT DATA'!$NV$9:$WC$41,START!$C$3,($N54+3))*-44/12)+($L54*INDEX('DEFAULT DATA'!$NV$9:$WC$41,START!$C$3,($N54+4))*-44/12)+($M54*INDEX('DEFAULT DATA'!$NV$9:$WC$41,START!$C$3,($N54+5))*-44/12)</f>
        <v>0</v>
      </c>
      <c r="S54" s="273">
        <f>($K54*INDEX('DEFAULT DATA'!$NV$9:$WC$41,START!$C$3,($N54))*-44/12)+($K54*INDEX('DEFAULT DATA'!$NV$9:$WC$41,START!$C$3,($N54+1))*-44/12)+($K54*INDEX('DEFAULT DATA'!$NV$9:$WC$41,START!$C$3,($N54+2))*-44/12)+($K54*INDEX('DEFAULT DATA'!$NV$9:$WC$41,START!$C$3,($N54+3))*-44/12)+($L54*INDEX('DEFAULT DATA'!$NV$9:$WC$41,START!$C$3,($N54+4))*-44/12)+($M54*INDEX('DEFAULT DATA'!$NV$9:$WC$41,START!$C$3,($N54+5))*-44/12)</f>
        <v>0</v>
      </c>
      <c r="T54" s="273">
        <f>($K54*INDEX('DEFAULT DATA'!$NV$9:$WC$41,START!$C$3,($N54))*-44/12)+($K54*INDEX('DEFAULT DATA'!$NV$9:$WC$41,START!$C$3,($N54+1))*-44/12)+($K54*INDEX('DEFAULT DATA'!$NV$9:$WC$41,START!$C$3,($N54+2))*-44/12)+($K54*INDEX('DEFAULT DATA'!$NV$9:$WC$41,START!$C$3,($N54+3))*-44/12)+($L54*INDEX('DEFAULT DATA'!$NV$9:$WC$41,START!$C$3,($N54+4))*-44/12)+($M54*INDEX('DEFAULT DATA'!$NV$9:$WC$41,START!$C$3,($N54+5))*-44/12)</f>
        <v>0</v>
      </c>
      <c r="U54" s="273">
        <f>($K54*INDEX('DEFAULT DATA'!$NV$9:$WC$41,START!$C$3,($N54))*-44/12)+($K54*INDEX('DEFAULT DATA'!$NV$9:$WC$41,START!$C$3,($N54+1))*-44/12)+($K54*INDEX('DEFAULT DATA'!$NV$9:$WC$41,START!$C$3,($N54+2))*-44/12)+($K54*INDEX('DEFAULT DATA'!$NV$9:$WC$41,START!$C$3,($N54+3))*-44/12)+($L54*INDEX('DEFAULT DATA'!$NV$9:$WC$41,START!$C$3,($N54+4))*-44/12)+($M54*INDEX('DEFAULT DATA'!$NV$9:$WC$41,START!$C$3,($N54+5))*-44/12)</f>
        <v>0</v>
      </c>
      <c r="V54" s="273">
        <f>($K54*INDEX('DEFAULT DATA'!$NV$9:$WC$41,START!$C$3,($N54))*-44/12)+($K54*INDEX('DEFAULT DATA'!$NV$9:$WC$41,START!$C$3,($N54+1))*-44/12)+($K54*INDEX('DEFAULT DATA'!$NV$9:$WC$41,START!$C$3,($N54+2))*-44/12)+($K54*INDEX('DEFAULT DATA'!$NV$9:$WC$41,START!$C$3,($N54+3))*-44/12)+($L54*INDEX('DEFAULT DATA'!$NV$9:$WC$41,START!$C$3,($N54+4))*-44/12)+($M54*INDEX('DEFAULT DATA'!$NV$9:$WC$41,START!$C$3,($N54+5))*-44/12)</f>
        <v>0</v>
      </c>
      <c r="W54" s="273">
        <f>($K54*INDEX('DEFAULT DATA'!$NV$9:$WC$41,START!$C$3,($N54))*-44/12)+($K54*INDEX('DEFAULT DATA'!$NV$9:$WC$41,START!$C$3,($N54+1))*-44/12)+($K54*INDEX('DEFAULT DATA'!$NV$9:$WC$41,START!$C$3,($N54+2))*-44/12)+($K54*INDEX('DEFAULT DATA'!$NV$9:$WC$41,START!$C$3,($N54+3))*-44/12)+($L54*INDEX('DEFAULT DATA'!$NV$9:$WC$41,START!$C$3,($N54+4))*-44/12)+($M54*INDEX('DEFAULT DATA'!$NV$9:$WC$41,START!$C$3,($N54+5))*-44/12)</f>
        <v>0</v>
      </c>
      <c r="X54" s="273">
        <f>($K54*INDEX('DEFAULT DATA'!$NV$9:$WC$41,START!$C$3,($N54))*-44/12)+($K54*INDEX('DEFAULT DATA'!$NV$9:$WC$41,START!$C$3,($N54+1))*-44/12)+($K54*INDEX('DEFAULT DATA'!$NV$9:$WC$41,START!$C$3,($N54+2))*-44/12)+($K54*INDEX('DEFAULT DATA'!$NV$9:$WC$41,START!$C$3,($N54+3))*-44/12)+($L54*INDEX('DEFAULT DATA'!$NV$9:$WC$41,START!$C$3,($N54+4))*-44/12)+($M54*INDEX('DEFAULT DATA'!$NV$9:$WC$41,START!$C$3,($N54+5))*-44/12)</f>
        <v>0</v>
      </c>
      <c r="Y54" s="273">
        <f>($K54*INDEX('DEFAULT DATA'!$NV$9:$WC$41,START!$C$3,($N54))*-44/12)+($K54*INDEX('DEFAULT DATA'!$NV$9:$WC$41,START!$C$3,($N54+1))*-44/12)+($K54*INDEX('DEFAULT DATA'!$NV$9:$WC$41,START!$C$3,($N54+2))*-44/12)+($K54*INDEX('DEFAULT DATA'!$NV$9:$WC$41,START!$C$3,($N54+3))*-44/12)+($L54*INDEX('DEFAULT DATA'!$NV$9:$WC$41,START!$C$3,($N54+4))*-44/12)+($M54*INDEX('DEFAULT DATA'!$NV$9:$WC$41,START!$C$3,($N54+5))*-44/12)</f>
        <v>0</v>
      </c>
      <c r="Z54" s="273">
        <f>($K54*INDEX('DEFAULT DATA'!$NV$9:$WC$41,START!$C$3,($N54))*-44/12)+($K54*INDEX('DEFAULT DATA'!$NV$9:$WC$41,START!$C$3,($N54+1))*-44/12)+($K54*INDEX('DEFAULT DATA'!$NV$9:$WC$41,START!$C$3,($N54+2))*-44/12)+($K54*INDEX('DEFAULT DATA'!$NV$9:$WC$41,START!$C$3,($N54+3))*-44/12)+($L54*INDEX('DEFAULT DATA'!$NV$9:$WC$41,START!$C$3,($N54+4))*-44/12)+($M54*INDEX('DEFAULT DATA'!$NV$9:$WC$41,START!$C$3,($N54+5))*-44/12)</f>
        <v>0</v>
      </c>
      <c r="AA54" s="273">
        <f>($K54*INDEX('DEFAULT DATA'!$NV$9:$WC$41,START!$C$3,($N54))*-44/12)+($K54*INDEX('DEFAULT DATA'!$NV$9:$WC$41,START!$C$3,($N54+1))*-44/12)+($K54*INDEX('DEFAULT DATA'!$NV$9:$WC$41,START!$C$3,($N54+2))*-44/12)+($K54*INDEX('DEFAULT DATA'!$NV$9:$WC$41,START!$C$3,($N54+3))*-44/12)+($L54*INDEX('DEFAULT DATA'!$NV$9:$WC$41,START!$C$3,($N54+4))*-44/12)+($M54*INDEX('DEFAULT DATA'!$NV$9:$WC$41,START!$C$3,($N54+5))*-44/12)</f>
        <v>0</v>
      </c>
      <c r="AB54" s="273">
        <f>($K54*INDEX('DEFAULT DATA'!$NV$9:$WC$41,START!$C$3,($N54))*-44/12)+($K54*INDEX('DEFAULT DATA'!$NV$9:$WC$41,START!$C$3,($N54+1))*-44/12)+($K54*INDEX('DEFAULT DATA'!$NV$9:$WC$41,START!$C$3,($N54+2))*-44/12)+($K54*INDEX('DEFAULT DATA'!$NV$9:$WC$41,START!$C$3,($N54+3))*-44/12)+($L54*INDEX('DEFAULT DATA'!$NV$9:$WC$41,START!$C$3,($N54+4))*-44/12)+($M54*INDEX('DEFAULT DATA'!$NV$9:$WC$41,START!$C$3,($N54+5))*-44/12)</f>
        <v>0</v>
      </c>
      <c r="AC54" s="273">
        <f>($K54*INDEX('DEFAULT DATA'!$NV$9:$WC$41,START!$C$3,($N54))*-44/12)+($K54*INDEX('DEFAULT DATA'!$NV$9:$WC$41,START!$C$3,($N54+1))*-44/12)+($K54*INDEX('DEFAULT DATA'!$NV$9:$WC$41,START!$C$3,($N54+2))*-44/12)+($K54*INDEX('DEFAULT DATA'!$NV$9:$WC$41,START!$C$3,($N54+3))*-44/12)+($L54*INDEX('DEFAULT DATA'!$NV$9:$WC$41,START!$C$3,($N54+4))*-44/12)+($M54*INDEX('DEFAULT DATA'!$NV$9:$WC$41,START!$C$3,($N54+5))*-44/12)</f>
        <v>0</v>
      </c>
      <c r="AD54" s="273">
        <f>($K54*INDEX('DEFAULT DATA'!$NV$9:$WC$41,START!$C$3,($N54))*-44/12)+($K54*INDEX('DEFAULT DATA'!$NV$9:$WC$41,START!$C$3,($N54+1))*-44/12)+($K54*INDEX('DEFAULT DATA'!$NV$9:$WC$41,START!$C$3,($N54+2))*-44/12)+($K54*INDEX('DEFAULT DATA'!$NV$9:$WC$41,START!$C$3,($N54+3))*-44/12)+($L54*INDEX('DEFAULT DATA'!$NV$9:$WC$41,START!$C$3,($N54+4))*-44/12)+($M54*INDEX('DEFAULT DATA'!$NV$9:$WC$41,START!$C$3,($N54+5))*-44/12)</f>
        <v>0</v>
      </c>
      <c r="AE54" s="273">
        <f>($K54*INDEX('DEFAULT DATA'!$NV$9:$WC$41,START!$C$3,($N54))*-44/12)+($K54*INDEX('DEFAULT DATA'!$NV$9:$WC$41,START!$C$3,($N54+1))*-44/12)+($K54*INDEX('DEFAULT DATA'!$NV$9:$WC$41,START!$C$3,($N54+2))*-44/12)+($K54*INDEX('DEFAULT DATA'!$NV$9:$WC$41,START!$C$3,($N54+3))*-44/12)+($L54*INDEX('DEFAULT DATA'!$NV$9:$WC$41,START!$C$3,($N54+4))*-44/12)+($M54*INDEX('DEFAULT DATA'!$NV$9:$WC$41,START!$C$3,($N54+5))*-44/12)</f>
        <v>0</v>
      </c>
      <c r="AF54" s="273">
        <f>($K54*INDEX('DEFAULT DATA'!$NV$9:$WC$41,START!$C$3,($N54))*-44/12)+($K54*INDEX('DEFAULT DATA'!$NV$9:$WC$41,START!$C$3,($N54+1))*-44/12)+($K54*INDEX('DEFAULT DATA'!$NV$9:$WC$41,START!$C$3,($N54+2))*-44/12)+($K54*INDEX('DEFAULT DATA'!$NV$9:$WC$41,START!$C$3,($N54+3))*-44/12)+($L54*INDEX('DEFAULT DATA'!$NV$9:$WC$41,START!$C$3,($N54+4))*-44/12)+($M54*INDEX('DEFAULT DATA'!$NV$9:$WC$41,START!$C$3,($N54+5))*-44/12)</f>
        <v>0</v>
      </c>
      <c r="AG54" s="273">
        <f>($K54*INDEX('DEFAULT DATA'!$NV$9:$WC$41,START!$C$3,($N54))*-44/12)+($K54*INDEX('DEFAULT DATA'!$NV$9:$WC$41,START!$C$3,($N54+1))*-44/12)+($K54*INDEX('DEFAULT DATA'!$NV$9:$WC$41,START!$C$3,($N54+2))*-44/12)+($K54*INDEX('DEFAULT DATA'!$NV$9:$WC$41,START!$C$3,($N54+3))*-44/12)+($L54*INDEX('DEFAULT DATA'!$NV$9:$WC$41,START!$C$3,($N54+4))*-44/12)+($M54*INDEX('DEFAULT DATA'!$NV$9:$WC$41,START!$C$3,($N54+5))*-44/12)</f>
        <v>0</v>
      </c>
      <c r="AH54" s="273">
        <f>($K54*INDEX('DEFAULT DATA'!$NV$9:$WC$41,START!$C$3,($N54))*-44/12)+($K54*INDEX('DEFAULT DATA'!$NV$9:$WC$41,START!$C$3,($N54+1))*-44/12)+($K54*INDEX('DEFAULT DATA'!$NV$9:$WC$41,START!$C$3,($N54+2))*-44/12)+($K54*INDEX('DEFAULT DATA'!$NV$9:$WC$41,START!$C$3,($N54+3))*-44/12)+($L54*INDEX('DEFAULT DATA'!$NV$9:$WC$41,START!$C$3,($N54+4))*-44/12)+($M54*INDEX('DEFAULT DATA'!$NV$9:$WC$41,START!$C$3,($N54+5))*-44/12)</f>
        <v>0</v>
      </c>
      <c r="AI54" s="273">
        <f>($K54*INDEX('DEFAULT DATA'!$NV$9:$WC$41,START!$C$3,($N54))*-44/12)+($K54*INDEX('DEFAULT DATA'!$NV$9:$WC$41,START!$C$3,($N54+1))*-44/12)+($K54*INDEX('DEFAULT DATA'!$NV$9:$WC$41,START!$C$3,($N54+2))*-44/12)+($K54*INDEX('DEFAULT DATA'!$NV$9:$WC$41,START!$C$3,($N54+3))*-44/12)+($L54*INDEX('DEFAULT DATA'!$NV$9:$WC$41,START!$C$3,($N54+4))*-44/12)+($M54*INDEX('DEFAULT DATA'!$NV$9:$WC$41,START!$C$3,($N54+5))*-44/12)</f>
        <v>0</v>
      </c>
      <c r="AJ54" s="273">
        <f>($K54*INDEX('DEFAULT DATA'!$NV$9:$WC$41,START!$C$3,($N54))*-44/12)+($K54*INDEX('DEFAULT DATA'!$NV$9:$WC$41,START!$C$3,($N54+1))*-44/12)+($K54*INDEX('DEFAULT DATA'!$NV$9:$WC$41,START!$C$3,($N54+2))*-44/12)+($K54*INDEX('DEFAULT DATA'!$NV$9:$WC$41,START!$C$3,($N54+3))*-44/12)+($L54*INDEX('DEFAULT DATA'!$NV$9:$WC$41,START!$C$3,($N54+4))*-44/12)+($M54*INDEX('DEFAULT DATA'!$NV$9:$WC$41,START!$C$3,($N54+5))*-44/12)</f>
        <v>0</v>
      </c>
      <c r="AK54" s="273">
        <f>($K54*INDEX('DEFAULT DATA'!$VR$9:$VW$41,START!$C$3,1)*-44/12)+($K54*INDEX('DEFAULT DATA'!$VR$9:$VW$41,START!$C$3,2)*-44/12)+($K54*INDEX('DEFAULT DATA'!$VR$9:$VW$41,START!$C$3,3)*-44/12)+($K54*INDEX('DEFAULT DATA'!$VR$9:$VW$41,START!$C$3,4)*-44/12)+($L54*INDEX('DEFAULT DATA'!$VR$9:$VW$41,START!$C$3,5)*-44/12)+($M54*INDEX('DEFAULT DATA'!$VR$9:$VW$41,START!$C$3,6)*-44/12)</f>
        <v>0</v>
      </c>
      <c r="AL54" s="273">
        <f>($K54*INDEX('DEFAULT DATA'!$VR$9:$VW$41,START!$C$3,1)*-44/12)+($K54*INDEX('DEFAULT DATA'!$VR$9:$VW$41,START!$C$3,2)*-44/12)+($K54*INDEX('DEFAULT DATA'!$VR$9:$VW$41,START!$C$3,3)*-44/12)+($K54*INDEX('DEFAULT DATA'!$VR$9:$VW$41,START!$C$3,4)*-44/12)+($L54*INDEX('DEFAULT DATA'!$VR$9:$VW$41,START!$C$3,5)*-44/12)+($M54*INDEX('DEFAULT DATA'!$VR$9:$VW$41,START!$C$3,6)*-44/12)</f>
        <v>0</v>
      </c>
      <c r="AM54" s="273">
        <f>($K54*INDEX('DEFAULT DATA'!$VR$9:$VW$41,START!$C$3,1)*-44/12)+($K54*INDEX('DEFAULT DATA'!$VR$9:$VW$41,START!$C$3,2)*-44/12)+($K54*INDEX('DEFAULT DATA'!$VR$9:$VW$41,START!$C$3,3)*-44/12)+($K54*INDEX('DEFAULT DATA'!$VR$9:$VW$41,START!$C$3,4)*-44/12)+($L54*INDEX('DEFAULT DATA'!$VR$9:$VW$41,START!$C$3,5)*-44/12)+($M54*INDEX('DEFAULT DATA'!$VR$9:$VW$41,START!$C$3,6)*-44/12)</f>
        <v>0</v>
      </c>
      <c r="AN54" s="273">
        <f>($K54*INDEX('DEFAULT DATA'!$VR$9:$VW$41,START!$C$3,1)*-44/12)+($K54*INDEX('DEFAULT DATA'!$VR$9:$VW$41,START!$C$3,2)*-44/12)+($K54*INDEX('DEFAULT DATA'!$VR$9:$VW$41,START!$C$3,3)*-44/12)+($K54*INDEX('DEFAULT DATA'!$VR$9:$VW$41,START!$C$3,4)*-44/12)+($L54*INDEX('DEFAULT DATA'!$VR$9:$VW$41,START!$C$3,5)*-44/12)+($M54*INDEX('DEFAULT DATA'!$VR$9:$VW$41,START!$C$3,6)*-44/12)</f>
        <v>0</v>
      </c>
      <c r="AO54" s="273">
        <f>($K54*INDEX('DEFAULT DATA'!$VR$9:$VW$41,START!$C$3,1)*-44/12)+($K54*INDEX('DEFAULT DATA'!$VR$9:$VW$41,START!$C$3,2)*-44/12)+($K54*INDEX('DEFAULT DATA'!$VR$9:$VW$41,START!$C$3,3)*-44/12)+($K54*INDEX('DEFAULT DATA'!$VR$9:$VW$41,START!$C$3,4)*-44/12)+($L54*INDEX('DEFAULT DATA'!$VR$9:$VW$41,START!$C$3,5)*-44/12)+($M54*INDEX('DEFAULT DATA'!$VR$9:$VW$41,START!$C$3,6)*-44/12)</f>
        <v>0</v>
      </c>
      <c r="AP54" s="273">
        <f>($K54*INDEX('DEFAULT DATA'!$VR$9:$VW$41,START!$C$3,1)*-44/12)+($K54*INDEX('DEFAULT DATA'!$VR$9:$VW$41,START!$C$3,2)*-44/12)+($K54*INDEX('DEFAULT DATA'!$VR$9:$VW$41,START!$C$3,3)*-44/12)+($K54*INDEX('DEFAULT DATA'!$VR$9:$VW$41,START!$C$3,4)*-44/12)+($L54*INDEX('DEFAULT DATA'!$VR$9:$VW$41,START!$C$3,5)*-44/12)+($M54*INDEX('DEFAULT DATA'!$VR$9:$VW$41,START!$C$3,6)*-44/12)</f>
        <v>0</v>
      </c>
      <c r="AQ54" s="273">
        <f>($K54*INDEX('DEFAULT DATA'!$VR$9:$VW$41,START!$C$3,1)*-44/12)+($K54*INDEX('DEFAULT DATA'!$VR$9:$VW$41,START!$C$3,2)*-44/12)+($K54*INDEX('DEFAULT DATA'!$VR$9:$VW$41,START!$C$3,3)*-44/12)+($K54*INDEX('DEFAULT DATA'!$VR$9:$VW$41,START!$C$3,4)*-44/12)+($L54*INDEX('DEFAULT DATA'!$VR$9:$VW$41,START!$C$3,5)*-44/12)+($M54*INDEX('DEFAULT DATA'!$VR$9:$VW$41,START!$C$3,6)*-44/12)</f>
        <v>0</v>
      </c>
      <c r="AR54" s="273">
        <f>($K54*INDEX('DEFAULT DATA'!$VR$9:$VW$41,START!$C$3,1)*-44/12)+($K54*INDEX('DEFAULT DATA'!$VR$9:$VW$41,START!$C$3,2)*-44/12)+($K54*INDEX('DEFAULT DATA'!$VR$9:$VW$41,START!$C$3,3)*-44/12)+($K54*INDEX('DEFAULT DATA'!$VR$9:$VW$41,START!$C$3,4)*-44/12)+($L54*INDEX('DEFAULT DATA'!$VR$9:$VW$41,START!$C$3,5)*-44/12)+($M54*INDEX('DEFAULT DATA'!$VR$9:$VW$41,START!$C$3,6)*-44/12)</f>
        <v>0</v>
      </c>
      <c r="AS54" s="273">
        <f>($K54*INDEX('DEFAULT DATA'!$VR$9:$VW$41,START!$C$3,1)*-44/12)+($K54*INDEX('DEFAULT DATA'!$VR$9:$VW$41,START!$C$3,2)*-44/12)+($K54*INDEX('DEFAULT DATA'!$VR$9:$VW$41,START!$C$3,3)*-44/12)+($K54*INDEX('DEFAULT DATA'!$VR$9:$VW$41,START!$C$3,4)*-44/12)+($L54*INDEX('DEFAULT DATA'!$VR$9:$VW$41,START!$C$3,5)*-44/12)+($M54*INDEX('DEFAULT DATA'!$VR$9:$VW$41,START!$C$3,6)*-44/12)</f>
        <v>0</v>
      </c>
      <c r="AT54" s="282">
        <f>($K54*INDEX('DEFAULT DATA'!$VR$9:$VW$41,START!$C$3,1)*-44/12)+($K54*INDEX('DEFAULT DATA'!$VR$9:$VW$41,START!$C$3,2)*-44/12)+($K54*INDEX('DEFAULT DATA'!$VR$9:$VW$41,START!$C$3,3)*-44/12)+($K54*INDEX('DEFAULT DATA'!$VR$9:$VW$41,START!$C$3,4)*-44/12)+($L54*INDEX('DEFAULT DATA'!$VR$9:$VW$41,START!$C$3,5)*-44/12)+($M54*INDEX('DEFAULT DATA'!$VR$9:$VW$41,START!$C$3,6)*-44/12)</f>
        <v>0</v>
      </c>
      <c r="AV54" s="1098" t="str">
        <f t="shared" si="42"/>
        <v>(INPUT1*CSC_COL139*-44/12)+(INPUT1*CSC_COL140*-44/12)+(INPUT1*CSC_COL141*-44/12)+(INPUT1*CSC_COL142*-44/12)+(INPUT2*CSC_COL143*-44/12)+(INPUT3*CSC_COL144*-44/12)</v>
      </c>
      <c r="AW54" s="1099" t="s">
        <v>3043</v>
      </c>
      <c r="AX54" s="1099" t="s">
        <v>3043</v>
      </c>
      <c r="AY54" s="1099" t="s">
        <v>3043</v>
      </c>
      <c r="AZ54" s="1099" t="s">
        <v>3043</v>
      </c>
      <c r="BA54" s="1099" t="s">
        <v>3043</v>
      </c>
      <c r="BB54" s="1099" t="s">
        <v>3043</v>
      </c>
      <c r="BC54" s="1099" t="s">
        <v>3043</v>
      </c>
      <c r="BD54" s="1099" t="s">
        <v>3043</v>
      </c>
      <c r="BE54" s="1099" t="s">
        <v>3043</v>
      </c>
      <c r="BF54" s="1099" t="s">
        <v>3043</v>
      </c>
      <c r="BG54" s="1099" t="s">
        <v>3043</v>
      </c>
      <c r="BH54" s="1099" t="s">
        <v>3043</v>
      </c>
      <c r="BI54" s="1099" t="s">
        <v>3043</v>
      </c>
      <c r="BJ54" s="1099" t="s">
        <v>3043</v>
      </c>
      <c r="BK54" s="1099" t="s">
        <v>3043</v>
      </c>
      <c r="BL54" s="1099" t="s">
        <v>3043</v>
      </c>
      <c r="BM54" s="1099" t="s">
        <v>3043</v>
      </c>
      <c r="BN54" s="1099" t="s">
        <v>3043</v>
      </c>
      <c r="BO54" s="1099" t="s">
        <v>3043</v>
      </c>
      <c r="BP54" s="1118" t="s">
        <v>3055</v>
      </c>
      <c r="BQ54" s="1115" t="s">
        <v>3045</v>
      </c>
      <c r="BR54" s="1115" t="s">
        <v>3045</v>
      </c>
      <c r="BS54" s="1115" t="s">
        <v>3045</v>
      </c>
      <c r="BT54" s="1115" t="s">
        <v>3045</v>
      </c>
      <c r="BU54" s="1115" t="s">
        <v>3045</v>
      </c>
      <c r="BV54" s="1115" t="s">
        <v>3045</v>
      </c>
      <c r="BW54" s="1115" t="s">
        <v>3045</v>
      </c>
      <c r="BX54" s="1115" t="s">
        <v>3045</v>
      </c>
      <c r="BY54" s="1116" t="s">
        <v>3045</v>
      </c>
    </row>
    <row r="55" spans="1:77" ht="20.100000000000001" customHeight="1">
      <c r="A55" s="254"/>
      <c r="B55" s="903" t="s">
        <v>545</v>
      </c>
      <c r="C55" s="668"/>
      <c r="D55" s="668"/>
      <c r="E55" s="616">
        <v>0</v>
      </c>
      <c r="F55" s="1451">
        <f t="shared" si="44"/>
        <v>0</v>
      </c>
      <c r="G55" s="617">
        <v>0</v>
      </c>
      <c r="H55" s="668">
        <v>1</v>
      </c>
      <c r="I55" s="291"/>
      <c r="J55" s="124"/>
      <c r="K55" s="306">
        <f t="shared" si="38"/>
        <v>100</v>
      </c>
      <c r="L55" s="210">
        <f t="shared" si="39"/>
        <v>100</v>
      </c>
      <c r="M55" s="210">
        <f t="shared" si="40"/>
        <v>0</v>
      </c>
      <c r="N55" s="152">
        <f t="shared" si="43"/>
        <v>121</v>
      </c>
      <c r="O55" s="307" t="s">
        <v>508</v>
      </c>
      <c r="P55" s="308">
        <f t="shared" si="41"/>
        <v>2038</v>
      </c>
      <c r="Q55" s="205">
        <f>($K55*INDEX('DEFAULT DATA'!$NV$9:$WC$41,START!$C$3,($N55))*-44/12)+($K55*INDEX('DEFAULT DATA'!$NV$9:$WC$41,START!$C$3,($N55+1))*-44/12)+($K55*INDEX('DEFAULT DATA'!$NV$9:$WC$41,START!$C$3,($N55+2))*-44/12)+($K55*INDEX('DEFAULT DATA'!$NV$9:$WC$41,START!$C$3,($N55+3))*-44/12)+($L55*INDEX('DEFAULT DATA'!$NV$9:$WC$41,START!$C$3,($N55+4))*-44/12)+($M55*INDEX('DEFAULT DATA'!$NV$9:$WC$41,START!$C$3,($N55+5))*-44/12)</f>
        <v>44056.132026019957</v>
      </c>
      <c r="R55" s="205">
        <f>($L55*INDEX('DEFAULT DATA'!$NV$9:$WC$41,START!$C$3,($N55+4))*-44/12)+($M55*INDEX('DEFAULT DATA'!$NV$9:$WC$41,START!$C$3,($N55+5))*-44/12)</f>
        <v>968</v>
      </c>
      <c r="S55" s="205">
        <f>($L55*INDEX('DEFAULT DATA'!$NV$9:$WC$41,START!$C$3,($N55+4))*-44/12)+($M55*INDEX('DEFAULT DATA'!$NV$9:$WC$41,START!$C$3,($N55+5))*-44/12)</f>
        <v>968</v>
      </c>
      <c r="T55" s="205">
        <f>($L55*INDEX('DEFAULT DATA'!$NV$9:$WC$41,START!$C$3,($N55+4))*-44/12)+($M55*INDEX('DEFAULT DATA'!$NV$9:$WC$41,START!$C$3,($N55+5))*-44/12)</f>
        <v>968</v>
      </c>
      <c r="U55" s="205">
        <f>($L55*INDEX('DEFAULT DATA'!$NV$9:$WC$41,START!$C$3,($N55+4))*-44/12)+($M55*INDEX('DEFAULT DATA'!$NV$9:$WC$41,START!$C$3,($N55+5))*-44/12)</f>
        <v>968</v>
      </c>
      <c r="V55" s="205">
        <f>($L55*INDEX('DEFAULT DATA'!$NV$9:$WC$41,START!$C$3,($N55+4))*-44/12)+($M55*INDEX('DEFAULT DATA'!$NV$9:$WC$41,START!$C$3,($N55+5))*-44/12)</f>
        <v>968</v>
      </c>
      <c r="W55" s="205">
        <f>($L55*INDEX('DEFAULT DATA'!$NV$9:$WC$41,START!$C$3,($N55+4))*-44/12)+($M55*INDEX('DEFAULT DATA'!$NV$9:$WC$41,START!$C$3,($N55+5))*-44/12)</f>
        <v>968</v>
      </c>
      <c r="X55" s="205">
        <f>($L55*INDEX('DEFAULT DATA'!$NV$9:$WC$41,START!$C$3,($N55+4))*-44/12)+($M55*INDEX('DEFAULT DATA'!$NV$9:$WC$41,START!$C$3,($N55+5))*-44/12)</f>
        <v>968</v>
      </c>
      <c r="Y55" s="205">
        <f>($L55*INDEX('DEFAULT DATA'!$NV$9:$WC$41,START!$C$3,($N55+4))*-44/12)+($M55*INDEX('DEFAULT DATA'!$NV$9:$WC$41,START!$C$3,($N55+5))*-44/12)</f>
        <v>968</v>
      </c>
      <c r="Z55" s="205">
        <f>($L55*INDEX('DEFAULT DATA'!$NV$9:$WC$41,START!$C$3,($N55+4))*-44/12)+($M55*INDEX('DEFAULT DATA'!$NV$9:$WC$41,START!$C$3,($N55+5))*-44/12)</f>
        <v>968</v>
      </c>
      <c r="AA55" s="205">
        <f>($L55*INDEX('DEFAULT DATA'!$NV$9:$WC$41,START!$C$3,($N55+4))*-44/12)+($M55*INDEX('DEFAULT DATA'!$NV$9:$WC$41,START!$C$3,($N55+5))*-44/12)</f>
        <v>968</v>
      </c>
      <c r="AB55" s="205">
        <f>($L55*INDEX('DEFAULT DATA'!$NV$9:$WC$41,START!$C$3,($N55+4))*-44/12)+($M55*INDEX('DEFAULT DATA'!$NV$9:$WC$41,START!$C$3,($N55+5))*-44/12)</f>
        <v>968</v>
      </c>
      <c r="AC55" s="205">
        <f>($L55*INDEX('DEFAULT DATA'!$NV$9:$WC$41,START!$C$3,($N55+4))*-44/12)+($M55*INDEX('DEFAULT DATA'!$NV$9:$WC$41,START!$C$3,($N55+5))*-44/12)</f>
        <v>968</v>
      </c>
      <c r="AD55" s="205">
        <f>($L55*INDEX('DEFAULT DATA'!$NV$9:$WC$41,START!$C$3,($N55+4))*-44/12)+($M55*INDEX('DEFAULT DATA'!$NV$9:$WC$41,START!$C$3,($N55+5))*-44/12)</f>
        <v>968</v>
      </c>
      <c r="AE55" s="205">
        <f>($L55*INDEX('DEFAULT DATA'!$NV$9:$WC$41,START!$C$3,($N55+4))*-44/12)+($M55*INDEX('DEFAULT DATA'!$NV$9:$WC$41,START!$C$3,($N55+5))*-44/12)</f>
        <v>968</v>
      </c>
      <c r="AF55" s="205">
        <f>($L55*INDEX('DEFAULT DATA'!$NV$9:$WC$41,START!$C$3,($N55+4))*-44/12)+($M55*INDEX('DEFAULT DATA'!$NV$9:$WC$41,START!$C$3,($N55+5))*-44/12)</f>
        <v>968</v>
      </c>
      <c r="AG55" s="205">
        <f>($L55*INDEX('DEFAULT DATA'!$NV$9:$WC$41,START!$C$3,($N55+4))*-44/12)+($M55*INDEX('DEFAULT DATA'!$NV$9:$WC$41,START!$C$3,($N55+5))*-44/12)</f>
        <v>968</v>
      </c>
      <c r="AH55" s="205">
        <f>($L55*INDEX('DEFAULT DATA'!$NV$9:$WC$41,START!$C$3,($N55+4))*-44/12)+($M55*INDEX('DEFAULT DATA'!$NV$9:$WC$41,START!$C$3,($N55+5))*-44/12)</f>
        <v>968</v>
      </c>
      <c r="AI55" s="205">
        <f>($L55*INDEX('DEFAULT DATA'!$NV$9:$WC$41,START!$C$3,($N55+4))*-44/12)+($M55*INDEX('DEFAULT DATA'!$NV$9:$WC$41,START!$C$3,($N55+5))*-44/12)</f>
        <v>968</v>
      </c>
      <c r="AJ55" s="205">
        <f>($L55*INDEX('DEFAULT DATA'!$NV$9:$WC$41,START!$C$3,($N55+4))*-44/12)+($M55*INDEX('DEFAULT DATA'!$NV$9:$WC$41,START!$C$3,($N55+5))*-44/12)</f>
        <v>968</v>
      </c>
      <c r="AK55" s="205">
        <f>(($K55*INDEX('DEFAULT DATA'!$VX$9:$WC$41,START!$C$3,1)*-44/12)+($K55*INDEX('DEFAULT DATA'!$VX$9:$WC$41,START!$C$3,2)*-44/12)+($K55*INDEX('DEFAULT DATA'!$VX$9:$WC$41,START!$C$3,3)*-44/12)+($K55*INDEX('DEFAULT DATA'!$VX$9:$WC$41,START!$C$3,4)*-44/12)+($L55*INDEX('DEFAULT DATA'!$VX$9:$WC$41,START!$C$3,5)*-44/12)+($M55*INDEX('DEFAULT DATA'!$VX$9:$WC$41,START!$C$3,6)*-44/12))</f>
        <v>0</v>
      </c>
      <c r="AL55" s="205">
        <f>(($K55*INDEX('DEFAULT DATA'!$VX$9:$WC$41,START!$C$3,1)*-44/12)+($K55*INDEX('DEFAULT DATA'!$VX$9:$WC$41,START!$C$3,2)*-44/12)+($K55*INDEX('DEFAULT DATA'!$VX$9:$WC$41,START!$C$3,3)*-44/12)+($K55*INDEX('DEFAULT DATA'!$VX$9:$WC$41,START!$C$3,4)*-44/12)+($L55*INDEX('DEFAULT DATA'!$VX$9:$WC$41,START!$C$3,5)*-44/12)+($M55*INDEX('DEFAULT DATA'!$VX$9:$WC$41,START!$C$3,6)*-44/12))</f>
        <v>0</v>
      </c>
      <c r="AM55" s="205">
        <f>(($K55*INDEX('DEFAULT DATA'!$VX$9:$WC$41,START!$C$3,1)*-44/12)+($K55*INDEX('DEFAULT DATA'!$VX$9:$WC$41,START!$C$3,2)*-44/12)+($K55*INDEX('DEFAULT DATA'!$VX$9:$WC$41,START!$C$3,3)*-44/12)+($K55*INDEX('DEFAULT DATA'!$VX$9:$WC$41,START!$C$3,4)*-44/12)+($L55*INDEX('DEFAULT DATA'!$VX$9:$WC$41,START!$C$3,5)*-44/12)+($M55*INDEX('DEFAULT DATA'!$VX$9:$WC$41,START!$C$3,6)*-44/12))</f>
        <v>0</v>
      </c>
      <c r="AN55" s="205">
        <f>(($K55*INDEX('DEFAULT DATA'!$VX$9:$WC$41,START!$C$3,1)*-44/12)+($K55*INDEX('DEFAULT DATA'!$VX$9:$WC$41,START!$C$3,2)*-44/12)+($K55*INDEX('DEFAULT DATA'!$VX$9:$WC$41,START!$C$3,3)*-44/12)+($K55*INDEX('DEFAULT DATA'!$VX$9:$WC$41,START!$C$3,4)*-44/12)+($L55*INDEX('DEFAULT DATA'!$VX$9:$WC$41,START!$C$3,5)*-44/12)+($M55*INDEX('DEFAULT DATA'!$VX$9:$WC$41,START!$C$3,6)*-44/12))</f>
        <v>0</v>
      </c>
      <c r="AO55" s="205">
        <f>(($K55*INDEX('DEFAULT DATA'!$VX$9:$WC$41,START!$C$3,1)*-44/12)+($K55*INDEX('DEFAULT DATA'!$VX$9:$WC$41,START!$C$3,2)*-44/12)+($K55*INDEX('DEFAULT DATA'!$VX$9:$WC$41,START!$C$3,3)*-44/12)+($K55*INDEX('DEFAULT DATA'!$VX$9:$WC$41,START!$C$3,4)*-44/12)+($L55*INDEX('DEFAULT DATA'!$VX$9:$WC$41,START!$C$3,5)*-44/12)+($M55*INDEX('DEFAULT DATA'!$VX$9:$WC$41,START!$C$3,6)*-44/12))</f>
        <v>0</v>
      </c>
      <c r="AP55" s="205">
        <f>(($K55*INDEX('DEFAULT DATA'!$VX$9:$WC$41,START!$C$3,1)*-44/12)+($K55*INDEX('DEFAULT DATA'!$VX$9:$WC$41,START!$C$3,2)*-44/12)+($K55*INDEX('DEFAULT DATA'!$VX$9:$WC$41,START!$C$3,3)*-44/12)+($K55*INDEX('DEFAULT DATA'!$VX$9:$WC$41,START!$C$3,4)*-44/12)+($L55*INDEX('DEFAULT DATA'!$VX$9:$WC$41,START!$C$3,5)*-44/12)+($M55*INDEX('DEFAULT DATA'!$VX$9:$WC$41,START!$C$3,6)*-44/12))</f>
        <v>0</v>
      </c>
      <c r="AQ55" s="205">
        <f>(($K55*INDEX('DEFAULT DATA'!$VX$9:$WC$41,START!$C$3,1)*-44/12)+($K55*INDEX('DEFAULT DATA'!$VX$9:$WC$41,START!$C$3,2)*-44/12)+($K55*INDEX('DEFAULT DATA'!$VX$9:$WC$41,START!$C$3,3)*-44/12)+($K55*INDEX('DEFAULT DATA'!$VX$9:$WC$41,START!$C$3,4)*-44/12)+($L55*INDEX('DEFAULT DATA'!$VX$9:$WC$41,START!$C$3,5)*-44/12)+($M55*INDEX('DEFAULT DATA'!$VX$9:$WC$41,START!$C$3,6)*-44/12))</f>
        <v>0</v>
      </c>
      <c r="AR55" s="205">
        <f>(($K55*INDEX('DEFAULT DATA'!$VX$9:$WC$41,START!$C$3,1)*-44/12)+($K55*INDEX('DEFAULT DATA'!$VX$9:$WC$41,START!$C$3,2)*-44/12)+($K55*INDEX('DEFAULT DATA'!$VX$9:$WC$41,START!$C$3,3)*-44/12)+($K55*INDEX('DEFAULT DATA'!$VX$9:$WC$41,START!$C$3,4)*-44/12)+($L55*INDEX('DEFAULT DATA'!$VX$9:$WC$41,START!$C$3,5)*-44/12)+($M55*INDEX('DEFAULT DATA'!$VX$9:$WC$41,START!$C$3,6)*-44/12))</f>
        <v>0</v>
      </c>
      <c r="AS55" s="205">
        <f>(($K55*INDEX('DEFAULT DATA'!$VX$9:$WC$41,START!$C$3,1)*-44/12)+($K55*INDEX('DEFAULT DATA'!$VX$9:$WC$41,START!$C$3,2)*-44/12)+($K55*INDEX('DEFAULT DATA'!$VX$9:$WC$41,START!$C$3,3)*-44/12)+($K55*INDEX('DEFAULT DATA'!$VX$9:$WC$41,START!$C$3,4)*-44/12)+($L55*INDEX('DEFAULT DATA'!$VX$9:$WC$41,START!$C$3,5)*-44/12)+($M55*INDEX('DEFAULT DATA'!$VX$9:$WC$41,START!$C$3,6)*-44/12))</f>
        <v>0</v>
      </c>
      <c r="AT55" s="206">
        <f>(($K55*INDEX('DEFAULT DATA'!$VX$9:$WC$41,START!$C$3,1)*-44/12)+($K55*INDEX('DEFAULT DATA'!$VX$9:$WC$41,START!$C$3,2)*-44/12)+($K55*INDEX('DEFAULT DATA'!$VX$9:$WC$41,START!$C$3,3)*-44/12)+($K55*INDEX('DEFAULT DATA'!$VX$9:$WC$41,START!$C$3,4)*-44/12)+($L55*INDEX('DEFAULT DATA'!$VX$9:$WC$41,START!$C$3,5)*-44/12)+($M55*INDEX('DEFAULT DATA'!$VX$9:$WC$41,START!$C$3,6)*-44/12))</f>
        <v>0</v>
      </c>
      <c r="AV55" s="1103" t="str">
        <f t="shared" si="42"/>
        <v>(INPUT1*CSC_COL145*-44/12)+(INPUT1*CSC_COL146*-44/12)+(INPUT1*CSC_COL147*-44/12)+(INPUT1*CSC_COL148*-44/12)+(INPUT2*CSC_COL149*-44/12)+(INPUT3*CSC_COL150*-44/12)</v>
      </c>
      <c r="AW55" s="1110" t="s">
        <v>3051</v>
      </c>
      <c r="AX55" s="1110" t="s">
        <v>3046</v>
      </c>
      <c r="AY55" s="1110" t="s">
        <v>3046</v>
      </c>
      <c r="AZ55" s="1110" t="s">
        <v>3046</v>
      </c>
      <c r="BA55" s="1110" t="s">
        <v>3046</v>
      </c>
      <c r="BB55" s="1110" t="s">
        <v>3046</v>
      </c>
      <c r="BC55" s="1110" t="s">
        <v>3046</v>
      </c>
      <c r="BD55" s="1110" t="s">
        <v>3046</v>
      </c>
      <c r="BE55" s="1110" t="s">
        <v>3046</v>
      </c>
      <c r="BF55" s="1110" t="s">
        <v>3046</v>
      </c>
      <c r="BG55" s="1110" t="s">
        <v>3046</v>
      </c>
      <c r="BH55" s="1110" t="s">
        <v>3046</v>
      </c>
      <c r="BI55" s="1110" t="s">
        <v>3046</v>
      </c>
      <c r="BJ55" s="1110" t="s">
        <v>3046</v>
      </c>
      <c r="BK55" s="1110" t="s">
        <v>3046</v>
      </c>
      <c r="BL55" s="1110" t="s">
        <v>3046</v>
      </c>
      <c r="BM55" s="1110" t="s">
        <v>3046</v>
      </c>
      <c r="BN55" s="1110" t="s">
        <v>3046</v>
      </c>
      <c r="BO55" s="1110" t="s">
        <v>3046</v>
      </c>
      <c r="BP55" s="1105" t="s">
        <v>3056</v>
      </c>
      <c r="BQ55" s="1104" t="s">
        <v>3045</v>
      </c>
      <c r="BR55" s="1104" t="s">
        <v>3045</v>
      </c>
      <c r="BS55" s="1104" t="s">
        <v>3045</v>
      </c>
      <c r="BT55" s="1104" t="s">
        <v>3045</v>
      </c>
      <c r="BU55" s="1104" t="s">
        <v>3045</v>
      </c>
      <c r="BV55" s="1104" t="s">
        <v>3045</v>
      </c>
      <c r="BW55" s="1104" t="s">
        <v>3045</v>
      </c>
      <c r="BX55" s="1104" t="s">
        <v>3045</v>
      </c>
      <c r="BY55" s="1106" t="s">
        <v>3045</v>
      </c>
    </row>
    <row r="56" spans="1:77" ht="20.100000000000001" customHeight="1" thickBot="1">
      <c r="A56" s="908"/>
      <c r="B56" s="904" t="s">
        <v>546</v>
      </c>
      <c r="C56" s="292"/>
      <c r="D56" s="292"/>
      <c r="E56" s="618">
        <v>0</v>
      </c>
      <c r="F56" s="1451">
        <f t="shared" si="44"/>
        <v>0</v>
      </c>
      <c r="G56" s="619">
        <v>0</v>
      </c>
      <c r="H56" s="292">
        <v>1</v>
      </c>
      <c r="I56" s="293"/>
      <c r="J56" s="124"/>
      <c r="K56" s="309">
        <f t="shared" si="38"/>
        <v>0</v>
      </c>
      <c r="L56" s="310">
        <f t="shared" si="39"/>
        <v>0</v>
      </c>
      <c r="M56" s="310">
        <f t="shared" si="40"/>
        <v>0</v>
      </c>
      <c r="N56" s="81">
        <f>N55+6</f>
        <v>127</v>
      </c>
      <c r="O56" s="311" t="s">
        <v>509</v>
      </c>
      <c r="P56" s="312">
        <f t="shared" si="41"/>
        <v>2022</v>
      </c>
      <c r="Q56" s="77">
        <f>($K56*INDEX('DEFAULT DATA'!$NV$9:$WC$41,START!$C$3,($N56))*-44/12)+($K56*INDEX('DEFAULT DATA'!$NV$9:$WC$41,START!$C$3,($N56+1))*-44/12)+($K56*INDEX('DEFAULT DATA'!$NV$9:$WC$41,START!$C$3,($N56+2))*-44/12)+($K56*INDEX('DEFAULT DATA'!$NV$9:$WC$41,START!$C$3,($N56+3))*-44/12)+($L56*INDEX('DEFAULT DATA'!$NV$9:$WC$41,START!$C$3,($N56+4))*-44/12)+($M56*INDEX('DEFAULT DATA'!$NV$9:$WC$41,START!$C$3,($N56+5))*-44/12)</f>
        <v>0</v>
      </c>
      <c r="R56" s="77">
        <f>($K56*INDEX('DEFAULT DATA'!$NV$9:$WC$41,START!$C$3,($N56))*-44/12)+($K56*INDEX('DEFAULT DATA'!$NV$9:$WC$41,START!$C$3,($N56+1))*-44/12)+($K56*INDEX('DEFAULT DATA'!$NV$9:$WC$41,START!$C$3,($N56+2))*-44/12)+($K56*INDEX('DEFAULT DATA'!$NV$9:$WC$41,START!$C$3,($N56+3))*-44/12)+($L56*INDEX('DEFAULT DATA'!$NV$9:$WC$41,START!$C$3,($N56+4))*-44/12)+($M56*INDEX('DEFAULT DATA'!$NV$9:$WC$41,START!$C$3,($N56+5))*-44/12)</f>
        <v>0</v>
      </c>
      <c r="S56" s="77">
        <f>($K56*INDEX('DEFAULT DATA'!$NV$9:$WC$41,START!$C$3,($N56))*-44/12)+($K56*INDEX('DEFAULT DATA'!$NV$9:$WC$41,START!$C$3,($N56+1))*-44/12)+($K56*INDEX('DEFAULT DATA'!$NV$9:$WC$41,START!$C$3,($N56+2))*-44/12)+($K56*INDEX('DEFAULT DATA'!$NV$9:$WC$41,START!$C$3,($N56+3))*-44/12)+($L56*INDEX('DEFAULT DATA'!$NV$9:$WC$41,START!$C$3,($N56+4))*-44/12)+($M56*INDEX('DEFAULT DATA'!$NV$9:$WC$41,START!$C$3,($N56+5))*-44/12)</f>
        <v>0</v>
      </c>
      <c r="T56" s="77">
        <f>($K56*INDEX('DEFAULT DATA'!$NV$9:$WC$41,START!$C$3,($N56))*-44/12)+($K56*INDEX('DEFAULT DATA'!$NV$9:$WC$41,START!$C$3,($N56+1))*-44/12)+($K56*INDEX('DEFAULT DATA'!$NV$9:$WC$41,START!$C$3,($N56+2))*-44/12)+($K56*INDEX('DEFAULT DATA'!$NV$9:$WC$41,START!$C$3,($N56+3))*-44/12)+($L56*INDEX('DEFAULT DATA'!$NV$9:$WC$41,START!$C$3,($N56+4))*-44/12)+($M56*INDEX('DEFAULT DATA'!$NV$9:$WC$41,START!$C$3,($N56+5))*-44/12)</f>
        <v>0</v>
      </c>
      <c r="U56" s="77">
        <f>($K56*INDEX('DEFAULT DATA'!$NV$9:$WC$41,START!$C$3,($N56))*-44/12)+($K56*INDEX('DEFAULT DATA'!$NV$9:$WC$41,START!$C$3,($N56+1))*-44/12)+($K56*INDEX('DEFAULT DATA'!$NV$9:$WC$41,START!$C$3,($N56+2))*-44/12)+($K56*INDEX('DEFAULT DATA'!$NV$9:$WC$41,START!$C$3,($N56+3))*-44/12)+($L56*INDEX('DEFAULT DATA'!$NV$9:$WC$41,START!$C$3,($N56+4))*-44/12)+($M56*INDEX('DEFAULT DATA'!$NV$9:$WC$41,START!$C$3,($N56+5))*-44/12)</f>
        <v>0</v>
      </c>
      <c r="V56" s="77">
        <f>($K56*INDEX('DEFAULT DATA'!$NV$9:$WC$41,START!$C$3,($N56))*-44/12)+($K56*INDEX('DEFAULT DATA'!$NV$9:$WC$41,START!$C$3,($N56+1))*-44/12)+($K56*INDEX('DEFAULT DATA'!$NV$9:$WC$41,START!$C$3,($N56+2))*-44/12)+($K56*INDEX('DEFAULT DATA'!$NV$9:$WC$41,START!$C$3,($N56+3))*-44/12)+($L56*INDEX('DEFAULT DATA'!$NV$9:$WC$41,START!$C$3,($N56+4))*-44/12)+($M56*INDEX('DEFAULT DATA'!$NV$9:$WC$41,START!$C$3,($N56+5))*-44/12)</f>
        <v>0</v>
      </c>
      <c r="W56" s="77">
        <f>($K56*INDEX('DEFAULT DATA'!$NV$9:$WC$41,START!$C$3,($N56))*-44/12)+($K56*INDEX('DEFAULT DATA'!$NV$9:$WC$41,START!$C$3,($N56+1))*-44/12)+($K56*INDEX('DEFAULT DATA'!$NV$9:$WC$41,START!$C$3,($N56+2))*-44/12)+($K56*INDEX('DEFAULT DATA'!$NV$9:$WC$41,START!$C$3,($N56+3))*-44/12)+($L56*INDEX('DEFAULT DATA'!$NV$9:$WC$41,START!$C$3,($N56+4))*-44/12)+($M56*INDEX('DEFAULT DATA'!$NV$9:$WC$41,START!$C$3,($N56+5))*-44/12)</f>
        <v>0</v>
      </c>
      <c r="X56" s="77">
        <f>($K56*INDEX('DEFAULT DATA'!$NV$9:$WC$41,START!$C$3,($N56))*-44/12)+($K56*INDEX('DEFAULT DATA'!$NV$9:$WC$41,START!$C$3,($N56+1))*-44/12)+($K56*INDEX('DEFAULT DATA'!$NV$9:$WC$41,START!$C$3,($N56+2))*-44/12)+($K56*INDEX('DEFAULT DATA'!$NV$9:$WC$41,START!$C$3,($N56+3))*-44/12)+($L56*INDEX('DEFAULT DATA'!$NV$9:$WC$41,START!$C$3,($N56+4))*-44/12)+($M56*INDEX('DEFAULT DATA'!$NV$9:$WC$41,START!$C$3,($N56+5))*-44/12)</f>
        <v>0</v>
      </c>
      <c r="Y56" s="77">
        <f>($K56*INDEX('DEFAULT DATA'!$NV$9:$WC$41,START!$C$3,($N56))*-44/12)+($K56*INDEX('DEFAULT DATA'!$NV$9:$WC$41,START!$C$3,($N56+1))*-44/12)+($K56*INDEX('DEFAULT DATA'!$NV$9:$WC$41,START!$C$3,($N56+2))*-44/12)+($K56*INDEX('DEFAULT DATA'!$NV$9:$WC$41,START!$C$3,($N56+3))*-44/12)+($L56*INDEX('DEFAULT DATA'!$NV$9:$WC$41,START!$C$3,($N56+4))*-44/12)+($M56*INDEX('DEFAULT DATA'!$NV$9:$WC$41,START!$C$3,($N56+5))*-44/12)</f>
        <v>0</v>
      </c>
      <c r="Z56" s="77">
        <f>($K56*INDEX('DEFAULT DATA'!$NV$9:$WC$41,START!$C$3,($N56))*-44/12)+($K56*INDEX('DEFAULT DATA'!$NV$9:$WC$41,START!$C$3,($N56+1))*-44/12)+($K56*INDEX('DEFAULT DATA'!$NV$9:$WC$41,START!$C$3,($N56+2))*-44/12)+($K56*INDEX('DEFAULT DATA'!$NV$9:$WC$41,START!$C$3,($N56+3))*-44/12)+($L56*INDEX('DEFAULT DATA'!$NV$9:$WC$41,START!$C$3,($N56+4))*-44/12)+($M56*INDEX('DEFAULT DATA'!$NV$9:$WC$41,START!$C$3,($N56+5))*-44/12)</f>
        <v>0</v>
      </c>
      <c r="AA56" s="77">
        <f>($K56*INDEX('DEFAULT DATA'!$NV$9:$WC$41,START!$C$3,($N56))*-44/12)+($K56*INDEX('DEFAULT DATA'!$NV$9:$WC$41,START!$C$3,($N56+1))*-44/12)+($K56*INDEX('DEFAULT DATA'!$NV$9:$WC$41,START!$C$3,($N56+2))*-44/12)+($K56*INDEX('DEFAULT DATA'!$NV$9:$WC$41,START!$C$3,($N56+3))*-44/12)+($L56*INDEX('DEFAULT DATA'!$NV$9:$WC$41,START!$C$3,($N56+4))*-44/12)+($M56*INDEX('DEFAULT DATA'!$NV$9:$WC$41,START!$C$3,($N56+5))*-44/12)</f>
        <v>0</v>
      </c>
      <c r="AB56" s="77">
        <f>($K56*INDEX('DEFAULT DATA'!$NV$9:$WC$41,START!$C$3,($N56))*-44/12)+($K56*INDEX('DEFAULT DATA'!$NV$9:$WC$41,START!$C$3,($N56+1))*-44/12)+($K56*INDEX('DEFAULT DATA'!$NV$9:$WC$41,START!$C$3,($N56+2))*-44/12)+($K56*INDEX('DEFAULT DATA'!$NV$9:$WC$41,START!$C$3,($N56+3))*-44/12)+($L56*INDEX('DEFAULT DATA'!$NV$9:$WC$41,START!$C$3,($N56+4))*-44/12)+($M56*INDEX('DEFAULT DATA'!$NV$9:$WC$41,START!$C$3,($N56+5))*-44/12)</f>
        <v>0</v>
      </c>
      <c r="AC56" s="77">
        <f>($K56*INDEX('DEFAULT DATA'!$NV$9:$WC$41,START!$C$3,($N56))*-44/12)+($K56*INDEX('DEFAULT DATA'!$NV$9:$WC$41,START!$C$3,($N56+1))*-44/12)+($K56*INDEX('DEFAULT DATA'!$NV$9:$WC$41,START!$C$3,($N56+2))*-44/12)+($K56*INDEX('DEFAULT DATA'!$NV$9:$WC$41,START!$C$3,($N56+3))*-44/12)+($L56*INDEX('DEFAULT DATA'!$NV$9:$WC$41,START!$C$3,($N56+4))*-44/12)+($M56*INDEX('DEFAULT DATA'!$NV$9:$WC$41,START!$C$3,($N56+5))*-44/12)</f>
        <v>0</v>
      </c>
      <c r="AD56" s="77">
        <f>($K56*INDEX('DEFAULT DATA'!$NV$9:$WC$41,START!$C$3,($N56))*-44/12)+($K56*INDEX('DEFAULT DATA'!$NV$9:$WC$41,START!$C$3,($N56+1))*-44/12)+($K56*INDEX('DEFAULT DATA'!$NV$9:$WC$41,START!$C$3,($N56+2))*-44/12)+($K56*INDEX('DEFAULT DATA'!$NV$9:$WC$41,START!$C$3,($N56+3))*-44/12)+($L56*INDEX('DEFAULT DATA'!$NV$9:$WC$41,START!$C$3,($N56+4))*-44/12)+($M56*INDEX('DEFAULT DATA'!$NV$9:$WC$41,START!$C$3,($N56+5))*-44/12)</f>
        <v>0</v>
      </c>
      <c r="AE56" s="77">
        <f>($K56*INDEX('DEFAULT DATA'!$NV$9:$WC$41,START!$C$3,($N56))*-44/12)+($K56*INDEX('DEFAULT DATA'!$NV$9:$WC$41,START!$C$3,($N56+1))*-44/12)+($K56*INDEX('DEFAULT DATA'!$NV$9:$WC$41,START!$C$3,($N56+2))*-44/12)+($K56*INDEX('DEFAULT DATA'!$NV$9:$WC$41,START!$C$3,($N56+3))*-44/12)+($L56*INDEX('DEFAULT DATA'!$NV$9:$WC$41,START!$C$3,($N56+4))*-44/12)+($M56*INDEX('DEFAULT DATA'!$NV$9:$WC$41,START!$C$3,($N56+5))*-44/12)</f>
        <v>0</v>
      </c>
      <c r="AF56" s="77">
        <f>($K56*INDEX('DEFAULT DATA'!$NV$9:$WC$41,START!$C$3,($N56))*-44/12)+($K56*INDEX('DEFAULT DATA'!$NV$9:$WC$41,START!$C$3,($N56+1))*-44/12)+($K56*INDEX('DEFAULT DATA'!$NV$9:$WC$41,START!$C$3,($N56+2))*-44/12)+($K56*INDEX('DEFAULT DATA'!$NV$9:$WC$41,START!$C$3,($N56+3))*-44/12)+($L56*INDEX('DEFAULT DATA'!$NV$9:$WC$41,START!$C$3,($N56+4))*-44/12)+($M56*INDEX('DEFAULT DATA'!$NV$9:$WC$41,START!$C$3,($N56+5))*-44/12)</f>
        <v>0</v>
      </c>
      <c r="AG56" s="77">
        <f>($K56*INDEX('DEFAULT DATA'!$NV$9:$WC$41,START!$C$3,($N56))*-44/12)+($K56*INDEX('DEFAULT DATA'!$NV$9:$WC$41,START!$C$3,($N56+1))*-44/12)+($K56*INDEX('DEFAULT DATA'!$NV$9:$WC$41,START!$C$3,($N56+2))*-44/12)+($K56*INDEX('DEFAULT DATA'!$NV$9:$WC$41,START!$C$3,($N56+3))*-44/12)+($L56*INDEX('DEFAULT DATA'!$NV$9:$WC$41,START!$C$3,($N56+4))*-44/12)+($M56*INDEX('DEFAULT DATA'!$NV$9:$WC$41,START!$C$3,($N56+5))*-44/12)</f>
        <v>0</v>
      </c>
      <c r="AH56" s="77">
        <f>($K56*INDEX('DEFAULT DATA'!$NV$9:$WC$41,START!$C$3,($N56))*-44/12)+($K56*INDEX('DEFAULT DATA'!$NV$9:$WC$41,START!$C$3,($N56+1))*-44/12)+($K56*INDEX('DEFAULT DATA'!$NV$9:$WC$41,START!$C$3,($N56+2))*-44/12)+($K56*INDEX('DEFAULT DATA'!$NV$9:$WC$41,START!$C$3,($N56+3))*-44/12)+($L56*INDEX('DEFAULT DATA'!$NV$9:$WC$41,START!$C$3,($N56+4))*-44/12)+($M56*INDEX('DEFAULT DATA'!$NV$9:$WC$41,START!$C$3,($N56+5))*-44/12)</f>
        <v>0</v>
      </c>
      <c r="AI56" s="77">
        <f>($K56*INDEX('DEFAULT DATA'!$NV$9:$WC$41,START!$C$3,($N56))*-44/12)+($K56*INDEX('DEFAULT DATA'!$NV$9:$WC$41,START!$C$3,($N56+1))*-44/12)+($K56*INDEX('DEFAULT DATA'!$NV$9:$WC$41,START!$C$3,($N56+2))*-44/12)+($K56*INDEX('DEFAULT DATA'!$NV$9:$WC$41,START!$C$3,($N56+3))*-44/12)+($L56*INDEX('DEFAULT DATA'!$NV$9:$WC$41,START!$C$3,($N56+4))*-44/12)+($M56*INDEX('DEFAULT DATA'!$NV$9:$WC$41,START!$C$3,($N56+5))*-44/12)</f>
        <v>0</v>
      </c>
      <c r="AJ56" s="77">
        <f>($K56*INDEX('DEFAULT DATA'!$NV$9:$WC$41,START!$C$3,($N56))*-44/12)+($K56*INDEX('DEFAULT DATA'!$NV$9:$WC$41,START!$C$3,($N56+1))*-44/12)+($K56*INDEX('DEFAULT DATA'!$NV$9:$WC$41,START!$C$3,($N56+2))*-44/12)+($K56*INDEX('DEFAULT DATA'!$NV$9:$WC$41,START!$C$3,($N56+3))*-44/12)+($L56*INDEX('DEFAULT DATA'!$NV$9:$WC$41,START!$C$3,($N56+4))*-44/12)+($M56*INDEX('DEFAULT DATA'!$NV$9:$WC$41,START!$C$3,($N56+5))*-44/12)</f>
        <v>0</v>
      </c>
      <c r="AK56" s="77">
        <f>(($K56*INDEX('DEFAULT DATA'!$VX$9:$WC$41,START!$C$3,1)*-44/12)+($K56*INDEX('DEFAULT DATA'!$VX$9:$WC$41,START!$C$3,2)*-44/12)+($K56*INDEX('DEFAULT DATA'!$VX$9:$WC$41,START!$C$3,3)*-44/12)+($K56*INDEX('DEFAULT DATA'!$VX$9:$WC$41,START!$C$3,4)*-44/12)+($L56*INDEX('DEFAULT DATA'!$VX$9:$WC$41,START!$C$3,5)*-44/12)+($M56*INDEX('DEFAULT DATA'!$VX$9:$WC$41,START!$C$3,6)*-44/12))</f>
        <v>0</v>
      </c>
      <c r="AL56" s="77">
        <f>(($K56*INDEX('DEFAULT DATA'!$VX$9:$WC$41,START!$C$3,1)*-44/12)+($K56*INDEX('DEFAULT DATA'!$VX$9:$WC$41,START!$C$3,2)*-44/12)+($K56*INDEX('DEFAULT DATA'!$VX$9:$WC$41,START!$C$3,3)*-44/12)+($K56*INDEX('DEFAULT DATA'!$VX$9:$WC$41,START!$C$3,4)*-44/12)+($L56*INDEX('DEFAULT DATA'!$VX$9:$WC$41,START!$C$3,5)*-44/12)+($M56*INDEX('DEFAULT DATA'!$VX$9:$WC$41,START!$C$3,6)*-44/12))</f>
        <v>0</v>
      </c>
      <c r="AM56" s="77">
        <f>(($K56*INDEX('DEFAULT DATA'!$VX$9:$WC$41,START!$C$3,1)*-44/12)+($K56*INDEX('DEFAULT DATA'!$VX$9:$WC$41,START!$C$3,2)*-44/12)+($K56*INDEX('DEFAULT DATA'!$VX$9:$WC$41,START!$C$3,3)*-44/12)+($K56*INDEX('DEFAULT DATA'!$VX$9:$WC$41,START!$C$3,4)*-44/12)+($L56*INDEX('DEFAULT DATA'!$VX$9:$WC$41,START!$C$3,5)*-44/12)+($M56*INDEX('DEFAULT DATA'!$VX$9:$WC$41,START!$C$3,6)*-44/12))</f>
        <v>0</v>
      </c>
      <c r="AN56" s="77">
        <f>(($K56*INDEX('DEFAULT DATA'!$VX$9:$WC$41,START!$C$3,1)*-44/12)+($K56*INDEX('DEFAULT DATA'!$VX$9:$WC$41,START!$C$3,2)*-44/12)+($K56*INDEX('DEFAULT DATA'!$VX$9:$WC$41,START!$C$3,3)*-44/12)+($K56*INDEX('DEFAULT DATA'!$VX$9:$WC$41,START!$C$3,4)*-44/12)+($L56*INDEX('DEFAULT DATA'!$VX$9:$WC$41,START!$C$3,5)*-44/12)+($M56*INDEX('DEFAULT DATA'!$VX$9:$WC$41,START!$C$3,6)*-44/12))</f>
        <v>0</v>
      </c>
      <c r="AO56" s="77">
        <f>(($K56*INDEX('DEFAULT DATA'!$VX$9:$WC$41,START!$C$3,1)*-44/12)+($K56*INDEX('DEFAULT DATA'!$VX$9:$WC$41,START!$C$3,2)*-44/12)+($K56*INDEX('DEFAULT DATA'!$VX$9:$WC$41,START!$C$3,3)*-44/12)+($K56*INDEX('DEFAULT DATA'!$VX$9:$WC$41,START!$C$3,4)*-44/12)+($L56*INDEX('DEFAULT DATA'!$VX$9:$WC$41,START!$C$3,5)*-44/12)+($M56*INDEX('DEFAULT DATA'!$VX$9:$WC$41,START!$C$3,6)*-44/12))</f>
        <v>0</v>
      </c>
      <c r="AP56" s="77">
        <f>(($K56*INDEX('DEFAULT DATA'!$VX$9:$WC$41,START!$C$3,1)*-44/12)+($K56*INDEX('DEFAULT DATA'!$VX$9:$WC$41,START!$C$3,2)*-44/12)+($K56*INDEX('DEFAULT DATA'!$VX$9:$WC$41,START!$C$3,3)*-44/12)+($K56*INDEX('DEFAULT DATA'!$VX$9:$WC$41,START!$C$3,4)*-44/12)+($L56*INDEX('DEFAULT DATA'!$VX$9:$WC$41,START!$C$3,5)*-44/12)+($M56*INDEX('DEFAULT DATA'!$VX$9:$WC$41,START!$C$3,6)*-44/12))</f>
        <v>0</v>
      </c>
      <c r="AQ56" s="77">
        <f>(($K56*INDEX('DEFAULT DATA'!$VX$9:$WC$41,START!$C$3,1)*-44/12)+($K56*INDEX('DEFAULT DATA'!$VX$9:$WC$41,START!$C$3,2)*-44/12)+($K56*INDEX('DEFAULT DATA'!$VX$9:$WC$41,START!$C$3,3)*-44/12)+($K56*INDEX('DEFAULT DATA'!$VX$9:$WC$41,START!$C$3,4)*-44/12)+($L56*INDEX('DEFAULT DATA'!$VX$9:$WC$41,START!$C$3,5)*-44/12)+($M56*INDEX('DEFAULT DATA'!$VX$9:$WC$41,START!$C$3,6)*-44/12))</f>
        <v>0</v>
      </c>
      <c r="AR56" s="77">
        <f>(($K56*INDEX('DEFAULT DATA'!$VX$9:$WC$41,START!$C$3,1)*-44/12)+($K56*INDEX('DEFAULT DATA'!$VX$9:$WC$41,START!$C$3,2)*-44/12)+($K56*INDEX('DEFAULT DATA'!$VX$9:$WC$41,START!$C$3,3)*-44/12)+($K56*INDEX('DEFAULT DATA'!$VX$9:$WC$41,START!$C$3,4)*-44/12)+($L56*INDEX('DEFAULT DATA'!$VX$9:$WC$41,START!$C$3,5)*-44/12)+($M56*INDEX('DEFAULT DATA'!$VX$9:$WC$41,START!$C$3,6)*-44/12))</f>
        <v>0</v>
      </c>
      <c r="AS56" s="77">
        <f>(($K56*INDEX('DEFAULT DATA'!$VX$9:$WC$41,START!$C$3,1)*-44/12)+($K56*INDEX('DEFAULT DATA'!$VX$9:$WC$41,START!$C$3,2)*-44/12)+($K56*INDEX('DEFAULT DATA'!$VX$9:$WC$41,START!$C$3,3)*-44/12)+($K56*INDEX('DEFAULT DATA'!$VX$9:$WC$41,START!$C$3,4)*-44/12)+($L56*INDEX('DEFAULT DATA'!$VX$9:$WC$41,START!$C$3,5)*-44/12)+($M56*INDEX('DEFAULT DATA'!$VX$9:$WC$41,START!$C$3,6)*-44/12))</f>
        <v>0</v>
      </c>
      <c r="AT56" s="276">
        <f>(($K56*INDEX('DEFAULT DATA'!$VX$9:$WC$41,START!$C$3,1)*-44/12)+($K56*INDEX('DEFAULT DATA'!$VX$9:$WC$41,START!$C$3,2)*-44/12)+($K56*INDEX('DEFAULT DATA'!$VX$9:$WC$41,START!$C$3,3)*-44/12)+($K56*INDEX('DEFAULT DATA'!$VX$9:$WC$41,START!$C$3,4)*-44/12)+($L56*INDEX('DEFAULT DATA'!$VX$9:$WC$41,START!$C$3,5)*-44/12)+($M56*INDEX('DEFAULT DATA'!$VX$9:$WC$41,START!$C$3,6)*-44/12))</f>
        <v>0</v>
      </c>
      <c r="AV56" s="1097" t="str">
        <f t="shared" si="42"/>
        <v>(INPUT1*CSC_COL151*-44/12)+(INPUT1*CSC_COL152*-44/12)+(INPUT1*CSC_COL153*-44/12)+(INPUT1*CSC_COL154*-44/12)+(INPUT2*CSC_COL155*-44/12)+(INPUT3*CSC_COL156*-44/12)</v>
      </c>
      <c r="AW56" s="1087" t="s">
        <v>3043</v>
      </c>
      <c r="AX56" s="1087" t="s">
        <v>3043</v>
      </c>
      <c r="AY56" s="1087" t="s">
        <v>3043</v>
      </c>
      <c r="AZ56" s="1087" t="s">
        <v>3043</v>
      </c>
      <c r="BA56" s="1087" t="s">
        <v>3043</v>
      </c>
      <c r="BB56" s="1087" t="s">
        <v>3043</v>
      </c>
      <c r="BC56" s="1087" t="s">
        <v>3043</v>
      </c>
      <c r="BD56" s="1087" t="s">
        <v>3043</v>
      </c>
      <c r="BE56" s="1087" t="s">
        <v>3043</v>
      </c>
      <c r="BF56" s="1087" t="s">
        <v>3043</v>
      </c>
      <c r="BG56" s="1087" t="s">
        <v>3043</v>
      </c>
      <c r="BH56" s="1087" t="s">
        <v>3043</v>
      </c>
      <c r="BI56" s="1087" t="s">
        <v>3043</v>
      </c>
      <c r="BJ56" s="1087" t="s">
        <v>3043</v>
      </c>
      <c r="BK56" s="1087" t="s">
        <v>3043</v>
      </c>
      <c r="BL56" s="1087" t="s">
        <v>3043</v>
      </c>
      <c r="BM56" s="1087" t="s">
        <v>3043</v>
      </c>
      <c r="BN56" s="1087" t="s">
        <v>3043</v>
      </c>
      <c r="BO56" s="1087" t="s">
        <v>3043</v>
      </c>
      <c r="BP56" s="1112" t="s">
        <v>3056</v>
      </c>
      <c r="BQ56" s="1113" t="s">
        <v>3045</v>
      </c>
      <c r="BR56" s="1113" t="s">
        <v>3045</v>
      </c>
      <c r="BS56" s="1113" t="s">
        <v>3045</v>
      </c>
      <c r="BT56" s="1113" t="s">
        <v>3045</v>
      </c>
      <c r="BU56" s="1113" t="s">
        <v>3045</v>
      </c>
      <c r="BV56" s="1113" t="s">
        <v>3045</v>
      </c>
      <c r="BW56" s="1113" t="s">
        <v>3045</v>
      </c>
      <c r="BX56" s="1113" t="s">
        <v>3045</v>
      </c>
      <c r="BY56" s="1114" t="s">
        <v>3045</v>
      </c>
    </row>
    <row r="57" spans="1:77" ht="20.100000000000001" customHeight="1">
      <c r="A57" s="281"/>
      <c r="B57" s="902" t="s">
        <v>547</v>
      </c>
      <c r="C57" s="218"/>
      <c r="D57" s="218"/>
      <c r="E57" s="612">
        <v>0</v>
      </c>
      <c r="F57" s="1451">
        <f t="shared" si="44"/>
        <v>0</v>
      </c>
      <c r="G57" s="613">
        <v>0</v>
      </c>
      <c r="H57" s="218">
        <v>1</v>
      </c>
      <c r="I57" s="266"/>
      <c r="J57" s="124"/>
      <c r="K57" s="309">
        <f t="shared" si="38"/>
        <v>0</v>
      </c>
      <c r="L57" s="310">
        <f t="shared" si="39"/>
        <v>0</v>
      </c>
      <c r="M57" s="310">
        <f t="shared" si="40"/>
        <v>0</v>
      </c>
      <c r="N57" s="81">
        <f t="shared" si="43"/>
        <v>133</v>
      </c>
      <c r="O57" s="311" t="s">
        <v>510</v>
      </c>
      <c r="P57" s="312">
        <f t="shared" si="41"/>
        <v>2025</v>
      </c>
      <c r="Q57" s="77">
        <f>($K57*INDEX('DEFAULT DATA'!$NV$9:$WC$41,START!$C$3,($N57))*-44/12)+($K57*INDEX('DEFAULT DATA'!$NV$9:$WC$41,START!$C$3,($N57+1))*-44/12)+($K57*INDEX('DEFAULT DATA'!$NV$9:$WC$41,START!$C$3,($N57+2))*-44/12)+($K57*INDEX('DEFAULT DATA'!$NV$9:$WC$41,START!$C$3,($N57+3))*-44/12)+($L57*INDEX('DEFAULT DATA'!$NV$9:$WC$41,START!$C$3,($N57+4))*-44/12)+($M57*INDEX('DEFAULT DATA'!$NV$9:$WC$41,START!$C$3,($N57+5))*-44/12)</f>
        <v>0</v>
      </c>
      <c r="R57" s="77">
        <f>($K57*INDEX('DEFAULT DATA'!$NV$9:$WC$41,START!$C$3,($N57))*-44/12)+($K57*INDEX('DEFAULT DATA'!$NV$9:$WC$41,START!$C$3,($N57+1))*-44/12)+($K57*INDEX('DEFAULT DATA'!$NV$9:$WC$41,START!$C$3,($N57+2))*-44/12)+($K57*INDEX('DEFAULT DATA'!$NV$9:$WC$41,START!$C$3,($N57+3))*-44/12)+($L57*INDEX('DEFAULT DATA'!$NV$9:$WC$41,START!$C$3,($N57+4))*-44/12)+($M57*INDEX('DEFAULT DATA'!$NV$9:$WC$41,START!$C$3,($N57+5))*-44/12)</f>
        <v>0</v>
      </c>
      <c r="S57" s="77">
        <f>($K57*INDEX('DEFAULT DATA'!$NV$9:$WC$41,START!$C$3,($N57))*-44/12)+($K57*INDEX('DEFAULT DATA'!$NV$9:$WC$41,START!$C$3,($N57+1))*-44/12)+($K57*INDEX('DEFAULT DATA'!$NV$9:$WC$41,START!$C$3,($N57+2))*-44/12)+($K57*INDEX('DEFAULT DATA'!$NV$9:$WC$41,START!$C$3,($N57+3))*-44/12)+($L57*INDEX('DEFAULT DATA'!$NV$9:$WC$41,START!$C$3,($N57+4))*-44/12)+($M57*INDEX('DEFAULT DATA'!$NV$9:$WC$41,START!$C$3,($N57+5))*-44/12)</f>
        <v>0</v>
      </c>
      <c r="T57" s="77">
        <f>($K57*INDEX('DEFAULT DATA'!$NV$9:$WC$41,START!$C$3,($N57))*-44/12)+($K57*INDEX('DEFAULT DATA'!$NV$9:$WC$41,START!$C$3,($N57+1))*-44/12)+($K57*INDEX('DEFAULT DATA'!$NV$9:$WC$41,START!$C$3,($N57+2))*-44/12)+($K57*INDEX('DEFAULT DATA'!$NV$9:$WC$41,START!$C$3,($N57+3))*-44/12)+($L57*INDEX('DEFAULT DATA'!$NV$9:$WC$41,START!$C$3,($N57+4))*-44/12)+($M57*INDEX('DEFAULT DATA'!$NV$9:$WC$41,START!$C$3,($N57+5))*-44/12)</f>
        <v>0</v>
      </c>
      <c r="U57" s="77">
        <f>($K57*INDEX('DEFAULT DATA'!$NV$9:$WC$41,START!$C$3,($N57))*-44/12)+($K57*INDEX('DEFAULT DATA'!$NV$9:$WC$41,START!$C$3,($N57+1))*-44/12)+($K57*INDEX('DEFAULT DATA'!$NV$9:$WC$41,START!$C$3,($N57+2))*-44/12)+($K57*INDEX('DEFAULT DATA'!$NV$9:$WC$41,START!$C$3,($N57+3))*-44/12)+($L57*INDEX('DEFAULT DATA'!$NV$9:$WC$41,START!$C$3,($N57+4))*-44/12)+($M57*INDEX('DEFAULT DATA'!$NV$9:$WC$41,START!$C$3,($N57+5))*-44/12)</f>
        <v>0</v>
      </c>
      <c r="V57" s="77">
        <f>($K57*INDEX('DEFAULT DATA'!$NV$9:$WC$41,START!$C$3,($N57))*-44/12)+($K57*INDEX('DEFAULT DATA'!$NV$9:$WC$41,START!$C$3,($N57+1))*-44/12)+($K57*INDEX('DEFAULT DATA'!$NV$9:$WC$41,START!$C$3,($N57+2))*-44/12)+($K57*INDEX('DEFAULT DATA'!$NV$9:$WC$41,START!$C$3,($N57+3))*-44/12)+($L57*INDEX('DEFAULT DATA'!$NV$9:$WC$41,START!$C$3,($N57+4))*-44/12)+($M57*INDEX('DEFAULT DATA'!$NV$9:$WC$41,START!$C$3,($N57+5))*-44/12)</f>
        <v>0</v>
      </c>
      <c r="W57" s="77">
        <f>($K57*INDEX('DEFAULT DATA'!$NV$9:$WC$41,START!$C$3,($N57))*-44/12)+($K57*INDEX('DEFAULT DATA'!$NV$9:$WC$41,START!$C$3,($N57+1))*-44/12)+($K57*INDEX('DEFAULT DATA'!$NV$9:$WC$41,START!$C$3,($N57+2))*-44/12)+($K57*INDEX('DEFAULT DATA'!$NV$9:$WC$41,START!$C$3,($N57+3))*-44/12)+($L57*INDEX('DEFAULT DATA'!$NV$9:$WC$41,START!$C$3,($N57+4))*-44/12)+($M57*INDEX('DEFAULT DATA'!$NV$9:$WC$41,START!$C$3,($N57+5))*-44/12)</f>
        <v>0</v>
      </c>
      <c r="X57" s="77">
        <f>($K57*INDEX('DEFAULT DATA'!$NV$9:$WC$41,START!$C$3,($N57))*-44/12)+($K57*INDEX('DEFAULT DATA'!$NV$9:$WC$41,START!$C$3,($N57+1))*-44/12)+($K57*INDEX('DEFAULT DATA'!$NV$9:$WC$41,START!$C$3,($N57+2))*-44/12)+($K57*INDEX('DEFAULT DATA'!$NV$9:$WC$41,START!$C$3,($N57+3))*-44/12)+($L57*INDEX('DEFAULT DATA'!$NV$9:$WC$41,START!$C$3,($N57+4))*-44/12)+($M57*INDEX('DEFAULT DATA'!$NV$9:$WC$41,START!$C$3,($N57+5))*-44/12)</f>
        <v>0</v>
      </c>
      <c r="Y57" s="77">
        <f>($K57*INDEX('DEFAULT DATA'!$NV$9:$WC$41,START!$C$3,($N57))*-44/12)+($K57*INDEX('DEFAULT DATA'!$NV$9:$WC$41,START!$C$3,($N57+1))*-44/12)+($K57*INDEX('DEFAULT DATA'!$NV$9:$WC$41,START!$C$3,($N57+2))*-44/12)+($K57*INDEX('DEFAULT DATA'!$NV$9:$WC$41,START!$C$3,($N57+3))*-44/12)+($L57*INDEX('DEFAULT DATA'!$NV$9:$WC$41,START!$C$3,($N57+4))*-44/12)+($M57*INDEX('DEFAULT DATA'!$NV$9:$WC$41,START!$C$3,($N57+5))*-44/12)</f>
        <v>0</v>
      </c>
      <c r="Z57" s="77">
        <f>($K57*INDEX('DEFAULT DATA'!$NV$9:$WC$41,START!$C$3,($N57))*-44/12)+($K57*INDEX('DEFAULT DATA'!$NV$9:$WC$41,START!$C$3,($N57+1))*-44/12)+($K57*INDEX('DEFAULT DATA'!$NV$9:$WC$41,START!$C$3,($N57+2))*-44/12)+($K57*INDEX('DEFAULT DATA'!$NV$9:$WC$41,START!$C$3,($N57+3))*-44/12)+($L57*INDEX('DEFAULT DATA'!$NV$9:$WC$41,START!$C$3,($N57+4))*-44/12)+($M57*INDEX('DEFAULT DATA'!$NV$9:$WC$41,START!$C$3,($N57+5))*-44/12)</f>
        <v>0</v>
      </c>
      <c r="AA57" s="77">
        <f>($K57*INDEX('DEFAULT DATA'!$NV$9:$WC$41,START!$C$3,($N57))*-44/12)+($K57*INDEX('DEFAULT DATA'!$NV$9:$WC$41,START!$C$3,($N57+1))*-44/12)+($K57*INDEX('DEFAULT DATA'!$NV$9:$WC$41,START!$C$3,($N57+2))*-44/12)+($K57*INDEX('DEFAULT DATA'!$NV$9:$WC$41,START!$C$3,($N57+3))*-44/12)+($L57*INDEX('DEFAULT DATA'!$NV$9:$WC$41,START!$C$3,($N57+4))*-44/12)+($M57*INDEX('DEFAULT DATA'!$NV$9:$WC$41,START!$C$3,($N57+5))*-44/12)</f>
        <v>0</v>
      </c>
      <c r="AB57" s="77">
        <f>($K57*INDEX('DEFAULT DATA'!$NV$9:$WC$41,START!$C$3,($N57))*-44/12)+($K57*INDEX('DEFAULT DATA'!$NV$9:$WC$41,START!$C$3,($N57+1))*-44/12)+($K57*INDEX('DEFAULT DATA'!$NV$9:$WC$41,START!$C$3,($N57+2))*-44/12)+($K57*INDEX('DEFAULT DATA'!$NV$9:$WC$41,START!$C$3,($N57+3))*-44/12)+($L57*INDEX('DEFAULT DATA'!$NV$9:$WC$41,START!$C$3,($N57+4))*-44/12)+($M57*INDEX('DEFAULT DATA'!$NV$9:$WC$41,START!$C$3,($N57+5))*-44/12)</f>
        <v>0</v>
      </c>
      <c r="AC57" s="77">
        <f>($K57*INDEX('DEFAULT DATA'!$NV$9:$WC$41,START!$C$3,($N57))*-44/12)+($K57*INDEX('DEFAULT DATA'!$NV$9:$WC$41,START!$C$3,($N57+1))*-44/12)+($K57*INDEX('DEFAULT DATA'!$NV$9:$WC$41,START!$C$3,($N57+2))*-44/12)+($K57*INDEX('DEFAULT DATA'!$NV$9:$WC$41,START!$C$3,($N57+3))*-44/12)+($L57*INDEX('DEFAULT DATA'!$NV$9:$WC$41,START!$C$3,($N57+4))*-44/12)+($M57*INDEX('DEFAULT DATA'!$NV$9:$WC$41,START!$C$3,($N57+5))*-44/12)</f>
        <v>0</v>
      </c>
      <c r="AD57" s="77">
        <f>($K57*INDEX('DEFAULT DATA'!$NV$9:$WC$41,START!$C$3,($N57))*-44/12)+($K57*INDEX('DEFAULT DATA'!$NV$9:$WC$41,START!$C$3,($N57+1))*-44/12)+($K57*INDEX('DEFAULT DATA'!$NV$9:$WC$41,START!$C$3,($N57+2))*-44/12)+($K57*INDEX('DEFAULT DATA'!$NV$9:$WC$41,START!$C$3,($N57+3))*-44/12)+($L57*INDEX('DEFAULT DATA'!$NV$9:$WC$41,START!$C$3,($N57+4))*-44/12)+($M57*INDEX('DEFAULT DATA'!$NV$9:$WC$41,START!$C$3,($N57+5))*-44/12)</f>
        <v>0</v>
      </c>
      <c r="AE57" s="77">
        <f>($K57*INDEX('DEFAULT DATA'!$NV$9:$WC$41,START!$C$3,($N57))*-44/12)+($K57*INDEX('DEFAULT DATA'!$NV$9:$WC$41,START!$C$3,($N57+1))*-44/12)+($K57*INDEX('DEFAULT DATA'!$NV$9:$WC$41,START!$C$3,($N57+2))*-44/12)+($K57*INDEX('DEFAULT DATA'!$NV$9:$WC$41,START!$C$3,($N57+3))*-44/12)+($L57*INDEX('DEFAULT DATA'!$NV$9:$WC$41,START!$C$3,($N57+4))*-44/12)+($M57*INDEX('DEFAULT DATA'!$NV$9:$WC$41,START!$C$3,($N57+5))*-44/12)</f>
        <v>0</v>
      </c>
      <c r="AF57" s="77">
        <f>($K57*INDEX('DEFAULT DATA'!$NV$9:$WC$41,START!$C$3,($N57))*-44/12)+($K57*INDEX('DEFAULT DATA'!$NV$9:$WC$41,START!$C$3,($N57+1))*-44/12)+($K57*INDEX('DEFAULT DATA'!$NV$9:$WC$41,START!$C$3,($N57+2))*-44/12)+($K57*INDEX('DEFAULT DATA'!$NV$9:$WC$41,START!$C$3,($N57+3))*-44/12)+($L57*INDEX('DEFAULT DATA'!$NV$9:$WC$41,START!$C$3,($N57+4))*-44/12)+($M57*INDEX('DEFAULT DATA'!$NV$9:$WC$41,START!$C$3,($N57+5))*-44/12)</f>
        <v>0</v>
      </c>
      <c r="AG57" s="77">
        <f>($K57*INDEX('DEFAULT DATA'!$NV$9:$WC$41,START!$C$3,($N57))*-44/12)+($K57*INDEX('DEFAULT DATA'!$NV$9:$WC$41,START!$C$3,($N57+1))*-44/12)+($K57*INDEX('DEFAULT DATA'!$NV$9:$WC$41,START!$C$3,($N57+2))*-44/12)+($K57*INDEX('DEFAULT DATA'!$NV$9:$WC$41,START!$C$3,($N57+3))*-44/12)+($L57*INDEX('DEFAULT DATA'!$NV$9:$WC$41,START!$C$3,($N57+4))*-44/12)+($M57*INDEX('DEFAULT DATA'!$NV$9:$WC$41,START!$C$3,($N57+5))*-44/12)</f>
        <v>0</v>
      </c>
      <c r="AH57" s="77">
        <f>($K57*INDEX('DEFAULT DATA'!$NV$9:$WC$41,START!$C$3,($N57))*-44/12)+($K57*INDEX('DEFAULT DATA'!$NV$9:$WC$41,START!$C$3,($N57+1))*-44/12)+($K57*INDEX('DEFAULT DATA'!$NV$9:$WC$41,START!$C$3,($N57+2))*-44/12)+($K57*INDEX('DEFAULT DATA'!$NV$9:$WC$41,START!$C$3,($N57+3))*-44/12)+($L57*INDEX('DEFAULT DATA'!$NV$9:$WC$41,START!$C$3,($N57+4))*-44/12)+($M57*INDEX('DEFAULT DATA'!$NV$9:$WC$41,START!$C$3,($N57+5))*-44/12)</f>
        <v>0</v>
      </c>
      <c r="AI57" s="77">
        <f>($K57*INDEX('DEFAULT DATA'!$NV$9:$WC$41,START!$C$3,($N57))*-44/12)+($K57*INDEX('DEFAULT DATA'!$NV$9:$WC$41,START!$C$3,($N57+1))*-44/12)+($K57*INDEX('DEFAULT DATA'!$NV$9:$WC$41,START!$C$3,($N57+2))*-44/12)+($K57*INDEX('DEFAULT DATA'!$NV$9:$WC$41,START!$C$3,($N57+3))*-44/12)+($L57*INDEX('DEFAULT DATA'!$NV$9:$WC$41,START!$C$3,($N57+4))*-44/12)+($M57*INDEX('DEFAULT DATA'!$NV$9:$WC$41,START!$C$3,($N57+5))*-44/12)</f>
        <v>0</v>
      </c>
      <c r="AJ57" s="77">
        <f>($K57*INDEX('DEFAULT DATA'!$NV$9:$WC$41,START!$C$3,($N57))*-44/12)+($K57*INDEX('DEFAULT DATA'!$NV$9:$WC$41,START!$C$3,($N57+1))*-44/12)+($K57*INDEX('DEFAULT DATA'!$NV$9:$WC$41,START!$C$3,($N57+2))*-44/12)+($K57*INDEX('DEFAULT DATA'!$NV$9:$WC$41,START!$C$3,($N57+3))*-44/12)+($L57*INDEX('DEFAULT DATA'!$NV$9:$WC$41,START!$C$3,($N57+4))*-44/12)+($M57*INDEX('DEFAULT DATA'!$NV$9:$WC$41,START!$C$3,($N57+5))*-44/12)</f>
        <v>0</v>
      </c>
      <c r="AK57" s="77">
        <f>(($K57*INDEX('DEFAULT DATA'!$VX$9:$WC$41,START!$C$3,1)*-44/12)+($K57*INDEX('DEFAULT DATA'!$VX$9:$WC$41,START!$C$3,2)*-44/12)+($K57*INDEX('DEFAULT DATA'!$VX$9:$WC$41,START!$C$3,3)*-44/12)+($K57*INDEX('DEFAULT DATA'!$VX$9:$WC$41,START!$C$3,4)*-44/12)+($L57*INDEX('DEFAULT DATA'!$VX$9:$WC$41,START!$C$3,5)*-44/12)+($M57*INDEX('DEFAULT DATA'!$VX$9:$WC$41,START!$C$3,6)*-44/12))</f>
        <v>0</v>
      </c>
      <c r="AL57" s="77">
        <f>(($K57*INDEX('DEFAULT DATA'!$VX$9:$WC$41,START!$C$3,1)*-44/12)+($K57*INDEX('DEFAULT DATA'!$VX$9:$WC$41,START!$C$3,2)*-44/12)+($K57*INDEX('DEFAULT DATA'!$VX$9:$WC$41,START!$C$3,3)*-44/12)+($K57*INDEX('DEFAULT DATA'!$VX$9:$WC$41,START!$C$3,4)*-44/12)+($L57*INDEX('DEFAULT DATA'!$VX$9:$WC$41,START!$C$3,5)*-44/12)+($M57*INDEX('DEFAULT DATA'!$VX$9:$WC$41,START!$C$3,6)*-44/12))</f>
        <v>0</v>
      </c>
      <c r="AM57" s="77">
        <f>(($K57*INDEX('DEFAULT DATA'!$VX$9:$WC$41,START!$C$3,1)*-44/12)+($K57*INDEX('DEFAULT DATA'!$VX$9:$WC$41,START!$C$3,2)*-44/12)+($K57*INDEX('DEFAULT DATA'!$VX$9:$WC$41,START!$C$3,3)*-44/12)+($K57*INDEX('DEFAULT DATA'!$VX$9:$WC$41,START!$C$3,4)*-44/12)+($L57*INDEX('DEFAULT DATA'!$VX$9:$WC$41,START!$C$3,5)*-44/12)+($M57*INDEX('DEFAULT DATA'!$VX$9:$WC$41,START!$C$3,6)*-44/12))</f>
        <v>0</v>
      </c>
      <c r="AN57" s="77">
        <f>(($K57*INDEX('DEFAULT DATA'!$VX$9:$WC$41,START!$C$3,1)*-44/12)+($K57*INDEX('DEFAULT DATA'!$VX$9:$WC$41,START!$C$3,2)*-44/12)+($K57*INDEX('DEFAULT DATA'!$VX$9:$WC$41,START!$C$3,3)*-44/12)+($K57*INDEX('DEFAULT DATA'!$VX$9:$WC$41,START!$C$3,4)*-44/12)+($L57*INDEX('DEFAULT DATA'!$VX$9:$WC$41,START!$C$3,5)*-44/12)+($M57*INDEX('DEFAULT DATA'!$VX$9:$WC$41,START!$C$3,6)*-44/12))</f>
        <v>0</v>
      </c>
      <c r="AO57" s="77">
        <f>(($K57*INDEX('DEFAULT DATA'!$VX$9:$WC$41,START!$C$3,1)*-44/12)+($K57*INDEX('DEFAULT DATA'!$VX$9:$WC$41,START!$C$3,2)*-44/12)+($K57*INDEX('DEFAULT DATA'!$VX$9:$WC$41,START!$C$3,3)*-44/12)+($K57*INDEX('DEFAULT DATA'!$VX$9:$WC$41,START!$C$3,4)*-44/12)+($L57*INDEX('DEFAULT DATA'!$VX$9:$WC$41,START!$C$3,5)*-44/12)+($M57*INDEX('DEFAULT DATA'!$VX$9:$WC$41,START!$C$3,6)*-44/12))</f>
        <v>0</v>
      </c>
      <c r="AP57" s="77">
        <f>(($K57*INDEX('DEFAULT DATA'!$VX$9:$WC$41,START!$C$3,1)*-44/12)+($K57*INDEX('DEFAULT DATA'!$VX$9:$WC$41,START!$C$3,2)*-44/12)+($K57*INDEX('DEFAULT DATA'!$VX$9:$WC$41,START!$C$3,3)*-44/12)+($K57*INDEX('DEFAULT DATA'!$VX$9:$WC$41,START!$C$3,4)*-44/12)+($L57*INDEX('DEFAULT DATA'!$VX$9:$WC$41,START!$C$3,5)*-44/12)+($M57*INDEX('DEFAULT DATA'!$VX$9:$WC$41,START!$C$3,6)*-44/12))</f>
        <v>0</v>
      </c>
      <c r="AQ57" s="77">
        <f>(($K57*INDEX('DEFAULT DATA'!$VX$9:$WC$41,START!$C$3,1)*-44/12)+($K57*INDEX('DEFAULT DATA'!$VX$9:$WC$41,START!$C$3,2)*-44/12)+($K57*INDEX('DEFAULT DATA'!$VX$9:$WC$41,START!$C$3,3)*-44/12)+($K57*INDEX('DEFAULT DATA'!$VX$9:$WC$41,START!$C$3,4)*-44/12)+($L57*INDEX('DEFAULT DATA'!$VX$9:$WC$41,START!$C$3,5)*-44/12)+($M57*INDEX('DEFAULT DATA'!$VX$9:$WC$41,START!$C$3,6)*-44/12))</f>
        <v>0</v>
      </c>
      <c r="AR57" s="77">
        <f>(($K57*INDEX('DEFAULT DATA'!$VX$9:$WC$41,START!$C$3,1)*-44/12)+($K57*INDEX('DEFAULT DATA'!$VX$9:$WC$41,START!$C$3,2)*-44/12)+($K57*INDEX('DEFAULT DATA'!$VX$9:$WC$41,START!$C$3,3)*-44/12)+($K57*INDEX('DEFAULT DATA'!$VX$9:$WC$41,START!$C$3,4)*-44/12)+($L57*INDEX('DEFAULT DATA'!$VX$9:$WC$41,START!$C$3,5)*-44/12)+($M57*INDEX('DEFAULT DATA'!$VX$9:$WC$41,START!$C$3,6)*-44/12))</f>
        <v>0</v>
      </c>
      <c r="AS57" s="77">
        <f>(($K57*INDEX('DEFAULT DATA'!$VX$9:$WC$41,START!$C$3,1)*-44/12)+($K57*INDEX('DEFAULT DATA'!$VX$9:$WC$41,START!$C$3,2)*-44/12)+($K57*INDEX('DEFAULT DATA'!$VX$9:$WC$41,START!$C$3,3)*-44/12)+($K57*INDEX('DEFAULT DATA'!$VX$9:$WC$41,START!$C$3,4)*-44/12)+($L57*INDEX('DEFAULT DATA'!$VX$9:$WC$41,START!$C$3,5)*-44/12)+($M57*INDEX('DEFAULT DATA'!$VX$9:$WC$41,START!$C$3,6)*-44/12))</f>
        <v>0</v>
      </c>
      <c r="AT57" s="276">
        <f>(($K57*INDEX('DEFAULT DATA'!$VX$9:$WC$41,START!$C$3,1)*-44/12)+($K57*INDEX('DEFAULT DATA'!$VX$9:$WC$41,START!$C$3,2)*-44/12)+($K57*INDEX('DEFAULT DATA'!$VX$9:$WC$41,START!$C$3,3)*-44/12)+($K57*INDEX('DEFAULT DATA'!$VX$9:$WC$41,START!$C$3,4)*-44/12)+($L57*INDEX('DEFAULT DATA'!$VX$9:$WC$41,START!$C$3,5)*-44/12)+($M57*INDEX('DEFAULT DATA'!$VX$9:$WC$41,START!$C$3,6)*-44/12))</f>
        <v>0</v>
      </c>
      <c r="AV57" s="1097" t="str">
        <f t="shared" si="42"/>
        <v>(INPUT1*CSC_COL157*-44/12)+(INPUT1*CSC_COL158*-44/12)+(INPUT1*CSC_COL159*-44/12)+(INPUT1*CSC_COL160*-44/12)+(INPUT2*CSC_COL161*-44/12)+(INPUT3*CSC_COL162*-44/12)</v>
      </c>
      <c r="AW57" s="1087" t="s">
        <v>3043</v>
      </c>
      <c r="AX57" s="1087" t="s">
        <v>3043</v>
      </c>
      <c r="AY57" s="1087" t="s">
        <v>3043</v>
      </c>
      <c r="AZ57" s="1087" t="s">
        <v>3043</v>
      </c>
      <c r="BA57" s="1087" t="s">
        <v>3043</v>
      </c>
      <c r="BB57" s="1087" t="s">
        <v>3043</v>
      </c>
      <c r="BC57" s="1087" t="s">
        <v>3043</v>
      </c>
      <c r="BD57" s="1087" t="s">
        <v>3043</v>
      </c>
      <c r="BE57" s="1087" t="s">
        <v>3043</v>
      </c>
      <c r="BF57" s="1087" t="s">
        <v>3043</v>
      </c>
      <c r="BG57" s="1087" t="s">
        <v>3043</v>
      </c>
      <c r="BH57" s="1087" t="s">
        <v>3043</v>
      </c>
      <c r="BI57" s="1087" t="s">
        <v>3043</v>
      </c>
      <c r="BJ57" s="1087" t="s">
        <v>3043</v>
      </c>
      <c r="BK57" s="1087" t="s">
        <v>3043</v>
      </c>
      <c r="BL57" s="1087" t="s">
        <v>3043</v>
      </c>
      <c r="BM57" s="1087" t="s">
        <v>3043</v>
      </c>
      <c r="BN57" s="1087" t="s">
        <v>3043</v>
      </c>
      <c r="BO57" s="1087" t="s">
        <v>3043</v>
      </c>
      <c r="BP57" s="1112" t="s">
        <v>3056</v>
      </c>
      <c r="BQ57" s="1113" t="s">
        <v>3045</v>
      </c>
      <c r="BR57" s="1113" t="s">
        <v>3045</v>
      </c>
      <c r="BS57" s="1113" t="s">
        <v>3045</v>
      </c>
      <c r="BT57" s="1113" t="s">
        <v>3045</v>
      </c>
      <c r="BU57" s="1113" t="s">
        <v>3045</v>
      </c>
      <c r="BV57" s="1113" t="s">
        <v>3045</v>
      </c>
      <c r="BW57" s="1113" t="s">
        <v>3045</v>
      </c>
      <c r="BX57" s="1113" t="s">
        <v>3045</v>
      </c>
      <c r="BY57" s="1114" t="s">
        <v>3045</v>
      </c>
    </row>
    <row r="58" spans="1:77" ht="20.100000000000001" customHeight="1">
      <c r="A58" s="254"/>
      <c r="B58" s="903" t="s">
        <v>548</v>
      </c>
      <c r="C58" s="668"/>
      <c r="D58" s="668"/>
      <c r="E58" s="616">
        <v>0</v>
      </c>
      <c r="F58" s="1451">
        <f t="shared" si="44"/>
        <v>0</v>
      </c>
      <c r="G58" s="617">
        <v>0</v>
      </c>
      <c r="H58" s="668">
        <v>1</v>
      </c>
      <c r="I58" s="291"/>
      <c r="J58" s="124"/>
      <c r="K58" s="309">
        <f t="shared" si="38"/>
        <v>0</v>
      </c>
      <c r="L58" s="310">
        <f t="shared" si="39"/>
        <v>0</v>
      </c>
      <c r="M58" s="310">
        <f t="shared" si="40"/>
        <v>0</v>
      </c>
      <c r="N58" s="81">
        <f t="shared" si="43"/>
        <v>139</v>
      </c>
      <c r="O58" s="311" t="s">
        <v>511</v>
      </c>
      <c r="P58" s="312">
        <f t="shared" si="41"/>
        <v>2025</v>
      </c>
      <c r="Q58" s="77">
        <f>($K58*INDEX('DEFAULT DATA'!$NV$9:$WC$41,START!$C$3,($N58))*-44/12)+($K58*INDEX('DEFAULT DATA'!$NV$9:$WC$41,START!$C$3,($N58+1))*-44/12)+($K58*INDEX('DEFAULT DATA'!$NV$9:$WC$41,START!$C$3,($N58+2))*-44/12)+($K58*INDEX('DEFAULT DATA'!$NV$9:$WC$41,START!$C$3,($N58+3))*-44/12)+($L58*INDEX('DEFAULT DATA'!$NV$9:$WC$41,START!$C$3,($N58+4))*-44/12)+($M58*INDEX('DEFAULT DATA'!$NV$9:$WC$41,START!$C$3,($N58+5))*-44/12)</f>
        <v>0</v>
      </c>
      <c r="R58" s="77">
        <f>($K58*INDEX('DEFAULT DATA'!$NV$9:$WC$41,START!$C$3,($N58))*-44/12)+($K58*INDEX('DEFAULT DATA'!$NV$9:$WC$41,START!$C$3,($N58+1))*-44/12)+($K58*INDEX('DEFAULT DATA'!$NV$9:$WC$41,START!$C$3,($N58+2))*-44/12)+($K58*INDEX('DEFAULT DATA'!$NV$9:$WC$41,START!$C$3,($N58+3))*-44/12)+($L58*INDEX('DEFAULT DATA'!$NV$9:$WC$41,START!$C$3,($N58+4))*-44/12)+($M58*INDEX('DEFAULT DATA'!$NV$9:$WC$41,START!$C$3,($N58+5))*-44/12)</f>
        <v>0</v>
      </c>
      <c r="S58" s="77">
        <f>($K58*INDEX('DEFAULT DATA'!$NV$9:$WC$41,START!$C$3,($N58))*-44/12)+($K58*INDEX('DEFAULT DATA'!$NV$9:$WC$41,START!$C$3,($N58+1))*-44/12)+($K58*INDEX('DEFAULT DATA'!$NV$9:$WC$41,START!$C$3,($N58+2))*-44/12)+($K58*INDEX('DEFAULT DATA'!$NV$9:$WC$41,START!$C$3,($N58+3))*-44/12)+($L58*INDEX('DEFAULT DATA'!$NV$9:$WC$41,START!$C$3,($N58+4))*-44/12)+($M58*INDEX('DEFAULT DATA'!$NV$9:$WC$41,START!$C$3,($N58+5))*-44/12)</f>
        <v>0</v>
      </c>
      <c r="T58" s="77">
        <f>($K58*INDEX('DEFAULT DATA'!$NV$9:$WC$41,START!$C$3,($N58))*-44/12)+($K58*INDEX('DEFAULT DATA'!$NV$9:$WC$41,START!$C$3,($N58+1))*-44/12)+($K58*INDEX('DEFAULT DATA'!$NV$9:$WC$41,START!$C$3,($N58+2))*-44/12)+($K58*INDEX('DEFAULT DATA'!$NV$9:$WC$41,START!$C$3,($N58+3))*-44/12)+($L58*INDEX('DEFAULT DATA'!$NV$9:$WC$41,START!$C$3,($N58+4))*-44/12)+($M58*INDEX('DEFAULT DATA'!$NV$9:$WC$41,START!$C$3,($N58+5))*-44/12)</f>
        <v>0</v>
      </c>
      <c r="U58" s="77">
        <f>($K58*INDEX('DEFAULT DATA'!$NV$9:$WC$41,START!$C$3,($N58))*-44/12)+($K58*INDEX('DEFAULT DATA'!$NV$9:$WC$41,START!$C$3,($N58+1))*-44/12)+($K58*INDEX('DEFAULT DATA'!$NV$9:$WC$41,START!$C$3,($N58+2))*-44/12)+($K58*INDEX('DEFAULT DATA'!$NV$9:$WC$41,START!$C$3,($N58+3))*-44/12)+($L58*INDEX('DEFAULT DATA'!$NV$9:$WC$41,START!$C$3,($N58+4))*-44/12)+($M58*INDEX('DEFAULT DATA'!$NV$9:$WC$41,START!$C$3,($N58+5))*-44/12)</f>
        <v>0</v>
      </c>
      <c r="V58" s="77">
        <f>($K58*INDEX('DEFAULT DATA'!$NV$9:$WC$41,START!$C$3,($N58))*-44/12)+($K58*INDEX('DEFAULT DATA'!$NV$9:$WC$41,START!$C$3,($N58+1))*-44/12)+($K58*INDEX('DEFAULT DATA'!$NV$9:$WC$41,START!$C$3,($N58+2))*-44/12)+($K58*INDEX('DEFAULT DATA'!$NV$9:$WC$41,START!$C$3,($N58+3))*-44/12)+($L58*INDEX('DEFAULT DATA'!$NV$9:$WC$41,START!$C$3,($N58+4))*-44/12)+($M58*INDEX('DEFAULT DATA'!$NV$9:$WC$41,START!$C$3,($N58+5))*-44/12)</f>
        <v>0</v>
      </c>
      <c r="W58" s="77">
        <f>($K58*INDEX('DEFAULT DATA'!$NV$9:$WC$41,START!$C$3,($N58))*-44/12)+($K58*INDEX('DEFAULT DATA'!$NV$9:$WC$41,START!$C$3,($N58+1))*-44/12)+($K58*INDEX('DEFAULT DATA'!$NV$9:$WC$41,START!$C$3,($N58+2))*-44/12)+($K58*INDEX('DEFAULT DATA'!$NV$9:$WC$41,START!$C$3,($N58+3))*-44/12)+($L58*INDEX('DEFAULT DATA'!$NV$9:$WC$41,START!$C$3,($N58+4))*-44/12)+($M58*INDEX('DEFAULT DATA'!$NV$9:$WC$41,START!$C$3,($N58+5))*-44/12)</f>
        <v>0</v>
      </c>
      <c r="X58" s="77">
        <f>($K58*INDEX('DEFAULT DATA'!$NV$9:$WC$41,START!$C$3,($N58))*-44/12)+($K58*INDEX('DEFAULT DATA'!$NV$9:$WC$41,START!$C$3,($N58+1))*-44/12)+($K58*INDEX('DEFAULT DATA'!$NV$9:$WC$41,START!$C$3,($N58+2))*-44/12)+($K58*INDEX('DEFAULT DATA'!$NV$9:$WC$41,START!$C$3,($N58+3))*-44/12)+($L58*INDEX('DEFAULT DATA'!$NV$9:$WC$41,START!$C$3,($N58+4))*-44/12)+($M58*INDEX('DEFAULT DATA'!$NV$9:$WC$41,START!$C$3,($N58+5))*-44/12)</f>
        <v>0</v>
      </c>
      <c r="Y58" s="77">
        <f>($K58*INDEX('DEFAULT DATA'!$NV$9:$WC$41,START!$C$3,($N58))*-44/12)+($K58*INDEX('DEFAULT DATA'!$NV$9:$WC$41,START!$C$3,($N58+1))*-44/12)+($K58*INDEX('DEFAULT DATA'!$NV$9:$WC$41,START!$C$3,($N58+2))*-44/12)+($K58*INDEX('DEFAULT DATA'!$NV$9:$WC$41,START!$C$3,($N58+3))*-44/12)+($L58*INDEX('DEFAULT DATA'!$NV$9:$WC$41,START!$C$3,($N58+4))*-44/12)+($M58*INDEX('DEFAULT DATA'!$NV$9:$WC$41,START!$C$3,($N58+5))*-44/12)</f>
        <v>0</v>
      </c>
      <c r="Z58" s="77">
        <f>($K58*INDEX('DEFAULT DATA'!$NV$9:$WC$41,START!$C$3,($N58))*-44/12)+($K58*INDEX('DEFAULT DATA'!$NV$9:$WC$41,START!$C$3,($N58+1))*-44/12)+($K58*INDEX('DEFAULT DATA'!$NV$9:$WC$41,START!$C$3,($N58+2))*-44/12)+($K58*INDEX('DEFAULT DATA'!$NV$9:$WC$41,START!$C$3,($N58+3))*-44/12)+($L58*INDEX('DEFAULT DATA'!$NV$9:$WC$41,START!$C$3,($N58+4))*-44/12)+($M58*INDEX('DEFAULT DATA'!$NV$9:$WC$41,START!$C$3,($N58+5))*-44/12)</f>
        <v>0</v>
      </c>
      <c r="AA58" s="77">
        <f>($K58*INDEX('DEFAULT DATA'!$NV$9:$WC$41,START!$C$3,($N58))*-44/12)+($K58*INDEX('DEFAULT DATA'!$NV$9:$WC$41,START!$C$3,($N58+1))*-44/12)+($K58*INDEX('DEFAULT DATA'!$NV$9:$WC$41,START!$C$3,($N58+2))*-44/12)+($K58*INDEX('DEFAULT DATA'!$NV$9:$WC$41,START!$C$3,($N58+3))*-44/12)+($L58*INDEX('DEFAULT DATA'!$NV$9:$WC$41,START!$C$3,($N58+4))*-44/12)+($M58*INDEX('DEFAULT DATA'!$NV$9:$WC$41,START!$C$3,($N58+5))*-44/12)</f>
        <v>0</v>
      </c>
      <c r="AB58" s="77">
        <f>($K58*INDEX('DEFAULT DATA'!$NV$9:$WC$41,START!$C$3,($N58))*-44/12)+($K58*INDEX('DEFAULT DATA'!$NV$9:$WC$41,START!$C$3,($N58+1))*-44/12)+($K58*INDEX('DEFAULT DATA'!$NV$9:$WC$41,START!$C$3,($N58+2))*-44/12)+($K58*INDEX('DEFAULT DATA'!$NV$9:$WC$41,START!$C$3,($N58+3))*-44/12)+($L58*INDEX('DEFAULT DATA'!$NV$9:$WC$41,START!$C$3,($N58+4))*-44/12)+($M58*INDEX('DEFAULT DATA'!$NV$9:$WC$41,START!$C$3,($N58+5))*-44/12)</f>
        <v>0</v>
      </c>
      <c r="AC58" s="77">
        <f>($K58*INDEX('DEFAULT DATA'!$NV$9:$WC$41,START!$C$3,($N58))*-44/12)+($K58*INDEX('DEFAULT DATA'!$NV$9:$WC$41,START!$C$3,($N58+1))*-44/12)+($K58*INDEX('DEFAULT DATA'!$NV$9:$WC$41,START!$C$3,($N58+2))*-44/12)+($K58*INDEX('DEFAULT DATA'!$NV$9:$WC$41,START!$C$3,($N58+3))*-44/12)+($L58*INDEX('DEFAULT DATA'!$NV$9:$WC$41,START!$C$3,($N58+4))*-44/12)+($M58*INDEX('DEFAULT DATA'!$NV$9:$WC$41,START!$C$3,($N58+5))*-44/12)</f>
        <v>0</v>
      </c>
      <c r="AD58" s="77">
        <f>($K58*INDEX('DEFAULT DATA'!$NV$9:$WC$41,START!$C$3,($N58))*-44/12)+($K58*INDEX('DEFAULT DATA'!$NV$9:$WC$41,START!$C$3,($N58+1))*-44/12)+($K58*INDEX('DEFAULT DATA'!$NV$9:$WC$41,START!$C$3,($N58+2))*-44/12)+($K58*INDEX('DEFAULT DATA'!$NV$9:$WC$41,START!$C$3,($N58+3))*-44/12)+($L58*INDEX('DEFAULT DATA'!$NV$9:$WC$41,START!$C$3,($N58+4))*-44/12)+($M58*INDEX('DEFAULT DATA'!$NV$9:$WC$41,START!$C$3,($N58+5))*-44/12)</f>
        <v>0</v>
      </c>
      <c r="AE58" s="77">
        <f>($K58*INDEX('DEFAULT DATA'!$NV$9:$WC$41,START!$C$3,($N58))*-44/12)+($K58*INDEX('DEFAULT DATA'!$NV$9:$WC$41,START!$C$3,($N58+1))*-44/12)+($K58*INDEX('DEFAULT DATA'!$NV$9:$WC$41,START!$C$3,($N58+2))*-44/12)+($K58*INDEX('DEFAULT DATA'!$NV$9:$WC$41,START!$C$3,($N58+3))*-44/12)+($L58*INDEX('DEFAULT DATA'!$NV$9:$WC$41,START!$C$3,($N58+4))*-44/12)+($M58*INDEX('DEFAULT DATA'!$NV$9:$WC$41,START!$C$3,($N58+5))*-44/12)</f>
        <v>0</v>
      </c>
      <c r="AF58" s="77">
        <f>($K58*INDEX('DEFAULT DATA'!$NV$9:$WC$41,START!$C$3,($N58))*-44/12)+($K58*INDEX('DEFAULT DATA'!$NV$9:$WC$41,START!$C$3,($N58+1))*-44/12)+($K58*INDEX('DEFAULT DATA'!$NV$9:$WC$41,START!$C$3,($N58+2))*-44/12)+($K58*INDEX('DEFAULT DATA'!$NV$9:$WC$41,START!$C$3,($N58+3))*-44/12)+($L58*INDEX('DEFAULT DATA'!$NV$9:$WC$41,START!$C$3,($N58+4))*-44/12)+($M58*INDEX('DEFAULT DATA'!$NV$9:$WC$41,START!$C$3,($N58+5))*-44/12)</f>
        <v>0</v>
      </c>
      <c r="AG58" s="77">
        <f>($K58*INDEX('DEFAULT DATA'!$NV$9:$WC$41,START!$C$3,($N58))*-44/12)+($K58*INDEX('DEFAULT DATA'!$NV$9:$WC$41,START!$C$3,($N58+1))*-44/12)+($K58*INDEX('DEFAULT DATA'!$NV$9:$WC$41,START!$C$3,($N58+2))*-44/12)+($K58*INDEX('DEFAULT DATA'!$NV$9:$WC$41,START!$C$3,($N58+3))*-44/12)+($L58*INDEX('DEFAULT DATA'!$NV$9:$WC$41,START!$C$3,($N58+4))*-44/12)+($M58*INDEX('DEFAULT DATA'!$NV$9:$WC$41,START!$C$3,($N58+5))*-44/12)</f>
        <v>0</v>
      </c>
      <c r="AH58" s="77">
        <f>($K58*INDEX('DEFAULT DATA'!$NV$9:$WC$41,START!$C$3,($N58))*-44/12)+($K58*INDEX('DEFAULT DATA'!$NV$9:$WC$41,START!$C$3,($N58+1))*-44/12)+($K58*INDEX('DEFAULT DATA'!$NV$9:$WC$41,START!$C$3,($N58+2))*-44/12)+($K58*INDEX('DEFAULT DATA'!$NV$9:$WC$41,START!$C$3,($N58+3))*-44/12)+($L58*INDEX('DEFAULT DATA'!$NV$9:$WC$41,START!$C$3,($N58+4))*-44/12)+($M58*INDEX('DEFAULT DATA'!$NV$9:$WC$41,START!$C$3,($N58+5))*-44/12)</f>
        <v>0</v>
      </c>
      <c r="AI58" s="77">
        <f>($K58*INDEX('DEFAULT DATA'!$NV$9:$WC$41,START!$C$3,($N58))*-44/12)+($K58*INDEX('DEFAULT DATA'!$NV$9:$WC$41,START!$C$3,($N58+1))*-44/12)+($K58*INDEX('DEFAULT DATA'!$NV$9:$WC$41,START!$C$3,($N58+2))*-44/12)+($K58*INDEX('DEFAULT DATA'!$NV$9:$WC$41,START!$C$3,($N58+3))*-44/12)+($L58*INDEX('DEFAULT DATA'!$NV$9:$WC$41,START!$C$3,($N58+4))*-44/12)+($M58*INDEX('DEFAULT DATA'!$NV$9:$WC$41,START!$C$3,($N58+5))*-44/12)</f>
        <v>0</v>
      </c>
      <c r="AJ58" s="77">
        <f>($K58*INDEX('DEFAULT DATA'!$NV$9:$WC$41,START!$C$3,($N58))*-44/12)+($K58*INDEX('DEFAULT DATA'!$NV$9:$WC$41,START!$C$3,($N58+1))*-44/12)+($K58*INDEX('DEFAULT DATA'!$NV$9:$WC$41,START!$C$3,($N58+2))*-44/12)+($K58*INDEX('DEFAULT DATA'!$NV$9:$WC$41,START!$C$3,($N58+3))*-44/12)+($L58*INDEX('DEFAULT DATA'!$NV$9:$WC$41,START!$C$3,($N58+4))*-44/12)+($M58*INDEX('DEFAULT DATA'!$NV$9:$WC$41,START!$C$3,($N58+5))*-44/12)</f>
        <v>0</v>
      </c>
      <c r="AK58" s="77">
        <f>(($K58*INDEX('DEFAULT DATA'!$VX$9:$WC$41,START!$C$3,1)*-44/12)+($K58*INDEX('DEFAULT DATA'!$VX$9:$WC$41,START!$C$3,2)*-44/12)+($K58*INDEX('DEFAULT DATA'!$VX$9:$WC$41,START!$C$3,3)*-44/12)+($K58*INDEX('DEFAULT DATA'!$VX$9:$WC$41,START!$C$3,4)*-44/12)+($L58*INDEX('DEFAULT DATA'!$VX$9:$WC$41,START!$C$3,5)*-44/12)+($M58*INDEX('DEFAULT DATA'!$VX$9:$WC$41,START!$C$3,6)*-44/12))</f>
        <v>0</v>
      </c>
      <c r="AL58" s="77">
        <f>(($K58*INDEX('DEFAULT DATA'!$VX$9:$WC$41,START!$C$3,1)*-44/12)+($K58*INDEX('DEFAULT DATA'!$VX$9:$WC$41,START!$C$3,2)*-44/12)+($K58*INDEX('DEFAULT DATA'!$VX$9:$WC$41,START!$C$3,3)*-44/12)+($K58*INDEX('DEFAULT DATA'!$VX$9:$WC$41,START!$C$3,4)*-44/12)+($L58*INDEX('DEFAULT DATA'!$VX$9:$WC$41,START!$C$3,5)*-44/12)+($M58*INDEX('DEFAULT DATA'!$VX$9:$WC$41,START!$C$3,6)*-44/12))</f>
        <v>0</v>
      </c>
      <c r="AM58" s="77">
        <f>(($K58*INDEX('DEFAULT DATA'!$VX$9:$WC$41,START!$C$3,1)*-44/12)+($K58*INDEX('DEFAULT DATA'!$VX$9:$WC$41,START!$C$3,2)*-44/12)+($K58*INDEX('DEFAULT DATA'!$VX$9:$WC$41,START!$C$3,3)*-44/12)+($K58*INDEX('DEFAULT DATA'!$VX$9:$WC$41,START!$C$3,4)*-44/12)+($L58*INDEX('DEFAULT DATA'!$VX$9:$WC$41,START!$C$3,5)*-44/12)+($M58*INDEX('DEFAULT DATA'!$VX$9:$WC$41,START!$C$3,6)*-44/12))</f>
        <v>0</v>
      </c>
      <c r="AN58" s="77">
        <f>(($K58*INDEX('DEFAULT DATA'!$VX$9:$WC$41,START!$C$3,1)*-44/12)+($K58*INDEX('DEFAULT DATA'!$VX$9:$WC$41,START!$C$3,2)*-44/12)+($K58*INDEX('DEFAULT DATA'!$VX$9:$WC$41,START!$C$3,3)*-44/12)+($K58*INDEX('DEFAULT DATA'!$VX$9:$WC$41,START!$C$3,4)*-44/12)+($L58*INDEX('DEFAULT DATA'!$VX$9:$WC$41,START!$C$3,5)*-44/12)+($M58*INDEX('DEFAULT DATA'!$VX$9:$WC$41,START!$C$3,6)*-44/12))</f>
        <v>0</v>
      </c>
      <c r="AO58" s="77">
        <f>(($K58*INDEX('DEFAULT DATA'!$VX$9:$WC$41,START!$C$3,1)*-44/12)+($K58*INDEX('DEFAULT DATA'!$VX$9:$WC$41,START!$C$3,2)*-44/12)+($K58*INDEX('DEFAULT DATA'!$VX$9:$WC$41,START!$C$3,3)*-44/12)+($K58*INDEX('DEFAULT DATA'!$VX$9:$WC$41,START!$C$3,4)*-44/12)+($L58*INDEX('DEFAULT DATA'!$VX$9:$WC$41,START!$C$3,5)*-44/12)+($M58*INDEX('DEFAULT DATA'!$VX$9:$WC$41,START!$C$3,6)*-44/12))</f>
        <v>0</v>
      </c>
      <c r="AP58" s="77">
        <f>(($K58*INDEX('DEFAULT DATA'!$VX$9:$WC$41,START!$C$3,1)*-44/12)+($K58*INDEX('DEFAULT DATA'!$VX$9:$WC$41,START!$C$3,2)*-44/12)+($K58*INDEX('DEFAULT DATA'!$VX$9:$WC$41,START!$C$3,3)*-44/12)+($K58*INDEX('DEFAULT DATA'!$VX$9:$WC$41,START!$C$3,4)*-44/12)+($L58*INDEX('DEFAULT DATA'!$VX$9:$WC$41,START!$C$3,5)*-44/12)+($M58*INDEX('DEFAULT DATA'!$VX$9:$WC$41,START!$C$3,6)*-44/12))</f>
        <v>0</v>
      </c>
      <c r="AQ58" s="77">
        <f>(($K58*INDEX('DEFAULT DATA'!$VX$9:$WC$41,START!$C$3,1)*-44/12)+($K58*INDEX('DEFAULT DATA'!$VX$9:$WC$41,START!$C$3,2)*-44/12)+($K58*INDEX('DEFAULT DATA'!$VX$9:$WC$41,START!$C$3,3)*-44/12)+($K58*INDEX('DEFAULT DATA'!$VX$9:$WC$41,START!$C$3,4)*-44/12)+($L58*INDEX('DEFAULT DATA'!$VX$9:$WC$41,START!$C$3,5)*-44/12)+($M58*INDEX('DEFAULT DATA'!$VX$9:$WC$41,START!$C$3,6)*-44/12))</f>
        <v>0</v>
      </c>
      <c r="AR58" s="77">
        <f>(($K58*INDEX('DEFAULT DATA'!$VX$9:$WC$41,START!$C$3,1)*-44/12)+($K58*INDEX('DEFAULT DATA'!$VX$9:$WC$41,START!$C$3,2)*-44/12)+($K58*INDEX('DEFAULT DATA'!$VX$9:$WC$41,START!$C$3,3)*-44/12)+($K58*INDEX('DEFAULT DATA'!$VX$9:$WC$41,START!$C$3,4)*-44/12)+($L58*INDEX('DEFAULT DATA'!$VX$9:$WC$41,START!$C$3,5)*-44/12)+($M58*INDEX('DEFAULT DATA'!$VX$9:$WC$41,START!$C$3,6)*-44/12))</f>
        <v>0</v>
      </c>
      <c r="AS58" s="77">
        <f>(($K58*INDEX('DEFAULT DATA'!$VX$9:$WC$41,START!$C$3,1)*-44/12)+($K58*INDEX('DEFAULT DATA'!$VX$9:$WC$41,START!$C$3,2)*-44/12)+($K58*INDEX('DEFAULT DATA'!$VX$9:$WC$41,START!$C$3,3)*-44/12)+($K58*INDEX('DEFAULT DATA'!$VX$9:$WC$41,START!$C$3,4)*-44/12)+($L58*INDEX('DEFAULT DATA'!$VX$9:$WC$41,START!$C$3,5)*-44/12)+($M58*INDEX('DEFAULT DATA'!$VX$9:$WC$41,START!$C$3,6)*-44/12))</f>
        <v>0</v>
      </c>
      <c r="AT58" s="276">
        <f>(($K58*INDEX('DEFAULT DATA'!$VX$9:$WC$41,START!$C$3,1)*-44/12)+($K58*INDEX('DEFAULT DATA'!$VX$9:$WC$41,START!$C$3,2)*-44/12)+($K58*INDEX('DEFAULT DATA'!$VX$9:$WC$41,START!$C$3,3)*-44/12)+($K58*INDEX('DEFAULT DATA'!$VX$9:$WC$41,START!$C$3,4)*-44/12)+($L58*INDEX('DEFAULT DATA'!$VX$9:$WC$41,START!$C$3,5)*-44/12)+($M58*INDEX('DEFAULT DATA'!$VX$9:$WC$41,START!$C$3,6)*-44/12))</f>
        <v>0</v>
      </c>
      <c r="AV58" s="1097" t="str">
        <f t="shared" si="42"/>
        <v>(INPUT1*CSC_COL163*-44/12)+(INPUT1*CSC_COL164*-44/12)+(INPUT1*CSC_COL165*-44/12)+(INPUT1*CSC_COL166*-44/12)+(INPUT2*CSC_COL167*-44/12)+(INPUT3*CSC_COL168*-44/12)</v>
      </c>
      <c r="AW58" s="1087" t="s">
        <v>3043</v>
      </c>
      <c r="AX58" s="1087" t="s">
        <v>3043</v>
      </c>
      <c r="AY58" s="1087" t="s">
        <v>3043</v>
      </c>
      <c r="AZ58" s="1087" t="s">
        <v>3043</v>
      </c>
      <c r="BA58" s="1087" t="s">
        <v>3043</v>
      </c>
      <c r="BB58" s="1087" t="s">
        <v>3043</v>
      </c>
      <c r="BC58" s="1087" t="s">
        <v>3043</v>
      </c>
      <c r="BD58" s="1087" t="s">
        <v>3043</v>
      </c>
      <c r="BE58" s="1087" t="s">
        <v>3043</v>
      </c>
      <c r="BF58" s="1087" t="s">
        <v>3043</v>
      </c>
      <c r="BG58" s="1087" t="s">
        <v>3043</v>
      </c>
      <c r="BH58" s="1087" t="s">
        <v>3043</v>
      </c>
      <c r="BI58" s="1087" t="s">
        <v>3043</v>
      </c>
      <c r="BJ58" s="1087" t="s">
        <v>3043</v>
      </c>
      <c r="BK58" s="1087" t="s">
        <v>3043</v>
      </c>
      <c r="BL58" s="1087" t="s">
        <v>3043</v>
      </c>
      <c r="BM58" s="1087" t="s">
        <v>3043</v>
      </c>
      <c r="BN58" s="1087" t="s">
        <v>3043</v>
      </c>
      <c r="BO58" s="1087" t="s">
        <v>3043</v>
      </c>
      <c r="BP58" s="1112" t="s">
        <v>3056</v>
      </c>
      <c r="BQ58" s="1113" t="s">
        <v>3045</v>
      </c>
      <c r="BR58" s="1113" t="s">
        <v>3045</v>
      </c>
      <c r="BS58" s="1113" t="s">
        <v>3045</v>
      </c>
      <c r="BT58" s="1113" t="s">
        <v>3045</v>
      </c>
      <c r="BU58" s="1113" t="s">
        <v>3045</v>
      </c>
      <c r="BV58" s="1113" t="s">
        <v>3045</v>
      </c>
      <c r="BW58" s="1113" t="s">
        <v>3045</v>
      </c>
      <c r="BX58" s="1113" t="s">
        <v>3045</v>
      </c>
      <c r="BY58" s="1114" t="s">
        <v>3045</v>
      </c>
    </row>
    <row r="59" spans="1:77" ht="20.100000000000001" customHeight="1" thickBot="1">
      <c r="A59" s="254"/>
      <c r="B59" s="903" t="s">
        <v>549</v>
      </c>
      <c r="C59" s="668"/>
      <c r="D59" s="668"/>
      <c r="E59" s="616">
        <v>0</v>
      </c>
      <c r="F59" s="1451">
        <f t="shared" si="44"/>
        <v>0</v>
      </c>
      <c r="G59" s="617">
        <v>0</v>
      </c>
      <c r="H59" s="668">
        <v>1</v>
      </c>
      <c r="I59" s="291"/>
      <c r="J59" s="124"/>
      <c r="K59" s="313">
        <f t="shared" si="38"/>
        <v>0</v>
      </c>
      <c r="L59" s="314">
        <f t="shared" si="39"/>
        <v>0</v>
      </c>
      <c r="M59" s="314">
        <f t="shared" si="40"/>
        <v>0</v>
      </c>
      <c r="N59" s="155">
        <f t="shared" si="43"/>
        <v>145</v>
      </c>
      <c r="O59" s="315" t="s">
        <v>512</v>
      </c>
      <c r="P59" s="316">
        <f t="shared" si="41"/>
        <v>2022</v>
      </c>
      <c r="Q59" s="273">
        <f>($K59*INDEX('DEFAULT DATA'!$NV$9:$WC$41,START!$C$3,($N59))*-44/12)+($K59*INDEX('DEFAULT DATA'!$NV$9:$WC$41,START!$C$3,($N59+1))*-44/12)+($K59*INDEX('DEFAULT DATA'!$NV$9:$WC$41,START!$C$3,($N59+2))*-44/12)+($K59*INDEX('DEFAULT DATA'!$NV$9:$WC$41,START!$C$3,($N59+3))*-44/12)+($L59*INDEX('DEFAULT DATA'!$NV$9:$WC$41,START!$C$3,($N59+4))*-44/12)+($M59*INDEX('DEFAULT DATA'!$NV$9:$WC$41,START!$C$3,($N59+5))*-44/12)</f>
        <v>0</v>
      </c>
      <c r="R59" s="273">
        <f>($K59*INDEX('DEFAULT DATA'!$NV$9:$WC$41,START!$C$3,($N59))*-44/12)+($K59*INDEX('DEFAULT DATA'!$NV$9:$WC$41,START!$C$3,($N59+1))*-44/12)+($K59*INDEX('DEFAULT DATA'!$NV$9:$WC$41,START!$C$3,($N59+2))*-44/12)+($K59*INDEX('DEFAULT DATA'!$NV$9:$WC$41,START!$C$3,($N59+3))*-44/12)+($L59*INDEX('DEFAULT DATA'!$NV$9:$WC$41,START!$C$3,($N59+4))*-44/12)+($M59*INDEX('DEFAULT DATA'!$NV$9:$WC$41,START!$C$3,($N59+5))*-44/12)</f>
        <v>0</v>
      </c>
      <c r="S59" s="273">
        <f>($K59*INDEX('DEFAULT DATA'!$NV$9:$WC$41,START!$C$3,($N59))*-44/12)+($K59*INDEX('DEFAULT DATA'!$NV$9:$WC$41,START!$C$3,($N59+1))*-44/12)+($K59*INDEX('DEFAULT DATA'!$NV$9:$WC$41,START!$C$3,($N59+2))*-44/12)+($K59*INDEX('DEFAULT DATA'!$NV$9:$WC$41,START!$C$3,($N59+3))*-44/12)+($L59*INDEX('DEFAULT DATA'!$NV$9:$WC$41,START!$C$3,($N59+4))*-44/12)+($M59*INDEX('DEFAULT DATA'!$NV$9:$WC$41,START!$C$3,($N59+5))*-44/12)</f>
        <v>0</v>
      </c>
      <c r="T59" s="273">
        <f>($K59*INDEX('DEFAULT DATA'!$NV$9:$WC$41,START!$C$3,($N59))*-44/12)+($K59*INDEX('DEFAULT DATA'!$NV$9:$WC$41,START!$C$3,($N59+1))*-44/12)+($K59*INDEX('DEFAULT DATA'!$NV$9:$WC$41,START!$C$3,($N59+2))*-44/12)+($K59*INDEX('DEFAULT DATA'!$NV$9:$WC$41,START!$C$3,($N59+3))*-44/12)+($L59*INDEX('DEFAULT DATA'!$NV$9:$WC$41,START!$C$3,($N59+4))*-44/12)+($M59*INDEX('DEFAULT DATA'!$NV$9:$WC$41,START!$C$3,($N59+5))*-44/12)</f>
        <v>0</v>
      </c>
      <c r="U59" s="273">
        <f>($K59*INDEX('DEFAULT DATA'!$NV$9:$WC$41,START!$C$3,($N59))*-44/12)+($K59*INDEX('DEFAULT DATA'!$NV$9:$WC$41,START!$C$3,($N59+1))*-44/12)+($K59*INDEX('DEFAULT DATA'!$NV$9:$WC$41,START!$C$3,($N59+2))*-44/12)+($K59*INDEX('DEFAULT DATA'!$NV$9:$WC$41,START!$C$3,($N59+3))*-44/12)+($L59*INDEX('DEFAULT DATA'!$NV$9:$WC$41,START!$C$3,($N59+4))*-44/12)+($M59*INDEX('DEFAULT DATA'!$NV$9:$WC$41,START!$C$3,($N59+5))*-44/12)</f>
        <v>0</v>
      </c>
      <c r="V59" s="273">
        <f>($K59*INDEX('DEFAULT DATA'!$NV$9:$WC$41,START!$C$3,($N59))*-44/12)+($K59*INDEX('DEFAULT DATA'!$NV$9:$WC$41,START!$C$3,($N59+1))*-44/12)+($K59*INDEX('DEFAULT DATA'!$NV$9:$WC$41,START!$C$3,($N59+2))*-44/12)+($K59*INDEX('DEFAULT DATA'!$NV$9:$WC$41,START!$C$3,($N59+3))*-44/12)+($L59*INDEX('DEFAULT DATA'!$NV$9:$WC$41,START!$C$3,($N59+4))*-44/12)+($M59*INDEX('DEFAULT DATA'!$NV$9:$WC$41,START!$C$3,($N59+5))*-44/12)</f>
        <v>0</v>
      </c>
      <c r="W59" s="273">
        <f>($K59*INDEX('DEFAULT DATA'!$NV$9:$WC$41,START!$C$3,($N59))*-44/12)+($K59*INDEX('DEFAULT DATA'!$NV$9:$WC$41,START!$C$3,($N59+1))*-44/12)+($K59*INDEX('DEFAULT DATA'!$NV$9:$WC$41,START!$C$3,($N59+2))*-44/12)+($K59*INDEX('DEFAULT DATA'!$NV$9:$WC$41,START!$C$3,($N59+3))*-44/12)+($L59*INDEX('DEFAULT DATA'!$NV$9:$WC$41,START!$C$3,($N59+4))*-44/12)+($M59*INDEX('DEFAULT DATA'!$NV$9:$WC$41,START!$C$3,($N59+5))*-44/12)</f>
        <v>0</v>
      </c>
      <c r="X59" s="273">
        <f>($K59*INDEX('DEFAULT DATA'!$NV$9:$WC$41,START!$C$3,($N59))*-44/12)+($K59*INDEX('DEFAULT DATA'!$NV$9:$WC$41,START!$C$3,($N59+1))*-44/12)+($K59*INDEX('DEFAULT DATA'!$NV$9:$WC$41,START!$C$3,($N59+2))*-44/12)+($K59*INDEX('DEFAULT DATA'!$NV$9:$WC$41,START!$C$3,($N59+3))*-44/12)+($L59*INDEX('DEFAULT DATA'!$NV$9:$WC$41,START!$C$3,($N59+4))*-44/12)+($M59*INDEX('DEFAULT DATA'!$NV$9:$WC$41,START!$C$3,($N59+5))*-44/12)</f>
        <v>0</v>
      </c>
      <c r="Y59" s="273">
        <f>($K59*INDEX('DEFAULT DATA'!$NV$9:$WC$41,START!$C$3,($N59))*-44/12)+($K59*INDEX('DEFAULT DATA'!$NV$9:$WC$41,START!$C$3,($N59+1))*-44/12)+($K59*INDEX('DEFAULT DATA'!$NV$9:$WC$41,START!$C$3,($N59+2))*-44/12)+($K59*INDEX('DEFAULT DATA'!$NV$9:$WC$41,START!$C$3,($N59+3))*-44/12)+($L59*INDEX('DEFAULT DATA'!$NV$9:$WC$41,START!$C$3,($N59+4))*-44/12)+($M59*INDEX('DEFAULT DATA'!$NV$9:$WC$41,START!$C$3,($N59+5))*-44/12)</f>
        <v>0</v>
      </c>
      <c r="Z59" s="273">
        <f>($K59*INDEX('DEFAULT DATA'!$NV$9:$WC$41,START!$C$3,($N59))*-44/12)+($K59*INDEX('DEFAULT DATA'!$NV$9:$WC$41,START!$C$3,($N59+1))*-44/12)+($K59*INDEX('DEFAULT DATA'!$NV$9:$WC$41,START!$C$3,($N59+2))*-44/12)+($K59*INDEX('DEFAULT DATA'!$NV$9:$WC$41,START!$C$3,($N59+3))*-44/12)+($L59*INDEX('DEFAULT DATA'!$NV$9:$WC$41,START!$C$3,($N59+4))*-44/12)+($M59*INDEX('DEFAULT DATA'!$NV$9:$WC$41,START!$C$3,($N59+5))*-44/12)</f>
        <v>0</v>
      </c>
      <c r="AA59" s="273">
        <f>($K59*INDEX('DEFAULT DATA'!$NV$9:$WC$41,START!$C$3,($N59))*-44/12)+($K59*INDEX('DEFAULT DATA'!$NV$9:$WC$41,START!$C$3,($N59+1))*-44/12)+($K59*INDEX('DEFAULT DATA'!$NV$9:$WC$41,START!$C$3,($N59+2))*-44/12)+($K59*INDEX('DEFAULT DATA'!$NV$9:$WC$41,START!$C$3,($N59+3))*-44/12)+($L59*INDEX('DEFAULT DATA'!$NV$9:$WC$41,START!$C$3,($N59+4))*-44/12)+($M59*INDEX('DEFAULT DATA'!$NV$9:$WC$41,START!$C$3,($N59+5))*-44/12)</f>
        <v>0</v>
      </c>
      <c r="AB59" s="273">
        <f>($K59*INDEX('DEFAULT DATA'!$NV$9:$WC$41,START!$C$3,($N59))*-44/12)+($K59*INDEX('DEFAULT DATA'!$NV$9:$WC$41,START!$C$3,($N59+1))*-44/12)+($K59*INDEX('DEFAULT DATA'!$NV$9:$WC$41,START!$C$3,($N59+2))*-44/12)+($K59*INDEX('DEFAULT DATA'!$NV$9:$WC$41,START!$C$3,($N59+3))*-44/12)+($L59*INDEX('DEFAULT DATA'!$NV$9:$WC$41,START!$C$3,($N59+4))*-44/12)+($M59*INDEX('DEFAULT DATA'!$NV$9:$WC$41,START!$C$3,($N59+5))*-44/12)</f>
        <v>0</v>
      </c>
      <c r="AC59" s="273">
        <f>($K59*INDEX('DEFAULT DATA'!$NV$9:$WC$41,START!$C$3,($N59))*-44/12)+($K59*INDEX('DEFAULT DATA'!$NV$9:$WC$41,START!$C$3,($N59+1))*-44/12)+($K59*INDEX('DEFAULT DATA'!$NV$9:$WC$41,START!$C$3,($N59+2))*-44/12)+($K59*INDEX('DEFAULT DATA'!$NV$9:$WC$41,START!$C$3,($N59+3))*-44/12)+($L59*INDEX('DEFAULT DATA'!$NV$9:$WC$41,START!$C$3,($N59+4))*-44/12)+($M59*INDEX('DEFAULT DATA'!$NV$9:$WC$41,START!$C$3,($N59+5))*-44/12)</f>
        <v>0</v>
      </c>
      <c r="AD59" s="273">
        <f>($K59*INDEX('DEFAULT DATA'!$NV$9:$WC$41,START!$C$3,($N59))*-44/12)+($K59*INDEX('DEFAULT DATA'!$NV$9:$WC$41,START!$C$3,($N59+1))*-44/12)+($K59*INDEX('DEFAULT DATA'!$NV$9:$WC$41,START!$C$3,($N59+2))*-44/12)+($K59*INDEX('DEFAULT DATA'!$NV$9:$WC$41,START!$C$3,($N59+3))*-44/12)+($L59*INDEX('DEFAULT DATA'!$NV$9:$WC$41,START!$C$3,($N59+4))*-44/12)+($M59*INDEX('DEFAULT DATA'!$NV$9:$WC$41,START!$C$3,($N59+5))*-44/12)</f>
        <v>0</v>
      </c>
      <c r="AE59" s="273">
        <f>($K59*INDEX('DEFAULT DATA'!$NV$9:$WC$41,START!$C$3,($N59))*-44/12)+($K59*INDEX('DEFAULT DATA'!$NV$9:$WC$41,START!$C$3,($N59+1))*-44/12)+($K59*INDEX('DEFAULT DATA'!$NV$9:$WC$41,START!$C$3,($N59+2))*-44/12)+($K59*INDEX('DEFAULT DATA'!$NV$9:$WC$41,START!$C$3,($N59+3))*-44/12)+($L59*INDEX('DEFAULT DATA'!$NV$9:$WC$41,START!$C$3,($N59+4))*-44/12)+($M59*INDEX('DEFAULT DATA'!$NV$9:$WC$41,START!$C$3,($N59+5))*-44/12)</f>
        <v>0</v>
      </c>
      <c r="AF59" s="273">
        <f>($K59*INDEX('DEFAULT DATA'!$NV$9:$WC$41,START!$C$3,($N59))*-44/12)+($K59*INDEX('DEFAULT DATA'!$NV$9:$WC$41,START!$C$3,($N59+1))*-44/12)+($K59*INDEX('DEFAULT DATA'!$NV$9:$WC$41,START!$C$3,($N59+2))*-44/12)+($K59*INDEX('DEFAULT DATA'!$NV$9:$WC$41,START!$C$3,($N59+3))*-44/12)+($L59*INDEX('DEFAULT DATA'!$NV$9:$WC$41,START!$C$3,($N59+4))*-44/12)+($M59*INDEX('DEFAULT DATA'!$NV$9:$WC$41,START!$C$3,($N59+5))*-44/12)</f>
        <v>0</v>
      </c>
      <c r="AG59" s="273">
        <f>($K59*INDEX('DEFAULT DATA'!$NV$9:$WC$41,START!$C$3,($N59))*-44/12)+($K59*INDEX('DEFAULT DATA'!$NV$9:$WC$41,START!$C$3,($N59+1))*-44/12)+($K59*INDEX('DEFAULT DATA'!$NV$9:$WC$41,START!$C$3,($N59+2))*-44/12)+($K59*INDEX('DEFAULT DATA'!$NV$9:$WC$41,START!$C$3,($N59+3))*-44/12)+($L59*INDEX('DEFAULT DATA'!$NV$9:$WC$41,START!$C$3,($N59+4))*-44/12)+($M59*INDEX('DEFAULT DATA'!$NV$9:$WC$41,START!$C$3,($N59+5))*-44/12)</f>
        <v>0</v>
      </c>
      <c r="AH59" s="273">
        <f>($K59*INDEX('DEFAULT DATA'!$NV$9:$WC$41,START!$C$3,($N59))*-44/12)+($K59*INDEX('DEFAULT DATA'!$NV$9:$WC$41,START!$C$3,($N59+1))*-44/12)+($K59*INDEX('DEFAULT DATA'!$NV$9:$WC$41,START!$C$3,($N59+2))*-44/12)+($K59*INDEX('DEFAULT DATA'!$NV$9:$WC$41,START!$C$3,($N59+3))*-44/12)+($L59*INDEX('DEFAULT DATA'!$NV$9:$WC$41,START!$C$3,($N59+4))*-44/12)+($M59*INDEX('DEFAULT DATA'!$NV$9:$WC$41,START!$C$3,($N59+5))*-44/12)</f>
        <v>0</v>
      </c>
      <c r="AI59" s="273">
        <f>($K59*INDEX('DEFAULT DATA'!$NV$9:$WC$41,START!$C$3,($N59))*-44/12)+($K59*INDEX('DEFAULT DATA'!$NV$9:$WC$41,START!$C$3,($N59+1))*-44/12)+($K59*INDEX('DEFAULT DATA'!$NV$9:$WC$41,START!$C$3,($N59+2))*-44/12)+($K59*INDEX('DEFAULT DATA'!$NV$9:$WC$41,START!$C$3,($N59+3))*-44/12)+($L59*INDEX('DEFAULT DATA'!$NV$9:$WC$41,START!$C$3,($N59+4))*-44/12)+($M59*INDEX('DEFAULT DATA'!$NV$9:$WC$41,START!$C$3,($N59+5))*-44/12)</f>
        <v>0</v>
      </c>
      <c r="AJ59" s="273">
        <f>($K59*INDEX('DEFAULT DATA'!$NV$9:$WC$41,START!$C$3,($N59))*-44/12)+($K59*INDEX('DEFAULT DATA'!$NV$9:$WC$41,START!$C$3,($N59+1))*-44/12)+($K59*INDEX('DEFAULT DATA'!$NV$9:$WC$41,START!$C$3,($N59+2))*-44/12)+($K59*INDEX('DEFAULT DATA'!$NV$9:$WC$41,START!$C$3,($N59+3))*-44/12)+($L59*INDEX('DEFAULT DATA'!$NV$9:$WC$41,START!$C$3,($N59+4))*-44/12)+($M59*INDEX('DEFAULT DATA'!$NV$9:$WC$41,START!$C$3,($N59+5))*-44/12)</f>
        <v>0</v>
      </c>
      <c r="AK59" s="273">
        <f>(($K59*INDEX('DEFAULT DATA'!$VX$9:$WC$41,START!$C$3,1)*-44/12)+($K59*INDEX('DEFAULT DATA'!$VX$9:$WC$41,START!$C$3,2)*-44/12)+($K59*INDEX('DEFAULT DATA'!$VX$9:$WC$41,START!$C$3,3)*-44/12)+($K59*INDEX('DEFAULT DATA'!$VX$9:$WC$41,START!$C$3,4)*-44/12)+($L59*INDEX('DEFAULT DATA'!$VX$9:$WC$41,START!$C$3,5)*-44/12)+($M59*INDEX('DEFAULT DATA'!$VX$9:$WC$41,START!$C$3,6)*-44/12))</f>
        <v>0</v>
      </c>
      <c r="AL59" s="273">
        <f>(($K59*INDEX('DEFAULT DATA'!$VX$9:$WC$41,START!$C$3,1)*-44/12)+($K59*INDEX('DEFAULT DATA'!$VX$9:$WC$41,START!$C$3,2)*-44/12)+($K59*INDEX('DEFAULT DATA'!$VX$9:$WC$41,START!$C$3,3)*-44/12)+($K59*INDEX('DEFAULT DATA'!$VX$9:$WC$41,START!$C$3,4)*-44/12)+($L59*INDEX('DEFAULT DATA'!$VX$9:$WC$41,START!$C$3,5)*-44/12)+($M59*INDEX('DEFAULT DATA'!$VX$9:$WC$41,START!$C$3,6)*-44/12))</f>
        <v>0</v>
      </c>
      <c r="AM59" s="273">
        <f>(($K59*INDEX('DEFAULT DATA'!$VX$9:$WC$41,START!$C$3,1)*-44/12)+($K59*INDEX('DEFAULT DATA'!$VX$9:$WC$41,START!$C$3,2)*-44/12)+($K59*INDEX('DEFAULT DATA'!$VX$9:$WC$41,START!$C$3,3)*-44/12)+($K59*INDEX('DEFAULT DATA'!$VX$9:$WC$41,START!$C$3,4)*-44/12)+($L59*INDEX('DEFAULT DATA'!$VX$9:$WC$41,START!$C$3,5)*-44/12)+($M59*INDEX('DEFAULT DATA'!$VX$9:$WC$41,START!$C$3,6)*-44/12))</f>
        <v>0</v>
      </c>
      <c r="AN59" s="273">
        <f>(($K59*INDEX('DEFAULT DATA'!$VX$9:$WC$41,START!$C$3,1)*-44/12)+($K59*INDEX('DEFAULT DATA'!$VX$9:$WC$41,START!$C$3,2)*-44/12)+($K59*INDEX('DEFAULT DATA'!$VX$9:$WC$41,START!$C$3,3)*-44/12)+($K59*INDEX('DEFAULT DATA'!$VX$9:$WC$41,START!$C$3,4)*-44/12)+($L59*INDEX('DEFAULT DATA'!$VX$9:$WC$41,START!$C$3,5)*-44/12)+($M59*INDEX('DEFAULT DATA'!$VX$9:$WC$41,START!$C$3,6)*-44/12))</f>
        <v>0</v>
      </c>
      <c r="AO59" s="273">
        <f>(($K59*INDEX('DEFAULT DATA'!$VX$9:$WC$41,START!$C$3,1)*-44/12)+($K59*INDEX('DEFAULT DATA'!$VX$9:$WC$41,START!$C$3,2)*-44/12)+($K59*INDEX('DEFAULT DATA'!$VX$9:$WC$41,START!$C$3,3)*-44/12)+($K59*INDEX('DEFAULT DATA'!$VX$9:$WC$41,START!$C$3,4)*-44/12)+($L59*INDEX('DEFAULT DATA'!$VX$9:$WC$41,START!$C$3,5)*-44/12)+($M59*INDEX('DEFAULT DATA'!$VX$9:$WC$41,START!$C$3,6)*-44/12))</f>
        <v>0</v>
      </c>
      <c r="AP59" s="273">
        <f>(($K59*INDEX('DEFAULT DATA'!$VX$9:$WC$41,START!$C$3,1)*-44/12)+($K59*INDEX('DEFAULT DATA'!$VX$9:$WC$41,START!$C$3,2)*-44/12)+($K59*INDEX('DEFAULT DATA'!$VX$9:$WC$41,START!$C$3,3)*-44/12)+($K59*INDEX('DEFAULT DATA'!$VX$9:$WC$41,START!$C$3,4)*-44/12)+($L59*INDEX('DEFAULT DATA'!$VX$9:$WC$41,START!$C$3,5)*-44/12)+($M59*INDEX('DEFAULT DATA'!$VX$9:$WC$41,START!$C$3,6)*-44/12))</f>
        <v>0</v>
      </c>
      <c r="AQ59" s="273">
        <f>(($K59*INDEX('DEFAULT DATA'!$VX$9:$WC$41,START!$C$3,1)*-44/12)+($K59*INDEX('DEFAULT DATA'!$VX$9:$WC$41,START!$C$3,2)*-44/12)+($K59*INDEX('DEFAULT DATA'!$VX$9:$WC$41,START!$C$3,3)*-44/12)+($K59*INDEX('DEFAULT DATA'!$VX$9:$WC$41,START!$C$3,4)*-44/12)+($L59*INDEX('DEFAULT DATA'!$VX$9:$WC$41,START!$C$3,5)*-44/12)+($M59*INDEX('DEFAULT DATA'!$VX$9:$WC$41,START!$C$3,6)*-44/12))</f>
        <v>0</v>
      </c>
      <c r="AR59" s="273">
        <f>(($K59*INDEX('DEFAULT DATA'!$VX$9:$WC$41,START!$C$3,1)*-44/12)+($K59*INDEX('DEFAULT DATA'!$VX$9:$WC$41,START!$C$3,2)*-44/12)+($K59*INDEX('DEFAULT DATA'!$VX$9:$WC$41,START!$C$3,3)*-44/12)+($K59*INDEX('DEFAULT DATA'!$VX$9:$WC$41,START!$C$3,4)*-44/12)+($L59*INDEX('DEFAULT DATA'!$VX$9:$WC$41,START!$C$3,5)*-44/12)+($M59*INDEX('DEFAULT DATA'!$VX$9:$WC$41,START!$C$3,6)*-44/12))</f>
        <v>0</v>
      </c>
      <c r="AS59" s="273">
        <f>(($K59*INDEX('DEFAULT DATA'!$VX$9:$WC$41,START!$C$3,1)*-44/12)+($K59*INDEX('DEFAULT DATA'!$VX$9:$WC$41,START!$C$3,2)*-44/12)+($K59*INDEX('DEFAULT DATA'!$VX$9:$WC$41,START!$C$3,3)*-44/12)+($K59*INDEX('DEFAULT DATA'!$VX$9:$WC$41,START!$C$3,4)*-44/12)+($L59*INDEX('DEFAULT DATA'!$VX$9:$WC$41,START!$C$3,5)*-44/12)+($M59*INDEX('DEFAULT DATA'!$VX$9:$WC$41,START!$C$3,6)*-44/12))</f>
        <v>0</v>
      </c>
      <c r="AT59" s="282">
        <f>(($K59*INDEX('DEFAULT DATA'!$VX$9:$WC$41,START!$C$3,1)*-44/12)+($K59*INDEX('DEFAULT DATA'!$VX$9:$WC$41,START!$C$3,2)*-44/12)+($K59*INDEX('DEFAULT DATA'!$VX$9:$WC$41,START!$C$3,3)*-44/12)+($K59*INDEX('DEFAULT DATA'!$VX$9:$WC$41,START!$C$3,4)*-44/12)+($L59*INDEX('DEFAULT DATA'!$VX$9:$WC$41,START!$C$3,5)*-44/12)+($M59*INDEX('DEFAULT DATA'!$VX$9:$WC$41,START!$C$3,6)*-44/12))</f>
        <v>0</v>
      </c>
      <c r="AV59" s="1098" t="str">
        <f t="shared" si="42"/>
        <v>(INPUT1*CSC_COL169*-44/12)+(INPUT1*CSC_COL170*-44/12)+(INPUT1*CSC_COL171*-44/12)+(INPUT1*CSC_COL172*-44/12)+(INPUT2*CSC_COL173*-44/12)+(INPUT3*CSC_COL174*-44/12)</v>
      </c>
      <c r="AW59" s="1099" t="s">
        <v>3043</v>
      </c>
      <c r="AX59" s="1099" t="s">
        <v>3043</v>
      </c>
      <c r="AY59" s="1099" t="s">
        <v>3043</v>
      </c>
      <c r="AZ59" s="1099" t="s">
        <v>3043</v>
      </c>
      <c r="BA59" s="1099" t="s">
        <v>3043</v>
      </c>
      <c r="BB59" s="1099" t="s">
        <v>3043</v>
      </c>
      <c r="BC59" s="1099" t="s">
        <v>3043</v>
      </c>
      <c r="BD59" s="1099" t="s">
        <v>3043</v>
      </c>
      <c r="BE59" s="1099" t="s">
        <v>3043</v>
      </c>
      <c r="BF59" s="1099" t="s">
        <v>3043</v>
      </c>
      <c r="BG59" s="1099" t="s">
        <v>3043</v>
      </c>
      <c r="BH59" s="1099" t="s">
        <v>3043</v>
      </c>
      <c r="BI59" s="1099" t="s">
        <v>3043</v>
      </c>
      <c r="BJ59" s="1099" t="s">
        <v>3043</v>
      </c>
      <c r="BK59" s="1099" t="s">
        <v>3043</v>
      </c>
      <c r="BL59" s="1099" t="s">
        <v>3043</v>
      </c>
      <c r="BM59" s="1099" t="s">
        <v>3043</v>
      </c>
      <c r="BN59" s="1099" t="s">
        <v>3043</v>
      </c>
      <c r="BO59" s="1099" t="s">
        <v>3043</v>
      </c>
      <c r="BP59" s="1118" t="s">
        <v>3056</v>
      </c>
      <c r="BQ59" s="1115" t="s">
        <v>3045</v>
      </c>
      <c r="BR59" s="1115" t="s">
        <v>3045</v>
      </c>
      <c r="BS59" s="1115" t="s">
        <v>3045</v>
      </c>
      <c r="BT59" s="1115" t="s">
        <v>3045</v>
      </c>
      <c r="BU59" s="1115" t="s">
        <v>3045</v>
      </c>
      <c r="BV59" s="1115" t="s">
        <v>3045</v>
      </c>
      <c r="BW59" s="1115" t="s">
        <v>3045</v>
      </c>
      <c r="BX59" s="1115" t="s">
        <v>3045</v>
      </c>
      <c r="BY59" s="1116" t="s">
        <v>3045</v>
      </c>
    </row>
    <row r="60" spans="1:77" ht="20.100000000000001" customHeight="1">
      <c r="A60" s="254"/>
      <c r="B60" s="903" t="s">
        <v>550</v>
      </c>
      <c r="C60" s="668"/>
      <c r="D60" s="668"/>
      <c r="E60" s="616">
        <v>0</v>
      </c>
      <c r="F60" s="1451">
        <f t="shared" si="44"/>
        <v>0</v>
      </c>
      <c r="G60" s="617">
        <v>0</v>
      </c>
      <c r="H60" s="668">
        <v>1</v>
      </c>
      <c r="I60" s="291"/>
      <c r="J60" s="124"/>
      <c r="K60" s="306">
        <f t="shared" si="38"/>
        <v>100</v>
      </c>
      <c r="L60" s="210">
        <f t="shared" si="39"/>
        <v>100</v>
      </c>
      <c r="M60" s="210">
        <f t="shared" si="40"/>
        <v>0</v>
      </c>
      <c r="N60" s="152">
        <f t="shared" si="43"/>
        <v>151</v>
      </c>
      <c r="O60" s="307" t="s">
        <v>513</v>
      </c>
      <c r="P60" s="308">
        <f t="shared" si="41"/>
        <v>2030</v>
      </c>
      <c r="Q60" s="205">
        <f>($K60*INDEX('DEFAULT DATA'!$NV$9:$WC$41,START!$C$3,($N60))*-44/12)+($K60*INDEX('DEFAULT DATA'!$NV$9:$WC$41,START!$C$3,($N60+1))*-44/12)+($K60*INDEX('DEFAULT DATA'!$NV$9:$WC$41,START!$C$3,($N60+2))*-44/12)+($K60*INDEX('DEFAULT DATA'!$NV$9:$WC$41,START!$C$3,($N60+3))*-44/12)+($L60*INDEX('DEFAULT DATA'!$NV$9:$WC$41,START!$C$3,($N60+4))*-44/12)+($M60*INDEX('DEFAULT DATA'!$NV$9:$WC$41,START!$C$3,($N60+5))*-44/12)</f>
        <v>43895.255555555552</v>
      </c>
      <c r="R60" s="205">
        <f>($L60*INDEX('DEFAULT DATA'!$NV$9:$WC$41,START!$C$3,($N60+4))*-44/12)+($M60*INDEX('DEFAULT DATA'!$NV$9:$WC$41,START!$C$3,($N60+5))*-44/12)</f>
        <v>806.66666666666686</v>
      </c>
      <c r="S60" s="205">
        <f>($L60*INDEX('DEFAULT DATA'!$NV$9:$WC$41,START!$C$3,($N60+4))*-44/12)+($M60*INDEX('DEFAULT DATA'!$NV$9:$WC$41,START!$C$3,($N60+5))*-44/12)</f>
        <v>806.66666666666686</v>
      </c>
      <c r="T60" s="205">
        <f>($L60*INDEX('DEFAULT DATA'!$NV$9:$WC$41,START!$C$3,($N60+4))*-44/12)+($M60*INDEX('DEFAULT DATA'!$NV$9:$WC$41,START!$C$3,($N60+5))*-44/12)</f>
        <v>806.66666666666686</v>
      </c>
      <c r="U60" s="205">
        <f>($L60*INDEX('DEFAULT DATA'!$NV$9:$WC$41,START!$C$3,($N60+4))*-44/12)+($M60*INDEX('DEFAULT DATA'!$NV$9:$WC$41,START!$C$3,($N60+5))*-44/12)</f>
        <v>806.66666666666686</v>
      </c>
      <c r="V60" s="205">
        <f>($L60*INDEX('DEFAULT DATA'!$NV$9:$WC$41,START!$C$3,($N60+4))*-44/12)+($M60*INDEX('DEFAULT DATA'!$NV$9:$WC$41,START!$C$3,($N60+5))*-44/12)</f>
        <v>806.66666666666686</v>
      </c>
      <c r="W60" s="205">
        <f>($L60*INDEX('DEFAULT DATA'!$NV$9:$WC$41,START!$C$3,($N60+4))*-44/12)+($M60*INDEX('DEFAULT DATA'!$NV$9:$WC$41,START!$C$3,($N60+5))*-44/12)</f>
        <v>806.66666666666686</v>
      </c>
      <c r="X60" s="205">
        <f>($L60*INDEX('DEFAULT DATA'!$NV$9:$WC$41,START!$C$3,($N60+4))*-44/12)+($M60*INDEX('DEFAULT DATA'!$NV$9:$WC$41,START!$C$3,($N60+5))*-44/12)</f>
        <v>806.66666666666686</v>
      </c>
      <c r="Y60" s="205">
        <f>($L60*INDEX('DEFAULT DATA'!$NV$9:$WC$41,START!$C$3,($N60+4))*-44/12)+($M60*INDEX('DEFAULT DATA'!$NV$9:$WC$41,START!$C$3,($N60+5))*-44/12)</f>
        <v>806.66666666666686</v>
      </c>
      <c r="Z60" s="205">
        <f>($L60*INDEX('DEFAULT DATA'!$NV$9:$WC$41,START!$C$3,($N60+4))*-44/12)+($M60*INDEX('DEFAULT DATA'!$NV$9:$WC$41,START!$C$3,($N60+5))*-44/12)</f>
        <v>806.66666666666686</v>
      </c>
      <c r="AA60" s="205">
        <f>($L60*INDEX('DEFAULT DATA'!$NV$9:$WC$41,START!$C$3,($N60+4))*-44/12)+($M60*INDEX('DEFAULT DATA'!$NV$9:$WC$41,START!$C$3,($N60+5))*-44/12)</f>
        <v>806.66666666666686</v>
      </c>
      <c r="AB60" s="205">
        <f>($L60*INDEX('DEFAULT DATA'!$NV$9:$WC$41,START!$C$3,($N60+4))*-44/12)+($M60*INDEX('DEFAULT DATA'!$NV$9:$WC$41,START!$C$3,($N60+5))*-44/12)</f>
        <v>806.66666666666686</v>
      </c>
      <c r="AC60" s="205">
        <f>($L60*INDEX('DEFAULT DATA'!$NV$9:$WC$41,START!$C$3,($N60+4))*-44/12)+($M60*INDEX('DEFAULT DATA'!$NV$9:$WC$41,START!$C$3,($N60+5))*-44/12)</f>
        <v>806.66666666666686</v>
      </c>
      <c r="AD60" s="205">
        <f>($L60*INDEX('DEFAULT DATA'!$NV$9:$WC$41,START!$C$3,($N60+4))*-44/12)+($M60*INDEX('DEFAULT DATA'!$NV$9:$WC$41,START!$C$3,($N60+5))*-44/12)</f>
        <v>806.66666666666686</v>
      </c>
      <c r="AE60" s="205">
        <f>($L60*INDEX('DEFAULT DATA'!$NV$9:$WC$41,START!$C$3,($N60+4))*-44/12)+($M60*INDEX('DEFAULT DATA'!$NV$9:$WC$41,START!$C$3,($N60+5))*-44/12)</f>
        <v>806.66666666666686</v>
      </c>
      <c r="AF60" s="205">
        <f>($L60*INDEX('DEFAULT DATA'!$NV$9:$WC$41,START!$C$3,($N60+4))*-44/12)+($M60*INDEX('DEFAULT DATA'!$NV$9:$WC$41,START!$C$3,($N60+5))*-44/12)</f>
        <v>806.66666666666686</v>
      </c>
      <c r="AG60" s="205">
        <f>($L60*INDEX('DEFAULT DATA'!$NV$9:$WC$41,START!$C$3,($N60+4))*-44/12)+($M60*INDEX('DEFAULT DATA'!$NV$9:$WC$41,START!$C$3,($N60+5))*-44/12)</f>
        <v>806.66666666666686</v>
      </c>
      <c r="AH60" s="205">
        <f>($L60*INDEX('DEFAULT DATA'!$NV$9:$WC$41,START!$C$3,($N60+4))*-44/12)+($M60*INDEX('DEFAULT DATA'!$NV$9:$WC$41,START!$C$3,($N60+5))*-44/12)</f>
        <v>806.66666666666686</v>
      </c>
      <c r="AI60" s="205">
        <f>($L60*INDEX('DEFAULT DATA'!$NV$9:$WC$41,START!$C$3,($N60+4))*-44/12)+($M60*INDEX('DEFAULT DATA'!$NV$9:$WC$41,START!$C$3,($N60+5))*-44/12)</f>
        <v>806.66666666666686</v>
      </c>
      <c r="AJ60" s="205">
        <f>($L60*INDEX('DEFAULT DATA'!$NV$9:$WC$41,START!$C$3,($N60+4))*-44/12)+($M60*INDEX('DEFAULT DATA'!$NV$9:$WC$41,START!$C$3,($N60+5))*-44/12)</f>
        <v>806.66666666666686</v>
      </c>
      <c r="AK60" s="205"/>
      <c r="AL60" s="205"/>
      <c r="AM60" s="205"/>
      <c r="AN60" s="205"/>
      <c r="AO60" s="205"/>
      <c r="AP60" s="205"/>
      <c r="AQ60" s="205"/>
      <c r="AR60" s="205"/>
      <c r="AS60" s="205"/>
      <c r="AT60" s="206"/>
      <c r="AV60" s="1103" t="str">
        <f t="shared" si="42"/>
        <v>(INPUT1*CSC_COL175*-44/12)+(INPUT1*CSC_COL176*-44/12)+(INPUT1*CSC_COL177*-44/12)+(INPUT1*CSC_COL178*-44/12)+(INPUT2*CSC_COL179*-44/12)+(INPUT3*CSC_COL180*-44/12)</v>
      </c>
      <c r="AW60" s="1110" t="s">
        <v>3052</v>
      </c>
      <c r="AX60" s="1110" t="s">
        <v>3046</v>
      </c>
      <c r="AY60" s="1110" t="s">
        <v>3046</v>
      </c>
      <c r="AZ60" s="1110" t="s">
        <v>3046</v>
      </c>
      <c r="BA60" s="1110" t="s">
        <v>3046</v>
      </c>
      <c r="BB60" s="1110" t="s">
        <v>3046</v>
      </c>
      <c r="BC60" s="1110" t="s">
        <v>3046</v>
      </c>
      <c r="BD60" s="1110" t="s">
        <v>3046</v>
      </c>
      <c r="BE60" s="1110" t="s">
        <v>3046</v>
      </c>
      <c r="BF60" s="1110" t="s">
        <v>3046</v>
      </c>
      <c r="BG60" s="1110" t="s">
        <v>3046</v>
      </c>
      <c r="BH60" s="1110" t="s">
        <v>3046</v>
      </c>
      <c r="BI60" s="1110" t="s">
        <v>3046</v>
      </c>
      <c r="BJ60" s="1110" t="s">
        <v>3046</v>
      </c>
      <c r="BK60" s="1110" t="s">
        <v>3046</v>
      </c>
      <c r="BL60" s="1110" t="s">
        <v>3046</v>
      </c>
      <c r="BM60" s="1110" t="s">
        <v>3046</v>
      </c>
      <c r="BN60" s="1110" t="s">
        <v>3046</v>
      </c>
      <c r="BO60" s="1110" t="s">
        <v>3046</v>
      </c>
      <c r="BP60" s="1101"/>
      <c r="BQ60" s="1101"/>
      <c r="BR60" s="1101"/>
      <c r="BS60" s="1101"/>
      <c r="BT60" s="1101"/>
      <c r="BU60" s="1101"/>
      <c r="BV60" s="1101"/>
      <c r="BW60" s="1101"/>
      <c r="BX60" s="1101"/>
      <c r="BY60" s="1121"/>
    </row>
    <row r="61" spans="1:77" ht="20.100000000000001" customHeight="1" thickBot="1">
      <c r="A61" s="908"/>
      <c r="B61" s="904" t="s">
        <v>551</v>
      </c>
      <c r="C61" s="292"/>
      <c r="D61" s="292"/>
      <c r="E61" s="618">
        <v>0</v>
      </c>
      <c r="F61" s="1451">
        <f t="shared" si="44"/>
        <v>0</v>
      </c>
      <c r="G61" s="619">
        <v>0</v>
      </c>
      <c r="H61" s="292">
        <v>1</v>
      </c>
      <c r="I61" s="293"/>
      <c r="J61" s="124"/>
      <c r="K61" s="309">
        <f t="shared" si="38"/>
        <v>0</v>
      </c>
      <c r="L61" s="310">
        <f t="shared" si="39"/>
        <v>0</v>
      </c>
      <c r="M61" s="310">
        <f t="shared" si="40"/>
        <v>0</v>
      </c>
      <c r="N61" s="81">
        <f t="shared" si="43"/>
        <v>157</v>
      </c>
      <c r="O61" s="311" t="s">
        <v>514</v>
      </c>
      <c r="P61" s="312">
        <f t="shared" si="41"/>
        <v>2022</v>
      </c>
      <c r="Q61" s="77">
        <f>($K61*INDEX('DEFAULT DATA'!$NV$9:$WC$41,START!$C$3,($N61))*-44/12)+($K61*INDEX('DEFAULT DATA'!$NV$9:$WC$41,START!$C$3,($N61+1))*-44/12)+($K61*INDEX('DEFAULT DATA'!$NV$9:$WC$41,START!$C$3,($N61+2))*-44/12)+($K61*INDEX('DEFAULT DATA'!$NV$9:$WC$41,START!$C$3,($N61+3))*-44/12)+($L61*INDEX('DEFAULT DATA'!$NV$9:$WC$41,START!$C$3,($N61+4))*-44/12)+($M61*INDEX('DEFAULT DATA'!$NV$9:$WC$41,START!$C$3,($N61+5))*-44/12)</f>
        <v>0</v>
      </c>
      <c r="R61" s="77">
        <f>($K61*INDEX('DEFAULT DATA'!$NV$9:$WC$41,START!$C$3,($N61))*-44/12)+($K61*INDEX('DEFAULT DATA'!$NV$9:$WC$41,START!$C$3,($N61+1))*-44/12)+($K61*INDEX('DEFAULT DATA'!$NV$9:$WC$41,START!$C$3,($N61+2))*-44/12)+($K61*INDEX('DEFAULT DATA'!$NV$9:$WC$41,START!$C$3,($N61+3))*-44/12)+($L61*INDEX('DEFAULT DATA'!$NV$9:$WC$41,START!$C$3,($N61+4))*-44/12)+($M61*INDEX('DEFAULT DATA'!$NV$9:$WC$41,START!$C$3,($N61+5))*-44/12)</f>
        <v>0</v>
      </c>
      <c r="S61" s="77">
        <f>($K61*INDEX('DEFAULT DATA'!$NV$9:$WC$41,START!$C$3,($N61))*-44/12)+($K61*INDEX('DEFAULT DATA'!$NV$9:$WC$41,START!$C$3,($N61+1))*-44/12)+($K61*INDEX('DEFAULT DATA'!$NV$9:$WC$41,START!$C$3,($N61+2))*-44/12)+($K61*INDEX('DEFAULT DATA'!$NV$9:$WC$41,START!$C$3,($N61+3))*-44/12)+($L61*INDEX('DEFAULT DATA'!$NV$9:$WC$41,START!$C$3,($N61+4))*-44/12)+($M61*INDEX('DEFAULT DATA'!$NV$9:$WC$41,START!$C$3,($N61+5))*-44/12)</f>
        <v>0</v>
      </c>
      <c r="T61" s="77">
        <f>($K61*INDEX('DEFAULT DATA'!$NV$9:$WC$41,START!$C$3,($N61))*-44/12)+($K61*INDEX('DEFAULT DATA'!$NV$9:$WC$41,START!$C$3,($N61+1))*-44/12)+($K61*INDEX('DEFAULT DATA'!$NV$9:$WC$41,START!$C$3,($N61+2))*-44/12)+($K61*INDEX('DEFAULT DATA'!$NV$9:$WC$41,START!$C$3,($N61+3))*-44/12)+($L61*INDEX('DEFAULT DATA'!$NV$9:$WC$41,START!$C$3,($N61+4))*-44/12)+($M61*INDEX('DEFAULT DATA'!$NV$9:$WC$41,START!$C$3,($N61+5))*-44/12)</f>
        <v>0</v>
      </c>
      <c r="U61" s="77">
        <f>($K61*INDEX('DEFAULT DATA'!$NV$9:$WC$41,START!$C$3,($N61))*-44/12)+($K61*INDEX('DEFAULT DATA'!$NV$9:$WC$41,START!$C$3,($N61+1))*-44/12)+($K61*INDEX('DEFAULT DATA'!$NV$9:$WC$41,START!$C$3,($N61+2))*-44/12)+($K61*INDEX('DEFAULT DATA'!$NV$9:$WC$41,START!$C$3,($N61+3))*-44/12)+($L61*INDEX('DEFAULT DATA'!$NV$9:$WC$41,START!$C$3,($N61+4))*-44/12)+($M61*INDEX('DEFAULT DATA'!$NV$9:$WC$41,START!$C$3,($N61+5))*-44/12)</f>
        <v>0</v>
      </c>
      <c r="V61" s="77">
        <f>($K61*INDEX('DEFAULT DATA'!$NV$9:$WC$41,START!$C$3,($N61))*-44/12)+($K61*INDEX('DEFAULT DATA'!$NV$9:$WC$41,START!$C$3,($N61+1))*-44/12)+($K61*INDEX('DEFAULT DATA'!$NV$9:$WC$41,START!$C$3,($N61+2))*-44/12)+($K61*INDEX('DEFAULT DATA'!$NV$9:$WC$41,START!$C$3,($N61+3))*-44/12)+($L61*INDEX('DEFAULT DATA'!$NV$9:$WC$41,START!$C$3,($N61+4))*-44/12)+($M61*INDEX('DEFAULT DATA'!$NV$9:$WC$41,START!$C$3,($N61+5))*-44/12)</f>
        <v>0</v>
      </c>
      <c r="W61" s="77">
        <f>($K61*INDEX('DEFAULT DATA'!$NV$9:$WC$41,START!$C$3,($N61))*-44/12)+($K61*INDEX('DEFAULT DATA'!$NV$9:$WC$41,START!$C$3,($N61+1))*-44/12)+($K61*INDEX('DEFAULT DATA'!$NV$9:$WC$41,START!$C$3,($N61+2))*-44/12)+($K61*INDEX('DEFAULT DATA'!$NV$9:$WC$41,START!$C$3,($N61+3))*-44/12)+($L61*INDEX('DEFAULT DATA'!$NV$9:$WC$41,START!$C$3,($N61+4))*-44/12)+($M61*INDEX('DEFAULT DATA'!$NV$9:$WC$41,START!$C$3,($N61+5))*-44/12)</f>
        <v>0</v>
      </c>
      <c r="X61" s="77">
        <f>($K61*INDEX('DEFAULT DATA'!$NV$9:$WC$41,START!$C$3,($N61))*-44/12)+($K61*INDEX('DEFAULT DATA'!$NV$9:$WC$41,START!$C$3,($N61+1))*-44/12)+($K61*INDEX('DEFAULT DATA'!$NV$9:$WC$41,START!$C$3,($N61+2))*-44/12)+($K61*INDEX('DEFAULT DATA'!$NV$9:$WC$41,START!$C$3,($N61+3))*-44/12)+($L61*INDEX('DEFAULT DATA'!$NV$9:$WC$41,START!$C$3,($N61+4))*-44/12)+($M61*INDEX('DEFAULT DATA'!$NV$9:$WC$41,START!$C$3,($N61+5))*-44/12)</f>
        <v>0</v>
      </c>
      <c r="Y61" s="77">
        <f>($K61*INDEX('DEFAULT DATA'!$NV$9:$WC$41,START!$C$3,($N61))*-44/12)+($K61*INDEX('DEFAULT DATA'!$NV$9:$WC$41,START!$C$3,($N61+1))*-44/12)+($K61*INDEX('DEFAULT DATA'!$NV$9:$WC$41,START!$C$3,($N61+2))*-44/12)+($K61*INDEX('DEFAULT DATA'!$NV$9:$WC$41,START!$C$3,($N61+3))*-44/12)+($L61*INDEX('DEFAULT DATA'!$NV$9:$WC$41,START!$C$3,($N61+4))*-44/12)+($M61*INDEX('DEFAULT DATA'!$NV$9:$WC$41,START!$C$3,($N61+5))*-44/12)</f>
        <v>0</v>
      </c>
      <c r="Z61" s="77">
        <f>($K61*INDEX('DEFAULT DATA'!$NV$9:$WC$41,START!$C$3,($N61))*-44/12)+($K61*INDEX('DEFAULT DATA'!$NV$9:$WC$41,START!$C$3,($N61+1))*-44/12)+($K61*INDEX('DEFAULT DATA'!$NV$9:$WC$41,START!$C$3,($N61+2))*-44/12)+($K61*INDEX('DEFAULT DATA'!$NV$9:$WC$41,START!$C$3,($N61+3))*-44/12)+($L61*INDEX('DEFAULT DATA'!$NV$9:$WC$41,START!$C$3,($N61+4))*-44/12)+($M61*INDEX('DEFAULT DATA'!$NV$9:$WC$41,START!$C$3,($N61+5))*-44/12)</f>
        <v>0</v>
      </c>
      <c r="AA61" s="77">
        <f>($K61*INDEX('DEFAULT DATA'!$NV$9:$WC$41,START!$C$3,($N61))*-44/12)+($K61*INDEX('DEFAULT DATA'!$NV$9:$WC$41,START!$C$3,($N61+1))*-44/12)+($K61*INDEX('DEFAULT DATA'!$NV$9:$WC$41,START!$C$3,($N61+2))*-44/12)+($K61*INDEX('DEFAULT DATA'!$NV$9:$WC$41,START!$C$3,($N61+3))*-44/12)+($L61*INDEX('DEFAULT DATA'!$NV$9:$WC$41,START!$C$3,($N61+4))*-44/12)+($M61*INDEX('DEFAULT DATA'!$NV$9:$WC$41,START!$C$3,($N61+5))*-44/12)</f>
        <v>0</v>
      </c>
      <c r="AB61" s="77">
        <f>($K61*INDEX('DEFAULT DATA'!$NV$9:$WC$41,START!$C$3,($N61))*-44/12)+($K61*INDEX('DEFAULT DATA'!$NV$9:$WC$41,START!$C$3,($N61+1))*-44/12)+($K61*INDEX('DEFAULT DATA'!$NV$9:$WC$41,START!$C$3,($N61+2))*-44/12)+($K61*INDEX('DEFAULT DATA'!$NV$9:$WC$41,START!$C$3,($N61+3))*-44/12)+($L61*INDEX('DEFAULT DATA'!$NV$9:$WC$41,START!$C$3,($N61+4))*-44/12)+($M61*INDEX('DEFAULT DATA'!$NV$9:$WC$41,START!$C$3,($N61+5))*-44/12)</f>
        <v>0</v>
      </c>
      <c r="AC61" s="77">
        <f>($K61*INDEX('DEFAULT DATA'!$NV$9:$WC$41,START!$C$3,($N61))*-44/12)+($K61*INDEX('DEFAULT DATA'!$NV$9:$WC$41,START!$C$3,($N61+1))*-44/12)+($K61*INDEX('DEFAULT DATA'!$NV$9:$WC$41,START!$C$3,($N61+2))*-44/12)+($K61*INDEX('DEFAULT DATA'!$NV$9:$WC$41,START!$C$3,($N61+3))*-44/12)+($L61*INDEX('DEFAULT DATA'!$NV$9:$WC$41,START!$C$3,($N61+4))*-44/12)+($M61*INDEX('DEFAULT DATA'!$NV$9:$WC$41,START!$C$3,($N61+5))*-44/12)</f>
        <v>0</v>
      </c>
      <c r="AD61" s="77">
        <f>($K61*INDEX('DEFAULT DATA'!$NV$9:$WC$41,START!$C$3,($N61))*-44/12)+($K61*INDEX('DEFAULT DATA'!$NV$9:$WC$41,START!$C$3,($N61+1))*-44/12)+($K61*INDEX('DEFAULT DATA'!$NV$9:$WC$41,START!$C$3,($N61+2))*-44/12)+($K61*INDEX('DEFAULT DATA'!$NV$9:$WC$41,START!$C$3,($N61+3))*-44/12)+($L61*INDEX('DEFAULT DATA'!$NV$9:$WC$41,START!$C$3,($N61+4))*-44/12)+($M61*INDEX('DEFAULT DATA'!$NV$9:$WC$41,START!$C$3,($N61+5))*-44/12)</f>
        <v>0</v>
      </c>
      <c r="AE61" s="77">
        <f>($K61*INDEX('DEFAULT DATA'!$NV$9:$WC$41,START!$C$3,($N61))*-44/12)+($K61*INDEX('DEFAULT DATA'!$NV$9:$WC$41,START!$C$3,($N61+1))*-44/12)+($K61*INDEX('DEFAULT DATA'!$NV$9:$WC$41,START!$C$3,($N61+2))*-44/12)+($K61*INDEX('DEFAULT DATA'!$NV$9:$WC$41,START!$C$3,($N61+3))*-44/12)+($L61*INDEX('DEFAULT DATA'!$NV$9:$WC$41,START!$C$3,($N61+4))*-44/12)+($M61*INDEX('DEFAULT DATA'!$NV$9:$WC$41,START!$C$3,($N61+5))*-44/12)</f>
        <v>0</v>
      </c>
      <c r="AF61" s="77">
        <f>($K61*INDEX('DEFAULT DATA'!$NV$9:$WC$41,START!$C$3,($N61))*-44/12)+($K61*INDEX('DEFAULT DATA'!$NV$9:$WC$41,START!$C$3,($N61+1))*-44/12)+($K61*INDEX('DEFAULT DATA'!$NV$9:$WC$41,START!$C$3,($N61+2))*-44/12)+($K61*INDEX('DEFAULT DATA'!$NV$9:$WC$41,START!$C$3,($N61+3))*-44/12)+($L61*INDEX('DEFAULT DATA'!$NV$9:$WC$41,START!$C$3,($N61+4))*-44/12)+($M61*INDEX('DEFAULT DATA'!$NV$9:$WC$41,START!$C$3,($N61+5))*-44/12)</f>
        <v>0</v>
      </c>
      <c r="AG61" s="77">
        <f>($K61*INDEX('DEFAULT DATA'!$NV$9:$WC$41,START!$C$3,($N61))*-44/12)+($K61*INDEX('DEFAULT DATA'!$NV$9:$WC$41,START!$C$3,($N61+1))*-44/12)+($K61*INDEX('DEFAULT DATA'!$NV$9:$WC$41,START!$C$3,($N61+2))*-44/12)+($K61*INDEX('DEFAULT DATA'!$NV$9:$WC$41,START!$C$3,($N61+3))*-44/12)+($L61*INDEX('DEFAULT DATA'!$NV$9:$WC$41,START!$C$3,($N61+4))*-44/12)+($M61*INDEX('DEFAULT DATA'!$NV$9:$WC$41,START!$C$3,($N61+5))*-44/12)</f>
        <v>0</v>
      </c>
      <c r="AH61" s="77">
        <f>($K61*INDEX('DEFAULT DATA'!$NV$9:$WC$41,START!$C$3,($N61))*-44/12)+($K61*INDEX('DEFAULT DATA'!$NV$9:$WC$41,START!$C$3,($N61+1))*-44/12)+($K61*INDEX('DEFAULT DATA'!$NV$9:$WC$41,START!$C$3,($N61+2))*-44/12)+($K61*INDEX('DEFAULT DATA'!$NV$9:$WC$41,START!$C$3,($N61+3))*-44/12)+($L61*INDEX('DEFAULT DATA'!$NV$9:$WC$41,START!$C$3,($N61+4))*-44/12)+($M61*INDEX('DEFAULT DATA'!$NV$9:$WC$41,START!$C$3,($N61+5))*-44/12)</f>
        <v>0</v>
      </c>
      <c r="AI61" s="77">
        <f>($K61*INDEX('DEFAULT DATA'!$NV$9:$WC$41,START!$C$3,($N61))*-44/12)+($K61*INDEX('DEFAULT DATA'!$NV$9:$WC$41,START!$C$3,($N61+1))*-44/12)+($K61*INDEX('DEFAULT DATA'!$NV$9:$WC$41,START!$C$3,($N61+2))*-44/12)+($K61*INDEX('DEFAULT DATA'!$NV$9:$WC$41,START!$C$3,($N61+3))*-44/12)+($L61*INDEX('DEFAULT DATA'!$NV$9:$WC$41,START!$C$3,($N61+4))*-44/12)+($M61*INDEX('DEFAULT DATA'!$NV$9:$WC$41,START!$C$3,($N61+5))*-44/12)</f>
        <v>0</v>
      </c>
      <c r="AJ61" s="77">
        <f>($K61*INDEX('DEFAULT DATA'!$NV$9:$WC$41,START!$C$3,($N61))*-44/12)+($K61*INDEX('DEFAULT DATA'!$NV$9:$WC$41,START!$C$3,($N61+1))*-44/12)+($K61*INDEX('DEFAULT DATA'!$NV$9:$WC$41,START!$C$3,($N61+2))*-44/12)+($K61*INDEX('DEFAULT DATA'!$NV$9:$WC$41,START!$C$3,($N61+3))*-44/12)+($L61*INDEX('DEFAULT DATA'!$NV$9:$WC$41,START!$C$3,($N61+4))*-44/12)+($M61*INDEX('DEFAULT DATA'!$NV$9:$WC$41,START!$C$3,($N61+5))*-44/12)</f>
        <v>0</v>
      </c>
      <c r="AK61" s="77"/>
      <c r="AL61" s="77"/>
      <c r="AM61" s="77"/>
      <c r="AN61" s="77"/>
      <c r="AO61" s="77"/>
      <c r="AP61" s="77"/>
      <c r="AQ61" s="77"/>
      <c r="AR61" s="77"/>
      <c r="AS61" s="77"/>
      <c r="AT61" s="276"/>
      <c r="AV61" s="1097" t="str">
        <f t="shared" si="42"/>
        <v>(INPUT1*CSC_COL181*-44/12)+(INPUT1*CSC_COL182*-44/12)+(INPUT1*CSC_COL183*-44/12)+(INPUT1*CSC_COL184*-44/12)+(INPUT2*CSC_COL185*-44/12)+(INPUT3*CSC_COL186*-44/12)</v>
      </c>
      <c r="AW61" s="1087" t="s">
        <v>3043</v>
      </c>
      <c r="AX61" s="1087" t="s">
        <v>3043</v>
      </c>
      <c r="AY61" s="1087" t="s">
        <v>3043</v>
      </c>
      <c r="AZ61" s="1087" t="s">
        <v>3043</v>
      </c>
      <c r="BA61" s="1087" t="s">
        <v>3043</v>
      </c>
      <c r="BB61" s="1087" t="s">
        <v>3043</v>
      </c>
      <c r="BC61" s="1087" t="s">
        <v>3043</v>
      </c>
      <c r="BD61" s="1087" t="s">
        <v>3043</v>
      </c>
      <c r="BE61" s="1087" t="s">
        <v>3043</v>
      </c>
      <c r="BF61" s="1087" t="s">
        <v>3043</v>
      </c>
      <c r="BG61" s="1087" t="s">
        <v>3043</v>
      </c>
      <c r="BH61" s="1087" t="s">
        <v>3043</v>
      </c>
      <c r="BI61" s="1087" t="s">
        <v>3043</v>
      </c>
      <c r="BJ61" s="1087" t="s">
        <v>3043</v>
      </c>
      <c r="BK61" s="1087" t="s">
        <v>3043</v>
      </c>
      <c r="BL61" s="1087" t="s">
        <v>3043</v>
      </c>
      <c r="BM61" s="1087" t="s">
        <v>3043</v>
      </c>
      <c r="BN61" s="1087" t="s">
        <v>3043</v>
      </c>
      <c r="BO61" s="1087" t="s">
        <v>3043</v>
      </c>
      <c r="BP61" s="1088"/>
      <c r="BQ61" s="1088"/>
      <c r="BR61" s="1088"/>
      <c r="BS61" s="1088"/>
      <c r="BT61" s="1088"/>
      <c r="BU61" s="1088"/>
      <c r="BV61" s="1088"/>
      <c r="BW61" s="1088"/>
      <c r="BX61" s="1088"/>
      <c r="BY61" s="1122"/>
    </row>
    <row r="62" spans="1:77" ht="20.100000000000001" customHeight="1">
      <c r="A62" s="281"/>
      <c r="B62" s="905" t="s">
        <v>526</v>
      </c>
      <c r="C62" s="218"/>
      <c r="D62" s="218"/>
      <c r="E62" s="612">
        <v>0</v>
      </c>
      <c r="F62" s="1451">
        <f t="shared" si="44"/>
        <v>0</v>
      </c>
      <c r="G62" s="613">
        <v>0</v>
      </c>
      <c r="H62" s="218">
        <v>1</v>
      </c>
      <c r="I62" s="266"/>
      <c r="J62" s="124"/>
      <c r="K62" s="309">
        <f t="shared" si="38"/>
        <v>0</v>
      </c>
      <c r="L62" s="310">
        <f t="shared" si="39"/>
        <v>0</v>
      </c>
      <c r="M62" s="310">
        <f t="shared" si="40"/>
        <v>0</v>
      </c>
      <c r="N62" s="81">
        <f t="shared" si="43"/>
        <v>163</v>
      </c>
      <c r="O62" s="311" t="s">
        <v>515</v>
      </c>
      <c r="P62" s="312">
        <f t="shared" si="41"/>
        <v>2022</v>
      </c>
      <c r="Q62" s="77">
        <f>($K62*INDEX('DEFAULT DATA'!$NV$9:$WC$41,START!$C$3,($N62))*-44/12)+($K62*INDEX('DEFAULT DATA'!$NV$9:$WC$41,START!$C$3,($N62+1))*-44/12)+($K62*INDEX('DEFAULT DATA'!$NV$9:$WC$41,START!$C$3,($N62+2))*-44/12)+($K62*INDEX('DEFAULT DATA'!$NV$9:$WC$41,START!$C$3,($N62+3))*-44/12)+($L62*INDEX('DEFAULT DATA'!$NV$9:$WC$41,START!$C$3,($N62+4))*-44/12)+($M62*INDEX('DEFAULT DATA'!$NV$9:$WC$41,START!$C$3,($N62+5))*-44/12)</f>
        <v>0</v>
      </c>
      <c r="R62" s="77">
        <f>($K62*INDEX('DEFAULT DATA'!$NV$9:$WC$41,START!$C$3,($N62))*-44/12)+($K62*INDEX('DEFAULT DATA'!$NV$9:$WC$41,START!$C$3,($N62+1))*-44/12)+($K62*INDEX('DEFAULT DATA'!$NV$9:$WC$41,START!$C$3,($N62+2))*-44/12)+($K62*INDEX('DEFAULT DATA'!$NV$9:$WC$41,START!$C$3,($N62+3))*-44/12)+($L62*INDEX('DEFAULT DATA'!$NV$9:$WC$41,START!$C$3,($N62+4))*-44/12)+($M62*INDEX('DEFAULT DATA'!$NV$9:$WC$41,START!$C$3,($N62+5))*-44/12)</f>
        <v>0</v>
      </c>
      <c r="S62" s="77">
        <f>($K62*INDEX('DEFAULT DATA'!$NV$9:$WC$41,START!$C$3,($N62))*-44/12)+($K62*INDEX('DEFAULT DATA'!$NV$9:$WC$41,START!$C$3,($N62+1))*-44/12)+($K62*INDEX('DEFAULT DATA'!$NV$9:$WC$41,START!$C$3,($N62+2))*-44/12)+($K62*INDEX('DEFAULT DATA'!$NV$9:$WC$41,START!$C$3,($N62+3))*-44/12)+($L62*INDEX('DEFAULT DATA'!$NV$9:$WC$41,START!$C$3,($N62+4))*-44/12)+($M62*INDEX('DEFAULT DATA'!$NV$9:$WC$41,START!$C$3,($N62+5))*-44/12)</f>
        <v>0</v>
      </c>
      <c r="T62" s="77">
        <f>($K62*INDEX('DEFAULT DATA'!$NV$9:$WC$41,START!$C$3,($N62))*-44/12)+($K62*INDEX('DEFAULT DATA'!$NV$9:$WC$41,START!$C$3,($N62+1))*-44/12)+($K62*INDEX('DEFAULT DATA'!$NV$9:$WC$41,START!$C$3,($N62+2))*-44/12)+($K62*INDEX('DEFAULT DATA'!$NV$9:$WC$41,START!$C$3,($N62+3))*-44/12)+($L62*INDEX('DEFAULT DATA'!$NV$9:$WC$41,START!$C$3,($N62+4))*-44/12)+($M62*INDEX('DEFAULT DATA'!$NV$9:$WC$41,START!$C$3,($N62+5))*-44/12)</f>
        <v>0</v>
      </c>
      <c r="U62" s="77">
        <f>($K62*INDEX('DEFAULT DATA'!$NV$9:$WC$41,START!$C$3,($N62))*-44/12)+($K62*INDEX('DEFAULT DATA'!$NV$9:$WC$41,START!$C$3,($N62+1))*-44/12)+($K62*INDEX('DEFAULT DATA'!$NV$9:$WC$41,START!$C$3,($N62+2))*-44/12)+($K62*INDEX('DEFAULT DATA'!$NV$9:$WC$41,START!$C$3,($N62+3))*-44/12)+($L62*INDEX('DEFAULT DATA'!$NV$9:$WC$41,START!$C$3,($N62+4))*-44/12)+($M62*INDEX('DEFAULT DATA'!$NV$9:$WC$41,START!$C$3,($N62+5))*-44/12)</f>
        <v>0</v>
      </c>
      <c r="V62" s="77">
        <f>($K62*INDEX('DEFAULT DATA'!$NV$9:$WC$41,START!$C$3,($N62))*-44/12)+($K62*INDEX('DEFAULT DATA'!$NV$9:$WC$41,START!$C$3,($N62+1))*-44/12)+($K62*INDEX('DEFAULT DATA'!$NV$9:$WC$41,START!$C$3,($N62+2))*-44/12)+($K62*INDEX('DEFAULT DATA'!$NV$9:$WC$41,START!$C$3,($N62+3))*-44/12)+($L62*INDEX('DEFAULT DATA'!$NV$9:$WC$41,START!$C$3,($N62+4))*-44/12)+($M62*INDEX('DEFAULT DATA'!$NV$9:$WC$41,START!$C$3,($N62+5))*-44/12)</f>
        <v>0</v>
      </c>
      <c r="W62" s="77">
        <f>($K62*INDEX('DEFAULT DATA'!$NV$9:$WC$41,START!$C$3,($N62))*-44/12)+($K62*INDEX('DEFAULT DATA'!$NV$9:$WC$41,START!$C$3,($N62+1))*-44/12)+($K62*INDEX('DEFAULT DATA'!$NV$9:$WC$41,START!$C$3,($N62+2))*-44/12)+($K62*INDEX('DEFAULT DATA'!$NV$9:$WC$41,START!$C$3,($N62+3))*-44/12)+($L62*INDEX('DEFAULT DATA'!$NV$9:$WC$41,START!$C$3,($N62+4))*-44/12)+($M62*INDEX('DEFAULT DATA'!$NV$9:$WC$41,START!$C$3,($N62+5))*-44/12)</f>
        <v>0</v>
      </c>
      <c r="X62" s="77">
        <f>($K62*INDEX('DEFAULT DATA'!$NV$9:$WC$41,START!$C$3,($N62))*-44/12)+($K62*INDEX('DEFAULT DATA'!$NV$9:$WC$41,START!$C$3,($N62+1))*-44/12)+($K62*INDEX('DEFAULT DATA'!$NV$9:$WC$41,START!$C$3,($N62+2))*-44/12)+($K62*INDEX('DEFAULT DATA'!$NV$9:$WC$41,START!$C$3,($N62+3))*-44/12)+($L62*INDEX('DEFAULT DATA'!$NV$9:$WC$41,START!$C$3,($N62+4))*-44/12)+($M62*INDEX('DEFAULT DATA'!$NV$9:$WC$41,START!$C$3,($N62+5))*-44/12)</f>
        <v>0</v>
      </c>
      <c r="Y62" s="77">
        <f>($K62*INDEX('DEFAULT DATA'!$NV$9:$WC$41,START!$C$3,($N62))*-44/12)+($K62*INDEX('DEFAULT DATA'!$NV$9:$WC$41,START!$C$3,($N62+1))*-44/12)+($K62*INDEX('DEFAULT DATA'!$NV$9:$WC$41,START!$C$3,($N62+2))*-44/12)+($K62*INDEX('DEFAULT DATA'!$NV$9:$WC$41,START!$C$3,($N62+3))*-44/12)+($L62*INDEX('DEFAULT DATA'!$NV$9:$WC$41,START!$C$3,($N62+4))*-44/12)+($M62*INDEX('DEFAULT DATA'!$NV$9:$WC$41,START!$C$3,($N62+5))*-44/12)</f>
        <v>0</v>
      </c>
      <c r="Z62" s="77">
        <f>($K62*INDEX('DEFAULT DATA'!$NV$9:$WC$41,START!$C$3,($N62))*-44/12)+($K62*INDEX('DEFAULT DATA'!$NV$9:$WC$41,START!$C$3,($N62+1))*-44/12)+($K62*INDEX('DEFAULT DATA'!$NV$9:$WC$41,START!$C$3,($N62+2))*-44/12)+($K62*INDEX('DEFAULT DATA'!$NV$9:$WC$41,START!$C$3,($N62+3))*-44/12)+($L62*INDEX('DEFAULT DATA'!$NV$9:$WC$41,START!$C$3,($N62+4))*-44/12)+($M62*INDEX('DEFAULT DATA'!$NV$9:$WC$41,START!$C$3,($N62+5))*-44/12)</f>
        <v>0</v>
      </c>
      <c r="AA62" s="77">
        <f>($K62*INDEX('DEFAULT DATA'!$NV$9:$WC$41,START!$C$3,($N62))*-44/12)+($K62*INDEX('DEFAULT DATA'!$NV$9:$WC$41,START!$C$3,($N62+1))*-44/12)+($K62*INDEX('DEFAULT DATA'!$NV$9:$WC$41,START!$C$3,($N62+2))*-44/12)+($K62*INDEX('DEFAULT DATA'!$NV$9:$WC$41,START!$C$3,($N62+3))*-44/12)+($L62*INDEX('DEFAULT DATA'!$NV$9:$WC$41,START!$C$3,($N62+4))*-44/12)+($M62*INDEX('DEFAULT DATA'!$NV$9:$WC$41,START!$C$3,($N62+5))*-44/12)</f>
        <v>0</v>
      </c>
      <c r="AB62" s="77">
        <f>($K62*INDEX('DEFAULT DATA'!$NV$9:$WC$41,START!$C$3,($N62))*-44/12)+($K62*INDEX('DEFAULT DATA'!$NV$9:$WC$41,START!$C$3,($N62+1))*-44/12)+($K62*INDEX('DEFAULT DATA'!$NV$9:$WC$41,START!$C$3,($N62+2))*-44/12)+($K62*INDEX('DEFAULT DATA'!$NV$9:$WC$41,START!$C$3,($N62+3))*-44/12)+($L62*INDEX('DEFAULT DATA'!$NV$9:$WC$41,START!$C$3,($N62+4))*-44/12)+($M62*INDEX('DEFAULT DATA'!$NV$9:$WC$41,START!$C$3,($N62+5))*-44/12)</f>
        <v>0</v>
      </c>
      <c r="AC62" s="77">
        <f>($K62*INDEX('DEFAULT DATA'!$NV$9:$WC$41,START!$C$3,($N62))*-44/12)+($K62*INDEX('DEFAULT DATA'!$NV$9:$WC$41,START!$C$3,($N62+1))*-44/12)+($K62*INDEX('DEFAULT DATA'!$NV$9:$WC$41,START!$C$3,($N62+2))*-44/12)+($K62*INDEX('DEFAULT DATA'!$NV$9:$WC$41,START!$C$3,($N62+3))*-44/12)+($L62*INDEX('DEFAULT DATA'!$NV$9:$WC$41,START!$C$3,($N62+4))*-44/12)+($M62*INDEX('DEFAULT DATA'!$NV$9:$WC$41,START!$C$3,($N62+5))*-44/12)</f>
        <v>0</v>
      </c>
      <c r="AD62" s="77">
        <f>($K62*INDEX('DEFAULT DATA'!$NV$9:$WC$41,START!$C$3,($N62))*-44/12)+($K62*INDEX('DEFAULT DATA'!$NV$9:$WC$41,START!$C$3,($N62+1))*-44/12)+($K62*INDEX('DEFAULT DATA'!$NV$9:$WC$41,START!$C$3,($N62+2))*-44/12)+($K62*INDEX('DEFAULT DATA'!$NV$9:$WC$41,START!$C$3,($N62+3))*-44/12)+($L62*INDEX('DEFAULT DATA'!$NV$9:$WC$41,START!$C$3,($N62+4))*-44/12)+($M62*INDEX('DEFAULT DATA'!$NV$9:$WC$41,START!$C$3,($N62+5))*-44/12)</f>
        <v>0</v>
      </c>
      <c r="AE62" s="77">
        <f>($K62*INDEX('DEFAULT DATA'!$NV$9:$WC$41,START!$C$3,($N62))*-44/12)+($K62*INDEX('DEFAULT DATA'!$NV$9:$WC$41,START!$C$3,($N62+1))*-44/12)+($K62*INDEX('DEFAULT DATA'!$NV$9:$WC$41,START!$C$3,($N62+2))*-44/12)+($K62*INDEX('DEFAULT DATA'!$NV$9:$WC$41,START!$C$3,($N62+3))*-44/12)+($L62*INDEX('DEFAULT DATA'!$NV$9:$WC$41,START!$C$3,($N62+4))*-44/12)+($M62*INDEX('DEFAULT DATA'!$NV$9:$WC$41,START!$C$3,($N62+5))*-44/12)</f>
        <v>0</v>
      </c>
      <c r="AF62" s="77">
        <f>($K62*INDEX('DEFAULT DATA'!$NV$9:$WC$41,START!$C$3,($N62))*-44/12)+($K62*INDEX('DEFAULT DATA'!$NV$9:$WC$41,START!$C$3,($N62+1))*-44/12)+($K62*INDEX('DEFAULT DATA'!$NV$9:$WC$41,START!$C$3,($N62+2))*-44/12)+($K62*INDEX('DEFAULT DATA'!$NV$9:$WC$41,START!$C$3,($N62+3))*-44/12)+($L62*INDEX('DEFAULT DATA'!$NV$9:$WC$41,START!$C$3,($N62+4))*-44/12)+($M62*INDEX('DEFAULT DATA'!$NV$9:$WC$41,START!$C$3,($N62+5))*-44/12)</f>
        <v>0</v>
      </c>
      <c r="AG62" s="77">
        <f>($K62*INDEX('DEFAULT DATA'!$NV$9:$WC$41,START!$C$3,($N62))*-44/12)+($K62*INDEX('DEFAULT DATA'!$NV$9:$WC$41,START!$C$3,($N62+1))*-44/12)+($K62*INDEX('DEFAULT DATA'!$NV$9:$WC$41,START!$C$3,($N62+2))*-44/12)+($K62*INDEX('DEFAULT DATA'!$NV$9:$WC$41,START!$C$3,($N62+3))*-44/12)+($L62*INDEX('DEFAULT DATA'!$NV$9:$WC$41,START!$C$3,($N62+4))*-44/12)+($M62*INDEX('DEFAULT DATA'!$NV$9:$WC$41,START!$C$3,($N62+5))*-44/12)</f>
        <v>0</v>
      </c>
      <c r="AH62" s="77">
        <f>($K62*INDEX('DEFAULT DATA'!$NV$9:$WC$41,START!$C$3,($N62))*-44/12)+($K62*INDEX('DEFAULT DATA'!$NV$9:$WC$41,START!$C$3,($N62+1))*-44/12)+($K62*INDEX('DEFAULT DATA'!$NV$9:$WC$41,START!$C$3,($N62+2))*-44/12)+($K62*INDEX('DEFAULT DATA'!$NV$9:$WC$41,START!$C$3,($N62+3))*-44/12)+($L62*INDEX('DEFAULT DATA'!$NV$9:$WC$41,START!$C$3,($N62+4))*-44/12)+($M62*INDEX('DEFAULT DATA'!$NV$9:$WC$41,START!$C$3,($N62+5))*-44/12)</f>
        <v>0</v>
      </c>
      <c r="AI62" s="77">
        <f>($K62*INDEX('DEFAULT DATA'!$NV$9:$WC$41,START!$C$3,($N62))*-44/12)+($K62*INDEX('DEFAULT DATA'!$NV$9:$WC$41,START!$C$3,($N62+1))*-44/12)+($K62*INDEX('DEFAULT DATA'!$NV$9:$WC$41,START!$C$3,($N62+2))*-44/12)+($K62*INDEX('DEFAULT DATA'!$NV$9:$WC$41,START!$C$3,($N62+3))*-44/12)+($L62*INDEX('DEFAULT DATA'!$NV$9:$WC$41,START!$C$3,($N62+4))*-44/12)+($M62*INDEX('DEFAULT DATA'!$NV$9:$WC$41,START!$C$3,($N62+5))*-44/12)</f>
        <v>0</v>
      </c>
      <c r="AJ62" s="77">
        <f>($K62*INDEX('DEFAULT DATA'!$NV$9:$WC$41,START!$C$3,($N62))*-44/12)+($K62*INDEX('DEFAULT DATA'!$NV$9:$WC$41,START!$C$3,($N62+1))*-44/12)+($K62*INDEX('DEFAULT DATA'!$NV$9:$WC$41,START!$C$3,($N62+2))*-44/12)+($K62*INDEX('DEFAULT DATA'!$NV$9:$WC$41,START!$C$3,($N62+3))*-44/12)+($L62*INDEX('DEFAULT DATA'!$NV$9:$WC$41,START!$C$3,($N62+4))*-44/12)+($M62*INDEX('DEFAULT DATA'!$NV$9:$WC$41,START!$C$3,($N62+5))*-44/12)</f>
        <v>0</v>
      </c>
      <c r="AK62" s="77"/>
      <c r="AL62" s="77"/>
      <c r="AM62" s="77"/>
      <c r="AN62" s="77"/>
      <c r="AO62" s="77"/>
      <c r="AP62" s="77"/>
      <c r="AQ62" s="77"/>
      <c r="AR62" s="77"/>
      <c r="AS62" s="77"/>
      <c r="AT62" s="276"/>
      <c r="AV62" s="1097" t="str">
        <f t="shared" si="42"/>
        <v>(INPUT1*CSC_COL187*-44/12)+(INPUT1*CSC_COL188*-44/12)+(INPUT1*CSC_COL189*-44/12)+(INPUT1*CSC_COL190*-44/12)+(INPUT2*CSC_COL191*-44/12)+(INPUT3*CSC_COL192*-44/12)</v>
      </c>
      <c r="AW62" s="1087" t="s">
        <v>3043</v>
      </c>
      <c r="AX62" s="1087" t="s">
        <v>3043</v>
      </c>
      <c r="AY62" s="1087" t="s">
        <v>3043</v>
      </c>
      <c r="AZ62" s="1087" t="s">
        <v>3043</v>
      </c>
      <c r="BA62" s="1087" t="s">
        <v>3043</v>
      </c>
      <c r="BB62" s="1087" t="s">
        <v>3043</v>
      </c>
      <c r="BC62" s="1087" t="s">
        <v>3043</v>
      </c>
      <c r="BD62" s="1087" t="s">
        <v>3043</v>
      </c>
      <c r="BE62" s="1087" t="s">
        <v>3043</v>
      </c>
      <c r="BF62" s="1087" t="s">
        <v>3043</v>
      </c>
      <c r="BG62" s="1087" t="s">
        <v>3043</v>
      </c>
      <c r="BH62" s="1087" t="s">
        <v>3043</v>
      </c>
      <c r="BI62" s="1087" t="s">
        <v>3043</v>
      </c>
      <c r="BJ62" s="1087" t="s">
        <v>3043</v>
      </c>
      <c r="BK62" s="1087" t="s">
        <v>3043</v>
      </c>
      <c r="BL62" s="1087" t="s">
        <v>3043</v>
      </c>
      <c r="BM62" s="1087" t="s">
        <v>3043</v>
      </c>
      <c r="BN62" s="1087" t="s">
        <v>3043</v>
      </c>
      <c r="BO62" s="1087" t="s">
        <v>3043</v>
      </c>
      <c r="BP62" s="1088"/>
      <c r="BQ62" s="1088"/>
      <c r="BR62" s="1088"/>
      <c r="BS62" s="1088"/>
      <c r="BT62" s="1088"/>
      <c r="BU62" s="1088"/>
      <c r="BV62" s="1088"/>
      <c r="BW62" s="1088"/>
      <c r="BX62" s="1088"/>
      <c r="BY62" s="1122"/>
    </row>
    <row r="63" spans="1:77" ht="20.100000000000001" customHeight="1">
      <c r="A63" s="254"/>
      <c r="B63" s="906" t="s">
        <v>527</v>
      </c>
      <c r="C63" s="668"/>
      <c r="D63" s="668"/>
      <c r="E63" s="616">
        <v>0</v>
      </c>
      <c r="F63" s="1451">
        <f t="shared" si="44"/>
        <v>0</v>
      </c>
      <c r="G63" s="617">
        <v>0</v>
      </c>
      <c r="H63" s="668">
        <v>1</v>
      </c>
      <c r="I63" s="291"/>
      <c r="J63" s="124"/>
      <c r="K63" s="309">
        <f t="shared" si="38"/>
        <v>0</v>
      </c>
      <c r="L63" s="310">
        <f t="shared" si="39"/>
        <v>0</v>
      </c>
      <c r="M63" s="310">
        <f t="shared" si="40"/>
        <v>0</v>
      </c>
      <c r="N63" s="81">
        <f t="shared" si="43"/>
        <v>169</v>
      </c>
      <c r="O63" s="311" t="s">
        <v>516</v>
      </c>
      <c r="P63" s="312">
        <f t="shared" si="41"/>
        <v>2022</v>
      </c>
      <c r="Q63" s="77">
        <f>($K63*INDEX('DEFAULT DATA'!$NV$9:$WC$41,START!$C$3,($N63))*-44/12)+($K63*INDEX('DEFAULT DATA'!$NV$9:$WC$41,START!$C$3,($N63+1))*-44/12)+($K63*INDEX('DEFAULT DATA'!$NV$9:$WC$41,START!$C$3,($N63+2))*-44/12)+($K63*INDEX('DEFAULT DATA'!$NV$9:$WC$41,START!$C$3,($N63+3))*-44/12)+($L63*INDEX('DEFAULT DATA'!$NV$9:$WC$41,START!$C$3,($N63+4))*-44/12)+($M63*INDEX('DEFAULT DATA'!$NV$9:$WC$41,START!$C$3,($N63+5))*-44/12)</f>
        <v>0</v>
      </c>
      <c r="R63" s="77">
        <f>($K63*INDEX('DEFAULT DATA'!$NV$9:$WC$41,START!$C$3,($N63))*-44/12)+($K63*INDEX('DEFAULT DATA'!$NV$9:$WC$41,START!$C$3,($N63+1))*-44/12)+($K63*INDEX('DEFAULT DATA'!$NV$9:$WC$41,START!$C$3,($N63+2))*-44/12)+($K63*INDEX('DEFAULT DATA'!$NV$9:$WC$41,START!$C$3,($N63+3))*-44/12)+($L63*INDEX('DEFAULT DATA'!$NV$9:$WC$41,START!$C$3,($N63+4))*-44/12)+($M63*INDEX('DEFAULT DATA'!$NV$9:$WC$41,START!$C$3,($N63+5))*-44/12)</f>
        <v>0</v>
      </c>
      <c r="S63" s="77">
        <f>($K63*INDEX('DEFAULT DATA'!$NV$9:$WC$41,START!$C$3,($N63))*-44/12)+($K63*INDEX('DEFAULT DATA'!$NV$9:$WC$41,START!$C$3,($N63+1))*-44/12)+($K63*INDEX('DEFAULT DATA'!$NV$9:$WC$41,START!$C$3,($N63+2))*-44/12)+($K63*INDEX('DEFAULT DATA'!$NV$9:$WC$41,START!$C$3,($N63+3))*-44/12)+($L63*INDEX('DEFAULT DATA'!$NV$9:$WC$41,START!$C$3,($N63+4))*-44/12)+($M63*INDEX('DEFAULT DATA'!$NV$9:$WC$41,START!$C$3,($N63+5))*-44/12)</f>
        <v>0</v>
      </c>
      <c r="T63" s="77">
        <f>($K63*INDEX('DEFAULT DATA'!$NV$9:$WC$41,START!$C$3,($N63))*-44/12)+($K63*INDEX('DEFAULT DATA'!$NV$9:$WC$41,START!$C$3,($N63+1))*-44/12)+($K63*INDEX('DEFAULT DATA'!$NV$9:$WC$41,START!$C$3,($N63+2))*-44/12)+($K63*INDEX('DEFAULT DATA'!$NV$9:$WC$41,START!$C$3,($N63+3))*-44/12)+($L63*INDEX('DEFAULT DATA'!$NV$9:$WC$41,START!$C$3,($N63+4))*-44/12)+($M63*INDEX('DEFAULT DATA'!$NV$9:$WC$41,START!$C$3,($N63+5))*-44/12)</f>
        <v>0</v>
      </c>
      <c r="U63" s="77">
        <f>($K63*INDEX('DEFAULT DATA'!$NV$9:$WC$41,START!$C$3,($N63))*-44/12)+($K63*INDEX('DEFAULT DATA'!$NV$9:$WC$41,START!$C$3,($N63+1))*-44/12)+($K63*INDEX('DEFAULT DATA'!$NV$9:$WC$41,START!$C$3,($N63+2))*-44/12)+($K63*INDEX('DEFAULT DATA'!$NV$9:$WC$41,START!$C$3,($N63+3))*-44/12)+($L63*INDEX('DEFAULT DATA'!$NV$9:$WC$41,START!$C$3,($N63+4))*-44/12)+($M63*INDEX('DEFAULT DATA'!$NV$9:$WC$41,START!$C$3,($N63+5))*-44/12)</f>
        <v>0</v>
      </c>
      <c r="V63" s="77">
        <f>($K63*INDEX('DEFAULT DATA'!$NV$9:$WC$41,START!$C$3,($N63))*-44/12)+($K63*INDEX('DEFAULT DATA'!$NV$9:$WC$41,START!$C$3,($N63+1))*-44/12)+($K63*INDEX('DEFAULT DATA'!$NV$9:$WC$41,START!$C$3,($N63+2))*-44/12)+($K63*INDEX('DEFAULT DATA'!$NV$9:$WC$41,START!$C$3,($N63+3))*-44/12)+($L63*INDEX('DEFAULT DATA'!$NV$9:$WC$41,START!$C$3,($N63+4))*-44/12)+($M63*INDEX('DEFAULT DATA'!$NV$9:$WC$41,START!$C$3,($N63+5))*-44/12)</f>
        <v>0</v>
      </c>
      <c r="W63" s="77">
        <f>($K63*INDEX('DEFAULT DATA'!$NV$9:$WC$41,START!$C$3,($N63))*-44/12)+($K63*INDEX('DEFAULT DATA'!$NV$9:$WC$41,START!$C$3,($N63+1))*-44/12)+($K63*INDEX('DEFAULT DATA'!$NV$9:$WC$41,START!$C$3,($N63+2))*-44/12)+($K63*INDEX('DEFAULT DATA'!$NV$9:$WC$41,START!$C$3,($N63+3))*-44/12)+($L63*INDEX('DEFAULT DATA'!$NV$9:$WC$41,START!$C$3,($N63+4))*-44/12)+($M63*INDEX('DEFAULT DATA'!$NV$9:$WC$41,START!$C$3,($N63+5))*-44/12)</f>
        <v>0</v>
      </c>
      <c r="X63" s="77">
        <f>($K63*INDEX('DEFAULT DATA'!$NV$9:$WC$41,START!$C$3,($N63))*-44/12)+($K63*INDEX('DEFAULT DATA'!$NV$9:$WC$41,START!$C$3,($N63+1))*-44/12)+($K63*INDEX('DEFAULT DATA'!$NV$9:$WC$41,START!$C$3,($N63+2))*-44/12)+($K63*INDEX('DEFAULT DATA'!$NV$9:$WC$41,START!$C$3,($N63+3))*-44/12)+($L63*INDEX('DEFAULT DATA'!$NV$9:$WC$41,START!$C$3,($N63+4))*-44/12)+($M63*INDEX('DEFAULT DATA'!$NV$9:$WC$41,START!$C$3,($N63+5))*-44/12)</f>
        <v>0</v>
      </c>
      <c r="Y63" s="77">
        <f>($K63*INDEX('DEFAULT DATA'!$NV$9:$WC$41,START!$C$3,($N63))*-44/12)+($K63*INDEX('DEFAULT DATA'!$NV$9:$WC$41,START!$C$3,($N63+1))*-44/12)+($K63*INDEX('DEFAULT DATA'!$NV$9:$WC$41,START!$C$3,($N63+2))*-44/12)+($K63*INDEX('DEFAULT DATA'!$NV$9:$WC$41,START!$C$3,($N63+3))*-44/12)+($L63*INDEX('DEFAULT DATA'!$NV$9:$WC$41,START!$C$3,($N63+4))*-44/12)+($M63*INDEX('DEFAULT DATA'!$NV$9:$WC$41,START!$C$3,($N63+5))*-44/12)</f>
        <v>0</v>
      </c>
      <c r="Z63" s="77">
        <f>($K63*INDEX('DEFAULT DATA'!$NV$9:$WC$41,START!$C$3,($N63))*-44/12)+($K63*INDEX('DEFAULT DATA'!$NV$9:$WC$41,START!$C$3,($N63+1))*-44/12)+($K63*INDEX('DEFAULT DATA'!$NV$9:$WC$41,START!$C$3,($N63+2))*-44/12)+($K63*INDEX('DEFAULT DATA'!$NV$9:$WC$41,START!$C$3,($N63+3))*-44/12)+($L63*INDEX('DEFAULT DATA'!$NV$9:$WC$41,START!$C$3,($N63+4))*-44/12)+($M63*INDEX('DEFAULT DATA'!$NV$9:$WC$41,START!$C$3,($N63+5))*-44/12)</f>
        <v>0</v>
      </c>
      <c r="AA63" s="77">
        <f>($K63*INDEX('DEFAULT DATA'!$NV$9:$WC$41,START!$C$3,($N63))*-44/12)+($K63*INDEX('DEFAULT DATA'!$NV$9:$WC$41,START!$C$3,($N63+1))*-44/12)+($K63*INDEX('DEFAULT DATA'!$NV$9:$WC$41,START!$C$3,($N63+2))*-44/12)+($K63*INDEX('DEFAULT DATA'!$NV$9:$WC$41,START!$C$3,($N63+3))*-44/12)+($L63*INDEX('DEFAULT DATA'!$NV$9:$WC$41,START!$C$3,($N63+4))*-44/12)+($M63*INDEX('DEFAULT DATA'!$NV$9:$WC$41,START!$C$3,($N63+5))*-44/12)</f>
        <v>0</v>
      </c>
      <c r="AB63" s="77">
        <f>($K63*INDEX('DEFAULT DATA'!$NV$9:$WC$41,START!$C$3,($N63))*-44/12)+($K63*INDEX('DEFAULT DATA'!$NV$9:$WC$41,START!$C$3,($N63+1))*-44/12)+($K63*INDEX('DEFAULT DATA'!$NV$9:$WC$41,START!$C$3,($N63+2))*-44/12)+($K63*INDEX('DEFAULT DATA'!$NV$9:$WC$41,START!$C$3,($N63+3))*-44/12)+($L63*INDEX('DEFAULT DATA'!$NV$9:$WC$41,START!$C$3,($N63+4))*-44/12)+($M63*INDEX('DEFAULT DATA'!$NV$9:$WC$41,START!$C$3,($N63+5))*-44/12)</f>
        <v>0</v>
      </c>
      <c r="AC63" s="77">
        <f>($K63*INDEX('DEFAULT DATA'!$NV$9:$WC$41,START!$C$3,($N63))*-44/12)+($K63*INDEX('DEFAULT DATA'!$NV$9:$WC$41,START!$C$3,($N63+1))*-44/12)+($K63*INDEX('DEFAULT DATA'!$NV$9:$WC$41,START!$C$3,($N63+2))*-44/12)+($K63*INDEX('DEFAULT DATA'!$NV$9:$WC$41,START!$C$3,($N63+3))*-44/12)+($L63*INDEX('DEFAULT DATA'!$NV$9:$WC$41,START!$C$3,($N63+4))*-44/12)+($M63*INDEX('DEFAULT DATA'!$NV$9:$WC$41,START!$C$3,($N63+5))*-44/12)</f>
        <v>0</v>
      </c>
      <c r="AD63" s="77">
        <f>($K63*INDEX('DEFAULT DATA'!$NV$9:$WC$41,START!$C$3,($N63))*-44/12)+($K63*INDEX('DEFAULT DATA'!$NV$9:$WC$41,START!$C$3,($N63+1))*-44/12)+($K63*INDEX('DEFAULT DATA'!$NV$9:$WC$41,START!$C$3,($N63+2))*-44/12)+($K63*INDEX('DEFAULT DATA'!$NV$9:$WC$41,START!$C$3,($N63+3))*-44/12)+($L63*INDEX('DEFAULT DATA'!$NV$9:$WC$41,START!$C$3,($N63+4))*-44/12)+($M63*INDEX('DEFAULT DATA'!$NV$9:$WC$41,START!$C$3,($N63+5))*-44/12)</f>
        <v>0</v>
      </c>
      <c r="AE63" s="77">
        <f>($K63*INDEX('DEFAULT DATA'!$NV$9:$WC$41,START!$C$3,($N63))*-44/12)+($K63*INDEX('DEFAULT DATA'!$NV$9:$WC$41,START!$C$3,($N63+1))*-44/12)+($K63*INDEX('DEFAULT DATA'!$NV$9:$WC$41,START!$C$3,($N63+2))*-44/12)+($K63*INDEX('DEFAULT DATA'!$NV$9:$WC$41,START!$C$3,($N63+3))*-44/12)+($L63*INDEX('DEFAULT DATA'!$NV$9:$WC$41,START!$C$3,($N63+4))*-44/12)+($M63*INDEX('DEFAULT DATA'!$NV$9:$WC$41,START!$C$3,($N63+5))*-44/12)</f>
        <v>0</v>
      </c>
      <c r="AF63" s="77">
        <f>($K63*INDEX('DEFAULT DATA'!$NV$9:$WC$41,START!$C$3,($N63))*-44/12)+($K63*INDEX('DEFAULT DATA'!$NV$9:$WC$41,START!$C$3,($N63+1))*-44/12)+($K63*INDEX('DEFAULT DATA'!$NV$9:$WC$41,START!$C$3,($N63+2))*-44/12)+($K63*INDEX('DEFAULT DATA'!$NV$9:$WC$41,START!$C$3,($N63+3))*-44/12)+($L63*INDEX('DEFAULT DATA'!$NV$9:$WC$41,START!$C$3,($N63+4))*-44/12)+($M63*INDEX('DEFAULT DATA'!$NV$9:$WC$41,START!$C$3,($N63+5))*-44/12)</f>
        <v>0</v>
      </c>
      <c r="AG63" s="77">
        <f>($K63*INDEX('DEFAULT DATA'!$NV$9:$WC$41,START!$C$3,($N63))*-44/12)+($K63*INDEX('DEFAULT DATA'!$NV$9:$WC$41,START!$C$3,($N63+1))*-44/12)+($K63*INDEX('DEFAULT DATA'!$NV$9:$WC$41,START!$C$3,($N63+2))*-44/12)+($K63*INDEX('DEFAULT DATA'!$NV$9:$WC$41,START!$C$3,($N63+3))*-44/12)+($L63*INDEX('DEFAULT DATA'!$NV$9:$WC$41,START!$C$3,($N63+4))*-44/12)+($M63*INDEX('DEFAULT DATA'!$NV$9:$WC$41,START!$C$3,($N63+5))*-44/12)</f>
        <v>0</v>
      </c>
      <c r="AH63" s="77">
        <f>($K63*INDEX('DEFAULT DATA'!$NV$9:$WC$41,START!$C$3,($N63))*-44/12)+($K63*INDEX('DEFAULT DATA'!$NV$9:$WC$41,START!$C$3,($N63+1))*-44/12)+($K63*INDEX('DEFAULT DATA'!$NV$9:$WC$41,START!$C$3,($N63+2))*-44/12)+($K63*INDEX('DEFAULT DATA'!$NV$9:$WC$41,START!$C$3,($N63+3))*-44/12)+($L63*INDEX('DEFAULT DATA'!$NV$9:$WC$41,START!$C$3,($N63+4))*-44/12)+($M63*INDEX('DEFAULT DATA'!$NV$9:$WC$41,START!$C$3,($N63+5))*-44/12)</f>
        <v>0</v>
      </c>
      <c r="AI63" s="77">
        <f>($K63*INDEX('DEFAULT DATA'!$NV$9:$WC$41,START!$C$3,($N63))*-44/12)+($K63*INDEX('DEFAULT DATA'!$NV$9:$WC$41,START!$C$3,($N63+1))*-44/12)+($K63*INDEX('DEFAULT DATA'!$NV$9:$WC$41,START!$C$3,($N63+2))*-44/12)+($K63*INDEX('DEFAULT DATA'!$NV$9:$WC$41,START!$C$3,($N63+3))*-44/12)+($L63*INDEX('DEFAULT DATA'!$NV$9:$WC$41,START!$C$3,($N63+4))*-44/12)+($M63*INDEX('DEFAULT DATA'!$NV$9:$WC$41,START!$C$3,($N63+5))*-44/12)</f>
        <v>0</v>
      </c>
      <c r="AJ63" s="77">
        <f>($K63*INDEX('DEFAULT DATA'!$NV$9:$WC$41,START!$C$3,($N63))*-44/12)+($K63*INDEX('DEFAULT DATA'!$NV$9:$WC$41,START!$C$3,($N63+1))*-44/12)+($K63*INDEX('DEFAULT DATA'!$NV$9:$WC$41,START!$C$3,($N63+2))*-44/12)+($K63*INDEX('DEFAULT DATA'!$NV$9:$WC$41,START!$C$3,($N63+3))*-44/12)+($L63*INDEX('DEFAULT DATA'!$NV$9:$WC$41,START!$C$3,($N63+4))*-44/12)+($M63*INDEX('DEFAULT DATA'!$NV$9:$WC$41,START!$C$3,($N63+5))*-44/12)</f>
        <v>0</v>
      </c>
      <c r="AK63" s="77"/>
      <c r="AL63" s="77"/>
      <c r="AM63" s="77"/>
      <c r="AN63" s="77"/>
      <c r="AO63" s="77"/>
      <c r="AP63" s="77"/>
      <c r="AQ63" s="77"/>
      <c r="AR63" s="77"/>
      <c r="AS63" s="77"/>
      <c r="AT63" s="276"/>
      <c r="AV63" s="1097" t="str">
        <f t="shared" si="42"/>
        <v>(INPUT1*CSC_COL193*-44/12)+(INPUT1*CSC_COL194*-44/12)+(INPUT1*CSC_COL195*-44/12)+(INPUT1*CSC_COL196*-44/12)+(INPUT2*CSC_COL197*-44/12)+(INPUT3*CSC_COL198*-44/12)</v>
      </c>
      <c r="AW63" s="1087" t="s">
        <v>3043</v>
      </c>
      <c r="AX63" s="1087" t="s">
        <v>3043</v>
      </c>
      <c r="AY63" s="1087" t="s">
        <v>3043</v>
      </c>
      <c r="AZ63" s="1087" t="s">
        <v>3043</v>
      </c>
      <c r="BA63" s="1087" t="s">
        <v>3043</v>
      </c>
      <c r="BB63" s="1087" t="s">
        <v>3043</v>
      </c>
      <c r="BC63" s="1087" t="s">
        <v>3043</v>
      </c>
      <c r="BD63" s="1087" t="s">
        <v>3043</v>
      </c>
      <c r="BE63" s="1087" t="s">
        <v>3043</v>
      </c>
      <c r="BF63" s="1087" t="s">
        <v>3043</v>
      </c>
      <c r="BG63" s="1087" t="s">
        <v>3043</v>
      </c>
      <c r="BH63" s="1087" t="s">
        <v>3043</v>
      </c>
      <c r="BI63" s="1087" t="s">
        <v>3043</v>
      </c>
      <c r="BJ63" s="1087" t="s">
        <v>3043</v>
      </c>
      <c r="BK63" s="1087" t="s">
        <v>3043</v>
      </c>
      <c r="BL63" s="1087" t="s">
        <v>3043</v>
      </c>
      <c r="BM63" s="1087" t="s">
        <v>3043</v>
      </c>
      <c r="BN63" s="1087" t="s">
        <v>3043</v>
      </c>
      <c r="BO63" s="1087" t="s">
        <v>3043</v>
      </c>
      <c r="BP63" s="1088"/>
      <c r="BQ63" s="1088"/>
      <c r="BR63" s="1088"/>
      <c r="BS63" s="1088"/>
      <c r="BT63" s="1088"/>
      <c r="BU63" s="1088"/>
      <c r="BV63" s="1088"/>
      <c r="BW63" s="1088"/>
      <c r="BX63" s="1088"/>
      <c r="BY63" s="1122"/>
    </row>
    <row r="64" spans="1:77" ht="20.100000000000001" customHeight="1" thickBot="1">
      <c r="A64" s="254"/>
      <c r="B64" s="906" t="s">
        <v>593</v>
      </c>
      <c r="C64" s="668"/>
      <c r="D64" s="668"/>
      <c r="E64" s="616">
        <v>0</v>
      </c>
      <c r="F64" s="1451">
        <f t="shared" si="44"/>
        <v>0</v>
      </c>
      <c r="G64" s="617">
        <v>0</v>
      </c>
      <c r="H64" s="668">
        <v>1</v>
      </c>
      <c r="I64" s="291"/>
      <c r="J64" s="124"/>
      <c r="K64" s="313">
        <f t="shared" si="38"/>
        <v>0</v>
      </c>
      <c r="L64" s="314">
        <f t="shared" si="39"/>
        <v>0</v>
      </c>
      <c r="M64" s="314">
        <f t="shared" si="40"/>
        <v>0</v>
      </c>
      <c r="N64" s="155">
        <f t="shared" si="43"/>
        <v>175</v>
      </c>
      <c r="O64" s="315" t="s">
        <v>517</v>
      </c>
      <c r="P64" s="316">
        <f t="shared" si="41"/>
        <v>2022</v>
      </c>
      <c r="Q64" s="273">
        <f>($K64*INDEX('DEFAULT DATA'!$NV$9:$WC$41,START!$C$3,($N64))*-44/12)+($K64*INDEX('DEFAULT DATA'!$NV$9:$WC$41,START!$C$3,($N64+1))*-44/12)+($K64*INDEX('DEFAULT DATA'!$NV$9:$WC$41,START!$C$3,($N64+2))*-44/12)+($K64*INDEX('DEFAULT DATA'!$NV$9:$WC$41,START!$C$3,($N64+3))*-44/12)+($L64*INDEX('DEFAULT DATA'!$NV$9:$WC$41,START!$C$3,($N64+4))*-44/12)+($M64*INDEX('DEFAULT DATA'!$NV$9:$WC$41,START!$C$3,($N64+5))*-44/12)</f>
        <v>0</v>
      </c>
      <c r="R64" s="273">
        <f>($K64*INDEX('DEFAULT DATA'!$NV$9:$WC$41,START!$C$3,($N64))*-44/12)+($K64*INDEX('DEFAULT DATA'!$NV$9:$WC$41,START!$C$3,($N64+1))*-44/12)+($K64*INDEX('DEFAULT DATA'!$NV$9:$WC$41,START!$C$3,($N64+2))*-44/12)+($K64*INDEX('DEFAULT DATA'!$NV$9:$WC$41,START!$C$3,($N64+3))*-44/12)+($L64*INDEX('DEFAULT DATA'!$NV$9:$WC$41,START!$C$3,($N64+4))*-44/12)+($M64*INDEX('DEFAULT DATA'!$NV$9:$WC$41,START!$C$3,($N64+5))*-44/12)</f>
        <v>0</v>
      </c>
      <c r="S64" s="273">
        <f>($K64*INDEX('DEFAULT DATA'!$NV$9:$WC$41,START!$C$3,($N64))*-44/12)+($K64*INDEX('DEFAULT DATA'!$NV$9:$WC$41,START!$C$3,($N64+1))*-44/12)+($K64*INDEX('DEFAULT DATA'!$NV$9:$WC$41,START!$C$3,($N64+2))*-44/12)+($K64*INDEX('DEFAULT DATA'!$NV$9:$WC$41,START!$C$3,($N64+3))*-44/12)+($L64*INDEX('DEFAULT DATA'!$NV$9:$WC$41,START!$C$3,($N64+4))*-44/12)+($M64*INDEX('DEFAULT DATA'!$NV$9:$WC$41,START!$C$3,($N64+5))*-44/12)</f>
        <v>0</v>
      </c>
      <c r="T64" s="273">
        <f>($K64*INDEX('DEFAULT DATA'!$NV$9:$WC$41,START!$C$3,($N64))*-44/12)+($K64*INDEX('DEFAULT DATA'!$NV$9:$WC$41,START!$C$3,($N64+1))*-44/12)+($K64*INDEX('DEFAULT DATA'!$NV$9:$WC$41,START!$C$3,($N64+2))*-44/12)+($K64*INDEX('DEFAULT DATA'!$NV$9:$WC$41,START!$C$3,($N64+3))*-44/12)+($L64*INDEX('DEFAULT DATA'!$NV$9:$WC$41,START!$C$3,($N64+4))*-44/12)+($M64*INDEX('DEFAULT DATA'!$NV$9:$WC$41,START!$C$3,($N64+5))*-44/12)</f>
        <v>0</v>
      </c>
      <c r="U64" s="273">
        <f>($K64*INDEX('DEFAULT DATA'!$NV$9:$WC$41,START!$C$3,($N64))*-44/12)+($K64*INDEX('DEFAULT DATA'!$NV$9:$WC$41,START!$C$3,($N64+1))*-44/12)+($K64*INDEX('DEFAULT DATA'!$NV$9:$WC$41,START!$C$3,($N64+2))*-44/12)+($K64*INDEX('DEFAULT DATA'!$NV$9:$WC$41,START!$C$3,($N64+3))*-44/12)+($L64*INDEX('DEFAULT DATA'!$NV$9:$WC$41,START!$C$3,($N64+4))*-44/12)+($M64*INDEX('DEFAULT DATA'!$NV$9:$WC$41,START!$C$3,($N64+5))*-44/12)</f>
        <v>0</v>
      </c>
      <c r="V64" s="273">
        <f>($K64*INDEX('DEFAULT DATA'!$NV$9:$WC$41,START!$C$3,($N64))*-44/12)+($K64*INDEX('DEFAULT DATA'!$NV$9:$WC$41,START!$C$3,($N64+1))*-44/12)+($K64*INDEX('DEFAULT DATA'!$NV$9:$WC$41,START!$C$3,($N64+2))*-44/12)+($K64*INDEX('DEFAULT DATA'!$NV$9:$WC$41,START!$C$3,($N64+3))*-44/12)+($L64*INDEX('DEFAULT DATA'!$NV$9:$WC$41,START!$C$3,($N64+4))*-44/12)+($M64*INDEX('DEFAULT DATA'!$NV$9:$WC$41,START!$C$3,($N64+5))*-44/12)</f>
        <v>0</v>
      </c>
      <c r="W64" s="273">
        <f>($K64*INDEX('DEFAULT DATA'!$NV$9:$WC$41,START!$C$3,($N64))*-44/12)+($K64*INDEX('DEFAULT DATA'!$NV$9:$WC$41,START!$C$3,($N64+1))*-44/12)+($K64*INDEX('DEFAULT DATA'!$NV$9:$WC$41,START!$C$3,($N64+2))*-44/12)+($K64*INDEX('DEFAULT DATA'!$NV$9:$WC$41,START!$C$3,($N64+3))*-44/12)+($L64*INDEX('DEFAULT DATA'!$NV$9:$WC$41,START!$C$3,($N64+4))*-44/12)+($M64*INDEX('DEFAULT DATA'!$NV$9:$WC$41,START!$C$3,($N64+5))*-44/12)</f>
        <v>0</v>
      </c>
      <c r="X64" s="273">
        <f>($K64*INDEX('DEFAULT DATA'!$NV$9:$WC$41,START!$C$3,($N64))*-44/12)+($K64*INDEX('DEFAULT DATA'!$NV$9:$WC$41,START!$C$3,($N64+1))*-44/12)+($K64*INDEX('DEFAULT DATA'!$NV$9:$WC$41,START!$C$3,($N64+2))*-44/12)+($K64*INDEX('DEFAULT DATA'!$NV$9:$WC$41,START!$C$3,($N64+3))*-44/12)+($L64*INDEX('DEFAULT DATA'!$NV$9:$WC$41,START!$C$3,($N64+4))*-44/12)+($M64*INDEX('DEFAULT DATA'!$NV$9:$WC$41,START!$C$3,($N64+5))*-44/12)</f>
        <v>0</v>
      </c>
      <c r="Y64" s="273">
        <f>($K64*INDEX('DEFAULT DATA'!$NV$9:$WC$41,START!$C$3,($N64))*-44/12)+($K64*INDEX('DEFAULT DATA'!$NV$9:$WC$41,START!$C$3,($N64+1))*-44/12)+($K64*INDEX('DEFAULT DATA'!$NV$9:$WC$41,START!$C$3,($N64+2))*-44/12)+($K64*INDEX('DEFAULT DATA'!$NV$9:$WC$41,START!$C$3,($N64+3))*-44/12)+($L64*INDEX('DEFAULT DATA'!$NV$9:$WC$41,START!$C$3,($N64+4))*-44/12)+($M64*INDEX('DEFAULT DATA'!$NV$9:$WC$41,START!$C$3,($N64+5))*-44/12)</f>
        <v>0</v>
      </c>
      <c r="Z64" s="273">
        <f>($K64*INDEX('DEFAULT DATA'!$NV$9:$WC$41,START!$C$3,($N64))*-44/12)+($K64*INDEX('DEFAULT DATA'!$NV$9:$WC$41,START!$C$3,($N64+1))*-44/12)+($K64*INDEX('DEFAULT DATA'!$NV$9:$WC$41,START!$C$3,($N64+2))*-44/12)+($K64*INDEX('DEFAULT DATA'!$NV$9:$WC$41,START!$C$3,($N64+3))*-44/12)+($L64*INDEX('DEFAULT DATA'!$NV$9:$WC$41,START!$C$3,($N64+4))*-44/12)+($M64*INDEX('DEFAULT DATA'!$NV$9:$WC$41,START!$C$3,($N64+5))*-44/12)</f>
        <v>0</v>
      </c>
      <c r="AA64" s="273">
        <f>($K64*INDEX('DEFAULT DATA'!$NV$9:$WC$41,START!$C$3,($N64))*-44/12)+($K64*INDEX('DEFAULT DATA'!$NV$9:$WC$41,START!$C$3,($N64+1))*-44/12)+($K64*INDEX('DEFAULT DATA'!$NV$9:$WC$41,START!$C$3,($N64+2))*-44/12)+($K64*INDEX('DEFAULT DATA'!$NV$9:$WC$41,START!$C$3,($N64+3))*-44/12)+($L64*INDEX('DEFAULT DATA'!$NV$9:$WC$41,START!$C$3,($N64+4))*-44/12)+($M64*INDEX('DEFAULT DATA'!$NV$9:$WC$41,START!$C$3,($N64+5))*-44/12)</f>
        <v>0</v>
      </c>
      <c r="AB64" s="273">
        <f>($K64*INDEX('DEFAULT DATA'!$NV$9:$WC$41,START!$C$3,($N64))*-44/12)+($K64*INDEX('DEFAULT DATA'!$NV$9:$WC$41,START!$C$3,($N64+1))*-44/12)+($K64*INDEX('DEFAULT DATA'!$NV$9:$WC$41,START!$C$3,($N64+2))*-44/12)+($K64*INDEX('DEFAULT DATA'!$NV$9:$WC$41,START!$C$3,($N64+3))*-44/12)+($L64*INDEX('DEFAULT DATA'!$NV$9:$WC$41,START!$C$3,($N64+4))*-44/12)+($M64*INDEX('DEFAULT DATA'!$NV$9:$WC$41,START!$C$3,($N64+5))*-44/12)</f>
        <v>0</v>
      </c>
      <c r="AC64" s="273">
        <f>($K64*INDEX('DEFAULT DATA'!$NV$9:$WC$41,START!$C$3,($N64))*-44/12)+($K64*INDEX('DEFAULT DATA'!$NV$9:$WC$41,START!$C$3,($N64+1))*-44/12)+($K64*INDEX('DEFAULT DATA'!$NV$9:$WC$41,START!$C$3,($N64+2))*-44/12)+($K64*INDEX('DEFAULT DATA'!$NV$9:$WC$41,START!$C$3,($N64+3))*-44/12)+($L64*INDEX('DEFAULT DATA'!$NV$9:$WC$41,START!$C$3,($N64+4))*-44/12)+($M64*INDEX('DEFAULT DATA'!$NV$9:$WC$41,START!$C$3,($N64+5))*-44/12)</f>
        <v>0</v>
      </c>
      <c r="AD64" s="273">
        <f>($K64*INDEX('DEFAULT DATA'!$NV$9:$WC$41,START!$C$3,($N64))*-44/12)+($K64*INDEX('DEFAULT DATA'!$NV$9:$WC$41,START!$C$3,($N64+1))*-44/12)+($K64*INDEX('DEFAULT DATA'!$NV$9:$WC$41,START!$C$3,($N64+2))*-44/12)+($K64*INDEX('DEFAULT DATA'!$NV$9:$WC$41,START!$C$3,($N64+3))*-44/12)+($L64*INDEX('DEFAULT DATA'!$NV$9:$WC$41,START!$C$3,($N64+4))*-44/12)+($M64*INDEX('DEFAULT DATA'!$NV$9:$WC$41,START!$C$3,($N64+5))*-44/12)</f>
        <v>0</v>
      </c>
      <c r="AE64" s="273">
        <f>($K64*INDEX('DEFAULT DATA'!$NV$9:$WC$41,START!$C$3,($N64))*-44/12)+($K64*INDEX('DEFAULT DATA'!$NV$9:$WC$41,START!$C$3,($N64+1))*-44/12)+($K64*INDEX('DEFAULT DATA'!$NV$9:$WC$41,START!$C$3,($N64+2))*-44/12)+($K64*INDEX('DEFAULT DATA'!$NV$9:$WC$41,START!$C$3,($N64+3))*-44/12)+($L64*INDEX('DEFAULT DATA'!$NV$9:$WC$41,START!$C$3,($N64+4))*-44/12)+($M64*INDEX('DEFAULT DATA'!$NV$9:$WC$41,START!$C$3,($N64+5))*-44/12)</f>
        <v>0</v>
      </c>
      <c r="AF64" s="273">
        <f>($K64*INDEX('DEFAULT DATA'!$NV$9:$WC$41,START!$C$3,($N64))*-44/12)+($K64*INDEX('DEFAULT DATA'!$NV$9:$WC$41,START!$C$3,($N64+1))*-44/12)+($K64*INDEX('DEFAULT DATA'!$NV$9:$WC$41,START!$C$3,($N64+2))*-44/12)+($K64*INDEX('DEFAULT DATA'!$NV$9:$WC$41,START!$C$3,($N64+3))*-44/12)+($L64*INDEX('DEFAULT DATA'!$NV$9:$WC$41,START!$C$3,($N64+4))*-44/12)+($M64*INDEX('DEFAULT DATA'!$NV$9:$WC$41,START!$C$3,($N64+5))*-44/12)</f>
        <v>0</v>
      </c>
      <c r="AG64" s="273">
        <f>($K64*INDEX('DEFAULT DATA'!$NV$9:$WC$41,START!$C$3,($N64))*-44/12)+($K64*INDEX('DEFAULT DATA'!$NV$9:$WC$41,START!$C$3,($N64+1))*-44/12)+($K64*INDEX('DEFAULT DATA'!$NV$9:$WC$41,START!$C$3,($N64+2))*-44/12)+($K64*INDEX('DEFAULT DATA'!$NV$9:$WC$41,START!$C$3,($N64+3))*-44/12)+($L64*INDEX('DEFAULT DATA'!$NV$9:$WC$41,START!$C$3,($N64+4))*-44/12)+($M64*INDEX('DEFAULT DATA'!$NV$9:$WC$41,START!$C$3,($N64+5))*-44/12)</f>
        <v>0</v>
      </c>
      <c r="AH64" s="273">
        <f>($K64*INDEX('DEFAULT DATA'!$NV$9:$WC$41,START!$C$3,($N64))*-44/12)+($K64*INDEX('DEFAULT DATA'!$NV$9:$WC$41,START!$C$3,($N64+1))*-44/12)+($K64*INDEX('DEFAULT DATA'!$NV$9:$WC$41,START!$C$3,($N64+2))*-44/12)+($K64*INDEX('DEFAULT DATA'!$NV$9:$WC$41,START!$C$3,($N64+3))*-44/12)+($L64*INDEX('DEFAULT DATA'!$NV$9:$WC$41,START!$C$3,($N64+4))*-44/12)+($M64*INDEX('DEFAULT DATA'!$NV$9:$WC$41,START!$C$3,($N64+5))*-44/12)</f>
        <v>0</v>
      </c>
      <c r="AI64" s="273">
        <f>($K64*INDEX('DEFAULT DATA'!$NV$9:$WC$41,START!$C$3,($N64))*-44/12)+($K64*INDEX('DEFAULT DATA'!$NV$9:$WC$41,START!$C$3,($N64+1))*-44/12)+($K64*INDEX('DEFAULT DATA'!$NV$9:$WC$41,START!$C$3,($N64+2))*-44/12)+($K64*INDEX('DEFAULT DATA'!$NV$9:$WC$41,START!$C$3,($N64+3))*-44/12)+($L64*INDEX('DEFAULT DATA'!$NV$9:$WC$41,START!$C$3,($N64+4))*-44/12)+($M64*INDEX('DEFAULT DATA'!$NV$9:$WC$41,START!$C$3,($N64+5))*-44/12)</f>
        <v>0</v>
      </c>
      <c r="AJ64" s="273">
        <f>($K64*INDEX('DEFAULT DATA'!$NV$9:$WC$41,START!$C$3,($N64))*-44/12)+($K64*INDEX('DEFAULT DATA'!$NV$9:$WC$41,START!$C$3,($N64+1))*-44/12)+($K64*INDEX('DEFAULT DATA'!$NV$9:$WC$41,START!$C$3,($N64+2))*-44/12)+($K64*INDEX('DEFAULT DATA'!$NV$9:$WC$41,START!$C$3,($N64+3))*-44/12)+($L64*INDEX('DEFAULT DATA'!$NV$9:$WC$41,START!$C$3,($N64+4))*-44/12)+($M64*INDEX('DEFAULT DATA'!$NV$9:$WC$41,START!$C$3,($N64+5))*-44/12)</f>
        <v>0</v>
      </c>
      <c r="AK64" s="273"/>
      <c r="AL64" s="273"/>
      <c r="AM64" s="273"/>
      <c r="AN64" s="273"/>
      <c r="AO64" s="273"/>
      <c r="AP64" s="273"/>
      <c r="AQ64" s="273"/>
      <c r="AR64" s="273"/>
      <c r="AS64" s="273"/>
      <c r="AT64" s="282"/>
      <c r="AV64" s="1098" t="str">
        <f t="shared" si="42"/>
        <v>(INPUT1*CSC_COL199*-44/12)+(INPUT1*CSC_COL200*-44/12)+(INPUT1*CSC_COL201*-44/12)+(INPUT1*CSC_COL202*-44/12)+(INPUT2*CSC_COL203*-44/12)+(INPUT3*CSC_COL204*-44/12)</v>
      </c>
      <c r="AW64" s="1099" t="s">
        <v>3043</v>
      </c>
      <c r="AX64" s="1099" t="s">
        <v>3043</v>
      </c>
      <c r="AY64" s="1099" t="s">
        <v>3043</v>
      </c>
      <c r="AZ64" s="1099" t="s">
        <v>3043</v>
      </c>
      <c r="BA64" s="1099" t="s">
        <v>3043</v>
      </c>
      <c r="BB64" s="1099" t="s">
        <v>3043</v>
      </c>
      <c r="BC64" s="1099" t="s">
        <v>3043</v>
      </c>
      <c r="BD64" s="1099" t="s">
        <v>3043</v>
      </c>
      <c r="BE64" s="1099" t="s">
        <v>3043</v>
      </c>
      <c r="BF64" s="1099" t="s">
        <v>3043</v>
      </c>
      <c r="BG64" s="1099" t="s">
        <v>3043</v>
      </c>
      <c r="BH64" s="1099" t="s">
        <v>3043</v>
      </c>
      <c r="BI64" s="1099" t="s">
        <v>3043</v>
      </c>
      <c r="BJ64" s="1099" t="s">
        <v>3043</v>
      </c>
      <c r="BK64" s="1099" t="s">
        <v>3043</v>
      </c>
      <c r="BL64" s="1099" t="s">
        <v>3043</v>
      </c>
      <c r="BM64" s="1099" t="s">
        <v>3043</v>
      </c>
      <c r="BN64" s="1099" t="s">
        <v>3043</v>
      </c>
      <c r="BO64" s="1099" t="s">
        <v>3043</v>
      </c>
      <c r="BP64" s="1100"/>
      <c r="BQ64" s="1100"/>
      <c r="BR64" s="1100"/>
      <c r="BS64" s="1100"/>
      <c r="BT64" s="1100"/>
      <c r="BU64" s="1100"/>
      <c r="BV64" s="1100"/>
      <c r="BW64" s="1100"/>
      <c r="BX64" s="1100"/>
      <c r="BY64" s="1123"/>
    </row>
    <row r="65" spans="1:46" ht="20.100000000000001" customHeight="1">
      <c r="A65" s="254"/>
      <c r="B65" s="906" t="s">
        <v>594</v>
      </c>
      <c r="C65" s="668"/>
      <c r="D65" s="668"/>
      <c r="E65" s="616">
        <v>0</v>
      </c>
      <c r="F65" s="1451">
        <f t="shared" si="44"/>
        <v>0</v>
      </c>
      <c r="G65" s="617">
        <v>0</v>
      </c>
      <c r="H65" s="668">
        <v>1</v>
      </c>
      <c r="I65" s="291"/>
      <c r="J65" s="124"/>
      <c r="Q65" s="294">
        <f>SUM(Q35:Q64)</f>
        <v>768.41188529090869</v>
      </c>
      <c r="R65" s="294">
        <f t="shared" ref="R65:AT65" si="45">SUM(R35:R64)</f>
        <v>-85408.309029617929</v>
      </c>
      <c r="S65" s="294">
        <f t="shared" si="45"/>
        <v>-85408.309029617929</v>
      </c>
      <c r="T65" s="294">
        <f t="shared" si="45"/>
        <v>-85408.309029617929</v>
      </c>
      <c r="U65" s="294">
        <f t="shared" si="45"/>
        <v>-85408.309029617929</v>
      </c>
      <c r="V65" s="294">
        <f t="shared" si="45"/>
        <v>-85408.309029617929</v>
      </c>
      <c r="W65" s="294">
        <f t="shared" si="45"/>
        <v>-85408.309029617929</v>
      </c>
      <c r="X65" s="294">
        <f t="shared" si="45"/>
        <v>-85408.309029617929</v>
      </c>
      <c r="Y65" s="294">
        <f t="shared" si="45"/>
        <v>-85408.309029617929</v>
      </c>
      <c r="Z65" s="294">
        <f t="shared" si="45"/>
        <v>-85408.309029617929</v>
      </c>
      <c r="AA65" s="294">
        <f t="shared" si="45"/>
        <v>-85408.309029617929</v>
      </c>
      <c r="AB65" s="294">
        <f t="shared" si="45"/>
        <v>-85408.309029617929</v>
      </c>
      <c r="AC65" s="294">
        <f t="shared" si="45"/>
        <v>-85408.309029617929</v>
      </c>
      <c r="AD65" s="294">
        <f t="shared" si="45"/>
        <v>-85408.309029617929</v>
      </c>
      <c r="AE65" s="294">
        <f t="shared" si="45"/>
        <v>-85408.309029617929</v>
      </c>
      <c r="AF65" s="294">
        <f t="shared" si="45"/>
        <v>-85408.309029617929</v>
      </c>
      <c r="AG65" s="294">
        <f t="shared" si="45"/>
        <v>-85408.309029617929</v>
      </c>
      <c r="AH65" s="294">
        <f t="shared" si="45"/>
        <v>-85408.309029617929</v>
      </c>
      <c r="AI65" s="294">
        <f t="shared" si="45"/>
        <v>-85408.309029617929</v>
      </c>
      <c r="AJ65" s="294">
        <f>SUM(AJ35:AJ64)</f>
        <v>-85408.309029617929</v>
      </c>
      <c r="AK65" s="294">
        <f t="shared" si="45"/>
        <v>-35307.884185622774</v>
      </c>
      <c r="AL65" s="294">
        <f t="shared" si="45"/>
        <v>-35307.884185622774</v>
      </c>
      <c r="AM65" s="294">
        <f t="shared" si="45"/>
        <v>-35307.884185622774</v>
      </c>
      <c r="AN65" s="294">
        <f t="shared" si="45"/>
        <v>-35307.884185622774</v>
      </c>
      <c r="AO65" s="294">
        <f t="shared" si="45"/>
        <v>-35307.884185622774</v>
      </c>
      <c r="AP65" s="294">
        <f t="shared" si="45"/>
        <v>-35307.884185622774</v>
      </c>
      <c r="AQ65" s="294">
        <f t="shared" si="45"/>
        <v>-35307.884185622774</v>
      </c>
      <c r="AR65" s="294">
        <f t="shared" si="45"/>
        <v>-35307.884185622774</v>
      </c>
      <c r="AS65" s="294">
        <f t="shared" si="45"/>
        <v>-35307.884185622774</v>
      </c>
      <c r="AT65" s="294">
        <f t="shared" si="45"/>
        <v>-35307.884185622774</v>
      </c>
    </row>
    <row r="66" spans="1:46" ht="20.100000000000001" customHeight="1" thickBot="1">
      <c r="A66" s="908"/>
      <c r="B66" s="907" t="s">
        <v>595</v>
      </c>
      <c r="C66" s="292"/>
      <c r="D66" s="292"/>
      <c r="E66" s="618">
        <v>0</v>
      </c>
      <c r="F66" s="1451">
        <f t="shared" si="44"/>
        <v>0</v>
      </c>
      <c r="G66" s="619">
        <v>0</v>
      </c>
      <c r="H66" s="292">
        <v>1</v>
      </c>
      <c r="I66" s="293"/>
      <c r="J66" s="124"/>
    </row>
    <row r="67" spans="1:46" ht="20.100000000000001" customHeight="1" thickBot="1">
      <c r="A67" s="281"/>
      <c r="B67" s="902" t="s">
        <v>555</v>
      </c>
      <c r="C67" s="218"/>
      <c r="D67" s="218"/>
      <c r="E67" s="612">
        <v>100</v>
      </c>
      <c r="F67" s="1451">
        <f t="shared" si="44"/>
        <v>100</v>
      </c>
      <c r="G67" s="612">
        <v>0</v>
      </c>
      <c r="H67" s="218">
        <v>17</v>
      </c>
      <c r="I67" s="266"/>
      <c r="J67" s="124"/>
      <c r="O67" s="250" t="s">
        <v>613</v>
      </c>
    </row>
    <row r="68" spans="1:46" ht="20.100000000000001" customHeight="1" thickBot="1">
      <c r="A68" s="254"/>
      <c r="B68" s="903" t="s">
        <v>556</v>
      </c>
      <c r="C68" s="668"/>
      <c r="D68" s="668"/>
      <c r="E68" s="616">
        <v>0</v>
      </c>
      <c r="F68" s="1451">
        <f t="shared" si="44"/>
        <v>0</v>
      </c>
      <c r="G68" s="616">
        <v>0</v>
      </c>
      <c r="H68" s="668">
        <v>1</v>
      </c>
      <c r="I68" s="291"/>
      <c r="J68" s="124"/>
      <c r="O68" s="295" t="str">
        <f>O33</f>
        <v>land use change</v>
      </c>
      <c r="P68" s="296"/>
      <c r="Q68" s="297">
        <f>2022</f>
        <v>2022</v>
      </c>
      <c r="R68" s="297">
        <f>Q68+1</f>
        <v>2023</v>
      </c>
      <c r="S68" s="297">
        <f t="shared" ref="S68:AR68" si="46">R68+1</f>
        <v>2024</v>
      </c>
      <c r="T68" s="297">
        <f t="shared" si="46"/>
        <v>2025</v>
      </c>
      <c r="U68" s="297">
        <f t="shared" si="46"/>
        <v>2026</v>
      </c>
      <c r="V68" s="297">
        <f t="shared" si="46"/>
        <v>2027</v>
      </c>
      <c r="W68" s="297">
        <f t="shared" si="46"/>
        <v>2028</v>
      </c>
      <c r="X68" s="297">
        <f t="shared" si="46"/>
        <v>2029</v>
      </c>
      <c r="Y68" s="297">
        <f t="shared" si="46"/>
        <v>2030</v>
      </c>
      <c r="Z68" s="297">
        <f t="shared" si="46"/>
        <v>2031</v>
      </c>
      <c r="AA68" s="297">
        <f t="shared" si="46"/>
        <v>2032</v>
      </c>
      <c r="AB68" s="297">
        <f t="shared" si="46"/>
        <v>2033</v>
      </c>
      <c r="AC68" s="297">
        <f t="shared" si="46"/>
        <v>2034</v>
      </c>
      <c r="AD68" s="297">
        <f t="shared" si="46"/>
        <v>2035</v>
      </c>
      <c r="AE68" s="297">
        <f t="shared" si="46"/>
        <v>2036</v>
      </c>
      <c r="AF68" s="297">
        <f t="shared" si="46"/>
        <v>2037</v>
      </c>
      <c r="AG68" s="297">
        <f t="shared" si="46"/>
        <v>2038</v>
      </c>
      <c r="AH68" s="297">
        <f t="shared" si="46"/>
        <v>2039</v>
      </c>
      <c r="AI68" s="297">
        <f t="shared" si="46"/>
        <v>2040</v>
      </c>
      <c r="AJ68" s="297">
        <f t="shared" si="46"/>
        <v>2041</v>
      </c>
      <c r="AK68" s="297">
        <f t="shared" si="46"/>
        <v>2042</v>
      </c>
      <c r="AL68" s="297">
        <f t="shared" si="46"/>
        <v>2043</v>
      </c>
      <c r="AM68" s="297">
        <f t="shared" si="46"/>
        <v>2044</v>
      </c>
      <c r="AN68" s="297">
        <f t="shared" si="46"/>
        <v>2045</v>
      </c>
      <c r="AO68" s="297">
        <f t="shared" si="46"/>
        <v>2046</v>
      </c>
      <c r="AP68" s="297">
        <f t="shared" si="46"/>
        <v>2047</v>
      </c>
      <c r="AQ68" s="297">
        <f t="shared" si="46"/>
        <v>2048</v>
      </c>
      <c r="AR68" s="297">
        <f t="shared" si="46"/>
        <v>2049</v>
      </c>
      <c r="AS68" s="298">
        <f>AR68+1</f>
        <v>2050</v>
      </c>
    </row>
    <row r="69" spans="1:46" ht="20.100000000000001" customHeight="1">
      <c r="A69" s="254"/>
      <c r="B69" s="903" t="s">
        <v>557</v>
      </c>
      <c r="C69" s="668"/>
      <c r="D69" s="668"/>
      <c r="E69" s="616">
        <v>0</v>
      </c>
      <c r="F69" s="1451">
        <f t="shared" si="44"/>
        <v>0</v>
      </c>
      <c r="G69" s="616">
        <v>0</v>
      </c>
      <c r="H69" s="668">
        <v>4</v>
      </c>
      <c r="I69" s="291"/>
      <c r="J69" s="124"/>
      <c r="N69" s="250">
        <v>1</v>
      </c>
      <c r="O69" s="299" t="str">
        <f t="shared" ref="O69:O97" si="47">O35</f>
        <v>from_cropland_to_forestland</v>
      </c>
      <c r="P69" s="300"/>
      <c r="Q69" s="157">
        <f>IF($P35&gt;Q$68,0,INDEX($Q$35:$AT$64,$N69,(Q$68-$P35+1)))</f>
        <v>0</v>
      </c>
      <c r="R69" s="157">
        <f t="shared" ref="R69:AS78" si="48">IF($P35&gt;R$68,0,INDEX($Q$35:$AT$64,$N69,(R$68-$P35+1)))</f>
        <v>0</v>
      </c>
      <c r="S69" s="157">
        <f t="shared" si="48"/>
        <v>0</v>
      </c>
      <c r="T69" s="157">
        <f t="shared" si="48"/>
        <v>0</v>
      </c>
      <c r="U69" s="157">
        <f t="shared" si="48"/>
        <v>0</v>
      </c>
      <c r="V69" s="157">
        <f t="shared" si="48"/>
        <v>0</v>
      </c>
      <c r="W69" s="157">
        <f t="shared" si="48"/>
        <v>0</v>
      </c>
      <c r="X69" s="157">
        <f t="shared" si="48"/>
        <v>0</v>
      </c>
      <c r="Y69" s="157">
        <f t="shared" si="48"/>
        <v>0</v>
      </c>
      <c r="Z69" s="157">
        <f t="shared" si="48"/>
        <v>0</v>
      </c>
      <c r="AA69" s="157">
        <f t="shared" si="48"/>
        <v>0</v>
      </c>
      <c r="AB69" s="157">
        <f t="shared" si="48"/>
        <v>0</v>
      </c>
      <c r="AC69" s="157">
        <f t="shared" si="48"/>
        <v>0</v>
      </c>
      <c r="AD69" s="157">
        <f t="shared" si="48"/>
        <v>0</v>
      </c>
      <c r="AE69" s="157">
        <f t="shared" si="48"/>
        <v>0</v>
      </c>
      <c r="AF69" s="157">
        <f t="shared" si="48"/>
        <v>0</v>
      </c>
      <c r="AG69" s="157">
        <f t="shared" si="48"/>
        <v>0</v>
      </c>
      <c r="AH69" s="157">
        <f t="shared" si="48"/>
        <v>0</v>
      </c>
      <c r="AI69" s="157">
        <f t="shared" si="48"/>
        <v>0</v>
      </c>
      <c r="AJ69" s="157">
        <f t="shared" si="48"/>
        <v>0</v>
      </c>
      <c r="AK69" s="157">
        <f t="shared" si="48"/>
        <v>0</v>
      </c>
      <c r="AL69" s="157">
        <f t="shared" si="48"/>
        <v>0</v>
      </c>
      <c r="AM69" s="157">
        <f t="shared" si="48"/>
        <v>0</v>
      </c>
      <c r="AN69" s="157">
        <f t="shared" si="48"/>
        <v>0</v>
      </c>
      <c r="AO69" s="157">
        <f t="shared" si="48"/>
        <v>0</v>
      </c>
      <c r="AP69" s="157">
        <f t="shared" si="48"/>
        <v>0</v>
      </c>
      <c r="AQ69" s="157">
        <f t="shared" si="48"/>
        <v>0</v>
      </c>
      <c r="AR69" s="157">
        <f t="shared" si="48"/>
        <v>0</v>
      </c>
      <c r="AS69" s="158">
        <f t="shared" si="48"/>
        <v>0</v>
      </c>
    </row>
    <row r="70" spans="1:46" ht="20.100000000000001" customHeight="1">
      <c r="A70" s="254"/>
      <c r="B70" s="903" t="s">
        <v>558</v>
      </c>
      <c r="C70" s="668"/>
      <c r="D70" s="668"/>
      <c r="E70" s="616">
        <v>0</v>
      </c>
      <c r="F70" s="1451">
        <f t="shared" si="44"/>
        <v>0</v>
      </c>
      <c r="G70" s="616">
        <v>0</v>
      </c>
      <c r="H70" s="668">
        <v>4</v>
      </c>
      <c r="I70" s="291"/>
      <c r="J70" s="124"/>
      <c r="N70" s="250">
        <f>N69+1</f>
        <v>2</v>
      </c>
      <c r="O70" s="101" t="str">
        <f t="shared" si="47"/>
        <v>from_grassland_to_forestland</v>
      </c>
      <c r="P70" s="252"/>
      <c r="Q70" s="123">
        <f t="shared" ref="Q70:AF98" si="49">IF($P36&gt;Q$68,0,INDEX($Q$35:$AT$64,$N70,(Q$68-$P36+1)))</f>
        <v>0</v>
      </c>
      <c r="R70" s="123">
        <f t="shared" si="49"/>
        <v>0</v>
      </c>
      <c r="S70" s="123">
        <f t="shared" si="49"/>
        <v>0</v>
      </c>
      <c r="T70" s="123">
        <f t="shared" si="49"/>
        <v>0</v>
      </c>
      <c r="U70" s="123">
        <f t="shared" si="49"/>
        <v>0</v>
      </c>
      <c r="V70" s="123">
        <f t="shared" si="49"/>
        <v>0</v>
      </c>
      <c r="W70" s="123">
        <f t="shared" si="49"/>
        <v>0</v>
      </c>
      <c r="X70" s="123">
        <f t="shared" si="49"/>
        <v>0</v>
      </c>
      <c r="Y70" s="123">
        <f t="shared" si="49"/>
        <v>-87182.9756962846</v>
      </c>
      <c r="Z70" s="123">
        <f t="shared" si="49"/>
        <v>-87182.9756962846</v>
      </c>
      <c r="AA70" s="123">
        <f t="shared" si="49"/>
        <v>-87182.9756962846</v>
      </c>
      <c r="AB70" s="123">
        <f t="shared" si="49"/>
        <v>-87182.9756962846</v>
      </c>
      <c r="AC70" s="123">
        <f t="shared" si="49"/>
        <v>-87182.9756962846</v>
      </c>
      <c r="AD70" s="123">
        <f t="shared" si="49"/>
        <v>-87182.9756962846</v>
      </c>
      <c r="AE70" s="123">
        <f t="shared" si="49"/>
        <v>-87182.9756962846</v>
      </c>
      <c r="AF70" s="123">
        <f t="shared" si="49"/>
        <v>-87182.9756962846</v>
      </c>
      <c r="AG70" s="123">
        <f t="shared" si="48"/>
        <v>-87182.9756962846</v>
      </c>
      <c r="AH70" s="123">
        <f t="shared" si="48"/>
        <v>-87182.9756962846</v>
      </c>
      <c r="AI70" s="123">
        <f t="shared" si="48"/>
        <v>-87182.9756962846</v>
      </c>
      <c r="AJ70" s="123">
        <f t="shared" si="48"/>
        <v>-87182.9756962846</v>
      </c>
      <c r="AK70" s="123">
        <f t="shared" si="48"/>
        <v>-87182.9756962846</v>
      </c>
      <c r="AL70" s="123">
        <f t="shared" si="48"/>
        <v>-87182.9756962846</v>
      </c>
      <c r="AM70" s="123">
        <f t="shared" si="48"/>
        <v>-87182.9756962846</v>
      </c>
      <c r="AN70" s="123">
        <f t="shared" si="48"/>
        <v>-87182.9756962846</v>
      </c>
      <c r="AO70" s="123">
        <f t="shared" si="48"/>
        <v>-87182.9756962846</v>
      </c>
      <c r="AP70" s="123">
        <f t="shared" si="48"/>
        <v>-87182.9756962846</v>
      </c>
      <c r="AQ70" s="123">
        <f t="shared" si="48"/>
        <v>-87182.9756962846</v>
      </c>
      <c r="AR70" s="123">
        <f t="shared" si="48"/>
        <v>-87182.9756962846</v>
      </c>
      <c r="AS70" s="159">
        <f t="shared" si="48"/>
        <v>-35307.884185622774</v>
      </c>
    </row>
    <row r="71" spans="1:46" ht="20.100000000000001" customHeight="1" thickBot="1">
      <c r="A71" s="908"/>
      <c r="B71" s="904" t="s">
        <v>559</v>
      </c>
      <c r="C71" s="292"/>
      <c r="D71" s="292"/>
      <c r="E71" s="618">
        <v>0</v>
      </c>
      <c r="F71" s="1451">
        <f t="shared" si="44"/>
        <v>0</v>
      </c>
      <c r="G71" s="618">
        <v>0</v>
      </c>
      <c r="H71" s="292">
        <v>1</v>
      </c>
      <c r="I71" s="293"/>
      <c r="J71" s="124"/>
      <c r="N71" s="250">
        <f t="shared" ref="N71:N98" si="50">N70+1</f>
        <v>3</v>
      </c>
      <c r="O71" s="101" t="str">
        <f t="shared" si="47"/>
        <v>from_wetland_to_forestland</v>
      </c>
      <c r="P71" s="252"/>
      <c r="Q71" s="123">
        <f t="shared" si="49"/>
        <v>0</v>
      </c>
      <c r="R71" s="123">
        <f t="shared" si="48"/>
        <v>0</v>
      </c>
      <c r="S71" s="123">
        <f t="shared" si="48"/>
        <v>0</v>
      </c>
      <c r="T71" s="123">
        <f t="shared" si="48"/>
        <v>0</v>
      </c>
      <c r="U71" s="123">
        <f t="shared" si="48"/>
        <v>0</v>
      </c>
      <c r="V71" s="123">
        <f t="shared" si="48"/>
        <v>0</v>
      </c>
      <c r="W71" s="123">
        <f t="shared" si="48"/>
        <v>0</v>
      </c>
      <c r="X71" s="123">
        <f t="shared" si="48"/>
        <v>0</v>
      </c>
      <c r="Y71" s="123">
        <f t="shared" si="48"/>
        <v>0</v>
      </c>
      <c r="Z71" s="123">
        <f t="shared" si="48"/>
        <v>0</v>
      </c>
      <c r="AA71" s="123">
        <f t="shared" si="48"/>
        <v>0</v>
      </c>
      <c r="AB71" s="123">
        <f t="shared" si="48"/>
        <v>0</v>
      </c>
      <c r="AC71" s="123">
        <f t="shared" si="48"/>
        <v>0</v>
      </c>
      <c r="AD71" s="123">
        <f t="shared" si="48"/>
        <v>0</v>
      </c>
      <c r="AE71" s="123">
        <f t="shared" si="48"/>
        <v>0</v>
      </c>
      <c r="AF71" s="123">
        <f t="shared" si="48"/>
        <v>0</v>
      </c>
      <c r="AG71" s="123">
        <f t="shared" si="48"/>
        <v>0</v>
      </c>
      <c r="AH71" s="123">
        <f t="shared" si="48"/>
        <v>0</v>
      </c>
      <c r="AI71" s="123">
        <f t="shared" si="48"/>
        <v>0</v>
      </c>
      <c r="AJ71" s="123">
        <f t="shared" si="48"/>
        <v>0</v>
      </c>
      <c r="AK71" s="123">
        <f t="shared" si="48"/>
        <v>0</v>
      </c>
      <c r="AL71" s="123">
        <f t="shared" si="48"/>
        <v>0</v>
      </c>
      <c r="AM71" s="123">
        <f t="shared" si="48"/>
        <v>0</v>
      </c>
      <c r="AN71" s="123">
        <f t="shared" si="48"/>
        <v>0</v>
      </c>
      <c r="AO71" s="123">
        <f t="shared" si="48"/>
        <v>0</v>
      </c>
      <c r="AP71" s="123">
        <f t="shared" si="48"/>
        <v>0</v>
      </c>
      <c r="AQ71" s="123">
        <f t="shared" si="48"/>
        <v>0</v>
      </c>
      <c r="AR71" s="123">
        <f t="shared" si="48"/>
        <v>0</v>
      </c>
      <c r="AS71" s="159">
        <f t="shared" si="48"/>
        <v>0</v>
      </c>
    </row>
    <row r="72" spans="1:46" ht="20.100000000000001" customHeight="1">
      <c r="A72" s="281"/>
      <c r="B72" s="902" t="s">
        <v>560</v>
      </c>
      <c r="C72" s="218"/>
      <c r="D72" s="218"/>
      <c r="E72" s="612">
        <v>100</v>
      </c>
      <c r="F72" s="1451">
        <f t="shared" si="44"/>
        <v>100</v>
      </c>
      <c r="G72" s="612">
        <v>0</v>
      </c>
      <c r="H72" s="218">
        <v>9</v>
      </c>
      <c r="I72" s="266"/>
      <c r="J72" s="124"/>
      <c r="N72" s="250">
        <f t="shared" si="50"/>
        <v>4</v>
      </c>
      <c r="O72" s="101" t="str">
        <f t="shared" si="47"/>
        <v>from_settlements_to_forestland</v>
      </c>
      <c r="P72" s="252"/>
      <c r="Q72" s="123">
        <f t="shared" si="49"/>
        <v>0</v>
      </c>
      <c r="R72" s="123">
        <f t="shared" si="48"/>
        <v>0</v>
      </c>
      <c r="S72" s="123">
        <f t="shared" si="48"/>
        <v>0</v>
      </c>
      <c r="T72" s="123">
        <f t="shared" si="48"/>
        <v>0</v>
      </c>
      <c r="U72" s="123">
        <f t="shared" si="48"/>
        <v>0</v>
      </c>
      <c r="V72" s="123">
        <f t="shared" si="48"/>
        <v>0</v>
      </c>
      <c r="W72" s="123">
        <f t="shared" si="48"/>
        <v>0</v>
      </c>
      <c r="X72" s="123">
        <f t="shared" si="48"/>
        <v>0</v>
      </c>
      <c r="Y72" s="123">
        <f t="shared" si="48"/>
        <v>0</v>
      </c>
      <c r="Z72" s="123">
        <f t="shared" si="48"/>
        <v>0</v>
      </c>
      <c r="AA72" s="123">
        <f t="shared" si="48"/>
        <v>0</v>
      </c>
      <c r="AB72" s="123">
        <f t="shared" si="48"/>
        <v>0</v>
      </c>
      <c r="AC72" s="123">
        <f t="shared" si="48"/>
        <v>0</v>
      </c>
      <c r="AD72" s="123">
        <f t="shared" si="48"/>
        <v>0</v>
      </c>
      <c r="AE72" s="123">
        <f t="shared" si="48"/>
        <v>0</v>
      </c>
      <c r="AF72" s="123">
        <f t="shared" si="48"/>
        <v>0</v>
      </c>
      <c r="AG72" s="123">
        <f t="shared" si="48"/>
        <v>0</v>
      </c>
      <c r="AH72" s="123">
        <f t="shared" si="48"/>
        <v>0</v>
      </c>
      <c r="AI72" s="123">
        <f t="shared" si="48"/>
        <v>0</v>
      </c>
      <c r="AJ72" s="123">
        <f t="shared" si="48"/>
        <v>0</v>
      </c>
      <c r="AK72" s="123">
        <f t="shared" si="48"/>
        <v>0</v>
      </c>
      <c r="AL72" s="123">
        <f t="shared" si="48"/>
        <v>0</v>
      </c>
      <c r="AM72" s="123">
        <f t="shared" si="48"/>
        <v>0</v>
      </c>
      <c r="AN72" s="123">
        <f t="shared" si="48"/>
        <v>0</v>
      </c>
      <c r="AO72" s="123">
        <f t="shared" si="48"/>
        <v>0</v>
      </c>
      <c r="AP72" s="123">
        <f t="shared" si="48"/>
        <v>0</v>
      </c>
      <c r="AQ72" s="123">
        <f t="shared" si="48"/>
        <v>0</v>
      </c>
      <c r="AR72" s="123">
        <f t="shared" si="48"/>
        <v>0</v>
      </c>
      <c r="AS72" s="159">
        <f t="shared" si="48"/>
        <v>0</v>
      </c>
    </row>
    <row r="73" spans="1:46" ht="20.100000000000001" customHeight="1" thickBot="1">
      <c r="A73" s="254"/>
      <c r="B73" s="903" t="s">
        <v>561</v>
      </c>
      <c r="C73" s="668"/>
      <c r="D73" s="668"/>
      <c r="E73" s="616">
        <v>0</v>
      </c>
      <c r="F73" s="1451">
        <f t="shared" si="44"/>
        <v>0</v>
      </c>
      <c r="G73" s="616">
        <v>0</v>
      </c>
      <c r="H73" s="668">
        <v>1</v>
      </c>
      <c r="I73" s="291"/>
      <c r="J73" s="124"/>
      <c r="N73" s="250">
        <f t="shared" si="50"/>
        <v>5</v>
      </c>
      <c r="O73" s="301" t="str">
        <f t="shared" si="47"/>
        <v>from_other_land_to_forestland</v>
      </c>
      <c r="P73" s="302"/>
      <c r="Q73" s="160">
        <f t="shared" si="49"/>
        <v>0</v>
      </c>
      <c r="R73" s="160">
        <f t="shared" si="48"/>
        <v>0</v>
      </c>
      <c r="S73" s="160">
        <f t="shared" si="48"/>
        <v>0</v>
      </c>
      <c r="T73" s="160">
        <f t="shared" si="48"/>
        <v>0</v>
      </c>
      <c r="U73" s="160">
        <f t="shared" si="48"/>
        <v>0</v>
      </c>
      <c r="V73" s="160">
        <f t="shared" si="48"/>
        <v>0</v>
      </c>
      <c r="W73" s="160">
        <f t="shared" si="48"/>
        <v>0</v>
      </c>
      <c r="X73" s="160">
        <f t="shared" si="48"/>
        <v>0</v>
      </c>
      <c r="Y73" s="160">
        <f t="shared" si="48"/>
        <v>0</v>
      </c>
      <c r="Z73" s="160">
        <f t="shared" si="48"/>
        <v>0</v>
      </c>
      <c r="AA73" s="160">
        <f t="shared" si="48"/>
        <v>0</v>
      </c>
      <c r="AB73" s="160">
        <f t="shared" si="48"/>
        <v>0</v>
      </c>
      <c r="AC73" s="160">
        <f t="shared" si="48"/>
        <v>0</v>
      </c>
      <c r="AD73" s="160">
        <f t="shared" si="48"/>
        <v>0</v>
      </c>
      <c r="AE73" s="160">
        <f t="shared" si="48"/>
        <v>0</v>
      </c>
      <c r="AF73" s="160">
        <f t="shared" si="48"/>
        <v>0</v>
      </c>
      <c r="AG73" s="160">
        <f t="shared" si="48"/>
        <v>0</v>
      </c>
      <c r="AH73" s="160">
        <f t="shared" si="48"/>
        <v>0</v>
      </c>
      <c r="AI73" s="160">
        <f t="shared" si="48"/>
        <v>0</v>
      </c>
      <c r="AJ73" s="160">
        <f t="shared" si="48"/>
        <v>0</v>
      </c>
      <c r="AK73" s="160">
        <f t="shared" si="48"/>
        <v>0</v>
      </c>
      <c r="AL73" s="160">
        <f t="shared" si="48"/>
        <v>0</v>
      </c>
      <c r="AM73" s="160">
        <f t="shared" si="48"/>
        <v>0</v>
      </c>
      <c r="AN73" s="160">
        <f t="shared" si="48"/>
        <v>0</v>
      </c>
      <c r="AO73" s="160">
        <f t="shared" si="48"/>
        <v>0</v>
      </c>
      <c r="AP73" s="160">
        <f t="shared" si="48"/>
        <v>0</v>
      </c>
      <c r="AQ73" s="160">
        <f t="shared" si="48"/>
        <v>0</v>
      </c>
      <c r="AR73" s="160">
        <f t="shared" si="48"/>
        <v>0</v>
      </c>
      <c r="AS73" s="161">
        <f t="shared" si="48"/>
        <v>0</v>
      </c>
    </row>
    <row r="74" spans="1:46" ht="20.100000000000001" customHeight="1">
      <c r="A74" s="254"/>
      <c r="B74" s="903" t="s">
        <v>562</v>
      </c>
      <c r="C74" s="668"/>
      <c r="D74" s="668"/>
      <c r="E74" s="616">
        <v>0</v>
      </c>
      <c r="F74" s="1451">
        <f t="shared" si="44"/>
        <v>0</v>
      </c>
      <c r="G74" s="616">
        <v>0</v>
      </c>
      <c r="H74" s="668">
        <v>1</v>
      </c>
      <c r="I74" s="291"/>
      <c r="J74" s="124"/>
      <c r="N74" s="250">
        <f t="shared" si="50"/>
        <v>6</v>
      </c>
      <c r="O74" s="299" t="str">
        <f t="shared" si="47"/>
        <v>from_forestland_to_cropland</v>
      </c>
      <c r="P74" s="300"/>
      <c r="Q74" s="157">
        <f t="shared" si="49"/>
        <v>0</v>
      </c>
      <c r="R74" s="157">
        <f t="shared" si="48"/>
        <v>0</v>
      </c>
      <c r="S74" s="157">
        <f t="shared" si="48"/>
        <v>0</v>
      </c>
      <c r="T74" s="157">
        <f t="shared" si="48"/>
        <v>0</v>
      </c>
      <c r="U74" s="157">
        <f t="shared" si="48"/>
        <v>0</v>
      </c>
      <c r="V74" s="157">
        <f t="shared" si="48"/>
        <v>0</v>
      </c>
      <c r="W74" s="157">
        <f t="shared" si="48"/>
        <v>0</v>
      </c>
      <c r="X74" s="157">
        <f t="shared" si="48"/>
        <v>0</v>
      </c>
      <c r="Y74" s="157">
        <f t="shared" si="48"/>
        <v>0</v>
      </c>
      <c r="Z74" s="157">
        <f t="shared" si="48"/>
        <v>0</v>
      </c>
      <c r="AA74" s="157">
        <f t="shared" si="48"/>
        <v>0</v>
      </c>
      <c r="AB74" s="157">
        <f t="shared" si="48"/>
        <v>0</v>
      </c>
      <c r="AC74" s="157">
        <f t="shared" si="48"/>
        <v>0</v>
      </c>
      <c r="AD74" s="157">
        <f t="shared" si="48"/>
        <v>0</v>
      </c>
      <c r="AE74" s="157">
        <f t="shared" si="48"/>
        <v>0</v>
      </c>
      <c r="AF74" s="157">
        <f t="shared" si="48"/>
        <v>0</v>
      </c>
      <c r="AG74" s="157">
        <f t="shared" si="48"/>
        <v>0</v>
      </c>
      <c r="AH74" s="157">
        <f t="shared" si="48"/>
        <v>0</v>
      </c>
      <c r="AI74" s="157">
        <f t="shared" si="48"/>
        <v>0</v>
      </c>
      <c r="AJ74" s="157">
        <f t="shared" si="48"/>
        <v>0</v>
      </c>
      <c r="AK74" s="157">
        <f t="shared" si="48"/>
        <v>0</v>
      </c>
      <c r="AL74" s="157">
        <f t="shared" si="48"/>
        <v>0</v>
      </c>
      <c r="AM74" s="157">
        <f t="shared" si="48"/>
        <v>0</v>
      </c>
      <c r="AN74" s="157">
        <f t="shared" si="48"/>
        <v>0</v>
      </c>
      <c r="AO74" s="157">
        <f t="shared" si="48"/>
        <v>0</v>
      </c>
      <c r="AP74" s="157">
        <f t="shared" si="48"/>
        <v>0</v>
      </c>
      <c r="AQ74" s="157">
        <f t="shared" si="48"/>
        <v>0</v>
      </c>
      <c r="AR74" s="157">
        <f t="shared" si="48"/>
        <v>0</v>
      </c>
      <c r="AS74" s="158">
        <f t="shared" si="48"/>
        <v>0</v>
      </c>
    </row>
    <row r="75" spans="1:46" ht="20.100000000000001" customHeight="1">
      <c r="A75" s="254"/>
      <c r="B75" s="903" t="s">
        <v>563</v>
      </c>
      <c r="C75" s="668"/>
      <c r="D75" s="668"/>
      <c r="E75" s="616">
        <v>0</v>
      </c>
      <c r="F75" s="1451">
        <f t="shared" si="44"/>
        <v>0</v>
      </c>
      <c r="G75" s="616">
        <v>0</v>
      </c>
      <c r="H75" s="668">
        <v>1</v>
      </c>
      <c r="I75" s="291"/>
      <c r="J75" s="124"/>
      <c r="N75" s="250">
        <f t="shared" si="50"/>
        <v>7</v>
      </c>
      <c r="O75" s="101" t="str">
        <f t="shared" si="47"/>
        <v>from_grassland_to_cropland</v>
      </c>
      <c r="P75" s="252"/>
      <c r="Q75" s="123">
        <f t="shared" si="49"/>
        <v>0</v>
      </c>
      <c r="R75" s="123">
        <f t="shared" si="48"/>
        <v>0</v>
      </c>
      <c r="S75" s="123">
        <f t="shared" si="48"/>
        <v>0</v>
      </c>
      <c r="T75" s="123">
        <f t="shared" si="48"/>
        <v>0</v>
      </c>
      <c r="U75" s="123">
        <f t="shared" si="48"/>
        <v>0</v>
      </c>
      <c r="V75" s="123">
        <f t="shared" si="48"/>
        <v>0</v>
      </c>
      <c r="W75" s="123">
        <f t="shared" si="48"/>
        <v>0</v>
      </c>
      <c r="X75" s="123">
        <f t="shared" si="48"/>
        <v>0</v>
      </c>
      <c r="Y75" s="123">
        <f t="shared" si="48"/>
        <v>0</v>
      </c>
      <c r="Z75" s="123">
        <f t="shared" si="48"/>
        <v>0</v>
      </c>
      <c r="AA75" s="123">
        <f t="shared" si="48"/>
        <v>0</v>
      </c>
      <c r="AB75" s="123">
        <f t="shared" si="48"/>
        <v>0</v>
      </c>
      <c r="AC75" s="123">
        <f t="shared" si="48"/>
        <v>0</v>
      </c>
      <c r="AD75" s="123">
        <f t="shared" si="48"/>
        <v>0</v>
      </c>
      <c r="AE75" s="123">
        <f t="shared" si="48"/>
        <v>0</v>
      </c>
      <c r="AF75" s="123">
        <f t="shared" si="48"/>
        <v>0</v>
      </c>
      <c r="AG75" s="123">
        <f t="shared" si="48"/>
        <v>0</v>
      </c>
      <c r="AH75" s="123">
        <f t="shared" si="48"/>
        <v>0</v>
      </c>
      <c r="AI75" s="123">
        <f t="shared" si="48"/>
        <v>0</v>
      </c>
      <c r="AJ75" s="123">
        <f t="shared" si="48"/>
        <v>0</v>
      </c>
      <c r="AK75" s="123">
        <f t="shared" si="48"/>
        <v>0</v>
      </c>
      <c r="AL75" s="123">
        <f t="shared" si="48"/>
        <v>0</v>
      </c>
      <c r="AM75" s="123">
        <f t="shared" si="48"/>
        <v>0</v>
      </c>
      <c r="AN75" s="123">
        <f t="shared" si="48"/>
        <v>0</v>
      </c>
      <c r="AO75" s="123">
        <f t="shared" si="48"/>
        <v>0</v>
      </c>
      <c r="AP75" s="123">
        <f t="shared" si="48"/>
        <v>0</v>
      </c>
      <c r="AQ75" s="123">
        <f t="shared" si="48"/>
        <v>0</v>
      </c>
      <c r="AR75" s="123">
        <f t="shared" si="48"/>
        <v>0</v>
      </c>
      <c r="AS75" s="159">
        <f t="shared" si="48"/>
        <v>0</v>
      </c>
    </row>
    <row r="76" spans="1:46" ht="20.100000000000001" customHeight="1" thickBot="1">
      <c r="A76" s="908"/>
      <c r="B76" s="904" t="s">
        <v>564</v>
      </c>
      <c r="C76" s="292"/>
      <c r="D76" s="292"/>
      <c r="E76" s="618">
        <v>0</v>
      </c>
      <c r="F76" s="1451">
        <f t="shared" si="44"/>
        <v>0</v>
      </c>
      <c r="G76" s="618">
        <v>0</v>
      </c>
      <c r="H76" s="292">
        <v>1</v>
      </c>
      <c r="I76" s="293"/>
      <c r="J76" s="124"/>
      <c r="N76" s="250">
        <f t="shared" si="50"/>
        <v>8</v>
      </c>
      <c r="O76" s="101" t="str">
        <f t="shared" si="47"/>
        <v>from_wetland_to_cropland</v>
      </c>
      <c r="P76" s="252"/>
      <c r="Q76" s="123">
        <f t="shared" si="49"/>
        <v>0</v>
      </c>
      <c r="R76" s="123">
        <f t="shared" si="48"/>
        <v>0</v>
      </c>
      <c r="S76" s="123">
        <f t="shared" si="48"/>
        <v>0</v>
      </c>
      <c r="T76" s="123">
        <f t="shared" si="48"/>
        <v>0</v>
      </c>
      <c r="U76" s="123">
        <f t="shared" si="48"/>
        <v>0</v>
      </c>
      <c r="V76" s="123">
        <f t="shared" si="48"/>
        <v>0</v>
      </c>
      <c r="W76" s="123">
        <f t="shared" si="48"/>
        <v>0</v>
      </c>
      <c r="X76" s="123">
        <f t="shared" si="48"/>
        <v>0</v>
      </c>
      <c r="Y76" s="123">
        <f t="shared" si="48"/>
        <v>0</v>
      </c>
      <c r="Z76" s="123">
        <f t="shared" si="48"/>
        <v>0</v>
      </c>
      <c r="AA76" s="123">
        <f t="shared" si="48"/>
        <v>0</v>
      </c>
      <c r="AB76" s="123">
        <f t="shared" si="48"/>
        <v>0</v>
      </c>
      <c r="AC76" s="123">
        <f t="shared" si="48"/>
        <v>0</v>
      </c>
      <c r="AD76" s="123">
        <f t="shared" si="48"/>
        <v>0</v>
      </c>
      <c r="AE76" s="123">
        <f t="shared" si="48"/>
        <v>0</v>
      </c>
      <c r="AF76" s="123">
        <f t="shared" si="48"/>
        <v>0</v>
      </c>
      <c r="AG76" s="123">
        <f t="shared" si="48"/>
        <v>0</v>
      </c>
      <c r="AH76" s="123">
        <f t="shared" si="48"/>
        <v>0</v>
      </c>
      <c r="AI76" s="123">
        <f t="shared" si="48"/>
        <v>0</v>
      </c>
      <c r="AJ76" s="123">
        <f t="shared" si="48"/>
        <v>0</v>
      </c>
      <c r="AK76" s="123">
        <f t="shared" si="48"/>
        <v>0</v>
      </c>
      <c r="AL76" s="123">
        <f t="shared" si="48"/>
        <v>0</v>
      </c>
      <c r="AM76" s="123">
        <f t="shared" si="48"/>
        <v>0</v>
      </c>
      <c r="AN76" s="123">
        <f t="shared" si="48"/>
        <v>0</v>
      </c>
      <c r="AO76" s="123">
        <f t="shared" si="48"/>
        <v>0</v>
      </c>
      <c r="AP76" s="123">
        <f t="shared" si="48"/>
        <v>0</v>
      </c>
      <c r="AQ76" s="123">
        <f t="shared" si="48"/>
        <v>0</v>
      </c>
      <c r="AR76" s="123">
        <f t="shared" si="48"/>
        <v>0</v>
      </c>
      <c r="AS76" s="159">
        <f t="shared" si="48"/>
        <v>0</v>
      </c>
    </row>
    <row r="77" spans="1:46" ht="20.100000000000001" customHeight="1">
      <c r="A77" s="281"/>
      <c r="B77" s="911" t="s">
        <v>596</v>
      </c>
      <c r="C77" s="218"/>
      <c r="D77" s="218"/>
      <c r="E77" s="912">
        <f>SUM(E47:E76)</f>
        <v>10200</v>
      </c>
      <c r="F77" s="912">
        <f>SUM(F47:F76)</f>
        <v>10200</v>
      </c>
      <c r="G77" s="913">
        <f>SUM(G47:G76)</f>
        <v>0</v>
      </c>
      <c r="H77" s="218"/>
      <c r="I77" s="266"/>
      <c r="J77" s="124"/>
      <c r="N77" s="250">
        <f t="shared" si="50"/>
        <v>9</v>
      </c>
      <c r="O77" s="101" t="str">
        <f t="shared" si="47"/>
        <v>from_settlements_to_cropland</v>
      </c>
      <c r="P77" s="252"/>
      <c r="Q77" s="123">
        <f t="shared" si="49"/>
        <v>0</v>
      </c>
      <c r="R77" s="123">
        <f t="shared" si="48"/>
        <v>0</v>
      </c>
      <c r="S77" s="123">
        <f t="shared" si="48"/>
        <v>0</v>
      </c>
      <c r="T77" s="123">
        <f t="shared" si="48"/>
        <v>0</v>
      </c>
      <c r="U77" s="123">
        <f t="shared" si="48"/>
        <v>0</v>
      </c>
      <c r="V77" s="123">
        <f t="shared" si="48"/>
        <v>0</v>
      </c>
      <c r="W77" s="123">
        <f t="shared" si="48"/>
        <v>0</v>
      </c>
      <c r="X77" s="123">
        <f t="shared" si="48"/>
        <v>0</v>
      </c>
      <c r="Y77" s="123">
        <f t="shared" si="48"/>
        <v>0</v>
      </c>
      <c r="Z77" s="123">
        <f t="shared" si="48"/>
        <v>0</v>
      </c>
      <c r="AA77" s="123">
        <f t="shared" si="48"/>
        <v>0</v>
      </c>
      <c r="AB77" s="123">
        <f t="shared" si="48"/>
        <v>0</v>
      </c>
      <c r="AC77" s="123">
        <f t="shared" si="48"/>
        <v>0</v>
      </c>
      <c r="AD77" s="123">
        <f t="shared" si="48"/>
        <v>0</v>
      </c>
      <c r="AE77" s="123">
        <f t="shared" si="48"/>
        <v>0</v>
      </c>
      <c r="AF77" s="123">
        <f t="shared" si="48"/>
        <v>0</v>
      </c>
      <c r="AG77" s="123">
        <f t="shared" si="48"/>
        <v>0</v>
      </c>
      <c r="AH77" s="123">
        <f t="shared" si="48"/>
        <v>0</v>
      </c>
      <c r="AI77" s="123">
        <f t="shared" si="48"/>
        <v>0</v>
      </c>
      <c r="AJ77" s="123">
        <f t="shared" si="48"/>
        <v>0</v>
      </c>
      <c r="AK77" s="123">
        <f t="shared" si="48"/>
        <v>0</v>
      </c>
      <c r="AL77" s="123">
        <f t="shared" si="48"/>
        <v>0</v>
      </c>
      <c r="AM77" s="123">
        <f t="shared" si="48"/>
        <v>0</v>
      </c>
      <c r="AN77" s="123">
        <f t="shared" si="48"/>
        <v>0</v>
      </c>
      <c r="AO77" s="123">
        <f t="shared" si="48"/>
        <v>0</v>
      </c>
      <c r="AP77" s="123">
        <f t="shared" si="48"/>
        <v>0</v>
      </c>
      <c r="AQ77" s="123">
        <f t="shared" si="48"/>
        <v>0</v>
      </c>
      <c r="AR77" s="123">
        <f t="shared" si="48"/>
        <v>0</v>
      </c>
      <c r="AS77" s="159">
        <f t="shared" si="48"/>
        <v>0</v>
      </c>
    </row>
    <row r="78" spans="1:46" ht="19.5" customHeight="1" thickBot="1">
      <c r="A78" s="908"/>
      <c r="B78" s="292"/>
      <c r="C78" s="292"/>
      <c r="D78" s="292"/>
      <c r="E78" s="292"/>
      <c r="F78" s="292"/>
      <c r="G78" s="292"/>
      <c r="H78" s="292"/>
      <c r="I78" s="293"/>
      <c r="J78" s="124"/>
      <c r="N78" s="250">
        <f t="shared" si="50"/>
        <v>10</v>
      </c>
      <c r="O78" s="301" t="str">
        <f t="shared" si="47"/>
        <v>from_other_land_to_cropland</v>
      </c>
      <c r="P78" s="302"/>
      <c r="Q78" s="160">
        <f t="shared" si="49"/>
        <v>0</v>
      </c>
      <c r="R78" s="160">
        <f t="shared" si="48"/>
        <v>0</v>
      </c>
      <c r="S78" s="160">
        <f t="shared" si="48"/>
        <v>0</v>
      </c>
      <c r="T78" s="160">
        <f t="shared" si="48"/>
        <v>0</v>
      </c>
      <c r="U78" s="160">
        <f t="shared" si="48"/>
        <v>0</v>
      </c>
      <c r="V78" s="160">
        <f t="shared" si="48"/>
        <v>0</v>
      </c>
      <c r="W78" s="160">
        <f t="shared" si="48"/>
        <v>0</v>
      </c>
      <c r="X78" s="160">
        <f t="shared" si="48"/>
        <v>0</v>
      </c>
      <c r="Y78" s="160">
        <f t="shared" si="48"/>
        <v>0</v>
      </c>
      <c r="Z78" s="160">
        <f t="shared" si="48"/>
        <v>0</v>
      </c>
      <c r="AA78" s="160">
        <f t="shared" si="48"/>
        <v>0</v>
      </c>
      <c r="AB78" s="160">
        <f t="shared" si="48"/>
        <v>0</v>
      </c>
      <c r="AC78" s="160">
        <f t="shared" si="48"/>
        <v>0</v>
      </c>
      <c r="AD78" s="160">
        <f t="shared" si="48"/>
        <v>0</v>
      </c>
      <c r="AE78" s="160">
        <f t="shared" si="48"/>
        <v>0</v>
      </c>
      <c r="AF78" s="160">
        <f t="shared" si="48"/>
        <v>0</v>
      </c>
      <c r="AG78" s="160">
        <f t="shared" si="48"/>
        <v>0</v>
      </c>
      <c r="AH78" s="160">
        <f t="shared" si="48"/>
        <v>0</v>
      </c>
      <c r="AI78" s="160">
        <f t="shared" si="48"/>
        <v>0</v>
      </c>
      <c r="AJ78" s="160">
        <f t="shared" ref="R78:AS87" si="51">IF($P44&gt;AJ$68,0,INDEX($Q$35:$AT$64,$N78,(AJ$68-$P44+1)))</f>
        <v>0</v>
      </c>
      <c r="AK78" s="160">
        <f t="shared" si="51"/>
        <v>0</v>
      </c>
      <c r="AL78" s="160">
        <f t="shared" si="51"/>
        <v>0</v>
      </c>
      <c r="AM78" s="160">
        <f t="shared" si="51"/>
        <v>0</v>
      </c>
      <c r="AN78" s="160">
        <f t="shared" si="51"/>
        <v>0</v>
      </c>
      <c r="AO78" s="160">
        <f t="shared" si="51"/>
        <v>0</v>
      </c>
      <c r="AP78" s="160">
        <f t="shared" si="51"/>
        <v>0</v>
      </c>
      <c r="AQ78" s="160">
        <f t="shared" si="51"/>
        <v>0</v>
      </c>
      <c r="AR78" s="160">
        <f t="shared" si="51"/>
        <v>0</v>
      </c>
      <c r="AS78" s="161">
        <f t="shared" si="51"/>
        <v>0</v>
      </c>
    </row>
    <row r="79" spans="1:46" ht="19.5" customHeight="1" thickBot="1">
      <c r="A79" s="281"/>
      <c r="B79" s="914" t="s">
        <v>1501</v>
      </c>
      <c r="C79" s="914"/>
      <c r="D79" s="914"/>
      <c r="E79" s="914"/>
      <c r="F79" s="914"/>
      <c r="G79" s="914"/>
      <c r="H79" s="914"/>
      <c r="I79" s="915"/>
      <c r="J79" s="124"/>
      <c r="N79" s="250">
        <f t="shared" si="50"/>
        <v>11</v>
      </c>
      <c r="O79" s="299" t="str">
        <f t="shared" si="47"/>
        <v>from_forestland_to_grassland</v>
      </c>
      <c r="P79" s="300"/>
      <c r="Q79" s="157">
        <f t="shared" si="49"/>
        <v>0</v>
      </c>
      <c r="R79" s="157">
        <f t="shared" si="51"/>
        <v>0</v>
      </c>
      <c r="S79" s="157">
        <f t="shared" si="51"/>
        <v>0</v>
      </c>
      <c r="T79" s="157">
        <f t="shared" si="51"/>
        <v>0</v>
      </c>
      <c r="U79" s="157">
        <f t="shared" si="51"/>
        <v>0</v>
      </c>
      <c r="V79" s="157">
        <f t="shared" si="51"/>
        <v>0</v>
      </c>
      <c r="W79" s="157">
        <f t="shared" si="51"/>
        <v>0</v>
      </c>
      <c r="X79" s="157">
        <f t="shared" si="51"/>
        <v>0</v>
      </c>
      <c r="Y79" s="157">
        <f t="shared" si="51"/>
        <v>0</v>
      </c>
      <c r="Z79" s="157">
        <f t="shared" si="51"/>
        <v>0</v>
      </c>
      <c r="AA79" s="157">
        <f t="shared" si="51"/>
        <v>0</v>
      </c>
      <c r="AB79" s="157">
        <f t="shared" si="51"/>
        <v>0</v>
      </c>
      <c r="AC79" s="157">
        <f t="shared" si="51"/>
        <v>0</v>
      </c>
      <c r="AD79" s="157">
        <f t="shared" si="51"/>
        <v>0</v>
      </c>
      <c r="AE79" s="157">
        <f t="shared" si="51"/>
        <v>0</v>
      </c>
      <c r="AF79" s="157">
        <f t="shared" si="51"/>
        <v>0</v>
      </c>
      <c r="AG79" s="157">
        <f t="shared" si="51"/>
        <v>0</v>
      </c>
      <c r="AH79" s="157">
        <f t="shared" si="51"/>
        <v>0</v>
      </c>
      <c r="AI79" s="157">
        <f t="shared" si="51"/>
        <v>0</v>
      </c>
      <c r="AJ79" s="157">
        <f t="shared" si="51"/>
        <v>0</v>
      </c>
      <c r="AK79" s="157">
        <f t="shared" si="51"/>
        <v>0</v>
      </c>
      <c r="AL79" s="157">
        <f t="shared" si="51"/>
        <v>0</v>
      </c>
      <c r="AM79" s="157">
        <f t="shared" si="51"/>
        <v>0</v>
      </c>
      <c r="AN79" s="157">
        <f t="shared" si="51"/>
        <v>0</v>
      </c>
      <c r="AO79" s="157">
        <f t="shared" si="51"/>
        <v>0</v>
      </c>
      <c r="AP79" s="157">
        <f t="shared" si="51"/>
        <v>0</v>
      </c>
      <c r="AQ79" s="157">
        <f t="shared" si="51"/>
        <v>0</v>
      </c>
      <c r="AR79" s="157">
        <f t="shared" si="51"/>
        <v>0</v>
      </c>
      <c r="AS79" s="158">
        <f t="shared" si="51"/>
        <v>0</v>
      </c>
    </row>
    <row r="80" spans="1:46" ht="19.5" customHeight="1">
      <c r="A80" s="303"/>
      <c r="B80" s="256"/>
      <c r="C80" s="304"/>
      <c r="D80" s="304"/>
      <c r="E80" s="256"/>
      <c r="F80" s="256"/>
      <c r="G80" s="256"/>
      <c r="H80" s="256"/>
      <c r="I80" s="257"/>
      <c r="J80" s="124"/>
      <c r="N80" s="250">
        <f t="shared" si="50"/>
        <v>12</v>
      </c>
      <c r="O80" s="101" t="str">
        <f t="shared" si="47"/>
        <v>from_cropland_to_grassland</v>
      </c>
      <c r="P80" s="252"/>
      <c r="Q80" s="123">
        <f t="shared" si="49"/>
        <v>0</v>
      </c>
      <c r="R80" s="123">
        <f t="shared" si="51"/>
        <v>0</v>
      </c>
      <c r="S80" s="123">
        <f t="shared" si="51"/>
        <v>0</v>
      </c>
      <c r="T80" s="123">
        <f t="shared" si="51"/>
        <v>0</v>
      </c>
      <c r="U80" s="123">
        <f t="shared" si="51"/>
        <v>0</v>
      </c>
      <c r="V80" s="123">
        <f t="shared" si="51"/>
        <v>0</v>
      </c>
      <c r="W80" s="123">
        <f t="shared" si="51"/>
        <v>0</v>
      </c>
      <c r="X80" s="123">
        <f t="shared" si="51"/>
        <v>0</v>
      </c>
      <c r="Y80" s="123">
        <f t="shared" si="51"/>
        <v>0</v>
      </c>
      <c r="Z80" s="123">
        <f t="shared" si="51"/>
        <v>0</v>
      </c>
      <c r="AA80" s="123">
        <f t="shared" si="51"/>
        <v>0</v>
      </c>
      <c r="AB80" s="123">
        <f t="shared" si="51"/>
        <v>0</v>
      </c>
      <c r="AC80" s="123">
        <f t="shared" si="51"/>
        <v>0</v>
      </c>
      <c r="AD80" s="123">
        <f t="shared" si="51"/>
        <v>0</v>
      </c>
      <c r="AE80" s="123">
        <f t="shared" si="51"/>
        <v>0</v>
      </c>
      <c r="AF80" s="123">
        <f t="shared" si="51"/>
        <v>0</v>
      </c>
      <c r="AG80" s="123">
        <f t="shared" si="51"/>
        <v>0</v>
      </c>
      <c r="AH80" s="123">
        <f t="shared" si="51"/>
        <v>0</v>
      </c>
      <c r="AI80" s="123">
        <f t="shared" si="51"/>
        <v>0</v>
      </c>
      <c r="AJ80" s="123">
        <f>IF($P46&gt;AJ$68,0,INDEX($Q$35:$AT$64,$N80,(AJ$68-$P46+1)))</f>
        <v>0</v>
      </c>
      <c r="AK80" s="123">
        <f t="shared" si="51"/>
        <v>0</v>
      </c>
      <c r="AL80" s="123">
        <f t="shared" si="51"/>
        <v>0</v>
      </c>
      <c r="AM80" s="123">
        <f t="shared" si="51"/>
        <v>0</v>
      </c>
      <c r="AN80" s="123">
        <f t="shared" si="51"/>
        <v>0</v>
      </c>
      <c r="AO80" s="123">
        <f t="shared" si="51"/>
        <v>0</v>
      </c>
      <c r="AP80" s="123">
        <f t="shared" si="51"/>
        <v>0</v>
      </c>
      <c r="AQ80" s="123">
        <f t="shared" si="51"/>
        <v>0</v>
      </c>
      <c r="AR80" s="123">
        <f t="shared" si="51"/>
        <v>0</v>
      </c>
      <c r="AS80" s="159">
        <f t="shared" si="51"/>
        <v>0</v>
      </c>
    </row>
    <row r="81" spans="1:45" ht="19.5" customHeight="1">
      <c r="A81" s="265"/>
      <c r="B81" s="258"/>
      <c r="C81" s="258"/>
      <c r="D81" s="258"/>
      <c r="E81" s="258"/>
      <c r="F81" s="258"/>
      <c r="G81" s="258"/>
      <c r="H81" s="258"/>
      <c r="I81" s="259"/>
      <c r="J81" s="124"/>
      <c r="N81" s="250">
        <f t="shared" si="50"/>
        <v>13</v>
      </c>
      <c r="O81" s="101" t="str">
        <f t="shared" si="47"/>
        <v>from_wetland_to_grassland</v>
      </c>
      <c r="P81" s="252"/>
      <c r="Q81" s="123">
        <f t="shared" si="49"/>
        <v>0</v>
      </c>
      <c r="R81" s="123">
        <f t="shared" si="51"/>
        <v>0</v>
      </c>
      <c r="S81" s="123">
        <f t="shared" si="51"/>
        <v>0</v>
      </c>
      <c r="T81" s="123">
        <f t="shared" si="51"/>
        <v>0</v>
      </c>
      <c r="U81" s="123">
        <f t="shared" si="51"/>
        <v>0</v>
      </c>
      <c r="V81" s="123">
        <f t="shared" si="51"/>
        <v>0</v>
      </c>
      <c r="W81" s="123">
        <f t="shared" si="51"/>
        <v>0</v>
      </c>
      <c r="X81" s="123">
        <f t="shared" si="51"/>
        <v>0</v>
      </c>
      <c r="Y81" s="123">
        <f t="shared" si="51"/>
        <v>0</v>
      </c>
      <c r="Z81" s="123">
        <f t="shared" si="51"/>
        <v>0</v>
      </c>
      <c r="AA81" s="123">
        <f t="shared" si="51"/>
        <v>0</v>
      </c>
      <c r="AB81" s="123">
        <f t="shared" si="51"/>
        <v>0</v>
      </c>
      <c r="AC81" s="123">
        <f t="shared" si="51"/>
        <v>0</v>
      </c>
      <c r="AD81" s="123">
        <f t="shared" si="51"/>
        <v>0</v>
      </c>
      <c r="AE81" s="123">
        <f t="shared" si="51"/>
        <v>0</v>
      </c>
      <c r="AF81" s="123">
        <f t="shared" si="51"/>
        <v>0</v>
      </c>
      <c r="AG81" s="123">
        <f t="shared" si="51"/>
        <v>0</v>
      </c>
      <c r="AH81" s="123">
        <f t="shared" si="51"/>
        <v>0</v>
      </c>
      <c r="AI81" s="123">
        <f t="shared" si="51"/>
        <v>0</v>
      </c>
      <c r="AJ81" s="123">
        <f t="shared" si="51"/>
        <v>0</v>
      </c>
      <c r="AK81" s="123">
        <f t="shared" si="51"/>
        <v>0</v>
      </c>
      <c r="AL81" s="123">
        <f t="shared" si="51"/>
        <v>0</v>
      </c>
      <c r="AM81" s="123">
        <f t="shared" si="51"/>
        <v>0</v>
      </c>
      <c r="AN81" s="123">
        <f t="shared" si="51"/>
        <v>0</v>
      </c>
      <c r="AO81" s="123">
        <f t="shared" si="51"/>
        <v>0</v>
      </c>
      <c r="AP81" s="123">
        <f t="shared" si="51"/>
        <v>0</v>
      </c>
      <c r="AQ81" s="123">
        <f t="shared" si="51"/>
        <v>0</v>
      </c>
      <c r="AR81" s="123">
        <f t="shared" si="51"/>
        <v>0</v>
      </c>
      <c r="AS81" s="159">
        <f t="shared" si="51"/>
        <v>0</v>
      </c>
    </row>
    <row r="82" spans="1:45" ht="19.5" customHeight="1">
      <c r="A82" s="265"/>
      <c r="B82" s="258"/>
      <c r="C82" s="258"/>
      <c r="D82" s="258"/>
      <c r="E82" s="258"/>
      <c r="F82" s="258"/>
      <c r="G82" s="258"/>
      <c r="H82" s="258"/>
      <c r="I82" s="259"/>
      <c r="J82" s="124"/>
      <c r="N82" s="250">
        <f t="shared" si="50"/>
        <v>14</v>
      </c>
      <c r="O82" s="101" t="str">
        <f t="shared" si="47"/>
        <v>from_settlements_to_grassland</v>
      </c>
      <c r="P82" s="252"/>
      <c r="Q82" s="123">
        <f t="shared" si="49"/>
        <v>0</v>
      </c>
      <c r="R82" s="123">
        <f t="shared" si="51"/>
        <v>0</v>
      </c>
      <c r="S82" s="123">
        <f t="shared" si="51"/>
        <v>0</v>
      </c>
      <c r="T82" s="123">
        <f t="shared" si="51"/>
        <v>0</v>
      </c>
      <c r="U82" s="123">
        <f t="shared" si="51"/>
        <v>0</v>
      </c>
      <c r="V82" s="123">
        <f t="shared" si="51"/>
        <v>0</v>
      </c>
      <c r="W82" s="123">
        <f t="shared" si="51"/>
        <v>0</v>
      </c>
      <c r="X82" s="123">
        <f t="shared" si="51"/>
        <v>0</v>
      </c>
      <c r="Y82" s="123">
        <f t="shared" si="51"/>
        <v>0</v>
      </c>
      <c r="Z82" s="123">
        <f t="shared" si="51"/>
        <v>0</v>
      </c>
      <c r="AA82" s="123">
        <f t="shared" si="51"/>
        <v>0</v>
      </c>
      <c r="AB82" s="123">
        <f t="shared" si="51"/>
        <v>0</v>
      </c>
      <c r="AC82" s="123">
        <f t="shared" si="51"/>
        <v>0</v>
      </c>
      <c r="AD82" s="123">
        <f t="shared" si="51"/>
        <v>0</v>
      </c>
      <c r="AE82" s="123">
        <f t="shared" si="51"/>
        <v>0</v>
      </c>
      <c r="AF82" s="123">
        <f t="shared" si="51"/>
        <v>0</v>
      </c>
      <c r="AG82" s="123">
        <f t="shared" si="51"/>
        <v>0</v>
      </c>
      <c r="AH82" s="123">
        <f t="shared" si="51"/>
        <v>0</v>
      </c>
      <c r="AI82" s="123">
        <f t="shared" si="51"/>
        <v>0</v>
      </c>
      <c r="AJ82" s="123">
        <f t="shared" si="51"/>
        <v>0</v>
      </c>
      <c r="AK82" s="123">
        <f t="shared" si="51"/>
        <v>0</v>
      </c>
      <c r="AL82" s="123">
        <f t="shared" si="51"/>
        <v>0</v>
      </c>
      <c r="AM82" s="123">
        <f t="shared" si="51"/>
        <v>0</v>
      </c>
      <c r="AN82" s="123">
        <f t="shared" si="51"/>
        <v>0</v>
      </c>
      <c r="AO82" s="123">
        <f t="shared" si="51"/>
        <v>0</v>
      </c>
      <c r="AP82" s="123">
        <f t="shared" si="51"/>
        <v>0</v>
      </c>
      <c r="AQ82" s="123">
        <f t="shared" si="51"/>
        <v>0</v>
      </c>
      <c r="AR82" s="123">
        <f t="shared" si="51"/>
        <v>0</v>
      </c>
      <c r="AS82" s="159">
        <f t="shared" si="51"/>
        <v>0</v>
      </c>
    </row>
    <row r="83" spans="1:45" ht="19.5" customHeight="1" thickBot="1">
      <c r="A83" s="265"/>
      <c r="B83" s="258"/>
      <c r="C83" s="258"/>
      <c r="D83" s="258"/>
      <c r="E83" s="258"/>
      <c r="F83" s="258"/>
      <c r="G83" s="258"/>
      <c r="H83" s="258"/>
      <c r="I83" s="259"/>
      <c r="J83" s="124"/>
      <c r="N83" s="250">
        <f t="shared" si="50"/>
        <v>15</v>
      </c>
      <c r="O83" s="301" t="str">
        <f t="shared" si="47"/>
        <v>from_other_land_to_grassland</v>
      </c>
      <c r="P83" s="302"/>
      <c r="Q83" s="160">
        <f t="shared" si="49"/>
        <v>0</v>
      </c>
      <c r="R83" s="160">
        <f t="shared" si="51"/>
        <v>0</v>
      </c>
      <c r="S83" s="160">
        <f t="shared" si="51"/>
        <v>0</v>
      </c>
      <c r="T83" s="160">
        <f t="shared" si="51"/>
        <v>0</v>
      </c>
      <c r="U83" s="160">
        <f t="shared" si="51"/>
        <v>0</v>
      </c>
      <c r="V83" s="160">
        <f t="shared" si="51"/>
        <v>0</v>
      </c>
      <c r="W83" s="160">
        <f t="shared" si="51"/>
        <v>0</v>
      </c>
      <c r="X83" s="160">
        <f t="shared" si="51"/>
        <v>0</v>
      </c>
      <c r="Y83" s="160">
        <f t="shared" si="51"/>
        <v>0</v>
      </c>
      <c r="Z83" s="160">
        <f t="shared" si="51"/>
        <v>0</v>
      </c>
      <c r="AA83" s="160">
        <f t="shared" si="51"/>
        <v>0</v>
      </c>
      <c r="AB83" s="160">
        <f t="shared" si="51"/>
        <v>0</v>
      </c>
      <c r="AC83" s="160">
        <f t="shared" si="51"/>
        <v>0</v>
      </c>
      <c r="AD83" s="160">
        <f t="shared" si="51"/>
        <v>0</v>
      </c>
      <c r="AE83" s="160">
        <f t="shared" si="51"/>
        <v>0</v>
      </c>
      <c r="AF83" s="160">
        <f t="shared" si="51"/>
        <v>0</v>
      </c>
      <c r="AG83" s="160">
        <f t="shared" si="51"/>
        <v>0</v>
      </c>
      <c r="AH83" s="160">
        <f t="shared" si="51"/>
        <v>0</v>
      </c>
      <c r="AI83" s="160">
        <f t="shared" si="51"/>
        <v>0</v>
      </c>
      <c r="AJ83" s="160">
        <f t="shared" si="51"/>
        <v>0</v>
      </c>
      <c r="AK83" s="160">
        <f t="shared" si="51"/>
        <v>0</v>
      </c>
      <c r="AL83" s="160">
        <f t="shared" si="51"/>
        <v>0</v>
      </c>
      <c r="AM83" s="160">
        <f t="shared" si="51"/>
        <v>0</v>
      </c>
      <c r="AN83" s="160">
        <f t="shared" si="51"/>
        <v>0</v>
      </c>
      <c r="AO83" s="160">
        <f t="shared" si="51"/>
        <v>0</v>
      </c>
      <c r="AP83" s="160">
        <f t="shared" si="51"/>
        <v>0</v>
      </c>
      <c r="AQ83" s="160">
        <f t="shared" si="51"/>
        <v>0</v>
      </c>
      <c r="AR83" s="160">
        <f t="shared" si="51"/>
        <v>0</v>
      </c>
      <c r="AS83" s="161">
        <f t="shared" si="51"/>
        <v>0</v>
      </c>
    </row>
    <row r="84" spans="1:45" ht="19.5" customHeight="1">
      <c r="A84" s="265"/>
      <c r="B84" s="258"/>
      <c r="C84" s="258"/>
      <c r="D84" s="258"/>
      <c r="E84" s="258"/>
      <c r="F84" s="258"/>
      <c r="G84" s="258"/>
      <c r="H84" s="258"/>
      <c r="I84" s="259"/>
      <c r="J84" s="124"/>
      <c r="N84" s="250">
        <f t="shared" si="50"/>
        <v>16</v>
      </c>
      <c r="O84" s="299" t="str">
        <f t="shared" si="47"/>
        <v>land_converted_to_peat_extraction_(combined)</v>
      </c>
      <c r="P84" s="300"/>
      <c r="Q84" s="157">
        <f t="shared" si="49"/>
        <v>0</v>
      </c>
      <c r="R84" s="157">
        <f t="shared" si="51"/>
        <v>0</v>
      </c>
      <c r="S84" s="157">
        <f t="shared" si="51"/>
        <v>0</v>
      </c>
      <c r="T84" s="157">
        <f t="shared" si="51"/>
        <v>0</v>
      </c>
      <c r="U84" s="157">
        <f t="shared" si="51"/>
        <v>0</v>
      </c>
      <c r="V84" s="157">
        <f t="shared" si="51"/>
        <v>0</v>
      </c>
      <c r="W84" s="157">
        <f t="shared" si="51"/>
        <v>0</v>
      </c>
      <c r="X84" s="157">
        <f t="shared" si="51"/>
        <v>0</v>
      </c>
      <c r="Y84" s="157">
        <f t="shared" si="51"/>
        <v>0</v>
      </c>
      <c r="Z84" s="157">
        <f t="shared" si="51"/>
        <v>0</v>
      </c>
      <c r="AA84" s="157">
        <f t="shared" si="51"/>
        <v>0</v>
      </c>
      <c r="AB84" s="157">
        <f t="shared" si="51"/>
        <v>0</v>
      </c>
      <c r="AC84" s="157">
        <f t="shared" si="51"/>
        <v>0</v>
      </c>
      <c r="AD84" s="157">
        <f t="shared" si="51"/>
        <v>0</v>
      </c>
      <c r="AE84" s="157">
        <f t="shared" si="51"/>
        <v>0</v>
      </c>
      <c r="AF84" s="157">
        <f t="shared" si="51"/>
        <v>0</v>
      </c>
      <c r="AG84" s="157">
        <f t="shared" si="51"/>
        <v>0</v>
      </c>
      <c r="AH84" s="157">
        <f t="shared" si="51"/>
        <v>0</v>
      </c>
      <c r="AI84" s="157">
        <f t="shared" si="51"/>
        <v>0</v>
      </c>
      <c r="AJ84" s="157">
        <f t="shared" si="51"/>
        <v>0</v>
      </c>
      <c r="AK84" s="157">
        <f t="shared" si="51"/>
        <v>0</v>
      </c>
      <c r="AL84" s="157">
        <f t="shared" si="51"/>
        <v>0</v>
      </c>
      <c r="AM84" s="157">
        <f t="shared" si="51"/>
        <v>0</v>
      </c>
      <c r="AN84" s="157">
        <f t="shared" si="51"/>
        <v>0</v>
      </c>
      <c r="AO84" s="157">
        <f t="shared" si="51"/>
        <v>0</v>
      </c>
      <c r="AP84" s="157">
        <f t="shared" si="51"/>
        <v>0</v>
      </c>
      <c r="AQ84" s="157">
        <f t="shared" si="51"/>
        <v>0</v>
      </c>
      <c r="AR84" s="157">
        <f t="shared" si="51"/>
        <v>0</v>
      </c>
      <c r="AS84" s="158">
        <f t="shared" si="51"/>
        <v>0</v>
      </c>
    </row>
    <row r="85" spans="1:45" ht="19.5" customHeight="1">
      <c r="A85" s="265"/>
      <c r="B85" s="258"/>
      <c r="C85" s="258"/>
      <c r="D85" s="258"/>
      <c r="E85" s="258"/>
      <c r="F85" s="258"/>
      <c r="G85" s="258"/>
      <c r="H85" s="258"/>
      <c r="I85" s="259"/>
      <c r="J85" s="124"/>
      <c r="N85" s="250">
        <f t="shared" si="50"/>
        <v>17</v>
      </c>
      <c r="O85" s="101" t="str">
        <f t="shared" si="47"/>
        <v>peatland_restoration_(rewetting)</v>
      </c>
      <c r="P85" s="252"/>
      <c r="Q85" s="123">
        <f t="shared" si="49"/>
        <v>0</v>
      </c>
      <c r="R85" s="123">
        <f t="shared" si="51"/>
        <v>0</v>
      </c>
      <c r="S85" s="123">
        <f t="shared" si="51"/>
        <v>0</v>
      </c>
      <c r="T85" s="123">
        <f t="shared" si="51"/>
        <v>0</v>
      </c>
      <c r="U85" s="123">
        <f t="shared" si="51"/>
        <v>0</v>
      </c>
      <c r="V85" s="123">
        <f t="shared" si="51"/>
        <v>0</v>
      </c>
      <c r="W85" s="123">
        <f t="shared" si="51"/>
        <v>0</v>
      </c>
      <c r="X85" s="123">
        <f t="shared" si="51"/>
        <v>0</v>
      </c>
      <c r="Y85" s="123">
        <f t="shared" si="51"/>
        <v>0</v>
      </c>
      <c r="Z85" s="123">
        <f t="shared" si="51"/>
        <v>0</v>
      </c>
      <c r="AA85" s="123">
        <f t="shared" si="51"/>
        <v>0</v>
      </c>
      <c r="AB85" s="123">
        <f t="shared" si="51"/>
        <v>0</v>
      </c>
      <c r="AC85" s="123">
        <f t="shared" si="51"/>
        <v>0</v>
      </c>
      <c r="AD85" s="123">
        <f t="shared" si="51"/>
        <v>0</v>
      </c>
      <c r="AE85" s="123">
        <f t="shared" si="51"/>
        <v>0</v>
      </c>
      <c r="AF85" s="123">
        <f t="shared" si="51"/>
        <v>0</v>
      </c>
      <c r="AG85" s="123">
        <f t="shared" si="51"/>
        <v>0</v>
      </c>
      <c r="AH85" s="123">
        <f t="shared" si="51"/>
        <v>0</v>
      </c>
      <c r="AI85" s="123">
        <f t="shared" si="51"/>
        <v>0</v>
      </c>
      <c r="AJ85" s="123">
        <f t="shared" si="51"/>
        <v>0</v>
      </c>
      <c r="AK85" s="123">
        <f t="shared" si="51"/>
        <v>0</v>
      </c>
      <c r="AL85" s="123">
        <f t="shared" si="51"/>
        <v>0</v>
      </c>
      <c r="AM85" s="123">
        <f t="shared" si="51"/>
        <v>0</v>
      </c>
      <c r="AN85" s="123">
        <f t="shared" si="51"/>
        <v>0</v>
      </c>
      <c r="AO85" s="123">
        <f t="shared" si="51"/>
        <v>0</v>
      </c>
      <c r="AP85" s="123">
        <f t="shared" si="51"/>
        <v>0</v>
      </c>
      <c r="AQ85" s="123">
        <f t="shared" si="51"/>
        <v>0</v>
      </c>
      <c r="AR85" s="123">
        <f t="shared" si="51"/>
        <v>0</v>
      </c>
      <c r="AS85" s="159">
        <f t="shared" si="51"/>
        <v>0</v>
      </c>
    </row>
    <row r="86" spans="1:45" ht="19.5" customHeight="1">
      <c r="A86" s="265"/>
      <c r="B86" s="258"/>
      <c r="C86" s="258"/>
      <c r="D86" s="258"/>
      <c r="E86" s="258"/>
      <c r="F86" s="258"/>
      <c r="G86" s="258"/>
      <c r="H86" s="258"/>
      <c r="I86" s="259"/>
      <c r="J86" s="124"/>
      <c r="N86" s="250">
        <f t="shared" si="50"/>
        <v>18</v>
      </c>
      <c r="O86" s="101" t="str">
        <f t="shared" si="47"/>
        <v>forestland_converted_to_other_wetlands/flooded_land</v>
      </c>
      <c r="P86" s="252"/>
      <c r="Q86" s="123">
        <f t="shared" si="49"/>
        <v>0</v>
      </c>
      <c r="R86" s="123">
        <f t="shared" si="51"/>
        <v>0</v>
      </c>
      <c r="S86" s="123">
        <f t="shared" si="51"/>
        <v>0</v>
      </c>
      <c r="T86" s="123">
        <f t="shared" si="51"/>
        <v>0</v>
      </c>
      <c r="U86" s="123">
        <f t="shared" si="51"/>
        <v>0</v>
      </c>
      <c r="V86" s="123">
        <f t="shared" si="51"/>
        <v>0</v>
      </c>
      <c r="W86" s="123">
        <f t="shared" si="51"/>
        <v>0</v>
      </c>
      <c r="X86" s="123">
        <f t="shared" si="51"/>
        <v>0</v>
      </c>
      <c r="Y86" s="123">
        <f t="shared" si="51"/>
        <v>0</v>
      </c>
      <c r="Z86" s="123">
        <f t="shared" si="51"/>
        <v>0</v>
      </c>
      <c r="AA86" s="123">
        <f t="shared" si="51"/>
        <v>0</v>
      </c>
      <c r="AB86" s="123">
        <f t="shared" si="51"/>
        <v>0</v>
      </c>
      <c r="AC86" s="123">
        <f t="shared" si="51"/>
        <v>0</v>
      </c>
      <c r="AD86" s="123">
        <f t="shared" si="51"/>
        <v>0</v>
      </c>
      <c r="AE86" s="123">
        <f t="shared" si="51"/>
        <v>0</v>
      </c>
      <c r="AF86" s="123">
        <f t="shared" si="51"/>
        <v>0</v>
      </c>
      <c r="AG86" s="123">
        <f t="shared" si="51"/>
        <v>0</v>
      </c>
      <c r="AH86" s="123">
        <f t="shared" si="51"/>
        <v>0</v>
      </c>
      <c r="AI86" s="123">
        <f t="shared" si="51"/>
        <v>0</v>
      </c>
      <c r="AJ86" s="123">
        <f t="shared" si="51"/>
        <v>0</v>
      </c>
      <c r="AK86" s="123">
        <f t="shared" si="51"/>
        <v>0</v>
      </c>
      <c r="AL86" s="123">
        <f t="shared" si="51"/>
        <v>0</v>
      </c>
      <c r="AM86" s="123">
        <f t="shared" si="51"/>
        <v>0</v>
      </c>
      <c r="AN86" s="123">
        <f t="shared" si="51"/>
        <v>0</v>
      </c>
      <c r="AO86" s="123">
        <f t="shared" si="51"/>
        <v>0</v>
      </c>
      <c r="AP86" s="123">
        <f t="shared" si="51"/>
        <v>0</v>
      </c>
      <c r="AQ86" s="123">
        <f t="shared" si="51"/>
        <v>0</v>
      </c>
      <c r="AR86" s="123">
        <f t="shared" si="51"/>
        <v>0</v>
      </c>
      <c r="AS86" s="159">
        <f t="shared" si="51"/>
        <v>0</v>
      </c>
    </row>
    <row r="87" spans="1:45" ht="19.5" customHeight="1">
      <c r="A87" s="265"/>
      <c r="B87" s="258"/>
      <c r="C87" s="258"/>
      <c r="D87" s="258"/>
      <c r="E87" s="258"/>
      <c r="F87" s="258"/>
      <c r="G87" s="258"/>
      <c r="H87" s="258"/>
      <c r="I87" s="259"/>
      <c r="J87" s="124"/>
      <c r="N87" s="250">
        <f t="shared" si="50"/>
        <v>19</v>
      </c>
      <c r="O87" s="101" t="str">
        <f t="shared" si="47"/>
        <v>cropland_converted_to_other_wetlands/flooded_land</v>
      </c>
      <c r="P87" s="252"/>
      <c r="Q87" s="123">
        <f t="shared" si="49"/>
        <v>0</v>
      </c>
      <c r="R87" s="123">
        <f t="shared" si="51"/>
        <v>0</v>
      </c>
      <c r="S87" s="123">
        <f t="shared" si="51"/>
        <v>0</v>
      </c>
      <c r="T87" s="123">
        <f t="shared" si="51"/>
        <v>0</v>
      </c>
      <c r="U87" s="123">
        <f t="shared" si="51"/>
        <v>0</v>
      </c>
      <c r="V87" s="123">
        <f t="shared" si="51"/>
        <v>0</v>
      </c>
      <c r="W87" s="123">
        <f t="shared" si="51"/>
        <v>0</v>
      </c>
      <c r="X87" s="123">
        <f t="shared" si="51"/>
        <v>0</v>
      </c>
      <c r="Y87" s="123">
        <f t="shared" si="51"/>
        <v>0</v>
      </c>
      <c r="Z87" s="123">
        <f t="shared" si="51"/>
        <v>0</v>
      </c>
      <c r="AA87" s="123">
        <f t="shared" si="51"/>
        <v>0</v>
      </c>
      <c r="AB87" s="123">
        <f t="shared" si="51"/>
        <v>0</v>
      </c>
      <c r="AC87" s="123">
        <f t="shared" si="51"/>
        <v>0</v>
      </c>
      <c r="AD87" s="123">
        <f t="shared" si="51"/>
        <v>0</v>
      </c>
      <c r="AE87" s="123">
        <f t="shared" si="51"/>
        <v>0</v>
      </c>
      <c r="AF87" s="123">
        <f t="shared" si="51"/>
        <v>0</v>
      </c>
      <c r="AG87" s="123">
        <f t="shared" si="51"/>
        <v>0</v>
      </c>
      <c r="AH87" s="123">
        <f t="shared" si="51"/>
        <v>0</v>
      </c>
      <c r="AI87" s="123">
        <f t="shared" si="51"/>
        <v>0</v>
      </c>
      <c r="AJ87" s="123">
        <f t="shared" si="51"/>
        <v>0</v>
      </c>
      <c r="AK87" s="123">
        <f t="shared" si="51"/>
        <v>0</v>
      </c>
      <c r="AL87" s="123">
        <f t="shared" si="51"/>
        <v>0</v>
      </c>
      <c r="AM87" s="123">
        <f t="shared" ref="R87:AS96" si="52">IF($P53&gt;AM$68,0,INDEX($Q$35:$AT$64,$N87,(AM$68-$P53+1)))</f>
        <v>0</v>
      </c>
      <c r="AN87" s="123">
        <f t="shared" si="52"/>
        <v>0</v>
      </c>
      <c r="AO87" s="123">
        <f t="shared" si="52"/>
        <v>0</v>
      </c>
      <c r="AP87" s="123">
        <f t="shared" si="52"/>
        <v>0</v>
      </c>
      <c r="AQ87" s="123">
        <f t="shared" si="52"/>
        <v>0</v>
      </c>
      <c r="AR87" s="123">
        <f t="shared" si="52"/>
        <v>0</v>
      </c>
      <c r="AS87" s="159">
        <f t="shared" si="52"/>
        <v>0</v>
      </c>
    </row>
    <row r="88" spans="1:45" ht="19.5" customHeight="1" thickBot="1">
      <c r="A88" s="265"/>
      <c r="B88" s="258"/>
      <c r="C88" s="258"/>
      <c r="D88" s="258"/>
      <c r="E88" s="258"/>
      <c r="F88" s="258"/>
      <c r="G88" s="258"/>
      <c r="H88" s="258"/>
      <c r="I88" s="259"/>
      <c r="J88" s="124"/>
      <c r="N88" s="250">
        <f t="shared" si="50"/>
        <v>20</v>
      </c>
      <c r="O88" s="301" t="str">
        <f t="shared" si="47"/>
        <v>grassland_converted_to_other_wetlands/flooded_land</v>
      </c>
      <c r="P88" s="302"/>
      <c r="Q88" s="160">
        <f t="shared" si="49"/>
        <v>0</v>
      </c>
      <c r="R88" s="160">
        <f t="shared" si="52"/>
        <v>0</v>
      </c>
      <c r="S88" s="160">
        <f t="shared" si="52"/>
        <v>0</v>
      </c>
      <c r="T88" s="160">
        <f t="shared" si="52"/>
        <v>0</v>
      </c>
      <c r="U88" s="160">
        <f t="shared" si="52"/>
        <v>0</v>
      </c>
      <c r="V88" s="160">
        <f t="shared" si="52"/>
        <v>0</v>
      </c>
      <c r="W88" s="160">
        <f t="shared" si="52"/>
        <v>0</v>
      </c>
      <c r="X88" s="160">
        <f t="shared" si="52"/>
        <v>0</v>
      </c>
      <c r="Y88" s="160">
        <f t="shared" si="52"/>
        <v>0</v>
      </c>
      <c r="Z88" s="160">
        <f t="shared" si="52"/>
        <v>0</v>
      </c>
      <c r="AA88" s="160">
        <f t="shared" si="52"/>
        <v>0</v>
      </c>
      <c r="AB88" s="160">
        <f t="shared" si="52"/>
        <v>0</v>
      </c>
      <c r="AC88" s="160">
        <f t="shared" si="52"/>
        <v>0</v>
      </c>
      <c r="AD88" s="160">
        <f t="shared" si="52"/>
        <v>0</v>
      </c>
      <c r="AE88" s="160">
        <f t="shared" si="52"/>
        <v>0</v>
      </c>
      <c r="AF88" s="160">
        <f t="shared" si="52"/>
        <v>0</v>
      </c>
      <c r="AG88" s="160">
        <f t="shared" si="52"/>
        <v>0</v>
      </c>
      <c r="AH88" s="160">
        <f t="shared" si="52"/>
        <v>0</v>
      </c>
      <c r="AI88" s="160">
        <f t="shared" si="52"/>
        <v>0</v>
      </c>
      <c r="AJ88" s="160">
        <f t="shared" si="52"/>
        <v>0</v>
      </c>
      <c r="AK88" s="160">
        <f t="shared" si="52"/>
        <v>0</v>
      </c>
      <c r="AL88" s="160">
        <f t="shared" si="52"/>
        <v>0</v>
      </c>
      <c r="AM88" s="160">
        <f t="shared" si="52"/>
        <v>0</v>
      </c>
      <c r="AN88" s="160">
        <f t="shared" si="52"/>
        <v>0</v>
      </c>
      <c r="AO88" s="160">
        <f t="shared" si="52"/>
        <v>0</v>
      </c>
      <c r="AP88" s="160">
        <f t="shared" si="52"/>
        <v>0</v>
      </c>
      <c r="AQ88" s="160">
        <f t="shared" si="52"/>
        <v>0</v>
      </c>
      <c r="AR88" s="160">
        <f t="shared" si="52"/>
        <v>0</v>
      </c>
      <c r="AS88" s="161">
        <f t="shared" si="52"/>
        <v>0</v>
      </c>
    </row>
    <row r="89" spans="1:45" ht="19.5" customHeight="1">
      <c r="A89" s="265"/>
      <c r="B89" s="258"/>
      <c r="C89" s="258"/>
      <c r="D89" s="258"/>
      <c r="E89" s="258"/>
      <c r="F89" s="258"/>
      <c r="G89" s="258"/>
      <c r="H89" s="258"/>
      <c r="I89" s="259"/>
      <c r="J89" s="124"/>
      <c r="N89" s="250">
        <f t="shared" si="50"/>
        <v>21</v>
      </c>
      <c r="O89" s="299" t="str">
        <f t="shared" si="47"/>
        <v>from_forestland_to_settlements</v>
      </c>
      <c r="P89" s="300"/>
      <c r="Q89" s="157">
        <f t="shared" si="49"/>
        <v>0</v>
      </c>
      <c r="R89" s="157">
        <f t="shared" si="52"/>
        <v>0</v>
      </c>
      <c r="S89" s="157">
        <f t="shared" si="52"/>
        <v>0</v>
      </c>
      <c r="T89" s="157">
        <f t="shared" si="52"/>
        <v>0</v>
      </c>
      <c r="U89" s="157">
        <f t="shared" si="52"/>
        <v>0</v>
      </c>
      <c r="V89" s="157">
        <f t="shared" si="52"/>
        <v>0</v>
      </c>
      <c r="W89" s="157">
        <f t="shared" si="52"/>
        <v>0</v>
      </c>
      <c r="X89" s="157">
        <f t="shared" si="52"/>
        <v>0</v>
      </c>
      <c r="Y89" s="157">
        <f t="shared" si="52"/>
        <v>0</v>
      </c>
      <c r="Z89" s="157">
        <f t="shared" si="52"/>
        <v>0</v>
      </c>
      <c r="AA89" s="157">
        <f t="shared" si="52"/>
        <v>0</v>
      </c>
      <c r="AB89" s="157">
        <f t="shared" si="52"/>
        <v>0</v>
      </c>
      <c r="AC89" s="157">
        <f t="shared" si="52"/>
        <v>0</v>
      </c>
      <c r="AD89" s="157">
        <f t="shared" si="52"/>
        <v>0</v>
      </c>
      <c r="AE89" s="157">
        <f t="shared" si="52"/>
        <v>0</v>
      </c>
      <c r="AF89" s="157">
        <f t="shared" si="52"/>
        <v>0</v>
      </c>
      <c r="AG89" s="157">
        <f t="shared" si="52"/>
        <v>44056.132026019957</v>
      </c>
      <c r="AH89" s="157">
        <f t="shared" si="52"/>
        <v>968</v>
      </c>
      <c r="AI89" s="157">
        <f t="shared" si="52"/>
        <v>968</v>
      </c>
      <c r="AJ89" s="157">
        <f t="shared" si="52"/>
        <v>968</v>
      </c>
      <c r="AK89" s="157">
        <f t="shared" si="52"/>
        <v>968</v>
      </c>
      <c r="AL89" s="157">
        <f t="shared" si="52"/>
        <v>968</v>
      </c>
      <c r="AM89" s="157">
        <f t="shared" si="52"/>
        <v>968</v>
      </c>
      <c r="AN89" s="157">
        <f t="shared" si="52"/>
        <v>968</v>
      </c>
      <c r="AO89" s="157">
        <f t="shared" si="52"/>
        <v>968</v>
      </c>
      <c r="AP89" s="157">
        <f t="shared" si="52"/>
        <v>968</v>
      </c>
      <c r="AQ89" s="157">
        <f t="shared" si="52"/>
        <v>968</v>
      </c>
      <c r="AR89" s="157">
        <f t="shared" si="52"/>
        <v>968</v>
      </c>
      <c r="AS89" s="158">
        <f t="shared" si="52"/>
        <v>968</v>
      </c>
    </row>
    <row r="90" spans="1:45" ht="19.5" customHeight="1">
      <c r="A90" s="265"/>
      <c r="B90" s="258"/>
      <c r="C90" s="258"/>
      <c r="D90" s="258"/>
      <c r="E90" s="258"/>
      <c r="F90" s="258"/>
      <c r="G90" s="258"/>
      <c r="H90" s="258"/>
      <c r="I90" s="259"/>
      <c r="J90" s="124"/>
      <c r="N90" s="250">
        <f t="shared" si="50"/>
        <v>22</v>
      </c>
      <c r="O90" s="101" t="str">
        <f t="shared" si="47"/>
        <v>from_cropland_to_settlements</v>
      </c>
      <c r="P90" s="252"/>
      <c r="Q90" s="123">
        <f t="shared" si="49"/>
        <v>0</v>
      </c>
      <c r="R90" s="123">
        <f t="shared" si="52"/>
        <v>0</v>
      </c>
      <c r="S90" s="123">
        <f t="shared" si="52"/>
        <v>0</v>
      </c>
      <c r="T90" s="123">
        <f t="shared" si="52"/>
        <v>0</v>
      </c>
      <c r="U90" s="123">
        <f t="shared" si="52"/>
        <v>0</v>
      </c>
      <c r="V90" s="123">
        <f t="shared" si="52"/>
        <v>0</v>
      </c>
      <c r="W90" s="123">
        <f t="shared" si="52"/>
        <v>0</v>
      </c>
      <c r="X90" s="123">
        <f t="shared" si="52"/>
        <v>0</v>
      </c>
      <c r="Y90" s="123">
        <f t="shared" si="52"/>
        <v>0</v>
      </c>
      <c r="Z90" s="123">
        <f t="shared" si="52"/>
        <v>0</v>
      </c>
      <c r="AA90" s="123">
        <f t="shared" si="52"/>
        <v>0</v>
      </c>
      <c r="AB90" s="123">
        <f t="shared" si="52"/>
        <v>0</v>
      </c>
      <c r="AC90" s="123">
        <f t="shared" si="52"/>
        <v>0</v>
      </c>
      <c r="AD90" s="123">
        <f t="shared" si="52"/>
        <v>0</v>
      </c>
      <c r="AE90" s="123">
        <f t="shared" si="52"/>
        <v>0</v>
      </c>
      <c r="AF90" s="123">
        <f t="shared" si="52"/>
        <v>0</v>
      </c>
      <c r="AG90" s="123">
        <f t="shared" si="52"/>
        <v>0</v>
      </c>
      <c r="AH90" s="123">
        <f t="shared" si="52"/>
        <v>0</v>
      </c>
      <c r="AI90" s="123">
        <f t="shared" si="52"/>
        <v>0</v>
      </c>
      <c r="AJ90" s="123">
        <f t="shared" si="52"/>
        <v>0</v>
      </c>
      <c r="AK90" s="123">
        <f t="shared" si="52"/>
        <v>0</v>
      </c>
      <c r="AL90" s="123">
        <f t="shared" si="52"/>
        <v>0</v>
      </c>
      <c r="AM90" s="123">
        <f t="shared" si="52"/>
        <v>0</v>
      </c>
      <c r="AN90" s="123">
        <f t="shared" si="52"/>
        <v>0</v>
      </c>
      <c r="AO90" s="123">
        <f t="shared" si="52"/>
        <v>0</v>
      </c>
      <c r="AP90" s="123">
        <f t="shared" si="52"/>
        <v>0</v>
      </c>
      <c r="AQ90" s="123">
        <f t="shared" si="52"/>
        <v>0</v>
      </c>
      <c r="AR90" s="123">
        <f t="shared" si="52"/>
        <v>0</v>
      </c>
      <c r="AS90" s="159">
        <f t="shared" si="52"/>
        <v>0</v>
      </c>
    </row>
    <row r="91" spans="1:45" ht="19.5" customHeight="1">
      <c r="A91" s="265"/>
      <c r="B91" s="258"/>
      <c r="C91" s="258"/>
      <c r="D91" s="258"/>
      <c r="E91" s="258"/>
      <c r="F91" s="258"/>
      <c r="G91" s="258"/>
      <c r="H91" s="258"/>
      <c r="I91" s="259"/>
      <c r="J91" s="124"/>
      <c r="N91" s="250">
        <f t="shared" si="50"/>
        <v>23</v>
      </c>
      <c r="O91" s="101" t="str">
        <f t="shared" si="47"/>
        <v>from_grassland_to_settlements</v>
      </c>
      <c r="P91" s="252"/>
      <c r="Q91" s="123">
        <f t="shared" si="49"/>
        <v>0</v>
      </c>
      <c r="R91" s="123">
        <f t="shared" si="52"/>
        <v>0</v>
      </c>
      <c r="S91" s="123">
        <f t="shared" si="52"/>
        <v>0</v>
      </c>
      <c r="T91" s="123">
        <f t="shared" si="52"/>
        <v>0</v>
      </c>
      <c r="U91" s="123">
        <f t="shared" si="52"/>
        <v>0</v>
      </c>
      <c r="V91" s="123">
        <f t="shared" si="52"/>
        <v>0</v>
      </c>
      <c r="W91" s="123">
        <f t="shared" si="52"/>
        <v>0</v>
      </c>
      <c r="X91" s="123">
        <f t="shared" si="52"/>
        <v>0</v>
      </c>
      <c r="Y91" s="123">
        <f t="shared" si="52"/>
        <v>0</v>
      </c>
      <c r="Z91" s="123">
        <f t="shared" si="52"/>
        <v>0</v>
      </c>
      <c r="AA91" s="123">
        <f t="shared" si="52"/>
        <v>0</v>
      </c>
      <c r="AB91" s="123">
        <f t="shared" si="52"/>
        <v>0</v>
      </c>
      <c r="AC91" s="123">
        <f t="shared" si="52"/>
        <v>0</v>
      </c>
      <c r="AD91" s="123">
        <f t="shared" si="52"/>
        <v>0</v>
      </c>
      <c r="AE91" s="123">
        <f t="shared" si="52"/>
        <v>0</v>
      </c>
      <c r="AF91" s="123">
        <f t="shared" si="52"/>
        <v>0</v>
      </c>
      <c r="AG91" s="123">
        <f t="shared" si="52"/>
        <v>0</v>
      </c>
      <c r="AH91" s="123">
        <f t="shared" si="52"/>
        <v>0</v>
      </c>
      <c r="AI91" s="123">
        <f t="shared" si="52"/>
        <v>0</v>
      </c>
      <c r="AJ91" s="123">
        <f t="shared" si="52"/>
        <v>0</v>
      </c>
      <c r="AK91" s="123">
        <f t="shared" si="52"/>
        <v>0</v>
      </c>
      <c r="AL91" s="123">
        <f t="shared" si="52"/>
        <v>0</v>
      </c>
      <c r="AM91" s="123">
        <f t="shared" si="52"/>
        <v>0</v>
      </c>
      <c r="AN91" s="123">
        <f t="shared" si="52"/>
        <v>0</v>
      </c>
      <c r="AO91" s="123">
        <f t="shared" si="52"/>
        <v>0</v>
      </c>
      <c r="AP91" s="123">
        <f t="shared" si="52"/>
        <v>0</v>
      </c>
      <c r="AQ91" s="123">
        <f t="shared" si="52"/>
        <v>0</v>
      </c>
      <c r="AR91" s="123">
        <f t="shared" si="52"/>
        <v>0</v>
      </c>
      <c r="AS91" s="159">
        <f t="shared" si="52"/>
        <v>0</v>
      </c>
    </row>
    <row r="92" spans="1:45" ht="19.5" customHeight="1">
      <c r="A92" s="265"/>
      <c r="B92" s="258"/>
      <c r="C92" s="258"/>
      <c r="D92" s="258"/>
      <c r="E92" s="258"/>
      <c r="F92" s="258"/>
      <c r="G92" s="258"/>
      <c r="H92" s="258"/>
      <c r="I92" s="259"/>
      <c r="J92" s="124"/>
      <c r="N92" s="250">
        <f t="shared" si="50"/>
        <v>24</v>
      </c>
      <c r="O92" s="101" t="str">
        <f t="shared" si="47"/>
        <v>from_wetland_to_settlements</v>
      </c>
      <c r="P92" s="252"/>
      <c r="Q92" s="123">
        <f t="shared" si="49"/>
        <v>0</v>
      </c>
      <c r="R92" s="123">
        <f t="shared" si="52"/>
        <v>0</v>
      </c>
      <c r="S92" s="123">
        <f t="shared" si="52"/>
        <v>0</v>
      </c>
      <c r="T92" s="123">
        <f t="shared" si="52"/>
        <v>0</v>
      </c>
      <c r="U92" s="123">
        <f t="shared" si="52"/>
        <v>0</v>
      </c>
      <c r="V92" s="123">
        <f t="shared" si="52"/>
        <v>0</v>
      </c>
      <c r="W92" s="123">
        <f t="shared" si="52"/>
        <v>0</v>
      </c>
      <c r="X92" s="123">
        <f t="shared" si="52"/>
        <v>0</v>
      </c>
      <c r="Y92" s="123">
        <f t="shared" si="52"/>
        <v>0</v>
      </c>
      <c r="Z92" s="123">
        <f t="shared" si="52"/>
        <v>0</v>
      </c>
      <c r="AA92" s="123">
        <f t="shared" si="52"/>
        <v>0</v>
      </c>
      <c r="AB92" s="123">
        <f t="shared" si="52"/>
        <v>0</v>
      </c>
      <c r="AC92" s="123">
        <f t="shared" si="52"/>
        <v>0</v>
      </c>
      <c r="AD92" s="123">
        <f t="shared" si="52"/>
        <v>0</v>
      </c>
      <c r="AE92" s="123">
        <f t="shared" si="52"/>
        <v>0</v>
      </c>
      <c r="AF92" s="123">
        <f t="shared" si="52"/>
        <v>0</v>
      </c>
      <c r="AG92" s="123">
        <f t="shared" si="52"/>
        <v>0</v>
      </c>
      <c r="AH92" s="123">
        <f t="shared" si="52"/>
        <v>0</v>
      </c>
      <c r="AI92" s="123">
        <f t="shared" si="52"/>
        <v>0</v>
      </c>
      <c r="AJ92" s="123">
        <f t="shared" si="52"/>
        <v>0</v>
      </c>
      <c r="AK92" s="123">
        <f t="shared" si="52"/>
        <v>0</v>
      </c>
      <c r="AL92" s="123">
        <f t="shared" si="52"/>
        <v>0</v>
      </c>
      <c r="AM92" s="123">
        <f t="shared" si="52"/>
        <v>0</v>
      </c>
      <c r="AN92" s="123">
        <f t="shared" si="52"/>
        <v>0</v>
      </c>
      <c r="AO92" s="123">
        <f t="shared" si="52"/>
        <v>0</v>
      </c>
      <c r="AP92" s="123">
        <f t="shared" si="52"/>
        <v>0</v>
      </c>
      <c r="AQ92" s="123">
        <f t="shared" si="52"/>
        <v>0</v>
      </c>
      <c r="AR92" s="123">
        <f t="shared" si="52"/>
        <v>0</v>
      </c>
      <c r="AS92" s="159">
        <f t="shared" si="52"/>
        <v>0</v>
      </c>
    </row>
    <row r="93" spans="1:45" ht="19.5" customHeight="1" thickBot="1">
      <c r="A93" s="265"/>
      <c r="B93" s="258"/>
      <c r="C93" s="258"/>
      <c r="D93" s="258"/>
      <c r="E93" s="258"/>
      <c r="F93" s="258"/>
      <c r="G93" s="258"/>
      <c r="H93" s="258"/>
      <c r="I93" s="259"/>
      <c r="J93" s="124"/>
      <c r="N93" s="250">
        <f t="shared" si="50"/>
        <v>25</v>
      </c>
      <c r="O93" s="301" t="str">
        <f t="shared" si="47"/>
        <v>from_other_land_to_settlements</v>
      </c>
      <c r="P93" s="302"/>
      <c r="Q93" s="160">
        <f t="shared" si="49"/>
        <v>0</v>
      </c>
      <c r="R93" s="160">
        <f t="shared" si="52"/>
        <v>0</v>
      </c>
      <c r="S93" s="160">
        <f t="shared" si="52"/>
        <v>0</v>
      </c>
      <c r="T93" s="160">
        <f t="shared" si="52"/>
        <v>0</v>
      </c>
      <c r="U93" s="160">
        <f t="shared" si="52"/>
        <v>0</v>
      </c>
      <c r="V93" s="160">
        <f t="shared" si="52"/>
        <v>0</v>
      </c>
      <c r="W93" s="160">
        <f t="shared" si="52"/>
        <v>0</v>
      </c>
      <c r="X93" s="160">
        <f t="shared" si="52"/>
        <v>0</v>
      </c>
      <c r="Y93" s="160">
        <f t="shared" si="52"/>
        <v>0</v>
      </c>
      <c r="Z93" s="160">
        <f t="shared" si="52"/>
        <v>0</v>
      </c>
      <c r="AA93" s="160">
        <f t="shared" si="52"/>
        <v>0</v>
      </c>
      <c r="AB93" s="160">
        <f t="shared" si="52"/>
        <v>0</v>
      </c>
      <c r="AC93" s="160">
        <f t="shared" si="52"/>
        <v>0</v>
      </c>
      <c r="AD93" s="160">
        <f t="shared" si="52"/>
        <v>0</v>
      </c>
      <c r="AE93" s="160">
        <f t="shared" si="52"/>
        <v>0</v>
      </c>
      <c r="AF93" s="160">
        <f t="shared" si="52"/>
        <v>0</v>
      </c>
      <c r="AG93" s="160">
        <f t="shared" si="52"/>
        <v>0</v>
      </c>
      <c r="AH93" s="160">
        <f t="shared" si="52"/>
        <v>0</v>
      </c>
      <c r="AI93" s="160">
        <f t="shared" si="52"/>
        <v>0</v>
      </c>
      <c r="AJ93" s="160">
        <f t="shared" si="52"/>
        <v>0</v>
      </c>
      <c r="AK93" s="160">
        <f t="shared" si="52"/>
        <v>0</v>
      </c>
      <c r="AL93" s="160">
        <f t="shared" si="52"/>
        <v>0</v>
      </c>
      <c r="AM93" s="160">
        <f t="shared" si="52"/>
        <v>0</v>
      </c>
      <c r="AN93" s="160">
        <f t="shared" si="52"/>
        <v>0</v>
      </c>
      <c r="AO93" s="160">
        <f t="shared" si="52"/>
        <v>0</v>
      </c>
      <c r="AP93" s="160">
        <f t="shared" si="52"/>
        <v>0</v>
      </c>
      <c r="AQ93" s="160">
        <f t="shared" si="52"/>
        <v>0</v>
      </c>
      <c r="AR93" s="160">
        <f t="shared" si="52"/>
        <v>0</v>
      </c>
      <c r="AS93" s="161">
        <f t="shared" si="52"/>
        <v>0</v>
      </c>
    </row>
    <row r="94" spans="1:45" ht="19.5" customHeight="1">
      <c r="A94" s="265"/>
      <c r="B94" s="258"/>
      <c r="C94" s="258"/>
      <c r="D94" s="258"/>
      <c r="E94" s="258"/>
      <c r="F94" s="258"/>
      <c r="G94" s="258"/>
      <c r="H94" s="258"/>
      <c r="I94" s="259"/>
      <c r="J94" s="124"/>
      <c r="N94" s="250">
        <f t="shared" si="50"/>
        <v>26</v>
      </c>
      <c r="O94" s="299" t="str">
        <f t="shared" si="47"/>
        <v>from_forestland_to_other_land</v>
      </c>
      <c r="P94" s="300"/>
      <c r="Q94" s="157">
        <f t="shared" si="49"/>
        <v>0</v>
      </c>
      <c r="R94" s="157">
        <f t="shared" si="52"/>
        <v>0</v>
      </c>
      <c r="S94" s="157">
        <f t="shared" si="52"/>
        <v>0</v>
      </c>
      <c r="T94" s="157">
        <f t="shared" si="52"/>
        <v>0</v>
      </c>
      <c r="U94" s="157">
        <f t="shared" si="52"/>
        <v>0</v>
      </c>
      <c r="V94" s="157">
        <f t="shared" si="52"/>
        <v>0</v>
      </c>
      <c r="W94" s="157">
        <f t="shared" si="52"/>
        <v>0</v>
      </c>
      <c r="X94" s="157">
        <f t="shared" si="52"/>
        <v>0</v>
      </c>
      <c r="Y94" s="157">
        <f t="shared" si="52"/>
        <v>43895.255555555552</v>
      </c>
      <c r="Z94" s="157">
        <f t="shared" si="52"/>
        <v>806.66666666666686</v>
      </c>
      <c r="AA94" s="157">
        <f t="shared" si="52"/>
        <v>806.66666666666686</v>
      </c>
      <c r="AB94" s="157">
        <f t="shared" si="52"/>
        <v>806.66666666666686</v>
      </c>
      <c r="AC94" s="157">
        <f t="shared" si="52"/>
        <v>806.66666666666686</v>
      </c>
      <c r="AD94" s="157">
        <f t="shared" si="52"/>
        <v>806.66666666666686</v>
      </c>
      <c r="AE94" s="157">
        <f t="shared" si="52"/>
        <v>806.66666666666686</v>
      </c>
      <c r="AF94" s="157">
        <f t="shared" si="52"/>
        <v>806.66666666666686</v>
      </c>
      <c r="AG94" s="157">
        <f t="shared" si="52"/>
        <v>806.66666666666686</v>
      </c>
      <c r="AH94" s="157">
        <f t="shared" si="52"/>
        <v>806.66666666666686</v>
      </c>
      <c r="AI94" s="157">
        <f t="shared" si="52"/>
        <v>806.66666666666686</v>
      </c>
      <c r="AJ94" s="157">
        <f t="shared" si="52"/>
        <v>806.66666666666686</v>
      </c>
      <c r="AK94" s="157">
        <f t="shared" si="52"/>
        <v>806.66666666666686</v>
      </c>
      <c r="AL94" s="157">
        <f t="shared" si="52"/>
        <v>806.66666666666686</v>
      </c>
      <c r="AM94" s="157">
        <f t="shared" si="52"/>
        <v>806.66666666666686</v>
      </c>
      <c r="AN94" s="157">
        <f t="shared" si="52"/>
        <v>806.66666666666686</v>
      </c>
      <c r="AO94" s="157">
        <f t="shared" si="52"/>
        <v>806.66666666666686</v>
      </c>
      <c r="AP94" s="157">
        <f t="shared" si="52"/>
        <v>806.66666666666686</v>
      </c>
      <c r="AQ94" s="157">
        <f t="shared" si="52"/>
        <v>806.66666666666686</v>
      </c>
      <c r="AR94" s="157">
        <f t="shared" si="52"/>
        <v>806.66666666666686</v>
      </c>
      <c r="AS94" s="158">
        <f t="shared" si="52"/>
        <v>0</v>
      </c>
    </row>
    <row r="95" spans="1:45" ht="19.5" customHeight="1">
      <c r="A95" s="265"/>
      <c r="B95" s="258"/>
      <c r="C95" s="258"/>
      <c r="D95" s="258"/>
      <c r="E95" s="258"/>
      <c r="F95" s="258"/>
      <c r="G95" s="258"/>
      <c r="H95" s="258"/>
      <c r="I95" s="259"/>
      <c r="J95" s="124"/>
      <c r="N95" s="250">
        <f t="shared" si="50"/>
        <v>27</v>
      </c>
      <c r="O95" s="101" t="str">
        <f t="shared" si="47"/>
        <v>from_cropland_to_other_land</v>
      </c>
      <c r="P95" s="252"/>
      <c r="Q95" s="123">
        <f t="shared" si="49"/>
        <v>0</v>
      </c>
      <c r="R95" s="123">
        <f t="shared" si="52"/>
        <v>0</v>
      </c>
      <c r="S95" s="123">
        <f t="shared" si="52"/>
        <v>0</v>
      </c>
      <c r="T95" s="123">
        <f t="shared" si="52"/>
        <v>0</v>
      </c>
      <c r="U95" s="123">
        <f t="shared" si="52"/>
        <v>0</v>
      </c>
      <c r="V95" s="123">
        <f t="shared" si="52"/>
        <v>0</v>
      </c>
      <c r="W95" s="123">
        <f t="shared" si="52"/>
        <v>0</v>
      </c>
      <c r="X95" s="123">
        <f t="shared" si="52"/>
        <v>0</v>
      </c>
      <c r="Y95" s="123">
        <f t="shared" si="52"/>
        <v>0</v>
      </c>
      <c r="Z95" s="123">
        <f t="shared" si="52"/>
        <v>0</v>
      </c>
      <c r="AA95" s="123">
        <f t="shared" si="52"/>
        <v>0</v>
      </c>
      <c r="AB95" s="123">
        <f t="shared" si="52"/>
        <v>0</v>
      </c>
      <c r="AC95" s="123">
        <f t="shared" si="52"/>
        <v>0</v>
      </c>
      <c r="AD95" s="123">
        <f t="shared" si="52"/>
        <v>0</v>
      </c>
      <c r="AE95" s="123">
        <f t="shared" si="52"/>
        <v>0</v>
      </c>
      <c r="AF95" s="123">
        <f t="shared" si="52"/>
        <v>0</v>
      </c>
      <c r="AG95" s="123">
        <f t="shared" si="52"/>
        <v>0</v>
      </c>
      <c r="AH95" s="123">
        <f t="shared" si="52"/>
        <v>0</v>
      </c>
      <c r="AI95" s="123">
        <f t="shared" si="52"/>
        <v>0</v>
      </c>
      <c r="AJ95" s="123">
        <f t="shared" si="52"/>
        <v>0</v>
      </c>
      <c r="AK95" s="123">
        <f t="shared" si="52"/>
        <v>0</v>
      </c>
      <c r="AL95" s="123">
        <f t="shared" si="52"/>
        <v>0</v>
      </c>
      <c r="AM95" s="123">
        <f t="shared" si="52"/>
        <v>0</v>
      </c>
      <c r="AN95" s="123">
        <f t="shared" si="52"/>
        <v>0</v>
      </c>
      <c r="AO95" s="123">
        <f t="shared" si="52"/>
        <v>0</v>
      </c>
      <c r="AP95" s="123">
        <f t="shared" si="52"/>
        <v>0</v>
      </c>
      <c r="AQ95" s="123">
        <f t="shared" si="52"/>
        <v>0</v>
      </c>
      <c r="AR95" s="123">
        <f t="shared" si="52"/>
        <v>0</v>
      </c>
      <c r="AS95" s="159">
        <f t="shared" si="52"/>
        <v>0</v>
      </c>
    </row>
    <row r="96" spans="1:45" ht="20.100000000000001" customHeight="1">
      <c r="A96" s="265"/>
      <c r="B96" s="258"/>
      <c r="C96" s="258"/>
      <c r="D96" s="258"/>
      <c r="E96" s="258"/>
      <c r="F96" s="258"/>
      <c r="G96" s="258"/>
      <c r="H96" s="258"/>
      <c r="I96" s="259"/>
      <c r="N96" s="250">
        <f t="shared" si="50"/>
        <v>28</v>
      </c>
      <c r="O96" s="101" t="str">
        <f t="shared" si="47"/>
        <v>from_grassland_to_other_land</v>
      </c>
      <c r="P96" s="252"/>
      <c r="Q96" s="123">
        <f t="shared" si="49"/>
        <v>0</v>
      </c>
      <c r="R96" s="123">
        <f t="shared" si="52"/>
        <v>0</v>
      </c>
      <c r="S96" s="123">
        <f t="shared" si="52"/>
        <v>0</v>
      </c>
      <c r="T96" s="123">
        <f t="shared" si="52"/>
        <v>0</v>
      </c>
      <c r="U96" s="123">
        <f t="shared" si="52"/>
        <v>0</v>
      </c>
      <c r="V96" s="123">
        <f t="shared" si="52"/>
        <v>0</v>
      </c>
      <c r="W96" s="123">
        <f t="shared" si="52"/>
        <v>0</v>
      </c>
      <c r="X96" s="123">
        <f t="shared" si="52"/>
        <v>0</v>
      </c>
      <c r="Y96" s="123">
        <f t="shared" si="52"/>
        <v>0</v>
      </c>
      <c r="Z96" s="123">
        <f t="shared" si="52"/>
        <v>0</v>
      </c>
      <c r="AA96" s="123">
        <f t="shared" si="52"/>
        <v>0</v>
      </c>
      <c r="AB96" s="123">
        <f t="shared" si="52"/>
        <v>0</v>
      </c>
      <c r="AC96" s="123">
        <f t="shared" si="52"/>
        <v>0</v>
      </c>
      <c r="AD96" s="123">
        <f t="shared" si="52"/>
        <v>0</v>
      </c>
      <c r="AE96" s="123">
        <f t="shared" si="52"/>
        <v>0</v>
      </c>
      <c r="AF96" s="123">
        <f t="shared" si="52"/>
        <v>0</v>
      </c>
      <c r="AG96" s="123">
        <f t="shared" si="52"/>
        <v>0</v>
      </c>
      <c r="AH96" s="123">
        <f t="shared" si="52"/>
        <v>0</v>
      </c>
      <c r="AI96" s="123">
        <f t="shared" si="52"/>
        <v>0</v>
      </c>
      <c r="AJ96" s="123">
        <f t="shared" si="52"/>
        <v>0</v>
      </c>
      <c r="AK96" s="123">
        <f t="shared" si="52"/>
        <v>0</v>
      </c>
      <c r="AL96" s="123">
        <f t="shared" si="52"/>
        <v>0</v>
      </c>
      <c r="AM96" s="123">
        <f t="shared" si="52"/>
        <v>0</v>
      </c>
      <c r="AN96" s="123">
        <f t="shared" si="52"/>
        <v>0</v>
      </c>
      <c r="AO96" s="123">
        <f t="shared" si="52"/>
        <v>0</v>
      </c>
      <c r="AP96" s="123">
        <f t="shared" ref="R96:AS98" si="53">IF($P62&gt;AP$68,0,INDEX($Q$35:$AT$64,$N96,(AP$68-$P62+1)))</f>
        <v>0</v>
      </c>
      <c r="AQ96" s="123">
        <f t="shared" si="53"/>
        <v>0</v>
      </c>
      <c r="AR96" s="123">
        <f t="shared" si="53"/>
        <v>0</v>
      </c>
      <c r="AS96" s="159">
        <f t="shared" si="53"/>
        <v>0</v>
      </c>
    </row>
    <row r="97" spans="1:45" ht="20.100000000000001" customHeight="1" thickBot="1">
      <c r="A97" s="277"/>
      <c r="B97" s="278"/>
      <c r="C97" s="278"/>
      <c r="D97" s="278"/>
      <c r="E97" s="278"/>
      <c r="F97" s="278"/>
      <c r="G97" s="278"/>
      <c r="H97" s="278"/>
      <c r="I97" s="279"/>
      <c r="N97" s="250">
        <f t="shared" si="50"/>
        <v>29</v>
      </c>
      <c r="O97" s="101" t="str">
        <f t="shared" si="47"/>
        <v>from_wetland_to_other_land</v>
      </c>
      <c r="P97" s="252"/>
      <c r="Q97" s="123">
        <f t="shared" si="49"/>
        <v>0</v>
      </c>
      <c r="R97" s="123">
        <f t="shared" si="53"/>
        <v>0</v>
      </c>
      <c r="S97" s="123">
        <f t="shared" si="53"/>
        <v>0</v>
      </c>
      <c r="T97" s="123">
        <f t="shared" si="53"/>
        <v>0</v>
      </c>
      <c r="U97" s="123">
        <f t="shared" si="53"/>
        <v>0</v>
      </c>
      <c r="V97" s="123">
        <f t="shared" si="53"/>
        <v>0</v>
      </c>
      <c r="W97" s="123">
        <f t="shared" si="53"/>
        <v>0</v>
      </c>
      <c r="X97" s="123">
        <f t="shared" si="53"/>
        <v>0</v>
      </c>
      <c r="Y97" s="123">
        <f t="shared" si="53"/>
        <v>0</v>
      </c>
      <c r="Z97" s="123">
        <f t="shared" si="53"/>
        <v>0</v>
      </c>
      <c r="AA97" s="123">
        <f t="shared" si="53"/>
        <v>0</v>
      </c>
      <c r="AB97" s="123">
        <f t="shared" si="53"/>
        <v>0</v>
      </c>
      <c r="AC97" s="123">
        <f t="shared" si="53"/>
        <v>0</v>
      </c>
      <c r="AD97" s="123">
        <f t="shared" si="53"/>
        <v>0</v>
      </c>
      <c r="AE97" s="123">
        <f t="shared" si="53"/>
        <v>0</v>
      </c>
      <c r="AF97" s="123">
        <f t="shared" si="53"/>
        <v>0</v>
      </c>
      <c r="AG97" s="123">
        <f t="shared" si="53"/>
        <v>0</v>
      </c>
      <c r="AH97" s="123">
        <f t="shared" si="53"/>
        <v>0</v>
      </c>
      <c r="AI97" s="123">
        <f t="shared" si="53"/>
        <v>0</v>
      </c>
      <c r="AJ97" s="123">
        <f t="shared" si="53"/>
        <v>0</v>
      </c>
      <c r="AK97" s="123">
        <f t="shared" si="53"/>
        <v>0</v>
      </c>
      <c r="AL97" s="123">
        <f t="shared" si="53"/>
        <v>0</v>
      </c>
      <c r="AM97" s="123">
        <f t="shared" si="53"/>
        <v>0</v>
      </c>
      <c r="AN97" s="123">
        <f t="shared" si="53"/>
        <v>0</v>
      </c>
      <c r="AO97" s="123">
        <f t="shared" si="53"/>
        <v>0</v>
      </c>
      <c r="AP97" s="123">
        <f t="shared" si="53"/>
        <v>0</v>
      </c>
      <c r="AQ97" s="123">
        <f t="shared" si="53"/>
        <v>0</v>
      </c>
      <c r="AR97" s="123">
        <f t="shared" si="53"/>
        <v>0</v>
      </c>
      <c r="AS97" s="159">
        <f t="shared" si="53"/>
        <v>0</v>
      </c>
    </row>
    <row r="98" spans="1:45" ht="20.100000000000001" customHeight="1" thickBot="1">
      <c r="N98" s="250">
        <f t="shared" si="50"/>
        <v>30</v>
      </c>
      <c r="O98" s="301" t="str">
        <f>O64</f>
        <v>from_settlements_to_other_land</v>
      </c>
      <c r="P98" s="302"/>
      <c r="Q98" s="160">
        <f t="shared" si="49"/>
        <v>0</v>
      </c>
      <c r="R98" s="160">
        <f t="shared" si="53"/>
        <v>0</v>
      </c>
      <c r="S98" s="160">
        <f t="shared" si="53"/>
        <v>0</v>
      </c>
      <c r="T98" s="160">
        <f t="shared" si="53"/>
        <v>0</v>
      </c>
      <c r="U98" s="160">
        <f t="shared" si="53"/>
        <v>0</v>
      </c>
      <c r="V98" s="160">
        <f t="shared" si="53"/>
        <v>0</v>
      </c>
      <c r="W98" s="160">
        <f t="shared" si="53"/>
        <v>0</v>
      </c>
      <c r="X98" s="160">
        <f t="shared" si="53"/>
        <v>0</v>
      </c>
      <c r="Y98" s="160">
        <f t="shared" si="53"/>
        <v>0</v>
      </c>
      <c r="Z98" s="160">
        <f t="shared" si="53"/>
        <v>0</v>
      </c>
      <c r="AA98" s="160">
        <f t="shared" si="53"/>
        <v>0</v>
      </c>
      <c r="AB98" s="160">
        <f t="shared" si="53"/>
        <v>0</v>
      </c>
      <c r="AC98" s="160">
        <f t="shared" si="53"/>
        <v>0</v>
      </c>
      <c r="AD98" s="160">
        <f t="shared" si="53"/>
        <v>0</v>
      </c>
      <c r="AE98" s="160">
        <f t="shared" si="53"/>
        <v>0</v>
      </c>
      <c r="AF98" s="160">
        <f t="shared" si="53"/>
        <v>0</v>
      </c>
      <c r="AG98" s="160">
        <f t="shared" si="53"/>
        <v>0</v>
      </c>
      <c r="AH98" s="160">
        <f t="shared" si="53"/>
        <v>0</v>
      </c>
      <c r="AI98" s="160">
        <f t="shared" si="53"/>
        <v>0</v>
      </c>
      <c r="AJ98" s="160">
        <f t="shared" si="53"/>
        <v>0</v>
      </c>
      <c r="AK98" s="160">
        <f t="shared" si="53"/>
        <v>0</v>
      </c>
      <c r="AL98" s="160">
        <f t="shared" si="53"/>
        <v>0</v>
      </c>
      <c r="AM98" s="160">
        <f t="shared" si="53"/>
        <v>0</v>
      </c>
      <c r="AN98" s="160">
        <f t="shared" si="53"/>
        <v>0</v>
      </c>
      <c r="AO98" s="160">
        <f t="shared" si="53"/>
        <v>0</v>
      </c>
      <c r="AP98" s="160">
        <f t="shared" si="53"/>
        <v>0</v>
      </c>
      <c r="AQ98" s="160">
        <f t="shared" si="53"/>
        <v>0</v>
      </c>
      <c r="AR98" s="160">
        <f t="shared" si="53"/>
        <v>0</v>
      </c>
      <c r="AS98" s="161">
        <f t="shared" si="53"/>
        <v>0</v>
      </c>
    </row>
    <row r="99" spans="1:45" ht="20.100000000000001" customHeight="1">
      <c r="O99" s="391" t="s">
        <v>211</v>
      </c>
      <c r="P99" s="391"/>
      <c r="Q99" s="608">
        <f>SUM(Q69:Q98)</f>
        <v>0</v>
      </c>
      <c r="R99" s="608">
        <f t="shared" ref="R99:AS99" si="54">SUM(R69:R98)</f>
        <v>0</v>
      </c>
      <c r="S99" s="608">
        <f t="shared" si="54"/>
        <v>0</v>
      </c>
      <c r="T99" s="608">
        <f t="shared" si="54"/>
        <v>0</v>
      </c>
      <c r="U99" s="608">
        <f t="shared" si="54"/>
        <v>0</v>
      </c>
      <c r="V99" s="608">
        <f t="shared" si="54"/>
        <v>0</v>
      </c>
      <c r="W99" s="608">
        <f t="shared" si="54"/>
        <v>0</v>
      </c>
      <c r="X99" s="608">
        <f t="shared" si="54"/>
        <v>0</v>
      </c>
      <c r="Y99" s="608">
        <f t="shared" si="54"/>
        <v>-43287.720140729049</v>
      </c>
      <c r="Z99" s="608">
        <f t="shared" si="54"/>
        <v>-86376.309029617929</v>
      </c>
      <c r="AA99" s="608">
        <f t="shared" si="54"/>
        <v>-86376.309029617929</v>
      </c>
      <c r="AB99" s="608">
        <f t="shared" si="54"/>
        <v>-86376.309029617929</v>
      </c>
      <c r="AC99" s="608">
        <f t="shared" si="54"/>
        <v>-86376.309029617929</v>
      </c>
      <c r="AD99" s="608">
        <f t="shared" si="54"/>
        <v>-86376.309029617929</v>
      </c>
      <c r="AE99" s="608">
        <f t="shared" si="54"/>
        <v>-86376.309029617929</v>
      </c>
      <c r="AF99" s="608">
        <f t="shared" si="54"/>
        <v>-86376.309029617929</v>
      </c>
      <c r="AG99" s="608">
        <f t="shared" si="54"/>
        <v>-42320.177003597979</v>
      </c>
      <c r="AH99" s="608">
        <f t="shared" si="54"/>
        <v>-85408.309029617929</v>
      </c>
      <c r="AI99" s="608">
        <f t="shared" si="54"/>
        <v>-85408.309029617929</v>
      </c>
      <c r="AJ99" s="608">
        <f t="shared" si="54"/>
        <v>-85408.309029617929</v>
      </c>
      <c r="AK99" s="608">
        <f t="shared" si="54"/>
        <v>-85408.309029617929</v>
      </c>
      <c r="AL99" s="608">
        <f t="shared" si="54"/>
        <v>-85408.309029617929</v>
      </c>
      <c r="AM99" s="608">
        <f t="shared" si="54"/>
        <v>-85408.309029617929</v>
      </c>
      <c r="AN99" s="608">
        <f t="shared" si="54"/>
        <v>-85408.309029617929</v>
      </c>
      <c r="AO99" s="608">
        <f t="shared" si="54"/>
        <v>-85408.309029617929</v>
      </c>
      <c r="AP99" s="608">
        <f t="shared" si="54"/>
        <v>-85408.309029617929</v>
      </c>
      <c r="AQ99" s="608">
        <f t="shared" si="54"/>
        <v>-85408.309029617929</v>
      </c>
      <c r="AR99" s="608">
        <f t="shared" si="54"/>
        <v>-85408.309029617929</v>
      </c>
      <c r="AS99" s="608">
        <f t="shared" si="54"/>
        <v>-34339.884185622774</v>
      </c>
    </row>
    <row r="100" spans="1:45" ht="20.100000000000001" customHeight="1">
      <c r="T100" s="305"/>
    </row>
    <row r="101" spans="1:45" ht="20.100000000000001" customHeight="1" thickBot="1">
      <c r="O101" s="607"/>
      <c r="P101" s="607"/>
      <c r="Q101" s="135">
        <f>Q68</f>
        <v>2022</v>
      </c>
      <c r="R101" s="135">
        <f>Q101+1</f>
        <v>2023</v>
      </c>
      <c r="S101" s="135">
        <f t="shared" ref="S101:AS101" si="55">R101+1</f>
        <v>2024</v>
      </c>
      <c r="T101" s="135">
        <f t="shared" si="55"/>
        <v>2025</v>
      </c>
      <c r="U101" s="135">
        <f t="shared" si="55"/>
        <v>2026</v>
      </c>
      <c r="V101" s="135">
        <f t="shared" si="55"/>
        <v>2027</v>
      </c>
      <c r="W101" s="135">
        <f t="shared" si="55"/>
        <v>2028</v>
      </c>
      <c r="X101" s="135">
        <f t="shared" si="55"/>
        <v>2029</v>
      </c>
      <c r="Y101" s="135">
        <f t="shared" si="55"/>
        <v>2030</v>
      </c>
      <c r="Z101" s="135">
        <f t="shared" si="55"/>
        <v>2031</v>
      </c>
      <c r="AA101" s="135">
        <f t="shared" si="55"/>
        <v>2032</v>
      </c>
      <c r="AB101" s="135">
        <f t="shared" si="55"/>
        <v>2033</v>
      </c>
      <c r="AC101" s="135">
        <f t="shared" si="55"/>
        <v>2034</v>
      </c>
      <c r="AD101" s="135">
        <f t="shared" si="55"/>
        <v>2035</v>
      </c>
      <c r="AE101" s="135">
        <f t="shared" si="55"/>
        <v>2036</v>
      </c>
      <c r="AF101" s="135">
        <f t="shared" si="55"/>
        <v>2037</v>
      </c>
      <c r="AG101" s="135">
        <f t="shared" si="55"/>
        <v>2038</v>
      </c>
      <c r="AH101" s="135">
        <f t="shared" si="55"/>
        <v>2039</v>
      </c>
      <c r="AI101" s="135">
        <f t="shared" si="55"/>
        <v>2040</v>
      </c>
      <c r="AJ101" s="135">
        <f t="shared" si="55"/>
        <v>2041</v>
      </c>
      <c r="AK101" s="135">
        <f t="shared" si="55"/>
        <v>2042</v>
      </c>
      <c r="AL101" s="135">
        <f t="shared" si="55"/>
        <v>2043</v>
      </c>
      <c r="AM101" s="135">
        <f t="shared" si="55"/>
        <v>2044</v>
      </c>
      <c r="AN101" s="135">
        <f t="shared" si="55"/>
        <v>2045</v>
      </c>
      <c r="AO101" s="135">
        <f t="shared" si="55"/>
        <v>2046</v>
      </c>
      <c r="AP101" s="135">
        <f t="shared" si="55"/>
        <v>2047</v>
      </c>
      <c r="AQ101" s="135">
        <f t="shared" si="55"/>
        <v>2048</v>
      </c>
      <c r="AR101" s="135">
        <f t="shared" si="55"/>
        <v>2049</v>
      </c>
      <c r="AS101" s="135">
        <f t="shared" si="55"/>
        <v>2050</v>
      </c>
    </row>
    <row r="102" spans="1:45" ht="20.100000000000001" customHeight="1">
      <c r="O102" s="299" t="s">
        <v>2255</v>
      </c>
      <c r="P102" s="300"/>
      <c r="Q102" s="609">
        <f>IF(Q69&gt;0,Q69,0)+IF(Q70&gt;0,Q70,0)+IF(Q71&gt;0,Q71,0)+IF(Q72&gt;0,Q72,0)+IF(Q73&gt;0,Q73,0)+IF(Q74&gt;0,Q74,0)+IF(Q75&gt;0,Q75,0)+IF(Q76&gt;0,Q76,0)+IF(Q77&gt;0,Q77,0)+IF(Q78&gt;0,Q78,0)+IF(Q79&gt;0,Q79,0)+IF(Q80&gt;0,Q80,0)+IF(Q81&gt;0,Q81,0)+IF(Q82&gt;0,Q82,0)+IF(Q83&gt;0,Q83,0)+IF(Q84&gt;0,Q84,0)+IF(Q85&gt;0,Q85,0)+IF(Q86&gt;0,Q86,0)+IF(Q87&gt;0,Q87,0)+IF(Q88&gt;0,Q88,0)+IF(Q89&gt;0,Q89,0)+IF(Q90&gt;0,Q90,0)+IF(Q91&gt;0,Q91,0)+IF(Q92&gt;0,Q92,0)+IF(Q93&gt;0,Q93,0)+IF(Q94&gt;0,Q94,0)+IF(Q95&gt;0,Q95,0)+IF(Q96&gt;0,Q96,0)+IF(Q97&gt;0,Q97,0)+IF(Q98&gt;0,Q98,0)</f>
        <v>0</v>
      </c>
      <c r="R102" s="609">
        <f>IF(R69&gt;0,R69,0)+IF(R70&gt;0,R70,0)+IF(R71&gt;0,R71,0)+IF(R72&gt;0,R72,0)+IF(R73&gt;0,R73,0)+IF(R74&gt;0,R74,0)+IF(R75&gt;0,R75,0)+IF(R76&gt;0,R76,0)+IF(R77&gt;0,R77,0)+IF(R78&gt;0,R78,0)+IF(R79&gt;0,R79,0)+IF(R80&gt;0,R80,0)+IF(R81&gt;0,R81,0)+IF(R82&gt;0,R82,0)+IF(R83&gt;0,R83,0)+IF(R84&gt;0,R84,0)+IF(R85&gt;0,R85,0)+IF(R86&gt;0,R86,0)+IF(R87&gt;0,R87,0)+IF(R88&gt;0,R88,0)+IF(R89&gt;0,R89,0)+IF(R90&gt;0,R90,0)+IF(R91&gt;0,R91,0)+IF(R92&gt;0,R92,0)+IF(R93&gt;0,R93,0)+IF(R94&gt;0,R94,0)+IF(R95&gt;0,R95,0)+IF(R96&gt;0,R96,0)+IF(R97&gt;0,R97,0)+IF(R98&gt;0,R98,0)</f>
        <v>0</v>
      </c>
      <c r="S102" s="609">
        <f t="shared" ref="S102:AS102" si="56">IF(S69&gt;0,S69,0)+IF(S70&gt;0,S70,0)+IF(S71&gt;0,S71,0)+IF(S72&gt;0,S72,0)+IF(S73&gt;0,S73,0)+IF(S74&gt;0,S74,0)+IF(S75&gt;0,S75,0)+IF(S76&gt;0,S76,0)+IF(S77&gt;0,S77,0)+IF(S78&gt;0,S78,0)+IF(S79&gt;0,S79,0)+IF(S80&gt;0,S80,0)+IF(S81&gt;0,S81,0)+IF(S82&gt;0,S82,0)+IF(S83&gt;0,S83,0)+IF(S84&gt;0,S84,0)+IF(S85&gt;0,S85,0)+IF(S86&gt;0,S86,0)+IF(S87&gt;0,S87,0)+IF(S88&gt;0,S88,0)+IF(S89&gt;0,S89,0)+IF(S90&gt;0,S90,0)+IF(S91&gt;0,S91,0)+IF(S92&gt;0,S92,0)+IF(S93&gt;0,S93,0)+IF(S94&gt;0,S94,0)+IF(S95&gt;0,S95,0)+IF(S96&gt;0,S96,0)+IF(S97&gt;0,S97,0)+IF(S98&gt;0,S98,0)</f>
        <v>0</v>
      </c>
      <c r="T102" s="609">
        <f t="shared" si="56"/>
        <v>0</v>
      </c>
      <c r="U102" s="609">
        <f t="shared" si="56"/>
        <v>0</v>
      </c>
      <c r="V102" s="609">
        <f t="shared" si="56"/>
        <v>0</v>
      </c>
      <c r="W102" s="609">
        <f t="shared" si="56"/>
        <v>0</v>
      </c>
      <c r="X102" s="609">
        <f t="shared" si="56"/>
        <v>0</v>
      </c>
      <c r="Y102" s="609">
        <f t="shared" si="56"/>
        <v>43895.255555555552</v>
      </c>
      <c r="Z102" s="609">
        <f t="shared" si="56"/>
        <v>806.66666666666686</v>
      </c>
      <c r="AA102" s="609">
        <f t="shared" si="56"/>
        <v>806.66666666666686</v>
      </c>
      <c r="AB102" s="609">
        <f t="shared" si="56"/>
        <v>806.66666666666686</v>
      </c>
      <c r="AC102" s="609">
        <f t="shared" si="56"/>
        <v>806.66666666666686</v>
      </c>
      <c r="AD102" s="609">
        <f t="shared" si="56"/>
        <v>806.66666666666686</v>
      </c>
      <c r="AE102" s="609">
        <f t="shared" si="56"/>
        <v>806.66666666666686</v>
      </c>
      <c r="AF102" s="609">
        <f t="shared" si="56"/>
        <v>806.66666666666686</v>
      </c>
      <c r="AG102" s="609">
        <f t="shared" si="56"/>
        <v>44862.798692686622</v>
      </c>
      <c r="AH102" s="609">
        <f t="shared" si="56"/>
        <v>1774.666666666667</v>
      </c>
      <c r="AI102" s="609">
        <f t="shared" si="56"/>
        <v>1774.666666666667</v>
      </c>
      <c r="AJ102" s="609">
        <f t="shared" si="56"/>
        <v>1774.666666666667</v>
      </c>
      <c r="AK102" s="609">
        <f t="shared" si="56"/>
        <v>1774.666666666667</v>
      </c>
      <c r="AL102" s="609">
        <f t="shared" si="56"/>
        <v>1774.666666666667</v>
      </c>
      <c r="AM102" s="609">
        <f t="shared" si="56"/>
        <v>1774.666666666667</v>
      </c>
      <c r="AN102" s="609">
        <f t="shared" si="56"/>
        <v>1774.666666666667</v>
      </c>
      <c r="AO102" s="609">
        <f t="shared" si="56"/>
        <v>1774.666666666667</v>
      </c>
      <c r="AP102" s="609">
        <f t="shared" si="56"/>
        <v>1774.666666666667</v>
      </c>
      <c r="AQ102" s="609">
        <f t="shared" si="56"/>
        <v>1774.666666666667</v>
      </c>
      <c r="AR102" s="609">
        <f t="shared" si="56"/>
        <v>1774.666666666667</v>
      </c>
      <c r="AS102" s="610">
        <f t="shared" si="56"/>
        <v>968</v>
      </c>
    </row>
    <row r="103" spans="1:45" ht="20.100000000000001" customHeight="1" thickBot="1">
      <c r="O103" s="301" t="s">
        <v>2256</v>
      </c>
      <c r="P103" s="302"/>
      <c r="Q103" s="402">
        <f>IF(Q69&lt;0,Q69,0)+IF(Q70&lt;0,Q70,0)+IF(Q71&lt;0,Q71,0)+IF(Q72&lt;0,Q72,0)+IF(Q73&lt;0,Q73,0)+IF(Q74&lt;0,Q74,0)+IF(Q75&lt;0,Q75,0)+IF(Q76&lt;0,Q76,0)+IF(Q77&lt;0,Q77,0)+IF(Q78&lt;0,Q78,0)+IF(Q79&lt;0,Q79,0)+IF(Q80&lt;0,Q80,0)+IF(Q81&lt;0,Q81,0)+IF(Q82&lt;0,Q82,0)+IF(Q83&lt;0,Q83,0)+IF(Q84&lt;0,Q84,0)+IF(Q85&lt;0,Q85,0)+IF(Q86&lt;0,Q86,0)+IF(Q87&lt;0,Q87,0)+IF(Q88&lt;0,Q88,0)+IF(Q89&lt;0,Q89,0)+IF(Q90&lt;0,Q90,0)+IF(Q91&lt;0,Q91,0)+IF(Q92&lt;0,Q92,0)+IF(Q93&lt;0,Q93,0)+IF(Q94&lt;0,Q94,0)+IF(Q95&lt;0,Q95,0)+IF(Q96&lt;0,Q96,0)+IF(Q97&lt;0,Q97,0)+IF(Q98&lt;0,Q98,0)</f>
        <v>0</v>
      </c>
      <c r="R103" s="402">
        <f>IF(R69&lt;0,R69,0)+IF(R70&lt;0,R70,0)+IF(R71&lt;0,R71,0)+IF(R72&lt;0,R72,0)+IF(R73&lt;0,R73,0)+IF(R74&lt;0,R74,0)+IF(R75&lt;0,R75,0)+IF(R76&lt;0,R76,0)+IF(R77&lt;0,R77,0)+IF(R78&lt;0,R78,0)+IF(R79&lt;0,R79,0)+IF(R80&lt;0,R80,0)+IF(R81&lt;0,R81,0)+IF(R82&lt;0,R82,0)+IF(R83&lt;0,R83,0)+IF(R84&lt;0,R84,0)+IF(R85&lt;0,R85,0)+IF(R86&lt;0,R86,0)+IF(R87&lt;0,R87,0)+IF(R88&lt;0,R88,0)+IF(R89&lt;0,R89,0)+IF(R90&lt;0,R90,0)+IF(R91&lt;0,R91,0)+IF(R92&lt;0,R92,0)+IF(R93&lt;0,R93,0)+IF(R94&lt;0,R94,0)+IF(R95&lt;0,R95,0)+IF(R96&lt;0,R96,0)+IF(R97&lt;0,R97,0)+IF(R98&lt;0,R98,0)</f>
        <v>0</v>
      </c>
      <c r="S103" s="402">
        <f t="shared" ref="S103:AS103" si="57">IF(S69&lt;0,S69,0)+IF(S70&lt;0,S70,0)+IF(S71&lt;0,S71,0)+IF(S72&lt;0,S72,0)+IF(S73&lt;0,S73,0)+IF(S74&lt;0,S74,0)+IF(S75&lt;0,S75,0)+IF(S76&lt;0,S76,0)+IF(S77&lt;0,S77,0)+IF(S78&lt;0,S78,0)+IF(S79&lt;0,S79,0)+IF(S80&lt;0,S80,0)+IF(S81&lt;0,S81,0)+IF(S82&lt;0,S82,0)+IF(S83&lt;0,S83,0)+IF(S84&lt;0,S84,0)+IF(S85&lt;0,S85,0)+IF(S86&lt;0,S86,0)+IF(S87&lt;0,S87,0)+IF(S88&lt;0,S88,0)+IF(S89&lt;0,S89,0)+IF(S90&lt;0,S90,0)+IF(S91&lt;0,S91,0)+IF(S92&lt;0,S92,0)+IF(S93&lt;0,S93,0)+IF(S94&lt;0,S94,0)+IF(S95&lt;0,S95,0)+IF(S96&lt;0,S96,0)+IF(S97&lt;0,S97,0)+IF(S98&lt;0,S98,0)</f>
        <v>0</v>
      </c>
      <c r="T103" s="402">
        <f t="shared" si="57"/>
        <v>0</v>
      </c>
      <c r="U103" s="402">
        <f t="shared" si="57"/>
        <v>0</v>
      </c>
      <c r="V103" s="402">
        <f t="shared" si="57"/>
        <v>0</v>
      </c>
      <c r="W103" s="402">
        <f t="shared" si="57"/>
        <v>0</v>
      </c>
      <c r="X103" s="402">
        <f t="shared" si="57"/>
        <v>0</v>
      </c>
      <c r="Y103" s="402">
        <f t="shared" si="57"/>
        <v>-87182.9756962846</v>
      </c>
      <c r="Z103" s="402">
        <f t="shared" si="57"/>
        <v>-87182.9756962846</v>
      </c>
      <c r="AA103" s="402">
        <f t="shared" si="57"/>
        <v>-87182.9756962846</v>
      </c>
      <c r="AB103" s="402">
        <f t="shared" si="57"/>
        <v>-87182.9756962846</v>
      </c>
      <c r="AC103" s="402">
        <f t="shared" si="57"/>
        <v>-87182.9756962846</v>
      </c>
      <c r="AD103" s="402">
        <f t="shared" si="57"/>
        <v>-87182.9756962846</v>
      </c>
      <c r="AE103" s="402">
        <f t="shared" si="57"/>
        <v>-87182.9756962846</v>
      </c>
      <c r="AF103" s="402">
        <f t="shared" si="57"/>
        <v>-87182.9756962846</v>
      </c>
      <c r="AG103" s="402">
        <f t="shared" si="57"/>
        <v>-87182.9756962846</v>
      </c>
      <c r="AH103" s="402">
        <f t="shared" si="57"/>
        <v>-87182.9756962846</v>
      </c>
      <c r="AI103" s="402">
        <f t="shared" si="57"/>
        <v>-87182.9756962846</v>
      </c>
      <c r="AJ103" s="402">
        <f t="shared" si="57"/>
        <v>-87182.9756962846</v>
      </c>
      <c r="AK103" s="402">
        <f t="shared" si="57"/>
        <v>-87182.9756962846</v>
      </c>
      <c r="AL103" s="402">
        <f t="shared" si="57"/>
        <v>-87182.9756962846</v>
      </c>
      <c r="AM103" s="402">
        <f t="shared" si="57"/>
        <v>-87182.9756962846</v>
      </c>
      <c r="AN103" s="402">
        <f t="shared" si="57"/>
        <v>-87182.9756962846</v>
      </c>
      <c r="AO103" s="402">
        <f t="shared" si="57"/>
        <v>-87182.9756962846</v>
      </c>
      <c r="AP103" s="402">
        <f t="shared" si="57"/>
        <v>-87182.9756962846</v>
      </c>
      <c r="AQ103" s="402">
        <f t="shared" si="57"/>
        <v>-87182.9756962846</v>
      </c>
      <c r="AR103" s="402">
        <f t="shared" si="57"/>
        <v>-87182.9756962846</v>
      </c>
      <c r="AS103" s="564">
        <f t="shared" si="57"/>
        <v>-35307.884185622774</v>
      </c>
    </row>
    <row r="104" spans="1:45" ht="20.100000000000001" customHeight="1">
      <c r="O104" s="136" t="s">
        <v>122</v>
      </c>
      <c r="P104" s="611"/>
      <c r="Q104" s="162">
        <f>SUM(Q102:Q103)</f>
        <v>0</v>
      </c>
      <c r="R104" s="162">
        <f t="shared" ref="R104:AS104" si="58">SUM(R102:R103)</f>
        <v>0</v>
      </c>
      <c r="S104" s="162">
        <f t="shared" si="58"/>
        <v>0</v>
      </c>
      <c r="T104" s="162">
        <f t="shared" si="58"/>
        <v>0</v>
      </c>
      <c r="U104" s="162">
        <f t="shared" si="58"/>
        <v>0</v>
      </c>
      <c r="V104" s="162">
        <f t="shared" si="58"/>
        <v>0</v>
      </c>
      <c r="W104" s="162">
        <f t="shared" si="58"/>
        <v>0</v>
      </c>
      <c r="X104" s="162">
        <f t="shared" si="58"/>
        <v>0</v>
      </c>
      <c r="Y104" s="162">
        <f t="shared" si="58"/>
        <v>-43287.720140729049</v>
      </c>
      <c r="Z104" s="162">
        <f t="shared" si="58"/>
        <v>-86376.309029617929</v>
      </c>
      <c r="AA104" s="162">
        <f t="shared" si="58"/>
        <v>-86376.309029617929</v>
      </c>
      <c r="AB104" s="162">
        <f t="shared" si="58"/>
        <v>-86376.309029617929</v>
      </c>
      <c r="AC104" s="162">
        <f t="shared" si="58"/>
        <v>-86376.309029617929</v>
      </c>
      <c r="AD104" s="162">
        <f t="shared" si="58"/>
        <v>-86376.309029617929</v>
      </c>
      <c r="AE104" s="162">
        <f t="shared" si="58"/>
        <v>-86376.309029617929</v>
      </c>
      <c r="AF104" s="162">
        <f t="shared" si="58"/>
        <v>-86376.309029617929</v>
      </c>
      <c r="AG104" s="162">
        <f t="shared" si="58"/>
        <v>-42320.177003597979</v>
      </c>
      <c r="AH104" s="162">
        <f t="shared" si="58"/>
        <v>-85408.309029617929</v>
      </c>
      <c r="AI104" s="162">
        <f t="shared" si="58"/>
        <v>-85408.309029617929</v>
      </c>
      <c r="AJ104" s="162">
        <f t="shared" si="58"/>
        <v>-85408.309029617929</v>
      </c>
      <c r="AK104" s="162">
        <f t="shared" si="58"/>
        <v>-85408.309029617929</v>
      </c>
      <c r="AL104" s="162">
        <f t="shared" si="58"/>
        <v>-85408.309029617929</v>
      </c>
      <c r="AM104" s="162">
        <f t="shared" si="58"/>
        <v>-85408.309029617929</v>
      </c>
      <c r="AN104" s="162">
        <f t="shared" si="58"/>
        <v>-85408.309029617929</v>
      </c>
      <c r="AO104" s="162">
        <f t="shared" si="58"/>
        <v>-85408.309029617929</v>
      </c>
      <c r="AP104" s="162">
        <f t="shared" si="58"/>
        <v>-85408.309029617929</v>
      </c>
      <c r="AQ104" s="162">
        <f t="shared" si="58"/>
        <v>-85408.309029617929</v>
      </c>
      <c r="AR104" s="162">
        <f t="shared" si="58"/>
        <v>-85408.309029617929</v>
      </c>
      <c r="AS104" s="162">
        <f t="shared" si="58"/>
        <v>-34339.884185622774</v>
      </c>
    </row>
  </sheetData>
  <mergeCells count="10">
    <mergeCell ref="AU6:AV6"/>
    <mergeCell ref="C15:C16"/>
    <mergeCell ref="B3:I3"/>
    <mergeCell ref="B43:I43"/>
    <mergeCell ref="P33:P34"/>
    <mergeCell ref="F45:G45"/>
    <mergeCell ref="L33:M33"/>
    <mergeCell ref="K33:K34"/>
    <mergeCell ref="N33:N34"/>
    <mergeCell ref="O33:O3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 r:id="rId4" name="Drop Down 30">
              <controlPr defaultSize="0" autoLine="0" autoPict="0">
                <anchor moveWithCells="1">
                  <from>
                    <xdr:col>7</xdr:col>
                    <xdr:colOff>9525</xdr:colOff>
                    <xdr:row>46</xdr:row>
                    <xdr:rowOff>0</xdr:rowOff>
                  </from>
                  <to>
                    <xdr:col>7</xdr:col>
                    <xdr:colOff>828675</xdr:colOff>
                    <xdr:row>46</xdr:row>
                    <xdr:rowOff>238125</xdr:rowOff>
                  </to>
                </anchor>
              </controlPr>
            </control>
          </mc:Choice>
        </mc:AlternateContent>
        <mc:AlternateContent xmlns:mc="http://schemas.openxmlformats.org/markup-compatibility/2006">
          <mc:Choice Requires="x14">
            <control shapeId="3" r:id="rId5" name="Drop Down 31">
              <controlPr defaultSize="0" autoLine="0" autoPict="0">
                <anchor moveWithCells="1">
                  <from>
                    <xdr:col>7</xdr:col>
                    <xdr:colOff>9525</xdr:colOff>
                    <xdr:row>47</xdr:row>
                    <xdr:rowOff>0</xdr:rowOff>
                  </from>
                  <to>
                    <xdr:col>7</xdr:col>
                    <xdr:colOff>828675</xdr:colOff>
                    <xdr:row>47</xdr:row>
                    <xdr:rowOff>238125</xdr:rowOff>
                  </to>
                </anchor>
              </controlPr>
            </control>
          </mc:Choice>
        </mc:AlternateContent>
        <mc:AlternateContent xmlns:mc="http://schemas.openxmlformats.org/markup-compatibility/2006">
          <mc:Choice Requires="x14">
            <control shapeId="7" r:id="rId6" name="Drop Down 32">
              <controlPr defaultSize="0" autoLine="0" autoPict="0">
                <anchor moveWithCells="1">
                  <from>
                    <xdr:col>7</xdr:col>
                    <xdr:colOff>9525</xdr:colOff>
                    <xdr:row>48</xdr:row>
                    <xdr:rowOff>0</xdr:rowOff>
                  </from>
                  <to>
                    <xdr:col>7</xdr:col>
                    <xdr:colOff>828675</xdr:colOff>
                    <xdr:row>48</xdr:row>
                    <xdr:rowOff>238125</xdr:rowOff>
                  </to>
                </anchor>
              </controlPr>
            </control>
          </mc:Choice>
        </mc:AlternateContent>
        <mc:AlternateContent xmlns:mc="http://schemas.openxmlformats.org/markup-compatibility/2006">
          <mc:Choice Requires="x14">
            <control shapeId="10" r:id="rId7" name="Drop Down 33">
              <controlPr defaultSize="0" autoLine="0" autoPict="0">
                <anchor moveWithCells="1">
                  <from>
                    <xdr:col>7</xdr:col>
                    <xdr:colOff>9525</xdr:colOff>
                    <xdr:row>49</xdr:row>
                    <xdr:rowOff>0</xdr:rowOff>
                  </from>
                  <to>
                    <xdr:col>7</xdr:col>
                    <xdr:colOff>828675</xdr:colOff>
                    <xdr:row>49</xdr:row>
                    <xdr:rowOff>238125</xdr:rowOff>
                  </to>
                </anchor>
              </controlPr>
            </control>
          </mc:Choice>
        </mc:AlternateContent>
        <mc:AlternateContent xmlns:mc="http://schemas.openxmlformats.org/markup-compatibility/2006">
          <mc:Choice Requires="x14">
            <control shapeId="12" r:id="rId8" name="Drop Down 34">
              <controlPr defaultSize="0" autoLine="0" autoPict="0">
                <anchor moveWithCells="1">
                  <from>
                    <xdr:col>7</xdr:col>
                    <xdr:colOff>9525</xdr:colOff>
                    <xdr:row>50</xdr:row>
                    <xdr:rowOff>0</xdr:rowOff>
                  </from>
                  <to>
                    <xdr:col>7</xdr:col>
                    <xdr:colOff>828675</xdr:colOff>
                    <xdr:row>50</xdr:row>
                    <xdr:rowOff>238125</xdr:rowOff>
                  </to>
                </anchor>
              </controlPr>
            </control>
          </mc:Choice>
        </mc:AlternateContent>
        <mc:AlternateContent xmlns:mc="http://schemas.openxmlformats.org/markup-compatibility/2006">
          <mc:Choice Requires="x14">
            <control shapeId="13" r:id="rId9" name="Drop Down 35">
              <controlPr defaultSize="0" autoLine="0" autoPict="0">
                <anchor moveWithCells="1">
                  <from>
                    <xdr:col>7</xdr:col>
                    <xdr:colOff>9525</xdr:colOff>
                    <xdr:row>51</xdr:row>
                    <xdr:rowOff>0</xdr:rowOff>
                  </from>
                  <to>
                    <xdr:col>7</xdr:col>
                    <xdr:colOff>828675</xdr:colOff>
                    <xdr:row>51</xdr:row>
                    <xdr:rowOff>238125</xdr:rowOff>
                  </to>
                </anchor>
              </controlPr>
            </control>
          </mc:Choice>
        </mc:AlternateContent>
        <mc:AlternateContent xmlns:mc="http://schemas.openxmlformats.org/markup-compatibility/2006">
          <mc:Choice Requires="x14">
            <control shapeId="14" r:id="rId10" name="Drop Down 36">
              <controlPr defaultSize="0" autoLine="0" autoPict="0">
                <anchor moveWithCells="1">
                  <from>
                    <xdr:col>7</xdr:col>
                    <xdr:colOff>9525</xdr:colOff>
                    <xdr:row>52</xdr:row>
                    <xdr:rowOff>0</xdr:rowOff>
                  </from>
                  <to>
                    <xdr:col>7</xdr:col>
                    <xdr:colOff>828675</xdr:colOff>
                    <xdr:row>52</xdr:row>
                    <xdr:rowOff>238125</xdr:rowOff>
                  </to>
                </anchor>
              </controlPr>
            </control>
          </mc:Choice>
        </mc:AlternateContent>
        <mc:AlternateContent xmlns:mc="http://schemas.openxmlformats.org/markup-compatibility/2006">
          <mc:Choice Requires="x14">
            <control shapeId="15" r:id="rId11" name="Drop Down 37">
              <controlPr defaultSize="0" autoLine="0" autoPict="0">
                <anchor moveWithCells="1">
                  <from>
                    <xdr:col>7</xdr:col>
                    <xdr:colOff>9525</xdr:colOff>
                    <xdr:row>53</xdr:row>
                    <xdr:rowOff>0</xdr:rowOff>
                  </from>
                  <to>
                    <xdr:col>7</xdr:col>
                    <xdr:colOff>828675</xdr:colOff>
                    <xdr:row>53</xdr:row>
                    <xdr:rowOff>238125</xdr:rowOff>
                  </to>
                </anchor>
              </controlPr>
            </control>
          </mc:Choice>
        </mc:AlternateContent>
        <mc:AlternateContent xmlns:mc="http://schemas.openxmlformats.org/markup-compatibility/2006">
          <mc:Choice Requires="x14">
            <control shapeId="17" r:id="rId12" name="Drop Down 38">
              <controlPr defaultSize="0" autoLine="0" autoPict="0">
                <anchor moveWithCells="1">
                  <from>
                    <xdr:col>7</xdr:col>
                    <xdr:colOff>9525</xdr:colOff>
                    <xdr:row>54</xdr:row>
                    <xdr:rowOff>0</xdr:rowOff>
                  </from>
                  <to>
                    <xdr:col>7</xdr:col>
                    <xdr:colOff>828675</xdr:colOff>
                    <xdr:row>54</xdr:row>
                    <xdr:rowOff>238125</xdr:rowOff>
                  </to>
                </anchor>
              </controlPr>
            </control>
          </mc:Choice>
        </mc:AlternateContent>
        <mc:AlternateContent xmlns:mc="http://schemas.openxmlformats.org/markup-compatibility/2006">
          <mc:Choice Requires="x14">
            <control shapeId="18" r:id="rId13" name="Drop Down 39">
              <controlPr defaultSize="0" autoLine="0" autoPict="0">
                <anchor moveWithCells="1">
                  <from>
                    <xdr:col>7</xdr:col>
                    <xdr:colOff>9525</xdr:colOff>
                    <xdr:row>55</xdr:row>
                    <xdr:rowOff>0</xdr:rowOff>
                  </from>
                  <to>
                    <xdr:col>7</xdr:col>
                    <xdr:colOff>828675</xdr:colOff>
                    <xdr:row>55</xdr:row>
                    <xdr:rowOff>238125</xdr:rowOff>
                  </to>
                </anchor>
              </controlPr>
            </control>
          </mc:Choice>
        </mc:AlternateContent>
        <mc:AlternateContent xmlns:mc="http://schemas.openxmlformats.org/markup-compatibility/2006">
          <mc:Choice Requires="x14">
            <control shapeId="19" r:id="rId14" name="Drop Down 40">
              <controlPr defaultSize="0" autoLine="0" autoPict="0">
                <anchor moveWithCells="1">
                  <from>
                    <xdr:col>7</xdr:col>
                    <xdr:colOff>9525</xdr:colOff>
                    <xdr:row>56</xdr:row>
                    <xdr:rowOff>0</xdr:rowOff>
                  </from>
                  <to>
                    <xdr:col>7</xdr:col>
                    <xdr:colOff>828675</xdr:colOff>
                    <xdr:row>56</xdr:row>
                    <xdr:rowOff>238125</xdr:rowOff>
                  </to>
                </anchor>
              </controlPr>
            </control>
          </mc:Choice>
        </mc:AlternateContent>
        <mc:AlternateContent xmlns:mc="http://schemas.openxmlformats.org/markup-compatibility/2006">
          <mc:Choice Requires="x14">
            <control shapeId="20" r:id="rId15" name="Drop Down 41">
              <controlPr defaultSize="0" autoLine="0" autoPict="0">
                <anchor moveWithCells="1">
                  <from>
                    <xdr:col>7</xdr:col>
                    <xdr:colOff>9525</xdr:colOff>
                    <xdr:row>57</xdr:row>
                    <xdr:rowOff>0</xdr:rowOff>
                  </from>
                  <to>
                    <xdr:col>7</xdr:col>
                    <xdr:colOff>828675</xdr:colOff>
                    <xdr:row>57</xdr:row>
                    <xdr:rowOff>238125</xdr:rowOff>
                  </to>
                </anchor>
              </controlPr>
            </control>
          </mc:Choice>
        </mc:AlternateContent>
        <mc:AlternateContent xmlns:mc="http://schemas.openxmlformats.org/markup-compatibility/2006">
          <mc:Choice Requires="x14">
            <control shapeId="21" r:id="rId16" name="Drop Down 42">
              <controlPr defaultSize="0" autoLine="0" autoPict="0">
                <anchor moveWithCells="1">
                  <from>
                    <xdr:col>7</xdr:col>
                    <xdr:colOff>9525</xdr:colOff>
                    <xdr:row>58</xdr:row>
                    <xdr:rowOff>0</xdr:rowOff>
                  </from>
                  <to>
                    <xdr:col>7</xdr:col>
                    <xdr:colOff>828675</xdr:colOff>
                    <xdr:row>58</xdr:row>
                    <xdr:rowOff>238125</xdr:rowOff>
                  </to>
                </anchor>
              </controlPr>
            </control>
          </mc:Choice>
        </mc:AlternateContent>
        <mc:AlternateContent xmlns:mc="http://schemas.openxmlformats.org/markup-compatibility/2006">
          <mc:Choice Requires="x14">
            <control shapeId="22" r:id="rId17" name="Drop Down 43">
              <controlPr defaultSize="0" autoLine="0" autoPict="0">
                <anchor moveWithCells="1">
                  <from>
                    <xdr:col>7</xdr:col>
                    <xdr:colOff>9525</xdr:colOff>
                    <xdr:row>59</xdr:row>
                    <xdr:rowOff>0</xdr:rowOff>
                  </from>
                  <to>
                    <xdr:col>7</xdr:col>
                    <xdr:colOff>828675</xdr:colOff>
                    <xdr:row>59</xdr:row>
                    <xdr:rowOff>238125</xdr:rowOff>
                  </to>
                </anchor>
              </controlPr>
            </control>
          </mc:Choice>
        </mc:AlternateContent>
        <mc:AlternateContent xmlns:mc="http://schemas.openxmlformats.org/markup-compatibility/2006">
          <mc:Choice Requires="x14">
            <control shapeId="23" r:id="rId18" name="Drop Down 44">
              <controlPr defaultSize="0" autoLine="0" autoPict="0">
                <anchor moveWithCells="1">
                  <from>
                    <xdr:col>7</xdr:col>
                    <xdr:colOff>9525</xdr:colOff>
                    <xdr:row>60</xdr:row>
                    <xdr:rowOff>0</xdr:rowOff>
                  </from>
                  <to>
                    <xdr:col>7</xdr:col>
                    <xdr:colOff>828675</xdr:colOff>
                    <xdr:row>60</xdr:row>
                    <xdr:rowOff>238125</xdr:rowOff>
                  </to>
                </anchor>
              </controlPr>
            </control>
          </mc:Choice>
        </mc:AlternateContent>
        <mc:AlternateContent xmlns:mc="http://schemas.openxmlformats.org/markup-compatibility/2006">
          <mc:Choice Requires="x14">
            <control shapeId="24" r:id="rId19" name="Drop Down 45">
              <controlPr defaultSize="0" autoLine="0" autoPict="0">
                <anchor moveWithCells="1">
                  <from>
                    <xdr:col>7</xdr:col>
                    <xdr:colOff>9525</xdr:colOff>
                    <xdr:row>61</xdr:row>
                    <xdr:rowOff>0</xdr:rowOff>
                  </from>
                  <to>
                    <xdr:col>7</xdr:col>
                    <xdr:colOff>828675</xdr:colOff>
                    <xdr:row>61</xdr:row>
                    <xdr:rowOff>238125</xdr:rowOff>
                  </to>
                </anchor>
              </controlPr>
            </control>
          </mc:Choice>
        </mc:AlternateContent>
        <mc:AlternateContent xmlns:mc="http://schemas.openxmlformats.org/markup-compatibility/2006">
          <mc:Choice Requires="x14">
            <control shapeId="25" r:id="rId20" name="Drop Down 46">
              <controlPr defaultSize="0" autoLine="0" autoPict="0">
                <anchor moveWithCells="1">
                  <from>
                    <xdr:col>7</xdr:col>
                    <xdr:colOff>9525</xdr:colOff>
                    <xdr:row>62</xdr:row>
                    <xdr:rowOff>0</xdr:rowOff>
                  </from>
                  <to>
                    <xdr:col>7</xdr:col>
                    <xdr:colOff>828675</xdr:colOff>
                    <xdr:row>62</xdr:row>
                    <xdr:rowOff>238125</xdr:rowOff>
                  </to>
                </anchor>
              </controlPr>
            </control>
          </mc:Choice>
        </mc:AlternateContent>
        <mc:AlternateContent xmlns:mc="http://schemas.openxmlformats.org/markup-compatibility/2006">
          <mc:Choice Requires="x14">
            <control shapeId="26" r:id="rId21" name="Drop Down 47">
              <controlPr defaultSize="0" autoLine="0" autoPict="0">
                <anchor moveWithCells="1">
                  <from>
                    <xdr:col>7</xdr:col>
                    <xdr:colOff>9525</xdr:colOff>
                    <xdr:row>63</xdr:row>
                    <xdr:rowOff>0</xdr:rowOff>
                  </from>
                  <to>
                    <xdr:col>7</xdr:col>
                    <xdr:colOff>828675</xdr:colOff>
                    <xdr:row>63</xdr:row>
                    <xdr:rowOff>238125</xdr:rowOff>
                  </to>
                </anchor>
              </controlPr>
            </control>
          </mc:Choice>
        </mc:AlternateContent>
        <mc:AlternateContent xmlns:mc="http://schemas.openxmlformats.org/markup-compatibility/2006">
          <mc:Choice Requires="x14">
            <control shapeId="27" r:id="rId22" name="Drop Down 48">
              <controlPr defaultSize="0" autoLine="0" autoPict="0">
                <anchor moveWithCells="1">
                  <from>
                    <xdr:col>7</xdr:col>
                    <xdr:colOff>9525</xdr:colOff>
                    <xdr:row>64</xdr:row>
                    <xdr:rowOff>0</xdr:rowOff>
                  </from>
                  <to>
                    <xdr:col>7</xdr:col>
                    <xdr:colOff>828675</xdr:colOff>
                    <xdr:row>64</xdr:row>
                    <xdr:rowOff>238125</xdr:rowOff>
                  </to>
                </anchor>
              </controlPr>
            </control>
          </mc:Choice>
        </mc:AlternateContent>
        <mc:AlternateContent xmlns:mc="http://schemas.openxmlformats.org/markup-compatibility/2006">
          <mc:Choice Requires="x14">
            <control shapeId="28" r:id="rId23" name="Drop Down 49">
              <controlPr defaultSize="0" autoLine="0" autoPict="0">
                <anchor moveWithCells="1">
                  <from>
                    <xdr:col>7</xdr:col>
                    <xdr:colOff>9525</xdr:colOff>
                    <xdr:row>65</xdr:row>
                    <xdr:rowOff>0</xdr:rowOff>
                  </from>
                  <to>
                    <xdr:col>7</xdr:col>
                    <xdr:colOff>828675</xdr:colOff>
                    <xdr:row>65</xdr:row>
                    <xdr:rowOff>238125</xdr:rowOff>
                  </to>
                </anchor>
              </controlPr>
            </control>
          </mc:Choice>
        </mc:AlternateContent>
        <mc:AlternateContent xmlns:mc="http://schemas.openxmlformats.org/markup-compatibility/2006">
          <mc:Choice Requires="x14">
            <control shapeId="29" r:id="rId24" name="Drop Down 50">
              <controlPr defaultSize="0" autoLine="0" autoPict="0">
                <anchor moveWithCells="1">
                  <from>
                    <xdr:col>7</xdr:col>
                    <xdr:colOff>9525</xdr:colOff>
                    <xdr:row>66</xdr:row>
                    <xdr:rowOff>0</xdr:rowOff>
                  </from>
                  <to>
                    <xdr:col>7</xdr:col>
                    <xdr:colOff>828675</xdr:colOff>
                    <xdr:row>66</xdr:row>
                    <xdr:rowOff>238125</xdr:rowOff>
                  </to>
                </anchor>
              </controlPr>
            </control>
          </mc:Choice>
        </mc:AlternateContent>
        <mc:AlternateContent xmlns:mc="http://schemas.openxmlformats.org/markup-compatibility/2006">
          <mc:Choice Requires="x14">
            <control shapeId="30" r:id="rId25" name="Drop Down 51">
              <controlPr defaultSize="0" autoLine="0" autoPict="0">
                <anchor moveWithCells="1">
                  <from>
                    <xdr:col>7</xdr:col>
                    <xdr:colOff>9525</xdr:colOff>
                    <xdr:row>67</xdr:row>
                    <xdr:rowOff>0</xdr:rowOff>
                  </from>
                  <to>
                    <xdr:col>7</xdr:col>
                    <xdr:colOff>828675</xdr:colOff>
                    <xdr:row>67</xdr:row>
                    <xdr:rowOff>238125</xdr:rowOff>
                  </to>
                </anchor>
              </controlPr>
            </control>
          </mc:Choice>
        </mc:AlternateContent>
        <mc:AlternateContent xmlns:mc="http://schemas.openxmlformats.org/markup-compatibility/2006">
          <mc:Choice Requires="x14">
            <control shapeId="31" r:id="rId26" name="Drop Down 52">
              <controlPr defaultSize="0" autoLine="0" autoPict="0">
                <anchor moveWithCells="1">
                  <from>
                    <xdr:col>7</xdr:col>
                    <xdr:colOff>9525</xdr:colOff>
                    <xdr:row>68</xdr:row>
                    <xdr:rowOff>0</xdr:rowOff>
                  </from>
                  <to>
                    <xdr:col>7</xdr:col>
                    <xdr:colOff>828675</xdr:colOff>
                    <xdr:row>68</xdr:row>
                    <xdr:rowOff>238125</xdr:rowOff>
                  </to>
                </anchor>
              </controlPr>
            </control>
          </mc:Choice>
        </mc:AlternateContent>
        <mc:AlternateContent xmlns:mc="http://schemas.openxmlformats.org/markup-compatibility/2006">
          <mc:Choice Requires="x14">
            <control shapeId="32" r:id="rId27" name="Drop Down 53">
              <controlPr defaultSize="0" autoLine="0" autoPict="0">
                <anchor moveWithCells="1">
                  <from>
                    <xdr:col>7</xdr:col>
                    <xdr:colOff>9525</xdr:colOff>
                    <xdr:row>69</xdr:row>
                    <xdr:rowOff>0</xdr:rowOff>
                  </from>
                  <to>
                    <xdr:col>7</xdr:col>
                    <xdr:colOff>828675</xdr:colOff>
                    <xdr:row>69</xdr:row>
                    <xdr:rowOff>238125</xdr:rowOff>
                  </to>
                </anchor>
              </controlPr>
            </control>
          </mc:Choice>
        </mc:AlternateContent>
        <mc:AlternateContent xmlns:mc="http://schemas.openxmlformats.org/markup-compatibility/2006">
          <mc:Choice Requires="x14">
            <control shapeId="33" r:id="rId28" name="Drop Down 54">
              <controlPr defaultSize="0" autoLine="0" autoPict="0">
                <anchor moveWithCells="1">
                  <from>
                    <xdr:col>7</xdr:col>
                    <xdr:colOff>9525</xdr:colOff>
                    <xdr:row>70</xdr:row>
                    <xdr:rowOff>0</xdr:rowOff>
                  </from>
                  <to>
                    <xdr:col>7</xdr:col>
                    <xdr:colOff>828675</xdr:colOff>
                    <xdr:row>70</xdr:row>
                    <xdr:rowOff>238125</xdr:rowOff>
                  </to>
                </anchor>
              </controlPr>
            </control>
          </mc:Choice>
        </mc:AlternateContent>
        <mc:AlternateContent xmlns:mc="http://schemas.openxmlformats.org/markup-compatibility/2006">
          <mc:Choice Requires="x14">
            <control shapeId="34" r:id="rId29" name="Drop Down 55">
              <controlPr defaultSize="0" autoLine="0" autoPict="0">
                <anchor moveWithCells="1">
                  <from>
                    <xdr:col>7</xdr:col>
                    <xdr:colOff>9525</xdr:colOff>
                    <xdr:row>71</xdr:row>
                    <xdr:rowOff>0</xdr:rowOff>
                  </from>
                  <to>
                    <xdr:col>7</xdr:col>
                    <xdr:colOff>828675</xdr:colOff>
                    <xdr:row>71</xdr:row>
                    <xdr:rowOff>238125</xdr:rowOff>
                  </to>
                </anchor>
              </controlPr>
            </control>
          </mc:Choice>
        </mc:AlternateContent>
        <mc:AlternateContent xmlns:mc="http://schemas.openxmlformats.org/markup-compatibility/2006">
          <mc:Choice Requires="x14">
            <control shapeId="35" r:id="rId30" name="Drop Down 56">
              <controlPr defaultSize="0" autoLine="0" autoPict="0">
                <anchor moveWithCells="1">
                  <from>
                    <xdr:col>7</xdr:col>
                    <xdr:colOff>9525</xdr:colOff>
                    <xdr:row>72</xdr:row>
                    <xdr:rowOff>0</xdr:rowOff>
                  </from>
                  <to>
                    <xdr:col>7</xdr:col>
                    <xdr:colOff>828675</xdr:colOff>
                    <xdr:row>72</xdr:row>
                    <xdr:rowOff>238125</xdr:rowOff>
                  </to>
                </anchor>
              </controlPr>
            </control>
          </mc:Choice>
        </mc:AlternateContent>
        <mc:AlternateContent xmlns:mc="http://schemas.openxmlformats.org/markup-compatibility/2006">
          <mc:Choice Requires="x14">
            <control shapeId="36" r:id="rId31" name="Drop Down 57">
              <controlPr defaultSize="0" autoLine="0" autoPict="0">
                <anchor moveWithCells="1">
                  <from>
                    <xdr:col>7</xdr:col>
                    <xdr:colOff>9525</xdr:colOff>
                    <xdr:row>73</xdr:row>
                    <xdr:rowOff>0</xdr:rowOff>
                  </from>
                  <to>
                    <xdr:col>7</xdr:col>
                    <xdr:colOff>828675</xdr:colOff>
                    <xdr:row>73</xdr:row>
                    <xdr:rowOff>238125</xdr:rowOff>
                  </to>
                </anchor>
              </controlPr>
            </control>
          </mc:Choice>
        </mc:AlternateContent>
        <mc:AlternateContent xmlns:mc="http://schemas.openxmlformats.org/markup-compatibility/2006">
          <mc:Choice Requires="x14">
            <control shapeId="37" r:id="rId32" name="Drop Down 58">
              <controlPr defaultSize="0" autoLine="0" autoPict="0">
                <anchor moveWithCells="1">
                  <from>
                    <xdr:col>7</xdr:col>
                    <xdr:colOff>9525</xdr:colOff>
                    <xdr:row>74</xdr:row>
                    <xdr:rowOff>0</xdr:rowOff>
                  </from>
                  <to>
                    <xdr:col>7</xdr:col>
                    <xdr:colOff>828675</xdr:colOff>
                    <xdr:row>74</xdr:row>
                    <xdr:rowOff>238125</xdr:rowOff>
                  </to>
                </anchor>
              </controlPr>
            </control>
          </mc:Choice>
        </mc:AlternateContent>
        <mc:AlternateContent xmlns:mc="http://schemas.openxmlformats.org/markup-compatibility/2006">
          <mc:Choice Requires="x14">
            <control shapeId="38" r:id="rId33" name="Drop Down 59">
              <controlPr defaultSize="0" autoLine="0" autoPict="0">
                <anchor moveWithCells="1">
                  <from>
                    <xdr:col>7</xdr:col>
                    <xdr:colOff>9525</xdr:colOff>
                    <xdr:row>75</xdr:row>
                    <xdr:rowOff>0</xdr:rowOff>
                  </from>
                  <to>
                    <xdr:col>7</xdr:col>
                    <xdr:colOff>828675</xdr:colOff>
                    <xdr:row>75</xdr:row>
                    <xdr:rowOff>238125</xdr:rowOff>
                  </to>
                </anchor>
              </controlPr>
            </control>
          </mc:Choice>
        </mc:AlternateContent>
        <mc:AlternateContent xmlns:mc="http://schemas.openxmlformats.org/markup-compatibility/2006">
          <mc:Choice Requires="x14">
            <control shapeId="10300" r:id="rId34" name="Button 60">
              <controlPr defaultSize="0" print="0" autoFill="0" autoPict="0" macro="[0]!Button60_Click">
                <anchor moveWithCells="1" sizeWithCells="1">
                  <from>
                    <xdr:col>4</xdr:col>
                    <xdr:colOff>28575</xdr:colOff>
                    <xdr:row>43</xdr:row>
                    <xdr:rowOff>104775</xdr:rowOff>
                  </from>
                  <to>
                    <xdr:col>5</xdr:col>
                    <xdr:colOff>171450</xdr:colOff>
                    <xdr:row>44</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5"/>
  </sheetPr>
  <dimension ref="A1:CP991"/>
  <sheetViews>
    <sheetView showGridLines="0" showRowColHeaders="0" zoomScaleNormal="100" zoomScaleSheetLayoutView="70" workbookViewId="0">
      <pane ySplit="2" topLeftCell="A150" activePane="bottomLeft" state="frozen"/>
      <selection pane="bottomLeft"/>
    </sheetView>
  </sheetViews>
  <sheetFormatPr defaultRowHeight="20.100000000000001" customHeight="1" outlineLevelRow="1"/>
  <cols>
    <col min="1" max="1" width="30.7109375" style="3" customWidth="1"/>
    <col min="2" max="31" width="12.7109375" style="3" customWidth="1"/>
    <col min="32" max="32" width="50.7109375" style="3" customWidth="1"/>
    <col min="33" max="62" width="10.7109375" style="3" customWidth="1"/>
    <col min="63" max="63" width="12.5703125" style="3" bestFit="1" customWidth="1"/>
    <col min="64" max="64" width="10.7109375" style="3" customWidth="1"/>
    <col min="65" max="66" width="12.5703125" style="3" bestFit="1" customWidth="1"/>
    <col min="67" max="67" width="9.140625" style="3"/>
    <col min="68" max="68" width="10.7109375" style="3" customWidth="1"/>
    <col min="69" max="83" width="9.140625" style="3"/>
    <col min="84" max="86" width="10.7109375" style="3" customWidth="1"/>
    <col min="87" max="87" width="40.7109375" style="3" customWidth="1"/>
    <col min="88" max="89" width="15.7109375" style="3" customWidth="1"/>
    <col min="90" max="91" width="35.7109375" style="3" customWidth="1"/>
    <col min="92" max="92" width="15.7109375" style="3" customWidth="1"/>
    <col min="93" max="93" width="45.7109375" style="3" customWidth="1"/>
    <col min="94" max="95" width="15.7109375" style="3" customWidth="1"/>
    <col min="96" max="16384" width="9.140625" style="3"/>
  </cols>
  <sheetData>
    <row r="1" spans="1:66" s="2" customFormat="1" ht="30" customHeight="1" thickBot="1">
      <c r="A1" s="1" t="s">
        <v>614</v>
      </c>
    </row>
    <row r="2" spans="1:66" s="639" customFormat="1" ht="249.95" hidden="1" customHeight="1" outlineLevel="1" thickBot="1">
      <c r="A2" s="638"/>
    </row>
    <row r="3" spans="1:66" ht="30" customHeight="1" collapsed="1" thickBot="1">
      <c r="A3" s="105" t="s">
        <v>841</v>
      </c>
      <c r="B3" s="59"/>
      <c r="C3" s="59"/>
      <c r="D3" s="59"/>
      <c r="E3" s="59"/>
      <c r="F3" s="59"/>
      <c r="G3" s="59"/>
      <c r="H3" s="59"/>
      <c r="I3" s="59"/>
      <c r="J3" s="59"/>
      <c r="K3" s="60"/>
      <c r="L3" s="217"/>
      <c r="M3" s="217"/>
      <c r="N3" s="217"/>
      <c r="O3" s="217"/>
      <c r="P3" s="217"/>
      <c r="Q3" s="217"/>
      <c r="R3" s="217"/>
      <c r="S3" s="217"/>
      <c r="T3" s="217"/>
      <c r="U3" s="217"/>
      <c r="V3" s="217"/>
      <c r="W3" s="217"/>
      <c r="X3" s="217"/>
      <c r="Y3" s="217"/>
      <c r="Z3" s="217"/>
      <c r="AA3" s="217"/>
      <c r="AB3" s="217"/>
      <c r="AC3" s="217"/>
      <c r="AD3" s="217"/>
      <c r="AE3" s="217"/>
      <c r="AK3" s="221" t="s">
        <v>1157</v>
      </c>
      <c r="AL3" s="1591" t="s">
        <v>1158</v>
      </c>
      <c r="AM3" s="1592"/>
      <c r="AN3" s="1592"/>
      <c r="AO3" s="1592"/>
      <c r="AP3" s="1592"/>
      <c r="AQ3" s="1592"/>
      <c r="AR3" s="1592"/>
      <c r="AS3" s="1592"/>
      <c r="AT3" s="1593"/>
      <c r="AU3" s="1591" t="s">
        <v>1159</v>
      </c>
      <c r="AV3" s="1592"/>
      <c r="AW3" s="1592"/>
      <c r="AX3" s="1592"/>
      <c r="AY3" s="1592"/>
      <c r="AZ3" s="1592"/>
      <c r="BA3" s="1592"/>
      <c r="BB3" s="1592"/>
      <c r="BC3" s="1592"/>
      <c r="BD3" s="1593"/>
      <c r="BE3" s="1591" t="s">
        <v>1160</v>
      </c>
      <c r="BF3" s="1592"/>
      <c r="BG3" s="1592"/>
      <c r="BH3" s="1592"/>
      <c r="BI3" s="1592"/>
      <c r="BJ3" s="1592"/>
      <c r="BK3" s="1592"/>
      <c r="BL3" s="1592"/>
      <c r="BM3" s="1592"/>
      <c r="BN3" s="1593"/>
    </row>
    <row r="4" spans="1:66" ht="20.100000000000001" customHeight="1">
      <c r="A4" s="57"/>
      <c r="B4" s="56"/>
      <c r="C4" s="56"/>
      <c r="D4" s="56"/>
      <c r="E4" s="56"/>
      <c r="F4" s="56"/>
      <c r="G4" s="56"/>
      <c r="H4" s="36"/>
      <c r="I4" s="36"/>
      <c r="J4" s="36"/>
      <c r="K4" s="9"/>
      <c r="L4" s="16"/>
      <c r="M4" s="627"/>
      <c r="N4" s="630"/>
      <c r="O4" s="630"/>
      <c r="P4" s="630"/>
      <c r="Q4" s="630"/>
      <c r="R4" s="630"/>
      <c r="S4" s="630"/>
      <c r="T4" s="630"/>
      <c r="U4" s="630"/>
      <c r="V4" s="630"/>
      <c r="W4" s="630"/>
      <c r="X4" s="630"/>
      <c r="Y4" s="630"/>
      <c r="Z4" s="630"/>
      <c r="AA4" s="630"/>
      <c r="AB4" s="630"/>
      <c r="AC4" s="630"/>
      <c r="AD4" s="630"/>
      <c r="AE4" s="630"/>
      <c r="AF4" s="62" t="s">
        <v>1153</v>
      </c>
      <c r="AG4" s="1573" t="s">
        <v>1156</v>
      </c>
      <c r="AH4" s="1573"/>
      <c r="AI4" s="1573"/>
      <c r="AJ4" s="1573"/>
      <c r="AK4" s="344">
        <v>2021</v>
      </c>
      <c r="AL4" s="115">
        <f t="shared" ref="AL4:BN4" si="0">AK4+1</f>
        <v>2022</v>
      </c>
      <c r="AM4" s="115">
        <f t="shared" si="0"/>
        <v>2023</v>
      </c>
      <c r="AN4" s="115">
        <f t="shared" si="0"/>
        <v>2024</v>
      </c>
      <c r="AO4" s="115">
        <f t="shared" si="0"/>
        <v>2025</v>
      </c>
      <c r="AP4" s="115">
        <f t="shared" si="0"/>
        <v>2026</v>
      </c>
      <c r="AQ4" s="115">
        <f t="shared" si="0"/>
        <v>2027</v>
      </c>
      <c r="AR4" s="115">
        <f t="shared" si="0"/>
        <v>2028</v>
      </c>
      <c r="AS4" s="115">
        <f t="shared" si="0"/>
        <v>2029</v>
      </c>
      <c r="AT4" s="115">
        <f t="shared" si="0"/>
        <v>2030</v>
      </c>
      <c r="AU4" s="115">
        <f t="shared" si="0"/>
        <v>2031</v>
      </c>
      <c r="AV4" s="115">
        <f t="shared" si="0"/>
        <v>2032</v>
      </c>
      <c r="AW4" s="115">
        <f t="shared" si="0"/>
        <v>2033</v>
      </c>
      <c r="AX4" s="115">
        <f t="shared" si="0"/>
        <v>2034</v>
      </c>
      <c r="AY4" s="115">
        <f t="shared" si="0"/>
        <v>2035</v>
      </c>
      <c r="AZ4" s="115">
        <f t="shared" si="0"/>
        <v>2036</v>
      </c>
      <c r="BA4" s="115">
        <f t="shared" si="0"/>
        <v>2037</v>
      </c>
      <c r="BB4" s="115">
        <f t="shared" si="0"/>
        <v>2038</v>
      </c>
      <c r="BC4" s="115">
        <f t="shared" si="0"/>
        <v>2039</v>
      </c>
      <c r="BD4" s="115">
        <f t="shared" si="0"/>
        <v>2040</v>
      </c>
      <c r="BE4" s="115">
        <f t="shared" si="0"/>
        <v>2041</v>
      </c>
      <c r="BF4" s="115">
        <f t="shared" si="0"/>
        <v>2042</v>
      </c>
      <c r="BG4" s="115">
        <f t="shared" si="0"/>
        <v>2043</v>
      </c>
      <c r="BH4" s="115">
        <f t="shared" si="0"/>
        <v>2044</v>
      </c>
      <c r="BI4" s="115">
        <f t="shared" si="0"/>
        <v>2045</v>
      </c>
      <c r="BJ4" s="115">
        <f t="shared" si="0"/>
        <v>2046</v>
      </c>
      <c r="BK4" s="115">
        <f t="shared" si="0"/>
        <v>2047</v>
      </c>
      <c r="BL4" s="115">
        <f t="shared" si="0"/>
        <v>2048</v>
      </c>
      <c r="BM4" s="115">
        <f t="shared" si="0"/>
        <v>2049</v>
      </c>
      <c r="BN4" s="115">
        <f t="shared" si="0"/>
        <v>2050</v>
      </c>
    </row>
    <row r="5" spans="1:66" ht="20.100000000000001" customHeight="1">
      <c r="A5" s="84" t="s">
        <v>869</v>
      </c>
      <c r="B5" s="38"/>
      <c r="C5" s="38"/>
      <c r="D5" s="38"/>
      <c r="E5" s="38"/>
      <c r="F5" s="38"/>
      <c r="G5" s="38"/>
      <c r="H5" s="17"/>
      <c r="I5" s="17"/>
      <c r="J5" s="17"/>
      <c r="K5" s="10"/>
      <c r="L5" s="16"/>
      <c r="M5" s="627"/>
      <c r="N5" s="630"/>
      <c r="O5" s="630"/>
      <c r="P5" s="630"/>
      <c r="Q5" s="630"/>
      <c r="R5" s="630"/>
      <c r="S5" s="630"/>
      <c r="T5" s="630"/>
      <c r="U5" s="630"/>
      <c r="V5" s="630"/>
      <c r="W5" s="630"/>
      <c r="X5" s="630"/>
      <c r="Y5" s="630"/>
      <c r="Z5" s="630"/>
      <c r="AA5" s="630"/>
      <c r="AB5" s="630"/>
      <c r="AC5" s="630"/>
      <c r="AD5" s="630"/>
      <c r="AE5" s="630"/>
      <c r="AF5" s="62" t="s">
        <v>604</v>
      </c>
      <c r="AG5" s="1573" t="s">
        <v>1155</v>
      </c>
      <c r="AH5" s="1573"/>
      <c r="AI5" s="1573"/>
      <c r="AJ5" s="1573"/>
      <c r="AK5" s="345">
        <f>INDEX('DEFAULT DATA'!$H$9:P$41,START!$C$3,1)</f>
        <v>364.21917808219177</v>
      </c>
      <c r="AL5" s="123">
        <f>(100+INDEX('DEFAULT DATA'!$I$9:$K$41,START!$C$3,1))/100*AK5</f>
        <v>336.53852054794521</v>
      </c>
      <c r="AM5" s="123">
        <f>(100+INDEX('DEFAULT DATA'!$I$9:$K$41,START!$C$3,1))/100*AL5</f>
        <v>310.96159298630141</v>
      </c>
      <c r="AN5" s="123">
        <f>(100+INDEX('DEFAULT DATA'!$I$9:$K$41,START!$C$3,1))/100*AM5</f>
        <v>287.32851191934253</v>
      </c>
      <c r="AO5" s="123">
        <f>(100+INDEX('DEFAULT DATA'!$I$9:$K$41,START!$C$3,1))/100*AN5</f>
        <v>265.49154501347249</v>
      </c>
      <c r="AP5" s="123">
        <f>(100+INDEX('DEFAULT DATA'!$I$9:$K$41,START!$C$3,1))/100*AO5</f>
        <v>245.3141875924486</v>
      </c>
      <c r="AQ5" s="123">
        <f>(100+INDEX('DEFAULT DATA'!$I$9:$K$41,START!$C$3,1))/100*AP5</f>
        <v>226.67030933542253</v>
      </c>
      <c r="AR5" s="123">
        <f>(100+INDEX('DEFAULT DATA'!$I$9:$K$41,START!$C$3,1))/100*AQ5</f>
        <v>209.44336582593041</v>
      </c>
      <c r="AS5" s="123">
        <f>(100+INDEX('DEFAULT DATA'!$I$9:$K$41,START!$C$3,1))/100*AR5</f>
        <v>193.52567002315971</v>
      </c>
      <c r="AT5" s="123">
        <f>(100+INDEX('DEFAULT DATA'!$I$9:$K$41,START!$C$3,1))/100*AS5</f>
        <v>178.81771910139958</v>
      </c>
      <c r="AU5" s="123">
        <f>(100+INDEX('DEFAULT DATA'!$I$9:$K$41,START!$C$3,2))/100*AT5</f>
        <v>167.19456735980862</v>
      </c>
      <c r="AV5" s="123">
        <f>(100+INDEX('DEFAULT DATA'!$I$9:$K$41,START!$C$3,2))/100*AU5</f>
        <v>156.32692048142107</v>
      </c>
      <c r="AW5" s="123">
        <f>(100+INDEX('DEFAULT DATA'!$I$9:$K$41,START!$C$3,2))/100*AV5</f>
        <v>146.1656706501287</v>
      </c>
      <c r="AX5" s="123">
        <f>(100+INDEX('DEFAULT DATA'!$I$9:$K$41,START!$C$3,2))/100*AW5</f>
        <v>136.66490205787034</v>
      </c>
      <c r="AY5" s="123">
        <f>(100+INDEX('DEFAULT DATA'!$I$9:$K$41,START!$C$3,2))/100*AX5</f>
        <v>127.78168342410878</v>
      </c>
      <c r="AZ5" s="123">
        <f>(100+INDEX('DEFAULT DATA'!$I$9:$K$41,START!$C$3,2))/100*AY5</f>
        <v>119.47587400154171</v>
      </c>
      <c r="BA5" s="123">
        <f>(100+INDEX('DEFAULT DATA'!$I$9:$K$41,START!$C$3,2))/100*AZ5</f>
        <v>111.70994219144151</v>
      </c>
      <c r="BB5" s="123">
        <f>(100+INDEX('DEFAULT DATA'!$I$9:$K$41,START!$C$3,2))/100*BA5</f>
        <v>104.44879594899783</v>
      </c>
      <c r="BC5" s="123">
        <f>(100+INDEX('DEFAULT DATA'!$I$9:$K$41,START!$C$3,2))/100*BB5</f>
        <v>97.659624212312977</v>
      </c>
      <c r="BD5" s="123">
        <f>(100+INDEX('DEFAULT DATA'!$I$9:$K$41,START!$C$3,2))/100*BC5</f>
        <v>91.31174863851264</v>
      </c>
      <c r="BE5" s="123">
        <f>(100+INDEX('DEFAULT DATA'!$I$9:$K$41,START!$C$3,3))/100*BD5</f>
        <v>85.376484977009326</v>
      </c>
      <c r="BF5" s="123">
        <f>(100+INDEX('DEFAULT DATA'!$I$9:$K$41,START!$C$3,3))/100*BE5</f>
        <v>79.827013453503724</v>
      </c>
      <c r="BG5" s="123">
        <f>(100+INDEX('DEFAULT DATA'!$I$9:$K$41,START!$C$3,3))/100*BF5</f>
        <v>74.638257579025989</v>
      </c>
      <c r="BH5" s="123">
        <f>(100+INDEX('DEFAULT DATA'!$I$9:$K$41,START!$C$3,3))/100*BG5</f>
        <v>69.786770836389309</v>
      </c>
      <c r="BI5" s="123">
        <f>(100+INDEX('DEFAULT DATA'!$I$9:$K$41,START!$C$3,3))/100*BH5</f>
        <v>65.250630732024007</v>
      </c>
      <c r="BJ5" s="123">
        <f>(100+INDEX('DEFAULT DATA'!$I$9:$K$41,START!$C$3,3))/100*BI5</f>
        <v>61.009339734442449</v>
      </c>
      <c r="BK5" s="123">
        <f>(100+INDEX('DEFAULT DATA'!$I$9:$K$41,START!$C$3,3))/100*BJ5</f>
        <v>57.043732651703692</v>
      </c>
      <c r="BL5" s="123">
        <f>(100+INDEX('DEFAULT DATA'!$I$9:$K$41,START!$C$3,3))/100*BK5</f>
        <v>53.335890029342956</v>
      </c>
      <c r="BM5" s="123">
        <f>(100+INDEX('DEFAULT DATA'!$I$9:$K$41,START!$C$3,3))/100*BL5</f>
        <v>49.869057177435664</v>
      </c>
      <c r="BN5" s="123">
        <f>(100+INDEX('DEFAULT DATA'!$I$9:$K$41,START!$C$3,3))/100*BM5</f>
        <v>46.627568460902346</v>
      </c>
    </row>
    <row r="6" spans="1:66" ht="20.100000000000001" customHeight="1">
      <c r="A6" s="41"/>
      <c r="B6" s="216" t="s">
        <v>882</v>
      </c>
      <c r="C6" s="14"/>
      <c r="D6" s="14"/>
      <c r="E6" s="14"/>
      <c r="F6" s="14"/>
      <c r="G6" s="14"/>
      <c r="H6" s="16"/>
      <c r="I6" s="16"/>
      <c r="J6" s="16"/>
      <c r="K6" s="11"/>
      <c r="L6" s="16"/>
      <c r="M6" s="627"/>
      <c r="N6" s="630"/>
      <c r="O6" s="630"/>
      <c r="P6" s="630"/>
      <c r="Q6" s="630"/>
      <c r="R6" s="630"/>
      <c r="S6" s="630"/>
      <c r="T6" s="630"/>
      <c r="U6" s="630"/>
      <c r="V6" s="630"/>
      <c r="W6" s="630"/>
      <c r="X6" s="630"/>
      <c r="Y6" s="630"/>
      <c r="Z6" s="630"/>
      <c r="AA6" s="630"/>
      <c r="AB6" s="630"/>
      <c r="AC6" s="630"/>
      <c r="AD6" s="630"/>
      <c r="AE6" s="630"/>
      <c r="AF6" s="62" t="s">
        <v>1010</v>
      </c>
      <c r="AG6" s="1573" t="s">
        <v>1154</v>
      </c>
      <c r="AH6" s="1573"/>
      <c r="AI6" s="1573"/>
      <c r="AJ6" s="1573"/>
      <c r="AK6" s="345">
        <f>INDEX('DEFAULT DATA'!$L$9:$L$41,START!$C$3,1)</f>
        <v>350</v>
      </c>
      <c r="AL6" s="123">
        <f>(100+INDEX('DEFAULT DATA'!$M$9:$O$41,START!$C$3,1))/100*AK6</f>
        <v>350</v>
      </c>
      <c r="AM6" s="123">
        <f>(100+INDEX('DEFAULT DATA'!$M$9:$O$41,START!$C$3,1))/100*AL6</f>
        <v>350</v>
      </c>
      <c r="AN6" s="123">
        <f>(100+INDEX('DEFAULT DATA'!$M$9:$O$41,START!$C$3,1))/100*AM6</f>
        <v>350</v>
      </c>
      <c r="AO6" s="123">
        <f>(100+INDEX('DEFAULT DATA'!$M$9:$O$41,START!$C$3,1))/100*AN6</f>
        <v>350</v>
      </c>
      <c r="AP6" s="123">
        <f>(100+INDEX('DEFAULT DATA'!$M$9:$O$41,START!$C$3,1))/100*AO6</f>
        <v>350</v>
      </c>
      <c r="AQ6" s="123">
        <f>(100+INDEX('DEFAULT DATA'!$M$9:$O$41,START!$C$3,1))/100*AP6</f>
        <v>350</v>
      </c>
      <c r="AR6" s="123">
        <f>(100+INDEX('DEFAULT DATA'!$M$9:$O$41,START!$C$3,1))/100*AQ6</f>
        <v>350</v>
      </c>
      <c r="AS6" s="123">
        <f>(100+INDEX('DEFAULT DATA'!$M$9:$O$41,START!$C$3,1))/100*AR6</f>
        <v>350</v>
      </c>
      <c r="AT6" s="123">
        <f>(100+INDEX('DEFAULT DATA'!$M$9:$O$41,START!$C$3,1))/100*AS6</f>
        <v>350</v>
      </c>
      <c r="AU6" s="123">
        <f>(100+INDEX('DEFAULT DATA'!$M$9:$O$41,START!$C$3,2))/100*AT6</f>
        <v>350</v>
      </c>
      <c r="AV6" s="123">
        <f>(100+INDEX('DEFAULT DATA'!$M$9:$O$41,START!$C$3,2))/100*AU6</f>
        <v>350</v>
      </c>
      <c r="AW6" s="123">
        <f>(100+INDEX('DEFAULT DATA'!$M$9:$O$41,START!$C$3,2))/100*AV6</f>
        <v>350</v>
      </c>
      <c r="AX6" s="123">
        <f>(100+INDEX('DEFAULT DATA'!$M$9:$O$41,START!$C$3,2))/100*AW6</f>
        <v>350</v>
      </c>
      <c r="AY6" s="123">
        <f>(100+INDEX('DEFAULT DATA'!$M$9:$O$41,START!$C$3,2))/100*AX6</f>
        <v>350</v>
      </c>
      <c r="AZ6" s="123">
        <f>(100+INDEX('DEFAULT DATA'!$M$9:$O$41,START!$C$3,2))/100*AY6</f>
        <v>350</v>
      </c>
      <c r="BA6" s="123">
        <f>(100+INDEX('DEFAULT DATA'!$M$9:$O$41,START!$C$3,2))/100*AZ6</f>
        <v>350</v>
      </c>
      <c r="BB6" s="123">
        <f>(100+INDEX('DEFAULT DATA'!$M$9:$O$41,START!$C$3,2))/100*BA6</f>
        <v>350</v>
      </c>
      <c r="BC6" s="123">
        <f>(100+INDEX('DEFAULT DATA'!$M$9:$O$41,START!$C$3,2))/100*BB6</f>
        <v>350</v>
      </c>
      <c r="BD6" s="123">
        <f>(100+INDEX('DEFAULT DATA'!$M$9:$O$41,START!$C$3,2))/100*BC6</f>
        <v>350</v>
      </c>
      <c r="BE6" s="123">
        <f>(100+INDEX('DEFAULT DATA'!$M$9:$O$41,START!$C$3,3))/100*BD6</f>
        <v>350</v>
      </c>
      <c r="BF6" s="123">
        <f>(100+INDEX('DEFAULT DATA'!$M$9:$O$41,START!$C$3,3))/100*BE6</f>
        <v>350</v>
      </c>
      <c r="BG6" s="123">
        <f>(100+INDEX('DEFAULT DATA'!$M$9:$O$41,START!$C$3,3))/100*BF6</f>
        <v>350</v>
      </c>
      <c r="BH6" s="123">
        <f>(100+INDEX('DEFAULT DATA'!$M$9:$O$41,START!$C$3,3))/100*BG6</f>
        <v>350</v>
      </c>
      <c r="BI6" s="123">
        <f>(100+INDEX('DEFAULT DATA'!$M$9:$O$41,START!$C$3,3))/100*BH6</f>
        <v>350</v>
      </c>
      <c r="BJ6" s="123">
        <f>(100+INDEX('DEFAULT DATA'!$M$9:$O$41,START!$C$3,3))/100*BI6</f>
        <v>350</v>
      </c>
      <c r="BK6" s="123">
        <f>(100+INDEX('DEFAULT DATA'!$M$9:$O$41,START!$C$3,3))/100*BJ6</f>
        <v>350</v>
      </c>
      <c r="BL6" s="123">
        <f>(100+INDEX('DEFAULT DATA'!$M$9:$O$41,START!$C$3,3))/100*BK6</f>
        <v>350</v>
      </c>
      <c r="BM6" s="123">
        <f>(100+INDEX('DEFAULT DATA'!$M$9:$O$41,START!$C$3,3))/100*BL6</f>
        <v>350</v>
      </c>
      <c r="BN6" s="123">
        <f>(100+INDEX('DEFAULT DATA'!$M$9:$O$41,START!$C$3,3))/100*BM6</f>
        <v>350</v>
      </c>
    </row>
    <row r="7" spans="1:66" ht="20.100000000000001" customHeight="1">
      <c r="A7" s="41" t="str">
        <f>INDEX('DEFAULT DATA'!$AJT$9:$AJW$41,START!$C$3,1)</f>
        <v>Apartment</v>
      </c>
      <c r="B7" s="233">
        <v>4442</v>
      </c>
      <c r="C7" s="14"/>
      <c r="D7" s="14"/>
      <c r="E7" s="14"/>
      <c r="F7" s="14"/>
      <c r="G7" s="14"/>
      <c r="H7" s="16"/>
      <c r="I7" s="16"/>
      <c r="J7" s="16"/>
      <c r="K7" s="11"/>
      <c r="L7" s="16"/>
      <c r="M7" s="627"/>
      <c r="N7" s="630"/>
      <c r="O7" s="630"/>
      <c r="P7" s="630"/>
      <c r="Q7" s="630"/>
      <c r="R7" s="630"/>
      <c r="S7" s="630"/>
      <c r="T7" s="630"/>
      <c r="U7" s="630"/>
      <c r="V7" s="630"/>
      <c r="W7" s="630"/>
      <c r="X7" s="630"/>
      <c r="Y7" s="630"/>
      <c r="Z7" s="630"/>
      <c r="AA7" s="630"/>
      <c r="AB7" s="630"/>
      <c r="AC7" s="630"/>
      <c r="AD7" s="630"/>
      <c r="AE7" s="630"/>
      <c r="AS7" s="111"/>
    </row>
    <row r="8" spans="1:66" ht="20.100000000000001" customHeight="1">
      <c r="A8" s="41" t="str">
        <f>INDEX('DEFAULT DATA'!$AJT$9:$AJW$41,START!$C$3,2)</f>
        <v>Terraced</v>
      </c>
      <c r="B8" s="12">
        <v>6222</v>
      </c>
      <c r="C8" s="14"/>
      <c r="D8" s="14"/>
      <c r="E8" s="14"/>
      <c r="F8" s="14"/>
      <c r="G8" s="14"/>
      <c r="H8" s="16"/>
      <c r="I8" s="16"/>
      <c r="J8" s="16"/>
      <c r="K8" s="11"/>
      <c r="L8" s="16"/>
      <c r="M8" s="627"/>
      <c r="N8" s="630"/>
      <c r="O8" s="630"/>
      <c r="P8" s="630"/>
      <c r="Q8" s="630"/>
      <c r="R8" s="630"/>
      <c r="S8" s="630"/>
      <c r="T8" s="630"/>
      <c r="U8" s="630"/>
      <c r="V8" s="630"/>
      <c r="W8" s="630"/>
      <c r="X8" s="630"/>
      <c r="Y8" s="630"/>
      <c r="Z8" s="630"/>
      <c r="AA8" s="630"/>
      <c r="AB8" s="630"/>
      <c r="AC8" s="630"/>
      <c r="AD8" s="630"/>
      <c r="AE8" s="630"/>
      <c r="AF8" s="122" t="s">
        <v>1100</v>
      </c>
      <c r="AS8" s="112"/>
    </row>
    <row r="9" spans="1:66" ht="20.100000000000001" customHeight="1">
      <c r="A9" s="41" t="str">
        <f>INDEX('DEFAULT DATA'!$AJT$9:$AJW$41,START!$C$3,3)</f>
        <v>Semi-detached</v>
      </c>
      <c r="B9" s="12">
        <v>25000</v>
      </c>
      <c r="C9" s="14"/>
      <c r="D9" s="14"/>
      <c r="E9" s="14"/>
      <c r="F9" s="14"/>
      <c r="G9" s="14"/>
      <c r="H9" s="16"/>
      <c r="I9" s="16"/>
      <c r="J9" s="16"/>
      <c r="K9" s="11"/>
      <c r="L9" s="16"/>
      <c r="M9" s="627"/>
      <c r="N9" s="630"/>
      <c r="O9" s="630"/>
      <c r="P9" s="630"/>
      <c r="Q9" s="630"/>
      <c r="R9" s="630"/>
      <c r="S9" s="630"/>
      <c r="T9" s="630"/>
      <c r="U9" s="630"/>
      <c r="V9" s="630"/>
      <c r="W9" s="630"/>
      <c r="X9" s="630"/>
      <c r="Y9" s="630"/>
      <c r="Z9" s="630"/>
      <c r="AA9" s="630"/>
      <c r="AB9" s="630"/>
      <c r="AC9" s="630"/>
      <c r="AD9" s="630"/>
      <c r="AE9" s="630"/>
      <c r="AF9" s="1555" t="s">
        <v>1011</v>
      </c>
      <c r="AG9" s="1595" t="s">
        <v>1503</v>
      </c>
      <c r="AH9" s="1596"/>
      <c r="AI9" s="1596"/>
      <c r="AJ9" s="1596"/>
      <c r="AK9" s="1596"/>
      <c r="AL9" s="1596"/>
      <c r="AM9" s="1596"/>
      <c r="AN9" s="1596"/>
      <c r="AO9" s="1596"/>
      <c r="AP9" s="1596"/>
      <c r="AQ9" s="1596"/>
      <c r="AR9" s="1596"/>
      <c r="AS9" s="1596"/>
      <c r="AT9" s="1596"/>
      <c r="AU9" s="1596"/>
      <c r="AV9" s="1596"/>
      <c r="AW9" s="1596"/>
      <c r="AX9" s="1596"/>
      <c r="AY9" s="1597"/>
    </row>
    <row r="10" spans="1:66" ht="20.100000000000001" customHeight="1">
      <c r="A10" s="435" t="str">
        <f>INDEX('DEFAULT DATA'!$AJT$9:$AJW$41,START!$C$3,4)</f>
        <v>Detached</v>
      </c>
      <c r="B10" s="12">
        <v>34566</v>
      </c>
      <c r="C10" s="14"/>
      <c r="D10" s="14"/>
      <c r="E10" s="14"/>
      <c r="F10" s="14"/>
      <c r="G10" s="14"/>
      <c r="H10" s="16"/>
      <c r="I10" s="16"/>
      <c r="J10" s="16"/>
      <c r="K10" s="11"/>
      <c r="L10" s="16"/>
      <c r="M10" s="627"/>
      <c r="N10" s="630"/>
      <c r="O10" s="630"/>
      <c r="P10" s="630"/>
      <c r="Q10" s="630"/>
      <c r="R10" s="630"/>
      <c r="S10" s="630"/>
      <c r="T10" s="630"/>
      <c r="U10" s="630"/>
      <c r="V10" s="630"/>
      <c r="W10" s="630"/>
      <c r="X10" s="630"/>
      <c r="Y10" s="630"/>
      <c r="Z10" s="630"/>
      <c r="AA10" s="630"/>
      <c r="AB10" s="630"/>
      <c r="AC10" s="630"/>
      <c r="AD10" s="630"/>
      <c r="AE10" s="630"/>
      <c r="AF10" s="1555"/>
      <c r="AG10" s="1536" t="s">
        <v>1163</v>
      </c>
      <c r="AH10" s="1544"/>
      <c r="AI10" s="1544"/>
      <c r="AJ10" s="1544"/>
      <c r="AK10" s="1544"/>
      <c r="AL10" s="1544"/>
      <c r="AM10" s="1544"/>
      <c r="AN10" s="1544"/>
      <c r="AO10" s="1544"/>
      <c r="AP10" s="1544"/>
      <c r="AQ10" s="1544"/>
      <c r="AR10" s="1544"/>
      <c r="AS10" s="1544"/>
      <c r="AT10" s="1544"/>
      <c r="AU10" s="1544"/>
      <c r="AV10" s="1544"/>
      <c r="AW10" s="1544"/>
      <c r="AX10" s="1544"/>
      <c r="AY10" s="1537"/>
    </row>
    <row r="11" spans="1:66" ht="20.100000000000001" customHeight="1">
      <c r="A11" s="41" t="s">
        <v>211</v>
      </c>
      <c r="B11" s="92">
        <f>SUM(B7:B10)</f>
        <v>70230</v>
      </c>
      <c r="C11" s="14"/>
      <c r="D11" s="14"/>
      <c r="E11" s="14"/>
      <c r="F11" s="14"/>
      <c r="G11" s="14"/>
      <c r="H11" s="16"/>
      <c r="I11" s="16"/>
      <c r="J11" s="16"/>
      <c r="K11" s="11"/>
      <c r="L11" s="16"/>
      <c r="M11" s="627"/>
      <c r="N11" s="630"/>
      <c r="O11" s="630"/>
      <c r="P11" s="630"/>
      <c r="Q11" s="630"/>
      <c r="R11" s="630"/>
      <c r="S11" s="630"/>
      <c r="T11" s="630"/>
      <c r="U11" s="630"/>
      <c r="V11" s="630"/>
      <c r="W11" s="630"/>
      <c r="X11" s="630"/>
      <c r="Y11" s="630"/>
      <c r="Z11" s="630"/>
      <c r="AA11" s="630"/>
      <c r="AB11" s="630"/>
      <c r="AC11" s="630"/>
      <c r="AD11" s="630"/>
      <c r="AE11" s="630"/>
      <c r="AF11" s="1555"/>
      <c r="AG11" s="1536" t="s">
        <v>1162</v>
      </c>
      <c r="AH11" s="1544"/>
      <c r="AI11" s="1544"/>
      <c r="AJ11" s="1544"/>
      <c r="AK11" s="1544"/>
      <c r="AL11" s="1544"/>
      <c r="AM11" s="1544"/>
      <c r="AN11" s="1544"/>
      <c r="AO11" s="1544"/>
      <c r="AP11" s="1544"/>
      <c r="AQ11" s="1544"/>
      <c r="AR11" s="1544"/>
      <c r="AS11" s="1544"/>
      <c r="AT11" s="1544"/>
      <c r="AU11" s="1544"/>
      <c r="AV11" s="1544"/>
      <c r="AW11" s="1544"/>
      <c r="AX11" s="1544"/>
      <c r="AY11" s="1537"/>
    </row>
    <row r="12" spans="1:66" ht="20.100000000000001" customHeight="1">
      <c r="A12" s="41"/>
      <c r="B12" s="14"/>
      <c r="C12" s="14"/>
      <c r="D12" s="14"/>
      <c r="E12" s="14"/>
      <c r="F12" s="14"/>
      <c r="G12" s="14"/>
      <c r="H12" s="16"/>
      <c r="I12" s="16"/>
      <c r="J12" s="16"/>
      <c r="K12" s="11"/>
      <c r="L12" s="16"/>
      <c r="M12" s="627"/>
      <c r="N12" s="630"/>
      <c r="O12" s="630"/>
      <c r="P12" s="630"/>
      <c r="Q12" s="630"/>
      <c r="R12" s="630"/>
      <c r="S12" s="630"/>
      <c r="T12" s="630"/>
      <c r="U12" s="630"/>
      <c r="V12" s="630"/>
      <c r="W12" s="630"/>
      <c r="X12" s="630"/>
      <c r="Y12" s="630"/>
      <c r="Z12" s="630"/>
      <c r="AA12" s="630"/>
      <c r="AB12" s="630"/>
      <c r="AC12" s="630"/>
      <c r="AD12" s="630"/>
      <c r="AE12" s="630"/>
      <c r="AF12" s="1555"/>
      <c r="AG12" s="1569" t="s">
        <v>1145</v>
      </c>
      <c r="AH12" s="1570"/>
      <c r="AI12" s="1570"/>
      <c r="AJ12" s="1570"/>
      <c r="AK12" s="1570"/>
      <c r="AL12" s="1570"/>
      <c r="AM12" s="1570"/>
      <c r="AN12" s="1570"/>
      <c r="AO12" s="1570"/>
      <c r="AP12" s="1570"/>
      <c r="AQ12" s="1570"/>
      <c r="AR12" s="1570"/>
      <c r="AS12" s="1570"/>
      <c r="AT12" s="1570"/>
      <c r="AU12" s="1570"/>
      <c r="AV12" s="1570"/>
      <c r="AW12" s="1570"/>
      <c r="AX12" s="1570"/>
      <c r="AY12" s="1571"/>
    </row>
    <row r="13" spans="1:66" ht="20.100000000000001" customHeight="1">
      <c r="A13" s="85" t="s">
        <v>900</v>
      </c>
      <c r="B13" s="38"/>
      <c r="C13" s="38"/>
      <c r="D13" s="38"/>
      <c r="E13" s="38"/>
      <c r="F13" s="38"/>
      <c r="G13" s="38"/>
      <c r="H13" s="17"/>
      <c r="I13" s="17"/>
      <c r="J13" s="17"/>
      <c r="K13" s="10"/>
      <c r="L13" s="16"/>
      <c r="M13" s="627"/>
      <c r="N13" s="630"/>
      <c r="O13" s="630"/>
      <c r="P13" s="630"/>
      <c r="Q13" s="630"/>
      <c r="R13" s="630"/>
      <c r="S13" s="630"/>
      <c r="T13" s="630"/>
      <c r="U13" s="630"/>
      <c r="V13" s="630"/>
      <c r="W13" s="630"/>
      <c r="X13" s="630"/>
      <c r="Y13" s="630"/>
      <c r="Z13" s="630"/>
      <c r="AA13" s="630"/>
      <c r="AB13" s="630"/>
      <c r="AC13" s="630"/>
      <c r="AD13" s="630"/>
      <c r="AE13" s="630"/>
      <c r="AF13" s="1555"/>
      <c r="AG13" s="346" t="s">
        <v>1146</v>
      </c>
      <c r="AH13" s="347"/>
      <c r="AI13" s="347"/>
      <c r="AJ13" s="347"/>
      <c r="AK13" s="347"/>
      <c r="AL13" s="347"/>
      <c r="AM13" s="347"/>
      <c r="AN13" s="347"/>
      <c r="AO13" s="347"/>
      <c r="AP13" s="347"/>
      <c r="AQ13" s="347"/>
      <c r="AR13" s="347"/>
      <c r="AS13" s="347"/>
      <c r="AT13" s="347"/>
      <c r="AU13" s="347"/>
      <c r="AV13" s="347"/>
      <c r="AW13" s="347"/>
      <c r="AX13" s="347"/>
      <c r="AY13" s="348"/>
    </row>
    <row r="14" spans="1:66" ht="20.100000000000001" customHeight="1">
      <c r="A14" s="41"/>
      <c r="B14" s="216" t="s">
        <v>965</v>
      </c>
      <c r="C14" s="14"/>
      <c r="D14" s="14"/>
      <c r="E14" s="14"/>
      <c r="F14" s="14"/>
      <c r="G14" s="14"/>
      <c r="H14" s="16"/>
      <c r="I14" s="16"/>
      <c r="J14" s="16"/>
      <c r="K14" s="11"/>
      <c r="L14" s="16"/>
      <c r="M14" s="627"/>
      <c r="N14" s="630"/>
      <c r="O14" s="630"/>
      <c r="P14" s="630"/>
      <c r="Q14" s="630"/>
      <c r="R14" s="630"/>
      <c r="S14" s="630"/>
      <c r="T14" s="630"/>
      <c r="U14" s="630"/>
      <c r="V14" s="630"/>
      <c r="W14" s="630"/>
      <c r="X14" s="630"/>
      <c r="Y14" s="630"/>
      <c r="Z14" s="630"/>
      <c r="AA14" s="630"/>
      <c r="AB14" s="630"/>
      <c r="AC14" s="630"/>
      <c r="AD14" s="630"/>
      <c r="AE14" s="630"/>
      <c r="AF14" s="1555"/>
      <c r="AG14" s="349" t="s">
        <v>1161</v>
      </c>
      <c r="AH14" s="350"/>
      <c r="AI14" s="350"/>
      <c r="AJ14" s="350"/>
      <c r="AK14" s="350"/>
      <c r="AL14" s="350"/>
      <c r="AM14" s="350"/>
      <c r="AN14" s="350"/>
      <c r="AO14" s="350"/>
      <c r="AP14" s="350"/>
      <c r="AQ14" s="350"/>
      <c r="AR14" s="350"/>
      <c r="AS14" s="350"/>
      <c r="AT14" s="350"/>
      <c r="AU14" s="350"/>
      <c r="AV14" s="350"/>
      <c r="AW14" s="350"/>
      <c r="AX14" s="350"/>
      <c r="AY14" s="351"/>
    </row>
    <row r="15" spans="1:66" ht="20.100000000000001" customHeight="1">
      <c r="A15" s="41" t="str">
        <f>INDEX('DEFAULT DATA'!$AJX$9:$AKC$41,START!$C$3,1)</f>
        <v>Retail</v>
      </c>
      <c r="B15" s="12">
        <v>262714</v>
      </c>
      <c r="C15" s="14"/>
      <c r="D15" s="14"/>
      <c r="E15" s="14"/>
      <c r="F15" s="14"/>
      <c r="G15" s="14"/>
      <c r="H15" s="16"/>
      <c r="I15" s="16"/>
      <c r="J15" s="16"/>
      <c r="K15" s="11"/>
      <c r="L15" s="16"/>
      <c r="M15" s="627"/>
      <c r="N15" s="630"/>
      <c r="O15" s="630"/>
      <c r="P15" s="630"/>
      <c r="Q15" s="630"/>
      <c r="R15" s="630"/>
      <c r="S15" s="630"/>
      <c r="T15" s="630"/>
      <c r="U15" s="630"/>
      <c r="V15" s="630"/>
      <c r="W15" s="630"/>
      <c r="X15" s="630"/>
      <c r="Y15" s="630"/>
      <c r="Z15" s="630"/>
      <c r="AA15" s="630"/>
      <c r="AB15" s="630"/>
      <c r="AC15" s="630"/>
      <c r="AD15" s="630"/>
      <c r="AE15" s="630"/>
      <c r="AF15" s="1555"/>
      <c r="AG15" s="1595" t="s">
        <v>1147</v>
      </c>
      <c r="AH15" s="1596"/>
      <c r="AI15" s="1596"/>
      <c r="AJ15" s="1596"/>
      <c r="AK15" s="1596"/>
      <c r="AL15" s="1596"/>
      <c r="AM15" s="1596"/>
      <c r="AN15" s="1596"/>
      <c r="AO15" s="1596"/>
      <c r="AP15" s="1596"/>
      <c r="AQ15" s="1596"/>
      <c r="AR15" s="1596"/>
      <c r="AS15" s="1596"/>
      <c r="AT15" s="1596"/>
      <c r="AU15" s="1596"/>
      <c r="AV15" s="1596"/>
      <c r="AW15" s="1596"/>
      <c r="AX15" s="1596"/>
      <c r="AY15" s="1597"/>
    </row>
    <row r="16" spans="1:66" ht="20.100000000000001" customHeight="1">
      <c r="A16" s="41" t="str">
        <f>INDEX('DEFAULT DATA'!$AJX$9:$AKC$41,START!$C$3,2)</f>
        <v>Health</v>
      </c>
      <c r="B16" s="12">
        <v>31619</v>
      </c>
      <c r="C16" s="14"/>
      <c r="D16" s="14"/>
      <c r="E16" s="14"/>
      <c r="F16" s="14"/>
      <c r="G16" s="14"/>
      <c r="H16" s="16"/>
      <c r="I16" s="16"/>
      <c r="J16" s="16"/>
      <c r="K16" s="11"/>
      <c r="L16" s="16"/>
      <c r="M16" s="627"/>
      <c r="N16" s="630"/>
      <c r="O16" s="630"/>
      <c r="P16" s="630"/>
      <c r="Q16" s="630"/>
      <c r="R16" s="630"/>
      <c r="S16" s="630"/>
      <c r="T16" s="630"/>
      <c r="U16" s="630"/>
      <c r="V16" s="630"/>
      <c r="W16" s="630"/>
      <c r="X16" s="630"/>
      <c r="Y16" s="630"/>
      <c r="Z16" s="630"/>
      <c r="AA16" s="630"/>
      <c r="AB16" s="630"/>
      <c r="AC16" s="630"/>
      <c r="AD16" s="630"/>
      <c r="AE16" s="630"/>
      <c r="AF16" s="1555"/>
      <c r="AG16" s="1536" t="s">
        <v>1148</v>
      </c>
      <c r="AH16" s="1544"/>
      <c r="AI16" s="1544"/>
      <c r="AJ16" s="1544"/>
      <c r="AK16" s="1544"/>
      <c r="AL16" s="1544"/>
      <c r="AM16" s="1544"/>
      <c r="AN16" s="1544"/>
      <c r="AO16" s="1544"/>
      <c r="AP16" s="1544"/>
      <c r="AQ16" s="1544"/>
      <c r="AR16" s="1544"/>
      <c r="AS16" s="1544"/>
      <c r="AT16" s="1544"/>
      <c r="AU16" s="1544"/>
      <c r="AV16" s="1544"/>
      <c r="AW16" s="1544"/>
      <c r="AX16" s="1544"/>
      <c r="AY16" s="1537"/>
    </row>
    <row r="17" spans="1:52" ht="20.100000000000001" customHeight="1">
      <c r="A17" s="41" t="str">
        <f>INDEX('DEFAULT DATA'!$AJX$9:$AKC$41,START!$C$3,3)</f>
        <v>Hospitality</v>
      </c>
      <c r="B17" s="12">
        <v>317908</v>
      </c>
      <c r="C17" s="14"/>
      <c r="D17" s="14"/>
      <c r="E17" s="14"/>
      <c r="F17" s="14"/>
      <c r="G17" s="14"/>
      <c r="H17" s="16"/>
      <c r="I17" s="16"/>
      <c r="J17" s="16"/>
      <c r="K17" s="11"/>
      <c r="L17" s="16"/>
      <c r="M17" s="627"/>
      <c r="N17" s="630"/>
      <c r="O17" s="630"/>
      <c r="P17" s="630"/>
      <c r="Q17" s="630"/>
      <c r="R17" s="630"/>
      <c r="S17" s="630"/>
      <c r="T17" s="630"/>
      <c r="U17" s="630"/>
      <c r="V17" s="630"/>
      <c r="W17" s="630"/>
      <c r="X17" s="630"/>
      <c r="Y17" s="630"/>
      <c r="Z17" s="630"/>
      <c r="AA17" s="630"/>
      <c r="AB17" s="630"/>
      <c r="AC17" s="630"/>
      <c r="AD17" s="630"/>
      <c r="AE17" s="630"/>
      <c r="AF17" s="1555"/>
      <c r="AG17" s="1595" t="s">
        <v>1149</v>
      </c>
      <c r="AH17" s="1596"/>
      <c r="AI17" s="1596"/>
      <c r="AJ17" s="1596"/>
      <c r="AK17" s="1596"/>
      <c r="AL17" s="1596"/>
      <c r="AM17" s="1596"/>
      <c r="AN17" s="1596"/>
      <c r="AO17" s="1596"/>
      <c r="AP17" s="1596"/>
      <c r="AQ17" s="1596"/>
      <c r="AR17" s="1596"/>
      <c r="AS17" s="1596"/>
      <c r="AT17" s="1596"/>
      <c r="AU17" s="1596"/>
      <c r="AV17" s="1596"/>
      <c r="AW17" s="1596"/>
      <c r="AX17" s="1596"/>
      <c r="AY17" s="1597"/>
    </row>
    <row r="18" spans="1:52" ht="20.100000000000001" customHeight="1">
      <c r="A18" s="41" t="str">
        <f>INDEX('DEFAULT DATA'!$AJX$9:$AKC$41,START!$C$3,4)</f>
        <v>Offices</v>
      </c>
      <c r="B18" s="12">
        <v>136770</v>
      </c>
      <c r="C18" s="14"/>
      <c r="D18" s="14"/>
      <c r="E18" s="14"/>
      <c r="F18" s="14"/>
      <c r="G18" s="14"/>
      <c r="H18" s="16"/>
      <c r="I18" s="16"/>
      <c r="J18" s="16"/>
      <c r="K18" s="11"/>
      <c r="L18" s="16"/>
      <c r="M18" s="627"/>
      <c r="N18" s="630"/>
      <c r="O18" s="630"/>
      <c r="P18" s="630"/>
      <c r="Q18" s="630"/>
      <c r="R18" s="630"/>
      <c r="S18" s="630"/>
      <c r="T18" s="630"/>
      <c r="U18" s="630"/>
      <c r="V18" s="630"/>
      <c r="W18" s="630"/>
      <c r="X18" s="630"/>
      <c r="Y18" s="630"/>
      <c r="Z18" s="630"/>
      <c r="AA18" s="630"/>
      <c r="AB18" s="630"/>
      <c r="AC18" s="630"/>
      <c r="AD18" s="630"/>
      <c r="AE18" s="630"/>
      <c r="AF18" s="1555"/>
      <c r="AG18" s="1536" t="s">
        <v>1150</v>
      </c>
      <c r="AH18" s="1544"/>
      <c r="AI18" s="1544"/>
      <c r="AJ18" s="1544"/>
      <c r="AK18" s="1544"/>
      <c r="AL18" s="1544"/>
      <c r="AM18" s="1544"/>
      <c r="AN18" s="1544"/>
      <c r="AO18" s="1544"/>
      <c r="AP18" s="1544"/>
      <c r="AQ18" s="1544"/>
      <c r="AR18" s="1544"/>
      <c r="AS18" s="1544"/>
      <c r="AT18" s="1544"/>
      <c r="AU18" s="1544"/>
      <c r="AV18" s="1544"/>
      <c r="AW18" s="1544"/>
      <c r="AX18" s="1544"/>
      <c r="AY18" s="1537"/>
    </row>
    <row r="19" spans="1:52" ht="20.100000000000001" customHeight="1">
      <c r="A19" s="41" t="str">
        <f>INDEX('DEFAULT DATA'!$AJX$9:$AKC$41,START!$C$3,5)</f>
        <v>Industrial</v>
      </c>
      <c r="B19" s="12">
        <v>1508421</v>
      </c>
      <c r="C19" s="14"/>
      <c r="D19" s="14"/>
      <c r="E19" s="14"/>
      <c r="F19" s="14"/>
      <c r="G19" s="14"/>
      <c r="H19" s="16"/>
      <c r="I19" s="16"/>
      <c r="J19" s="16"/>
      <c r="K19" s="11"/>
      <c r="L19" s="16"/>
      <c r="M19" s="627"/>
      <c r="N19" s="630"/>
      <c r="O19" s="630"/>
      <c r="P19" s="630"/>
      <c r="Q19" s="630"/>
      <c r="R19" s="630"/>
      <c r="S19" s="630"/>
      <c r="T19" s="630"/>
      <c r="U19" s="630"/>
      <c r="V19" s="630"/>
      <c r="W19" s="630"/>
      <c r="X19" s="630"/>
      <c r="Y19" s="630"/>
      <c r="Z19" s="630"/>
      <c r="AA19" s="630"/>
      <c r="AB19" s="630"/>
      <c r="AC19" s="630"/>
      <c r="AD19" s="630"/>
      <c r="AE19" s="630"/>
      <c r="AF19" s="1555"/>
      <c r="AG19" s="1595" t="s">
        <v>1151</v>
      </c>
      <c r="AH19" s="1596"/>
      <c r="AI19" s="1596"/>
      <c r="AJ19" s="1596"/>
      <c r="AK19" s="1596"/>
      <c r="AL19" s="1596"/>
      <c r="AM19" s="1596"/>
      <c r="AN19" s="1596"/>
      <c r="AO19" s="1596"/>
      <c r="AP19" s="1596"/>
      <c r="AQ19" s="1596"/>
      <c r="AR19" s="1596"/>
      <c r="AS19" s="1596"/>
      <c r="AT19" s="1596"/>
      <c r="AU19" s="1596"/>
      <c r="AV19" s="1596"/>
      <c r="AW19" s="1596"/>
      <c r="AX19" s="1596"/>
      <c r="AY19" s="1597"/>
    </row>
    <row r="20" spans="1:52" ht="20.100000000000001" customHeight="1">
      <c r="A20" s="435" t="str">
        <f>INDEX('DEFAULT DATA'!$AJX$9:$AKC$41,START!$C$3,6)</f>
        <v>Warehouses</v>
      </c>
      <c r="B20" s="12">
        <v>61143</v>
      </c>
      <c r="C20" s="14"/>
      <c r="D20" s="14"/>
      <c r="E20" s="14"/>
      <c r="F20" s="14"/>
      <c r="G20" s="14"/>
      <c r="H20" s="16"/>
      <c r="I20" s="16"/>
      <c r="J20" s="16"/>
      <c r="K20" s="11"/>
      <c r="L20" s="16"/>
      <c r="M20" s="627"/>
      <c r="N20" s="630"/>
      <c r="O20" s="630"/>
      <c r="P20" s="630"/>
      <c r="Q20" s="630"/>
      <c r="R20" s="630"/>
      <c r="S20" s="630"/>
      <c r="T20" s="630"/>
      <c r="U20" s="630"/>
      <c r="V20" s="630"/>
      <c r="W20" s="630"/>
      <c r="X20" s="630"/>
      <c r="Y20" s="630"/>
      <c r="Z20" s="630"/>
      <c r="AA20" s="630"/>
      <c r="AB20" s="630"/>
      <c r="AC20" s="630"/>
      <c r="AD20" s="630"/>
      <c r="AE20" s="630"/>
      <c r="AF20" s="1555"/>
      <c r="AG20" s="1536" t="s">
        <v>1152</v>
      </c>
      <c r="AH20" s="1544"/>
      <c r="AI20" s="1544"/>
      <c r="AJ20" s="1544"/>
      <c r="AK20" s="1544"/>
      <c r="AL20" s="1544"/>
      <c r="AM20" s="1544"/>
      <c r="AN20" s="1544"/>
      <c r="AO20" s="1544"/>
      <c r="AP20" s="1544"/>
      <c r="AQ20" s="1544"/>
      <c r="AR20" s="1544"/>
      <c r="AS20" s="1544"/>
      <c r="AT20" s="1544"/>
      <c r="AU20" s="1544"/>
      <c r="AV20" s="1544"/>
      <c r="AW20" s="1544"/>
      <c r="AX20" s="1544"/>
      <c r="AY20" s="1537"/>
    </row>
    <row r="21" spans="1:52" ht="20.100000000000001" customHeight="1">
      <c r="A21" s="41" t="s">
        <v>211</v>
      </c>
      <c r="B21" s="92">
        <f>SUM(B15:B20)</f>
        <v>2318575</v>
      </c>
      <c r="C21" s="16"/>
      <c r="D21" s="16"/>
      <c r="E21" s="16"/>
      <c r="F21" s="16"/>
      <c r="G21" s="16"/>
      <c r="H21" s="16"/>
      <c r="I21" s="16"/>
      <c r="J21" s="16"/>
      <c r="K21" s="11"/>
      <c r="L21" s="16"/>
      <c r="M21" s="627"/>
      <c r="N21" s="630"/>
      <c r="O21" s="630"/>
      <c r="P21" s="630"/>
      <c r="Q21" s="630"/>
      <c r="R21" s="630"/>
      <c r="S21" s="630"/>
      <c r="T21" s="630"/>
      <c r="U21" s="630"/>
      <c r="V21" s="630"/>
      <c r="W21" s="630"/>
      <c r="X21" s="630"/>
      <c r="Y21" s="630"/>
      <c r="Z21" s="630"/>
      <c r="AA21" s="630"/>
      <c r="AB21" s="630"/>
      <c r="AC21" s="630"/>
      <c r="AD21" s="630"/>
      <c r="AE21" s="630"/>
      <c r="AF21" s="1555"/>
      <c r="AG21" s="1601"/>
      <c r="AH21" s="1602"/>
      <c r="AI21" s="1602"/>
      <c r="AJ21" s="1602"/>
      <c r="AK21" s="1602"/>
      <c r="AL21" s="1602"/>
      <c r="AM21" s="1602"/>
      <c r="AN21" s="1602"/>
      <c r="AO21" s="1602"/>
      <c r="AP21" s="1602"/>
      <c r="AQ21" s="1602"/>
      <c r="AR21" s="1602"/>
      <c r="AS21" s="1602"/>
      <c r="AT21" s="1602"/>
      <c r="AU21" s="1602"/>
      <c r="AV21" s="1602"/>
      <c r="AW21" s="1602"/>
      <c r="AX21" s="1602"/>
      <c r="AY21" s="1603"/>
    </row>
    <row r="22" spans="1:52" ht="20.100000000000001" customHeight="1">
      <c r="A22" s="15"/>
      <c r="B22" s="16"/>
      <c r="C22" s="14"/>
      <c r="D22" s="14"/>
      <c r="E22" s="14"/>
      <c r="F22" s="14"/>
      <c r="G22" s="14"/>
      <c r="H22" s="16"/>
      <c r="I22" s="16"/>
      <c r="J22" s="16"/>
      <c r="K22" s="11"/>
      <c r="L22" s="16"/>
      <c r="M22" s="627"/>
      <c r="N22" s="630"/>
      <c r="O22" s="630"/>
      <c r="P22" s="630"/>
      <c r="Q22" s="630"/>
      <c r="R22" s="630"/>
      <c r="S22" s="630"/>
      <c r="T22" s="630"/>
      <c r="U22" s="630"/>
      <c r="V22" s="630"/>
      <c r="W22" s="630"/>
      <c r="X22" s="630"/>
      <c r="Y22" s="630"/>
      <c r="Z22" s="630"/>
      <c r="AA22" s="630"/>
      <c r="AB22" s="630"/>
      <c r="AC22" s="630"/>
      <c r="AD22" s="630"/>
      <c r="AE22" s="630"/>
      <c r="AF22" s="1555"/>
      <c r="AG22" s="1604"/>
      <c r="AH22" s="1605"/>
      <c r="AI22" s="1605"/>
      <c r="AJ22" s="1605"/>
      <c r="AK22" s="1605"/>
      <c r="AL22" s="1605"/>
      <c r="AM22" s="1605"/>
      <c r="AN22" s="1605"/>
      <c r="AO22" s="1605"/>
      <c r="AP22" s="1605"/>
      <c r="AQ22" s="1605"/>
      <c r="AR22" s="1605"/>
      <c r="AS22" s="1605"/>
      <c r="AT22" s="1605"/>
      <c r="AU22" s="1605"/>
      <c r="AV22" s="1605"/>
      <c r="AW22" s="1605"/>
      <c r="AX22" s="1605"/>
      <c r="AY22" s="1606"/>
    </row>
    <row r="23" spans="1:52" ht="20.100000000000001" customHeight="1" thickBot="1">
      <c r="A23" s="83"/>
      <c r="B23" s="214"/>
      <c r="C23" s="214"/>
      <c r="D23" s="214"/>
      <c r="E23" s="214"/>
      <c r="F23" s="214"/>
      <c r="G23" s="214"/>
      <c r="H23" s="19"/>
      <c r="I23" s="19"/>
      <c r="J23" s="19"/>
      <c r="K23" s="20"/>
      <c r="L23" s="16"/>
      <c r="M23" s="627"/>
      <c r="N23" s="630"/>
      <c r="O23" s="630"/>
      <c r="P23" s="630"/>
      <c r="Q23" s="630"/>
      <c r="R23" s="630"/>
      <c r="S23" s="630"/>
      <c r="T23" s="630"/>
      <c r="U23" s="630"/>
      <c r="V23" s="630"/>
      <c r="W23" s="630"/>
      <c r="X23" s="630"/>
      <c r="Y23" s="630"/>
      <c r="Z23" s="630"/>
      <c r="AA23" s="630"/>
      <c r="AB23" s="630"/>
      <c r="AC23" s="630"/>
      <c r="AD23" s="630"/>
      <c r="AE23" s="630"/>
      <c r="AF23" s="1555"/>
      <c r="AG23" s="1607"/>
      <c r="AH23" s="1608"/>
      <c r="AI23" s="1608"/>
      <c r="AJ23" s="1608"/>
      <c r="AK23" s="1608"/>
      <c r="AL23" s="1608"/>
      <c r="AM23" s="1608"/>
      <c r="AN23" s="1608"/>
      <c r="AO23" s="1608"/>
      <c r="AP23" s="1608"/>
      <c r="AQ23" s="1608"/>
      <c r="AR23" s="1608"/>
      <c r="AS23" s="1608"/>
      <c r="AT23" s="1608"/>
      <c r="AU23" s="1608"/>
      <c r="AV23" s="1608"/>
      <c r="AW23" s="1608"/>
      <c r="AX23" s="1608"/>
      <c r="AY23" s="1609"/>
    </row>
    <row r="24" spans="1:52" ht="30" customHeight="1" thickBot="1">
      <c r="A24" s="93" t="s">
        <v>164</v>
      </c>
      <c r="B24" s="94"/>
      <c r="C24" s="94"/>
      <c r="D24" s="94"/>
      <c r="E24" s="94"/>
      <c r="F24" s="94"/>
      <c r="G24" s="94"/>
      <c r="H24" s="95"/>
      <c r="I24" s="95"/>
      <c r="J24" s="95"/>
      <c r="K24" s="96"/>
      <c r="L24" s="219"/>
      <c r="M24" s="219"/>
      <c r="N24" s="219"/>
      <c r="O24" s="219"/>
      <c r="P24" s="219"/>
      <c r="Q24" s="219"/>
      <c r="R24" s="219"/>
      <c r="S24" s="219"/>
      <c r="T24" s="219"/>
      <c r="U24" s="219"/>
      <c r="V24" s="219"/>
      <c r="W24" s="219"/>
      <c r="X24" s="219"/>
      <c r="Y24" s="219"/>
      <c r="Z24" s="219"/>
      <c r="AA24" s="219"/>
      <c r="AB24" s="219"/>
      <c r="AC24" s="219"/>
      <c r="AD24" s="219"/>
      <c r="AE24" s="219"/>
      <c r="AF24" s="122"/>
    </row>
    <row r="25" spans="1:52" ht="20.100000000000001" customHeight="1">
      <c r="A25" s="97" t="s">
        <v>876</v>
      </c>
      <c r="B25" s="114">
        <f>2021+START!C2</f>
        <v>2022</v>
      </c>
      <c r="C25" s="98"/>
      <c r="D25" s="98"/>
      <c r="E25" s="98"/>
      <c r="F25" s="98"/>
      <c r="G25" s="98"/>
      <c r="H25" s="98"/>
      <c r="I25" s="98"/>
      <c r="J25" s="99"/>
      <c r="K25" s="100"/>
      <c r="L25" s="219"/>
      <c r="M25" s="219"/>
      <c r="N25" s="219"/>
      <c r="O25" s="219"/>
      <c r="P25" s="219"/>
      <c r="Q25" s="219"/>
      <c r="R25" s="219"/>
      <c r="S25" s="219"/>
      <c r="T25" s="219"/>
      <c r="U25" s="219"/>
      <c r="V25" s="219"/>
      <c r="W25" s="219"/>
      <c r="X25" s="219"/>
      <c r="Y25" s="219"/>
      <c r="Z25" s="219"/>
      <c r="AA25" s="219"/>
      <c r="AB25" s="219"/>
      <c r="AC25" s="219"/>
      <c r="AD25" s="219"/>
      <c r="AE25" s="219"/>
      <c r="AF25" s="1584" t="s">
        <v>1039</v>
      </c>
      <c r="AG25" s="631" t="s">
        <v>1164</v>
      </c>
      <c r="AH25" s="631"/>
      <c r="AI25" s="631"/>
      <c r="AJ25" s="631"/>
      <c r="AK25" s="631"/>
      <c r="AL25" s="631"/>
      <c r="AM25" s="631"/>
      <c r="AN25" s="631"/>
      <c r="AO25" s="631"/>
      <c r="AP25" s="631"/>
      <c r="AQ25" s="631"/>
      <c r="AR25" s="631"/>
      <c r="AS25" s="631"/>
      <c r="AT25" s="631"/>
      <c r="AU25" s="631"/>
      <c r="AV25" s="631"/>
      <c r="AW25" s="631"/>
      <c r="AX25" s="637"/>
      <c r="AY25" s="637"/>
      <c r="AZ25" s="636"/>
    </row>
    <row r="26" spans="1:52" ht="20.100000000000001" customHeight="1">
      <c r="A26" s="90" t="s">
        <v>1019</v>
      </c>
      <c r="B26" s="79"/>
      <c r="C26" s="79"/>
      <c r="D26" s="79"/>
      <c r="E26" s="79"/>
      <c r="F26" s="79"/>
      <c r="G26" s="79"/>
      <c r="H26" s="78"/>
      <c r="I26" s="78"/>
      <c r="J26" s="78"/>
      <c r="K26" s="89"/>
      <c r="L26" s="16"/>
      <c r="M26" s="627"/>
      <c r="N26" s="630"/>
      <c r="O26" s="630"/>
      <c r="P26" s="630"/>
      <c r="Q26" s="630"/>
      <c r="R26" s="630"/>
      <c r="S26" s="630"/>
      <c r="T26" s="630"/>
      <c r="U26" s="630"/>
      <c r="V26" s="630"/>
      <c r="W26" s="630"/>
      <c r="X26" s="630"/>
      <c r="Y26" s="630"/>
      <c r="Z26" s="630"/>
      <c r="AA26" s="630"/>
      <c r="AB26" s="630"/>
      <c r="AC26" s="630"/>
      <c r="AD26" s="630"/>
      <c r="AE26" s="630"/>
      <c r="AF26" s="1585"/>
      <c r="AG26" s="631" t="s">
        <v>1165</v>
      </c>
      <c r="AH26" s="631"/>
      <c r="AI26" s="631"/>
      <c r="AJ26" s="631"/>
      <c r="AK26" s="631"/>
      <c r="AL26" s="631"/>
      <c r="AM26" s="631"/>
      <c r="AN26" s="631"/>
      <c r="AO26" s="631"/>
      <c r="AP26" s="631"/>
      <c r="AQ26" s="631"/>
      <c r="AR26" s="631"/>
      <c r="AS26" s="631"/>
      <c r="AT26" s="631"/>
      <c r="AU26" s="631"/>
      <c r="AV26" s="631"/>
      <c r="AW26" s="631"/>
      <c r="AX26" s="637"/>
      <c r="AY26" s="637"/>
      <c r="AZ26" s="636"/>
    </row>
    <row r="27" spans="1:52" ht="20.100000000000001" customHeight="1">
      <c r="A27" s="101" t="s">
        <v>1060</v>
      </c>
      <c r="B27" s="81" t="s">
        <v>578</v>
      </c>
      <c r="C27" s="81" t="s">
        <v>862</v>
      </c>
      <c r="D27" s="81" t="s">
        <v>863</v>
      </c>
      <c r="E27" s="81" t="s">
        <v>864</v>
      </c>
      <c r="F27" s="81" t="s">
        <v>865</v>
      </c>
      <c r="G27" s="81" t="s">
        <v>866</v>
      </c>
      <c r="H27" s="81" t="s">
        <v>867</v>
      </c>
      <c r="I27" s="81" t="s">
        <v>868</v>
      </c>
      <c r="J27" s="81" t="s">
        <v>122</v>
      </c>
      <c r="K27" s="28"/>
      <c r="L27" s="16"/>
      <c r="M27" s="627"/>
      <c r="N27" s="630"/>
      <c r="O27" s="630"/>
      <c r="P27" s="630"/>
      <c r="Q27" s="630"/>
      <c r="R27" s="630"/>
      <c r="S27" s="630"/>
      <c r="T27" s="630"/>
      <c r="U27" s="630"/>
      <c r="V27" s="630"/>
      <c r="W27" s="630"/>
      <c r="X27" s="630"/>
      <c r="Y27" s="630"/>
      <c r="Z27" s="630"/>
      <c r="AA27" s="630"/>
      <c r="AB27" s="630"/>
      <c r="AC27" s="630"/>
      <c r="AD27" s="630"/>
      <c r="AE27" s="630"/>
      <c r="AF27" s="1585"/>
      <c r="AG27" s="631" t="s">
        <v>1166</v>
      </c>
      <c r="AH27" s="631"/>
      <c r="AI27" s="631"/>
      <c r="AJ27" s="631"/>
      <c r="AK27" s="631"/>
      <c r="AL27" s="631"/>
      <c r="AM27" s="631"/>
      <c r="AN27" s="631"/>
      <c r="AO27" s="631"/>
      <c r="AP27" s="631"/>
      <c r="AQ27" s="631"/>
      <c r="AR27" s="631"/>
      <c r="AS27" s="631"/>
      <c r="AT27" s="631"/>
      <c r="AU27" s="631"/>
      <c r="AV27" s="631"/>
      <c r="AW27" s="631"/>
      <c r="AX27" s="637"/>
      <c r="AY27" s="637"/>
      <c r="AZ27" s="636"/>
    </row>
    <row r="28" spans="1:52" ht="20.100000000000001" customHeight="1">
      <c r="A28" s="101" t="s">
        <v>858</v>
      </c>
      <c r="B28" s="63">
        <f>INDEX($AL$43:$BN$50,1,START!$C$2)</f>
        <v>1897.4307558838022</v>
      </c>
      <c r="C28" s="63">
        <f>INDEX($AL$43:$BN$50,2,START!$C$2)</f>
        <v>2603.1816052403333</v>
      </c>
      <c r="D28" s="63">
        <f>INDEX($AL$43:$BN$50,3,START!$C$2)</f>
        <v>430.10488155889169</v>
      </c>
      <c r="E28" s="63">
        <f>INDEX($AL$43:$BN$50,4,START!$C$2)</f>
        <v>0</v>
      </c>
      <c r="F28" s="63">
        <f>INDEX($AL$43:$BN$50,5,START!$C$2)</f>
        <v>0</v>
      </c>
      <c r="G28" s="63">
        <f>INDEX($AL$43:$BN$50,6,START!$C$2)</f>
        <v>0</v>
      </c>
      <c r="H28" s="63">
        <f>INDEX($AL$43:$BN$50,7,START!$C$2)</f>
        <v>0</v>
      </c>
      <c r="I28" s="63">
        <f>INDEX($AL$43:$BN$50,8,START!$C$2)</f>
        <v>1409.5197429364428</v>
      </c>
      <c r="J28" s="115">
        <f>SUM(B28:I28)</f>
        <v>6340.23698561947</v>
      </c>
      <c r="K28" s="28"/>
      <c r="L28" s="16"/>
      <c r="M28" s="627"/>
      <c r="N28" s="630"/>
      <c r="O28" s="630"/>
      <c r="P28" s="630"/>
      <c r="Q28" s="630"/>
      <c r="R28" s="630"/>
      <c r="S28" s="630"/>
      <c r="T28" s="630"/>
      <c r="U28" s="630"/>
      <c r="V28" s="630"/>
      <c r="W28" s="630"/>
      <c r="X28" s="630"/>
      <c r="Y28" s="630"/>
      <c r="Z28" s="630"/>
      <c r="AA28" s="630"/>
      <c r="AB28" s="630"/>
      <c r="AC28" s="630"/>
      <c r="AD28" s="630"/>
      <c r="AE28" s="630"/>
      <c r="AF28" s="1585"/>
      <c r="AG28" s="1544" t="s">
        <v>1167</v>
      </c>
      <c r="AH28" s="1544"/>
      <c r="AI28" s="1544"/>
      <c r="AJ28" s="1544"/>
      <c r="AK28" s="1544"/>
      <c r="AL28" s="1544"/>
      <c r="AM28" s="1544"/>
      <c r="AN28" s="1544"/>
      <c r="AO28" s="1544"/>
      <c r="AP28" s="1544"/>
      <c r="AQ28" s="1544"/>
      <c r="AR28" s="1544"/>
      <c r="AS28" s="1544"/>
      <c r="AT28" s="1544"/>
      <c r="AU28" s="1544"/>
      <c r="AV28" s="1544"/>
      <c r="AW28" s="1544"/>
      <c r="AX28" s="637"/>
      <c r="AY28" s="637"/>
      <c r="AZ28" s="636"/>
    </row>
    <row r="29" spans="1:52" ht="20.100000000000001" customHeight="1">
      <c r="A29" s="101" t="s">
        <v>861</v>
      </c>
      <c r="B29" s="115">
        <f>INDEX($AL$61:$BN$68,1,START!$C$2)</f>
        <v>2937.5352191436918</v>
      </c>
      <c r="C29" s="115">
        <f>INDEX($AL$61:$BN$68,2,START!$C$2)</f>
        <v>4030.1537347320118</v>
      </c>
      <c r="D29" s="115">
        <f>INDEX($AL$61:$BN$68,3,START!$C$2)</f>
        <v>665.87317275584599</v>
      </c>
      <c r="E29" s="115">
        <f>INDEX($AL$61:$BN$68,4,START!$C$2)</f>
        <v>0</v>
      </c>
      <c r="F29" s="115">
        <f>INDEX($AL$61:$BN$68,5,START!$C$2)</f>
        <v>0</v>
      </c>
      <c r="G29" s="115">
        <f>INDEX($AL$61:$BN$68,6,START!$C$2)</f>
        <v>0</v>
      </c>
      <c r="H29" s="115">
        <f>INDEX($AL$61:$BN$68,7,START!$C$2)</f>
        <v>0</v>
      </c>
      <c r="I29" s="115">
        <f>INDEX($AL$61:$BN$68,8,START!$C$2)</f>
        <v>2182.168637308484</v>
      </c>
      <c r="J29" s="115">
        <f t="shared" ref="J29" si="1">SUM(B29:I29)</f>
        <v>9815.7307639400351</v>
      </c>
      <c r="K29" s="28"/>
      <c r="L29" s="16"/>
      <c r="M29" s="627"/>
      <c r="N29" s="630"/>
      <c r="O29" s="630"/>
      <c r="P29" s="630"/>
      <c r="Q29" s="630"/>
      <c r="R29" s="630"/>
      <c r="S29" s="630"/>
      <c r="T29" s="630"/>
      <c r="U29" s="630"/>
      <c r="V29" s="630"/>
      <c r="W29" s="630"/>
      <c r="X29" s="630"/>
      <c r="Y29" s="630"/>
      <c r="Z29" s="630"/>
      <c r="AA29" s="630"/>
      <c r="AB29" s="630"/>
      <c r="AC29" s="630"/>
      <c r="AD29" s="630"/>
      <c r="AE29" s="630"/>
      <c r="AF29" s="1585"/>
      <c r="AG29" s="1544" t="s">
        <v>1168</v>
      </c>
      <c r="AH29" s="1544"/>
      <c r="AI29" s="1544"/>
      <c r="AJ29" s="1544"/>
      <c r="AK29" s="1544"/>
      <c r="AL29" s="1544"/>
      <c r="AM29" s="1544"/>
      <c r="AN29" s="1544"/>
      <c r="AO29" s="1544"/>
      <c r="AP29" s="1544"/>
      <c r="AQ29" s="1544"/>
      <c r="AR29" s="1544"/>
      <c r="AS29" s="1544"/>
      <c r="AT29" s="1544"/>
      <c r="AU29" s="1544"/>
      <c r="AV29" s="1544"/>
      <c r="AW29" s="1544"/>
      <c r="AX29" s="637"/>
      <c r="AY29" s="637"/>
      <c r="AZ29" s="636"/>
    </row>
    <row r="30" spans="1:52" ht="20.100000000000001" customHeight="1">
      <c r="A30" s="101" t="s">
        <v>860</v>
      </c>
      <c r="B30" s="115">
        <f>INDEX($AL$79:$BN$86,1,START!$C$2)</f>
        <v>12365.066894192883</v>
      </c>
      <c r="C30" s="115">
        <f>INDEX($AL$79:$BN$86,2,START!$C$2)</f>
        <v>16964.263168347392</v>
      </c>
      <c r="D30" s="115">
        <f>INDEX($AL$79:$BN$86,3,START!$C$2)</f>
        <v>2802.8825903148227</v>
      </c>
      <c r="E30" s="115">
        <f>INDEX($AL$79:$BN$86,4,START!$C$2)</f>
        <v>0</v>
      </c>
      <c r="F30" s="115">
        <f>INDEX($AL$79:$BN$86,5,START!$C$2)</f>
        <v>0</v>
      </c>
      <c r="G30" s="115">
        <f>INDEX($AL$79:$BN$86,6,START!$C$2)</f>
        <v>0</v>
      </c>
      <c r="H30" s="115">
        <f>INDEX($AL$79:$BN$86,7,START!$C$2)</f>
        <v>0</v>
      </c>
      <c r="I30" s="115">
        <f>INDEX($AL$79:$BN$86,8,START!$C$2)</f>
        <v>9185.4766536534462</v>
      </c>
      <c r="J30" s="115">
        <f t="shared" ref="J30" si="2">SUM(B30:I30)</f>
        <v>41317.689306508546</v>
      </c>
      <c r="K30" s="28"/>
      <c r="L30" s="16"/>
      <c r="M30" s="627"/>
      <c r="N30" s="630"/>
      <c r="O30" s="630"/>
      <c r="P30" s="630"/>
      <c r="Q30" s="630"/>
      <c r="R30" s="630"/>
      <c r="S30" s="630"/>
      <c r="T30" s="630"/>
      <c r="U30" s="630"/>
      <c r="V30" s="630"/>
      <c r="W30" s="630"/>
      <c r="X30" s="630"/>
      <c r="Y30" s="630"/>
      <c r="Z30" s="630"/>
      <c r="AA30" s="630"/>
      <c r="AB30" s="630"/>
      <c r="AC30" s="630"/>
      <c r="AD30" s="630"/>
      <c r="AE30" s="630"/>
      <c r="AF30" s="1585"/>
      <c r="AG30" s="1544" t="s">
        <v>1169</v>
      </c>
      <c r="AH30" s="1544"/>
      <c r="AI30" s="1544"/>
      <c r="AJ30" s="1544"/>
      <c r="AK30" s="1544"/>
      <c r="AL30" s="1544"/>
      <c r="AM30" s="1544"/>
      <c r="AN30" s="1544"/>
      <c r="AO30" s="1544"/>
      <c r="AP30" s="1544"/>
      <c r="AQ30" s="1544"/>
      <c r="AR30" s="1544"/>
      <c r="AS30" s="1544"/>
      <c r="AT30" s="1544"/>
      <c r="AU30" s="1544"/>
      <c r="AV30" s="1544"/>
      <c r="AW30" s="1544"/>
      <c r="AX30" s="637"/>
      <c r="AY30" s="637"/>
      <c r="AZ30" s="636"/>
    </row>
    <row r="31" spans="1:52" ht="20.100000000000001" customHeight="1">
      <c r="A31" s="101" t="s">
        <v>859</v>
      </c>
      <c r="B31" s="115">
        <f>INDEX($AL$99:$BN$106,1,START!$C$2)</f>
        <v>26266.342720992528</v>
      </c>
      <c r="C31" s="115">
        <f>INDEX($AL$99:$BN$106,2,START!$C$2)</f>
        <v>36036.129379792452</v>
      </c>
      <c r="D31" s="115">
        <f>INDEX($AL$99:$BN$106,3,START!$C$2)</f>
        <v>5953.9891982701629</v>
      </c>
      <c r="E31" s="115">
        <f>INDEX($AL$99:$BN$106,4,START!$C$2)</f>
        <v>0</v>
      </c>
      <c r="F31" s="115">
        <f>INDEX($AL$99:$BN$106,5,START!$C$2)</f>
        <v>0</v>
      </c>
      <c r="G31" s="115">
        <f>INDEX($AL$99:$BN$106,6,START!$C$2)</f>
        <v>0</v>
      </c>
      <c r="H31" s="115">
        <f>INDEX($AL$99:$BN$106,7,START!$C$2)</f>
        <v>0</v>
      </c>
      <c r="I31" s="115">
        <f>INDEX($AL$99:$BN$106,8,START!$C$2)</f>
        <v>10968.360971260936</v>
      </c>
      <c r="J31" s="115">
        <f t="shared" ref="J31" si="3">SUM(B31:I31)</f>
        <v>79224.822270316072</v>
      </c>
      <c r="K31" s="28"/>
      <c r="L31" s="16"/>
      <c r="M31" s="627"/>
      <c r="N31" s="630"/>
      <c r="O31" s="630"/>
      <c r="P31" s="630"/>
      <c r="Q31" s="630"/>
      <c r="R31" s="630"/>
      <c r="S31" s="630"/>
      <c r="T31" s="630"/>
      <c r="U31" s="630"/>
      <c r="V31" s="630"/>
      <c r="W31" s="630"/>
      <c r="X31" s="630"/>
      <c r="Y31" s="630"/>
      <c r="Z31" s="630"/>
      <c r="AA31" s="630"/>
      <c r="AB31" s="630"/>
      <c r="AC31" s="630"/>
      <c r="AD31" s="630"/>
      <c r="AE31" s="630"/>
      <c r="AF31" s="1585"/>
      <c r="AG31" s="1544" t="s">
        <v>1170</v>
      </c>
      <c r="AH31" s="1544"/>
      <c r="AI31" s="1544"/>
      <c r="AJ31" s="1544"/>
      <c r="AK31" s="1544"/>
      <c r="AL31" s="1544"/>
      <c r="AM31" s="1544"/>
      <c r="AN31" s="1544"/>
      <c r="AO31" s="1544"/>
      <c r="AP31" s="1544"/>
      <c r="AQ31" s="1544"/>
      <c r="AR31" s="1544"/>
      <c r="AS31" s="1544"/>
      <c r="AT31" s="1544"/>
      <c r="AU31" s="1544"/>
      <c r="AV31" s="1544"/>
      <c r="AW31" s="1544"/>
      <c r="AX31" s="637"/>
      <c r="AY31" s="637"/>
      <c r="AZ31" s="636"/>
    </row>
    <row r="32" spans="1:52" ht="20.100000000000001" customHeight="1">
      <c r="A32" s="86" t="s">
        <v>1021</v>
      </c>
      <c r="B32" s="65"/>
      <c r="C32" s="65"/>
      <c r="D32" s="65"/>
      <c r="E32" s="65"/>
      <c r="F32" s="116"/>
      <c r="G32" s="116"/>
      <c r="H32" s="117"/>
      <c r="I32" s="117"/>
      <c r="J32" s="118">
        <f>SUM(J28:J31)</f>
        <v>136698.47932638414</v>
      </c>
      <c r="K32" s="28"/>
      <c r="L32" s="16"/>
      <c r="M32" s="627"/>
      <c r="N32" s="630"/>
      <c r="O32" s="630"/>
      <c r="P32" s="630"/>
      <c r="Q32" s="630"/>
      <c r="R32" s="630"/>
      <c r="S32" s="630"/>
      <c r="T32" s="630"/>
      <c r="U32" s="630"/>
      <c r="V32" s="630"/>
      <c r="W32" s="630"/>
      <c r="X32" s="630"/>
      <c r="Y32" s="630"/>
      <c r="Z32" s="630"/>
      <c r="AA32" s="630"/>
      <c r="AB32" s="630"/>
      <c r="AC32" s="630"/>
      <c r="AD32" s="630"/>
      <c r="AE32" s="630"/>
      <c r="AF32" s="1585"/>
      <c r="AG32" s="1544" t="s">
        <v>1171</v>
      </c>
      <c r="AH32" s="1544"/>
      <c r="AI32" s="1544"/>
      <c r="AJ32" s="1544"/>
      <c r="AK32" s="1544"/>
      <c r="AL32" s="1544"/>
      <c r="AM32" s="1544"/>
      <c r="AN32" s="1544"/>
      <c r="AO32" s="1544"/>
      <c r="AP32" s="1544"/>
      <c r="AQ32" s="1544"/>
      <c r="AR32" s="1544"/>
      <c r="AS32" s="1544"/>
      <c r="AT32" s="1544"/>
      <c r="AU32" s="1544"/>
      <c r="AV32" s="1544"/>
      <c r="AW32" s="1544"/>
      <c r="AX32" s="637"/>
      <c r="AY32" s="637"/>
      <c r="AZ32" s="636"/>
    </row>
    <row r="33" spans="1:87" ht="20.100000000000001" customHeight="1">
      <c r="A33" s="27"/>
      <c r="B33" s="21"/>
      <c r="C33" s="21"/>
      <c r="D33" s="21"/>
      <c r="E33" s="21"/>
      <c r="F33" s="21"/>
      <c r="G33" s="21"/>
      <c r="H33" s="21"/>
      <c r="I33" s="21"/>
      <c r="J33" s="21"/>
      <c r="K33" s="28"/>
      <c r="L33" s="16"/>
      <c r="M33" s="627"/>
      <c r="N33" s="630"/>
      <c r="O33" s="630"/>
      <c r="P33" s="630"/>
      <c r="Q33" s="630"/>
      <c r="R33" s="630"/>
      <c r="S33" s="630"/>
      <c r="T33" s="630"/>
      <c r="U33" s="630"/>
      <c r="V33" s="630"/>
      <c r="W33" s="630"/>
      <c r="X33" s="630"/>
      <c r="Y33" s="630"/>
      <c r="Z33" s="630"/>
      <c r="AA33" s="630"/>
      <c r="AB33" s="630"/>
      <c r="AC33" s="630"/>
      <c r="AD33" s="630"/>
      <c r="AE33" s="630"/>
      <c r="AF33" s="1586"/>
      <c r="AG33" s="1536" t="s">
        <v>1018</v>
      </c>
      <c r="AH33" s="1544"/>
      <c r="AI33" s="1544"/>
      <c r="AJ33" s="1544"/>
      <c r="AK33" s="1544"/>
      <c r="AL33" s="1544"/>
      <c r="AM33" s="1544"/>
      <c r="AN33" s="1544"/>
      <c r="AO33" s="1544"/>
      <c r="AP33" s="1544"/>
      <c r="AQ33" s="1544"/>
      <c r="AR33" s="1544"/>
      <c r="AS33" s="1544"/>
      <c r="AT33" s="1544"/>
      <c r="AU33" s="1544"/>
      <c r="AV33" s="1544"/>
      <c r="AW33" s="1544"/>
      <c r="AX33" s="637"/>
      <c r="AY33" s="637"/>
      <c r="AZ33" s="636"/>
    </row>
    <row r="34" spans="1:87" ht="20.100000000000001" customHeight="1">
      <c r="A34" s="102"/>
      <c r="B34" s="65"/>
      <c r="C34" s="65"/>
      <c r="D34" s="65"/>
      <c r="E34" s="65"/>
      <c r="F34" s="65"/>
      <c r="G34" s="65"/>
      <c r="H34" s="21"/>
      <c r="I34" s="21"/>
      <c r="J34" s="87"/>
      <c r="K34" s="28"/>
      <c r="L34" s="16"/>
      <c r="M34" s="627"/>
      <c r="N34" s="630"/>
      <c r="O34" s="630"/>
      <c r="P34" s="630"/>
      <c r="Q34" s="630"/>
      <c r="R34" s="630"/>
      <c r="S34" s="630"/>
      <c r="T34" s="630"/>
      <c r="U34" s="630"/>
      <c r="V34" s="630"/>
      <c r="W34" s="630"/>
      <c r="X34" s="630"/>
      <c r="Y34" s="630"/>
      <c r="Z34" s="630"/>
      <c r="AA34" s="630"/>
      <c r="AB34" s="630"/>
      <c r="AC34" s="630"/>
      <c r="AD34" s="630"/>
      <c r="AE34" s="630"/>
    </row>
    <row r="35" spans="1:87" ht="20.100000000000001" customHeight="1">
      <c r="A35" s="88" t="s">
        <v>1061</v>
      </c>
      <c r="B35" s="79"/>
      <c r="C35" s="79"/>
      <c r="D35" s="79"/>
      <c r="E35" s="79"/>
      <c r="F35" s="79"/>
      <c r="G35" s="79"/>
      <c r="H35" s="78"/>
      <c r="I35" s="78"/>
      <c r="J35" s="78"/>
      <c r="K35" s="89"/>
      <c r="L35" s="16"/>
      <c r="M35" s="627"/>
      <c r="N35" s="630"/>
      <c r="O35" s="630"/>
      <c r="P35" s="630"/>
      <c r="Q35" s="630"/>
      <c r="R35" s="630"/>
      <c r="S35" s="630"/>
      <c r="T35" s="630"/>
      <c r="U35" s="630"/>
      <c r="V35" s="630"/>
      <c r="W35" s="630"/>
      <c r="X35" s="630"/>
      <c r="Y35" s="630"/>
      <c r="Z35" s="630"/>
      <c r="AA35" s="630"/>
      <c r="AB35" s="630"/>
      <c r="AC35" s="630"/>
      <c r="AD35" s="630"/>
      <c r="AE35" s="630"/>
      <c r="AF35" s="122" t="s">
        <v>1028</v>
      </c>
      <c r="BP35" s="6" t="s">
        <v>1254</v>
      </c>
      <c r="BQ35" s="6"/>
    </row>
    <row r="36" spans="1:87" ht="20.100000000000001" customHeight="1" thickBot="1">
      <c r="A36" s="101" t="s">
        <v>1060</v>
      </c>
      <c r="B36" s="81" t="s">
        <v>578</v>
      </c>
      <c r="C36" s="81" t="s">
        <v>862</v>
      </c>
      <c r="D36" s="81" t="s">
        <v>863</v>
      </c>
      <c r="E36" s="81" t="s">
        <v>864</v>
      </c>
      <c r="F36" s="81" t="s">
        <v>865</v>
      </c>
      <c r="G36" s="81" t="s">
        <v>866</v>
      </c>
      <c r="H36" s="81" t="s">
        <v>867</v>
      </c>
      <c r="I36" s="81" t="s">
        <v>868</v>
      </c>
      <c r="J36" s="81" t="s">
        <v>122</v>
      </c>
      <c r="K36" s="28"/>
      <c r="L36" s="16"/>
      <c r="M36" s="627"/>
      <c r="N36" s="630"/>
      <c r="O36" s="630"/>
      <c r="P36" s="630"/>
      <c r="Q36" s="630"/>
      <c r="R36" s="630"/>
      <c r="S36" s="630"/>
      <c r="T36" s="630"/>
      <c r="U36" s="630"/>
      <c r="V36" s="630"/>
      <c r="W36" s="630"/>
      <c r="X36" s="630"/>
      <c r="Y36" s="630"/>
      <c r="Z36" s="630"/>
      <c r="AA36" s="630"/>
      <c r="AB36" s="630"/>
      <c r="AC36" s="630"/>
      <c r="AD36" s="630"/>
      <c r="AE36" s="630"/>
      <c r="AF36" s="319" t="s">
        <v>985</v>
      </c>
      <c r="AG36" s="1577" t="s">
        <v>984</v>
      </c>
      <c r="AH36" s="1578"/>
      <c r="AI36" s="1578"/>
      <c r="AJ36" s="1579"/>
      <c r="AK36" s="320">
        <v>2021</v>
      </c>
      <c r="AL36" s="320">
        <f>AK36+1</f>
        <v>2022</v>
      </c>
      <c r="AM36" s="320">
        <f t="shared" ref="AM36:BN36" si="4">AL36+1</f>
        <v>2023</v>
      </c>
      <c r="AN36" s="320">
        <f t="shared" si="4"/>
        <v>2024</v>
      </c>
      <c r="AO36" s="320">
        <f t="shared" si="4"/>
        <v>2025</v>
      </c>
      <c r="AP36" s="320">
        <f t="shared" si="4"/>
        <v>2026</v>
      </c>
      <c r="AQ36" s="320">
        <f t="shared" si="4"/>
        <v>2027</v>
      </c>
      <c r="AR36" s="320">
        <f t="shared" si="4"/>
        <v>2028</v>
      </c>
      <c r="AS36" s="320">
        <f t="shared" si="4"/>
        <v>2029</v>
      </c>
      <c r="AT36" s="320">
        <f t="shared" si="4"/>
        <v>2030</v>
      </c>
      <c r="AU36" s="320">
        <f t="shared" si="4"/>
        <v>2031</v>
      </c>
      <c r="AV36" s="320">
        <f t="shared" si="4"/>
        <v>2032</v>
      </c>
      <c r="AW36" s="320">
        <f t="shared" si="4"/>
        <v>2033</v>
      </c>
      <c r="AX36" s="320">
        <f t="shared" si="4"/>
        <v>2034</v>
      </c>
      <c r="AY36" s="320">
        <f t="shared" si="4"/>
        <v>2035</v>
      </c>
      <c r="AZ36" s="320">
        <f t="shared" si="4"/>
        <v>2036</v>
      </c>
      <c r="BA36" s="320">
        <f t="shared" si="4"/>
        <v>2037</v>
      </c>
      <c r="BB36" s="320">
        <f t="shared" si="4"/>
        <v>2038</v>
      </c>
      <c r="BC36" s="320">
        <f t="shared" si="4"/>
        <v>2039</v>
      </c>
      <c r="BD36" s="320">
        <f t="shared" si="4"/>
        <v>2040</v>
      </c>
      <c r="BE36" s="320">
        <f t="shared" si="4"/>
        <v>2041</v>
      </c>
      <c r="BF36" s="320">
        <f t="shared" si="4"/>
        <v>2042</v>
      </c>
      <c r="BG36" s="320">
        <f t="shared" si="4"/>
        <v>2043</v>
      </c>
      <c r="BH36" s="320">
        <f t="shared" si="4"/>
        <v>2044</v>
      </c>
      <c r="BI36" s="320">
        <f t="shared" si="4"/>
        <v>2045</v>
      </c>
      <c r="BJ36" s="320">
        <f t="shared" si="4"/>
        <v>2046</v>
      </c>
      <c r="BK36" s="320">
        <f t="shared" si="4"/>
        <v>2047</v>
      </c>
      <c r="BL36" s="320">
        <f t="shared" si="4"/>
        <v>2048</v>
      </c>
      <c r="BM36" s="320">
        <f t="shared" si="4"/>
        <v>2049</v>
      </c>
      <c r="BN36" s="320">
        <f t="shared" si="4"/>
        <v>2050</v>
      </c>
      <c r="BP36" s="353"/>
      <c r="BQ36" s="354" t="s">
        <v>1217</v>
      </c>
    </row>
    <row r="37" spans="1:87" ht="20.100000000000001" customHeight="1">
      <c r="A37" s="101" t="s">
        <v>870</v>
      </c>
      <c r="B37" s="115">
        <f>INDEX($AL$143:$BN$150,1,START!$C$2)</f>
        <v>14588.207846393425</v>
      </c>
      <c r="C37" s="115">
        <f>INDEX($AL$143:$BN$150,1,START!$C$2)</f>
        <v>14588.207846393425</v>
      </c>
      <c r="D37" s="115">
        <f>INDEX($AL$143:$BN$150,1,START!$C$2)</f>
        <v>14588.207846393425</v>
      </c>
      <c r="E37" s="115">
        <f>INDEX($AL$143:$BN$150,1,START!$C$2)</f>
        <v>14588.207846393425</v>
      </c>
      <c r="F37" s="115">
        <f>INDEX($AL$143:$BN$150,1,START!$C$2)</f>
        <v>14588.207846393425</v>
      </c>
      <c r="G37" s="115">
        <f>INDEX($AL$143:$BN$150,1,START!$C$2)</f>
        <v>14588.207846393425</v>
      </c>
      <c r="H37" s="115">
        <f>INDEX($AL$143:$BN$150,1,START!$C$2)</f>
        <v>14588.207846393425</v>
      </c>
      <c r="I37" s="115">
        <f>INDEX($AL$143:$BN$150,1,START!$C$2)</f>
        <v>14588.207846393425</v>
      </c>
      <c r="J37" s="115">
        <f>INDEX($AL$143:$BN$150,1,START!$C$2)</f>
        <v>14588.207846393425</v>
      </c>
      <c r="K37" s="28"/>
      <c r="L37" s="16"/>
      <c r="M37" s="627"/>
      <c r="N37" s="630"/>
      <c r="O37" s="630"/>
      <c r="P37" s="630"/>
      <c r="Q37" s="630"/>
      <c r="R37" s="630"/>
      <c r="S37" s="630"/>
      <c r="T37" s="630"/>
      <c r="U37" s="630"/>
      <c r="V37" s="630"/>
      <c r="W37" s="630"/>
      <c r="X37" s="630"/>
      <c r="Y37" s="630"/>
      <c r="Z37" s="630"/>
      <c r="AA37" s="630"/>
      <c r="AB37" s="630"/>
      <c r="AC37" s="630"/>
      <c r="AD37" s="630"/>
      <c r="AE37" s="630"/>
      <c r="AF37" s="1550" t="s">
        <v>858</v>
      </c>
      <c r="AG37" s="1486" t="s">
        <v>1006</v>
      </c>
      <c r="AH37" s="1487"/>
      <c r="AI37" s="1487"/>
      <c r="AJ37" s="1580"/>
      <c r="AK37" s="321">
        <v>0</v>
      </c>
      <c r="AL37" s="165">
        <f>IF((AL$36-2021)=START!$C$2,BUILDINGS!$B7,ROUND(BUILDINGS!AK37-(INDEX('DEFAULT DATA'!$WK$9:$WM$41,START!$C$3,1)/100*(AK37+AK38+AK39)),0))</f>
        <v>4442</v>
      </c>
      <c r="AM37" s="165">
        <f>IF((AM$36-2021)=START!$C$2,BUILDINGS!$B7,ROUND(BUILDINGS!AL37-(INDEX('DEFAULT DATA'!$WK$9:$WM$41,START!$C$3,1)/100*(AL37+AL38+AL39)),0))</f>
        <v>4442</v>
      </c>
      <c r="AN37" s="165">
        <f>IF((AN$36-2021)=START!$C$2,BUILDINGS!$B7,ROUND(BUILDINGS!AM37-(INDEX('DEFAULT DATA'!$WK$9:$WM$41,START!$C$3,1)/100*(AM37+AM38+AM39)),0))</f>
        <v>4442</v>
      </c>
      <c r="AO37" s="165">
        <f>IF((AO$36-2021)=START!$C$2,BUILDINGS!$B7,ROUND(BUILDINGS!AN37-(INDEX('DEFAULT DATA'!$WK$9:$WM$41,START!$C$3,1)/100*(AN37+AN38+AN39)),0))</f>
        <v>4442</v>
      </c>
      <c r="AP37" s="165">
        <f>IF((AP$36-2021)=START!$C$2,BUILDINGS!$B7,ROUND(BUILDINGS!AO37-(INDEX('DEFAULT DATA'!$WK$9:$WM$41,START!$C$3,1)/100*(AO37+AO38+AO39)),0))</f>
        <v>4442</v>
      </c>
      <c r="AQ37" s="165">
        <f>IF((AQ$36-2021)=START!$C$2,BUILDINGS!$B7,ROUND(BUILDINGS!AP37-(INDEX('DEFAULT DATA'!$WK$9:$WM$41,START!$C$3,1)/100*(AP37+AP38+AP39)),0))</f>
        <v>4442</v>
      </c>
      <c r="AR37" s="165">
        <f>IF((AR$36-2021)=START!$C$2,BUILDINGS!$B7,ROUND(BUILDINGS!AQ37-(INDEX('DEFAULT DATA'!$WK$9:$WM$41,START!$C$3,1)/100*(AQ37+AQ38+AQ39)),0))</f>
        <v>4442</v>
      </c>
      <c r="AS37" s="165">
        <f>IF((AS$36-2021)=START!$C$2,BUILDINGS!$B7,ROUND(BUILDINGS!AR37-(INDEX('DEFAULT DATA'!$WK$9:$WM$41,START!$C$3,1)/100*(AR37+AR38+AR39)),0))</f>
        <v>4442</v>
      </c>
      <c r="AT37" s="165">
        <f>IF((AT$36-2021)=START!$C$2,BUILDINGS!$B7,ROUND(BUILDINGS!AS37-(INDEX('DEFAULT DATA'!$WK$9:$WM$41,START!$C$3,1)/100*(AS37+AS38+AS39)),0))</f>
        <v>4442</v>
      </c>
      <c r="AU37" s="165">
        <f>IF((AU$36-2021)=START!$C$2,BUILDINGS!$B7,ROUND(BUILDINGS!AT37-(INDEX('DEFAULT DATA'!$WK$9:$WM$41,START!$C$3,2)/100*(AT37+AT38+AT39)),0))</f>
        <v>4442</v>
      </c>
      <c r="AV37" s="165">
        <f>IF((AV$36-2021)=START!$C$2,BUILDINGS!$B7,ROUND(BUILDINGS!AU37-(INDEX('DEFAULT DATA'!$WK$9:$WM$41,START!$C$3,2)/100*(AU37+AU38+AU39)),0))</f>
        <v>4442</v>
      </c>
      <c r="AW37" s="165">
        <f>IF((AW$36-2021)=START!$C$2,BUILDINGS!$B7,ROUND(BUILDINGS!AV37-(INDEX('DEFAULT DATA'!$WK$9:$WM$41,START!$C$3,2)/100*(AV37+AV38+AV39)),0))</f>
        <v>4442</v>
      </c>
      <c r="AX37" s="165">
        <f>IF((AX$36-2021)=START!$C$2,BUILDINGS!$B7,ROUND(BUILDINGS!AW37-(INDEX('DEFAULT DATA'!$WK$9:$WM$41,START!$C$3,2)/100*(AW37+AW38+AW39)),0))</f>
        <v>4442</v>
      </c>
      <c r="AY37" s="165">
        <f>IF((AY$36-2021)=START!$C$2,BUILDINGS!$B7,ROUND(BUILDINGS!AX37-(INDEX('DEFAULT DATA'!$WK$9:$WM$41,START!$C$3,2)/100*(AX37+AX38+AX39)),0))</f>
        <v>4442</v>
      </c>
      <c r="AZ37" s="165">
        <f>IF((AZ$36-2021)=START!$C$2,BUILDINGS!$B7,ROUND(BUILDINGS!AY37-(INDEX('DEFAULT DATA'!$WK$9:$WM$41,START!$C$3,2)/100*(AY37+AY38+AY39)),0))</f>
        <v>4442</v>
      </c>
      <c r="BA37" s="165">
        <f>IF((BA$36-2021)=START!$C$2,BUILDINGS!$B7,ROUND(BUILDINGS!AZ37-(INDEX('DEFAULT DATA'!$WK$9:$WM$41,START!$C$3,2)/100*(AZ37+AZ38+AZ39)),0))</f>
        <v>4442</v>
      </c>
      <c r="BB37" s="165">
        <f>IF((BB$36-2021)=START!$C$2,BUILDINGS!$B7,ROUND(BUILDINGS!BA37-(INDEX('DEFAULT DATA'!$WK$9:$WM$41,START!$C$3,2)/100*(BA37+BA38+BA39)),0))</f>
        <v>4442</v>
      </c>
      <c r="BC37" s="165">
        <f>IF((BC$36-2021)=START!$C$2,BUILDINGS!$B7,ROUND(BUILDINGS!BB37-(INDEX('DEFAULT DATA'!$WK$9:$WM$41,START!$C$3,2)/100*(BB37+BB38+BB39)),0))</f>
        <v>4442</v>
      </c>
      <c r="BD37" s="165">
        <f>IF((BD$36-2021)=START!$C$2,BUILDINGS!$B7,ROUND(BUILDINGS!BC37-(INDEX('DEFAULT DATA'!$WK$9:$WM$41,START!$C$3,2)/100*(BC37+BC38+BC39)),0))</f>
        <v>4442</v>
      </c>
      <c r="BE37" s="165">
        <f>IF((BE$36-2021)=START!$C$2,BUILDINGS!$B7,ROUND(BUILDINGS!BD37-(INDEX('DEFAULT DATA'!$WK$9:$WM$41,START!$C$3,3)/100*(BD37+BD38+BD39)),0))</f>
        <v>4442</v>
      </c>
      <c r="BF37" s="165">
        <f>IF((BF$36-2021)=START!$C$2,BUILDINGS!$B7,ROUND(BUILDINGS!BE37-(INDEX('DEFAULT DATA'!$WK$9:$WM$41,START!$C$3,3)/100*(BE37+BE38+BE39)),0))</f>
        <v>4442</v>
      </c>
      <c r="BG37" s="165">
        <f>IF((BG$36-2021)=START!$C$2,BUILDINGS!$B7,ROUND(BUILDINGS!BF37-(INDEX('DEFAULT DATA'!$WK$9:$WM$41,START!$C$3,3)/100*(BF37+BF38+BF39)),0))</f>
        <v>4442</v>
      </c>
      <c r="BH37" s="165">
        <f>IF((BH$36-2021)=START!$C$2,BUILDINGS!$B7,ROUND(BUILDINGS!BG37-(INDEX('DEFAULT DATA'!$WK$9:$WM$41,START!$C$3,3)/100*(BG37+BG38+BG39)),0))</f>
        <v>4442</v>
      </c>
      <c r="BI37" s="165">
        <f>IF((BI$36-2021)=START!$C$2,BUILDINGS!$B7,ROUND(BUILDINGS!BH37-(INDEX('DEFAULT DATA'!$WK$9:$WM$41,START!$C$3,3)/100*(BH37+BH38+BH39)),0))</f>
        <v>4442</v>
      </c>
      <c r="BJ37" s="165">
        <f>IF((BJ$36-2021)=START!$C$2,BUILDINGS!$B7,ROUND(BUILDINGS!BI37-(INDEX('DEFAULT DATA'!$WK$9:$WM$41,START!$C$3,3)/100*(BI37+BI38+BI39)),0))</f>
        <v>4442</v>
      </c>
      <c r="BK37" s="165">
        <f>IF((BK$36-2021)=START!$C$2,BUILDINGS!$B7,ROUND(BUILDINGS!BJ37-(INDEX('DEFAULT DATA'!$WK$9:$WM$41,START!$C$3,3)/100*(BJ37+BJ38+BJ39)),0))</f>
        <v>4442</v>
      </c>
      <c r="BL37" s="165">
        <f>IF((BL$36-2021)=START!$C$2,BUILDINGS!$B7,ROUND(BUILDINGS!BK37-(INDEX('DEFAULT DATA'!$WK$9:$WM$41,START!$C$3,3)/100*(BK37+BK38+BK39)),0))</f>
        <v>4442</v>
      </c>
      <c r="BM37" s="165">
        <f>IF((BM$36-2021)=START!$C$2,BUILDINGS!$B7,ROUND(BUILDINGS!BL37-(INDEX('DEFAULT DATA'!$WK$9:$WM$41,START!$C$3,3)/100*(BL37+BL38+BL39)),0))</f>
        <v>4442</v>
      </c>
      <c r="BN37" s="166">
        <f>IF((BN$36-2021)=START!$C$2,BUILDINGS!$B7,ROUND(BUILDINGS!BM37-(INDEX('DEFAULT DATA'!$WK$9:$WM$41,START!$C$3,3)/100*(BM37+BM38+BM39)),0))</f>
        <v>4442</v>
      </c>
      <c r="BP37" s="355" t="s">
        <v>1334</v>
      </c>
      <c r="BQ37" s="352"/>
    </row>
    <row r="38" spans="1:87" ht="20.100000000000001" customHeight="1">
      <c r="A38" s="101" t="s">
        <v>871</v>
      </c>
      <c r="B38" s="115">
        <f>INDEX($AL$156:$BN$163,1,START!$C$2)</f>
        <v>4469.224822106301</v>
      </c>
      <c r="C38" s="115">
        <f>INDEX($AL$156:$BN$163,1,START!$C$2)</f>
        <v>4469.224822106301</v>
      </c>
      <c r="D38" s="115">
        <f>INDEX($AL$156:$BN$163,1,START!$C$2)</f>
        <v>4469.224822106301</v>
      </c>
      <c r="E38" s="115">
        <f>INDEX($AL$156:$BN$163,1,START!$C$2)</f>
        <v>4469.224822106301</v>
      </c>
      <c r="F38" s="115">
        <f>INDEX($AL$156:$BN$163,1,START!$C$2)</f>
        <v>4469.224822106301</v>
      </c>
      <c r="G38" s="115">
        <f>INDEX($AL$156:$BN$163,1,START!$C$2)</f>
        <v>4469.224822106301</v>
      </c>
      <c r="H38" s="115">
        <f>INDEX($AL$156:$BN$163,1,START!$C$2)</f>
        <v>4469.224822106301</v>
      </c>
      <c r="I38" s="115">
        <f>INDEX($AL$156:$BN$163,1,START!$C$2)</f>
        <v>4469.224822106301</v>
      </c>
      <c r="J38" s="115">
        <f t="shared" ref="J38:J41" si="5">SUM(B38:I38)</f>
        <v>35753.798576850408</v>
      </c>
      <c r="K38" s="28"/>
      <c r="L38" s="16"/>
      <c r="M38" s="627"/>
      <c r="N38" s="630"/>
      <c r="O38" s="630"/>
      <c r="P38" s="630"/>
      <c r="Q38" s="630"/>
      <c r="R38" s="630"/>
      <c r="S38" s="630"/>
      <c r="T38" s="630"/>
      <c r="U38" s="630"/>
      <c r="V38" s="630"/>
      <c r="W38" s="630"/>
      <c r="X38" s="630"/>
      <c r="Y38" s="630"/>
      <c r="Z38" s="630"/>
      <c r="AA38" s="630"/>
      <c r="AB38" s="630"/>
      <c r="AC38" s="630"/>
      <c r="AD38" s="630"/>
      <c r="AE38" s="630"/>
      <c r="AF38" s="1551"/>
      <c r="AG38" s="1581" t="s">
        <v>1008</v>
      </c>
      <c r="AH38" s="1582"/>
      <c r="AI38" s="1582"/>
      <c r="AJ38" s="1583"/>
      <c r="AK38" s="322">
        <v>0</v>
      </c>
      <c r="AL38" s="115">
        <f>IF((AL$36-2021)=START!$C$2,0,BUILDINGS!AK38+ROUND((INDEX('DEFAULT DATA'!$WQ$9:$WS$41,START!$C$3,1)/100*(AK37+AK38+AK39)),0))</f>
        <v>0</v>
      </c>
      <c r="AM38" s="115">
        <f>IF((AM$36-2021)=START!$C$2,0,BUILDINGS!AL38+ROUND((INDEX('DEFAULT DATA'!$WQ$9:$WS$41,START!$C$3,1)/100*(AL37+AL38+AL39)),0))</f>
        <v>0</v>
      </c>
      <c r="AN38" s="115">
        <f>IF((AN$36-2021)=START!$C$2,0,BUILDINGS!AM38+ROUND((INDEX('DEFAULT DATA'!$WQ$9:$WS$41,START!$C$3,1)/100*(AM37+AM38+AM39)),0))</f>
        <v>0</v>
      </c>
      <c r="AO38" s="115">
        <f>IF((AO$36-2021)=START!$C$2,0,BUILDINGS!AN38+ROUND((INDEX('DEFAULT DATA'!$WQ$9:$WS$41,START!$C$3,1)/100*(AN37+AN38+AN39)),0))</f>
        <v>0</v>
      </c>
      <c r="AP38" s="115">
        <f>IF((AP$36-2021)=START!$C$2,0,BUILDINGS!AO38+ROUND((INDEX('DEFAULT DATA'!$WQ$9:$WS$41,START!$C$3,1)/100*(AO37+AO38+AO39)),0))</f>
        <v>0</v>
      </c>
      <c r="AQ38" s="115">
        <f>IF((AQ$36-2021)=START!$C$2,0,BUILDINGS!AP38+ROUND((INDEX('DEFAULT DATA'!$WQ$9:$WS$41,START!$C$3,1)/100*(AP37+AP38+AP39)),0))</f>
        <v>0</v>
      </c>
      <c r="AR38" s="115">
        <f>IF((AR$36-2021)=START!$C$2,0,BUILDINGS!AQ38+ROUND((INDEX('DEFAULT DATA'!$WQ$9:$WS$41,START!$C$3,1)/100*(AQ37+AQ38+AQ39)),0))</f>
        <v>0</v>
      </c>
      <c r="AS38" s="115">
        <f>IF((AS$36-2021)=START!$C$2,0,BUILDINGS!AR38+ROUND((INDEX('DEFAULT DATA'!$WQ$9:$WS$41,START!$C$3,1)/100*(AR37+AR38+AR39)),0))</f>
        <v>0</v>
      </c>
      <c r="AT38" s="115">
        <f>IF((AT$36-2021)=START!$C$2,0,BUILDINGS!AS38+ROUND((INDEX('DEFAULT DATA'!$WQ$9:$WS$41,START!$C$3,1)/100*(AS37+AS38+AS39)),0))</f>
        <v>0</v>
      </c>
      <c r="AU38" s="115">
        <f>IF((AU$36-2021)=START!$C$2,0,BUILDINGS!AT38+ROUND((INDEX('DEFAULT DATA'!$WQ$9:$WS$41,START!$C$3,2)/100*(AT37+AT38+AT39)),0))</f>
        <v>0</v>
      </c>
      <c r="AV38" s="115">
        <f>IF((AV$36-2021)=START!$C$2,0,BUILDINGS!AU38+ROUND((INDEX('DEFAULT DATA'!$WQ$9:$WS$41,START!$C$3,2)/100*(AU37+AU38+AU39)),0))</f>
        <v>0</v>
      </c>
      <c r="AW38" s="115">
        <f>IF((AW$36-2021)=START!$C$2,0,BUILDINGS!AV38+ROUND((INDEX('DEFAULT DATA'!$WQ$9:$WS$41,START!$C$3,2)/100*(AV37+AV38+AV39)),0))</f>
        <v>0</v>
      </c>
      <c r="AX38" s="115">
        <f>IF((AX$36-2021)=START!$C$2,0,BUILDINGS!AW38+ROUND((INDEX('DEFAULT DATA'!$WQ$9:$WS$41,START!$C$3,2)/100*(AW37+AW38+AW39)),0))</f>
        <v>0</v>
      </c>
      <c r="AY38" s="115">
        <f>IF((AY$36-2021)=START!$C$2,0,BUILDINGS!AX38+ROUND((INDEX('DEFAULT DATA'!$WQ$9:$WS$41,START!$C$3,2)/100*(AX37+AX38+AX39)),0))</f>
        <v>0</v>
      </c>
      <c r="AZ38" s="115">
        <f>IF((AZ$36-2021)=START!$C$2,0,BUILDINGS!AY38+ROUND((INDEX('DEFAULT DATA'!$WQ$9:$WS$41,START!$C$3,2)/100*(AY37+AY38+AY39)),0))</f>
        <v>0</v>
      </c>
      <c r="BA38" s="115">
        <f>IF((BA$36-2021)=START!$C$2,0,BUILDINGS!AZ38+ROUND((INDEX('DEFAULT DATA'!$WQ$9:$WS$41,START!$C$3,2)/100*(AZ37+AZ38+AZ39)),0))</f>
        <v>0</v>
      </c>
      <c r="BB38" s="115">
        <f>IF((BB$36-2021)=START!$C$2,0,BUILDINGS!BA38+ROUND((INDEX('DEFAULT DATA'!$WQ$9:$WS$41,START!$C$3,2)/100*(BA37+BA38+BA39)),0))</f>
        <v>0</v>
      </c>
      <c r="BC38" s="115">
        <f>IF((BC$36-2021)=START!$C$2,0,BUILDINGS!BB38+ROUND((INDEX('DEFAULT DATA'!$WQ$9:$WS$41,START!$C$3,2)/100*(BB37+BB38+BB39)),0))</f>
        <v>0</v>
      </c>
      <c r="BD38" s="115">
        <f>IF((BD$36-2021)=START!$C$2,0,BUILDINGS!BC38+ROUND((INDEX('DEFAULT DATA'!$WQ$9:$WS$41,START!$C$3,2)/100*(BC37+BC38+BC39)),0))</f>
        <v>0</v>
      </c>
      <c r="BE38" s="115">
        <f>IF((BE$36-2021)=START!$C$2,0,BUILDINGS!BD38+ROUND((INDEX('DEFAULT DATA'!$WQ$9:$WS$41,START!$C$3,3)/100*(BD37+BD38+BD39)),0))</f>
        <v>0</v>
      </c>
      <c r="BF38" s="115">
        <f>IF((BF$36-2021)=START!$C$2,0,BUILDINGS!BE38+ROUND((INDEX('DEFAULT DATA'!$WQ$9:$WS$41,START!$C$3,3)/100*(BE37+BE38+BE39)),0))</f>
        <v>0</v>
      </c>
      <c r="BG38" s="115">
        <f>IF((BG$36-2021)=START!$C$2,0,BUILDINGS!BF38+ROUND((INDEX('DEFAULT DATA'!$WQ$9:$WS$41,START!$C$3,3)/100*(BF37+BF38+BF39)),0))</f>
        <v>0</v>
      </c>
      <c r="BH38" s="115">
        <f>IF((BH$36-2021)=START!$C$2,0,BUILDINGS!BG38+ROUND((INDEX('DEFAULT DATA'!$WQ$9:$WS$41,START!$C$3,3)/100*(BG37+BG38+BG39)),0))</f>
        <v>0</v>
      </c>
      <c r="BI38" s="115">
        <f>IF((BI$36-2021)=START!$C$2,0,BUILDINGS!BH38+ROUND((INDEX('DEFAULT DATA'!$WQ$9:$WS$41,START!$C$3,3)/100*(BH37+BH38+BH39)),0))</f>
        <v>0</v>
      </c>
      <c r="BJ38" s="115">
        <f>IF((BJ$36-2021)=START!$C$2,0,BUILDINGS!BI38+ROUND((INDEX('DEFAULT DATA'!$WQ$9:$WS$41,START!$C$3,3)/100*(BI37+BI38+BI39)),0))</f>
        <v>0</v>
      </c>
      <c r="BK38" s="115">
        <f>IF((BK$36-2021)=START!$C$2,0,BUILDINGS!BJ38+ROUND((INDEX('DEFAULT DATA'!$WQ$9:$WS$41,START!$C$3,3)/100*(BJ37+BJ38+BJ39)),0))</f>
        <v>0</v>
      </c>
      <c r="BL38" s="115">
        <f>IF((BL$36-2021)=START!$C$2,0,BUILDINGS!BK38+ROUND((INDEX('DEFAULT DATA'!$WQ$9:$WS$41,START!$C$3,3)/100*(BK37+BK38+BK39)),0))</f>
        <v>0</v>
      </c>
      <c r="BM38" s="115">
        <f>IF((BM$36-2021)=START!$C$2,0,BUILDINGS!BL38+ROUND((INDEX('DEFAULT DATA'!$WQ$9:$WS$41,START!$C$3,3)/100*(BL37+BL38+BL39)),0))</f>
        <v>0</v>
      </c>
      <c r="BN38" s="323">
        <f>IF((BN$36-2021)=START!$C$2,0,BUILDINGS!BM38+ROUND((INDEX('DEFAULT DATA'!$WQ$9:$WS$41,START!$C$3,3)/100*(BM37+BM38+BM39)),0))</f>
        <v>0</v>
      </c>
      <c r="BP38" s="355" t="s">
        <v>1335</v>
      </c>
      <c r="BQ38" s="352"/>
    </row>
    <row r="39" spans="1:87" ht="20.100000000000001" customHeight="1" thickBot="1">
      <c r="A39" s="101" t="s">
        <v>872</v>
      </c>
      <c r="B39" s="115">
        <f>INDEX($AL$169:$BN$176,1,START!$C$2)</f>
        <v>37445.900796624657</v>
      </c>
      <c r="C39" s="115">
        <f>INDEX($AL$169:$BN$176,1,START!$C$2)</f>
        <v>37445.900796624657</v>
      </c>
      <c r="D39" s="115">
        <f>INDEX($AL$169:$BN$176,1,START!$C$2)</f>
        <v>37445.900796624657</v>
      </c>
      <c r="E39" s="115">
        <f>INDEX($AL$169:$BN$176,1,START!$C$2)</f>
        <v>37445.900796624657</v>
      </c>
      <c r="F39" s="115">
        <f>INDEX($AL$169:$BN$176,1,START!$C$2)</f>
        <v>37445.900796624657</v>
      </c>
      <c r="G39" s="115">
        <f>INDEX($AL$169:$BN$176,1,START!$C$2)</f>
        <v>37445.900796624657</v>
      </c>
      <c r="H39" s="115">
        <f>INDEX($AL$169:$BN$176,1,START!$C$2)</f>
        <v>37445.900796624657</v>
      </c>
      <c r="I39" s="115">
        <f>INDEX($AL$169:$BN$176,1,START!$C$2)</f>
        <v>37445.900796624657</v>
      </c>
      <c r="J39" s="115">
        <f t="shared" si="5"/>
        <v>299567.20637299726</v>
      </c>
      <c r="K39" s="28"/>
      <c r="L39" s="16"/>
      <c r="M39" s="627"/>
      <c r="N39" s="630"/>
      <c r="O39" s="630"/>
      <c r="P39" s="630"/>
      <c r="Q39" s="630"/>
      <c r="R39" s="630"/>
      <c r="S39" s="630"/>
      <c r="T39" s="630"/>
      <c r="U39" s="630"/>
      <c r="V39" s="630"/>
      <c r="W39" s="630"/>
      <c r="X39" s="630"/>
      <c r="Y39" s="630"/>
      <c r="Z39" s="630"/>
      <c r="AA39" s="630"/>
      <c r="AB39" s="630"/>
      <c r="AC39" s="630"/>
      <c r="AD39" s="630"/>
      <c r="AE39" s="630"/>
      <c r="AF39" s="1552"/>
      <c r="AG39" s="1542" t="s">
        <v>1007</v>
      </c>
      <c r="AH39" s="1572"/>
      <c r="AI39" s="1572"/>
      <c r="AJ39" s="1543"/>
      <c r="AK39" s="324">
        <v>0</v>
      </c>
      <c r="AL39" s="170">
        <f>IF((AL$36-2021)=START!$C$2,0,BUILDINGS!AK39+ROUND((INDEX('DEFAULT DATA'!$WT$9:$WV$41,START!$C$3,1)/100*(AK37+AK38+AK39)),0))</f>
        <v>0</v>
      </c>
      <c r="AM39" s="170">
        <f>IF((AM$36-2021)=START!$C$2,0,BUILDINGS!AL39+ROUND((INDEX('DEFAULT DATA'!$WT$9:$WV$41,START!$C$3,1)/100*(AL37+AL38+AL39)),0))</f>
        <v>0</v>
      </c>
      <c r="AN39" s="170">
        <f>IF((AN$36-2021)=START!$C$2,0,BUILDINGS!AM39+ROUND((INDEX('DEFAULT DATA'!$WT$9:$WV$41,START!$C$3,1)/100*(AM37+AM38+AM39)),0))</f>
        <v>0</v>
      </c>
      <c r="AO39" s="170">
        <f>IF((AO$36-2021)=START!$C$2,0,BUILDINGS!AN39+ROUND((INDEX('DEFAULT DATA'!$WT$9:$WV$41,START!$C$3,1)/100*(AN37+AN38+AN39)),0))</f>
        <v>0</v>
      </c>
      <c r="AP39" s="170">
        <f>IF((AP$36-2021)=START!$C$2,0,BUILDINGS!AO39+ROUND((INDEX('DEFAULT DATA'!$WT$9:$WV$41,START!$C$3,1)/100*(AO37+AO38+AO39)),0))</f>
        <v>0</v>
      </c>
      <c r="AQ39" s="170">
        <f>IF((AQ$36-2021)=START!$C$2,0,BUILDINGS!AP39+ROUND((INDEX('DEFAULT DATA'!$WT$9:$WV$41,START!$C$3,1)/100*(AP37+AP38+AP39)),0))</f>
        <v>0</v>
      </c>
      <c r="AR39" s="170">
        <f>IF((AR$36-2021)=START!$C$2,0,BUILDINGS!AQ39+ROUND((INDEX('DEFAULT DATA'!$WT$9:$WV$41,START!$C$3,1)/100*(AQ37+AQ38+AQ39)),0))</f>
        <v>0</v>
      </c>
      <c r="AS39" s="170">
        <f>IF((AS$36-2021)=START!$C$2,0,BUILDINGS!AR39+ROUND((INDEX('DEFAULT DATA'!$WT$9:$WV$41,START!$C$3,1)/100*(AR37+AR38+AR39)),0))</f>
        <v>0</v>
      </c>
      <c r="AT39" s="170">
        <f>IF((AT$36-2021)=START!$C$2,0,BUILDINGS!AS39+ROUND((INDEX('DEFAULT DATA'!$WT$9:$WV$41,START!$C$3,1)/100*(AS37+AS38+AS39)),0))</f>
        <v>0</v>
      </c>
      <c r="AU39" s="170">
        <f>IF((AU$36-2021)=START!$C$2,0,BUILDINGS!AT39+ROUND((INDEX('DEFAULT DATA'!$WT$9:$WV$41,START!$C$3,2)/100*(AT37+AT38+AT39)),0))</f>
        <v>0</v>
      </c>
      <c r="AV39" s="170">
        <f>IF((AV$36-2021)=START!$C$2,0,BUILDINGS!AU39+ROUND((INDEX('DEFAULT DATA'!$WT$9:$WV$41,START!$C$3,2)/100*(AU37+AU38+AU39)),0))</f>
        <v>0</v>
      </c>
      <c r="AW39" s="170">
        <f>IF((AW$36-2021)=START!$C$2,0,BUILDINGS!AV39+ROUND((INDEX('DEFAULT DATA'!$WT$9:$WV$41,START!$C$3,2)/100*(AV37+AV38+AV39)),0))</f>
        <v>0</v>
      </c>
      <c r="AX39" s="170">
        <f>IF((AX$36-2021)=START!$C$2,0,BUILDINGS!AW39+ROUND((INDEX('DEFAULT DATA'!$WT$9:$WV$41,START!$C$3,2)/100*(AW37+AW38+AW39)),0))</f>
        <v>0</v>
      </c>
      <c r="AY39" s="170">
        <f>IF((AY$36-2021)=START!$C$2,0,BUILDINGS!AX39+ROUND((INDEX('DEFAULT DATA'!$WT$9:$WV$41,START!$C$3,2)/100*(AX37+AX38+AX39)),0))</f>
        <v>0</v>
      </c>
      <c r="AZ39" s="170">
        <f>IF((AZ$36-2021)=START!$C$2,0,BUILDINGS!AY39+ROUND((INDEX('DEFAULT DATA'!$WT$9:$WV$41,START!$C$3,2)/100*(AY37+AY38+AY39)),0))</f>
        <v>0</v>
      </c>
      <c r="BA39" s="170">
        <f>IF((BA$36-2021)=START!$C$2,0,BUILDINGS!AZ39+ROUND((INDEX('DEFAULT DATA'!$WT$9:$WV$41,START!$C$3,2)/100*(AZ37+AZ38+AZ39)),0))</f>
        <v>0</v>
      </c>
      <c r="BB39" s="170">
        <f>IF((BB$36-2021)=START!$C$2,0,BUILDINGS!BA39+ROUND((INDEX('DEFAULT DATA'!$WT$9:$WV$41,START!$C$3,2)/100*(BA37+BA38+BA39)),0))</f>
        <v>0</v>
      </c>
      <c r="BC39" s="170">
        <f>IF((BC$36-2021)=START!$C$2,0,BUILDINGS!BB39+ROUND((INDEX('DEFAULT DATA'!$WT$9:$WV$41,START!$C$3,2)/100*(BB37+BB38+BB39)),0))</f>
        <v>0</v>
      </c>
      <c r="BD39" s="170">
        <f>IF((BD$36-2021)=START!$C$2,0,BUILDINGS!BC39+ROUND((INDEX('DEFAULT DATA'!$WT$9:$WV$41,START!$C$3,2)/100*(BC37+BC38+BC39)),0))</f>
        <v>0</v>
      </c>
      <c r="BE39" s="170">
        <f>IF((BE$36-2021)=START!$C$2,0,BUILDINGS!BD39+ROUND((INDEX('DEFAULT DATA'!$WT$9:$WV$41,START!$C$3,3)/100*(BD37+BD38+BD39)),0))</f>
        <v>0</v>
      </c>
      <c r="BF39" s="170">
        <f>IF((BF$36-2021)=START!$C$2,0,BUILDINGS!BE39+ROUND((INDEX('DEFAULT DATA'!$WT$9:$WV$41,START!$C$3,3)/100*(BE37+BE38+BE39)),0))</f>
        <v>0</v>
      </c>
      <c r="BG39" s="170">
        <f>IF((BG$36-2021)=START!$C$2,0,BUILDINGS!BF39+ROUND((INDEX('DEFAULT DATA'!$WT$9:$WV$41,START!$C$3,3)/100*(BF37+BF38+BF39)),0))</f>
        <v>0</v>
      </c>
      <c r="BH39" s="170">
        <f>IF((BH$36-2021)=START!$C$2,0,BUILDINGS!BG39+ROUND((INDEX('DEFAULT DATA'!$WT$9:$WV$41,START!$C$3,3)/100*(BG37+BG38+BG39)),0))</f>
        <v>0</v>
      </c>
      <c r="BI39" s="170">
        <f>IF((BI$36-2021)=START!$C$2,0,BUILDINGS!BH39+ROUND((INDEX('DEFAULT DATA'!$WT$9:$WV$41,START!$C$3,3)/100*(BH37+BH38+BH39)),0))</f>
        <v>0</v>
      </c>
      <c r="BJ39" s="170">
        <f>IF((BJ$36-2021)=START!$C$2,0,BUILDINGS!BI39+ROUND((INDEX('DEFAULT DATA'!$WT$9:$WV$41,START!$C$3,3)/100*(BI37+BI38+BI39)),0))</f>
        <v>0</v>
      </c>
      <c r="BK39" s="170">
        <f>IF((BK$36-2021)=START!$C$2,0,BUILDINGS!BJ39+ROUND((INDEX('DEFAULT DATA'!$WT$9:$WV$41,START!$C$3,3)/100*(BJ37+BJ38+BJ39)),0))</f>
        <v>0</v>
      </c>
      <c r="BL39" s="170">
        <f>IF((BL$36-2021)=START!$C$2,0,BUILDINGS!BK39+ROUND((INDEX('DEFAULT DATA'!$WT$9:$WV$41,START!$C$3,3)/100*(BK37+BK38+BK39)),0))</f>
        <v>0</v>
      </c>
      <c r="BM39" s="170">
        <f>IF((BM$36-2021)=START!$C$2,0,BUILDINGS!BL39+ROUND((INDEX('DEFAULT DATA'!$WT$9:$WV$41,START!$C$3,3)/100*(BL37+BL38+BL39)),0))</f>
        <v>0</v>
      </c>
      <c r="BN39" s="325">
        <f>IF((BN$36-2021)=START!$C$2,0,BUILDINGS!BM39+ROUND((INDEX('DEFAULT DATA'!$WT$9:$WV$41,START!$C$3,3)/100*(BM37+BM38+BM39)),0))</f>
        <v>0</v>
      </c>
      <c r="BP39" s="356" t="s">
        <v>1336</v>
      </c>
      <c r="BQ39" s="352"/>
    </row>
    <row r="40" spans="1:87" ht="20.100000000000001" customHeight="1">
      <c r="A40" s="101" t="s">
        <v>873</v>
      </c>
      <c r="B40" s="115">
        <f>INDEX($AL$182:$BN$189,1,START!$C$2)</f>
        <v>5523.404814641096</v>
      </c>
      <c r="C40" s="115">
        <f>INDEX($AL$182:$BN$189,1,START!$C$2)</f>
        <v>5523.404814641096</v>
      </c>
      <c r="D40" s="115">
        <f>INDEX($AL$182:$BN$189,1,START!$C$2)</f>
        <v>5523.404814641096</v>
      </c>
      <c r="E40" s="115">
        <f>INDEX($AL$182:$BN$189,1,START!$C$2)</f>
        <v>5523.404814641096</v>
      </c>
      <c r="F40" s="115">
        <f>INDEX($AL$182:$BN$189,1,START!$C$2)</f>
        <v>5523.404814641096</v>
      </c>
      <c r="G40" s="115">
        <f>INDEX($AL$182:$BN$189,1,START!$C$2)</f>
        <v>5523.404814641096</v>
      </c>
      <c r="H40" s="115">
        <f>INDEX($AL$182:$BN$189,1,START!$C$2)</f>
        <v>5523.404814641096</v>
      </c>
      <c r="I40" s="115">
        <f>INDEX($AL$182:$BN$189,1,START!$C$2)</f>
        <v>5523.404814641096</v>
      </c>
      <c r="J40" s="115">
        <f t="shared" si="5"/>
        <v>44187.238517128761</v>
      </c>
      <c r="K40" s="28"/>
      <c r="L40" s="16"/>
      <c r="M40" s="627"/>
      <c r="N40" s="630"/>
      <c r="O40" s="630"/>
      <c r="P40" s="630"/>
      <c r="Q40" s="630"/>
      <c r="R40" s="630"/>
      <c r="S40" s="630"/>
      <c r="T40" s="630"/>
      <c r="U40" s="630"/>
      <c r="V40" s="630"/>
      <c r="W40" s="630"/>
      <c r="X40" s="630"/>
      <c r="Y40" s="630"/>
      <c r="Z40" s="630"/>
      <c r="AA40" s="630"/>
      <c r="AB40" s="630"/>
      <c r="AC40" s="630"/>
      <c r="AD40" s="630"/>
      <c r="AE40" s="630"/>
      <c r="AF40" s="167"/>
      <c r="AG40" s="1486" t="s">
        <v>983</v>
      </c>
      <c r="AH40" s="1487"/>
      <c r="AI40" s="1487"/>
      <c r="AJ40" s="1580"/>
      <c r="AK40" s="326">
        <f t="shared" ref="AK40:BN40" si="6">SUM(AK37:AK39)</f>
        <v>0</v>
      </c>
      <c r="AL40" s="326">
        <f t="shared" si="6"/>
        <v>4442</v>
      </c>
      <c r="AM40" s="326">
        <f t="shared" si="6"/>
        <v>4442</v>
      </c>
      <c r="AN40" s="326">
        <f t="shared" si="6"/>
        <v>4442</v>
      </c>
      <c r="AO40" s="326">
        <f t="shared" si="6"/>
        <v>4442</v>
      </c>
      <c r="AP40" s="326">
        <f t="shared" si="6"/>
        <v>4442</v>
      </c>
      <c r="AQ40" s="326">
        <f t="shared" si="6"/>
        <v>4442</v>
      </c>
      <c r="AR40" s="326">
        <f t="shared" si="6"/>
        <v>4442</v>
      </c>
      <c r="AS40" s="326">
        <f t="shared" si="6"/>
        <v>4442</v>
      </c>
      <c r="AT40" s="326">
        <f t="shared" si="6"/>
        <v>4442</v>
      </c>
      <c r="AU40" s="326">
        <f t="shared" si="6"/>
        <v>4442</v>
      </c>
      <c r="AV40" s="326">
        <f t="shared" si="6"/>
        <v>4442</v>
      </c>
      <c r="AW40" s="326">
        <f t="shared" si="6"/>
        <v>4442</v>
      </c>
      <c r="AX40" s="326">
        <f t="shared" si="6"/>
        <v>4442</v>
      </c>
      <c r="AY40" s="326">
        <f t="shared" si="6"/>
        <v>4442</v>
      </c>
      <c r="AZ40" s="326">
        <f t="shared" si="6"/>
        <v>4442</v>
      </c>
      <c r="BA40" s="326">
        <f t="shared" si="6"/>
        <v>4442</v>
      </c>
      <c r="BB40" s="326">
        <f t="shared" si="6"/>
        <v>4442</v>
      </c>
      <c r="BC40" s="326">
        <f t="shared" si="6"/>
        <v>4442</v>
      </c>
      <c r="BD40" s="326">
        <f t="shared" si="6"/>
        <v>4442</v>
      </c>
      <c r="BE40" s="326">
        <f t="shared" si="6"/>
        <v>4442</v>
      </c>
      <c r="BF40" s="326">
        <f t="shared" si="6"/>
        <v>4442</v>
      </c>
      <c r="BG40" s="326">
        <f t="shared" si="6"/>
        <v>4442</v>
      </c>
      <c r="BH40" s="326">
        <f t="shared" si="6"/>
        <v>4442</v>
      </c>
      <c r="BI40" s="326">
        <f t="shared" si="6"/>
        <v>4442</v>
      </c>
      <c r="BJ40" s="326">
        <f t="shared" si="6"/>
        <v>4442</v>
      </c>
      <c r="BK40" s="326">
        <f t="shared" si="6"/>
        <v>4442</v>
      </c>
      <c r="BL40" s="326">
        <f t="shared" si="6"/>
        <v>4442</v>
      </c>
      <c r="BM40" s="326">
        <f t="shared" si="6"/>
        <v>4442</v>
      </c>
      <c r="BN40" s="326">
        <f t="shared" si="6"/>
        <v>4442</v>
      </c>
      <c r="CF40" s="225" t="s">
        <v>1219</v>
      </c>
      <c r="CG40" s="225" t="s">
        <v>1090</v>
      </c>
      <c r="CH40" s="225" t="s">
        <v>1091</v>
      </c>
    </row>
    <row r="41" spans="1:87" ht="20.100000000000001" customHeight="1">
      <c r="A41" s="101" t="s">
        <v>874</v>
      </c>
      <c r="B41" s="115">
        <f>INDEX($AL$195:$BN$202,1,START!$C$2)</f>
        <v>65790.373612767391</v>
      </c>
      <c r="C41" s="115">
        <f>INDEX($AL$195:$BN$202,1,START!$C$2)</f>
        <v>65790.373612767391</v>
      </c>
      <c r="D41" s="115">
        <f>INDEX($AL$195:$BN$202,1,START!$C$2)</f>
        <v>65790.373612767391</v>
      </c>
      <c r="E41" s="115">
        <f>INDEX($AL$195:$BN$202,1,START!$C$2)</f>
        <v>65790.373612767391</v>
      </c>
      <c r="F41" s="115">
        <f>INDEX($AL$195:$BN$202,1,START!$C$2)</f>
        <v>65790.373612767391</v>
      </c>
      <c r="G41" s="115">
        <f>INDEX($AL$195:$BN$202,1,START!$C$2)</f>
        <v>65790.373612767391</v>
      </c>
      <c r="H41" s="115">
        <f>INDEX($AL$195:$BN$202,1,START!$C$2)</f>
        <v>65790.373612767391</v>
      </c>
      <c r="I41" s="115">
        <f>INDEX($AL$195:$BN$202,1,START!$C$2)</f>
        <v>65790.373612767391</v>
      </c>
      <c r="J41" s="115">
        <f t="shared" si="5"/>
        <v>526322.98890213913</v>
      </c>
      <c r="K41" s="28"/>
      <c r="L41" s="16"/>
      <c r="M41" s="627"/>
      <c r="N41" s="630"/>
      <c r="O41" s="630"/>
      <c r="P41" s="630"/>
      <c r="Q41" s="630"/>
      <c r="R41" s="630"/>
      <c r="S41" s="630"/>
      <c r="T41" s="630"/>
      <c r="U41" s="630"/>
      <c r="V41" s="630"/>
      <c r="W41" s="630"/>
      <c r="X41" s="630"/>
      <c r="Y41" s="630"/>
      <c r="Z41" s="630"/>
      <c r="AA41" s="630"/>
      <c r="AB41" s="630"/>
      <c r="AC41" s="630"/>
      <c r="AD41" s="630"/>
      <c r="AE41" s="630"/>
      <c r="CF41" s="225" t="s">
        <v>1220</v>
      </c>
      <c r="CG41" s="225" t="s">
        <v>1220</v>
      </c>
      <c r="CH41" s="225" t="s">
        <v>1220</v>
      </c>
    </row>
    <row r="42" spans="1:87" ht="20.100000000000001" customHeight="1" thickBot="1">
      <c r="A42" s="101" t="s">
        <v>875</v>
      </c>
      <c r="B42" s="115">
        <f>INDEX($AL$208:$BN$215,1,START!$C$2)</f>
        <v>3292.3159618980822</v>
      </c>
      <c r="C42" s="115">
        <f>INDEX($AL$208:$BN$215,1,START!$C$2)</f>
        <v>3292.3159618980822</v>
      </c>
      <c r="D42" s="115">
        <f>INDEX($AL$208:$BN$215,1,START!$C$2)</f>
        <v>3292.3159618980822</v>
      </c>
      <c r="E42" s="115">
        <f>INDEX($AL$208:$BN$215,1,START!$C$2)</f>
        <v>3292.3159618980822</v>
      </c>
      <c r="F42" s="115">
        <f>INDEX($AL$208:$BN$215,1,START!$C$2)</f>
        <v>3292.3159618980822</v>
      </c>
      <c r="G42" s="115">
        <f>INDEX($AL$208:$BN$215,1,START!$C$2)</f>
        <v>3292.3159618980822</v>
      </c>
      <c r="H42" s="115">
        <f>INDEX($AL$208:$BN$215,1,START!$C$2)</f>
        <v>3292.3159618980822</v>
      </c>
      <c r="I42" s="115">
        <f>INDEX($AL$208:$BN$215,1,START!$C$2)</f>
        <v>3292.3159618980822</v>
      </c>
      <c r="J42" s="115">
        <f>SUM(B42:I42)</f>
        <v>26338.527695184657</v>
      </c>
      <c r="K42" s="28"/>
      <c r="L42" s="16"/>
      <c r="M42" s="627"/>
      <c r="N42" s="630"/>
      <c r="O42" s="630"/>
      <c r="P42" s="630"/>
      <c r="Q42" s="630"/>
      <c r="R42" s="630"/>
      <c r="S42" s="630"/>
      <c r="T42" s="630"/>
      <c r="U42" s="630"/>
      <c r="V42" s="630"/>
      <c r="W42" s="630"/>
      <c r="X42" s="630"/>
      <c r="Y42" s="630"/>
      <c r="Z42" s="630"/>
      <c r="AA42" s="630"/>
      <c r="AB42" s="630"/>
      <c r="AC42" s="630"/>
      <c r="AD42" s="630"/>
      <c r="AE42" s="630"/>
      <c r="AF42" s="168" t="s">
        <v>1009</v>
      </c>
      <c r="AG42" s="1577" t="s">
        <v>1029</v>
      </c>
      <c r="AH42" s="1578"/>
      <c r="AI42" s="1578"/>
      <c r="AJ42" s="1579"/>
      <c r="AK42" s="320">
        <v>2021</v>
      </c>
      <c r="AL42" s="320">
        <f>AK42+1</f>
        <v>2022</v>
      </c>
      <c r="AM42" s="320">
        <f t="shared" ref="AM42:BN42" si="7">AL42+1</f>
        <v>2023</v>
      </c>
      <c r="AN42" s="320">
        <f t="shared" si="7"/>
        <v>2024</v>
      </c>
      <c r="AO42" s="320">
        <f t="shared" si="7"/>
        <v>2025</v>
      </c>
      <c r="AP42" s="320">
        <f t="shared" si="7"/>
        <v>2026</v>
      </c>
      <c r="AQ42" s="320">
        <f t="shared" si="7"/>
        <v>2027</v>
      </c>
      <c r="AR42" s="320">
        <f t="shared" si="7"/>
        <v>2028</v>
      </c>
      <c r="AS42" s="320">
        <f t="shared" si="7"/>
        <v>2029</v>
      </c>
      <c r="AT42" s="320">
        <f t="shared" si="7"/>
        <v>2030</v>
      </c>
      <c r="AU42" s="320">
        <f t="shared" si="7"/>
        <v>2031</v>
      </c>
      <c r="AV42" s="320">
        <f t="shared" si="7"/>
        <v>2032</v>
      </c>
      <c r="AW42" s="320">
        <f t="shared" si="7"/>
        <v>2033</v>
      </c>
      <c r="AX42" s="320">
        <f t="shared" si="7"/>
        <v>2034</v>
      </c>
      <c r="AY42" s="320">
        <f t="shared" si="7"/>
        <v>2035</v>
      </c>
      <c r="AZ42" s="320">
        <f t="shared" si="7"/>
        <v>2036</v>
      </c>
      <c r="BA42" s="320">
        <f t="shared" si="7"/>
        <v>2037</v>
      </c>
      <c r="BB42" s="320">
        <f t="shared" si="7"/>
        <v>2038</v>
      </c>
      <c r="BC42" s="320">
        <f t="shared" si="7"/>
        <v>2039</v>
      </c>
      <c r="BD42" s="320">
        <f t="shared" si="7"/>
        <v>2040</v>
      </c>
      <c r="BE42" s="320">
        <f t="shared" si="7"/>
        <v>2041</v>
      </c>
      <c r="BF42" s="320">
        <f t="shared" si="7"/>
        <v>2042</v>
      </c>
      <c r="BG42" s="320">
        <f t="shared" si="7"/>
        <v>2043</v>
      </c>
      <c r="BH42" s="320">
        <f t="shared" si="7"/>
        <v>2044</v>
      </c>
      <c r="BI42" s="320">
        <f t="shared" si="7"/>
        <v>2045</v>
      </c>
      <c r="BJ42" s="320">
        <f t="shared" si="7"/>
        <v>2046</v>
      </c>
      <c r="BK42" s="320">
        <f t="shared" si="7"/>
        <v>2047</v>
      </c>
      <c r="BL42" s="320">
        <f t="shared" si="7"/>
        <v>2048</v>
      </c>
      <c r="BM42" s="320">
        <f t="shared" si="7"/>
        <v>2049</v>
      </c>
      <c r="BN42" s="320">
        <f t="shared" si="7"/>
        <v>2050</v>
      </c>
      <c r="BP42" s="6" t="s">
        <v>1253</v>
      </c>
      <c r="BQ42" s="6"/>
      <c r="CF42" s="225" t="s">
        <v>1218</v>
      </c>
      <c r="CG42" s="225" t="s">
        <v>1218</v>
      </c>
      <c r="CH42" s="225" t="s">
        <v>1218</v>
      </c>
      <c r="CI42" s="225" t="s">
        <v>1224</v>
      </c>
    </row>
    <row r="43" spans="1:87" ht="20.100000000000001" customHeight="1">
      <c r="A43" s="86" t="s">
        <v>1022</v>
      </c>
      <c r="B43" s="65"/>
      <c r="C43" s="65"/>
      <c r="D43" s="65"/>
      <c r="E43" s="65"/>
      <c r="F43" s="65"/>
      <c r="G43" s="65"/>
      <c r="H43" s="21"/>
      <c r="I43" s="21"/>
      <c r="J43" s="118">
        <f>SUM(J37:J42)</f>
        <v>946757.96791069361</v>
      </c>
      <c r="K43" s="28"/>
      <c r="AF43" s="1550" t="s">
        <v>1005</v>
      </c>
      <c r="AG43" s="1486" t="s">
        <v>578</v>
      </c>
      <c r="AH43" s="1487"/>
      <c r="AI43" s="1487"/>
      <c r="AJ43" s="1580"/>
      <c r="AK43" s="152">
        <v>0</v>
      </c>
      <c r="AL43" s="157">
        <f>IF((AL$42-2021)&lt;START!$C$2,0,((AL$37*INDEX('DEFAULT DATA'!$AGR$9:$AGY$41,START!$C$3,1))+(AL$38*INDEX('DEFAULT DATA'!$YB$9:$YI$41,START!$C$3,1))+(AL$39*INDEX('DEFAULT DATA'!$ZH$9:$ZO$41,START!$C$3,1)))*AL5/1000000)</f>
        <v>1897.4307558838022</v>
      </c>
      <c r="AM43" s="157">
        <f>IF((AM$42-2021)&lt;START!$C$2,0,((AM$37*INDEX('DEFAULT DATA'!$AGR$9:$AGY$41,START!$C$3,1))+(AM$38*INDEX('DEFAULT DATA'!$YB$9:$YI$41,START!$C$3,1))+(AM$39*INDEX('DEFAULT DATA'!$ZH$9:$ZO$41,START!$C$3,1)))*AM5/1000000)</f>
        <v>1753.2260184366332</v>
      </c>
      <c r="AN43" s="157">
        <f>IF((AN$42-2021)&lt;START!$C$2,0,((AN$37*INDEX('DEFAULT DATA'!$AGR$9:$AGY$41,START!$C$3,1))+(AN$38*INDEX('DEFAULT DATA'!$YB$9:$YI$41,START!$C$3,1))+(AN$39*INDEX('DEFAULT DATA'!$ZH$9:$ZO$41,START!$C$3,1)))*AN5/1000000)</f>
        <v>1619.9808410354492</v>
      </c>
      <c r="AO43" s="157">
        <f>IF((AO$42-2021)&lt;START!$C$2,0,((AO$37*INDEX('DEFAULT DATA'!$AGR$9:$AGY$41,START!$C$3,1))+(AO$38*INDEX('DEFAULT DATA'!$YB$9:$YI$41,START!$C$3,1))+(AO$39*INDEX('DEFAULT DATA'!$ZH$9:$ZO$41,START!$C$3,1)))*AO5/1000000)</f>
        <v>1496.8622971167551</v>
      </c>
      <c r="AP43" s="157">
        <f>IF((AP$42-2021)&lt;START!$C$2,0,((AP$37*INDEX('DEFAULT DATA'!$AGR$9:$AGY$41,START!$C$3,1))+(AP$38*INDEX('DEFAULT DATA'!$YB$9:$YI$41,START!$C$3,1))+(AP$39*INDEX('DEFAULT DATA'!$ZH$9:$ZO$41,START!$C$3,1)))*AP5/1000000)</f>
        <v>1383.100762535882</v>
      </c>
      <c r="AQ43" s="157">
        <f>IF((AQ$42-2021)&lt;START!$C$2,0,((AQ$37*INDEX('DEFAULT DATA'!$AGR$9:$AGY$41,START!$C$3,1))+(AQ$38*INDEX('DEFAULT DATA'!$YB$9:$YI$41,START!$C$3,1))+(AQ$39*INDEX('DEFAULT DATA'!$ZH$9:$ZO$41,START!$C$3,1)))*AQ5/1000000)</f>
        <v>1277.9851045831549</v>
      </c>
      <c r="AR43" s="157">
        <f>IF((AR$42-2021)&lt;START!$C$2,0,((AR$37*INDEX('DEFAULT DATA'!$AGR$9:$AGY$41,START!$C$3,1))+(AR$38*INDEX('DEFAULT DATA'!$YB$9:$YI$41,START!$C$3,1))+(AR$39*INDEX('DEFAULT DATA'!$ZH$9:$ZO$41,START!$C$3,1)))*AR5/1000000)</f>
        <v>1180.8582366348353</v>
      </c>
      <c r="AS43" s="157">
        <f>IF((AS$42-2021)&lt;START!$C$2,0,((AS$37*INDEX('DEFAULT DATA'!$AGR$9:$AGY$41,START!$C$3,1))+(AS$38*INDEX('DEFAULT DATA'!$YB$9:$YI$41,START!$C$3,1))+(AS$39*INDEX('DEFAULT DATA'!$ZH$9:$ZO$41,START!$C$3,1)))*AS5/1000000)</f>
        <v>1091.1130106505877</v>
      </c>
      <c r="AT43" s="157">
        <f>IF((AT$42-2021)&lt;START!$C$2,0,((AT$37*INDEX('DEFAULT DATA'!$AGR$9:$AGY$41,START!$C$3,1))+(AT$38*INDEX('DEFAULT DATA'!$YB$9:$YI$41,START!$C$3,1))+(AT$39*INDEX('DEFAULT DATA'!$ZH$9:$ZO$41,START!$C$3,1)))*AT5/1000000)</f>
        <v>1008.1884218411432</v>
      </c>
      <c r="AU43" s="157">
        <f>IF((AU$42-2021)&lt;START!$C$2,0,((AU$37*INDEX('DEFAULT DATA'!$AGR$9:$AGY$41,START!$C$3,1))+(AU$38*INDEX('DEFAULT DATA'!$YB$9:$YI$41,START!$C$3,1))+(AU$39*INDEX('DEFAULT DATA'!$ZH$9:$ZO$41,START!$C$3,1)))*AU5/1000000)</f>
        <v>942.6561744214689</v>
      </c>
      <c r="AV43" s="157">
        <f>IF((AV$42-2021)&lt;START!$C$2,0,((AV$37*INDEX('DEFAULT DATA'!$AGR$9:$AGY$41,START!$C$3,1))+(AV$38*INDEX('DEFAULT DATA'!$YB$9:$YI$41,START!$C$3,1))+(AV$39*INDEX('DEFAULT DATA'!$ZH$9:$ZO$41,START!$C$3,1)))*AV5/1000000)</f>
        <v>881.38352308407343</v>
      </c>
      <c r="AW43" s="157">
        <f>IF((AW$42-2021)&lt;START!$C$2,0,((AW$37*INDEX('DEFAULT DATA'!$AGR$9:$AGY$41,START!$C$3,1))+(AW$38*INDEX('DEFAULT DATA'!$YB$9:$YI$41,START!$C$3,1))+(AW$39*INDEX('DEFAULT DATA'!$ZH$9:$ZO$41,START!$C$3,1)))*AW5/1000000)</f>
        <v>824.09359408360876</v>
      </c>
      <c r="AX43" s="157">
        <f>IF((AX$42-2021)&lt;START!$C$2,0,((AX$37*INDEX('DEFAULT DATA'!$AGR$9:$AGY$41,START!$C$3,1))+(AX$38*INDEX('DEFAULT DATA'!$YB$9:$YI$41,START!$C$3,1))+(AX$39*INDEX('DEFAULT DATA'!$ZH$9:$ZO$41,START!$C$3,1)))*AX5/1000000)</f>
        <v>770.52751046817411</v>
      </c>
      <c r="AY43" s="157">
        <f>IF((AY$42-2021)&lt;START!$C$2,0,((AY$37*INDEX('DEFAULT DATA'!$AGR$9:$AGY$41,START!$C$3,1))+(AY$38*INDEX('DEFAULT DATA'!$YB$9:$YI$41,START!$C$3,1))+(AY$39*INDEX('DEFAULT DATA'!$ZH$9:$ZO$41,START!$C$3,1)))*AY5/1000000)</f>
        <v>720.44322228774286</v>
      </c>
      <c r="AZ43" s="157">
        <f>IF((AZ$42-2021)&lt;START!$C$2,0,((AZ$37*INDEX('DEFAULT DATA'!$AGR$9:$AGY$41,START!$C$3,1))+(AZ$38*INDEX('DEFAULT DATA'!$YB$9:$YI$41,START!$C$3,1))+(AZ$39*INDEX('DEFAULT DATA'!$ZH$9:$ZO$41,START!$C$3,1)))*AZ5/1000000)</f>
        <v>673.61441283903969</v>
      </c>
      <c r="BA43" s="157">
        <f>IF((BA$42-2021)&lt;START!$C$2,0,((BA$37*INDEX('DEFAULT DATA'!$AGR$9:$AGY$41,START!$C$3,1))+(BA$38*INDEX('DEFAULT DATA'!$YB$9:$YI$41,START!$C$3,1))+(BA$39*INDEX('DEFAULT DATA'!$ZH$9:$ZO$41,START!$C$3,1)))*BA5/1000000)</f>
        <v>629.82947600450223</v>
      </c>
      <c r="BB43" s="157">
        <f>IF((BB$42-2021)&lt;START!$C$2,0,((BB$37*INDEX('DEFAULT DATA'!$AGR$9:$AGY$41,START!$C$3,1))+(BB$38*INDEX('DEFAULT DATA'!$YB$9:$YI$41,START!$C$3,1))+(BB$39*INDEX('DEFAULT DATA'!$ZH$9:$ZO$41,START!$C$3,1)))*BB5/1000000)</f>
        <v>588.89056006420958</v>
      </c>
      <c r="BC43" s="157">
        <f>IF((BC$42-2021)&lt;START!$C$2,0,((BC$37*INDEX('DEFAULT DATA'!$AGR$9:$AGY$41,START!$C$3,1))+(BC$38*INDEX('DEFAULT DATA'!$YB$9:$YI$41,START!$C$3,1))+(BC$39*INDEX('DEFAULT DATA'!$ZH$9:$ZO$41,START!$C$3,1)))*BC5/1000000)</f>
        <v>550.61267366003597</v>
      </c>
      <c r="BD43" s="157">
        <f>IF((BD$42-2021)&lt;START!$C$2,0,((BD$37*INDEX('DEFAULT DATA'!$AGR$9:$AGY$41,START!$C$3,1))+(BD$38*INDEX('DEFAULT DATA'!$YB$9:$YI$41,START!$C$3,1))+(BD$39*INDEX('DEFAULT DATA'!$ZH$9:$ZO$41,START!$C$3,1)))*BD5/1000000)</f>
        <v>514.8228498721337</v>
      </c>
      <c r="BE43" s="157">
        <f>IF((BE$42-2021)&lt;START!$C$2,0,((BE$37*INDEX('DEFAULT DATA'!$AGR$9:$AGY$41,START!$C$3,1))+(BE$38*INDEX('DEFAULT DATA'!$YB$9:$YI$41,START!$C$3,1))+(BE$39*INDEX('DEFAULT DATA'!$ZH$9:$ZO$41,START!$C$3,1)))*BE5/1000000)</f>
        <v>481.35936463044504</v>
      </c>
      <c r="BF43" s="157">
        <f>IF((BF$42-2021)&lt;START!$C$2,0,((BF$37*INDEX('DEFAULT DATA'!$AGR$9:$AGY$41,START!$C$3,1))+(BF$38*INDEX('DEFAULT DATA'!$YB$9:$YI$41,START!$C$3,1))+(BF$39*INDEX('DEFAULT DATA'!$ZH$9:$ZO$41,START!$C$3,1)))*BF5/1000000)</f>
        <v>450.07100592946614</v>
      </c>
      <c r="BG43" s="157">
        <f>IF((BG$42-2021)&lt;START!$C$2,0,((BG$37*INDEX('DEFAULT DATA'!$AGR$9:$AGY$41,START!$C$3,1))+(BG$38*INDEX('DEFAULT DATA'!$YB$9:$YI$41,START!$C$3,1))+(BG$39*INDEX('DEFAULT DATA'!$ZH$9:$ZO$41,START!$C$3,1)))*BG5/1000000)</f>
        <v>420.81639054405088</v>
      </c>
      <c r="BH43" s="157">
        <f>IF((BH$42-2021)&lt;START!$C$2,0,((BH$37*INDEX('DEFAULT DATA'!$AGR$9:$AGY$41,START!$C$3,1))+(BH$38*INDEX('DEFAULT DATA'!$YB$9:$YI$41,START!$C$3,1))+(BH$39*INDEX('DEFAULT DATA'!$ZH$9:$ZO$41,START!$C$3,1)))*BH5/1000000)</f>
        <v>393.46332515868761</v>
      </c>
      <c r="BI43" s="157">
        <f>IF((BI$42-2021)&lt;START!$C$2,0,((BI$37*INDEX('DEFAULT DATA'!$AGR$9:$AGY$41,START!$C$3,1))+(BI$38*INDEX('DEFAULT DATA'!$YB$9:$YI$41,START!$C$3,1))+(BI$39*INDEX('DEFAULT DATA'!$ZH$9:$ZO$41,START!$C$3,1)))*BI5/1000000)</f>
        <v>367.88820902337295</v>
      </c>
      <c r="BJ43" s="157">
        <f>IF((BJ$42-2021)&lt;START!$C$2,0,((BJ$37*INDEX('DEFAULT DATA'!$AGR$9:$AGY$41,START!$C$3,1))+(BJ$38*INDEX('DEFAULT DATA'!$YB$9:$YI$41,START!$C$3,1))+(BJ$39*INDEX('DEFAULT DATA'!$ZH$9:$ZO$41,START!$C$3,1)))*BJ5/1000000)</f>
        <v>343.97547543685369</v>
      </c>
      <c r="BK43" s="157">
        <f>IF((BK$42-2021)&lt;START!$C$2,0,((BK$37*INDEX('DEFAULT DATA'!$AGR$9:$AGY$41,START!$C$3,1))+(BK$38*INDEX('DEFAULT DATA'!$YB$9:$YI$41,START!$C$3,1))+(BK$39*INDEX('DEFAULT DATA'!$ZH$9:$ZO$41,START!$C$3,1)))*BK5/1000000)</f>
        <v>321.61706953345822</v>
      </c>
      <c r="BL43" s="157">
        <f>IF((BL$42-2021)&lt;START!$C$2,0,((BL$37*INDEX('DEFAULT DATA'!$AGR$9:$AGY$41,START!$C$3,1))+(BL$38*INDEX('DEFAULT DATA'!$YB$9:$YI$41,START!$C$3,1))+(BL$39*INDEX('DEFAULT DATA'!$ZH$9:$ZO$41,START!$C$3,1)))*BL5/1000000)</f>
        <v>300.71196001378348</v>
      </c>
      <c r="BM43" s="157">
        <f>IF((BM$42-2021)&lt;START!$C$2,0,((BM$37*INDEX('DEFAULT DATA'!$AGR$9:$AGY$41,START!$C$3,1))+(BM$38*INDEX('DEFAULT DATA'!$YB$9:$YI$41,START!$C$3,1))+(BM$39*INDEX('DEFAULT DATA'!$ZH$9:$ZO$41,START!$C$3,1)))*BM5/1000000)</f>
        <v>281.16568261288757</v>
      </c>
      <c r="BN43" s="158">
        <f>IF((BN$42-2021)&lt;START!$C$2,0,((BN$37*INDEX('DEFAULT DATA'!$AGR$9:$AGY$41,START!$C$3,1))+(BN$38*INDEX('DEFAULT DATA'!$YB$9:$YI$41,START!$C$3,1))+(BN$39*INDEX('DEFAULT DATA'!$ZH$9:$ZO$41,START!$C$3,1)))*BN5/1000000)</f>
        <v>262.88991324304988</v>
      </c>
      <c r="BP43" s="353" t="str">
        <f>AG43</f>
        <v>Electricity</v>
      </c>
      <c r="BQ43" s="357" t="s">
        <v>1353</v>
      </c>
      <c r="BR43" s="358"/>
      <c r="BS43" s="358"/>
      <c r="BT43" s="358"/>
      <c r="BU43" s="358"/>
      <c r="BV43" s="358"/>
      <c r="BW43" s="358"/>
      <c r="BX43" s="358"/>
      <c r="BY43" s="358"/>
      <c r="BZ43" s="358"/>
      <c r="CA43" s="358"/>
      <c r="CB43" s="358"/>
      <c r="CC43" s="358"/>
      <c r="CD43" s="358"/>
      <c r="CE43" s="359"/>
      <c r="CF43" s="360" t="s">
        <v>1221</v>
      </c>
      <c r="CG43" s="360" t="s">
        <v>1222</v>
      </c>
      <c r="CH43" s="360" t="s">
        <v>1223</v>
      </c>
      <c r="CI43" s="360" t="s">
        <v>1225</v>
      </c>
    </row>
    <row r="44" spans="1:87" ht="20.100000000000001" customHeight="1">
      <c r="A44" s="27"/>
      <c r="B44" s="21"/>
      <c r="C44" s="21"/>
      <c r="D44" s="21"/>
      <c r="E44" s="21"/>
      <c r="F44" s="21"/>
      <c r="G44" s="21"/>
      <c r="H44" s="21"/>
      <c r="I44" s="21"/>
      <c r="J44" s="21"/>
      <c r="K44" s="28"/>
      <c r="L44" s="16"/>
      <c r="M44" s="627"/>
      <c r="N44" s="630"/>
      <c r="O44" s="630"/>
      <c r="P44" s="630"/>
      <c r="Q44" s="630"/>
      <c r="R44" s="630"/>
      <c r="S44" s="630"/>
      <c r="T44" s="630"/>
      <c r="U44" s="630"/>
      <c r="V44" s="630"/>
      <c r="W44" s="630"/>
      <c r="X44" s="630"/>
      <c r="Y44" s="630"/>
      <c r="Z44" s="630"/>
      <c r="AA44" s="630"/>
      <c r="AB44" s="630"/>
      <c r="AC44" s="630"/>
      <c r="AD44" s="630"/>
      <c r="AE44" s="630"/>
      <c r="AF44" s="1551"/>
      <c r="AG44" s="1581" t="s">
        <v>862</v>
      </c>
      <c r="AH44" s="1582"/>
      <c r="AI44" s="1582"/>
      <c r="AJ44" s="1583"/>
      <c r="AK44" s="81">
        <v>0</v>
      </c>
      <c r="AL44" s="123">
        <f>IF((AL$42-2021)&lt;START!$C$2,0,((AL$37*INDEX('DEFAULT DATA'!$AGR$9:$AGY$41,START!$C$3,2))+(AL$38*INDEX('DEFAULT DATA'!$YB$9:$YI$41,START!$C$3,2))+(AL$39*INDEX('DEFAULT DATA'!$ZH$9:$ZO$41,START!$C$3,2)))*INDEX('DEFAULT DATA'!$WC$9:$WJ$41,START!$C$3,2)/1000000)</f>
        <v>2603.1816052403333</v>
      </c>
      <c r="AM44" s="123">
        <f>IF((AM$42-2021)&lt;START!$C$2,0,((AM$37*INDEX('DEFAULT DATA'!$AGR$9:$AGY$41,START!$C$3,2))+(AM$38*INDEX('DEFAULT DATA'!$YB$9:$YI$41,START!$C$3,2))+(AM$39*INDEX('DEFAULT DATA'!$ZH$9:$ZO$41,START!$C$3,2)))*INDEX('DEFAULT DATA'!$WC$9:$WJ$41,START!$C$3,2)/1000000)</f>
        <v>2603.1816052403333</v>
      </c>
      <c r="AN44" s="123">
        <f>IF((AN$42-2021)&lt;START!$C$2,0,((AN$37*INDEX('DEFAULT DATA'!$AGR$9:$AGY$41,START!$C$3,2))+(AN$38*INDEX('DEFAULT DATA'!$YB$9:$YI$41,START!$C$3,2))+(AN$39*INDEX('DEFAULT DATA'!$ZH$9:$ZO$41,START!$C$3,2)))*INDEX('DEFAULT DATA'!$WC$9:$WJ$41,START!$C$3,2)/1000000)</f>
        <v>2603.1816052403333</v>
      </c>
      <c r="AO44" s="123">
        <f>IF((AO$42-2021)&lt;START!$C$2,0,((AO$37*INDEX('DEFAULT DATA'!$AGR$9:$AGY$41,START!$C$3,2))+(AO$38*INDEX('DEFAULT DATA'!$YB$9:$YI$41,START!$C$3,2))+(AO$39*INDEX('DEFAULT DATA'!$ZH$9:$ZO$41,START!$C$3,2)))*INDEX('DEFAULT DATA'!$WC$9:$WJ$41,START!$C$3,2)/1000000)</f>
        <v>2603.1816052403333</v>
      </c>
      <c r="AP44" s="123">
        <f>IF((AP$42-2021)&lt;START!$C$2,0,((AP$37*INDEX('DEFAULT DATA'!$AGR$9:$AGY$41,START!$C$3,2))+(AP$38*INDEX('DEFAULT DATA'!$YB$9:$YI$41,START!$C$3,2))+(AP$39*INDEX('DEFAULT DATA'!$ZH$9:$ZO$41,START!$C$3,2)))*INDEX('DEFAULT DATA'!$WC$9:$WJ$41,START!$C$3,2)/1000000)</f>
        <v>2603.1816052403333</v>
      </c>
      <c r="AQ44" s="123">
        <f>IF((AQ$42-2021)&lt;START!$C$2,0,((AQ$37*INDEX('DEFAULT DATA'!$AGR$9:$AGY$41,START!$C$3,2))+(AQ$38*INDEX('DEFAULT DATA'!$YB$9:$YI$41,START!$C$3,2))+(AQ$39*INDEX('DEFAULT DATA'!$ZH$9:$ZO$41,START!$C$3,2)))*INDEX('DEFAULT DATA'!$WC$9:$WJ$41,START!$C$3,2)/1000000)</f>
        <v>2603.1816052403333</v>
      </c>
      <c r="AR44" s="123">
        <f>IF((AR$42-2021)&lt;START!$C$2,0,((AR$37*INDEX('DEFAULT DATA'!$AGR$9:$AGY$41,START!$C$3,2))+(AR$38*INDEX('DEFAULT DATA'!$YB$9:$YI$41,START!$C$3,2))+(AR$39*INDEX('DEFAULT DATA'!$ZH$9:$ZO$41,START!$C$3,2)))*INDEX('DEFAULT DATA'!$WC$9:$WJ$41,START!$C$3,2)/1000000)</f>
        <v>2603.1816052403333</v>
      </c>
      <c r="AS44" s="123">
        <f>IF((AS$42-2021)&lt;START!$C$2,0,((AS$37*INDEX('DEFAULT DATA'!$AGR$9:$AGY$41,START!$C$3,2))+(AS$38*INDEX('DEFAULT DATA'!$YB$9:$YI$41,START!$C$3,2))+(AS$39*INDEX('DEFAULT DATA'!$ZH$9:$ZO$41,START!$C$3,2)))*INDEX('DEFAULT DATA'!$WC$9:$WJ$41,START!$C$3,2)/1000000)</f>
        <v>2603.1816052403333</v>
      </c>
      <c r="AT44" s="123">
        <f>IF((AT$42-2021)&lt;START!$C$2,0,((AT$37*INDEX('DEFAULT DATA'!$AGR$9:$AGY$41,START!$C$3,2))+(AT$38*INDEX('DEFAULT DATA'!$YB$9:$YI$41,START!$C$3,2))+(AT$39*INDEX('DEFAULT DATA'!$ZH$9:$ZO$41,START!$C$3,2)))*INDEX('DEFAULT DATA'!$WC$9:$WJ$41,START!$C$3,2)/1000000)</f>
        <v>2603.1816052403333</v>
      </c>
      <c r="AU44" s="123">
        <f>IF((AU$42-2021)&lt;START!$C$2,0,((AU$37*INDEX('DEFAULT DATA'!$AGR$9:$AGY$41,START!$C$3,2))+(AU$38*INDEX('DEFAULT DATA'!$YB$9:$YI$41,START!$C$3,2))+(AU$39*INDEX('DEFAULT DATA'!$ZH$9:$ZO$41,START!$C$3,2)))*INDEX('DEFAULT DATA'!$WC$9:$WJ$41,START!$C$3,2)/1000000)</f>
        <v>2603.1816052403333</v>
      </c>
      <c r="AV44" s="123">
        <f>IF((AV$42-2021)&lt;START!$C$2,0,((AV$37*INDEX('DEFAULT DATA'!$AGR$9:$AGY$41,START!$C$3,2))+(AV$38*INDEX('DEFAULT DATA'!$YB$9:$YI$41,START!$C$3,2))+(AV$39*INDEX('DEFAULT DATA'!$ZH$9:$ZO$41,START!$C$3,2)))*INDEX('DEFAULT DATA'!$WC$9:$WJ$41,START!$C$3,2)/1000000)</f>
        <v>2603.1816052403333</v>
      </c>
      <c r="AW44" s="123">
        <f>IF((AW$42-2021)&lt;START!$C$2,0,((AW$37*INDEX('DEFAULT DATA'!$AGR$9:$AGY$41,START!$C$3,2))+(AW$38*INDEX('DEFAULT DATA'!$YB$9:$YI$41,START!$C$3,2))+(AW$39*INDEX('DEFAULT DATA'!$ZH$9:$ZO$41,START!$C$3,2)))*INDEX('DEFAULT DATA'!$WC$9:$WJ$41,START!$C$3,2)/1000000)</f>
        <v>2603.1816052403333</v>
      </c>
      <c r="AX44" s="123">
        <f>IF((AX$42-2021)&lt;START!$C$2,0,((AX$37*INDEX('DEFAULT DATA'!$AGR$9:$AGY$41,START!$C$3,2))+(AX$38*INDEX('DEFAULT DATA'!$YB$9:$YI$41,START!$C$3,2))+(AX$39*INDEX('DEFAULT DATA'!$ZH$9:$ZO$41,START!$C$3,2)))*INDEX('DEFAULT DATA'!$WC$9:$WJ$41,START!$C$3,2)/1000000)</f>
        <v>2603.1816052403333</v>
      </c>
      <c r="AY44" s="123">
        <f>IF((AY$42-2021)&lt;START!$C$2,0,((AY$37*INDEX('DEFAULT DATA'!$AGR$9:$AGY$41,START!$C$3,2))+(AY$38*INDEX('DEFAULT DATA'!$YB$9:$YI$41,START!$C$3,2))+(AY$39*INDEX('DEFAULT DATA'!$ZH$9:$ZO$41,START!$C$3,2)))*INDEX('DEFAULT DATA'!$WC$9:$WJ$41,START!$C$3,2)/1000000)</f>
        <v>2603.1816052403333</v>
      </c>
      <c r="AZ44" s="123">
        <f>IF((AZ$42-2021)&lt;START!$C$2,0,((AZ$37*INDEX('DEFAULT DATA'!$AGR$9:$AGY$41,START!$C$3,2))+(AZ$38*INDEX('DEFAULT DATA'!$YB$9:$YI$41,START!$C$3,2))+(AZ$39*INDEX('DEFAULT DATA'!$ZH$9:$ZO$41,START!$C$3,2)))*INDEX('DEFAULT DATA'!$WC$9:$WJ$41,START!$C$3,2)/1000000)</f>
        <v>2603.1816052403333</v>
      </c>
      <c r="BA44" s="123">
        <f>IF((BA$42-2021)&lt;START!$C$2,0,((BA$37*INDEX('DEFAULT DATA'!$AGR$9:$AGY$41,START!$C$3,2))+(BA$38*INDEX('DEFAULT DATA'!$YB$9:$YI$41,START!$C$3,2))+(BA$39*INDEX('DEFAULT DATA'!$ZH$9:$ZO$41,START!$C$3,2)))*INDEX('DEFAULT DATA'!$WC$9:$WJ$41,START!$C$3,2)/1000000)</f>
        <v>2603.1816052403333</v>
      </c>
      <c r="BB44" s="123">
        <f>IF((BB$42-2021)&lt;START!$C$2,0,((BB$37*INDEX('DEFAULT DATA'!$AGR$9:$AGY$41,START!$C$3,2))+(BB$38*INDEX('DEFAULT DATA'!$YB$9:$YI$41,START!$C$3,2))+(BB$39*INDEX('DEFAULT DATA'!$ZH$9:$ZO$41,START!$C$3,2)))*INDEX('DEFAULT DATA'!$WC$9:$WJ$41,START!$C$3,2)/1000000)</f>
        <v>2603.1816052403333</v>
      </c>
      <c r="BC44" s="123">
        <f>IF((BC$42-2021)&lt;START!$C$2,0,((BC$37*INDEX('DEFAULT DATA'!$AGR$9:$AGY$41,START!$C$3,2))+(BC$38*INDEX('DEFAULT DATA'!$YB$9:$YI$41,START!$C$3,2))+(BC$39*INDEX('DEFAULT DATA'!$ZH$9:$ZO$41,START!$C$3,2)))*INDEX('DEFAULT DATA'!$WC$9:$WJ$41,START!$C$3,2)/1000000)</f>
        <v>2603.1816052403333</v>
      </c>
      <c r="BD44" s="123">
        <f>IF((BD$42-2021)&lt;START!$C$2,0,((BD$37*INDEX('DEFAULT DATA'!$AGR$9:$AGY$41,START!$C$3,2))+(BD$38*INDEX('DEFAULT DATA'!$YB$9:$YI$41,START!$C$3,2))+(BD$39*INDEX('DEFAULT DATA'!$ZH$9:$ZO$41,START!$C$3,2)))*INDEX('DEFAULT DATA'!$WC$9:$WJ$41,START!$C$3,2)/1000000)</f>
        <v>2603.1816052403333</v>
      </c>
      <c r="BE44" s="123">
        <f>IF((BE$42-2021)&lt;START!$C$2,0,((BE$37*INDEX('DEFAULT DATA'!$AGR$9:$AGY$41,START!$C$3,2))+(BE$38*INDEX('DEFAULT DATA'!$YB$9:$YI$41,START!$C$3,2))+(BE$39*INDEX('DEFAULT DATA'!$ZH$9:$ZO$41,START!$C$3,2)))*INDEX('DEFAULT DATA'!$WC$9:$WJ$41,START!$C$3,2)/1000000)</f>
        <v>2603.1816052403333</v>
      </c>
      <c r="BF44" s="123">
        <f>IF((BF$42-2021)&lt;START!$C$2,0,((BF$37*INDEX('DEFAULT DATA'!$AGR$9:$AGY$41,START!$C$3,2))+(BF$38*INDEX('DEFAULT DATA'!$YB$9:$YI$41,START!$C$3,2))+(BF$39*INDEX('DEFAULT DATA'!$ZH$9:$ZO$41,START!$C$3,2)))*INDEX('DEFAULT DATA'!$WC$9:$WJ$41,START!$C$3,2)/1000000)</f>
        <v>2603.1816052403333</v>
      </c>
      <c r="BG44" s="123">
        <f>IF((BG$42-2021)&lt;START!$C$2,0,((BG$37*INDEX('DEFAULT DATA'!$AGR$9:$AGY$41,START!$C$3,2))+(BG$38*INDEX('DEFAULT DATA'!$YB$9:$YI$41,START!$C$3,2))+(BG$39*INDEX('DEFAULT DATA'!$ZH$9:$ZO$41,START!$C$3,2)))*INDEX('DEFAULT DATA'!$WC$9:$WJ$41,START!$C$3,2)/1000000)</f>
        <v>2603.1816052403333</v>
      </c>
      <c r="BH44" s="123">
        <f>IF((BH$42-2021)&lt;START!$C$2,0,((BH$37*INDEX('DEFAULT DATA'!$AGR$9:$AGY$41,START!$C$3,2))+(BH$38*INDEX('DEFAULT DATA'!$YB$9:$YI$41,START!$C$3,2))+(BH$39*INDEX('DEFAULT DATA'!$ZH$9:$ZO$41,START!$C$3,2)))*INDEX('DEFAULT DATA'!$WC$9:$WJ$41,START!$C$3,2)/1000000)</f>
        <v>2603.1816052403333</v>
      </c>
      <c r="BI44" s="123">
        <f>IF((BI$42-2021)&lt;START!$C$2,0,((BI$37*INDEX('DEFAULT DATA'!$AGR$9:$AGY$41,START!$C$3,2))+(BI$38*INDEX('DEFAULT DATA'!$YB$9:$YI$41,START!$C$3,2))+(BI$39*INDEX('DEFAULT DATA'!$ZH$9:$ZO$41,START!$C$3,2)))*INDEX('DEFAULT DATA'!$WC$9:$WJ$41,START!$C$3,2)/1000000)</f>
        <v>2603.1816052403333</v>
      </c>
      <c r="BJ44" s="123">
        <f>IF((BJ$42-2021)&lt;START!$C$2,0,((BJ$37*INDEX('DEFAULT DATA'!$AGR$9:$AGY$41,START!$C$3,2))+(BJ$38*INDEX('DEFAULT DATA'!$YB$9:$YI$41,START!$C$3,2))+(BJ$39*INDEX('DEFAULT DATA'!$ZH$9:$ZO$41,START!$C$3,2)))*INDEX('DEFAULT DATA'!$WC$9:$WJ$41,START!$C$3,2)/1000000)</f>
        <v>2603.1816052403333</v>
      </c>
      <c r="BK44" s="123">
        <f>IF((BK$42-2021)&lt;START!$C$2,0,((BK$37*INDEX('DEFAULT DATA'!$AGR$9:$AGY$41,START!$C$3,2))+(BK$38*INDEX('DEFAULT DATA'!$YB$9:$YI$41,START!$C$3,2))+(BK$39*INDEX('DEFAULT DATA'!$ZH$9:$ZO$41,START!$C$3,2)))*INDEX('DEFAULT DATA'!$WC$9:$WJ$41,START!$C$3,2)/1000000)</f>
        <v>2603.1816052403333</v>
      </c>
      <c r="BL44" s="123">
        <f>IF((BL$42-2021)&lt;START!$C$2,0,((BL$37*INDEX('DEFAULT DATA'!$AGR$9:$AGY$41,START!$C$3,2))+(BL$38*INDEX('DEFAULT DATA'!$YB$9:$YI$41,START!$C$3,2))+(BL$39*INDEX('DEFAULT DATA'!$ZH$9:$ZO$41,START!$C$3,2)))*INDEX('DEFAULT DATA'!$WC$9:$WJ$41,START!$C$3,2)/1000000)</f>
        <v>2603.1816052403333</v>
      </c>
      <c r="BM44" s="123">
        <f>IF((BM$42-2021)&lt;START!$C$2,0,((BM$37*INDEX('DEFAULT DATA'!$AGR$9:$AGY$41,START!$C$3,2))+(BM$38*INDEX('DEFAULT DATA'!$YB$9:$YI$41,START!$C$3,2))+(BM$39*INDEX('DEFAULT DATA'!$ZH$9:$ZO$41,START!$C$3,2)))*INDEX('DEFAULT DATA'!$WC$9:$WJ$41,START!$C$3,2)/1000000)</f>
        <v>2603.1816052403333</v>
      </c>
      <c r="BN44" s="159">
        <f>IF((BN$42-2021)&lt;START!$C$2,0,((BN$37*INDEX('DEFAULT DATA'!$AGR$9:$AGY$41,START!$C$3,2))+(BN$38*INDEX('DEFAULT DATA'!$YB$9:$YI$41,START!$C$3,2))+(BN$39*INDEX('DEFAULT DATA'!$ZH$9:$ZO$41,START!$C$3,2)))*INDEX('DEFAULT DATA'!$WC$9:$WJ$41,START!$C$3,2)/1000000)</f>
        <v>2603.1816052403333</v>
      </c>
      <c r="BP44" s="355" t="str">
        <f t="shared" ref="BP44:BP50" si="8">AG44</f>
        <v>Gas</v>
      </c>
      <c r="BQ44" s="361" t="s">
        <v>1346</v>
      </c>
      <c r="BR44" s="362"/>
      <c r="BS44" s="362"/>
      <c r="BT44" s="362"/>
      <c r="BU44" s="362"/>
      <c r="BV44" s="362"/>
      <c r="BW44" s="362"/>
      <c r="BX44" s="362"/>
      <c r="BY44" s="362"/>
      <c r="BZ44" s="362"/>
      <c r="CA44" s="362"/>
      <c r="CB44" s="362"/>
      <c r="CC44" s="362"/>
      <c r="CD44" s="362"/>
      <c r="CE44" s="363"/>
      <c r="CF44" s="360" t="s">
        <v>1226</v>
      </c>
      <c r="CG44" s="360" t="s">
        <v>1233</v>
      </c>
      <c r="CH44" s="360" t="s">
        <v>1240</v>
      </c>
      <c r="CI44" s="360" t="s">
        <v>886</v>
      </c>
    </row>
    <row r="45" spans="1:87" ht="20.100000000000001" customHeight="1">
      <c r="A45" s="27"/>
      <c r="B45" s="21"/>
      <c r="C45" s="21"/>
      <c r="D45" s="21"/>
      <c r="E45" s="21"/>
      <c r="F45" s="21"/>
      <c r="G45" s="21"/>
      <c r="H45" s="21"/>
      <c r="I45" s="21"/>
      <c r="J45" s="21"/>
      <c r="K45" s="28"/>
      <c r="L45" s="16"/>
      <c r="M45" s="627"/>
      <c r="N45" s="630"/>
      <c r="O45" s="630"/>
      <c r="P45" s="630"/>
      <c r="Q45" s="630"/>
      <c r="R45" s="630"/>
      <c r="S45" s="630"/>
      <c r="T45" s="630"/>
      <c r="U45" s="630"/>
      <c r="V45" s="630"/>
      <c r="W45" s="630"/>
      <c r="X45" s="630"/>
      <c r="Y45" s="630"/>
      <c r="Z45" s="630"/>
      <c r="AA45" s="630"/>
      <c r="AB45" s="630"/>
      <c r="AC45" s="630"/>
      <c r="AD45" s="630"/>
      <c r="AE45" s="630"/>
      <c r="AF45" s="1551"/>
      <c r="AG45" s="1581" t="s">
        <v>863</v>
      </c>
      <c r="AH45" s="1582"/>
      <c r="AI45" s="1582"/>
      <c r="AJ45" s="1583"/>
      <c r="AK45" s="81">
        <v>0</v>
      </c>
      <c r="AL45" s="123">
        <f>IF((AL$42-2021)&lt;START!$C$2,0,((AL$37*INDEX('DEFAULT DATA'!$AGR$9:$AGY$41,START!$C$3,3))+(AL$38*INDEX('DEFAULT DATA'!$YB$9:$YI$41,START!$C$3,3))+(AL$39*INDEX('DEFAULT DATA'!$ZH$9:$ZO$41,START!$C$3,3)))*INDEX('DEFAULT DATA'!$WC$9:$WJ$41,START!$C$3,3)/1000000)</f>
        <v>430.10488155889169</v>
      </c>
      <c r="AM45" s="123">
        <f>IF((AM$42-2021)&lt;START!$C$2,0,((AM$37*INDEX('DEFAULT DATA'!$AGR$9:$AGY$41,START!$C$3,3))+(AM$38*INDEX('DEFAULT DATA'!$YB$9:$YI$41,START!$C$3,3))+(AM$39*INDEX('DEFAULT DATA'!$ZH$9:$ZO$41,START!$C$3,3)))*INDEX('DEFAULT DATA'!$WC$9:$WJ$41,START!$C$3,3)/1000000)</f>
        <v>430.10488155889169</v>
      </c>
      <c r="AN45" s="123">
        <f>IF((AN$42-2021)&lt;START!$C$2,0,((AN$37*INDEX('DEFAULT DATA'!$AGR$9:$AGY$41,START!$C$3,3))+(AN$38*INDEX('DEFAULT DATA'!$YB$9:$YI$41,START!$C$3,3))+(AN$39*INDEX('DEFAULT DATA'!$ZH$9:$ZO$41,START!$C$3,3)))*INDEX('DEFAULT DATA'!$WC$9:$WJ$41,START!$C$3,3)/1000000)</f>
        <v>430.10488155889169</v>
      </c>
      <c r="AO45" s="123">
        <f>IF((AO$42-2021)&lt;START!$C$2,0,((AO$37*INDEX('DEFAULT DATA'!$AGR$9:$AGY$41,START!$C$3,3))+(AO$38*INDEX('DEFAULT DATA'!$YB$9:$YI$41,START!$C$3,3))+(AO$39*INDEX('DEFAULT DATA'!$ZH$9:$ZO$41,START!$C$3,3)))*INDEX('DEFAULT DATA'!$WC$9:$WJ$41,START!$C$3,3)/1000000)</f>
        <v>430.10488155889169</v>
      </c>
      <c r="AP45" s="123">
        <f>IF((AP$42-2021)&lt;START!$C$2,0,((AP$37*INDEX('DEFAULT DATA'!$AGR$9:$AGY$41,START!$C$3,3))+(AP$38*INDEX('DEFAULT DATA'!$YB$9:$YI$41,START!$C$3,3))+(AP$39*INDEX('DEFAULT DATA'!$ZH$9:$ZO$41,START!$C$3,3)))*INDEX('DEFAULT DATA'!$WC$9:$WJ$41,START!$C$3,3)/1000000)</f>
        <v>430.10488155889169</v>
      </c>
      <c r="AQ45" s="123">
        <f>IF((AQ$42-2021)&lt;START!$C$2,0,((AQ$37*INDEX('DEFAULT DATA'!$AGR$9:$AGY$41,START!$C$3,3))+(AQ$38*INDEX('DEFAULT DATA'!$YB$9:$YI$41,START!$C$3,3))+(AQ$39*INDEX('DEFAULT DATA'!$ZH$9:$ZO$41,START!$C$3,3)))*INDEX('DEFAULT DATA'!$WC$9:$WJ$41,START!$C$3,3)/1000000)</f>
        <v>430.10488155889169</v>
      </c>
      <c r="AR45" s="123">
        <f>IF((AR$42-2021)&lt;START!$C$2,0,((AR$37*INDEX('DEFAULT DATA'!$AGR$9:$AGY$41,START!$C$3,3))+(AR$38*INDEX('DEFAULT DATA'!$YB$9:$YI$41,START!$C$3,3))+(AR$39*INDEX('DEFAULT DATA'!$ZH$9:$ZO$41,START!$C$3,3)))*INDEX('DEFAULT DATA'!$WC$9:$WJ$41,START!$C$3,3)/1000000)</f>
        <v>430.10488155889169</v>
      </c>
      <c r="AS45" s="123">
        <f>IF((AS$42-2021)&lt;START!$C$2,0,((AS$37*INDEX('DEFAULT DATA'!$AGR$9:$AGY$41,START!$C$3,3))+(AS$38*INDEX('DEFAULT DATA'!$YB$9:$YI$41,START!$C$3,3))+(AS$39*INDEX('DEFAULT DATA'!$ZH$9:$ZO$41,START!$C$3,3)))*INDEX('DEFAULT DATA'!$WC$9:$WJ$41,START!$C$3,3)/1000000)</f>
        <v>430.10488155889169</v>
      </c>
      <c r="AT45" s="123">
        <f>IF((AT$42-2021)&lt;START!$C$2,0,((AT$37*INDEX('DEFAULT DATA'!$AGR$9:$AGY$41,START!$C$3,3))+(AT$38*INDEX('DEFAULT DATA'!$YB$9:$YI$41,START!$C$3,3))+(AT$39*INDEX('DEFAULT DATA'!$ZH$9:$ZO$41,START!$C$3,3)))*INDEX('DEFAULT DATA'!$WC$9:$WJ$41,START!$C$3,3)/1000000)</f>
        <v>430.10488155889169</v>
      </c>
      <c r="AU45" s="123">
        <f>IF((AU$42-2021)&lt;START!$C$2,0,((AU$37*INDEX('DEFAULT DATA'!$AGR$9:$AGY$41,START!$C$3,3))+(AU$38*INDEX('DEFAULT DATA'!$YB$9:$YI$41,START!$C$3,3))+(AU$39*INDEX('DEFAULT DATA'!$ZH$9:$ZO$41,START!$C$3,3)))*INDEX('DEFAULT DATA'!$WC$9:$WJ$41,START!$C$3,3)/1000000)</f>
        <v>430.10488155889169</v>
      </c>
      <c r="AV45" s="123">
        <f>IF((AV$42-2021)&lt;START!$C$2,0,((AV$37*INDEX('DEFAULT DATA'!$AGR$9:$AGY$41,START!$C$3,3))+(AV$38*INDEX('DEFAULT DATA'!$YB$9:$YI$41,START!$C$3,3))+(AV$39*INDEX('DEFAULT DATA'!$ZH$9:$ZO$41,START!$C$3,3)))*INDEX('DEFAULT DATA'!$WC$9:$WJ$41,START!$C$3,3)/1000000)</f>
        <v>430.10488155889169</v>
      </c>
      <c r="AW45" s="123">
        <f>IF((AW$42-2021)&lt;START!$C$2,0,((AW$37*INDEX('DEFAULT DATA'!$AGR$9:$AGY$41,START!$C$3,3))+(AW$38*INDEX('DEFAULT DATA'!$YB$9:$YI$41,START!$C$3,3))+(AW$39*INDEX('DEFAULT DATA'!$ZH$9:$ZO$41,START!$C$3,3)))*INDEX('DEFAULT DATA'!$WC$9:$WJ$41,START!$C$3,3)/1000000)</f>
        <v>430.10488155889169</v>
      </c>
      <c r="AX45" s="123">
        <f>IF((AX$42-2021)&lt;START!$C$2,0,((AX$37*INDEX('DEFAULT DATA'!$AGR$9:$AGY$41,START!$C$3,3))+(AX$38*INDEX('DEFAULT DATA'!$YB$9:$YI$41,START!$C$3,3))+(AX$39*INDEX('DEFAULT DATA'!$ZH$9:$ZO$41,START!$C$3,3)))*INDEX('DEFAULT DATA'!$WC$9:$WJ$41,START!$C$3,3)/1000000)</f>
        <v>430.10488155889169</v>
      </c>
      <c r="AY45" s="123">
        <f>IF((AY$42-2021)&lt;START!$C$2,0,((AY$37*INDEX('DEFAULT DATA'!$AGR$9:$AGY$41,START!$C$3,3))+(AY$38*INDEX('DEFAULT DATA'!$YB$9:$YI$41,START!$C$3,3))+(AY$39*INDEX('DEFAULT DATA'!$ZH$9:$ZO$41,START!$C$3,3)))*INDEX('DEFAULT DATA'!$WC$9:$WJ$41,START!$C$3,3)/1000000)</f>
        <v>430.10488155889169</v>
      </c>
      <c r="AZ45" s="123">
        <f>IF((AZ$42-2021)&lt;START!$C$2,0,((AZ$37*INDEX('DEFAULT DATA'!$AGR$9:$AGY$41,START!$C$3,3))+(AZ$38*INDEX('DEFAULT DATA'!$YB$9:$YI$41,START!$C$3,3))+(AZ$39*INDEX('DEFAULT DATA'!$ZH$9:$ZO$41,START!$C$3,3)))*INDEX('DEFAULT DATA'!$WC$9:$WJ$41,START!$C$3,3)/1000000)</f>
        <v>430.10488155889169</v>
      </c>
      <c r="BA45" s="123">
        <f>IF((BA$42-2021)&lt;START!$C$2,0,((BA$37*INDEX('DEFAULT DATA'!$AGR$9:$AGY$41,START!$C$3,3))+(BA$38*INDEX('DEFAULT DATA'!$YB$9:$YI$41,START!$C$3,3))+(BA$39*INDEX('DEFAULT DATA'!$ZH$9:$ZO$41,START!$C$3,3)))*INDEX('DEFAULT DATA'!$WC$9:$WJ$41,START!$C$3,3)/1000000)</f>
        <v>430.10488155889169</v>
      </c>
      <c r="BB45" s="123">
        <f>IF((BB$42-2021)&lt;START!$C$2,0,((BB$37*INDEX('DEFAULT DATA'!$AGR$9:$AGY$41,START!$C$3,3))+(BB$38*INDEX('DEFAULT DATA'!$YB$9:$YI$41,START!$C$3,3))+(BB$39*INDEX('DEFAULT DATA'!$ZH$9:$ZO$41,START!$C$3,3)))*INDEX('DEFAULT DATA'!$WC$9:$WJ$41,START!$C$3,3)/1000000)</f>
        <v>430.10488155889169</v>
      </c>
      <c r="BC45" s="123">
        <f>IF((BC$42-2021)&lt;START!$C$2,0,((BC$37*INDEX('DEFAULT DATA'!$AGR$9:$AGY$41,START!$C$3,3))+(BC$38*INDEX('DEFAULT DATA'!$YB$9:$YI$41,START!$C$3,3))+(BC$39*INDEX('DEFAULT DATA'!$ZH$9:$ZO$41,START!$C$3,3)))*INDEX('DEFAULT DATA'!$WC$9:$WJ$41,START!$C$3,3)/1000000)</f>
        <v>430.10488155889169</v>
      </c>
      <c r="BD45" s="123">
        <f>IF((BD$42-2021)&lt;START!$C$2,0,((BD$37*INDEX('DEFAULT DATA'!$AGR$9:$AGY$41,START!$C$3,3))+(BD$38*INDEX('DEFAULT DATA'!$YB$9:$YI$41,START!$C$3,3))+(BD$39*INDEX('DEFAULT DATA'!$ZH$9:$ZO$41,START!$C$3,3)))*INDEX('DEFAULT DATA'!$WC$9:$WJ$41,START!$C$3,3)/1000000)</f>
        <v>430.10488155889169</v>
      </c>
      <c r="BE45" s="123">
        <f>IF((BE$42-2021)&lt;START!$C$2,0,((BE$37*INDEX('DEFAULT DATA'!$AGR$9:$AGY$41,START!$C$3,3))+(BE$38*INDEX('DEFAULT DATA'!$YB$9:$YI$41,START!$C$3,3))+(BE$39*INDEX('DEFAULT DATA'!$ZH$9:$ZO$41,START!$C$3,3)))*INDEX('DEFAULT DATA'!$WC$9:$WJ$41,START!$C$3,3)/1000000)</f>
        <v>430.10488155889169</v>
      </c>
      <c r="BF45" s="123">
        <f>IF((BF$42-2021)&lt;START!$C$2,0,((BF$37*INDEX('DEFAULT DATA'!$AGR$9:$AGY$41,START!$C$3,3))+(BF$38*INDEX('DEFAULT DATA'!$YB$9:$YI$41,START!$C$3,3))+(BF$39*INDEX('DEFAULT DATA'!$ZH$9:$ZO$41,START!$C$3,3)))*INDEX('DEFAULT DATA'!$WC$9:$WJ$41,START!$C$3,3)/1000000)</f>
        <v>430.10488155889169</v>
      </c>
      <c r="BG45" s="123">
        <f>IF((BG$42-2021)&lt;START!$C$2,0,((BG$37*INDEX('DEFAULT DATA'!$AGR$9:$AGY$41,START!$C$3,3))+(BG$38*INDEX('DEFAULT DATA'!$YB$9:$YI$41,START!$C$3,3))+(BG$39*INDEX('DEFAULT DATA'!$ZH$9:$ZO$41,START!$C$3,3)))*INDEX('DEFAULT DATA'!$WC$9:$WJ$41,START!$C$3,3)/1000000)</f>
        <v>430.10488155889169</v>
      </c>
      <c r="BH45" s="123">
        <f>IF((BH$42-2021)&lt;START!$C$2,0,((BH$37*INDEX('DEFAULT DATA'!$AGR$9:$AGY$41,START!$C$3,3))+(BH$38*INDEX('DEFAULT DATA'!$YB$9:$YI$41,START!$C$3,3))+(BH$39*INDEX('DEFAULT DATA'!$ZH$9:$ZO$41,START!$C$3,3)))*INDEX('DEFAULT DATA'!$WC$9:$WJ$41,START!$C$3,3)/1000000)</f>
        <v>430.10488155889169</v>
      </c>
      <c r="BI45" s="123">
        <f>IF((BI$42-2021)&lt;START!$C$2,0,((BI$37*INDEX('DEFAULT DATA'!$AGR$9:$AGY$41,START!$C$3,3))+(BI$38*INDEX('DEFAULT DATA'!$YB$9:$YI$41,START!$C$3,3))+(BI$39*INDEX('DEFAULT DATA'!$ZH$9:$ZO$41,START!$C$3,3)))*INDEX('DEFAULT DATA'!$WC$9:$WJ$41,START!$C$3,3)/1000000)</f>
        <v>430.10488155889169</v>
      </c>
      <c r="BJ45" s="123">
        <f>IF((BJ$42-2021)&lt;START!$C$2,0,((BJ$37*INDEX('DEFAULT DATA'!$AGR$9:$AGY$41,START!$C$3,3))+(BJ$38*INDEX('DEFAULT DATA'!$YB$9:$YI$41,START!$C$3,3))+(BJ$39*INDEX('DEFAULT DATA'!$ZH$9:$ZO$41,START!$C$3,3)))*INDEX('DEFAULT DATA'!$WC$9:$WJ$41,START!$C$3,3)/1000000)</f>
        <v>430.10488155889169</v>
      </c>
      <c r="BK45" s="123">
        <f>IF((BK$42-2021)&lt;START!$C$2,0,((BK$37*INDEX('DEFAULT DATA'!$AGR$9:$AGY$41,START!$C$3,3))+(BK$38*INDEX('DEFAULT DATA'!$YB$9:$YI$41,START!$C$3,3))+(BK$39*INDEX('DEFAULT DATA'!$ZH$9:$ZO$41,START!$C$3,3)))*INDEX('DEFAULT DATA'!$WC$9:$WJ$41,START!$C$3,3)/1000000)</f>
        <v>430.10488155889169</v>
      </c>
      <c r="BL45" s="123">
        <f>IF((BL$42-2021)&lt;START!$C$2,0,((BL$37*INDEX('DEFAULT DATA'!$AGR$9:$AGY$41,START!$C$3,3))+(BL$38*INDEX('DEFAULT DATA'!$YB$9:$YI$41,START!$C$3,3))+(BL$39*INDEX('DEFAULT DATA'!$ZH$9:$ZO$41,START!$C$3,3)))*INDEX('DEFAULT DATA'!$WC$9:$WJ$41,START!$C$3,3)/1000000)</f>
        <v>430.10488155889169</v>
      </c>
      <c r="BM45" s="123">
        <f>IF((BM$42-2021)&lt;START!$C$2,0,((BM$37*INDEX('DEFAULT DATA'!$AGR$9:$AGY$41,START!$C$3,3))+(BM$38*INDEX('DEFAULT DATA'!$YB$9:$YI$41,START!$C$3,3))+(BM$39*INDEX('DEFAULT DATA'!$ZH$9:$ZO$41,START!$C$3,3)))*INDEX('DEFAULT DATA'!$WC$9:$WJ$41,START!$C$3,3)/1000000)</f>
        <v>430.10488155889169</v>
      </c>
      <c r="BN45" s="159">
        <f>IF((BN$42-2021)&lt;START!$C$2,0,((BN$37*INDEX('DEFAULT DATA'!$AGR$9:$AGY$41,START!$C$3,3))+(BN$38*INDEX('DEFAULT DATA'!$YB$9:$YI$41,START!$C$3,3))+(BN$39*INDEX('DEFAULT DATA'!$ZH$9:$ZO$41,START!$C$3,3)))*INDEX('DEFAULT DATA'!$WC$9:$WJ$41,START!$C$3,3)/1000000)</f>
        <v>430.10488155889169</v>
      </c>
      <c r="BP45" s="355" t="str">
        <f t="shared" si="8"/>
        <v>Oil</v>
      </c>
      <c r="BQ45" s="361" t="s">
        <v>1347</v>
      </c>
      <c r="BR45" s="362"/>
      <c r="BS45" s="362"/>
      <c r="BT45" s="362"/>
      <c r="BU45" s="362"/>
      <c r="BV45" s="362"/>
      <c r="BW45" s="362"/>
      <c r="BX45" s="362"/>
      <c r="BY45" s="362"/>
      <c r="BZ45" s="362"/>
      <c r="CA45" s="362"/>
      <c r="CB45" s="362"/>
      <c r="CC45" s="362"/>
      <c r="CD45" s="362"/>
      <c r="CE45" s="363"/>
      <c r="CF45" s="360" t="s">
        <v>1227</v>
      </c>
      <c r="CG45" s="360" t="s">
        <v>1234</v>
      </c>
      <c r="CH45" s="360" t="s">
        <v>1241</v>
      </c>
      <c r="CI45" s="360" t="s">
        <v>1247</v>
      </c>
    </row>
    <row r="46" spans="1:87" ht="20.100000000000001" customHeight="1">
      <c r="A46" s="27"/>
      <c r="B46" s="21"/>
      <c r="C46" s="21"/>
      <c r="D46" s="21"/>
      <c r="E46" s="21"/>
      <c r="F46" s="21"/>
      <c r="G46" s="65"/>
      <c r="H46" s="21"/>
      <c r="I46" s="21"/>
      <c r="J46" s="87"/>
      <c r="K46" s="28"/>
      <c r="L46" s="16"/>
      <c r="M46" s="627"/>
      <c r="N46" s="630"/>
      <c r="O46" s="630"/>
      <c r="P46" s="630"/>
      <c r="Q46" s="630"/>
      <c r="R46" s="630"/>
      <c r="S46" s="630"/>
      <c r="T46" s="630"/>
      <c r="U46" s="630"/>
      <c r="V46" s="630"/>
      <c r="W46" s="630"/>
      <c r="X46" s="630"/>
      <c r="Y46" s="630"/>
      <c r="Z46" s="630"/>
      <c r="AA46" s="630"/>
      <c r="AB46" s="630"/>
      <c r="AC46" s="630"/>
      <c r="AD46" s="630"/>
      <c r="AE46" s="630"/>
      <c r="AF46" s="1551"/>
      <c r="AG46" s="1581" t="s">
        <v>864</v>
      </c>
      <c r="AH46" s="1582"/>
      <c r="AI46" s="1582"/>
      <c r="AJ46" s="1583"/>
      <c r="AK46" s="81">
        <v>0</v>
      </c>
      <c r="AL46" s="123">
        <f>IF((AL$42-2021)&lt;START!$C$2,0,((AL$37*INDEX('DEFAULT DATA'!$AGR$9:$AGY$41,START!$C$3,4))+(AL$38*INDEX('DEFAULT DATA'!$YB$9:$YI$41,START!$C$3,4))+(AL$39*INDEX('DEFAULT DATA'!$ZH$9:$ZO$41,START!$C$3,4)))*INDEX('DEFAULT DATA'!$WC$9:$WJ$41,START!$C$3,4)/1000000)</f>
        <v>0</v>
      </c>
      <c r="AM46" s="123">
        <f>IF((AM$42-2021)&lt;START!$C$2,0,((AM$37*INDEX('DEFAULT DATA'!$AGR$9:$AGY$41,START!$C$3,4))+(AM$38*INDEX('DEFAULT DATA'!$YB$9:$YI$41,START!$C$3,4))+(AM$39*INDEX('DEFAULT DATA'!$ZH$9:$ZO$41,START!$C$3,4)))*INDEX('DEFAULT DATA'!$WC$9:$WJ$41,START!$C$3,4)/1000000)</f>
        <v>0</v>
      </c>
      <c r="AN46" s="123">
        <f>IF((AN$42-2021)&lt;START!$C$2,0,((AN$37*INDEX('DEFAULT DATA'!$AGR$9:$AGY$41,START!$C$3,4))+(AN$38*INDEX('DEFAULT DATA'!$YB$9:$YI$41,START!$C$3,4))+(AN$39*INDEX('DEFAULT DATA'!$ZH$9:$ZO$41,START!$C$3,4)))*INDEX('DEFAULT DATA'!$WC$9:$WJ$41,START!$C$3,4)/1000000)</f>
        <v>0</v>
      </c>
      <c r="AO46" s="123">
        <f>IF((AO$42-2021)&lt;START!$C$2,0,((AO$37*INDEX('DEFAULT DATA'!$AGR$9:$AGY$41,START!$C$3,4))+(AO$38*INDEX('DEFAULT DATA'!$YB$9:$YI$41,START!$C$3,4))+(AO$39*INDEX('DEFAULT DATA'!$ZH$9:$ZO$41,START!$C$3,4)))*INDEX('DEFAULT DATA'!$WC$9:$WJ$41,START!$C$3,4)/1000000)</f>
        <v>0</v>
      </c>
      <c r="AP46" s="123">
        <f>IF((AP$42-2021)&lt;START!$C$2,0,((AP$37*INDEX('DEFAULT DATA'!$AGR$9:$AGY$41,START!$C$3,4))+(AP$38*INDEX('DEFAULT DATA'!$YB$9:$YI$41,START!$C$3,4))+(AP$39*INDEX('DEFAULT DATA'!$ZH$9:$ZO$41,START!$C$3,4)))*INDEX('DEFAULT DATA'!$WC$9:$WJ$41,START!$C$3,4)/1000000)</f>
        <v>0</v>
      </c>
      <c r="AQ46" s="123">
        <f>IF((AQ$42-2021)&lt;START!$C$2,0,((AQ$37*INDEX('DEFAULT DATA'!$AGR$9:$AGY$41,START!$C$3,4))+(AQ$38*INDEX('DEFAULT DATA'!$YB$9:$YI$41,START!$C$3,4))+(AQ$39*INDEX('DEFAULT DATA'!$ZH$9:$ZO$41,START!$C$3,4)))*INDEX('DEFAULT DATA'!$WC$9:$WJ$41,START!$C$3,4)/1000000)</f>
        <v>0</v>
      </c>
      <c r="AR46" s="123">
        <f>IF((AR$42-2021)&lt;START!$C$2,0,((AR$37*INDEX('DEFAULT DATA'!$AGR$9:$AGY$41,START!$C$3,4))+(AR$38*INDEX('DEFAULT DATA'!$YB$9:$YI$41,START!$C$3,4))+(AR$39*INDEX('DEFAULT DATA'!$ZH$9:$ZO$41,START!$C$3,4)))*INDEX('DEFAULT DATA'!$WC$9:$WJ$41,START!$C$3,4)/1000000)</f>
        <v>0</v>
      </c>
      <c r="AS46" s="123">
        <f>IF((AS$42-2021)&lt;START!$C$2,0,((AS$37*INDEX('DEFAULT DATA'!$AGR$9:$AGY$41,START!$C$3,4))+(AS$38*INDEX('DEFAULT DATA'!$YB$9:$YI$41,START!$C$3,4))+(AS$39*INDEX('DEFAULT DATA'!$ZH$9:$ZO$41,START!$C$3,4)))*INDEX('DEFAULT DATA'!$WC$9:$WJ$41,START!$C$3,4)/1000000)</f>
        <v>0</v>
      </c>
      <c r="AT46" s="123">
        <f>IF((AT$42-2021)&lt;START!$C$2,0,((AT$37*INDEX('DEFAULT DATA'!$AGR$9:$AGY$41,START!$C$3,4))+(AT$38*INDEX('DEFAULT DATA'!$YB$9:$YI$41,START!$C$3,4))+(AT$39*INDEX('DEFAULT DATA'!$ZH$9:$ZO$41,START!$C$3,4)))*INDEX('DEFAULT DATA'!$WC$9:$WJ$41,START!$C$3,4)/1000000)</f>
        <v>0</v>
      </c>
      <c r="AU46" s="123">
        <f>IF((AU$42-2021)&lt;START!$C$2,0,((AU$37*INDEX('DEFAULT DATA'!$AGR$9:$AGY$41,START!$C$3,4))+(AU$38*INDEX('DEFAULT DATA'!$YB$9:$YI$41,START!$C$3,4))+(AU$39*INDEX('DEFAULT DATA'!$ZH$9:$ZO$41,START!$C$3,4)))*INDEX('DEFAULT DATA'!$WC$9:$WJ$41,START!$C$3,4)/1000000)</f>
        <v>0</v>
      </c>
      <c r="AV46" s="123">
        <f>IF((AV$42-2021)&lt;START!$C$2,0,((AV$37*INDEX('DEFAULT DATA'!$AGR$9:$AGY$41,START!$C$3,4))+(AV$38*INDEX('DEFAULT DATA'!$YB$9:$YI$41,START!$C$3,4))+(AV$39*INDEX('DEFAULT DATA'!$ZH$9:$ZO$41,START!$C$3,4)))*INDEX('DEFAULT DATA'!$WC$9:$WJ$41,START!$C$3,4)/1000000)</f>
        <v>0</v>
      </c>
      <c r="AW46" s="123">
        <f>IF((AW$42-2021)&lt;START!$C$2,0,((AW$37*INDEX('DEFAULT DATA'!$AGR$9:$AGY$41,START!$C$3,4))+(AW$38*INDEX('DEFAULT DATA'!$YB$9:$YI$41,START!$C$3,4))+(AW$39*INDEX('DEFAULT DATA'!$ZH$9:$ZO$41,START!$C$3,4)))*INDEX('DEFAULT DATA'!$WC$9:$WJ$41,START!$C$3,4)/1000000)</f>
        <v>0</v>
      </c>
      <c r="AX46" s="123">
        <f>IF((AX$42-2021)&lt;START!$C$2,0,((AX$37*INDEX('DEFAULT DATA'!$AGR$9:$AGY$41,START!$C$3,4))+(AX$38*INDEX('DEFAULT DATA'!$YB$9:$YI$41,START!$C$3,4))+(AX$39*INDEX('DEFAULT DATA'!$ZH$9:$ZO$41,START!$C$3,4)))*INDEX('DEFAULT DATA'!$WC$9:$WJ$41,START!$C$3,4)/1000000)</f>
        <v>0</v>
      </c>
      <c r="AY46" s="123">
        <f>IF((AY$42-2021)&lt;START!$C$2,0,((AY$37*INDEX('DEFAULT DATA'!$AGR$9:$AGY$41,START!$C$3,4))+(AY$38*INDEX('DEFAULT DATA'!$YB$9:$YI$41,START!$C$3,4))+(AY$39*INDEX('DEFAULT DATA'!$ZH$9:$ZO$41,START!$C$3,4)))*INDEX('DEFAULT DATA'!$WC$9:$WJ$41,START!$C$3,4)/1000000)</f>
        <v>0</v>
      </c>
      <c r="AZ46" s="123">
        <f>IF((AZ$42-2021)&lt;START!$C$2,0,((AZ$37*INDEX('DEFAULT DATA'!$AGR$9:$AGY$41,START!$C$3,4))+(AZ$38*INDEX('DEFAULT DATA'!$YB$9:$YI$41,START!$C$3,4))+(AZ$39*INDEX('DEFAULT DATA'!$ZH$9:$ZO$41,START!$C$3,4)))*INDEX('DEFAULT DATA'!$WC$9:$WJ$41,START!$C$3,4)/1000000)</f>
        <v>0</v>
      </c>
      <c r="BA46" s="123">
        <f>IF((BA$42-2021)&lt;START!$C$2,0,((BA$37*INDEX('DEFAULT DATA'!$AGR$9:$AGY$41,START!$C$3,4))+(BA$38*INDEX('DEFAULT DATA'!$YB$9:$YI$41,START!$C$3,4))+(BA$39*INDEX('DEFAULT DATA'!$ZH$9:$ZO$41,START!$C$3,4)))*INDEX('DEFAULT DATA'!$WC$9:$WJ$41,START!$C$3,4)/1000000)</f>
        <v>0</v>
      </c>
      <c r="BB46" s="123">
        <f>IF((BB$42-2021)&lt;START!$C$2,0,((BB$37*INDEX('DEFAULT DATA'!$AGR$9:$AGY$41,START!$C$3,4))+(BB$38*INDEX('DEFAULT DATA'!$YB$9:$YI$41,START!$C$3,4))+(BB$39*INDEX('DEFAULT DATA'!$ZH$9:$ZO$41,START!$C$3,4)))*INDEX('DEFAULT DATA'!$WC$9:$WJ$41,START!$C$3,4)/1000000)</f>
        <v>0</v>
      </c>
      <c r="BC46" s="123">
        <f>IF((BC$42-2021)&lt;START!$C$2,0,((BC$37*INDEX('DEFAULT DATA'!$AGR$9:$AGY$41,START!$C$3,4))+(BC$38*INDEX('DEFAULT DATA'!$YB$9:$YI$41,START!$C$3,4))+(BC$39*INDEX('DEFAULT DATA'!$ZH$9:$ZO$41,START!$C$3,4)))*INDEX('DEFAULT DATA'!$WC$9:$WJ$41,START!$C$3,4)/1000000)</f>
        <v>0</v>
      </c>
      <c r="BD46" s="123">
        <f>IF((BD$42-2021)&lt;START!$C$2,0,((BD$37*INDEX('DEFAULT DATA'!$AGR$9:$AGY$41,START!$C$3,4))+(BD$38*INDEX('DEFAULT DATA'!$YB$9:$YI$41,START!$C$3,4))+(BD$39*INDEX('DEFAULT DATA'!$ZH$9:$ZO$41,START!$C$3,4)))*INDEX('DEFAULT DATA'!$WC$9:$WJ$41,START!$C$3,4)/1000000)</f>
        <v>0</v>
      </c>
      <c r="BE46" s="123">
        <f>IF((BE$42-2021)&lt;START!$C$2,0,((BE$37*INDEX('DEFAULT DATA'!$AGR$9:$AGY$41,START!$C$3,4))+(BE$38*INDEX('DEFAULT DATA'!$YB$9:$YI$41,START!$C$3,4))+(BE$39*INDEX('DEFAULT DATA'!$ZH$9:$ZO$41,START!$C$3,4)))*INDEX('DEFAULT DATA'!$WC$9:$WJ$41,START!$C$3,4)/1000000)</f>
        <v>0</v>
      </c>
      <c r="BF46" s="123">
        <f>IF((BF$42-2021)&lt;START!$C$2,0,((BF$37*INDEX('DEFAULT DATA'!$AGR$9:$AGY$41,START!$C$3,4))+(BF$38*INDEX('DEFAULT DATA'!$YB$9:$YI$41,START!$C$3,4))+(BF$39*INDEX('DEFAULT DATA'!$ZH$9:$ZO$41,START!$C$3,4)))*INDEX('DEFAULT DATA'!$WC$9:$WJ$41,START!$C$3,4)/1000000)</f>
        <v>0</v>
      </c>
      <c r="BG46" s="123">
        <f>IF((BG$42-2021)&lt;START!$C$2,0,((BG$37*INDEX('DEFAULT DATA'!$AGR$9:$AGY$41,START!$C$3,4))+(BG$38*INDEX('DEFAULT DATA'!$YB$9:$YI$41,START!$C$3,4))+(BG$39*INDEX('DEFAULT DATA'!$ZH$9:$ZO$41,START!$C$3,4)))*INDEX('DEFAULT DATA'!$WC$9:$WJ$41,START!$C$3,4)/1000000)</f>
        <v>0</v>
      </c>
      <c r="BH46" s="123">
        <f>IF((BH$42-2021)&lt;START!$C$2,0,((BH$37*INDEX('DEFAULT DATA'!$AGR$9:$AGY$41,START!$C$3,4))+(BH$38*INDEX('DEFAULT DATA'!$YB$9:$YI$41,START!$C$3,4))+(BH$39*INDEX('DEFAULT DATA'!$ZH$9:$ZO$41,START!$C$3,4)))*INDEX('DEFAULT DATA'!$WC$9:$WJ$41,START!$C$3,4)/1000000)</f>
        <v>0</v>
      </c>
      <c r="BI46" s="123">
        <f>IF((BI$42-2021)&lt;START!$C$2,0,((BI$37*INDEX('DEFAULT DATA'!$AGR$9:$AGY$41,START!$C$3,4))+(BI$38*INDEX('DEFAULT DATA'!$YB$9:$YI$41,START!$C$3,4))+(BI$39*INDEX('DEFAULT DATA'!$ZH$9:$ZO$41,START!$C$3,4)))*INDEX('DEFAULT DATA'!$WC$9:$WJ$41,START!$C$3,4)/1000000)</f>
        <v>0</v>
      </c>
      <c r="BJ46" s="123">
        <f>IF((BJ$42-2021)&lt;START!$C$2,0,((BJ$37*INDEX('DEFAULT DATA'!$AGR$9:$AGY$41,START!$C$3,4))+(BJ$38*INDEX('DEFAULT DATA'!$YB$9:$YI$41,START!$C$3,4))+(BJ$39*INDEX('DEFAULT DATA'!$ZH$9:$ZO$41,START!$C$3,4)))*INDEX('DEFAULT DATA'!$WC$9:$WJ$41,START!$C$3,4)/1000000)</f>
        <v>0</v>
      </c>
      <c r="BK46" s="123">
        <f>IF((BK$42-2021)&lt;START!$C$2,0,((BK$37*INDEX('DEFAULT DATA'!$AGR$9:$AGY$41,START!$C$3,4))+(BK$38*INDEX('DEFAULT DATA'!$YB$9:$YI$41,START!$C$3,4))+(BK$39*INDEX('DEFAULT DATA'!$ZH$9:$ZO$41,START!$C$3,4)))*INDEX('DEFAULT DATA'!$WC$9:$WJ$41,START!$C$3,4)/1000000)</f>
        <v>0</v>
      </c>
      <c r="BL46" s="123">
        <f>IF((BL$42-2021)&lt;START!$C$2,0,((BL$37*INDEX('DEFAULT DATA'!$AGR$9:$AGY$41,START!$C$3,4))+(BL$38*INDEX('DEFAULT DATA'!$YB$9:$YI$41,START!$C$3,4))+(BL$39*INDEX('DEFAULT DATA'!$ZH$9:$ZO$41,START!$C$3,4)))*INDEX('DEFAULT DATA'!$WC$9:$WJ$41,START!$C$3,4)/1000000)</f>
        <v>0</v>
      </c>
      <c r="BM46" s="123">
        <f>IF((BM$42-2021)&lt;START!$C$2,0,((BM$37*INDEX('DEFAULT DATA'!$AGR$9:$AGY$41,START!$C$3,4))+(BM$38*INDEX('DEFAULT DATA'!$YB$9:$YI$41,START!$C$3,4))+(BM$39*INDEX('DEFAULT DATA'!$ZH$9:$ZO$41,START!$C$3,4)))*INDEX('DEFAULT DATA'!$WC$9:$WJ$41,START!$C$3,4)/1000000)</f>
        <v>0</v>
      </c>
      <c r="BN46" s="159">
        <f>IF((BN$42-2021)&lt;START!$C$2,0,((BN$37*INDEX('DEFAULT DATA'!$AGR$9:$AGY$41,START!$C$3,4))+(BN$38*INDEX('DEFAULT DATA'!$YB$9:$YI$41,START!$C$3,4))+(BN$39*INDEX('DEFAULT DATA'!$ZH$9:$ZO$41,START!$C$3,4)))*INDEX('DEFAULT DATA'!$WC$9:$WJ$41,START!$C$3,4)/1000000)</f>
        <v>0</v>
      </c>
      <c r="BP46" s="355" t="str">
        <f t="shared" si="8"/>
        <v>Coal</v>
      </c>
      <c r="BQ46" s="361" t="s">
        <v>1348</v>
      </c>
      <c r="BR46" s="362"/>
      <c r="BS46" s="362"/>
      <c r="BT46" s="362"/>
      <c r="BU46" s="362"/>
      <c r="BV46" s="362"/>
      <c r="BW46" s="362"/>
      <c r="BX46" s="362"/>
      <c r="BY46" s="362"/>
      <c r="BZ46" s="362"/>
      <c r="CA46" s="362"/>
      <c r="CB46" s="362"/>
      <c r="CC46" s="362"/>
      <c r="CD46" s="362"/>
      <c r="CE46" s="363"/>
      <c r="CF46" s="360" t="s">
        <v>1228</v>
      </c>
      <c r="CG46" s="360" t="s">
        <v>1235</v>
      </c>
      <c r="CH46" s="360" t="s">
        <v>1242</v>
      </c>
      <c r="CI46" s="360" t="s">
        <v>1248</v>
      </c>
    </row>
    <row r="47" spans="1:87" ht="20.100000000000001" customHeight="1">
      <c r="A47" s="27"/>
      <c r="B47" s="21"/>
      <c r="C47" s="21"/>
      <c r="D47" s="21"/>
      <c r="E47" s="21"/>
      <c r="F47" s="21"/>
      <c r="G47" s="65"/>
      <c r="H47" s="21"/>
      <c r="I47" s="21"/>
      <c r="J47" s="87"/>
      <c r="K47" s="28"/>
      <c r="L47" s="16"/>
      <c r="M47" s="627"/>
      <c r="N47" s="630"/>
      <c r="O47" s="630"/>
      <c r="P47" s="630"/>
      <c r="Q47" s="630"/>
      <c r="R47" s="630"/>
      <c r="S47" s="630"/>
      <c r="T47" s="630"/>
      <c r="U47" s="630"/>
      <c r="V47" s="630"/>
      <c r="W47" s="630"/>
      <c r="X47" s="630"/>
      <c r="Y47" s="630"/>
      <c r="Z47" s="630"/>
      <c r="AA47" s="630"/>
      <c r="AB47" s="630"/>
      <c r="AC47" s="630"/>
      <c r="AD47" s="630"/>
      <c r="AE47" s="630"/>
      <c r="AF47" s="1551"/>
      <c r="AG47" s="1581" t="s">
        <v>865</v>
      </c>
      <c r="AH47" s="1582"/>
      <c r="AI47" s="1582"/>
      <c r="AJ47" s="1583"/>
      <c r="AK47" s="81">
        <v>0</v>
      </c>
      <c r="AL47" s="123">
        <f>IF((AL$42-2021)&lt;START!$C$2,0,((AL$37*INDEX('DEFAULT DATA'!$AGR$9:$AGY$41,START!$C$3,5))+(AL$38*INDEX('DEFAULT DATA'!$YB$9:$YI$41,START!$C$3,5))+(AL$39*INDEX('DEFAULT DATA'!$ZH$9:$ZO$41,START!$C$3,5)))*INDEX('DEFAULT DATA'!$WC$9:$WJ$41,START!$C$3,5)/1000000)</f>
        <v>0</v>
      </c>
      <c r="AM47" s="123">
        <f>IF((AM$42-2021)&lt;START!$C$2,0,((AM$37*INDEX('DEFAULT DATA'!$AGR$9:$AGY$41,START!$C$3,5))+(AM$38*INDEX('DEFAULT DATA'!$YB$9:$YI$41,START!$C$3,5))+(AM$39*INDEX('DEFAULT DATA'!$ZH$9:$ZO$41,START!$C$3,5)))*INDEX('DEFAULT DATA'!$WC$9:$WJ$41,START!$C$3,5)/1000000)</f>
        <v>0</v>
      </c>
      <c r="AN47" s="123">
        <f>IF((AN$42-2021)&lt;START!$C$2,0,((AN$37*INDEX('DEFAULT DATA'!$AGR$9:$AGY$41,START!$C$3,5))+(AN$38*INDEX('DEFAULT DATA'!$YB$9:$YI$41,START!$C$3,5))+(AN$39*INDEX('DEFAULT DATA'!$ZH$9:$ZO$41,START!$C$3,5)))*INDEX('DEFAULT DATA'!$WC$9:$WJ$41,START!$C$3,5)/1000000)</f>
        <v>0</v>
      </c>
      <c r="AO47" s="123">
        <f>IF((AO$42-2021)&lt;START!$C$2,0,((AO$37*INDEX('DEFAULT DATA'!$AGR$9:$AGY$41,START!$C$3,5))+(AO$38*INDEX('DEFAULT DATA'!$YB$9:$YI$41,START!$C$3,5))+(AO$39*INDEX('DEFAULT DATA'!$ZH$9:$ZO$41,START!$C$3,5)))*INDEX('DEFAULT DATA'!$WC$9:$WJ$41,START!$C$3,5)/1000000)</f>
        <v>0</v>
      </c>
      <c r="AP47" s="123">
        <f>IF((AP$42-2021)&lt;START!$C$2,0,((AP$37*INDEX('DEFAULT DATA'!$AGR$9:$AGY$41,START!$C$3,5))+(AP$38*INDEX('DEFAULT DATA'!$YB$9:$YI$41,START!$C$3,5))+(AP$39*INDEX('DEFAULT DATA'!$ZH$9:$ZO$41,START!$C$3,5)))*INDEX('DEFAULT DATA'!$WC$9:$WJ$41,START!$C$3,5)/1000000)</f>
        <v>0</v>
      </c>
      <c r="AQ47" s="123">
        <f>IF((AQ$42-2021)&lt;START!$C$2,0,((AQ$37*INDEX('DEFAULT DATA'!$AGR$9:$AGY$41,START!$C$3,5))+(AQ$38*INDEX('DEFAULT DATA'!$YB$9:$YI$41,START!$C$3,5))+(AQ$39*INDEX('DEFAULT DATA'!$ZH$9:$ZO$41,START!$C$3,5)))*INDEX('DEFAULT DATA'!$WC$9:$WJ$41,START!$C$3,5)/1000000)</f>
        <v>0</v>
      </c>
      <c r="AR47" s="123">
        <f>IF((AR$42-2021)&lt;START!$C$2,0,((AR$37*INDEX('DEFAULT DATA'!$AGR$9:$AGY$41,START!$C$3,5))+(AR$38*INDEX('DEFAULT DATA'!$YB$9:$YI$41,START!$C$3,5))+(AR$39*INDEX('DEFAULT DATA'!$ZH$9:$ZO$41,START!$C$3,5)))*INDEX('DEFAULT DATA'!$WC$9:$WJ$41,START!$C$3,5)/1000000)</f>
        <v>0</v>
      </c>
      <c r="AS47" s="123">
        <f>IF((AS$42-2021)&lt;START!$C$2,0,((AS$37*INDEX('DEFAULT DATA'!$AGR$9:$AGY$41,START!$C$3,5))+(AS$38*INDEX('DEFAULT DATA'!$YB$9:$YI$41,START!$C$3,5))+(AS$39*INDEX('DEFAULT DATA'!$ZH$9:$ZO$41,START!$C$3,5)))*INDEX('DEFAULT DATA'!$WC$9:$WJ$41,START!$C$3,5)/1000000)</f>
        <v>0</v>
      </c>
      <c r="AT47" s="123">
        <f>IF((AT$42-2021)&lt;START!$C$2,0,((AT$37*INDEX('DEFAULT DATA'!$AGR$9:$AGY$41,START!$C$3,5))+(AT$38*INDEX('DEFAULT DATA'!$YB$9:$YI$41,START!$C$3,5))+(AT$39*INDEX('DEFAULT DATA'!$ZH$9:$ZO$41,START!$C$3,5)))*INDEX('DEFAULT DATA'!$WC$9:$WJ$41,START!$C$3,5)/1000000)</f>
        <v>0</v>
      </c>
      <c r="AU47" s="123">
        <f>IF((AU$42-2021)&lt;START!$C$2,0,((AU$37*INDEX('DEFAULT DATA'!$AGR$9:$AGY$41,START!$C$3,5))+(AU$38*INDEX('DEFAULT DATA'!$YB$9:$YI$41,START!$C$3,5))+(AU$39*INDEX('DEFAULT DATA'!$ZH$9:$ZO$41,START!$C$3,5)))*INDEX('DEFAULT DATA'!$WC$9:$WJ$41,START!$C$3,5)/1000000)</f>
        <v>0</v>
      </c>
      <c r="AV47" s="123">
        <f>IF((AV$42-2021)&lt;START!$C$2,0,((AV$37*INDEX('DEFAULT DATA'!$AGR$9:$AGY$41,START!$C$3,5))+(AV$38*INDEX('DEFAULT DATA'!$YB$9:$YI$41,START!$C$3,5))+(AV$39*INDEX('DEFAULT DATA'!$ZH$9:$ZO$41,START!$C$3,5)))*INDEX('DEFAULT DATA'!$WC$9:$WJ$41,START!$C$3,5)/1000000)</f>
        <v>0</v>
      </c>
      <c r="AW47" s="123">
        <f>IF((AW$42-2021)&lt;START!$C$2,0,((AW$37*INDEX('DEFAULT DATA'!$AGR$9:$AGY$41,START!$C$3,5))+(AW$38*INDEX('DEFAULT DATA'!$YB$9:$YI$41,START!$C$3,5))+(AW$39*INDEX('DEFAULT DATA'!$ZH$9:$ZO$41,START!$C$3,5)))*INDEX('DEFAULT DATA'!$WC$9:$WJ$41,START!$C$3,5)/1000000)</f>
        <v>0</v>
      </c>
      <c r="AX47" s="123">
        <f>IF((AX$42-2021)&lt;START!$C$2,0,((AX$37*INDEX('DEFAULT DATA'!$AGR$9:$AGY$41,START!$C$3,5))+(AX$38*INDEX('DEFAULT DATA'!$YB$9:$YI$41,START!$C$3,5))+(AX$39*INDEX('DEFAULT DATA'!$ZH$9:$ZO$41,START!$C$3,5)))*INDEX('DEFAULT DATA'!$WC$9:$WJ$41,START!$C$3,5)/1000000)</f>
        <v>0</v>
      </c>
      <c r="AY47" s="123">
        <f>IF((AY$42-2021)&lt;START!$C$2,0,((AY$37*INDEX('DEFAULT DATA'!$AGR$9:$AGY$41,START!$C$3,5))+(AY$38*INDEX('DEFAULT DATA'!$YB$9:$YI$41,START!$C$3,5))+(AY$39*INDEX('DEFAULT DATA'!$ZH$9:$ZO$41,START!$C$3,5)))*INDEX('DEFAULT DATA'!$WC$9:$WJ$41,START!$C$3,5)/1000000)</f>
        <v>0</v>
      </c>
      <c r="AZ47" s="123">
        <f>IF((AZ$42-2021)&lt;START!$C$2,0,((AZ$37*INDEX('DEFAULT DATA'!$AGR$9:$AGY$41,START!$C$3,5))+(AZ$38*INDEX('DEFAULT DATA'!$YB$9:$YI$41,START!$C$3,5))+(AZ$39*INDEX('DEFAULT DATA'!$ZH$9:$ZO$41,START!$C$3,5)))*INDEX('DEFAULT DATA'!$WC$9:$WJ$41,START!$C$3,5)/1000000)</f>
        <v>0</v>
      </c>
      <c r="BA47" s="123">
        <f>IF((BA$42-2021)&lt;START!$C$2,0,((BA$37*INDEX('DEFAULT DATA'!$AGR$9:$AGY$41,START!$C$3,5))+(BA$38*INDEX('DEFAULT DATA'!$YB$9:$YI$41,START!$C$3,5))+(BA$39*INDEX('DEFAULT DATA'!$ZH$9:$ZO$41,START!$C$3,5)))*INDEX('DEFAULT DATA'!$WC$9:$WJ$41,START!$C$3,5)/1000000)</f>
        <v>0</v>
      </c>
      <c r="BB47" s="123">
        <f>IF((BB$42-2021)&lt;START!$C$2,0,((BB$37*INDEX('DEFAULT DATA'!$AGR$9:$AGY$41,START!$C$3,5))+(BB$38*INDEX('DEFAULT DATA'!$YB$9:$YI$41,START!$C$3,5))+(BB$39*INDEX('DEFAULT DATA'!$ZH$9:$ZO$41,START!$C$3,5)))*INDEX('DEFAULT DATA'!$WC$9:$WJ$41,START!$C$3,5)/1000000)</f>
        <v>0</v>
      </c>
      <c r="BC47" s="123">
        <f>IF((BC$42-2021)&lt;START!$C$2,0,((BC$37*INDEX('DEFAULT DATA'!$AGR$9:$AGY$41,START!$C$3,5))+(BC$38*INDEX('DEFAULT DATA'!$YB$9:$YI$41,START!$C$3,5))+(BC$39*INDEX('DEFAULT DATA'!$ZH$9:$ZO$41,START!$C$3,5)))*INDEX('DEFAULT DATA'!$WC$9:$WJ$41,START!$C$3,5)/1000000)</f>
        <v>0</v>
      </c>
      <c r="BD47" s="123">
        <f>IF((BD$42-2021)&lt;START!$C$2,0,((BD$37*INDEX('DEFAULT DATA'!$AGR$9:$AGY$41,START!$C$3,5))+(BD$38*INDEX('DEFAULT DATA'!$YB$9:$YI$41,START!$C$3,5))+(BD$39*INDEX('DEFAULT DATA'!$ZH$9:$ZO$41,START!$C$3,5)))*INDEX('DEFAULT DATA'!$WC$9:$WJ$41,START!$C$3,5)/1000000)</f>
        <v>0</v>
      </c>
      <c r="BE47" s="123">
        <f>IF((BE$42-2021)&lt;START!$C$2,0,((BE$37*INDEX('DEFAULT DATA'!$AGR$9:$AGY$41,START!$C$3,5))+(BE$38*INDEX('DEFAULT DATA'!$YB$9:$YI$41,START!$C$3,5))+(BE$39*INDEX('DEFAULT DATA'!$ZH$9:$ZO$41,START!$C$3,5)))*INDEX('DEFAULT DATA'!$WC$9:$WJ$41,START!$C$3,5)/1000000)</f>
        <v>0</v>
      </c>
      <c r="BF47" s="123">
        <f>IF((BF$42-2021)&lt;START!$C$2,0,((BF$37*INDEX('DEFAULT DATA'!$AGR$9:$AGY$41,START!$C$3,5))+(BF$38*INDEX('DEFAULT DATA'!$YB$9:$YI$41,START!$C$3,5))+(BF$39*INDEX('DEFAULT DATA'!$ZH$9:$ZO$41,START!$C$3,5)))*INDEX('DEFAULT DATA'!$WC$9:$WJ$41,START!$C$3,5)/1000000)</f>
        <v>0</v>
      </c>
      <c r="BG47" s="123">
        <f>IF((BG$42-2021)&lt;START!$C$2,0,((BG$37*INDEX('DEFAULT DATA'!$AGR$9:$AGY$41,START!$C$3,5))+(BG$38*INDEX('DEFAULT DATA'!$YB$9:$YI$41,START!$C$3,5))+(BG$39*INDEX('DEFAULT DATA'!$ZH$9:$ZO$41,START!$C$3,5)))*INDEX('DEFAULT DATA'!$WC$9:$WJ$41,START!$C$3,5)/1000000)</f>
        <v>0</v>
      </c>
      <c r="BH47" s="123">
        <f>IF((BH$42-2021)&lt;START!$C$2,0,((BH$37*INDEX('DEFAULT DATA'!$AGR$9:$AGY$41,START!$C$3,5))+(BH$38*INDEX('DEFAULT DATA'!$YB$9:$YI$41,START!$C$3,5))+(BH$39*INDEX('DEFAULT DATA'!$ZH$9:$ZO$41,START!$C$3,5)))*INDEX('DEFAULT DATA'!$WC$9:$WJ$41,START!$C$3,5)/1000000)</f>
        <v>0</v>
      </c>
      <c r="BI47" s="123">
        <f>IF((BI$42-2021)&lt;START!$C$2,0,((BI$37*INDEX('DEFAULT DATA'!$AGR$9:$AGY$41,START!$C$3,5))+(BI$38*INDEX('DEFAULT DATA'!$YB$9:$YI$41,START!$C$3,5))+(BI$39*INDEX('DEFAULT DATA'!$ZH$9:$ZO$41,START!$C$3,5)))*INDEX('DEFAULT DATA'!$WC$9:$WJ$41,START!$C$3,5)/1000000)</f>
        <v>0</v>
      </c>
      <c r="BJ47" s="123">
        <f>IF((BJ$42-2021)&lt;START!$C$2,0,((BJ$37*INDEX('DEFAULT DATA'!$AGR$9:$AGY$41,START!$C$3,5))+(BJ$38*INDEX('DEFAULT DATA'!$YB$9:$YI$41,START!$C$3,5))+(BJ$39*INDEX('DEFAULT DATA'!$ZH$9:$ZO$41,START!$C$3,5)))*INDEX('DEFAULT DATA'!$WC$9:$WJ$41,START!$C$3,5)/1000000)</f>
        <v>0</v>
      </c>
      <c r="BK47" s="123">
        <f>IF((BK$42-2021)&lt;START!$C$2,0,((BK$37*INDEX('DEFAULT DATA'!$AGR$9:$AGY$41,START!$C$3,5))+(BK$38*INDEX('DEFAULT DATA'!$YB$9:$YI$41,START!$C$3,5))+(BK$39*INDEX('DEFAULT DATA'!$ZH$9:$ZO$41,START!$C$3,5)))*INDEX('DEFAULT DATA'!$WC$9:$WJ$41,START!$C$3,5)/1000000)</f>
        <v>0</v>
      </c>
      <c r="BL47" s="123">
        <f>IF((BL$42-2021)&lt;START!$C$2,0,((BL$37*INDEX('DEFAULT DATA'!$AGR$9:$AGY$41,START!$C$3,5))+(BL$38*INDEX('DEFAULT DATA'!$YB$9:$YI$41,START!$C$3,5))+(BL$39*INDEX('DEFAULT DATA'!$ZH$9:$ZO$41,START!$C$3,5)))*INDEX('DEFAULT DATA'!$WC$9:$WJ$41,START!$C$3,5)/1000000)</f>
        <v>0</v>
      </c>
      <c r="BM47" s="123">
        <f>IF((BM$42-2021)&lt;START!$C$2,0,((BM$37*INDEX('DEFAULT DATA'!$AGR$9:$AGY$41,START!$C$3,5))+(BM$38*INDEX('DEFAULT DATA'!$YB$9:$YI$41,START!$C$3,5))+(BM$39*INDEX('DEFAULT DATA'!$ZH$9:$ZO$41,START!$C$3,5)))*INDEX('DEFAULT DATA'!$WC$9:$WJ$41,START!$C$3,5)/1000000)</f>
        <v>0</v>
      </c>
      <c r="BN47" s="159">
        <f>IF((BN$42-2021)&lt;START!$C$2,0,((BN$37*INDEX('DEFAULT DATA'!$AGR$9:$AGY$41,START!$C$3,5))+(BN$38*INDEX('DEFAULT DATA'!$YB$9:$YI$41,START!$C$3,5))+(BN$39*INDEX('DEFAULT DATA'!$ZH$9:$ZO$41,START!$C$3,5)))*INDEX('DEFAULT DATA'!$WC$9:$WJ$41,START!$C$3,5)/1000000)</f>
        <v>0</v>
      </c>
      <c r="BP47" s="355" t="str">
        <f t="shared" si="8"/>
        <v>Peat</v>
      </c>
      <c r="BQ47" s="361" t="s">
        <v>1349</v>
      </c>
      <c r="BR47" s="362"/>
      <c r="BS47" s="362"/>
      <c r="BT47" s="362"/>
      <c r="BU47" s="362"/>
      <c r="BV47" s="362"/>
      <c r="BW47" s="362"/>
      <c r="BX47" s="362"/>
      <c r="BY47" s="362"/>
      <c r="BZ47" s="362"/>
      <c r="CA47" s="362"/>
      <c r="CB47" s="362"/>
      <c r="CC47" s="362"/>
      <c r="CD47" s="362"/>
      <c r="CE47" s="363"/>
      <c r="CF47" s="360" t="s">
        <v>1229</v>
      </c>
      <c r="CG47" s="360" t="s">
        <v>1236</v>
      </c>
      <c r="CH47" s="360" t="s">
        <v>1243</v>
      </c>
      <c r="CI47" s="360" t="s">
        <v>1249</v>
      </c>
    </row>
    <row r="48" spans="1:87" ht="20.100000000000001" customHeight="1">
      <c r="A48" s="27"/>
      <c r="B48" s="21"/>
      <c r="C48" s="21"/>
      <c r="D48" s="21"/>
      <c r="E48" s="21"/>
      <c r="F48" s="21"/>
      <c r="G48" s="65"/>
      <c r="H48" s="21"/>
      <c r="I48" s="21"/>
      <c r="J48" s="87"/>
      <c r="K48" s="28"/>
      <c r="L48" s="16"/>
      <c r="M48" s="627"/>
      <c r="N48" s="630"/>
      <c r="O48" s="630"/>
      <c r="P48" s="630"/>
      <c r="Q48" s="630"/>
      <c r="R48" s="630"/>
      <c r="S48" s="630"/>
      <c r="T48" s="630"/>
      <c r="U48" s="630"/>
      <c r="V48" s="630"/>
      <c r="W48" s="630"/>
      <c r="X48" s="630"/>
      <c r="Y48" s="630"/>
      <c r="Z48" s="630"/>
      <c r="AA48" s="630"/>
      <c r="AB48" s="630"/>
      <c r="AC48" s="630"/>
      <c r="AD48" s="630"/>
      <c r="AE48" s="630"/>
      <c r="AF48" s="1551"/>
      <c r="AG48" s="1581" t="s">
        <v>866</v>
      </c>
      <c r="AH48" s="1582"/>
      <c r="AI48" s="1582"/>
      <c r="AJ48" s="1583"/>
      <c r="AK48" s="81">
        <v>0</v>
      </c>
      <c r="AL48" s="123">
        <f>IF((AL$42-2021)&lt;START!$C$2,0,((AL$37*INDEX('DEFAULT DATA'!$AGR$9:$AGY$41,START!$C$3,6))+(AL$38*INDEX('DEFAULT DATA'!$YB$9:$YI$41,START!$C$3,6))+(AL$39*INDEX('DEFAULT DATA'!$ZH$9:$ZO$41,START!$C$3,6)))*INDEX('DEFAULT DATA'!$WC$9:$WJ$41,START!$C$3,6)/1000000)</f>
        <v>0</v>
      </c>
      <c r="AM48" s="123">
        <f>IF((AM$42-2021)&lt;START!$C$2,0,((AM$37*INDEX('DEFAULT DATA'!$AGR$9:$AGY$41,START!$C$3,6))+(AM$38*INDEX('DEFAULT DATA'!$YB$9:$YI$41,START!$C$3,6))+(AM$39*INDEX('DEFAULT DATA'!$ZH$9:$ZO$41,START!$C$3,6)))*INDEX('DEFAULT DATA'!$WC$9:$WJ$41,START!$C$3,6)/1000000)</f>
        <v>0</v>
      </c>
      <c r="AN48" s="123">
        <f>IF((AN$42-2021)&lt;START!$C$2,0,((AN$37*INDEX('DEFAULT DATA'!$AGR$9:$AGY$41,START!$C$3,6))+(AN$38*INDEX('DEFAULT DATA'!$YB$9:$YI$41,START!$C$3,6))+(AN$39*INDEX('DEFAULT DATA'!$ZH$9:$ZO$41,START!$C$3,6)))*INDEX('DEFAULT DATA'!$WC$9:$WJ$41,START!$C$3,6)/1000000)</f>
        <v>0</v>
      </c>
      <c r="AO48" s="123">
        <f>IF((AO$42-2021)&lt;START!$C$2,0,((AO$37*INDEX('DEFAULT DATA'!$AGR$9:$AGY$41,START!$C$3,6))+(AO$38*INDEX('DEFAULT DATA'!$YB$9:$YI$41,START!$C$3,6))+(AO$39*INDEX('DEFAULT DATA'!$ZH$9:$ZO$41,START!$C$3,6)))*INDEX('DEFAULT DATA'!$WC$9:$WJ$41,START!$C$3,6)/1000000)</f>
        <v>0</v>
      </c>
      <c r="AP48" s="123">
        <f>IF((AP$42-2021)&lt;START!$C$2,0,((AP$37*INDEX('DEFAULT DATA'!$AGR$9:$AGY$41,START!$C$3,6))+(AP$38*INDEX('DEFAULT DATA'!$YB$9:$YI$41,START!$C$3,6))+(AP$39*INDEX('DEFAULT DATA'!$ZH$9:$ZO$41,START!$C$3,6)))*INDEX('DEFAULT DATA'!$WC$9:$WJ$41,START!$C$3,6)/1000000)</f>
        <v>0</v>
      </c>
      <c r="AQ48" s="123">
        <f>IF((AQ$42-2021)&lt;START!$C$2,0,((AQ$37*INDEX('DEFAULT DATA'!$AGR$9:$AGY$41,START!$C$3,6))+(AQ$38*INDEX('DEFAULT DATA'!$YB$9:$YI$41,START!$C$3,6))+(AQ$39*INDEX('DEFAULT DATA'!$ZH$9:$ZO$41,START!$C$3,6)))*INDEX('DEFAULT DATA'!$WC$9:$WJ$41,START!$C$3,6)/1000000)</f>
        <v>0</v>
      </c>
      <c r="AR48" s="123">
        <f>IF((AR$42-2021)&lt;START!$C$2,0,((AR$37*INDEX('DEFAULT DATA'!$AGR$9:$AGY$41,START!$C$3,6))+(AR$38*INDEX('DEFAULT DATA'!$YB$9:$YI$41,START!$C$3,6))+(AR$39*INDEX('DEFAULT DATA'!$ZH$9:$ZO$41,START!$C$3,6)))*INDEX('DEFAULT DATA'!$WC$9:$WJ$41,START!$C$3,6)/1000000)</f>
        <v>0</v>
      </c>
      <c r="AS48" s="123">
        <f>IF((AS$42-2021)&lt;START!$C$2,0,((AS$37*INDEX('DEFAULT DATA'!$AGR$9:$AGY$41,START!$C$3,6))+(AS$38*INDEX('DEFAULT DATA'!$YB$9:$YI$41,START!$C$3,6))+(AS$39*INDEX('DEFAULT DATA'!$ZH$9:$ZO$41,START!$C$3,6)))*INDEX('DEFAULT DATA'!$WC$9:$WJ$41,START!$C$3,6)/1000000)</f>
        <v>0</v>
      </c>
      <c r="AT48" s="123">
        <f>IF((AT$42-2021)&lt;START!$C$2,0,((AT$37*INDEX('DEFAULT DATA'!$AGR$9:$AGY$41,START!$C$3,6))+(AT$38*INDEX('DEFAULT DATA'!$YB$9:$YI$41,START!$C$3,6))+(AT$39*INDEX('DEFAULT DATA'!$ZH$9:$ZO$41,START!$C$3,6)))*INDEX('DEFAULT DATA'!$WC$9:$WJ$41,START!$C$3,6)/1000000)</f>
        <v>0</v>
      </c>
      <c r="AU48" s="123">
        <f>IF((AU$42-2021)&lt;START!$C$2,0,((AU$37*INDEX('DEFAULT DATA'!$AGR$9:$AGY$41,START!$C$3,6))+(AU$38*INDEX('DEFAULT DATA'!$YB$9:$YI$41,START!$C$3,6))+(AU$39*INDEX('DEFAULT DATA'!$ZH$9:$ZO$41,START!$C$3,6)))*INDEX('DEFAULT DATA'!$WC$9:$WJ$41,START!$C$3,6)/1000000)</f>
        <v>0</v>
      </c>
      <c r="AV48" s="123">
        <f>IF((AV$42-2021)&lt;START!$C$2,0,((AV$37*INDEX('DEFAULT DATA'!$AGR$9:$AGY$41,START!$C$3,6))+(AV$38*INDEX('DEFAULT DATA'!$YB$9:$YI$41,START!$C$3,6))+(AV$39*INDEX('DEFAULT DATA'!$ZH$9:$ZO$41,START!$C$3,6)))*INDEX('DEFAULT DATA'!$WC$9:$WJ$41,START!$C$3,6)/1000000)</f>
        <v>0</v>
      </c>
      <c r="AW48" s="123">
        <f>IF((AW$42-2021)&lt;START!$C$2,0,((AW$37*INDEX('DEFAULT DATA'!$AGR$9:$AGY$41,START!$C$3,6))+(AW$38*INDEX('DEFAULT DATA'!$YB$9:$YI$41,START!$C$3,6))+(AW$39*INDEX('DEFAULT DATA'!$ZH$9:$ZO$41,START!$C$3,6)))*INDEX('DEFAULT DATA'!$WC$9:$WJ$41,START!$C$3,6)/1000000)</f>
        <v>0</v>
      </c>
      <c r="AX48" s="123">
        <f>IF((AX$42-2021)&lt;START!$C$2,0,((AX$37*INDEX('DEFAULT DATA'!$AGR$9:$AGY$41,START!$C$3,6))+(AX$38*INDEX('DEFAULT DATA'!$YB$9:$YI$41,START!$C$3,6))+(AX$39*INDEX('DEFAULT DATA'!$ZH$9:$ZO$41,START!$C$3,6)))*INDEX('DEFAULT DATA'!$WC$9:$WJ$41,START!$C$3,6)/1000000)</f>
        <v>0</v>
      </c>
      <c r="AY48" s="123">
        <f>IF((AY$42-2021)&lt;START!$C$2,0,((AY$37*INDEX('DEFAULT DATA'!$AGR$9:$AGY$41,START!$C$3,6))+(AY$38*INDEX('DEFAULT DATA'!$YB$9:$YI$41,START!$C$3,6))+(AY$39*INDEX('DEFAULT DATA'!$ZH$9:$ZO$41,START!$C$3,6)))*INDEX('DEFAULT DATA'!$WC$9:$WJ$41,START!$C$3,6)/1000000)</f>
        <v>0</v>
      </c>
      <c r="AZ48" s="123">
        <f>IF((AZ$42-2021)&lt;START!$C$2,0,((AZ$37*INDEX('DEFAULT DATA'!$AGR$9:$AGY$41,START!$C$3,6))+(AZ$38*INDEX('DEFAULT DATA'!$YB$9:$YI$41,START!$C$3,6))+(AZ$39*INDEX('DEFAULT DATA'!$ZH$9:$ZO$41,START!$C$3,6)))*INDEX('DEFAULT DATA'!$WC$9:$WJ$41,START!$C$3,6)/1000000)</f>
        <v>0</v>
      </c>
      <c r="BA48" s="123">
        <f>IF((BA$42-2021)&lt;START!$C$2,0,((BA$37*INDEX('DEFAULT DATA'!$AGR$9:$AGY$41,START!$C$3,6))+(BA$38*INDEX('DEFAULT DATA'!$YB$9:$YI$41,START!$C$3,6))+(BA$39*INDEX('DEFAULT DATA'!$ZH$9:$ZO$41,START!$C$3,6)))*INDEX('DEFAULT DATA'!$WC$9:$WJ$41,START!$C$3,6)/1000000)</f>
        <v>0</v>
      </c>
      <c r="BB48" s="123">
        <f>IF((BB$42-2021)&lt;START!$C$2,0,((BB$37*INDEX('DEFAULT DATA'!$AGR$9:$AGY$41,START!$C$3,6))+(BB$38*INDEX('DEFAULT DATA'!$YB$9:$YI$41,START!$C$3,6))+(BB$39*INDEX('DEFAULT DATA'!$ZH$9:$ZO$41,START!$C$3,6)))*INDEX('DEFAULT DATA'!$WC$9:$WJ$41,START!$C$3,6)/1000000)</f>
        <v>0</v>
      </c>
      <c r="BC48" s="123">
        <f>IF((BC$42-2021)&lt;START!$C$2,0,((BC$37*INDEX('DEFAULT DATA'!$AGR$9:$AGY$41,START!$C$3,6))+(BC$38*INDEX('DEFAULT DATA'!$YB$9:$YI$41,START!$C$3,6))+(BC$39*INDEX('DEFAULT DATA'!$ZH$9:$ZO$41,START!$C$3,6)))*INDEX('DEFAULT DATA'!$WC$9:$WJ$41,START!$C$3,6)/1000000)</f>
        <v>0</v>
      </c>
      <c r="BD48" s="123">
        <f>IF((BD$42-2021)&lt;START!$C$2,0,((BD$37*INDEX('DEFAULT DATA'!$AGR$9:$AGY$41,START!$C$3,6))+(BD$38*INDEX('DEFAULT DATA'!$YB$9:$YI$41,START!$C$3,6))+(BD$39*INDEX('DEFAULT DATA'!$ZH$9:$ZO$41,START!$C$3,6)))*INDEX('DEFAULT DATA'!$WC$9:$WJ$41,START!$C$3,6)/1000000)</f>
        <v>0</v>
      </c>
      <c r="BE48" s="123">
        <f>IF((BE$42-2021)&lt;START!$C$2,0,((BE$37*INDEX('DEFAULT DATA'!$AGR$9:$AGY$41,START!$C$3,6))+(BE$38*INDEX('DEFAULT DATA'!$YB$9:$YI$41,START!$C$3,6))+(BE$39*INDEX('DEFAULT DATA'!$ZH$9:$ZO$41,START!$C$3,6)))*INDEX('DEFAULT DATA'!$WC$9:$WJ$41,START!$C$3,6)/1000000)</f>
        <v>0</v>
      </c>
      <c r="BF48" s="123">
        <f>IF((BF$42-2021)&lt;START!$C$2,0,((BF$37*INDEX('DEFAULT DATA'!$AGR$9:$AGY$41,START!$C$3,6))+(BF$38*INDEX('DEFAULT DATA'!$YB$9:$YI$41,START!$C$3,6))+(BF$39*INDEX('DEFAULT DATA'!$ZH$9:$ZO$41,START!$C$3,6)))*INDEX('DEFAULT DATA'!$WC$9:$WJ$41,START!$C$3,6)/1000000)</f>
        <v>0</v>
      </c>
      <c r="BG48" s="123">
        <f>IF((BG$42-2021)&lt;START!$C$2,0,((BG$37*INDEX('DEFAULT DATA'!$AGR$9:$AGY$41,START!$C$3,6))+(BG$38*INDEX('DEFAULT DATA'!$YB$9:$YI$41,START!$C$3,6))+(BG$39*INDEX('DEFAULT DATA'!$ZH$9:$ZO$41,START!$C$3,6)))*INDEX('DEFAULT DATA'!$WC$9:$WJ$41,START!$C$3,6)/1000000)</f>
        <v>0</v>
      </c>
      <c r="BH48" s="123">
        <f>IF((BH$42-2021)&lt;START!$C$2,0,((BH$37*INDEX('DEFAULT DATA'!$AGR$9:$AGY$41,START!$C$3,6))+(BH$38*INDEX('DEFAULT DATA'!$YB$9:$YI$41,START!$C$3,6))+(BH$39*INDEX('DEFAULT DATA'!$ZH$9:$ZO$41,START!$C$3,6)))*INDEX('DEFAULT DATA'!$WC$9:$WJ$41,START!$C$3,6)/1000000)</f>
        <v>0</v>
      </c>
      <c r="BI48" s="123">
        <f>IF((BI$42-2021)&lt;START!$C$2,0,((BI$37*INDEX('DEFAULT DATA'!$AGR$9:$AGY$41,START!$C$3,6))+(BI$38*INDEX('DEFAULT DATA'!$YB$9:$YI$41,START!$C$3,6))+(BI$39*INDEX('DEFAULT DATA'!$ZH$9:$ZO$41,START!$C$3,6)))*INDEX('DEFAULT DATA'!$WC$9:$WJ$41,START!$C$3,6)/1000000)</f>
        <v>0</v>
      </c>
      <c r="BJ48" s="123">
        <f>IF((BJ$42-2021)&lt;START!$C$2,0,((BJ$37*INDEX('DEFAULT DATA'!$AGR$9:$AGY$41,START!$C$3,6))+(BJ$38*INDEX('DEFAULT DATA'!$YB$9:$YI$41,START!$C$3,6))+(BJ$39*INDEX('DEFAULT DATA'!$ZH$9:$ZO$41,START!$C$3,6)))*INDEX('DEFAULT DATA'!$WC$9:$WJ$41,START!$C$3,6)/1000000)</f>
        <v>0</v>
      </c>
      <c r="BK48" s="123">
        <f>IF((BK$42-2021)&lt;START!$C$2,0,((BK$37*INDEX('DEFAULT DATA'!$AGR$9:$AGY$41,START!$C$3,6))+(BK$38*INDEX('DEFAULT DATA'!$YB$9:$YI$41,START!$C$3,6))+(BK$39*INDEX('DEFAULT DATA'!$ZH$9:$ZO$41,START!$C$3,6)))*INDEX('DEFAULT DATA'!$WC$9:$WJ$41,START!$C$3,6)/1000000)</f>
        <v>0</v>
      </c>
      <c r="BL48" s="123">
        <f>IF((BL$42-2021)&lt;START!$C$2,0,((BL$37*INDEX('DEFAULT DATA'!$AGR$9:$AGY$41,START!$C$3,6))+(BL$38*INDEX('DEFAULT DATA'!$YB$9:$YI$41,START!$C$3,6))+(BL$39*INDEX('DEFAULT DATA'!$ZH$9:$ZO$41,START!$C$3,6)))*INDEX('DEFAULT DATA'!$WC$9:$WJ$41,START!$C$3,6)/1000000)</f>
        <v>0</v>
      </c>
      <c r="BM48" s="123">
        <f>IF((BM$42-2021)&lt;START!$C$2,0,((BM$37*INDEX('DEFAULT DATA'!$AGR$9:$AGY$41,START!$C$3,6))+(BM$38*INDEX('DEFAULT DATA'!$YB$9:$YI$41,START!$C$3,6))+(BM$39*INDEX('DEFAULT DATA'!$ZH$9:$ZO$41,START!$C$3,6)))*INDEX('DEFAULT DATA'!$WC$9:$WJ$41,START!$C$3,6)/1000000)</f>
        <v>0</v>
      </c>
      <c r="BN48" s="159">
        <f>IF((BN$42-2021)&lt;START!$C$2,0,((BN$37*INDEX('DEFAULT DATA'!$AGR$9:$AGY$41,START!$C$3,6))+(BN$38*INDEX('DEFAULT DATA'!$YB$9:$YI$41,START!$C$3,6))+(BN$39*INDEX('DEFAULT DATA'!$ZH$9:$ZO$41,START!$C$3,6)))*INDEX('DEFAULT DATA'!$WC$9:$WJ$41,START!$C$3,6)/1000000)</f>
        <v>0</v>
      </c>
      <c r="BP48" s="355" t="str">
        <f t="shared" si="8"/>
        <v>Wood</v>
      </c>
      <c r="BQ48" s="361" t="s">
        <v>1350</v>
      </c>
      <c r="BR48" s="362"/>
      <c r="BS48" s="362"/>
      <c r="BT48" s="362"/>
      <c r="BU48" s="362"/>
      <c r="BV48" s="362"/>
      <c r="BW48" s="362"/>
      <c r="BX48" s="362"/>
      <c r="BY48" s="362"/>
      <c r="BZ48" s="362"/>
      <c r="CA48" s="362"/>
      <c r="CB48" s="362"/>
      <c r="CC48" s="362"/>
      <c r="CD48" s="362"/>
      <c r="CE48" s="363"/>
      <c r="CF48" s="360" t="s">
        <v>1230</v>
      </c>
      <c r="CG48" s="360" t="s">
        <v>1237</v>
      </c>
      <c r="CH48" s="360" t="s">
        <v>1244</v>
      </c>
      <c r="CI48" s="360" t="s">
        <v>1250</v>
      </c>
    </row>
    <row r="49" spans="1:87" ht="20.100000000000001" customHeight="1">
      <c r="A49" s="27"/>
      <c r="B49" s="21"/>
      <c r="C49" s="21"/>
      <c r="D49" s="21"/>
      <c r="E49" s="21"/>
      <c r="F49" s="21"/>
      <c r="G49" s="91"/>
      <c r="H49" s="21"/>
      <c r="I49" s="21"/>
      <c r="J49" s="87"/>
      <c r="K49" s="28"/>
      <c r="L49" s="16"/>
      <c r="M49" s="627"/>
      <c r="N49" s="630"/>
      <c r="O49" s="630"/>
      <c r="P49" s="630"/>
      <c r="Q49" s="630"/>
      <c r="R49" s="630"/>
      <c r="S49" s="630"/>
      <c r="T49" s="630"/>
      <c r="U49" s="630"/>
      <c r="V49" s="630"/>
      <c r="W49" s="630"/>
      <c r="X49" s="630"/>
      <c r="Y49" s="630"/>
      <c r="Z49" s="630"/>
      <c r="AA49" s="630"/>
      <c r="AB49" s="630"/>
      <c r="AC49" s="630"/>
      <c r="AD49" s="630"/>
      <c r="AE49" s="630"/>
      <c r="AF49" s="1551"/>
      <c r="AG49" s="1581" t="s">
        <v>867</v>
      </c>
      <c r="AH49" s="1582"/>
      <c r="AI49" s="1582"/>
      <c r="AJ49" s="1583"/>
      <c r="AK49" s="81">
        <v>0</v>
      </c>
      <c r="AL49" s="123">
        <f>IF((AL$42-2021)&lt;START!$C$2,0,((AL$37*INDEX('DEFAULT DATA'!$AGR$9:$AGY$41,START!$C$3,7))+(AL$38*INDEX('DEFAULT DATA'!$YB$9:$YI$41,START!$C$3,7))+(AL$39*INDEX('DEFAULT DATA'!$ZH$9:$ZO$41,START!$C$3,7)))*INDEX('DEFAULT DATA'!$WC$9:$WJ$41,START!$C$3,7)/1000000)</f>
        <v>0</v>
      </c>
      <c r="AM49" s="123">
        <f>IF((AM$42-2021)&lt;START!$C$2,0,((AM$37*INDEX('DEFAULT DATA'!$AGR$9:$AGY$41,START!$C$3,7))+(AM$38*INDEX('DEFAULT DATA'!$YB$9:$YI$41,START!$C$3,7))+(AM$39*INDEX('DEFAULT DATA'!$ZH$9:$ZO$41,START!$C$3,7)))*INDEX('DEFAULT DATA'!$WC$9:$WJ$41,START!$C$3,7)/1000000)</f>
        <v>0</v>
      </c>
      <c r="AN49" s="123">
        <f>IF((AN$42-2021)&lt;START!$C$2,0,((AN$37*INDEX('DEFAULT DATA'!$AGR$9:$AGY$41,START!$C$3,7))+(AN$38*INDEX('DEFAULT DATA'!$YB$9:$YI$41,START!$C$3,7))+(AN$39*INDEX('DEFAULT DATA'!$ZH$9:$ZO$41,START!$C$3,7)))*INDEX('DEFAULT DATA'!$WC$9:$WJ$41,START!$C$3,7)/1000000)</f>
        <v>0</v>
      </c>
      <c r="AO49" s="123">
        <f>IF((AO$42-2021)&lt;START!$C$2,0,((AO$37*INDEX('DEFAULT DATA'!$AGR$9:$AGY$41,START!$C$3,7))+(AO$38*INDEX('DEFAULT DATA'!$YB$9:$YI$41,START!$C$3,7))+(AO$39*INDEX('DEFAULT DATA'!$ZH$9:$ZO$41,START!$C$3,7)))*INDEX('DEFAULT DATA'!$WC$9:$WJ$41,START!$C$3,7)/1000000)</f>
        <v>0</v>
      </c>
      <c r="AP49" s="123">
        <f>IF((AP$42-2021)&lt;START!$C$2,0,((AP$37*INDEX('DEFAULT DATA'!$AGR$9:$AGY$41,START!$C$3,7))+(AP$38*INDEX('DEFAULT DATA'!$YB$9:$YI$41,START!$C$3,7))+(AP$39*INDEX('DEFAULT DATA'!$ZH$9:$ZO$41,START!$C$3,7)))*INDEX('DEFAULT DATA'!$WC$9:$WJ$41,START!$C$3,7)/1000000)</f>
        <v>0</v>
      </c>
      <c r="AQ49" s="123">
        <f>IF((AQ$42-2021)&lt;START!$C$2,0,((AQ$37*INDEX('DEFAULT DATA'!$AGR$9:$AGY$41,START!$C$3,7))+(AQ$38*INDEX('DEFAULT DATA'!$YB$9:$YI$41,START!$C$3,7))+(AQ$39*INDEX('DEFAULT DATA'!$ZH$9:$ZO$41,START!$C$3,7)))*INDEX('DEFAULT DATA'!$WC$9:$WJ$41,START!$C$3,7)/1000000)</f>
        <v>0</v>
      </c>
      <c r="AR49" s="123">
        <f>IF((AR$42-2021)&lt;START!$C$2,0,((AR$37*INDEX('DEFAULT DATA'!$AGR$9:$AGY$41,START!$C$3,7))+(AR$38*INDEX('DEFAULT DATA'!$YB$9:$YI$41,START!$C$3,7))+(AR$39*INDEX('DEFAULT DATA'!$ZH$9:$ZO$41,START!$C$3,7)))*INDEX('DEFAULT DATA'!$WC$9:$WJ$41,START!$C$3,7)/1000000)</f>
        <v>0</v>
      </c>
      <c r="AS49" s="123">
        <f>IF((AS$42-2021)&lt;START!$C$2,0,((AS$37*INDEX('DEFAULT DATA'!$AGR$9:$AGY$41,START!$C$3,7))+(AS$38*INDEX('DEFAULT DATA'!$YB$9:$YI$41,START!$C$3,7))+(AS$39*INDEX('DEFAULT DATA'!$ZH$9:$ZO$41,START!$C$3,7)))*INDEX('DEFAULT DATA'!$WC$9:$WJ$41,START!$C$3,7)/1000000)</f>
        <v>0</v>
      </c>
      <c r="AT49" s="123">
        <f>IF((AT$42-2021)&lt;START!$C$2,0,((AT$37*INDEX('DEFAULT DATA'!$AGR$9:$AGY$41,START!$C$3,7))+(AT$38*INDEX('DEFAULT DATA'!$YB$9:$YI$41,START!$C$3,7))+(AT$39*INDEX('DEFAULT DATA'!$ZH$9:$ZO$41,START!$C$3,7)))*INDEX('DEFAULT DATA'!$WC$9:$WJ$41,START!$C$3,7)/1000000)</f>
        <v>0</v>
      </c>
      <c r="AU49" s="123">
        <f>IF((AU$42-2021)&lt;START!$C$2,0,((AU$37*INDEX('DEFAULT DATA'!$AGR$9:$AGY$41,START!$C$3,7))+(AU$38*INDEX('DEFAULT DATA'!$YB$9:$YI$41,START!$C$3,7))+(AU$39*INDEX('DEFAULT DATA'!$ZH$9:$ZO$41,START!$C$3,7)))*INDEX('DEFAULT DATA'!$WC$9:$WJ$41,START!$C$3,7)/1000000)</f>
        <v>0</v>
      </c>
      <c r="AV49" s="123">
        <f>IF((AV$42-2021)&lt;START!$C$2,0,((AV$37*INDEX('DEFAULT DATA'!$AGR$9:$AGY$41,START!$C$3,7))+(AV$38*INDEX('DEFAULT DATA'!$YB$9:$YI$41,START!$C$3,7))+(AV$39*INDEX('DEFAULT DATA'!$ZH$9:$ZO$41,START!$C$3,7)))*INDEX('DEFAULT DATA'!$WC$9:$WJ$41,START!$C$3,7)/1000000)</f>
        <v>0</v>
      </c>
      <c r="AW49" s="123">
        <f>IF((AW$42-2021)&lt;START!$C$2,0,((AW$37*INDEX('DEFAULT DATA'!$AGR$9:$AGY$41,START!$C$3,7))+(AW$38*INDEX('DEFAULT DATA'!$YB$9:$YI$41,START!$C$3,7))+(AW$39*INDEX('DEFAULT DATA'!$ZH$9:$ZO$41,START!$C$3,7)))*INDEX('DEFAULT DATA'!$WC$9:$WJ$41,START!$C$3,7)/1000000)</f>
        <v>0</v>
      </c>
      <c r="AX49" s="123">
        <f>IF((AX$42-2021)&lt;START!$C$2,0,((AX$37*INDEX('DEFAULT DATA'!$AGR$9:$AGY$41,START!$C$3,7))+(AX$38*INDEX('DEFAULT DATA'!$YB$9:$YI$41,START!$C$3,7))+(AX$39*INDEX('DEFAULT DATA'!$ZH$9:$ZO$41,START!$C$3,7)))*INDEX('DEFAULT DATA'!$WC$9:$WJ$41,START!$C$3,7)/1000000)</f>
        <v>0</v>
      </c>
      <c r="AY49" s="123">
        <f>IF((AY$42-2021)&lt;START!$C$2,0,((AY$37*INDEX('DEFAULT DATA'!$AGR$9:$AGY$41,START!$C$3,7))+(AY$38*INDEX('DEFAULT DATA'!$YB$9:$YI$41,START!$C$3,7))+(AY$39*INDEX('DEFAULT DATA'!$ZH$9:$ZO$41,START!$C$3,7)))*INDEX('DEFAULT DATA'!$WC$9:$WJ$41,START!$C$3,7)/1000000)</f>
        <v>0</v>
      </c>
      <c r="AZ49" s="123">
        <f>IF((AZ$42-2021)&lt;START!$C$2,0,((AZ$37*INDEX('DEFAULT DATA'!$AGR$9:$AGY$41,START!$C$3,7))+(AZ$38*INDEX('DEFAULT DATA'!$YB$9:$YI$41,START!$C$3,7))+(AZ$39*INDEX('DEFAULT DATA'!$ZH$9:$ZO$41,START!$C$3,7)))*INDEX('DEFAULT DATA'!$WC$9:$WJ$41,START!$C$3,7)/1000000)</f>
        <v>0</v>
      </c>
      <c r="BA49" s="123">
        <f>IF((BA$42-2021)&lt;START!$C$2,0,((BA$37*INDEX('DEFAULT DATA'!$AGR$9:$AGY$41,START!$C$3,7))+(BA$38*INDEX('DEFAULT DATA'!$YB$9:$YI$41,START!$C$3,7))+(BA$39*INDEX('DEFAULT DATA'!$ZH$9:$ZO$41,START!$C$3,7)))*INDEX('DEFAULT DATA'!$WC$9:$WJ$41,START!$C$3,7)/1000000)</f>
        <v>0</v>
      </c>
      <c r="BB49" s="123">
        <f>IF((BB$42-2021)&lt;START!$C$2,0,((BB$37*INDEX('DEFAULT DATA'!$AGR$9:$AGY$41,START!$C$3,7))+(BB$38*INDEX('DEFAULT DATA'!$YB$9:$YI$41,START!$C$3,7))+(BB$39*INDEX('DEFAULT DATA'!$ZH$9:$ZO$41,START!$C$3,7)))*INDEX('DEFAULT DATA'!$WC$9:$WJ$41,START!$C$3,7)/1000000)</f>
        <v>0</v>
      </c>
      <c r="BC49" s="123">
        <f>IF((BC$42-2021)&lt;START!$C$2,0,((BC$37*INDEX('DEFAULT DATA'!$AGR$9:$AGY$41,START!$C$3,7))+(BC$38*INDEX('DEFAULT DATA'!$YB$9:$YI$41,START!$C$3,7))+(BC$39*INDEX('DEFAULT DATA'!$ZH$9:$ZO$41,START!$C$3,7)))*INDEX('DEFAULT DATA'!$WC$9:$WJ$41,START!$C$3,7)/1000000)</f>
        <v>0</v>
      </c>
      <c r="BD49" s="123">
        <f>IF((BD$42-2021)&lt;START!$C$2,0,((BD$37*INDEX('DEFAULT DATA'!$AGR$9:$AGY$41,START!$C$3,7))+(BD$38*INDEX('DEFAULT DATA'!$YB$9:$YI$41,START!$C$3,7))+(BD$39*INDEX('DEFAULT DATA'!$ZH$9:$ZO$41,START!$C$3,7)))*INDEX('DEFAULT DATA'!$WC$9:$WJ$41,START!$C$3,7)/1000000)</f>
        <v>0</v>
      </c>
      <c r="BE49" s="123">
        <f>IF((BE$42-2021)&lt;START!$C$2,0,((BE$37*INDEX('DEFAULT DATA'!$AGR$9:$AGY$41,START!$C$3,7))+(BE$38*INDEX('DEFAULT DATA'!$YB$9:$YI$41,START!$C$3,7))+(BE$39*INDEX('DEFAULT DATA'!$ZH$9:$ZO$41,START!$C$3,7)))*INDEX('DEFAULT DATA'!$WC$9:$WJ$41,START!$C$3,7)/1000000)</f>
        <v>0</v>
      </c>
      <c r="BF49" s="123">
        <f>IF((BF$42-2021)&lt;START!$C$2,0,((BF$37*INDEX('DEFAULT DATA'!$AGR$9:$AGY$41,START!$C$3,7))+(BF$38*INDEX('DEFAULT DATA'!$YB$9:$YI$41,START!$C$3,7))+(BF$39*INDEX('DEFAULT DATA'!$ZH$9:$ZO$41,START!$C$3,7)))*INDEX('DEFAULT DATA'!$WC$9:$WJ$41,START!$C$3,7)/1000000)</f>
        <v>0</v>
      </c>
      <c r="BG49" s="123">
        <f>IF((BG$42-2021)&lt;START!$C$2,0,((BG$37*INDEX('DEFAULT DATA'!$AGR$9:$AGY$41,START!$C$3,7))+(BG$38*INDEX('DEFAULT DATA'!$YB$9:$YI$41,START!$C$3,7))+(BG$39*INDEX('DEFAULT DATA'!$ZH$9:$ZO$41,START!$C$3,7)))*INDEX('DEFAULT DATA'!$WC$9:$WJ$41,START!$C$3,7)/1000000)</f>
        <v>0</v>
      </c>
      <c r="BH49" s="123">
        <f>IF((BH$42-2021)&lt;START!$C$2,0,((BH$37*INDEX('DEFAULT DATA'!$AGR$9:$AGY$41,START!$C$3,7))+(BH$38*INDEX('DEFAULT DATA'!$YB$9:$YI$41,START!$C$3,7))+(BH$39*INDEX('DEFAULT DATA'!$ZH$9:$ZO$41,START!$C$3,7)))*INDEX('DEFAULT DATA'!$WC$9:$WJ$41,START!$C$3,7)/1000000)</f>
        <v>0</v>
      </c>
      <c r="BI49" s="123">
        <f>IF((BI$42-2021)&lt;START!$C$2,0,((BI$37*INDEX('DEFAULT DATA'!$AGR$9:$AGY$41,START!$C$3,7))+(BI$38*INDEX('DEFAULT DATA'!$YB$9:$YI$41,START!$C$3,7))+(BI$39*INDEX('DEFAULT DATA'!$ZH$9:$ZO$41,START!$C$3,7)))*INDEX('DEFAULT DATA'!$WC$9:$WJ$41,START!$C$3,7)/1000000)</f>
        <v>0</v>
      </c>
      <c r="BJ49" s="123">
        <f>IF((BJ$42-2021)&lt;START!$C$2,0,((BJ$37*INDEX('DEFAULT DATA'!$AGR$9:$AGY$41,START!$C$3,7))+(BJ$38*INDEX('DEFAULT DATA'!$YB$9:$YI$41,START!$C$3,7))+(BJ$39*INDEX('DEFAULT DATA'!$ZH$9:$ZO$41,START!$C$3,7)))*INDEX('DEFAULT DATA'!$WC$9:$WJ$41,START!$C$3,7)/1000000)</f>
        <v>0</v>
      </c>
      <c r="BK49" s="123">
        <f>IF((BK$42-2021)&lt;START!$C$2,0,((BK$37*INDEX('DEFAULT DATA'!$AGR$9:$AGY$41,START!$C$3,7))+(BK$38*INDEX('DEFAULT DATA'!$YB$9:$YI$41,START!$C$3,7))+(BK$39*INDEX('DEFAULT DATA'!$ZH$9:$ZO$41,START!$C$3,7)))*INDEX('DEFAULT DATA'!$WC$9:$WJ$41,START!$C$3,7)/1000000)</f>
        <v>0</v>
      </c>
      <c r="BL49" s="123">
        <f>IF((BL$42-2021)&lt;START!$C$2,0,((BL$37*INDEX('DEFAULT DATA'!$AGR$9:$AGY$41,START!$C$3,7))+(BL$38*INDEX('DEFAULT DATA'!$YB$9:$YI$41,START!$C$3,7))+(BL$39*INDEX('DEFAULT DATA'!$ZH$9:$ZO$41,START!$C$3,7)))*INDEX('DEFAULT DATA'!$WC$9:$WJ$41,START!$C$3,7)/1000000)</f>
        <v>0</v>
      </c>
      <c r="BM49" s="123">
        <f>IF((BM$42-2021)&lt;START!$C$2,0,((BM$37*INDEX('DEFAULT DATA'!$AGR$9:$AGY$41,START!$C$3,7))+(BM$38*INDEX('DEFAULT DATA'!$YB$9:$YI$41,START!$C$3,7))+(BM$39*INDEX('DEFAULT DATA'!$ZH$9:$ZO$41,START!$C$3,7)))*INDEX('DEFAULT DATA'!$WC$9:$WJ$41,START!$C$3,7)/1000000)</f>
        <v>0</v>
      </c>
      <c r="BN49" s="159">
        <f>IF((BN$42-2021)&lt;START!$C$2,0,((BN$37*INDEX('DEFAULT DATA'!$AGR$9:$AGY$41,START!$C$3,7))+(BN$38*INDEX('DEFAULT DATA'!$YB$9:$YI$41,START!$C$3,7))+(BN$39*INDEX('DEFAULT DATA'!$ZH$9:$ZO$41,START!$C$3,7)))*INDEX('DEFAULT DATA'!$WC$9:$WJ$41,START!$C$3,7)/1000000)</f>
        <v>0</v>
      </c>
      <c r="BP49" s="355" t="str">
        <f t="shared" si="8"/>
        <v>Renewable</v>
      </c>
      <c r="BQ49" s="361" t="s">
        <v>1351</v>
      </c>
      <c r="BR49" s="362"/>
      <c r="BS49" s="362"/>
      <c r="BT49" s="362"/>
      <c r="BU49" s="362"/>
      <c r="BV49" s="362"/>
      <c r="BW49" s="362"/>
      <c r="BX49" s="362"/>
      <c r="BY49" s="362"/>
      <c r="BZ49" s="362"/>
      <c r="CA49" s="362"/>
      <c r="CB49" s="362"/>
      <c r="CC49" s="362"/>
      <c r="CD49" s="362"/>
      <c r="CE49" s="363"/>
      <c r="CF49" s="360" t="s">
        <v>1231</v>
      </c>
      <c r="CG49" s="360" t="s">
        <v>1238</v>
      </c>
      <c r="CH49" s="360" t="s">
        <v>1245</v>
      </c>
      <c r="CI49" s="360" t="s">
        <v>1251</v>
      </c>
    </row>
    <row r="50" spans="1:87" ht="20.100000000000001" customHeight="1" thickBot="1">
      <c r="A50" s="27"/>
      <c r="B50" s="21"/>
      <c r="C50" s="21"/>
      <c r="D50" s="21"/>
      <c r="E50" s="21"/>
      <c r="F50" s="21"/>
      <c r="G50" s="21"/>
      <c r="H50" s="21"/>
      <c r="I50" s="21"/>
      <c r="J50" s="21"/>
      <c r="K50" s="28"/>
      <c r="L50" s="16"/>
      <c r="M50" s="627"/>
      <c r="N50" s="630"/>
      <c r="O50" s="630"/>
      <c r="P50" s="630"/>
      <c r="Q50" s="630"/>
      <c r="R50" s="630"/>
      <c r="S50" s="630"/>
      <c r="T50" s="630"/>
      <c r="U50" s="630"/>
      <c r="V50" s="630"/>
      <c r="W50" s="630"/>
      <c r="X50" s="630"/>
      <c r="Y50" s="630"/>
      <c r="Z50" s="630"/>
      <c r="AA50" s="630"/>
      <c r="AB50" s="630"/>
      <c r="AC50" s="630"/>
      <c r="AD50" s="630"/>
      <c r="AE50" s="630"/>
      <c r="AF50" s="1552"/>
      <c r="AG50" s="1542" t="s">
        <v>868</v>
      </c>
      <c r="AH50" s="1572"/>
      <c r="AI50" s="1572"/>
      <c r="AJ50" s="1543"/>
      <c r="AK50" s="155">
        <v>0</v>
      </c>
      <c r="AL50" s="160">
        <f>IF((AL$42-2021)&lt;START!$C$2,0,((AL$37*INDEX('DEFAULT DATA'!$AGR$9:$AGY$41,START!$C$3,8))+(AL$38*INDEX('DEFAULT DATA'!$YB$9:$YI$41,START!$C$3,8))+(AL$39*INDEX('DEFAULT DATA'!$ZH$9:$ZO$41,START!$C$3,8)))*AL6/1000000)</f>
        <v>1409.5197429364428</v>
      </c>
      <c r="AM50" s="160">
        <f>IF((AM$42-2021)&lt;START!$C$2,0,((AM$37*INDEX('DEFAULT DATA'!$AGR$9:$AGY$41,START!$C$3,8))+(AM$38*INDEX('DEFAULT DATA'!$YB$9:$YI$41,START!$C$3,8))+(AM$39*INDEX('DEFAULT DATA'!$ZH$9:$ZO$41,START!$C$3,8)))*AM6/1000000)</f>
        <v>1409.5197429364428</v>
      </c>
      <c r="AN50" s="160">
        <f>IF((AN$42-2021)&lt;START!$C$2,0,((AN$37*INDEX('DEFAULT DATA'!$AGR$9:$AGY$41,START!$C$3,8))+(AN$38*INDEX('DEFAULT DATA'!$YB$9:$YI$41,START!$C$3,8))+(AN$39*INDEX('DEFAULT DATA'!$ZH$9:$ZO$41,START!$C$3,8)))*AN6/1000000)</f>
        <v>1409.5197429364428</v>
      </c>
      <c r="AO50" s="160">
        <f>IF((AO$42-2021)&lt;START!$C$2,0,((AO$37*INDEX('DEFAULT DATA'!$AGR$9:$AGY$41,START!$C$3,8))+(AO$38*INDEX('DEFAULT DATA'!$YB$9:$YI$41,START!$C$3,8))+(AO$39*INDEX('DEFAULT DATA'!$ZH$9:$ZO$41,START!$C$3,8)))*AO6/1000000)</f>
        <v>1409.5197429364428</v>
      </c>
      <c r="AP50" s="160">
        <f>IF((AP$42-2021)&lt;START!$C$2,0,((AP$37*INDEX('DEFAULT DATA'!$AGR$9:$AGY$41,START!$C$3,8))+(AP$38*INDEX('DEFAULT DATA'!$YB$9:$YI$41,START!$C$3,8))+(AP$39*INDEX('DEFAULT DATA'!$ZH$9:$ZO$41,START!$C$3,8)))*AP6/1000000)</f>
        <v>1409.5197429364428</v>
      </c>
      <c r="AQ50" s="160">
        <f>IF((AQ$42-2021)&lt;START!$C$2,0,((AQ$37*INDEX('DEFAULT DATA'!$AGR$9:$AGY$41,START!$C$3,8))+(AQ$38*INDEX('DEFAULT DATA'!$YB$9:$YI$41,START!$C$3,8))+(AQ$39*INDEX('DEFAULT DATA'!$ZH$9:$ZO$41,START!$C$3,8)))*AQ6/1000000)</f>
        <v>1409.5197429364428</v>
      </c>
      <c r="AR50" s="160">
        <f>IF((AR$42-2021)&lt;START!$C$2,0,((AR$37*INDEX('DEFAULT DATA'!$AGR$9:$AGY$41,START!$C$3,8))+(AR$38*INDEX('DEFAULT DATA'!$YB$9:$YI$41,START!$C$3,8))+(AR$39*INDEX('DEFAULT DATA'!$ZH$9:$ZO$41,START!$C$3,8)))*AR6/1000000)</f>
        <v>1409.5197429364428</v>
      </c>
      <c r="AS50" s="160">
        <f>IF((AS$42-2021)&lt;START!$C$2,0,((AS$37*INDEX('DEFAULT DATA'!$AGR$9:$AGY$41,START!$C$3,8))+(AS$38*INDEX('DEFAULT DATA'!$YB$9:$YI$41,START!$C$3,8))+(AS$39*INDEX('DEFAULT DATA'!$ZH$9:$ZO$41,START!$C$3,8)))*AS6/1000000)</f>
        <v>1409.5197429364428</v>
      </c>
      <c r="AT50" s="160">
        <f>IF((AT$42-2021)&lt;START!$C$2,0,((AT$37*INDEX('DEFAULT DATA'!$AGR$9:$AGY$41,START!$C$3,8))+(AT$38*INDEX('DEFAULT DATA'!$YB$9:$YI$41,START!$C$3,8))+(AT$39*INDEX('DEFAULT DATA'!$ZH$9:$ZO$41,START!$C$3,8)))*AT6/1000000)</f>
        <v>1409.5197429364428</v>
      </c>
      <c r="AU50" s="160">
        <f>IF((AU$42-2021)&lt;START!$C$2,0,((AU$37*INDEX('DEFAULT DATA'!$AGR$9:$AGY$41,START!$C$3,8))+(AU$38*INDEX('DEFAULT DATA'!$YB$9:$YI$41,START!$C$3,8))+(AU$39*INDEX('DEFAULT DATA'!$ZH$9:$ZO$41,START!$C$3,8)))*AU6/1000000)</f>
        <v>1409.5197429364428</v>
      </c>
      <c r="AV50" s="160">
        <f>IF((AV$42-2021)&lt;START!$C$2,0,((AV$37*INDEX('DEFAULT DATA'!$AGR$9:$AGY$41,START!$C$3,8))+(AV$38*INDEX('DEFAULT DATA'!$YB$9:$YI$41,START!$C$3,8))+(AV$39*INDEX('DEFAULT DATA'!$ZH$9:$ZO$41,START!$C$3,8)))*AV6/1000000)</f>
        <v>1409.5197429364428</v>
      </c>
      <c r="AW50" s="160">
        <f>IF((AW$42-2021)&lt;START!$C$2,0,((AW$37*INDEX('DEFAULT DATA'!$AGR$9:$AGY$41,START!$C$3,8))+(AW$38*INDEX('DEFAULT DATA'!$YB$9:$YI$41,START!$C$3,8))+(AW$39*INDEX('DEFAULT DATA'!$ZH$9:$ZO$41,START!$C$3,8)))*AW6/1000000)</f>
        <v>1409.5197429364428</v>
      </c>
      <c r="AX50" s="160">
        <f>IF((AX$42-2021)&lt;START!$C$2,0,((AX$37*INDEX('DEFAULT DATA'!$AGR$9:$AGY$41,START!$C$3,8))+(AX$38*INDEX('DEFAULT DATA'!$YB$9:$YI$41,START!$C$3,8))+(AX$39*INDEX('DEFAULT DATA'!$ZH$9:$ZO$41,START!$C$3,8)))*AX6/1000000)</f>
        <v>1409.5197429364428</v>
      </c>
      <c r="AY50" s="160">
        <f>IF((AY$42-2021)&lt;START!$C$2,0,((AY$37*INDEX('DEFAULT DATA'!$AGR$9:$AGY$41,START!$C$3,8))+(AY$38*INDEX('DEFAULT DATA'!$YB$9:$YI$41,START!$C$3,8))+(AY$39*INDEX('DEFAULT DATA'!$ZH$9:$ZO$41,START!$C$3,8)))*AY6/1000000)</f>
        <v>1409.5197429364428</v>
      </c>
      <c r="AZ50" s="160">
        <f>IF((AZ$42-2021)&lt;START!$C$2,0,((AZ$37*INDEX('DEFAULT DATA'!$AGR$9:$AGY$41,START!$C$3,8))+(AZ$38*INDEX('DEFAULT DATA'!$YB$9:$YI$41,START!$C$3,8))+(AZ$39*INDEX('DEFAULT DATA'!$ZH$9:$ZO$41,START!$C$3,8)))*AZ6/1000000)</f>
        <v>1409.5197429364428</v>
      </c>
      <c r="BA50" s="160">
        <f>IF((BA$42-2021)&lt;START!$C$2,0,((BA$37*INDEX('DEFAULT DATA'!$AGR$9:$AGY$41,START!$C$3,8))+(BA$38*INDEX('DEFAULT DATA'!$YB$9:$YI$41,START!$C$3,8))+(BA$39*INDEX('DEFAULT DATA'!$ZH$9:$ZO$41,START!$C$3,8)))*BA6/1000000)</f>
        <v>1409.5197429364428</v>
      </c>
      <c r="BB50" s="160">
        <f>IF((BB$42-2021)&lt;START!$C$2,0,((BB$37*INDEX('DEFAULT DATA'!$AGR$9:$AGY$41,START!$C$3,8))+(BB$38*INDEX('DEFAULT DATA'!$YB$9:$YI$41,START!$C$3,8))+(BB$39*INDEX('DEFAULT DATA'!$ZH$9:$ZO$41,START!$C$3,8)))*BB6/1000000)</f>
        <v>1409.5197429364428</v>
      </c>
      <c r="BC50" s="160">
        <f>IF((BC$42-2021)&lt;START!$C$2,0,((BC$37*INDEX('DEFAULT DATA'!$AGR$9:$AGY$41,START!$C$3,8))+(BC$38*INDEX('DEFAULT DATA'!$YB$9:$YI$41,START!$C$3,8))+(BC$39*INDEX('DEFAULT DATA'!$ZH$9:$ZO$41,START!$C$3,8)))*BC6/1000000)</f>
        <v>1409.5197429364428</v>
      </c>
      <c r="BD50" s="160">
        <f>IF((BD$42-2021)&lt;START!$C$2,0,((BD$37*INDEX('DEFAULT DATA'!$AGR$9:$AGY$41,START!$C$3,8))+(BD$38*INDEX('DEFAULT DATA'!$YB$9:$YI$41,START!$C$3,8))+(BD$39*INDEX('DEFAULT DATA'!$ZH$9:$ZO$41,START!$C$3,8)))*BD6/1000000)</f>
        <v>1409.5197429364428</v>
      </c>
      <c r="BE50" s="160">
        <f>IF((BE$42-2021)&lt;START!$C$2,0,((BE$37*INDEX('DEFAULT DATA'!$AGR$9:$AGY$41,START!$C$3,8))+(BE$38*INDEX('DEFAULT DATA'!$YB$9:$YI$41,START!$C$3,8))+(BE$39*INDEX('DEFAULT DATA'!$ZH$9:$ZO$41,START!$C$3,8)))*BE6/1000000)</f>
        <v>1409.5197429364428</v>
      </c>
      <c r="BF50" s="160">
        <f>IF((BF$42-2021)&lt;START!$C$2,0,((BF$37*INDEX('DEFAULT DATA'!$AGR$9:$AGY$41,START!$C$3,8))+(BF$38*INDEX('DEFAULT DATA'!$YB$9:$YI$41,START!$C$3,8))+(BF$39*INDEX('DEFAULT DATA'!$ZH$9:$ZO$41,START!$C$3,8)))*BF6/1000000)</f>
        <v>1409.5197429364428</v>
      </c>
      <c r="BG50" s="160">
        <f>IF((BG$42-2021)&lt;START!$C$2,0,((BG$37*INDEX('DEFAULT DATA'!$AGR$9:$AGY$41,START!$C$3,8))+(BG$38*INDEX('DEFAULT DATA'!$YB$9:$YI$41,START!$C$3,8))+(BG$39*INDEX('DEFAULT DATA'!$ZH$9:$ZO$41,START!$C$3,8)))*BG6/1000000)</f>
        <v>1409.5197429364428</v>
      </c>
      <c r="BH50" s="160">
        <f>IF((BH$42-2021)&lt;START!$C$2,0,((BH$37*INDEX('DEFAULT DATA'!$AGR$9:$AGY$41,START!$C$3,8))+(BH$38*INDEX('DEFAULT DATA'!$YB$9:$YI$41,START!$C$3,8))+(BH$39*INDEX('DEFAULT DATA'!$ZH$9:$ZO$41,START!$C$3,8)))*BH6/1000000)</f>
        <v>1409.5197429364428</v>
      </c>
      <c r="BI50" s="160">
        <f>IF((BI$42-2021)&lt;START!$C$2,0,((BI$37*INDEX('DEFAULT DATA'!$AGR$9:$AGY$41,START!$C$3,8))+(BI$38*INDEX('DEFAULT DATA'!$YB$9:$YI$41,START!$C$3,8))+(BI$39*INDEX('DEFAULT DATA'!$ZH$9:$ZO$41,START!$C$3,8)))*BI6/1000000)</f>
        <v>1409.5197429364428</v>
      </c>
      <c r="BJ50" s="160">
        <f>IF((BJ$42-2021)&lt;START!$C$2,0,((BJ$37*INDEX('DEFAULT DATA'!$AGR$9:$AGY$41,START!$C$3,8))+(BJ$38*INDEX('DEFAULT DATA'!$YB$9:$YI$41,START!$C$3,8))+(BJ$39*INDEX('DEFAULT DATA'!$ZH$9:$ZO$41,START!$C$3,8)))*BJ6/1000000)</f>
        <v>1409.5197429364428</v>
      </c>
      <c r="BK50" s="160">
        <f>IF((BK$42-2021)&lt;START!$C$2,0,((BK$37*INDEX('DEFAULT DATA'!$AGR$9:$AGY$41,START!$C$3,8))+(BK$38*INDEX('DEFAULT DATA'!$YB$9:$YI$41,START!$C$3,8))+(BK$39*INDEX('DEFAULT DATA'!$ZH$9:$ZO$41,START!$C$3,8)))*BK6/1000000)</f>
        <v>1409.5197429364428</v>
      </c>
      <c r="BL50" s="160">
        <f>IF((BL$42-2021)&lt;START!$C$2,0,((BL$37*INDEX('DEFAULT DATA'!$AGR$9:$AGY$41,START!$C$3,8))+(BL$38*INDEX('DEFAULT DATA'!$YB$9:$YI$41,START!$C$3,8))+(BL$39*INDEX('DEFAULT DATA'!$ZH$9:$ZO$41,START!$C$3,8)))*BL6/1000000)</f>
        <v>1409.5197429364428</v>
      </c>
      <c r="BM50" s="160">
        <f>IF((BM$42-2021)&lt;START!$C$2,0,((BM$37*INDEX('DEFAULT DATA'!$AGR$9:$AGY$41,START!$C$3,8))+(BM$38*INDEX('DEFAULT DATA'!$YB$9:$YI$41,START!$C$3,8))+(BM$39*INDEX('DEFAULT DATA'!$ZH$9:$ZO$41,START!$C$3,8)))*BM6/1000000)</f>
        <v>1409.5197429364428</v>
      </c>
      <c r="BN50" s="161">
        <f>IF((BN$42-2021)&lt;START!$C$2,0,((BN$37*INDEX('DEFAULT DATA'!$AGR$9:$AGY$41,START!$C$3,8))+(BN$38*INDEX('DEFAULT DATA'!$YB$9:$YI$41,START!$C$3,8))+(BN$39*INDEX('DEFAULT DATA'!$ZH$9:$ZO$41,START!$C$3,8)))*BN6/1000000)</f>
        <v>1409.5197429364428</v>
      </c>
      <c r="BP50" s="356" t="str">
        <f t="shared" si="8"/>
        <v>Heat</v>
      </c>
      <c r="BQ50" s="364" t="s">
        <v>1352</v>
      </c>
      <c r="BR50" s="365"/>
      <c r="BS50" s="365"/>
      <c r="BT50" s="365"/>
      <c r="BU50" s="365"/>
      <c r="BV50" s="365"/>
      <c r="BW50" s="365"/>
      <c r="BX50" s="365"/>
      <c r="BY50" s="365"/>
      <c r="BZ50" s="365"/>
      <c r="CA50" s="365"/>
      <c r="CB50" s="365"/>
      <c r="CC50" s="365"/>
      <c r="CD50" s="365"/>
      <c r="CE50" s="366"/>
      <c r="CF50" s="360" t="s">
        <v>1232</v>
      </c>
      <c r="CG50" s="360" t="s">
        <v>1239</v>
      </c>
      <c r="CH50" s="360" t="s">
        <v>1246</v>
      </c>
      <c r="CI50" s="360" t="s">
        <v>1252</v>
      </c>
    </row>
    <row r="51" spans="1:87" ht="20.100000000000001" customHeight="1">
      <c r="A51" s="27"/>
      <c r="B51" s="21"/>
      <c r="C51" s="21"/>
      <c r="D51" s="21"/>
      <c r="E51" s="21"/>
      <c r="F51" s="21"/>
      <c r="G51" s="21"/>
      <c r="H51" s="21"/>
      <c r="I51" s="21"/>
      <c r="J51" s="21"/>
      <c r="K51" s="28"/>
      <c r="L51" s="16"/>
      <c r="M51" s="627"/>
      <c r="N51" s="630"/>
      <c r="O51" s="630"/>
      <c r="P51" s="630"/>
      <c r="Q51" s="630"/>
      <c r="R51" s="630"/>
      <c r="S51" s="630"/>
      <c r="T51" s="630"/>
      <c r="U51" s="630"/>
      <c r="V51" s="630"/>
      <c r="W51" s="630"/>
      <c r="X51" s="630"/>
      <c r="Y51" s="630"/>
      <c r="Z51" s="630"/>
      <c r="AA51" s="630"/>
      <c r="AB51" s="630"/>
      <c r="AC51" s="630"/>
      <c r="AD51" s="630"/>
      <c r="AE51" s="630"/>
      <c r="AF51" s="327"/>
      <c r="AG51" s="1486" t="s">
        <v>211</v>
      </c>
      <c r="AH51" s="1487"/>
      <c r="AI51" s="1487"/>
      <c r="AJ51" s="1580"/>
      <c r="AK51" s="328">
        <f>SUM(AK43:AK50)</f>
        <v>0</v>
      </c>
      <c r="AL51" s="162">
        <f t="shared" ref="AL51" si="9">SUM(AL43:AL50)</f>
        <v>6340.23698561947</v>
      </c>
      <c r="AM51" s="162">
        <f t="shared" ref="AM51:BN51" si="10">SUM(AM43:AM50)</f>
        <v>6196.0322481723015</v>
      </c>
      <c r="AN51" s="162">
        <f t="shared" si="10"/>
        <v>6062.7870707711172</v>
      </c>
      <c r="AO51" s="162">
        <f t="shared" si="10"/>
        <v>5939.6685268524234</v>
      </c>
      <c r="AP51" s="162">
        <f t="shared" si="10"/>
        <v>5825.9069922715498</v>
      </c>
      <c r="AQ51" s="162">
        <f t="shared" si="10"/>
        <v>5720.7913343188229</v>
      </c>
      <c r="AR51" s="162">
        <f t="shared" si="10"/>
        <v>5623.6644663705029</v>
      </c>
      <c r="AS51" s="162">
        <f t="shared" si="10"/>
        <v>5533.9192403862553</v>
      </c>
      <c r="AT51" s="162">
        <f t="shared" si="10"/>
        <v>5450.9946515768106</v>
      </c>
      <c r="AU51" s="162">
        <f t="shared" si="10"/>
        <v>5385.4624041571369</v>
      </c>
      <c r="AV51" s="162">
        <f t="shared" si="10"/>
        <v>5324.1897528197414</v>
      </c>
      <c r="AW51" s="162">
        <f t="shared" si="10"/>
        <v>5266.8998238192762</v>
      </c>
      <c r="AX51" s="162">
        <f t="shared" si="10"/>
        <v>5213.3337402038414</v>
      </c>
      <c r="AY51" s="162">
        <f t="shared" si="10"/>
        <v>5163.2494520234104</v>
      </c>
      <c r="AZ51" s="162">
        <f t="shared" si="10"/>
        <v>5116.420642574707</v>
      </c>
      <c r="BA51" s="162">
        <f t="shared" si="10"/>
        <v>5072.6357057401701</v>
      </c>
      <c r="BB51" s="162">
        <f t="shared" si="10"/>
        <v>5031.6967897998775</v>
      </c>
      <c r="BC51" s="162">
        <f t="shared" si="10"/>
        <v>4993.4189033957036</v>
      </c>
      <c r="BD51" s="162">
        <f t="shared" si="10"/>
        <v>4957.629079607801</v>
      </c>
      <c r="BE51" s="162">
        <f t="shared" si="10"/>
        <v>4924.1655943661126</v>
      </c>
      <c r="BF51" s="162">
        <f t="shared" si="10"/>
        <v>4892.8772356651334</v>
      </c>
      <c r="BG51" s="162">
        <f t="shared" si="10"/>
        <v>4863.6226202797188</v>
      </c>
      <c r="BH51" s="162">
        <f t="shared" si="10"/>
        <v>4836.2695548943548</v>
      </c>
      <c r="BI51" s="162">
        <f t="shared" si="10"/>
        <v>4810.6944387590402</v>
      </c>
      <c r="BJ51" s="162">
        <f t="shared" si="10"/>
        <v>4786.7817051725215</v>
      </c>
      <c r="BK51" s="162">
        <f t="shared" si="10"/>
        <v>4764.4232992691259</v>
      </c>
      <c r="BL51" s="162">
        <f t="shared" si="10"/>
        <v>4743.5181897494513</v>
      </c>
      <c r="BM51" s="162">
        <f t="shared" si="10"/>
        <v>4723.9719123485547</v>
      </c>
      <c r="BN51" s="162">
        <f t="shared" si="10"/>
        <v>4705.696142978717</v>
      </c>
    </row>
    <row r="52" spans="1:87" ht="20.100000000000001" customHeight="1">
      <c r="A52" s="27"/>
      <c r="B52" s="21"/>
      <c r="C52" s="21"/>
      <c r="D52" s="21"/>
      <c r="E52" s="21"/>
      <c r="F52" s="21"/>
      <c r="G52" s="21"/>
      <c r="H52" s="21"/>
      <c r="I52" s="21"/>
      <c r="J52" s="21"/>
      <c r="K52" s="28"/>
      <c r="L52" s="16"/>
      <c r="M52" s="627"/>
      <c r="N52" s="630"/>
      <c r="O52" s="630"/>
      <c r="P52" s="630"/>
      <c r="Q52" s="630"/>
      <c r="R52" s="630"/>
      <c r="S52" s="630"/>
      <c r="T52" s="630"/>
      <c r="U52" s="630"/>
      <c r="V52" s="630"/>
      <c r="W52" s="630"/>
      <c r="X52" s="630"/>
      <c r="Y52" s="630"/>
      <c r="Z52" s="630"/>
      <c r="AA52" s="630"/>
      <c r="AB52" s="630"/>
      <c r="AC52" s="630"/>
      <c r="AD52" s="630"/>
      <c r="AE52" s="630"/>
    </row>
    <row r="53" spans="1:87" ht="20.100000000000001" customHeight="1">
      <c r="A53" s="27"/>
      <c r="B53" s="21"/>
      <c r="C53" s="21"/>
      <c r="D53" s="21"/>
      <c r="E53" s="21"/>
      <c r="F53" s="21"/>
      <c r="G53" s="21"/>
      <c r="H53" s="21"/>
      <c r="I53" s="21"/>
      <c r="J53" s="21"/>
      <c r="K53" s="28"/>
      <c r="L53" s="16"/>
      <c r="M53" s="627"/>
      <c r="N53" s="630"/>
      <c r="O53" s="630"/>
      <c r="P53" s="630"/>
      <c r="Q53" s="630"/>
      <c r="R53" s="630"/>
      <c r="S53" s="630"/>
      <c r="T53" s="630"/>
      <c r="U53" s="630"/>
      <c r="V53" s="630"/>
      <c r="W53" s="630"/>
      <c r="X53" s="630"/>
      <c r="Y53" s="630"/>
      <c r="Z53" s="630"/>
      <c r="AA53" s="630"/>
      <c r="AB53" s="630"/>
      <c r="AC53" s="630"/>
      <c r="AD53" s="630"/>
      <c r="AE53" s="630"/>
      <c r="AF53" s="122" t="s">
        <v>1025</v>
      </c>
      <c r="BP53" s="6" t="s">
        <v>1255</v>
      </c>
      <c r="BQ53" s="6"/>
    </row>
    <row r="54" spans="1:87" ht="20.100000000000001" customHeight="1" thickBot="1">
      <c r="A54" s="27"/>
      <c r="B54" s="21"/>
      <c r="C54" s="21"/>
      <c r="D54" s="21"/>
      <c r="E54" s="21"/>
      <c r="F54" s="21"/>
      <c r="G54" s="21"/>
      <c r="H54" s="21"/>
      <c r="I54" s="21"/>
      <c r="J54" s="21"/>
      <c r="K54" s="28"/>
      <c r="L54" s="16"/>
      <c r="M54" s="627"/>
      <c r="N54" s="630"/>
      <c r="O54" s="630"/>
      <c r="P54" s="630"/>
      <c r="Q54" s="630"/>
      <c r="R54" s="630"/>
      <c r="S54" s="630"/>
      <c r="T54" s="630"/>
      <c r="U54" s="630"/>
      <c r="V54" s="630"/>
      <c r="W54" s="630"/>
      <c r="X54" s="630"/>
      <c r="Y54" s="630"/>
      <c r="Z54" s="630"/>
      <c r="AA54" s="630"/>
      <c r="AB54" s="630"/>
      <c r="AC54" s="630"/>
      <c r="AD54" s="630"/>
      <c r="AE54" s="630"/>
      <c r="AF54" s="319" t="s">
        <v>985</v>
      </c>
      <c r="AG54" s="1577" t="s">
        <v>984</v>
      </c>
      <c r="AH54" s="1578"/>
      <c r="AI54" s="1578"/>
      <c r="AJ54" s="1579"/>
      <c r="AK54" s="320">
        <v>2021</v>
      </c>
      <c r="AL54" s="320">
        <f t="shared" ref="AL54:BN54" si="11">AK54+1</f>
        <v>2022</v>
      </c>
      <c r="AM54" s="320">
        <f t="shared" si="11"/>
        <v>2023</v>
      </c>
      <c r="AN54" s="320">
        <f t="shared" si="11"/>
        <v>2024</v>
      </c>
      <c r="AO54" s="320">
        <f t="shared" si="11"/>
        <v>2025</v>
      </c>
      <c r="AP54" s="320">
        <f t="shared" si="11"/>
        <v>2026</v>
      </c>
      <c r="AQ54" s="320">
        <f t="shared" si="11"/>
        <v>2027</v>
      </c>
      <c r="AR54" s="320">
        <f t="shared" si="11"/>
        <v>2028</v>
      </c>
      <c r="AS54" s="320">
        <f t="shared" si="11"/>
        <v>2029</v>
      </c>
      <c r="AT54" s="320">
        <f t="shared" si="11"/>
        <v>2030</v>
      </c>
      <c r="AU54" s="320">
        <f t="shared" si="11"/>
        <v>2031</v>
      </c>
      <c r="AV54" s="320">
        <f t="shared" si="11"/>
        <v>2032</v>
      </c>
      <c r="AW54" s="320">
        <f t="shared" si="11"/>
        <v>2033</v>
      </c>
      <c r="AX54" s="320">
        <f t="shared" si="11"/>
        <v>2034</v>
      </c>
      <c r="AY54" s="320">
        <f t="shared" si="11"/>
        <v>2035</v>
      </c>
      <c r="AZ54" s="320">
        <f t="shared" si="11"/>
        <v>2036</v>
      </c>
      <c r="BA54" s="320">
        <f t="shared" si="11"/>
        <v>2037</v>
      </c>
      <c r="BB54" s="320">
        <f t="shared" si="11"/>
        <v>2038</v>
      </c>
      <c r="BC54" s="320">
        <f t="shared" si="11"/>
        <v>2039</v>
      </c>
      <c r="BD54" s="320">
        <f t="shared" si="11"/>
        <v>2040</v>
      </c>
      <c r="BE54" s="320">
        <f t="shared" si="11"/>
        <v>2041</v>
      </c>
      <c r="BF54" s="320">
        <f t="shared" si="11"/>
        <v>2042</v>
      </c>
      <c r="BG54" s="320">
        <f t="shared" si="11"/>
        <v>2043</v>
      </c>
      <c r="BH54" s="320">
        <f t="shared" si="11"/>
        <v>2044</v>
      </c>
      <c r="BI54" s="320">
        <f t="shared" si="11"/>
        <v>2045</v>
      </c>
      <c r="BJ54" s="320">
        <f t="shared" si="11"/>
        <v>2046</v>
      </c>
      <c r="BK54" s="320">
        <f t="shared" si="11"/>
        <v>2047</v>
      </c>
      <c r="BL54" s="320">
        <f t="shared" si="11"/>
        <v>2048</v>
      </c>
      <c r="BM54" s="320">
        <f t="shared" si="11"/>
        <v>2049</v>
      </c>
      <c r="BN54" s="320">
        <f t="shared" si="11"/>
        <v>2050</v>
      </c>
      <c r="BP54" s="353"/>
      <c r="BQ54" s="354" t="s">
        <v>1217</v>
      </c>
    </row>
    <row r="55" spans="1:87" ht="20.100000000000001" customHeight="1">
      <c r="A55" s="27"/>
      <c r="B55" s="21"/>
      <c r="C55" s="21"/>
      <c r="D55" s="21"/>
      <c r="E55" s="21"/>
      <c r="F55" s="21"/>
      <c r="G55" s="21"/>
      <c r="H55" s="21"/>
      <c r="I55" s="21"/>
      <c r="J55" s="21"/>
      <c r="K55" s="28"/>
      <c r="L55" s="16"/>
      <c r="M55" s="627"/>
      <c r="N55" s="630"/>
      <c r="O55" s="630"/>
      <c r="P55" s="630"/>
      <c r="Q55" s="630"/>
      <c r="R55" s="630"/>
      <c r="S55" s="630"/>
      <c r="T55" s="630"/>
      <c r="U55" s="630"/>
      <c r="V55" s="630"/>
      <c r="W55" s="630"/>
      <c r="X55" s="630"/>
      <c r="Y55" s="630"/>
      <c r="Z55" s="630"/>
      <c r="AA55" s="630"/>
      <c r="AB55" s="630"/>
      <c r="AC55" s="630"/>
      <c r="AD55" s="630"/>
      <c r="AE55" s="630"/>
      <c r="AF55" s="1550" t="s">
        <v>861</v>
      </c>
      <c r="AG55" s="1486" t="s">
        <v>993</v>
      </c>
      <c r="AH55" s="1487"/>
      <c r="AI55" s="1487"/>
      <c r="AJ55" s="1580"/>
      <c r="AK55" s="321">
        <v>0</v>
      </c>
      <c r="AL55" s="165">
        <f>IF((AL$54-2021)=START!$C$2,BUILDINGS!$B8,ROUND(BUILDINGS!AK55-(INDEX('DEFAULT DATA'!$WK$9:$WM$41,START!$C$3,1)/100*(AK55+AK56+AK57)),0))</f>
        <v>6222</v>
      </c>
      <c r="AM55" s="165">
        <f>IF((AM$54-2021)=START!$C$2,BUILDINGS!$B8,ROUND(BUILDINGS!AL55-(INDEX('DEFAULT DATA'!$WK$9:$WM$41,START!$C$3,1)/100*(AL55+AL56+AL57)),0))</f>
        <v>6222</v>
      </c>
      <c r="AN55" s="165">
        <f>IF((AN$54-2021)=START!$C$2,BUILDINGS!$B8,ROUND(BUILDINGS!AM55-(INDEX('DEFAULT DATA'!$WK$9:$WM$41,START!$C$3,1)/100*(AM55+AM56+AM57)),0))</f>
        <v>6222</v>
      </c>
      <c r="AO55" s="165">
        <f>IF((AO$54-2021)=START!$C$2,BUILDINGS!$B8,ROUND(BUILDINGS!AN55-(INDEX('DEFAULT DATA'!$WK$9:$WM$41,START!$C$3,1)/100*(AN55+AN56+AN57)),0))</f>
        <v>6222</v>
      </c>
      <c r="AP55" s="165">
        <f>IF((AP$54-2021)=START!$C$2,BUILDINGS!$B8,ROUND(BUILDINGS!AO55-(INDEX('DEFAULT DATA'!$WK$9:$WM$41,START!$C$3,1)/100*(AO55+AO56+AO57)),0))</f>
        <v>6222</v>
      </c>
      <c r="AQ55" s="165">
        <f>IF((AQ$54-2021)=START!$C$2,BUILDINGS!$B8,ROUND(BUILDINGS!AP55-(INDEX('DEFAULT DATA'!$WK$9:$WM$41,START!$C$3,1)/100*(AP55+AP56+AP57)),0))</f>
        <v>6222</v>
      </c>
      <c r="AR55" s="165">
        <f>IF((AR$54-2021)=START!$C$2,BUILDINGS!$B8,ROUND(BUILDINGS!AQ55-(INDEX('DEFAULT DATA'!$WK$9:$WM$41,START!$C$3,1)/100*(AQ55+AQ56+AQ57)),0))</f>
        <v>6222</v>
      </c>
      <c r="AS55" s="165">
        <f>IF((AS$54-2021)=START!$C$2,BUILDINGS!$B8,ROUND(BUILDINGS!AR55-(INDEX('DEFAULT DATA'!$WK$9:$WM$41,START!$C$3,1)/100*(AR55+AR56+AR57)),0))</f>
        <v>6222</v>
      </c>
      <c r="AT55" s="165">
        <f>IF((AT$54-2021)=START!$C$2,BUILDINGS!$B8,ROUND(BUILDINGS!AS55-(INDEX('DEFAULT DATA'!$WK$9:$WM$41,START!$C$3,1)/100*(AS55+AS56+AS57)),0))</f>
        <v>6222</v>
      </c>
      <c r="AU55" s="165">
        <f>IF((AU$54-2021)=START!$C$2,BUILDINGS!$B8,ROUND(BUILDINGS!AT55-(INDEX('DEFAULT DATA'!$WK$9:$WM$41,START!$C$3,2)/100*(AT55+AT56+AT57)),0))</f>
        <v>6222</v>
      </c>
      <c r="AV55" s="165">
        <f>IF((AV$54-2021)=START!$C$2,BUILDINGS!$B8,ROUND(BUILDINGS!AU55-(INDEX('DEFAULT DATA'!$WK$9:$WM$41,START!$C$3,2)/100*(AU55+AU56+AU57)),0))</f>
        <v>6222</v>
      </c>
      <c r="AW55" s="165">
        <f>IF((AW$54-2021)=START!$C$2,BUILDINGS!$B8,ROUND(BUILDINGS!AV55-(INDEX('DEFAULT DATA'!$WK$9:$WM$41,START!$C$3,2)/100*(AV55+AV56+AV57)),0))</f>
        <v>6222</v>
      </c>
      <c r="AX55" s="165">
        <f>IF((AX$54-2021)=START!$C$2,BUILDINGS!$B8,ROUND(BUILDINGS!AW55-(INDEX('DEFAULT DATA'!$WK$9:$WM$41,START!$C$3,2)/100*(AW55+AW56+AW57)),0))</f>
        <v>6222</v>
      </c>
      <c r="AY55" s="165">
        <f>IF((AY$54-2021)=START!$C$2,BUILDINGS!$B8,ROUND(BUILDINGS!AX55-(INDEX('DEFAULT DATA'!$WK$9:$WM$41,START!$C$3,2)/100*(AX55+AX56+AX57)),0))</f>
        <v>6222</v>
      </c>
      <c r="AZ55" s="165">
        <f>IF((AZ$54-2021)=START!$C$2,BUILDINGS!$B8,ROUND(BUILDINGS!AY55-(INDEX('DEFAULT DATA'!$WK$9:$WM$41,START!$C$3,2)/100*(AY55+AY56+AY57)),0))</f>
        <v>6222</v>
      </c>
      <c r="BA55" s="165">
        <f>IF((BA$54-2021)=START!$C$2,BUILDINGS!$B8,ROUND(BUILDINGS!AZ55-(INDEX('DEFAULT DATA'!$WK$9:$WM$41,START!$C$3,2)/100*(AZ55+AZ56+AZ57)),0))</f>
        <v>6222</v>
      </c>
      <c r="BB55" s="165">
        <f>IF((BB$54-2021)=START!$C$2,BUILDINGS!$B8,ROUND(BUILDINGS!BA55-(INDEX('DEFAULT DATA'!$WK$9:$WM$41,START!$C$3,2)/100*(BA55+BA56+BA57)),0))</f>
        <v>6222</v>
      </c>
      <c r="BC55" s="165">
        <f>IF((BC$54-2021)=START!$C$2,BUILDINGS!$B8,ROUND(BUILDINGS!BB55-(INDEX('DEFAULT DATA'!$WK$9:$WM$41,START!$C$3,2)/100*(BB55+BB56+BB57)),0))</f>
        <v>6222</v>
      </c>
      <c r="BD55" s="165">
        <f>IF((BD$54-2021)=START!$C$2,BUILDINGS!$B8,ROUND(BUILDINGS!BC55-(INDEX('DEFAULT DATA'!$WK$9:$WM$41,START!$C$3,2)/100*(BC55+BC56+BC57)),0))</f>
        <v>6222</v>
      </c>
      <c r="BE55" s="165">
        <f>IF((BE$54-2021)=START!$C$2,BUILDINGS!$B8,ROUND(BUILDINGS!BD55-(INDEX('DEFAULT DATA'!$WK$9:$WM$41,START!$C$3,3)/100*(BD55+BD56+BD57)),0))</f>
        <v>6222</v>
      </c>
      <c r="BF55" s="165">
        <f>IF((BF$54-2021)=START!$C$2,BUILDINGS!$B8,ROUND(BUILDINGS!BE55-(INDEX('DEFAULT DATA'!$WK$9:$WM$41,START!$C$3,3)/100*(BE55+BE56+BE57)),0))</f>
        <v>6222</v>
      </c>
      <c r="BG55" s="165">
        <f>IF((BG$54-2021)=START!$C$2,BUILDINGS!$B8,ROUND(BUILDINGS!BF55-(INDEX('DEFAULT DATA'!$WK$9:$WM$41,START!$C$3,3)/100*(BF55+BF56+BF57)),0))</f>
        <v>6222</v>
      </c>
      <c r="BH55" s="165">
        <f>IF((BH$54-2021)=START!$C$2,BUILDINGS!$B8,ROUND(BUILDINGS!BG55-(INDEX('DEFAULT DATA'!$WK$9:$WM$41,START!$C$3,3)/100*(BG55+BG56+BG57)),0))</f>
        <v>6222</v>
      </c>
      <c r="BI55" s="165">
        <f>IF((BI$54-2021)=START!$C$2,BUILDINGS!$B8,ROUND(BUILDINGS!BH55-(INDEX('DEFAULT DATA'!$WK$9:$WM$41,START!$C$3,3)/100*(BH55+BH56+BH57)),0))</f>
        <v>6222</v>
      </c>
      <c r="BJ55" s="165">
        <f>IF((BJ$54-2021)=START!$C$2,BUILDINGS!$B8,ROUND(BUILDINGS!BI55-(INDEX('DEFAULT DATA'!$WK$9:$WM$41,START!$C$3,3)/100*(BI55+BI56+BI57)),0))</f>
        <v>6222</v>
      </c>
      <c r="BK55" s="165">
        <f>IF((BK$54-2021)=START!$C$2,BUILDINGS!$B8,ROUND(BUILDINGS!BJ55-(INDEX('DEFAULT DATA'!$WK$9:$WM$41,START!$C$3,3)/100*(BJ55+BJ56+BJ57)),0))</f>
        <v>6222</v>
      </c>
      <c r="BL55" s="165">
        <f>IF((BL$54-2021)=START!$C$2,BUILDINGS!$B8,ROUND(BUILDINGS!BK55-(INDEX('DEFAULT DATA'!$WK$9:$WM$41,START!$C$3,3)/100*(BK55+BK56+BK57)),0))</f>
        <v>6222</v>
      </c>
      <c r="BM55" s="165">
        <f>IF((BM$54-2021)=START!$C$2,BUILDINGS!$B8,ROUND(BUILDINGS!BL55-(INDEX('DEFAULT DATA'!$WK$9:$WM$41,START!$C$3,3)/100*(BL55+BL56+BL57)),0))</f>
        <v>6222</v>
      </c>
      <c r="BN55" s="166">
        <f>IF((BN$54-2021)=START!$C$2,BUILDINGS!$B8,ROUND(BUILDINGS!BM55-(INDEX('DEFAULT DATA'!$WK$9:$WM$41,START!$C$3,3)/100*(BM55+BM56+BM57)),0))</f>
        <v>6222</v>
      </c>
      <c r="BP55" s="355" t="s">
        <v>1337</v>
      </c>
      <c r="BQ55" s="352"/>
    </row>
    <row r="56" spans="1:87" ht="20.100000000000001" customHeight="1">
      <c r="A56" s="27"/>
      <c r="B56" s="21"/>
      <c r="C56" s="21"/>
      <c r="D56" s="21"/>
      <c r="E56" s="21"/>
      <c r="F56" s="21"/>
      <c r="G56" s="21"/>
      <c r="H56" s="21"/>
      <c r="I56" s="21"/>
      <c r="J56" s="21"/>
      <c r="K56" s="28"/>
      <c r="L56" s="16"/>
      <c r="M56" s="627"/>
      <c r="N56" s="630"/>
      <c r="O56" s="630"/>
      <c r="P56" s="630"/>
      <c r="Q56" s="630"/>
      <c r="R56" s="630"/>
      <c r="S56" s="630"/>
      <c r="T56" s="630"/>
      <c r="U56" s="630"/>
      <c r="V56" s="630"/>
      <c r="W56" s="630"/>
      <c r="X56" s="630"/>
      <c r="Y56" s="630"/>
      <c r="Z56" s="630"/>
      <c r="AA56" s="630"/>
      <c r="AB56" s="630"/>
      <c r="AC56" s="630"/>
      <c r="AD56" s="630"/>
      <c r="AE56" s="630"/>
      <c r="AF56" s="1551"/>
      <c r="AG56" s="1581" t="s">
        <v>996</v>
      </c>
      <c r="AH56" s="1582"/>
      <c r="AI56" s="1582"/>
      <c r="AJ56" s="1583"/>
      <c r="AK56" s="322">
        <v>0</v>
      </c>
      <c r="AL56" s="115">
        <f>IF((AL$54-2021)=START!$C$2,0,BUILDINGS!AK56+ROUND((INDEX('DEFAULT DATA'!$WW$9:$WY$40,START!$C$3,1)/100*(AK55+AK56+AK57)),0))</f>
        <v>0</v>
      </c>
      <c r="AM56" s="115">
        <f>IF((AM$54-2021)=START!$C$2,0,BUILDINGS!AL56+ROUND((INDEX('DEFAULT DATA'!$WW$9:$WY$40,START!$C$3,1)/100*(AL55+AL56+AL57)),0))</f>
        <v>0</v>
      </c>
      <c r="AN56" s="115">
        <f>IF((AN$54-2021)=START!$C$2,0,BUILDINGS!AM56+ROUND((INDEX('DEFAULT DATA'!$WW$9:$WY$40,START!$C$3,1)/100*(AM55+AM56+AM57)),0))</f>
        <v>0</v>
      </c>
      <c r="AO56" s="115">
        <f>IF((AO$54-2021)=START!$C$2,0,BUILDINGS!AN56+ROUND((INDEX('DEFAULT DATA'!$WW$9:$WY$40,START!$C$3,1)/100*(AN55+AN56+AN57)),0))</f>
        <v>0</v>
      </c>
      <c r="AP56" s="115">
        <f>IF((AP$54-2021)=START!$C$2,0,BUILDINGS!AO56+ROUND((INDEX('DEFAULT DATA'!$WW$9:$WY$40,START!$C$3,1)/100*(AO55+AO56+AO57)),0))</f>
        <v>0</v>
      </c>
      <c r="AQ56" s="115">
        <f>IF((AQ$54-2021)=START!$C$2,0,BUILDINGS!AP56+ROUND((INDEX('DEFAULT DATA'!$WW$9:$WY$40,START!$C$3,1)/100*(AP55+AP56+AP57)),0))</f>
        <v>0</v>
      </c>
      <c r="AR56" s="115">
        <f>IF((AR$54-2021)=START!$C$2,0,BUILDINGS!AQ56+ROUND((INDEX('DEFAULT DATA'!$WW$9:$WY$40,START!$C$3,1)/100*(AQ55+AQ56+AQ57)),0))</f>
        <v>0</v>
      </c>
      <c r="AS56" s="115">
        <f>IF((AS$54-2021)=START!$C$2,0,BUILDINGS!AR56+ROUND((INDEX('DEFAULT DATA'!$WW$9:$WY$40,START!$C$3,1)/100*(AR55+AR56+AR57)),0))</f>
        <v>0</v>
      </c>
      <c r="AT56" s="115">
        <f>IF((AT$54-2021)=START!$C$2,0,BUILDINGS!AS56+ROUND((INDEX('DEFAULT DATA'!$WW$9:$WY$40,START!$C$3,1)/100*(AS55+AS56+AS57)),0))</f>
        <v>0</v>
      </c>
      <c r="AU56" s="115">
        <f>IF((AU$54-2021)=START!$C$2,0,BUILDINGS!AT56+ROUND((INDEX('DEFAULT DATA'!$WW$9:$WY$40,START!$C$3,2)/100*(AT55+AT56+AT57)),0))</f>
        <v>0</v>
      </c>
      <c r="AV56" s="115">
        <f>IF((AV$54-2021)=START!$C$2,0,BUILDINGS!AU56+ROUND((INDEX('DEFAULT DATA'!$WW$9:$WY$40,START!$C$3,2)/100*(AU55+AU56+AU57)),0))</f>
        <v>0</v>
      </c>
      <c r="AW56" s="115">
        <f>IF((AW$54-2021)=START!$C$2,0,BUILDINGS!AV56+ROUND((INDEX('DEFAULT DATA'!$WW$9:$WY$40,START!$C$3,2)/100*(AV55+AV56+AV57)),0))</f>
        <v>0</v>
      </c>
      <c r="AX56" s="115">
        <f>IF((AX$54-2021)=START!$C$2,0,BUILDINGS!AW56+ROUND((INDEX('DEFAULT DATA'!$WW$9:$WY$40,START!$C$3,2)/100*(AW55+AW56+AW57)),0))</f>
        <v>0</v>
      </c>
      <c r="AY56" s="115">
        <f>IF((AY$54-2021)=START!$C$2,0,BUILDINGS!AX56+ROUND((INDEX('DEFAULT DATA'!$WW$9:$WY$40,START!$C$3,2)/100*(AX55+AX56+AX57)),0))</f>
        <v>0</v>
      </c>
      <c r="AZ56" s="115">
        <f>IF((AZ$54-2021)=START!$C$2,0,BUILDINGS!AY56+ROUND((INDEX('DEFAULT DATA'!$WW$9:$WY$40,START!$C$3,2)/100*(AY55+AY56+AY57)),0))</f>
        <v>0</v>
      </c>
      <c r="BA56" s="115">
        <f>IF((BA$54-2021)=START!$C$2,0,BUILDINGS!AZ56+ROUND((INDEX('DEFAULT DATA'!$WW$9:$WY$40,START!$C$3,2)/100*(AZ55+AZ56+AZ57)),0))</f>
        <v>0</v>
      </c>
      <c r="BB56" s="115">
        <f>IF((BB$54-2021)=START!$C$2,0,BUILDINGS!BA56+ROUND((INDEX('DEFAULT DATA'!$WW$9:$WY$40,START!$C$3,2)/100*(BA55+BA56+BA57)),0))</f>
        <v>0</v>
      </c>
      <c r="BC56" s="115">
        <f>IF((BC$54-2021)=START!$C$2,0,BUILDINGS!BB56+ROUND((INDEX('DEFAULT DATA'!$WW$9:$WY$40,START!$C$3,2)/100*(BB55+BB56+BB57)),0))</f>
        <v>0</v>
      </c>
      <c r="BD56" s="115">
        <f>IF((BD$54-2021)=START!$C$2,0,BUILDINGS!BC56+ROUND((INDEX('DEFAULT DATA'!$WW$9:$WY$40,START!$C$3,2)/100*(BC55+BC56+BC57)),0))</f>
        <v>0</v>
      </c>
      <c r="BE56" s="115">
        <f>IF((BE$54-2021)=START!$C$2,0,BUILDINGS!BD56+ROUND((INDEX('DEFAULT DATA'!$WW$9:$WY$40,START!$C$3,3)/100*(BD55+BD56+BD57)),0))</f>
        <v>0</v>
      </c>
      <c r="BF56" s="115">
        <f>IF((BF$54-2021)=START!$C$2,0,BUILDINGS!BE56+ROUND((INDEX('DEFAULT DATA'!$WW$9:$WY$40,START!$C$3,3)/100*(BE55+BE56+BE57)),0))</f>
        <v>0</v>
      </c>
      <c r="BG56" s="115">
        <f>IF((BG$54-2021)=START!$C$2,0,BUILDINGS!BF56+ROUND((INDEX('DEFAULT DATA'!$WW$9:$WY$40,START!$C$3,3)/100*(BF55+BF56+BF57)),0))</f>
        <v>0</v>
      </c>
      <c r="BH56" s="115">
        <f>IF((BH$54-2021)=START!$C$2,0,BUILDINGS!BG56+ROUND((INDEX('DEFAULT DATA'!$WW$9:$WY$40,START!$C$3,3)/100*(BG55+BG56+BG57)),0))</f>
        <v>0</v>
      </c>
      <c r="BI56" s="115">
        <f>IF((BI$54-2021)=START!$C$2,0,BUILDINGS!BH56+ROUND((INDEX('DEFAULT DATA'!$WW$9:$WY$40,START!$C$3,3)/100*(BH55+BH56+BH57)),0))</f>
        <v>0</v>
      </c>
      <c r="BJ56" s="115">
        <f>IF((BJ$54-2021)=START!$C$2,0,BUILDINGS!BI56+ROUND((INDEX('DEFAULT DATA'!$WW$9:$WY$40,START!$C$3,3)/100*(BI55+BI56+BI57)),0))</f>
        <v>0</v>
      </c>
      <c r="BK56" s="115">
        <f>IF((BK$54-2021)=START!$C$2,0,BUILDINGS!BJ56+ROUND((INDEX('DEFAULT DATA'!$WW$9:$WY$40,START!$C$3,3)/100*(BJ55+BJ56+BJ57)),0))</f>
        <v>0</v>
      </c>
      <c r="BL56" s="115">
        <f>IF((BL$54-2021)=START!$C$2,0,BUILDINGS!BK56+ROUND((INDEX('DEFAULT DATA'!$WW$9:$WY$40,START!$C$3,3)/100*(BK55+BK56+BK57)),0))</f>
        <v>0</v>
      </c>
      <c r="BM56" s="115">
        <f>IF((BM$54-2021)=START!$C$2,0,BUILDINGS!BL56+ROUND((INDEX('DEFAULT DATA'!$WW$9:$WY$40,START!$C$3,3)/100*(BL55+BL56+BL57)),0))</f>
        <v>0</v>
      </c>
      <c r="BN56" s="323">
        <f>IF((BN$54-2021)=START!$C$2,0,BUILDINGS!BM56+ROUND((INDEX('DEFAULT DATA'!$WW$9:$WY$40,START!$C$3,3)/100*(BM55+BM56+BM57)),0))</f>
        <v>0</v>
      </c>
      <c r="BP56" s="355" t="s">
        <v>1338</v>
      </c>
      <c r="BQ56" s="352"/>
    </row>
    <row r="57" spans="1:87" ht="20.100000000000001" customHeight="1" thickBot="1">
      <c r="A57" s="86"/>
      <c r="B57" s="65"/>
      <c r="C57" s="65"/>
      <c r="D57" s="65"/>
      <c r="E57" s="65"/>
      <c r="F57" s="65"/>
      <c r="G57" s="65"/>
      <c r="H57" s="21"/>
      <c r="I57" s="21"/>
      <c r="J57" s="21"/>
      <c r="K57" s="28"/>
      <c r="L57" s="16"/>
      <c r="M57" s="627"/>
      <c r="N57" s="630"/>
      <c r="O57" s="630"/>
      <c r="P57" s="630"/>
      <c r="Q57" s="630"/>
      <c r="R57" s="630"/>
      <c r="S57" s="630"/>
      <c r="T57" s="630"/>
      <c r="U57" s="630"/>
      <c r="V57" s="630"/>
      <c r="W57" s="630"/>
      <c r="X57" s="630"/>
      <c r="Y57" s="630"/>
      <c r="Z57" s="630"/>
      <c r="AA57" s="630"/>
      <c r="AB57" s="630"/>
      <c r="AC57" s="630"/>
      <c r="AD57" s="630"/>
      <c r="AE57" s="630"/>
      <c r="AF57" s="1552"/>
      <c r="AG57" s="329" t="s">
        <v>994</v>
      </c>
      <c r="AH57" s="330"/>
      <c r="AI57" s="330"/>
      <c r="AJ57" s="175"/>
      <c r="AK57" s="324">
        <v>0</v>
      </c>
      <c r="AL57" s="170">
        <f>IF((AL$54-2021)=START!$C$2,0,BUILDINGS!AK57+ROUND((INDEX('DEFAULT DATA'!$WZ$9:$XB$41,START!$C$3,1)/100*(AK55+AK56+AK57)),0))</f>
        <v>0</v>
      </c>
      <c r="AM57" s="170">
        <f>IF((AM$54-2021)=START!$C$2,0,BUILDINGS!AL57+ROUND((INDEX('DEFAULT DATA'!$WZ$9:$XB$41,START!$C$3,1)/100*(AL55+AL56+AL57)),0))</f>
        <v>0</v>
      </c>
      <c r="AN57" s="170">
        <f>IF((AN$54-2021)=START!$C$2,0,BUILDINGS!AM57+ROUND((INDEX('DEFAULT DATA'!$WZ$9:$XB$41,START!$C$3,1)/100*(AM55+AM56+AM57)),0))</f>
        <v>0</v>
      </c>
      <c r="AO57" s="170">
        <f>IF((AO$54-2021)=START!$C$2,0,BUILDINGS!AN57+ROUND((INDEX('DEFAULT DATA'!$WZ$9:$XB$41,START!$C$3,1)/100*(AN55+AN56+AN57)),0))</f>
        <v>0</v>
      </c>
      <c r="AP57" s="170">
        <f>IF((AP$54-2021)=START!$C$2,0,BUILDINGS!AO57+ROUND((INDEX('DEFAULT DATA'!$WZ$9:$XB$41,START!$C$3,1)/100*(AO55+AO56+AO57)),0))</f>
        <v>0</v>
      </c>
      <c r="AQ57" s="170">
        <f>IF((AQ$54-2021)=START!$C$2,0,BUILDINGS!AP57+ROUND((INDEX('DEFAULT DATA'!$WZ$9:$XB$41,START!$C$3,1)/100*(AP55+AP56+AP57)),0))</f>
        <v>0</v>
      </c>
      <c r="AR57" s="170">
        <f>IF((AR$54-2021)=START!$C$2,0,BUILDINGS!AQ57+ROUND((INDEX('DEFAULT DATA'!$WZ$9:$XB$41,START!$C$3,1)/100*(AQ55+AQ56+AQ57)),0))</f>
        <v>0</v>
      </c>
      <c r="AS57" s="170">
        <f>IF((AS$54-2021)=START!$C$2,0,BUILDINGS!AR57+ROUND((INDEX('DEFAULT DATA'!$WZ$9:$XB$41,START!$C$3,1)/100*(AR55+AR56+AR57)),0))</f>
        <v>0</v>
      </c>
      <c r="AT57" s="170">
        <f>IF((AT$54-2021)=START!$C$2,0,BUILDINGS!AS57+ROUND((INDEX('DEFAULT DATA'!$WZ$9:$XB$41,START!$C$3,1)/100*(AS55+AS56+AS57)),0))</f>
        <v>0</v>
      </c>
      <c r="AU57" s="170">
        <f>IF((AU$54-2021)=START!$C$2,0,BUILDINGS!AT57+ROUND((INDEX('DEFAULT DATA'!$WZ$9:$XB$41,START!$C$3,2)/100*(AT55+AT56+AT57)),0))</f>
        <v>0</v>
      </c>
      <c r="AV57" s="170">
        <f>IF((AV$54-2021)=START!$C$2,0,BUILDINGS!AU57+ROUND((INDEX('DEFAULT DATA'!$WZ$9:$XB$41,START!$C$3,2)/100*(AU55+AU56+AU57)),0))</f>
        <v>0</v>
      </c>
      <c r="AW57" s="170">
        <f>IF((AW$54-2021)=START!$C$2,0,BUILDINGS!AV57+ROUND((INDEX('DEFAULT DATA'!$WZ$9:$XB$41,START!$C$3,2)/100*(AV55+AV56+AV57)),0))</f>
        <v>0</v>
      </c>
      <c r="AX57" s="170">
        <f>IF((AX$54-2021)=START!$C$2,0,BUILDINGS!AW57+ROUND((INDEX('DEFAULT DATA'!$WZ$9:$XB$41,START!$C$3,2)/100*(AW55+AW56+AW57)),0))</f>
        <v>0</v>
      </c>
      <c r="AY57" s="170">
        <f>IF((AY$54-2021)=START!$C$2,0,BUILDINGS!AX57+ROUND((INDEX('DEFAULT DATA'!$WZ$9:$XB$41,START!$C$3,2)/100*(AX55+AX56+AX57)),0))</f>
        <v>0</v>
      </c>
      <c r="AZ57" s="170">
        <f>IF((AZ$54-2021)=START!$C$2,0,BUILDINGS!AY57+ROUND((INDEX('DEFAULT DATA'!$WZ$9:$XB$41,START!$C$3,2)/100*(AY55+AY56+AY57)),0))</f>
        <v>0</v>
      </c>
      <c r="BA57" s="170">
        <f>IF((BA$54-2021)=START!$C$2,0,BUILDINGS!AZ57+ROUND((INDEX('DEFAULT DATA'!$WZ$9:$XB$41,START!$C$3,2)/100*(AZ55+AZ56+AZ57)),0))</f>
        <v>0</v>
      </c>
      <c r="BB57" s="170">
        <f>IF((BB$54-2021)=START!$C$2,0,BUILDINGS!BA57+ROUND((INDEX('DEFAULT DATA'!$WZ$9:$XB$41,START!$C$3,2)/100*(BA55+BA56+BA57)),0))</f>
        <v>0</v>
      </c>
      <c r="BC57" s="170">
        <f>IF((BC$54-2021)=START!$C$2,0,BUILDINGS!BB57+ROUND((INDEX('DEFAULT DATA'!$WZ$9:$XB$41,START!$C$3,2)/100*(BB55+BB56+BB57)),0))</f>
        <v>0</v>
      </c>
      <c r="BD57" s="170">
        <f>IF((BD$54-2021)=START!$C$2,0,BUILDINGS!BC57+ROUND((INDEX('DEFAULT DATA'!$WZ$9:$XB$41,START!$C$3,2)/100*(BC55+BC56+BC57)),0))</f>
        <v>0</v>
      </c>
      <c r="BE57" s="170">
        <f>IF((BE$54-2021)=START!$C$2,0,BUILDINGS!BD57+ROUND((INDEX('DEFAULT DATA'!$WZ$9:$XB$41,START!$C$3,3)/100*(BD55+BD56+BD57)),0))</f>
        <v>0</v>
      </c>
      <c r="BF57" s="170">
        <f>IF((BF$54-2021)=START!$C$2,0,BUILDINGS!BE57+ROUND((INDEX('DEFAULT DATA'!$WZ$9:$XB$41,START!$C$3,3)/100*(BE55+BE56+BE57)),0))</f>
        <v>0</v>
      </c>
      <c r="BG57" s="170">
        <f>IF((BG$54-2021)=START!$C$2,0,BUILDINGS!BF57+ROUND((INDEX('DEFAULT DATA'!$WZ$9:$XB$41,START!$C$3,3)/100*(BF55+BF56+BF57)),0))</f>
        <v>0</v>
      </c>
      <c r="BH57" s="170">
        <f>IF((BH$54-2021)=START!$C$2,0,BUILDINGS!BG57+ROUND((INDEX('DEFAULT DATA'!$WZ$9:$XB$41,START!$C$3,3)/100*(BG55+BG56+BG57)),0))</f>
        <v>0</v>
      </c>
      <c r="BI57" s="170">
        <f>IF((BI$54-2021)=START!$C$2,0,BUILDINGS!BH57+ROUND((INDEX('DEFAULT DATA'!$WZ$9:$XB$41,START!$C$3,3)/100*(BH55+BH56+BH57)),0))</f>
        <v>0</v>
      </c>
      <c r="BJ57" s="170">
        <f>IF((BJ$54-2021)=START!$C$2,0,BUILDINGS!BI57+ROUND((INDEX('DEFAULT DATA'!$WZ$9:$XB$41,START!$C$3,3)/100*(BI55+BI56+BI57)),0))</f>
        <v>0</v>
      </c>
      <c r="BK57" s="170">
        <f>IF((BK$54-2021)=START!$C$2,0,BUILDINGS!BJ57+ROUND((INDEX('DEFAULT DATA'!$WZ$9:$XB$41,START!$C$3,3)/100*(BJ55+BJ56+BJ57)),0))</f>
        <v>0</v>
      </c>
      <c r="BL57" s="170">
        <f>IF((BL$54-2021)=START!$C$2,0,BUILDINGS!BK57+ROUND((INDEX('DEFAULT DATA'!$WZ$9:$XB$41,START!$C$3,3)/100*(BK55+BK56+BK57)),0))</f>
        <v>0</v>
      </c>
      <c r="BM57" s="170">
        <f>IF((BM$54-2021)=START!$C$2,0,BUILDINGS!BL57+ROUND((INDEX('DEFAULT DATA'!$WZ$9:$XB$41,START!$C$3,3)/100*(BL55+BL56+BL57)),0))</f>
        <v>0</v>
      </c>
      <c r="BN57" s="325">
        <f>IF((BN$54-2021)=START!$C$2,0,BUILDINGS!BM57+ROUND((INDEX('DEFAULT DATA'!$WZ$9:$XB$41,START!$C$3,3)/100*(BM55+BM56+BM57)),0))</f>
        <v>0</v>
      </c>
      <c r="BP57" s="356" t="s">
        <v>1339</v>
      </c>
      <c r="BQ57" s="352"/>
    </row>
    <row r="58" spans="1:87" ht="20.100000000000001" customHeight="1">
      <c r="A58" s="86"/>
      <c r="B58" s="65"/>
      <c r="C58" s="65"/>
      <c r="D58" s="65"/>
      <c r="E58" s="65"/>
      <c r="F58" s="65"/>
      <c r="G58" s="65"/>
      <c r="H58" s="21"/>
      <c r="I58" s="21"/>
      <c r="J58" s="21"/>
      <c r="K58" s="28"/>
      <c r="L58" s="16"/>
      <c r="M58" s="627"/>
      <c r="N58" s="630"/>
      <c r="O58" s="630"/>
      <c r="P58" s="630"/>
      <c r="Q58" s="630"/>
      <c r="R58" s="630"/>
      <c r="S58" s="630"/>
      <c r="T58" s="630"/>
      <c r="U58" s="630"/>
      <c r="V58" s="630"/>
      <c r="W58" s="630"/>
      <c r="X58" s="630"/>
      <c r="Y58" s="630"/>
      <c r="Z58" s="630"/>
      <c r="AA58" s="630"/>
      <c r="AB58" s="630"/>
      <c r="AC58" s="630"/>
      <c r="AD58" s="630"/>
      <c r="AE58" s="630"/>
      <c r="AF58" s="327"/>
      <c r="AG58" s="1486" t="s">
        <v>995</v>
      </c>
      <c r="AH58" s="1487"/>
      <c r="AI58" s="1487"/>
      <c r="AJ58" s="1580"/>
      <c r="AK58" s="326">
        <f t="shared" ref="AK58:BN58" si="12">SUM(AK55:AK57)</f>
        <v>0</v>
      </c>
      <c r="AL58" s="326">
        <f t="shared" si="12"/>
        <v>6222</v>
      </c>
      <c r="AM58" s="326">
        <f t="shared" si="12"/>
        <v>6222</v>
      </c>
      <c r="AN58" s="326">
        <f t="shared" si="12"/>
        <v>6222</v>
      </c>
      <c r="AO58" s="326">
        <f t="shared" si="12"/>
        <v>6222</v>
      </c>
      <c r="AP58" s="326">
        <f t="shared" si="12"/>
        <v>6222</v>
      </c>
      <c r="AQ58" s="326">
        <f t="shared" si="12"/>
        <v>6222</v>
      </c>
      <c r="AR58" s="326">
        <f t="shared" si="12"/>
        <v>6222</v>
      </c>
      <c r="AS58" s="326">
        <f t="shared" si="12"/>
        <v>6222</v>
      </c>
      <c r="AT58" s="326">
        <f t="shared" si="12"/>
        <v>6222</v>
      </c>
      <c r="AU58" s="326">
        <f t="shared" si="12"/>
        <v>6222</v>
      </c>
      <c r="AV58" s="326">
        <f t="shared" si="12"/>
        <v>6222</v>
      </c>
      <c r="AW58" s="326">
        <f t="shared" si="12"/>
        <v>6222</v>
      </c>
      <c r="AX58" s="326">
        <f t="shared" si="12"/>
        <v>6222</v>
      </c>
      <c r="AY58" s="326">
        <f t="shared" si="12"/>
        <v>6222</v>
      </c>
      <c r="AZ58" s="326">
        <f t="shared" si="12"/>
        <v>6222</v>
      </c>
      <c r="BA58" s="326">
        <f t="shared" si="12"/>
        <v>6222</v>
      </c>
      <c r="BB58" s="326">
        <f t="shared" si="12"/>
        <v>6222</v>
      </c>
      <c r="BC58" s="326">
        <f t="shared" si="12"/>
        <v>6222</v>
      </c>
      <c r="BD58" s="326">
        <f t="shared" si="12"/>
        <v>6222</v>
      </c>
      <c r="BE58" s="326">
        <f t="shared" si="12"/>
        <v>6222</v>
      </c>
      <c r="BF58" s="326">
        <f t="shared" si="12"/>
        <v>6222</v>
      </c>
      <c r="BG58" s="326">
        <f t="shared" si="12"/>
        <v>6222</v>
      </c>
      <c r="BH58" s="326">
        <f t="shared" si="12"/>
        <v>6222</v>
      </c>
      <c r="BI58" s="326">
        <f t="shared" si="12"/>
        <v>6222</v>
      </c>
      <c r="BJ58" s="326">
        <f t="shared" si="12"/>
        <v>6222</v>
      </c>
      <c r="BK58" s="326">
        <f t="shared" si="12"/>
        <v>6222</v>
      </c>
      <c r="BL58" s="326">
        <f t="shared" si="12"/>
        <v>6222</v>
      </c>
      <c r="BM58" s="326">
        <f t="shared" si="12"/>
        <v>6222</v>
      </c>
      <c r="BN58" s="326">
        <f t="shared" si="12"/>
        <v>6222</v>
      </c>
      <c r="BP58" s="6"/>
      <c r="BQ58" s="6"/>
      <c r="CF58" s="225" t="s">
        <v>1219</v>
      </c>
      <c r="CG58" s="225" t="s">
        <v>1090</v>
      </c>
      <c r="CH58" s="225" t="s">
        <v>1091</v>
      </c>
    </row>
    <row r="59" spans="1:87" ht="20.100000000000001" customHeight="1">
      <c r="A59" s="86"/>
      <c r="B59" s="65"/>
      <c r="C59" s="65"/>
      <c r="D59" s="65"/>
      <c r="E59" s="65"/>
      <c r="F59" s="65"/>
      <c r="G59" s="65"/>
      <c r="H59" s="21"/>
      <c r="I59" s="21"/>
      <c r="J59" s="21"/>
      <c r="K59" s="28"/>
      <c r="L59" s="16"/>
      <c r="M59" s="627"/>
      <c r="N59" s="630"/>
      <c r="O59" s="630"/>
      <c r="P59" s="630"/>
      <c r="Q59" s="630"/>
      <c r="R59" s="630"/>
      <c r="S59" s="630"/>
      <c r="T59" s="630"/>
      <c r="U59" s="630"/>
      <c r="V59" s="630"/>
      <c r="W59" s="630"/>
      <c r="X59" s="630"/>
      <c r="Y59" s="630"/>
      <c r="Z59" s="630"/>
      <c r="AA59" s="630"/>
      <c r="AB59" s="630"/>
      <c r="AC59" s="630"/>
      <c r="AD59" s="630"/>
      <c r="AE59" s="630"/>
      <c r="CF59" s="225" t="s">
        <v>1256</v>
      </c>
      <c r="CG59" s="225" t="s">
        <v>1256</v>
      </c>
      <c r="CH59" s="225" t="s">
        <v>1256</v>
      </c>
    </row>
    <row r="60" spans="1:87" ht="20.100000000000001" customHeight="1">
      <c r="A60" s="86"/>
      <c r="B60" s="65"/>
      <c r="C60" s="65"/>
      <c r="D60" s="65"/>
      <c r="E60" s="65"/>
      <c r="F60" s="65"/>
      <c r="G60" s="65"/>
      <c r="H60" s="21"/>
      <c r="I60" s="21"/>
      <c r="J60" s="21"/>
      <c r="K60" s="28"/>
      <c r="L60" s="16"/>
      <c r="M60" s="627"/>
      <c r="N60" s="630"/>
      <c r="O60" s="630"/>
      <c r="P60" s="630"/>
      <c r="Q60" s="630"/>
      <c r="R60" s="630"/>
      <c r="S60" s="630"/>
      <c r="T60" s="630"/>
      <c r="U60" s="630"/>
      <c r="V60" s="630"/>
      <c r="W60" s="630"/>
      <c r="X60" s="630"/>
      <c r="Y60" s="630"/>
      <c r="Z60" s="630"/>
      <c r="AA60" s="630"/>
      <c r="AB60" s="630"/>
      <c r="AC60" s="630"/>
      <c r="AD60" s="630"/>
      <c r="AE60" s="630"/>
      <c r="AF60" s="120" t="s">
        <v>1009</v>
      </c>
      <c r="AG60" s="1581" t="s">
        <v>1029</v>
      </c>
      <c r="AH60" s="1582"/>
      <c r="AI60" s="1582"/>
      <c r="AJ60" s="1583"/>
      <c r="AK60" s="115">
        <v>2021</v>
      </c>
      <c r="AL60" s="115">
        <f>AK60+1</f>
        <v>2022</v>
      </c>
      <c r="AM60" s="115">
        <f t="shared" ref="AM60:BN60" si="13">AL60+1</f>
        <v>2023</v>
      </c>
      <c r="AN60" s="115">
        <f t="shared" si="13"/>
        <v>2024</v>
      </c>
      <c r="AO60" s="115">
        <f t="shared" si="13"/>
        <v>2025</v>
      </c>
      <c r="AP60" s="115">
        <f t="shared" si="13"/>
        <v>2026</v>
      </c>
      <c r="AQ60" s="115">
        <f t="shared" si="13"/>
        <v>2027</v>
      </c>
      <c r="AR60" s="115">
        <f t="shared" si="13"/>
        <v>2028</v>
      </c>
      <c r="AS60" s="115">
        <f t="shared" si="13"/>
        <v>2029</v>
      </c>
      <c r="AT60" s="115">
        <f t="shared" si="13"/>
        <v>2030</v>
      </c>
      <c r="AU60" s="115">
        <f t="shared" si="13"/>
        <v>2031</v>
      </c>
      <c r="AV60" s="115">
        <f t="shared" si="13"/>
        <v>2032</v>
      </c>
      <c r="AW60" s="115">
        <f t="shared" si="13"/>
        <v>2033</v>
      </c>
      <c r="AX60" s="115">
        <f t="shared" si="13"/>
        <v>2034</v>
      </c>
      <c r="AY60" s="115">
        <f t="shared" si="13"/>
        <v>2035</v>
      </c>
      <c r="AZ60" s="115">
        <f t="shared" si="13"/>
        <v>2036</v>
      </c>
      <c r="BA60" s="115">
        <f t="shared" si="13"/>
        <v>2037</v>
      </c>
      <c r="BB60" s="115">
        <f t="shared" si="13"/>
        <v>2038</v>
      </c>
      <c r="BC60" s="115">
        <f t="shared" si="13"/>
        <v>2039</v>
      </c>
      <c r="BD60" s="115">
        <f t="shared" si="13"/>
        <v>2040</v>
      </c>
      <c r="BE60" s="115">
        <f t="shared" si="13"/>
        <v>2041</v>
      </c>
      <c r="BF60" s="115">
        <f t="shared" si="13"/>
        <v>2042</v>
      </c>
      <c r="BG60" s="115">
        <f t="shared" si="13"/>
        <v>2043</v>
      </c>
      <c r="BH60" s="115">
        <f t="shared" si="13"/>
        <v>2044</v>
      </c>
      <c r="BI60" s="115">
        <f t="shared" si="13"/>
        <v>2045</v>
      </c>
      <c r="BJ60" s="115">
        <f t="shared" si="13"/>
        <v>2046</v>
      </c>
      <c r="BK60" s="115">
        <f t="shared" si="13"/>
        <v>2047</v>
      </c>
      <c r="BL60" s="115">
        <f t="shared" si="13"/>
        <v>2048</v>
      </c>
      <c r="BM60" s="115">
        <f t="shared" si="13"/>
        <v>2049</v>
      </c>
      <c r="BN60" s="115">
        <f t="shared" si="13"/>
        <v>2050</v>
      </c>
      <c r="BP60" s="6" t="s">
        <v>1281</v>
      </c>
      <c r="BQ60" s="6"/>
      <c r="CF60" s="225" t="s">
        <v>1218</v>
      </c>
      <c r="CG60" s="225" t="s">
        <v>1218</v>
      </c>
      <c r="CH60" s="225" t="s">
        <v>1218</v>
      </c>
      <c r="CI60" s="225" t="s">
        <v>1224</v>
      </c>
    </row>
    <row r="61" spans="1:87" ht="20.100000000000001" customHeight="1">
      <c r="A61" s="86"/>
      <c r="B61" s="65"/>
      <c r="C61" s="65"/>
      <c r="D61" s="65"/>
      <c r="E61" s="65"/>
      <c r="F61" s="65"/>
      <c r="G61" s="65"/>
      <c r="H61" s="21"/>
      <c r="I61" s="21"/>
      <c r="J61" s="21"/>
      <c r="K61" s="28"/>
      <c r="L61" s="16"/>
      <c r="M61" s="627"/>
      <c r="N61" s="630"/>
      <c r="O61" s="630"/>
      <c r="P61" s="630"/>
      <c r="Q61" s="630"/>
      <c r="R61" s="630"/>
      <c r="S61" s="630"/>
      <c r="T61" s="630"/>
      <c r="U61" s="630"/>
      <c r="V61" s="630"/>
      <c r="W61" s="630"/>
      <c r="X61" s="630"/>
      <c r="Y61" s="630"/>
      <c r="Z61" s="630"/>
      <c r="AA61" s="630"/>
      <c r="AB61" s="630"/>
      <c r="AC61" s="630"/>
      <c r="AD61" s="630"/>
      <c r="AE61" s="630"/>
      <c r="AF61" s="1587" t="s">
        <v>861</v>
      </c>
      <c r="AG61" s="1581" t="s">
        <v>578</v>
      </c>
      <c r="AH61" s="1582"/>
      <c r="AI61" s="1582"/>
      <c r="AJ61" s="1583"/>
      <c r="AK61" s="81">
        <v>0</v>
      </c>
      <c r="AL61" s="331">
        <f>IF((AL$60-2021)&lt;START!$C$2,0,((AL$55*INDEX('DEFAULT DATA'!$AGZ$9:$AHG$41,START!$C$3,1))+(AL$56*INDEX('DEFAULT DATA'!$YJ$9:$YQ$41,START!$C$3,1))+(AL$57*INDEX('DEFAULT DATA'!$ZP$9:$ZW$41,START!$C$3,1)))*AL5/1000000)</f>
        <v>2937.5352191436918</v>
      </c>
      <c r="AM61" s="331">
        <f>IF((AM$60-2021)&lt;START!$C$2,0,((AM$55*INDEX('DEFAULT DATA'!$AGZ$9:$AHG$41,START!$C$3,1))+(AM$56*INDEX('DEFAULT DATA'!$YJ$9:$YQ$41,START!$C$3,1))+(AM$57*INDEX('DEFAULT DATA'!$ZP$9:$ZW$41,START!$C$3,1)))*AM5/1000000)</f>
        <v>2714.2825424887715</v>
      </c>
      <c r="AN61" s="331">
        <f>IF((AN$60-2021)&lt;START!$C$2,0,((AN$55*INDEX('DEFAULT DATA'!$AGZ$9:$AHG$41,START!$C$3,1))+(AN$56*INDEX('DEFAULT DATA'!$YJ$9:$YQ$41,START!$C$3,1))+(AN$57*INDEX('DEFAULT DATA'!$ZP$9:$ZW$41,START!$C$3,1)))*AN5/1000000)</f>
        <v>2507.9970692596253</v>
      </c>
      <c r="AO61" s="331">
        <f>IF((AO$60-2021)&lt;START!$C$2,0,((AO$55*INDEX('DEFAULT DATA'!$AGZ$9:$AHG$41,START!$C$3,1))+(AO$56*INDEX('DEFAULT DATA'!$YJ$9:$YQ$41,START!$C$3,1))+(AO$57*INDEX('DEFAULT DATA'!$ZP$9:$ZW$41,START!$C$3,1)))*AO5/1000000)</f>
        <v>2317.3892919958935</v>
      </c>
      <c r="AP61" s="331">
        <f>IF((AP$60-2021)&lt;START!$C$2,0,((AP$55*INDEX('DEFAULT DATA'!$AGZ$9:$AHG$41,START!$C$3,1))+(AP$56*INDEX('DEFAULT DATA'!$YJ$9:$YQ$41,START!$C$3,1))+(AP$57*INDEX('DEFAULT DATA'!$ZP$9:$ZW$41,START!$C$3,1)))*AP5/1000000)</f>
        <v>2141.2677058042059</v>
      </c>
      <c r="AQ61" s="331">
        <f>IF((AQ$60-2021)&lt;START!$C$2,0,((AQ$55*INDEX('DEFAULT DATA'!$AGZ$9:$AHG$41,START!$C$3,1))+(AQ$56*INDEX('DEFAULT DATA'!$YJ$9:$YQ$41,START!$C$3,1))+(AQ$57*INDEX('DEFAULT DATA'!$ZP$9:$ZW$41,START!$C$3,1)))*AQ5/1000000)</f>
        <v>1978.5313601630864</v>
      </c>
      <c r="AR61" s="331">
        <f>IF((AR$60-2021)&lt;START!$C$2,0,((AR$55*INDEX('DEFAULT DATA'!$AGZ$9:$AHG$41,START!$C$3,1))+(AR$56*INDEX('DEFAULT DATA'!$YJ$9:$YQ$41,START!$C$3,1))+(AR$57*INDEX('DEFAULT DATA'!$ZP$9:$ZW$41,START!$C$3,1)))*AR5/1000000)</f>
        <v>1828.1629767906918</v>
      </c>
      <c r="AS61" s="331">
        <f>IF((AS$60-2021)&lt;START!$C$2,0,((AS$55*INDEX('DEFAULT DATA'!$AGZ$9:$AHG$41,START!$C$3,1))+(AS$56*INDEX('DEFAULT DATA'!$YJ$9:$YQ$41,START!$C$3,1))+(AS$57*INDEX('DEFAULT DATA'!$ZP$9:$ZW$41,START!$C$3,1)))*AS5/1000000)</f>
        <v>1689.2225905545993</v>
      </c>
      <c r="AT61" s="331">
        <f>IF((AT$60-2021)&lt;START!$C$2,0,((AT$55*INDEX('DEFAULT DATA'!$AGZ$9:$AHG$41,START!$C$3,1))+(AT$56*INDEX('DEFAULT DATA'!$YJ$9:$YQ$41,START!$C$3,1))+(AT$57*INDEX('DEFAULT DATA'!$ZP$9:$ZW$41,START!$C$3,1)))*AT5/1000000)</f>
        <v>1560.8416736724498</v>
      </c>
      <c r="AU61" s="331">
        <f>IF((AU$60-2021)&lt;START!$C$2,0,((AU$55*INDEX('DEFAULT DATA'!$AGZ$9:$AHG$41,START!$C$3,1))+(AU$56*INDEX('DEFAULT DATA'!$YJ$9:$YQ$41,START!$C$3,1))+(AU$57*INDEX('DEFAULT DATA'!$ZP$9:$ZW$41,START!$C$3,1)))*AU5/1000000)</f>
        <v>1459.3869648837406</v>
      </c>
      <c r="AV61" s="331">
        <f>IF((AV$60-2021)&lt;START!$C$2,0,((AV$55*INDEX('DEFAULT DATA'!$AGZ$9:$AHG$41,START!$C$3,1))+(AV$56*INDEX('DEFAULT DATA'!$YJ$9:$YQ$41,START!$C$3,1))+(AV$57*INDEX('DEFAULT DATA'!$ZP$9:$ZW$41,START!$C$3,1)))*AV5/1000000)</f>
        <v>1364.5268121662978</v>
      </c>
      <c r="AW61" s="331">
        <f>IF((AW$60-2021)&lt;START!$C$2,0,((AW$55*INDEX('DEFAULT DATA'!$AGZ$9:$AHG$41,START!$C$3,1))+(AW$56*INDEX('DEFAULT DATA'!$YJ$9:$YQ$41,START!$C$3,1))+(AW$57*INDEX('DEFAULT DATA'!$ZP$9:$ZW$41,START!$C$3,1)))*AW5/1000000)</f>
        <v>1275.8325693754882</v>
      </c>
      <c r="AX61" s="331">
        <f>IF((AX$60-2021)&lt;START!$C$2,0,((AX$55*INDEX('DEFAULT DATA'!$AGZ$9:$AHG$41,START!$C$3,1))+(AX$56*INDEX('DEFAULT DATA'!$YJ$9:$YQ$41,START!$C$3,1))+(AX$57*INDEX('DEFAULT DATA'!$ZP$9:$ZW$41,START!$C$3,1)))*AX5/1000000)</f>
        <v>1192.9034523660814</v>
      </c>
      <c r="AY61" s="331">
        <f>IF((AY$60-2021)&lt;START!$C$2,0,((AY$55*INDEX('DEFAULT DATA'!$AGZ$9:$AHG$41,START!$C$3,1))+(AY$56*INDEX('DEFAULT DATA'!$YJ$9:$YQ$41,START!$C$3,1))+(AY$57*INDEX('DEFAULT DATA'!$ZP$9:$ZW$41,START!$C$3,1)))*AY5/1000000)</f>
        <v>1115.3647279622865</v>
      </c>
      <c r="AZ61" s="331">
        <f>IF((AZ$60-2021)&lt;START!$C$2,0,((AZ$55*INDEX('DEFAULT DATA'!$AGZ$9:$AHG$41,START!$C$3,1))+(AZ$56*INDEX('DEFAULT DATA'!$YJ$9:$YQ$41,START!$C$3,1))+(AZ$57*INDEX('DEFAULT DATA'!$ZP$9:$ZW$41,START!$C$3,1)))*AZ5/1000000)</f>
        <v>1042.8660206447378</v>
      </c>
      <c r="BA61" s="331">
        <f>IF((BA$60-2021)&lt;START!$C$2,0,((BA$55*INDEX('DEFAULT DATA'!$AGZ$9:$AHG$41,START!$C$3,1))+(BA$56*INDEX('DEFAULT DATA'!$YJ$9:$YQ$41,START!$C$3,1))+(BA$57*INDEX('DEFAULT DATA'!$ZP$9:$ZW$41,START!$C$3,1)))*BA5/1000000)</f>
        <v>975.07972930282995</v>
      </c>
      <c r="BB61" s="331">
        <f>IF((BB$60-2021)&lt;START!$C$2,0,((BB$55*INDEX('DEFAULT DATA'!$AGZ$9:$AHG$41,START!$C$3,1))+(BB$56*INDEX('DEFAULT DATA'!$YJ$9:$YQ$41,START!$C$3,1))+(BB$57*INDEX('DEFAULT DATA'!$ZP$9:$ZW$41,START!$C$3,1)))*BB5/1000000)</f>
        <v>911.6995468981462</v>
      </c>
      <c r="BC61" s="331">
        <f>IF((BC$60-2021)&lt;START!$C$2,0,((BC$55*INDEX('DEFAULT DATA'!$AGZ$9:$AHG$41,START!$C$3,1))+(BC$56*INDEX('DEFAULT DATA'!$YJ$9:$YQ$41,START!$C$3,1))+(BC$57*INDEX('DEFAULT DATA'!$ZP$9:$ZW$41,START!$C$3,1)))*BC5/1000000)</f>
        <v>852.43907634976676</v>
      </c>
      <c r="BD61" s="331">
        <f>IF((BD$60-2021)&lt;START!$C$2,0,((BD$55*INDEX('DEFAULT DATA'!$AGZ$9:$AHG$41,START!$C$3,1))+(BD$56*INDEX('DEFAULT DATA'!$YJ$9:$YQ$41,START!$C$3,1))+(BD$57*INDEX('DEFAULT DATA'!$ZP$9:$ZW$41,START!$C$3,1)))*BD5/1000000)</f>
        <v>797.03053638703193</v>
      </c>
      <c r="BE61" s="331">
        <f>IF((BE$60-2021)&lt;START!$C$2,0,((BE$55*INDEX('DEFAULT DATA'!$AGZ$9:$AHG$41,START!$C$3,1))+(BE$56*INDEX('DEFAULT DATA'!$YJ$9:$YQ$41,START!$C$3,1))+(BE$57*INDEX('DEFAULT DATA'!$ZP$9:$ZW$41,START!$C$3,1)))*BE5/1000000)</f>
        <v>745.22355152187492</v>
      </c>
      <c r="BF61" s="331">
        <f>IF((BF$60-2021)&lt;START!$C$2,0,((BF$55*INDEX('DEFAULT DATA'!$AGZ$9:$AHG$41,START!$C$3,1))+(BF$56*INDEX('DEFAULT DATA'!$YJ$9:$YQ$41,START!$C$3,1))+(BF$57*INDEX('DEFAULT DATA'!$ZP$9:$ZW$41,START!$C$3,1)))*BF5/1000000)</f>
        <v>696.78402067295315</v>
      </c>
      <c r="BG61" s="331">
        <f>IF((BG$60-2021)&lt;START!$C$2,0,((BG$55*INDEX('DEFAULT DATA'!$AGZ$9:$AHG$41,START!$C$3,1))+(BG$56*INDEX('DEFAULT DATA'!$YJ$9:$YQ$41,START!$C$3,1))+(BG$57*INDEX('DEFAULT DATA'!$ZP$9:$ZW$41,START!$C$3,1)))*BG5/1000000)</f>
        <v>651.49305932921129</v>
      </c>
      <c r="BH61" s="331">
        <f>IF((BH$60-2021)&lt;START!$C$2,0,((BH$55*INDEX('DEFAULT DATA'!$AGZ$9:$AHG$41,START!$C$3,1))+(BH$56*INDEX('DEFAULT DATA'!$YJ$9:$YQ$41,START!$C$3,1))+(BH$57*INDEX('DEFAULT DATA'!$ZP$9:$ZW$41,START!$C$3,1)))*BH5/1000000)</f>
        <v>609.14601047281258</v>
      </c>
      <c r="BI61" s="331">
        <f>IF((BI$60-2021)&lt;START!$C$2,0,((BI$55*INDEX('DEFAULT DATA'!$AGZ$9:$AHG$41,START!$C$3,1))+(BI$56*INDEX('DEFAULT DATA'!$YJ$9:$YQ$41,START!$C$3,1))+(BI$57*INDEX('DEFAULT DATA'!$ZP$9:$ZW$41,START!$C$3,1)))*BI5/1000000)</f>
        <v>569.55151979207983</v>
      </c>
      <c r="BJ61" s="331">
        <f>IF((BJ$60-2021)&lt;START!$C$2,0,((BJ$55*INDEX('DEFAULT DATA'!$AGZ$9:$AHG$41,START!$C$3,1))+(BJ$56*INDEX('DEFAULT DATA'!$YJ$9:$YQ$41,START!$C$3,1))+(BJ$57*INDEX('DEFAULT DATA'!$ZP$9:$ZW$41,START!$C$3,1)))*BJ5/1000000)</f>
        <v>532.53067100559463</v>
      </c>
      <c r="BK61" s="331">
        <f>IF((BK$60-2021)&lt;START!$C$2,0,((BK$55*INDEX('DEFAULT DATA'!$AGZ$9:$AHG$41,START!$C$3,1))+(BK$56*INDEX('DEFAULT DATA'!$YJ$9:$YQ$41,START!$C$3,1))+(BK$57*INDEX('DEFAULT DATA'!$ZP$9:$ZW$41,START!$C$3,1)))*BK5/1000000)</f>
        <v>497.91617739023093</v>
      </c>
      <c r="BL61" s="331">
        <f>IF((BL$60-2021)&lt;START!$C$2,0,((BL$55*INDEX('DEFAULT DATA'!$AGZ$9:$AHG$41,START!$C$3,1))+(BL$56*INDEX('DEFAULT DATA'!$YJ$9:$YQ$41,START!$C$3,1))+(BL$57*INDEX('DEFAULT DATA'!$ZP$9:$ZW$41,START!$C$3,1)))*BL5/1000000)</f>
        <v>465.55162585986596</v>
      </c>
      <c r="BM61" s="331">
        <f>IF((BM$60-2021)&lt;START!$C$2,0,((BM$55*INDEX('DEFAULT DATA'!$AGZ$9:$AHG$41,START!$C$3,1))+(BM$56*INDEX('DEFAULT DATA'!$YJ$9:$YQ$41,START!$C$3,1))+(BM$57*INDEX('DEFAULT DATA'!$ZP$9:$ZW$41,START!$C$3,1)))*BM5/1000000)</f>
        <v>435.2907701789747</v>
      </c>
      <c r="BN61" s="331">
        <f>IF((BN$60-2021)&lt;START!$C$2,0,((BN$55*INDEX('DEFAULT DATA'!$AGZ$9:$AHG$41,START!$C$3,1))+(BN$56*INDEX('DEFAULT DATA'!$YJ$9:$YQ$41,START!$C$3,1))+(BN$57*INDEX('DEFAULT DATA'!$ZP$9:$ZW$41,START!$C$3,1)))*BN5/1000000)</f>
        <v>406.99687011734136</v>
      </c>
      <c r="BP61" s="353" t="str">
        <f>AG61</f>
        <v>Electricity</v>
      </c>
      <c r="BQ61" s="357" t="s">
        <v>1354</v>
      </c>
      <c r="BR61" s="358"/>
      <c r="BS61" s="358"/>
      <c r="BT61" s="358"/>
      <c r="BU61" s="358"/>
      <c r="BV61" s="358"/>
      <c r="BW61" s="358"/>
      <c r="BX61" s="358"/>
      <c r="BY61" s="358"/>
      <c r="BZ61" s="358"/>
      <c r="CA61" s="358"/>
      <c r="CB61" s="358"/>
      <c r="CC61" s="358"/>
      <c r="CD61" s="358"/>
      <c r="CE61" s="359"/>
      <c r="CF61" s="360" t="s">
        <v>1257</v>
      </c>
      <c r="CG61" s="360" t="s">
        <v>1265</v>
      </c>
      <c r="CH61" s="360" t="s">
        <v>1273</v>
      </c>
      <c r="CI61" s="360" t="s">
        <v>1225</v>
      </c>
    </row>
    <row r="62" spans="1:87" ht="20.100000000000001" customHeight="1">
      <c r="A62" s="86"/>
      <c r="B62" s="65"/>
      <c r="C62" s="65"/>
      <c r="D62" s="65"/>
      <c r="E62" s="65"/>
      <c r="F62" s="65"/>
      <c r="G62" s="65"/>
      <c r="H62" s="21"/>
      <c r="I62" s="21"/>
      <c r="J62" s="21"/>
      <c r="K62" s="28"/>
      <c r="L62" s="16"/>
      <c r="M62" s="627"/>
      <c r="N62" s="630"/>
      <c r="O62" s="630"/>
      <c r="P62" s="630"/>
      <c r="Q62" s="630"/>
      <c r="R62" s="630"/>
      <c r="S62" s="630"/>
      <c r="T62" s="630"/>
      <c r="U62" s="630"/>
      <c r="V62" s="630"/>
      <c r="W62" s="630"/>
      <c r="X62" s="630"/>
      <c r="Y62" s="630"/>
      <c r="Z62" s="630"/>
      <c r="AA62" s="630"/>
      <c r="AB62" s="630"/>
      <c r="AC62" s="630"/>
      <c r="AD62" s="630"/>
      <c r="AE62" s="630"/>
      <c r="AF62" s="1551"/>
      <c r="AG62" s="1581" t="s">
        <v>862</v>
      </c>
      <c r="AH62" s="1582"/>
      <c r="AI62" s="1582"/>
      <c r="AJ62" s="1583"/>
      <c r="AK62" s="81">
        <v>0</v>
      </c>
      <c r="AL62" s="331">
        <f>IF((AL$60-2021)&lt;START!$C$2,0,((AL$55*INDEX('DEFAULT DATA'!$AGZ$9:$AHG$41,START!$C$3,2))+(AL$56*INDEX('DEFAULT DATA'!$YJ$9:$YQ$41,START!$C$3,2))+(AL$57*INDEX('DEFAULT DATA'!$ZP$9:$ZW$41,START!$C$3,2)))*INDEX('DEFAULT DATA'!$WC$9:$WJ$41,START!$C$3,2)/1000000)</f>
        <v>4030.1537347320118</v>
      </c>
      <c r="AM62" s="331">
        <f>IF((AM$60-2021)&lt;START!$C$2,0,((AM$55*INDEX('DEFAULT DATA'!$AGZ$9:$AHG$41,START!$C$3,2))+(AM$56*INDEX('DEFAULT DATA'!$YJ$9:$YQ$41,START!$C$3,2))+(AM$57*INDEX('DEFAULT DATA'!$ZP$9:$ZW$41,START!$C$3,2)))*INDEX('DEFAULT DATA'!$WC$9:$WJ$41,START!$C$3,2)/1000000)</f>
        <v>4030.1537347320118</v>
      </c>
      <c r="AN62" s="331">
        <f>IF((AN$60-2021)&lt;START!$C$2,0,((AN$55*INDEX('DEFAULT DATA'!$AGZ$9:$AHG$41,START!$C$3,2))+(AN$56*INDEX('DEFAULT DATA'!$YJ$9:$YQ$41,START!$C$3,2))+(AN$57*INDEX('DEFAULT DATA'!$ZP$9:$ZW$41,START!$C$3,2)))*INDEX('DEFAULT DATA'!$WC$9:$WJ$41,START!$C$3,2)/1000000)</f>
        <v>4030.1537347320118</v>
      </c>
      <c r="AO62" s="331">
        <f>IF((AO$60-2021)&lt;START!$C$2,0,((AO$55*INDEX('DEFAULT DATA'!$AGZ$9:$AHG$41,START!$C$3,2))+(AO$56*INDEX('DEFAULT DATA'!$YJ$9:$YQ$41,START!$C$3,2))+(AO$57*INDEX('DEFAULT DATA'!$ZP$9:$ZW$41,START!$C$3,2)))*INDEX('DEFAULT DATA'!$WC$9:$WJ$41,START!$C$3,2)/1000000)</f>
        <v>4030.1537347320118</v>
      </c>
      <c r="AP62" s="331">
        <f>IF((AP$60-2021)&lt;START!$C$2,0,((AP$55*INDEX('DEFAULT DATA'!$AGZ$9:$AHG$41,START!$C$3,2))+(AP$56*INDEX('DEFAULT DATA'!$YJ$9:$YQ$41,START!$C$3,2))+(AP$57*INDEX('DEFAULT DATA'!$ZP$9:$ZW$41,START!$C$3,2)))*INDEX('DEFAULT DATA'!$WC$9:$WJ$41,START!$C$3,2)/1000000)</f>
        <v>4030.1537347320118</v>
      </c>
      <c r="AQ62" s="331">
        <f>IF((AQ$60-2021)&lt;START!$C$2,0,((AQ$55*INDEX('DEFAULT DATA'!$AGZ$9:$AHG$41,START!$C$3,2))+(AQ$56*INDEX('DEFAULT DATA'!$YJ$9:$YQ$41,START!$C$3,2))+(AQ$57*INDEX('DEFAULT DATA'!$ZP$9:$ZW$41,START!$C$3,2)))*INDEX('DEFAULT DATA'!$WC$9:$WJ$41,START!$C$3,2)/1000000)</f>
        <v>4030.1537347320118</v>
      </c>
      <c r="AR62" s="331">
        <f>IF((AR$60-2021)&lt;START!$C$2,0,((AR$55*INDEX('DEFAULT DATA'!$AGZ$9:$AHG$41,START!$C$3,2))+(AR$56*INDEX('DEFAULT DATA'!$YJ$9:$YQ$41,START!$C$3,2))+(AR$57*INDEX('DEFAULT DATA'!$ZP$9:$ZW$41,START!$C$3,2)))*INDEX('DEFAULT DATA'!$WC$9:$WJ$41,START!$C$3,2)/1000000)</f>
        <v>4030.1537347320118</v>
      </c>
      <c r="AS62" s="331">
        <f>IF((AS$60-2021)&lt;START!$C$2,0,((AS$55*INDEX('DEFAULT DATA'!$AGZ$9:$AHG$41,START!$C$3,2))+(AS$56*INDEX('DEFAULT DATA'!$YJ$9:$YQ$41,START!$C$3,2))+(AS$57*INDEX('DEFAULT DATA'!$ZP$9:$ZW$41,START!$C$3,2)))*INDEX('DEFAULT DATA'!$WC$9:$WJ$41,START!$C$3,2)/1000000)</f>
        <v>4030.1537347320118</v>
      </c>
      <c r="AT62" s="331">
        <f>IF((AT$60-2021)&lt;START!$C$2,0,((AT$55*INDEX('DEFAULT DATA'!$AGZ$9:$AHG$41,START!$C$3,2))+(AT$56*INDEX('DEFAULT DATA'!$YJ$9:$YQ$41,START!$C$3,2))+(AT$57*INDEX('DEFAULT DATA'!$ZP$9:$ZW$41,START!$C$3,2)))*INDEX('DEFAULT DATA'!$WC$9:$WJ$41,START!$C$3,2)/1000000)</f>
        <v>4030.1537347320118</v>
      </c>
      <c r="AU62" s="331">
        <f>IF((AU$60-2021)&lt;START!$C$2,0,((AU$55*INDEX('DEFAULT DATA'!$AGZ$9:$AHG$41,START!$C$3,2))+(AU$56*INDEX('DEFAULT DATA'!$YJ$9:$YQ$41,START!$C$3,2))+(AU$57*INDEX('DEFAULT DATA'!$ZP$9:$ZW$41,START!$C$3,2)))*INDEX('DEFAULT DATA'!$WC$9:$WJ$41,START!$C$3,2)/1000000)</f>
        <v>4030.1537347320118</v>
      </c>
      <c r="AV62" s="331">
        <f>IF((AV$60-2021)&lt;START!$C$2,0,((AV$55*INDEX('DEFAULT DATA'!$AGZ$9:$AHG$41,START!$C$3,2))+(AV$56*INDEX('DEFAULT DATA'!$YJ$9:$YQ$41,START!$C$3,2))+(AV$57*INDEX('DEFAULT DATA'!$ZP$9:$ZW$41,START!$C$3,2)))*INDEX('DEFAULT DATA'!$WC$9:$WJ$41,START!$C$3,2)/1000000)</f>
        <v>4030.1537347320118</v>
      </c>
      <c r="AW62" s="331">
        <f>IF((AW$60-2021)&lt;START!$C$2,0,((AW$55*INDEX('DEFAULT DATA'!$AGZ$9:$AHG$41,START!$C$3,2))+(AW$56*INDEX('DEFAULT DATA'!$YJ$9:$YQ$41,START!$C$3,2))+(AW$57*INDEX('DEFAULT DATA'!$ZP$9:$ZW$41,START!$C$3,2)))*INDEX('DEFAULT DATA'!$WC$9:$WJ$41,START!$C$3,2)/1000000)</f>
        <v>4030.1537347320118</v>
      </c>
      <c r="AX62" s="331">
        <f>IF((AX$60-2021)&lt;START!$C$2,0,((AX$55*INDEX('DEFAULT DATA'!$AGZ$9:$AHG$41,START!$C$3,2))+(AX$56*INDEX('DEFAULT DATA'!$YJ$9:$YQ$41,START!$C$3,2))+(AX$57*INDEX('DEFAULT DATA'!$ZP$9:$ZW$41,START!$C$3,2)))*INDEX('DEFAULT DATA'!$WC$9:$WJ$41,START!$C$3,2)/1000000)</f>
        <v>4030.1537347320118</v>
      </c>
      <c r="AY62" s="331">
        <f>IF((AY$60-2021)&lt;START!$C$2,0,((AY$55*INDEX('DEFAULT DATA'!$AGZ$9:$AHG$41,START!$C$3,2))+(AY$56*INDEX('DEFAULT DATA'!$YJ$9:$YQ$41,START!$C$3,2))+(AY$57*INDEX('DEFAULT DATA'!$ZP$9:$ZW$41,START!$C$3,2)))*INDEX('DEFAULT DATA'!$WC$9:$WJ$41,START!$C$3,2)/1000000)</f>
        <v>4030.1537347320118</v>
      </c>
      <c r="AZ62" s="331">
        <f>IF((AZ$60-2021)&lt;START!$C$2,0,((AZ$55*INDEX('DEFAULT DATA'!$AGZ$9:$AHG$41,START!$C$3,2))+(AZ$56*INDEX('DEFAULT DATA'!$YJ$9:$YQ$41,START!$C$3,2))+(AZ$57*INDEX('DEFAULT DATA'!$ZP$9:$ZW$41,START!$C$3,2)))*INDEX('DEFAULT DATA'!$WC$9:$WJ$41,START!$C$3,2)/1000000)</f>
        <v>4030.1537347320118</v>
      </c>
      <c r="BA62" s="331">
        <f>IF((BA$60-2021)&lt;START!$C$2,0,((BA$55*INDEX('DEFAULT DATA'!$AGZ$9:$AHG$41,START!$C$3,2))+(BA$56*INDEX('DEFAULT DATA'!$YJ$9:$YQ$41,START!$C$3,2))+(BA$57*INDEX('DEFAULT DATA'!$ZP$9:$ZW$41,START!$C$3,2)))*INDEX('DEFAULT DATA'!$WC$9:$WJ$41,START!$C$3,2)/1000000)</f>
        <v>4030.1537347320118</v>
      </c>
      <c r="BB62" s="331">
        <f>IF((BB$60-2021)&lt;START!$C$2,0,((BB$55*INDEX('DEFAULT DATA'!$AGZ$9:$AHG$41,START!$C$3,2))+(BB$56*INDEX('DEFAULT DATA'!$YJ$9:$YQ$41,START!$C$3,2))+(BB$57*INDEX('DEFAULT DATA'!$ZP$9:$ZW$41,START!$C$3,2)))*INDEX('DEFAULT DATA'!$WC$9:$WJ$41,START!$C$3,2)/1000000)</f>
        <v>4030.1537347320118</v>
      </c>
      <c r="BC62" s="331">
        <f>IF((BC$60-2021)&lt;START!$C$2,0,((BC$55*INDEX('DEFAULT DATA'!$AGZ$9:$AHG$41,START!$C$3,2))+(BC$56*INDEX('DEFAULT DATA'!$YJ$9:$YQ$41,START!$C$3,2))+(BC$57*INDEX('DEFAULT DATA'!$ZP$9:$ZW$41,START!$C$3,2)))*INDEX('DEFAULT DATA'!$WC$9:$WJ$41,START!$C$3,2)/1000000)</f>
        <v>4030.1537347320118</v>
      </c>
      <c r="BD62" s="331">
        <f>IF((BD$60-2021)&lt;START!$C$2,0,((BD$55*INDEX('DEFAULT DATA'!$AGZ$9:$AHG$41,START!$C$3,2))+(BD$56*INDEX('DEFAULT DATA'!$YJ$9:$YQ$41,START!$C$3,2))+(BD$57*INDEX('DEFAULT DATA'!$ZP$9:$ZW$41,START!$C$3,2)))*INDEX('DEFAULT DATA'!$WC$9:$WJ$41,START!$C$3,2)/1000000)</f>
        <v>4030.1537347320118</v>
      </c>
      <c r="BE62" s="331">
        <f>IF((BE$60-2021)&lt;START!$C$2,0,((BE$55*INDEX('DEFAULT DATA'!$AGZ$9:$AHG$41,START!$C$3,2))+(BE$56*INDEX('DEFAULT DATA'!$YJ$9:$YQ$41,START!$C$3,2))+(BE$57*INDEX('DEFAULT DATA'!$ZP$9:$ZW$41,START!$C$3,2)))*INDEX('DEFAULT DATA'!$WC$9:$WJ$41,START!$C$3,2)/1000000)</f>
        <v>4030.1537347320118</v>
      </c>
      <c r="BF62" s="331">
        <f>IF((BF$60-2021)&lt;START!$C$2,0,((BF$55*INDEX('DEFAULT DATA'!$AGZ$9:$AHG$41,START!$C$3,2))+(BF$56*INDEX('DEFAULT DATA'!$YJ$9:$YQ$41,START!$C$3,2))+(BF$57*INDEX('DEFAULT DATA'!$ZP$9:$ZW$41,START!$C$3,2)))*INDEX('DEFAULT DATA'!$WC$9:$WJ$41,START!$C$3,2)/1000000)</f>
        <v>4030.1537347320118</v>
      </c>
      <c r="BG62" s="331">
        <f>IF((BG$60-2021)&lt;START!$C$2,0,((BG$55*INDEX('DEFAULT DATA'!$AGZ$9:$AHG$41,START!$C$3,2))+(BG$56*INDEX('DEFAULT DATA'!$YJ$9:$YQ$41,START!$C$3,2))+(BG$57*INDEX('DEFAULT DATA'!$ZP$9:$ZW$41,START!$C$3,2)))*INDEX('DEFAULT DATA'!$WC$9:$WJ$41,START!$C$3,2)/1000000)</f>
        <v>4030.1537347320118</v>
      </c>
      <c r="BH62" s="331">
        <f>IF((BH$60-2021)&lt;START!$C$2,0,((BH$55*INDEX('DEFAULT DATA'!$AGZ$9:$AHG$41,START!$C$3,2))+(BH$56*INDEX('DEFAULT DATA'!$YJ$9:$YQ$41,START!$C$3,2))+(BH$57*INDEX('DEFAULT DATA'!$ZP$9:$ZW$41,START!$C$3,2)))*INDEX('DEFAULT DATA'!$WC$9:$WJ$41,START!$C$3,2)/1000000)</f>
        <v>4030.1537347320118</v>
      </c>
      <c r="BI62" s="331">
        <f>IF((BI$60-2021)&lt;START!$C$2,0,((BI$55*INDEX('DEFAULT DATA'!$AGZ$9:$AHG$41,START!$C$3,2))+(BI$56*INDEX('DEFAULT DATA'!$YJ$9:$YQ$41,START!$C$3,2))+(BI$57*INDEX('DEFAULT DATA'!$ZP$9:$ZW$41,START!$C$3,2)))*INDEX('DEFAULT DATA'!$WC$9:$WJ$41,START!$C$3,2)/1000000)</f>
        <v>4030.1537347320118</v>
      </c>
      <c r="BJ62" s="331">
        <f>IF((BJ$60-2021)&lt;START!$C$2,0,((BJ$55*INDEX('DEFAULT DATA'!$AGZ$9:$AHG$41,START!$C$3,2))+(BJ$56*INDEX('DEFAULT DATA'!$YJ$9:$YQ$41,START!$C$3,2))+(BJ$57*INDEX('DEFAULT DATA'!$ZP$9:$ZW$41,START!$C$3,2)))*INDEX('DEFAULT DATA'!$WC$9:$WJ$41,START!$C$3,2)/1000000)</f>
        <v>4030.1537347320118</v>
      </c>
      <c r="BK62" s="331">
        <f>IF((BK$60-2021)&lt;START!$C$2,0,((BK$55*INDEX('DEFAULT DATA'!$AGZ$9:$AHG$41,START!$C$3,2))+(BK$56*INDEX('DEFAULT DATA'!$YJ$9:$YQ$41,START!$C$3,2))+(BK$57*INDEX('DEFAULT DATA'!$ZP$9:$ZW$41,START!$C$3,2)))*INDEX('DEFAULT DATA'!$WC$9:$WJ$41,START!$C$3,2)/1000000)</f>
        <v>4030.1537347320118</v>
      </c>
      <c r="BL62" s="331">
        <f>IF((BL$60-2021)&lt;START!$C$2,0,((BL$55*INDEX('DEFAULT DATA'!$AGZ$9:$AHG$41,START!$C$3,2))+(BL$56*INDEX('DEFAULT DATA'!$YJ$9:$YQ$41,START!$C$3,2))+(BL$57*INDEX('DEFAULT DATA'!$ZP$9:$ZW$41,START!$C$3,2)))*INDEX('DEFAULT DATA'!$WC$9:$WJ$41,START!$C$3,2)/1000000)</f>
        <v>4030.1537347320118</v>
      </c>
      <c r="BM62" s="331">
        <f>IF((BM$60-2021)&lt;START!$C$2,0,((BM$55*INDEX('DEFAULT DATA'!$AGZ$9:$AHG$41,START!$C$3,2))+(BM$56*INDEX('DEFAULT DATA'!$YJ$9:$YQ$41,START!$C$3,2))+(BM$57*INDEX('DEFAULT DATA'!$ZP$9:$ZW$41,START!$C$3,2)))*INDEX('DEFAULT DATA'!$WC$9:$WJ$41,START!$C$3,2)/1000000)</f>
        <v>4030.1537347320118</v>
      </c>
      <c r="BN62" s="331">
        <f>IF((BN$60-2021)&lt;START!$C$2,0,((BN$55*INDEX('DEFAULT DATA'!$AGZ$9:$AHG$41,START!$C$3,2))+(BN$56*INDEX('DEFAULT DATA'!$YJ$9:$YQ$41,START!$C$3,2))+(BN$57*INDEX('DEFAULT DATA'!$ZP$9:$ZW$41,START!$C$3,2)))*INDEX('DEFAULT DATA'!$WC$9:$WJ$41,START!$C$3,2)/1000000)</f>
        <v>4030.1537347320118</v>
      </c>
      <c r="BP62" s="355" t="str">
        <f t="shared" ref="BP62:BP68" si="14">AG62</f>
        <v>Gas</v>
      </c>
      <c r="BQ62" s="361" t="s">
        <v>1355</v>
      </c>
      <c r="BR62" s="362"/>
      <c r="BS62" s="362"/>
      <c r="BT62" s="362"/>
      <c r="BU62" s="362"/>
      <c r="BV62" s="362"/>
      <c r="BW62" s="362"/>
      <c r="BX62" s="362"/>
      <c r="BY62" s="362"/>
      <c r="BZ62" s="362"/>
      <c r="CA62" s="362"/>
      <c r="CB62" s="362"/>
      <c r="CC62" s="362"/>
      <c r="CD62" s="362"/>
      <c r="CE62" s="363"/>
      <c r="CF62" s="360" t="s">
        <v>1258</v>
      </c>
      <c r="CG62" s="360" t="s">
        <v>1266</v>
      </c>
      <c r="CH62" s="360" t="s">
        <v>1274</v>
      </c>
      <c r="CI62" s="360" t="s">
        <v>886</v>
      </c>
    </row>
    <row r="63" spans="1:87" ht="20.100000000000001" customHeight="1">
      <c r="A63" s="86"/>
      <c r="B63" s="65"/>
      <c r="C63" s="65"/>
      <c r="D63" s="65"/>
      <c r="E63" s="65"/>
      <c r="F63" s="65"/>
      <c r="G63" s="65"/>
      <c r="H63" s="21"/>
      <c r="I63" s="21"/>
      <c r="J63" s="21"/>
      <c r="K63" s="28"/>
      <c r="L63" s="16"/>
      <c r="M63" s="627"/>
      <c r="N63" s="630"/>
      <c r="O63" s="630"/>
      <c r="P63" s="630"/>
      <c r="Q63" s="630"/>
      <c r="R63" s="630"/>
      <c r="S63" s="630"/>
      <c r="T63" s="630"/>
      <c r="U63" s="630"/>
      <c r="V63" s="630"/>
      <c r="W63" s="630"/>
      <c r="X63" s="630"/>
      <c r="Y63" s="630"/>
      <c r="Z63" s="630"/>
      <c r="AA63" s="630"/>
      <c r="AB63" s="630"/>
      <c r="AC63" s="630"/>
      <c r="AD63" s="630"/>
      <c r="AE63" s="630"/>
      <c r="AF63" s="1551"/>
      <c r="AG63" s="1581" t="s">
        <v>863</v>
      </c>
      <c r="AH63" s="1582"/>
      <c r="AI63" s="1582"/>
      <c r="AJ63" s="1583"/>
      <c r="AK63" s="81">
        <v>0</v>
      </c>
      <c r="AL63" s="331">
        <f>IF((AL$60-2021)&lt;START!$C$2,0,((AL$55*INDEX('DEFAULT DATA'!$AGZ$9:$AHG$41,START!$C$3,3))+(AL$56*INDEX('DEFAULT DATA'!$YJ$9:$YQ$41,START!$C$3,3))+(AL$57*INDEX('DEFAULT DATA'!$ZP$9:$ZW$41,START!$C$3,3)))*INDEX('DEFAULT DATA'!$WC$9:$WJ$41,START!$C$3,3)/1000000)</f>
        <v>665.87317275584599</v>
      </c>
      <c r="AM63" s="331">
        <f>IF((AM$60-2021)&lt;START!$C$2,0,((AM$55*INDEX('DEFAULT DATA'!$AGZ$9:$AHG$41,START!$C$3,3))+(AM$56*INDEX('DEFAULT DATA'!$YJ$9:$YQ$41,START!$C$3,3))+(AM$57*INDEX('DEFAULT DATA'!$ZP$9:$ZW$41,START!$C$3,3)))*INDEX('DEFAULT DATA'!$WC$9:$WJ$41,START!$C$3,3)/1000000)</f>
        <v>665.87317275584599</v>
      </c>
      <c r="AN63" s="331">
        <f>IF((AN$60-2021)&lt;START!$C$2,0,((AN$55*INDEX('DEFAULT DATA'!$AGZ$9:$AHG$41,START!$C$3,3))+(AN$56*INDEX('DEFAULT DATA'!$YJ$9:$YQ$41,START!$C$3,3))+(AN$57*INDEX('DEFAULT DATA'!$ZP$9:$ZW$41,START!$C$3,3)))*INDEX('DEFAULT DATA'!$WC$9:$WJ$41,START!$C$3,3)/1000000)</f>
        <v>665.87317275584599</v>
      </c>
      <c r="AO63" s="331">
        <f>IF((AO$60-2021)&lt;START!$C$2,0,((AO$55*INDEX('DEFAULT DATA'!$AGZ$9:$AHG$41,START!$C$3,3))+(AO$56*INDEX('DEFAULT DATA'!$YJ$9:$YQ$41,START!$C$3,3))+(AO$57*INDEX('DEFAULT DATA'!$ZP$9:$ZW$41,START!$C$3,3)))*INDEX('DEFAULT DATA'!$WC$9:$WJ$41,START!$C$3,3)/1000000)</f>
        <v>665.87317275584599</v>
      </c>
      <c r="AP63" s="331">
        <f>IF((AP$60-2021)&lt;START!$C$2,0,((AP$55*INDEX('DEFAULT DATA'!$AGZ$9:$AHG$41,START!$C$3,3))+(AP$56*INDEX('DEFAULT DATA'!$YJ$9:$YQ$41,START!$C$3,3))+(AP$57*INDEX('DEFAULT DATA'!$ZP$9:$ZW$41,START!$C$3,3)))*INDEX('DEFAULT DATA'!$WC$9:$WJ$41,START!$C$3,3)/1000000)</f>
        <v>665.87317275584599</v>
      </c>
      <c r="AQ63" s="331">
        <f>IF((AQ$60-2021)&lt;START!$C$2,0,((AQ$55*INDEX('DEFAULT DATA'!$AGZ$9:$AHG$41,START!$C$3,3))+(AQ$56*INDEX('DEFAULT DATA'!$YJ$9:$YQ$41,START!$C$3,3))+(AQ$57*INDEX('DEFAULT DATA'!$ZP$9:$ZW$41,START!$C$3,3)))*INDEX('DEFAULT DATA'!$WC$9:$WJ$41,START!$C$3,3)/1000000)</f>
        <v>665.87317275584599</v>
      </c>
      <c r="AR63" s="331">
        <f>IF((AR$60-2021)&lt;START!$C$2,0,((AR$55*INDEX('DEFAULT DATA'!$AGZ$9:$AHG$41,START!$C$3,3))+(AR$56*INDEX('DEFAULT DATA'!$YJ$9:$YQ$41,START!$C$3,3))+(AR$57*INDEX('DEFAULT DATA'!$ZP$9:$ZW$41,START!$C$3,3)))*INDEX('DEFAULT DATA'!$WC$9:$WJ$41,START!$C$3,3)/1000000)</f>
        <v>665.87317275584599</v>
      </c>
      <c r="AS63" s="331">
        <f>IF((AS$60-2021)&lt;START!$C$2,0,((AS$55*INDEX('DEFAULT DATA'!$AGZ$9:$AHG$41,START!$C$3,3))+(AS$56*INDEX('DEFAULT DATA'!$YJ$9:$YQ$41,START!$C$3,3))+(AS$57*INDEX('DEFAULT DATA'!$ZP$9:$ZW$41,START!$C$3,3)))*INDEX('DEFAULT DATA'!$WC$9:$WJ$41,START!$C$3,3)/1000000)</f>
        <v>665.87317275584599</v>
      </c>
      <c r="AT63" s="331">
        <f>IF((AT$60-2021)&lt;START!$C$2,0,((AT$55*INDEX('DEFAULT DATA'!$AGZ$9:$AHG$41,START!$C$3,3))+(AT$56*INDEX('DEFAULT DATA'!$YJ$9:$YQ$41,START!$C$3,3))+(AT$57*INDEX('DEFAULT DATA'!$ZP$9:$ZW$41,START!$C$3,3)))*INDEX('DEFAULT DATA'!$WC$9:$WJ$41,START!$C$3,3)/1000000)</f>
        <v>665.87317275584599</v>
      </c>
      <c r="AU63" s="331">
        <f>IF((AU$60-2021)&lt;START!$C$2,0,((AU$55*INDEX('DEFAULT DATA'!$AGZ$9:$AHG$41,START!$C$3,3))+(AU$56*INDEX('DEFAULT DATA'!$YJ$9:$YQ$41,START!$C$3,3))+(AU$57*INDEX('DEFAULT DATA'!$ZP$9:$ZW$41,START!$C$3,3)))*INDEX('DEFAULT DATA'!$WC$9:$WJ$41,START!$C$3,3)/1000000)</f>
        <v>665.87317275584599</v>
      </c>
      <c r="AV63" s="331">
        <f>IF((AV$60-2021)&lt;START!$C$2,0,((AV$55*INDEX('DEFAULT DATA'!$AGZ$9:$AHG$41,START!$C$3,3))+(AV$56*INDEX('DEFAULT DATA'!$YJ$9:$YQ$41,START!$C$3,3))+(AV$57*INDEX('DEFAULT DATA'!$ZP$9:$ZW$41,START!$C$3,3)))*INDEX('DEFAULT DATA'!$WC$9:$WJ$41,START!$C$3,3)/1000000)</f>
        <v>665.87317275584599</v>
      </c>
      <c r="AW63" s="331">
        <f>IF((AW$60-2021)&lt;START!$C$2,0,((AW$55*INDEX('DEFAULT DATA'!$AGZ$9:$AHG$41,START!$C$3,3))+(AW$56*INDEX('DEFAULT DATA'!$YJ$9:$YQ$41,START!$C$3,3))+(AW$57*INDEX('DEFAULT DATA'!$ZP$9:$ZW$41,START!$C$3,3)))*INDEX('DEFAULT DATA'!$WC$9:$WJ$41,START!$C$3,3)/1000000)</f>
        <v>665.87317275584599</v>
      </c>
      <c r="AX63" s="331">
        <f>IF((AX$60-2021)&lt;START!$C$2,0,((AX$55*INDEX('DEFAULT DATA'!$AGZ$9:$AHG$41,START!$C$3,3))+(AX$56*INDEX('DEFAULT DATA'!$YJ$9:$YQ$41,START!$C$3,3))+(AX$57*INDEX('DEFAULT DATA'!$ZP$9:$ZW$41,START!$C$3,3)))*INDEX('DEFAULT DATA'!$WC$9:$WJ$41,START!$C$3,3)/1000000)</f>
        <v>665.87317275584599</v>
      </c>
      <c r="AY63" s="331">
        <f>IF((AY$60-2021)&lt;START!$C$2,0,((AY$55*INDEX('DEFAULT DATA'!$AGZ$9:$AHG$41,START!$C$3,3))+(AY$56*INDEX('DEFAULT DATA'!$YJ$9:$YQ$41,START!$C$3,3))+(AY$57*INDEX('DEFAULT DATA'!$ZP$9:$ZW$41,START!$C$3,3)))*INDEX('DEFAULT DATA'!$WC$9:$WJ$41,START!$C$3,3)/1000000)</f>
        <v>665.87317275584599</v>
      </c>
      <c r="AZ63" s="331">
        <f>IF((AZ$60-2021)&lt;START!$C$2,0,((AZ$55*INDEX('DEFAULT DATA'!$AGZ$9:$AHG$41,START!$C$3,3))+(AZ$56*INDEX('DEFAULT DATA'!$YJ$9:$YQ$41,START!$C$3,3))+(AZ$57*INDEX('DEFAULT DATA'!$ZP$9:$ZW$41,START!$C$3,3)))*INDEX('DEFAULT DATA'!$WC$9:$WJ$41,START!$C$3,3)/1000000)</f>
        <v>665.87317275584599</v>
      </c>
      <c r="BA63" s="331">
        <f>IF((BA$60-2021)&lt;START!$C$2,0,((BA$55*INDEX('DEFAULT DATA'!$AGZ$9:$AHG$41,START!$C$3,3))+(BA$56*INDEX('DEFAULT DATA'!$YJ$9:$YQ$41,START!$C$3,3))+(BA$57*INDEX('DEFAULT DATA'!$ZP$9:$ZW$41,START!$C$3,3)))*INDEX('DEFAULT DATA'!$WC$9:$WJ$41,START!$C$3,3)/1000000)</f>
        <v>665.87317275584599</v>
      </c>
      <c r="BB63" s="331">
        <f>IF((BB$60-2021)&lt;START!$C$2,0,((BB$55*INDEX('DEFAULT DATA'!$AGZ$9:$AHG$41,START!$C$3,3))+(BB$56*INDEX('DEFAULT DATA'!$YJ$9:$YQ$41,START!$C$3,3))+(BB$57*INDEX('DEFAULT DATA'!$ZP$9:$ZW$41,START!$C$3,3)))*INDEX('DEFAULT DATA'!$WC$9:$WJ$41,START!$C$3,3)/1000000)</f>
        <v>665.87317275584599</v>
      </c>
      <c r="BC63" s="331">
        <f>IF((BC$60-2021)&lt;START!$C$2,0,((BC$55*INDEX('DEFAULT DATA'!$AGZ$9:$AHG$41,START!$C$3,3))+(BC$56*INDEX('DEFAULT DATA'!$YJ$9:$YQ$41,START!$C$3,3))+(BC$57*INDEX('DEFAULT DATA'!$ZP$9:$ZW$41,START!$C$3,3)))*INDEX('DEFAULT DATA'!$WC$9:$WJ$41,START!$C$3,3)/1000000)</f>
        <v>665.87317275584599</v>
      </c>
      <c r="BD63" s="331">
        <f>IF((BD$60-2021)&lt;START!$C$2,0,((BD$55*INDEX('DEFAULT DATA'!$AGZ$9:$AHG$41,START!$C$3,3))+(BD$56*INDEX('DEFAULT DATA'!$YJ$9:$YQ$41,START!$C$3,3))+(BD$57*INDEX('DEFAULT DATA'!$ZP$9:$ZW$41,START!$C$3,3)))*INDEX('DEFAULT DATA'!$WC$9:$WJ$41,START!$C$3,3)/1000000)</f>
        <v>665.87317275584599</v>
      </c>
      <c r="BE63" s="331">
        <f>IF((BE$60-2021)&lt;START!$C$2,0,((BE$55*INDEX('DEFAULT DATA'!$AGZ$9:$AHG$41,START!$C$3,3))+(BE$56*INDEX('DEFAULT DATA'!$YJ$9:$YQ$41,START!$C$3,3))+(BE$57*INDEX('DEFAULT DATA'!$ZP$9:$ZW$41,START!$C$3,3)))*INDEX('DEFAULT DATA'!$WC$9:$WJ$41,START!$C$3,3)/1000000)</f>
        <v>665.87317275584599</v>
      </c>
      <c r="BF63" s="331">
        <f>IF((BF$60-2021)&lt;START!$C$2,0,((BF$55*INDEX('DEFAULT DATA'!$AGZ$9:$AHG$41,START!$C$3,3))+(BF$56*INDEX('DEFAULT DATA'!$YJ$9:$YQ$41,START!$C$3,3))+(BF$57*INDEX('DEFAULT DATA'!$ZP$9:$ZW$41,START!$C$3,3)))*INDEX('DEFAULT DATA'!$WC$9:$WJ$41,START!$C$3,3)/1000000)</f>
        <v>665.87317275584599</v>
      </c>
      <c r="BG63" s="331">
        <f>IF((BG$60-2021)&lt;START!$C$2,0,((BG$55*INDEX('DEFAULT DATA'!$AGZ$9:$AHG$41,START!$C$3,3))+(BG$56*INDEX('DEFAULT DATA'!$YJ$9:$YQ$41,START!$C$3,3))+(BG$57*INDEX('DEFAULT DATA'!$ZP$9:$ZW$41,START!$C$3,3)))*INDEX('DEFAULT DATA'!$WC$9:$WJ$41,START!$C$3,3)/1000000)</f>
        <v>665.87317275584599</v>
      </c>
      <c r="BH63" s="331">
        <f>IF((BH$60-2021)&lt;START!$C$2,0,((BH$55*INDEX('DEFAULT DATA'!$AGZ$9:$AHG$41,START!$C$3,3))+(BH$56*INDEX('DEFAULT DATA'!$YJ$9:$YQ$41,START!$C$3,3))+(BH$57*INDEX('DEFAULT DATA'!$ZP$9:$ZW$41,START!$C$3,3)))*INDEX('DEFAULT DATA'!$WC$9:$WJ$41,START!$C$3,3)/1000000)</f>
        <v>665.87317275584599</v>
      </c>
      <c r="BI63" s="331">
        <f>IF((BI$60-2021)&lt;START!$C$2,0,((BI$55*INDEX('DEFAULT DATA'!$AGZ$9:$AHG$41,START!$C$3,3))+(BI$56*INDEX('DEFAULT DATA'!$YJ$9:$YQ$41,START!$C$3,3))+(BI$57*INDEX('DEFAULT DATA'!$ZP$9:$ZW$41,START!$C$3,3)))*INDEX('DEFAULT DATA'!$WC$9:$WJ$41,START!$C$3,3)/1000000)</f>
        <v>665.87317275584599</v>
      </c>
      <c r="BJ63" s="331">
        <f>IF((BJ$60-2021)&lt;START!$C$2,0,((BJ$55*INDEX('DEFAULT DATA'!$AGZ$9:$AHG$41,START!$C$3,3))+(BJ$56*INDEX('DEFAULT DATA'!$YJ$9:$YQ$41,START!$C$3,3))+(BJ$57*INDEX('DEFAULT DATA'!$ZP$9:$ZW$41,START!$C$3,3)))*INDEX('DEFAULT DATA'!$WC$9:$WJ$41,START!$C$3,3)/1000000)</f>
        <v>665.87317275584599</v>
      </c>
      <c r="BK63" s="331">
        <f>IF((BK$60-2021)&lt;START!$C$2,0,((BK$55*INDEX('DEFAULT DATA'!$AGZ$9:$AHG$41,START!$C$3,3))+(BK$56*INDEX('DEFAULT DATA'!$YJ$9:$YQ$41,START!$C$3,3))+(BK$57*INDEX('DEFAULT DATA'!$ZP$9:$ZW$41,START!$C$3,3)))*INDEX('DEFAULT DATA'!$WC$9:$WJ$41,START!$C$3,3)/1000000)</f>
        <v>665.87317275584599</v>
      </c>
      <c r="BL63" s="331">
        <f>IF((BL$60-2021)&lt;START!$C$2,0,((BL$55*INDEX('DEFAULT DATA'!$AGZ$9:$AHG$41,START!$C$3,3))+(BL$56*INDEX('DEFAULT DATA'!$YJ$9:$YQ$41,START!$C$3,3))+(BL$57*INDEX('DEFAULT DATA'!$ZP$9:$ZW$41,START!$C$3,3)))*INDEX('DEFAULT DATA'!$WC$9:$WJ$41,START!$C$3,3)/1000000)</f>
        <v>665.87317275584599</v>
      </c>
      <c r="BM63" s="331">
        <f>IF((BM$60-2021)&lt;START!$C$2,0,((BM$55*INDEX('DEFAULT DATA'!$AGZ$9:$AHG$41,START!$C$3,3))+(BM$56*INDEX('DEFAULT DATA'!$YJ$9:$YQ$41,START!$C$3,3))+(BM$57*INDEX('DEFAULT DATA'!$ZP$9:$ZW$41,START!$C$3,3)))*INDEX('DEFAULT DATA'!$WC$9:$WJ$41,START!$C$3,3)/1000000)</f>
        <v>665.87317275584599</v>
      </c>
      <c r="BN63" s="331">
        <f>IF((BN$60-2021)&lt;START!$C$2,0,((BN$55*INDEX('DEFAULT DATA'!$AGZ$9:$AHG$41,START!$C$3,3))+(BN$56*INDEX('DEFAULT DATA'!$YJ$9:$YQ$41,START!$C$3,3))+(BN$57*INDEX('DEFAULT DATA'!$ZP$9:$ZW$41,START!$C$3,3)))*INDEX('DEFAULT DATA'!$WC$9:$WJ$41,START!$C$3,3)/1000000)</f>
        <v>665.87317275584599</v>
      </c>
      <c r="BP63" s="355" t="str">
        <f t="shared" si="14"/>
        <v>Oil</v>
      </c>
      <c r="BQ63" s="361" t="s">
        <v>1356</v>
      </c>
      <c r="BR63" s="362"/>
      <c r="BS63" s="362"/>
      <c r="BT63" s="362"/>
      <c r="BU63" s="362"/>
      <c r="BV63" s="362"/>
      <c r="BW63" s="362"/>
      <c r="BX63" s="362"/>
      <c r="BY63" s="362"/>
      <c r="BZ63" s="362"/>
      <c r="CA63" s="362"/>
      <c r="CB63" s="362"/>
      <c r="CC63" s="362"/>
      <c r="CD63" s="362"/>
      <c r="CE63" s="363"/>
      <c r="CF63" s="360" t="s">
        <v>1259</v>
      </c>
      <c r="CG63" s="360" t="s">
        <v>1267</v>
      </c>
      <c r="CH63" s="360" t="s">
        <v>1275</v>
      </c>
      <c r="CI63" s="360" t="s">
        <v>1247</v>
      </c>
    </row>
    <row r="64" spans="1:87" ht="20.100000000000001" customHeight="1">
      <c r="A64" s="86"/>
      <c r="B64" s="65"/>
      <c r="C64" s="65"/>
      <c r="D64" s="65"/>
      <c r="E64" s="65"/>
      <c r="F64" s="65"/>
      <c r="G64" s="65"/>
      <c r="H64" s="21"/>
      <c r="I64" s="21"/>
      <c r="J64" s="21"/>
      <c r="K64" s="28"/>
      <c r="L64" s="16"/>
      <c r="M64" s="627"/>
      <c r="N64" s="630"/>
      <c r="O64" s="630"/>
      <c r="P64" s="630"/>
      <c r="Q64" s="630"/>
      <c r="R64" s="630"/>
      <c r="S64" s="630"/>
      <c r="T64" s="630"/>
      <c r="U64" s="630"/>
      <c r="V64" s="630"/>
      <c r="W64" s="630"/>
      <c r="X64" s="630"/>
      <c r="Y64" s="630"/>
      <c r="Z64" s="630"/>
      <c r="AA64" s="630"/>
      <c r="AB64" s="630"/>
      <c r="AC64" s="630"/>
      <c r="AD64" s="630"/>
      <c r="AE64" s="630"/>
      <c r="AF64" s="1551"/>
      <c r="AG64" s="1581" t="s">
        <v>864</v>
      </c>
      <c r="AH64" s="1582"/>
      <c r="AI64" s="1582"/>
      <c r="AJ64" s="1583"/>
      <c r="AK64" s="81">
        <v>0</v>
      </c>
      <c r="AL64" s="331">
        <f>IF((AL$60-2021)&lt;START!$C$2,0,((AL$55*INDEX('DEFAULT DATA'!$AGZ$9:$AHG$41,START!$C$3,4))+(AL$56*INDEX('DEFAULT DATA'!$YJ$9:$YQ$41,START!$C$3,4))+(AL$57*INDEX('DEFAULT DATA'!$ZP$9:$ZW$41,START!$C$3,4)))*INDEX('DEFAULT DATA'!$WC$9:$WJ$41,START!$C$3,4)/1000000)</f>
        <v>0</v>
      </c>
      <c r="AM64" s="331">
        <f>IF((AM$60-2021)&lt;START!$C$2,0,((AM$55*INDEX('DEFAULT DATA'!$AGZ$9:$AHG$41,START!$C$3,4))+(AM$56*INDEX('DEFAULT DATA'!$YJ$9:$YQ$41,START!$C$3,4))+(AM$57*INDEX('DEFAULT DATA'!$ZP$9:$ZW$41,START!$C$3,4)))*INDEX('DEFAULT DATA'!$WC$9:$WJ$41,START!$C$3,4)/1000000)</f>
        <v>0</v>
      </c>
      <c r="AN64" s="331">
        <f>IF((AN$60-2021)&lt;START!$C$2,0,((AN$55*INDEX('DEFAULT DATA'!$AGZ$9:$AHG$41,START!$C$3,4))+(AN$56*INDEX('DEFAULT DATA'!$YJ$9:$YQ$41,START!$C$3,4))+(AN$57*INDEX('DEFAULT DATA'!$ZP$9:$ZW$41,START!$C$3,4)))*INDEX('DEFAULT DATA'!$WC$9:$WJ$41,START!$C$3,4)/1000000)</f>
        <v>0</v>
      </c>
      <c r="AO64" s="331">
        <f>IF((AO$60-2021)&lt;START!$C$2,0,((AO$55*INDEX('DEFAULT DATA'!$AGZ$9:$AHG$41,START!$C$3,4))+(AO$56*INDEX('DEFAULT DATA'!$YJ$9:$YQ$41,START!$C$3,4))+(AO$57*INDEX('DEFAULT DATA'!$ZP$9:$ZW$41,START!$C$3,4)))*INDEX('DEFAULT DATA'!$WC$9:$WJ$41,START!$C$3,4)/1000000)</f>
        <v>0</v>
      </c>
      <c r="AP64" s="331">
        <f>IF((AP$60-2021)&lt;START!$C$2,0,((AP$55*INDEX('DEFAULT DATA'!$AGZ$9:$AHG$41,START!$C$3,4))+(AP$56*INDEX('DEFAULT DATA'!$YJ$9:$YQ$41,START!$C$3,4))+(AP$57*INDEX('DEFAULT DATA'!$ZP$9:$ZW$41,START!$C$3,4)))*INDEX('DEFAULT DATA'!$WC$9:$WJ$41,START!$C$3,4)/1000000)</f>
        <v>0</v>
      </c>
      <c r="AQ64" s="331">
        <f>IF((AQ$60-2021)&lt;START!$C$2,0,((AQ$55*INDEX('DEFAULT DATA'!$AGZ$9:$AHG$41,START!$C$3,4))+(AQ$56*INDEX('DEFAULT DATA'!$YJ$9:$YQ$41,START!$C$3,4))+(AQ$57*INDEX('DEFAULT DATA'!$ZP$9:$ZW$41,START!$C$3,4)))*INDEX('DEFAULT DATA'!$WC$9:$WJ$41,START!$C$3,4)/1000000)</f>
        <v>0</v>
      </c>
      <c r="AR64" s="331">
        <f>IF((AR$60-2021)&lt;START!$C$2,0,((AR$55*INDEX('DEFAULT DATA'!$AGZ$9:$AHG$41,START!$C$3,4))+(AR$56*INDEX('DEFAULT DATA'!$YJ$9:$YQ$41,START!$C$3,4))+(AR$57*INDEX('DEFAULT DATA'!$ZP$9:$ZW$41,START!$C$3,4)))*INDEX('DEFAULT DATA'!$WC$9:$WJ$41,START!$C$3,4)/1000000)</f>
        <v>0</v>
      </c>
      <c r="AS64" s="331">
        <f>IF((AS$60-2021)&lt;START!$C$2,0,((AS$55*INDEX('DEFAULT DATA'!$AGZ$9:$AHG$41,START!$C$3,4))+(AS$56*INDEX('DEFAULT DATA'!$YJ$9:$YQ$41,START!$C$3,4))+(AS$57*INDEX('DEFAULT DATA'!$ZP$9:$ZW$41,START!$C$3,4)))*INDEX('DEFAULT DATA'!$WC$9:$WJ$41,START!$C$3,4)/1000000)</f>
        <v>0</v>
      </c>
      <c r="AT64" s="331">
        <f>IF((AT$60-2021)&lt;START!$C$2,0,((AT$55*INDEX('DEFAULT DATA'!$AGZ$9:$AHG$41,START!$C$3,4))+(AT$56*INDEX('DEFAULT DATA'!$YJ$9:$YQ$41,START!$C$3,4))+(AT$57*INDEX('DEFAULT DATA'!$ZP$9:$ZW$41,START!$C$3,4)))*INDEX('DEFAULT DATA'!$WC$9:$WJ$41,START!$C$3,4)/1000000)</f>
        <v>0</v>
      </c>
      <c r="AU64" s="331">
        <f>IF((AU$60-2021)&lt;START!$C$2,0,((AU$55*INDEX('DEFAULT DATA'!$AGZ$9:$AHG$41,START!$C$3,4))+(AU$56*INDEX('DEFAULT DATA'!$YJ$9:$YQ$41,START!$C$3,4))+(AU$57*INDEX('DEFAULT DATA'!$ZP$9:$ZW$41,START!$C$3,4)))*INDEX('DEFAULT DATA'!$WC$9:$WJ$41,START!$C$3,4)/1000000)</f>
        <v>0</v>
      </c>
      <c r="AV64" s="331">
        <f>IF((AV$60-2021)&lt;START!$C$2,0,((AV$55*INDEX('DEFAULT DATA'!$AGZ$9:$AHG$41,START!$C$3,4))+(AV$56*INDEX('DEFAULT DATA'!$YJ$9:$YQ$41,START!$C$3,4))+(AV$57*INDEX('DEFAULT DATA'!$ZP$9:$ZW$41,START!$C$3,4)))*INDEX('DEFAULT DATA'!$WC$9:$WJ$41,START!$C$3,4)/1000000)</f>
        <v>0</v>
      </c>
      <c r="AW64" s="331">
        <f>IF((AW$60-2021)&lt;START!$C$2,0,((AW$55*INDEX('DEFAULT DATA'!$AGZ$9:$AHG$41,START!$C$3,4))+(AW$56*INDEX('DEFAULT DATA'!$YJ$9:$YQ$41,START!$C$3,4))+(AW$57*INDEX('DEFAULT DATA'!$ZP$9:$ZW$41,START!$C$3,4)))*INDEX('DEFAULT DATA'!$WC$9:$WJ$41,START!$C$3,4)/1000000)</f>
        <v>0</v>
      </c>
      <c r="AX64" s="331">
        <f>IF((AX$60-2021)&lt;START!$C$2,0,((AX$55*INDEX('DEFAULT DATA'!$AGZ$9:$AHG$41,START!$C$3,4))+(AX$56*INDEX('DEFAULT DATA'!$YJ$9:$YQ$41,START!$C$3,4))+(AX$57*INDEX('DEFAULT DATA'!$ZP$9:$ZW$41,START!$C$3,4)))*INDEX('DEFAULT DATA'!$WC$9:$WJ$41,START!$C$3,4)/1000000)</f>
        <v>0</v>
      </c>
      <c r="AY64" s="331">
        <f>IF((AY$60-2021)&lt;START!$C$2,0,((AY$55*INDEX('DEFAULT DATA'!$AGZ$9:$AHG$41,START!$C$3,4))+(AY$56*INDEX('DEFAULT DATA'!$YJ$9:$YQ$41,START!$C$3,4))+(AY$57*INDEX('DEFAULT DATA'!$ZP$9:$ZW$41,START!$C$3,4)))*INDEX('DEFAULT DATA'!$WC$9:$WJ$41,START!$C$3,4)/1000000)</f>
        <v>0</v>
      </c>
      <c r="AZ64" s="331">
        <f>IF((AZ$60-2021)&lt;START!$C$2,0,((AZ$55*INDEX('DEFAULT DATA'!$AGZ$9:$AHG$41,START!$C$3,4))+(AZ$56*INDEX('DEFAULT DATA'!$YJ$9:$YQ$41,START!$C$3,4))+(AZ$57*INDEX('DEFAULT DATA'!$ZP$9:$ZW$41,START!$C$3,4)))*INDEX('DEFAULT DATA'!$WC$9:$WJ$41,START!$C$3,4)/1000000)</f>
        <v>0</v>
      </c>
      <c r="BA64" s="331">
        <f>IF((BA$60-2021)&lt;START!$C$2,0,((BA$55*INDEX('DEFAULT DATA'!$AGZ$9:$AHG$41,START!$C$3,4))+(BA$56*INDEX('DEFAULT DATA'!$YJ$9:$YQ$41,START!$C$3,4))+(BA$57*INDEX('DEFAULT DATA'!$ZP$9:$ZW$41,START!$C$3,4)))*INDEX('DEFAULT DATA'!$WC$9:$WJ$41,START!$C$3,4)/1000000)</f>
        <v>0</v>
      </c>
      <c r="BB64" s="331">
        <f>IF((BB$60-2021)&lt;START!$C$2,0,((BB$55*INDEX('DEFAULT DATA'!$AGZ$9:$AHG$41,START!$C$3,4))+(BB$56*INDEX('DEFAULT DATA'!$YJ$9:$YQ$41,START!$C$3,4))+(BB$57*INDEX('DEFAULT DATA'!$ZP$9:$ZW$41,START!$C$3,4)))*INDEX('DEFAULT DATA'!$WC$9:$WJ$41,START!$C$3,4)/1000000)</f>
        <v>0</v>
      </c>
      <c r="BC64" s="331">
        <f>IF((BC$60-2021)&lt;START!$C$2,0,((BC$55*INDEX('DEFAULT DATA'!$AGZ$9:$AHG$41,START!$C$3,4))+(BC$56*INDEX('DEFAULT DATA'!$YJ$9:$YQ$41,START!$C$3,4))+(BC$57*INDEX('DEFAULT DATA'!$ZP$9:$ZW$41,START!$C$3,4)))*INDEX('DEFAULT DATA'!$WC$9:$WJ$41,START!$C$3,4)/1000000)</f>
        <v>0</v>
      </c>
      <c r="BD64" s="331">
        <f>IF((BD$60-2021)&lt;START!$C$2,0,((BD$55*INDEX('DEFAULT DATA'!$AGZ$9:$AHG$41,START!$C$3,4))+(BD$56*INDEX('DEFAULT DATA'!$YJ$9:$YQ$41,START!$C$3,4))+(BD$57*INDEX('DEFAULT DATA'!$ZP$9:$ZW$41,START!$C$3,4)))*INDEX('DEFAULT DATA'!$WC$9:$WJ$41,START!$C$3,4)/1000000)</f>
        <v>0</v>
      </c>
      <c r="BE64" s="331">
        <f>IF((BE$60-2021)&lt;START!$C$2,0,((BE$55*INDEX('DEFAULT DATA'!$AGZ$9:$AHG$41,START!$C$3,4))+(BE$56*INDEX('DEFAULT DATA'!$YJ$9:$YQ$41,START!$C$3,4))+(BE$57*INDEX('DEFAULT DATA'!$ZP$9:$ZW$41,START!$C$3,4)))*INDEX('DEFAULT DATA'!$WC$9:$WJ$41,START!$C$3,4)/1000000)</f>
        <v>0</v>
      </c>
      <c r="BF64" s="331">
        <f>IF((BF$60-2021)&lt;START!$C$2,0,((BF$55*INDEX('DEFAULT DATA'!$AGZ$9:$AHG$41,START!$C$3,4))+(BF$56*INDEX('DEFAULT DATA'!$YJ$9:$YQ$41,START!$C$3,4))+(BF$57*INDEX('DEFAULT DATA'!$ZP$9:$ZW$41,START!$C$3,4)))*INDEX('DEFAULT DATA'!$WC$9:$WJ$41,START!$C$3,4)/1000000)</f>
        <v>0</v>
      </c>
      <c r="BG64" s="331">
        <f>IF((BG$60-2021)&lt;START!$C$2,0,((BG$55*INDEX('DEFAULT DATA'!$AGZ$9:$AHG$41,START!$C$3,4))+(BG$56*INDEX('DEFAULT DATA'!$YJ$9:$YQ$41,START!$C$3,4))+(BG$57*INDEX('DEFAULT DATA'!$ZP$9:$ZW$41,START!$C$3,4)))*INDEX('DEFAULT DATA'!$WC$9:$WJ$41,START!$C$3,4)/1000000)</f>
        <v>0</v>
      </c>
      <c r="BH64" s="331">
        <f>IF((BH$60-2021)&lt;START!$C$2,0,((BH$55*INDEX('DEFAULT DATA'!$AGZ$9:$AHG$41,START!$C$3,4))+(BH$56*INDEX('DEFAULT DATA'!$YJ$9:$YQ$41,START!$C$3,4))+(BH$57*INDEX('DEFAULT DATA'!$ZP$9:$ZW$41,START!$C$3,4)))*INDEX('DEFAULT DATA'!$WC$9:$WJ$41,START!$C$3,4)/1000000)</f>
        <v>0</v>
      </c>
      <c r="BI64" s="331">
        <f>IF((BI$60-2021)&lt;START!$C$2,0,((BI$55*INDEX('DEFAULT DATA'!$AGZ$9:$AHG$41,START!$C$3,4))+(BI$56*INDEX('DEFAULT DATA'!$YJ$9:$YQ$41,START!$C$3,4))+(BI$57*INDEX('DEFAULT DATA'!$ZP$9:$ZW$41,START!$C$3,4)))*INDEX('DEFAULT DATA'!$WC$9:$WJ$41,START!$C$3,4)/1000000)</f>
        <v>0</v>
      </c>
      <c r="BJ64" s="331">
        <f>IF((BJ$60-2021)&lt;START!$C$2,0,((BJ$55*INDEX('DEFAULT DATA'!$AGZ$9:$AHG$41,START!$C$3,4))+(BJ$56*INDEX('DEFAULT DATA'!$YJ$9:$YQ$41,START!$C$3,4))+(BJ$57*INDEX('DEFAULT DATA'!$ZP$9:$ZW$41,START!$C$3,4)))*INDEX('DEFAULT DATA'!$WC$9:$WJ$41,START!$C$3,4)/1000000)</f>
        <v>0</v>
      </c>
      <c r="BK64" s="331">
        <f>IF((BK$60-2021)&lt;START!$C$2,0,((BK$55*INDEX('DEFAULT DATA'!$AGZ$9:$AHG$41,START!$C$3,4))+(BK$56*INDEX('DEFAULT DATA'!$YJ$9:$YQ$41,START!$C$3,4))+(BK$57*INDEX('DEFAULT DATA'!$ZP$9:$ZW$41,START!$C$3,4)))*INDEX('DEFAULT DATA'!$WC$9:$WJ$41,START!$C$3,4)/1000000)</f>
        <v>0</v>
      </c>
      <c r="BL64" s="331">
        <f>IF((BL$60-2021)&lt;START!$C$2,0,((BL$55*INDEX('DEFAULT DATA'!$AGZ$9:$AHG$41,START!$C$3,4))+(BL$56*INDEX('DEFAULT DATA'!$YJ$9:$YQ$41,START!$C$3,4))+(BL$57*INDEX('DEFAULT DATA'!$ZP$9:$ZW$41,START!$C$3,4)))*INDEX('DEFAULT DATA'!$WC$9:$WJ$41,START!$C$3,4)/1000000)</f>
        <v>0</v>
      </c>
      <c r="BM64" s="331">
        <f>IF((BM$60-2021)&lt;START!$C$2,0,((BM$55*INDEX('DEFAULT DATA'!$AGZ$9:$AHG$41,START!$C$3,4))+(BM$56*INDEX('DEFAULT DATA'!$YJ$9:$YQ$41,START!$C$3,4))+(BM$57*INDEX('DEFAULT DATA'!$ZP$9:$ZW$41,START!$C$3,4)))*INDEX('DEFAULT DATA'!$WC$9:$WJ$41,START!$C$3,4)/1000000)</f>
        <v>0</v>
      </c>
      <c r="BN64" s="331">
        <f>IF((BN$60-2021)&lt;START!$C$2,0,((BN$55*INDEX('DEFAULT DATA'!$AGZ$9:$AHG$41,START!$C$3,4))+(BN$56*INDEX('DEFAULT DATA'!$YJ$9:$YQ$41,START!$C$3,4))+(BN$57*INDEX('DEFAULT DATA'!$ZP$9:$ZW$41,START!$C$3,4)))*INDEX('DEFAULT DATA'!$WC$9:$WJ$41,START!$C$3,4)/1000000)</f>
        <v>0</v>
      </c>
      <c r="BP64" s="355" t="str">
        <f t="shared" si="14"/>
        <v>Coal</v>
      </c>
      <c r="BQ64" s="361" t="s">
        <v>1357</v>
      </c>
      <c r="BR64" s="362"/>
      <c r="BS64" s="362"/>
      <c r="BT64" s="362"/>
      <c r="BU64" s="362"/>
      <c r="BV64" s="362"/>
      <c r="BW64" s="362"/>
      <c r="BX64" s="362"/>
      <c r="BY64" s="362"/>
      <c r="BZ64" s="362"/>
      <c r="CA64" s="362"/>
      <c r="CB64" s="362"/>
      <c r="CC64" s="362"/>
      <c r="CD64" s="362"/>
      <c r="CE64" s="363"/>
      <c r="CF64" s="360" t="s">
        <v>1260</v>
      </c>
      <c r="CG64" s="360" t="s">
        <v>1268</v>
      </c>
      <c r="CH64" s="360" t="s">
        <v>1276</v>
      </c>
      <c r="CI64" s="360" t="s">
        <v>1248</v>
      </c>
    </row>
    <row r="65" spans="1:87" ht="20.100000000000001" customHeight="1">
      <c r="A65" s="86"/>
      <c r="B65" s="65"/>
      <c r="C65" s="65"/>
      <c r="D65" s="65"/>
      <c r="E65" s="65"/>
      <c r="F65" s="65"/>
      <c r="G65" s="65"/>
      <c r="H65" s="21"/>
      <c r="I65" s="21"/>
      <c r="J65" s="21"/>
      <c r="K65" s="28"/>
      <c r="L65" s="16"/>
      <c r="M65" s="627"/>
      <c r="N65" s="630"/>
      <c r="O65" s="630"/>
      <c r="P65" s="630"/>
      <c r="Q65" s="630"/>
      <c r="R65" s="630"/>
      <c r="S65" s="630"/>
      <c r="T65" s="630"/>
      <c r="U65" s="630"/>
      <c r="V65" s="630"/>
      <c r="W65" s="630"/>
      <c r="X65" s="630"/>
      <c r="Y65" s="630"/>
      <c r="Z65" s="630"/>
      <c r="AA65" s="630"/>
      <c r="AB65" s="630"/>
      <c r="AC65" s="630"/>
      <c r="AD65" s="630"/>
      <c r="AE65" s="630"/>
      <c r="AF65" s="1551"/>
      <c r="AG65" s="1581" t="s">
        <v>865</v>
      </c>
      <c r="AH65" s="1582"/>
      <c r="AI65" s="1582"/>
      <c r="AJ65" s="1583"/>
      <c r="AK65" s="81">
        <v>0</v>
      </c>
      <c r="AL65" s="331">
        <f>IF((AL$60-2021)&lt;START!$C$2,0,((AL$55*INDEX('DEFAULT DATA'!$AGZ$9:$AHG$41,START!$C$3,5))+(AL$56*INDEX('DEFAULT DATA'!$YJ$9:$YQ$41,START!$C$3,5))+(AL$57*INDEX('DEFAULT DATA'!$ZP$9:$ZW$41,START!$C$3,5)))*INDEX('DEFAULT DATA'!$WC$9:$WJ$41,START!$C$3,5)/1000000)</f>
        <v>0</v>
      </c>
      <c r="AM65" s="331">
        <f>IF((AM$60-2021)&lt;START!$C$2,0,((AM$55*INDEX('DEFAULT DATA'!$AGZ$9:$AHG$41,START!$C$3,5))+(AM$56*INDEX('DEFAULT DATA'!$YJ$9:$YQ$41,START!$C$3,5))+(AM$57*INDEX('DEFAULT DATA'!$ZP$9:$ZW$41,START!$C$3,5)))*INDEX('DEFAULT DATA'!$WC$9:$WJ$41,START!$C$3,5)/1000000)</f>
        <v>0</v>
      </c>
      <c r="AN65" s="331">
        <f>IF((AN$60-2021)&lt;START!$C$2,0,((AN$55*INDEX('DEFAULT DATA'!$AGZ$9:$AHG$41,START!$C$3,5))+(AN$56*INDEX('DEFAULT DATA'!$YJ$9:$YQ$41,START!$C$3,5))+(AN$57*INDEX('DEFAULT DATA'!$ZP$9:$ZW$41,START!$C$3,5)))*INDEX('DEFAULT DATA'!$WC$9:$WJ$41,START!$C$3,5)/1000000)</f>
        <v>0</v>
      </c>
      <c r="AO65" s="331">
        <f>IF((AO$60-2021)&lt;START!$C$2,0,((AO$55*INDEX('DEFAULT DATA'!$AGZ$9:$AHG$41,START!$C$3,5))+(AO$56*INDEX('DEFAULT DATA'!$YJ$9:$YQ$41,START!$C$3,5))+(AO$57*INDEX('DEFAULT DATA'!$ZP$9:$ZW$41,START!$C$3,5)))*INDEX('DEFAULT DATA'!$WC$9:$WJ$41,START!$C$3,5)/1000000)</f>
        <v>0</v>
      </c>
      <c r="AP65" s="331">
        <f>IF((AP$60-2021)&lt;START!$C$2,0,((AP$55*INDEX('DEFAULT DATA'!$AGZ$9:$AHG$41,START!$C$3,5))+(AP$56*INDEX('DEFAULT DATA'!$YJ$9:$YQ$41,START!$C$3,5))+(AP$57*INDEX('DEFAULT DATA'!$ZP$9:$ZW$41,START!$C$3,5)))*INDEX('DEFAULT DATA'!$WC$9:$WJ$41,START!$C$3,5)/1000000)</f>
        <v>0</v>
      </c>
      <c r="AQ65" s="331">
        <f>IF((AQ$60-2021)&lt;START!$C$2,0,((AQ$55*INDEX('DEFAULT DATA'!$AGZ$9:$AHG$41,START!$C$3,5))+(AQ$56*INDEX('DEFAULT DATA'!$YJ$9:$YQ$41,START!$C$3,5))+(AQ$57*INDEX('DEFAULT DATA'!$ZP$9:$ZW$41,START!$C$3,5)))*INDEX('DEFAULT DATA'!$WC$9:$WJ$41,START!$C$3,5)/1000000)</f>
        <v>0</v>
      </c>
      <c r="AR65" s="331">
        <f>IF((AR$60-2021)&lt;START!$C$2,0,((AR$55*INDEX('DEFAULT DATA'!$AGZ$9:$AHG$41,START!$C$3,5))+(AR$56*INDEX('DEFAULT DATA'!$YJ$9:$YQ$41,START!$C$3,5))+(AR$57*INDEX('DEFAULT DATA'!$ZP$9:$ZW$41,START!$C$3,5)))*INDEX('DEFAULT DATA'!$WC$9:$WJ$41,START!$C$3,5)/1000000)</f>
        <v>0</v>
      </c>
      <c r="AS65" s="331">
        <f>IF((AS$60-2021)&lt;START!$C$2,0,((AS$55*INDEX('DEFAULT DATA'!$AGZ$9:$AHG$41,START!$C$3,5))+(AS$56*INDEX('DEFAULT DATA'!$YJ$9:$YQ$41,START!$C$3,5))+(AS$57*INDEX('DEFAULT DATA'!$ZP$9:$ZW$41,START!$C$3,5)))*INDEX('DEFAULT DATA'!$WC$9:$WJ$41,START!$C$3,5)/1000000)</f>
        <v>0</v>
      </c>
      <c r="AT65" s="331">
        <f>IF((AT$60-2021)&lt;START!$C$2,0,((AT$55*INDEX('DEFAULT DATA'!$AGZ$9:$AHG$41,START!$C$3,5))+(AT$56*INDEX('DEFAULT DATA'!$YJ$9:$YQ$41,START!$C$3,5))+(AT$57*INDEX('DEFAULT DATA'!$ZP$9:$ZW$41,START!$C$3,5)))*INDEX('DEFAULT DATA'!$WC$9:$WJ$41,START!$C$3,5)/1000000)</f>
        <v>0</v>
      </c>
      <c r="AU65" s="331">
        <f>IF((AU$60-2021)&lt;START!$C$2,0,((AU$55*INDEX('DEFAULT DATA'!$AGZ$9:$AHG$41,START!$C$3,5))+(AU$56*INDEX('DEFAULT DATA'!$YJ$9:$YQ$41,START!$C$3,5))+(AU$57*INDEX('DEFAULT DATA'!$ZP$9:$ZW$41,START!$C$3,5)))*INDEX('DEFAULT DATA'!$WC$9:$WJ$41,START!$C$3,5)/1000000)</f>
        <v>0</v>
      </c>
      <c r="AV65" s="331">
        <f>IF((AV$60-2021)&lt;START!$C$2,0,((AV$55*INDEX('DEFAULT DATA'!$AGZ$9:$AHG$41,START!$C$3,5))+(AV$56*INDEX('DEFAULT DATA'!$YJ$9:$YQ$41,START!$C$3,5))+(AV$57*INDEX('DEFAULT DATA'!$ZP$9:$ZW$41,START!$C$3,5)))*INDEX('DEFAULT DATA'!$WC$9:$WJ$41,START!$C$3,5)/1000000)</f>
        <v>0</v>
      </c>
      <c r="AW65" s="331">
        <f>IF((AW$60-2021)&lt;START!$C$2,0,((AW$55*INDEX('DEFAULT DATA'!$AGZ$9:$AHG$41,START!$C$3,5))+(AW$56*INDEX('DEFAULT DATA'!$YJ$9:$YQ$41,START!$C$3,5))+(AW$57*INDEX('DEFAULT DATA'!$ZP$9:$ZW$41,START!$C$3,5)))*INDEX('DEFAULT DATA'!$WC$9:$WJ$41,START!$C$3,5)/1000000)</f>
        <v>0</v>
      </c>
      <c r="AX65" s="331">
        <f>IF((AX$60-2021)&lt;START!$C$2,0,((AX$55*INDEX('DEFAULT DATA'!$AGZ$9:$AHG$41,START!$C$3,5))+(AX$56*INDEX('DEFAULT DATA'!$YJ$9:$YQ$41,START!$C$3,5))+(AX$57*INDEX('DEFAULT DATA'!$ZP$9:$ZW$41,START!$C$3,5)))*INDEX('DEFAULT DATA'!$WC$9:$WJ$41,START!$C$3,5)/1000000)</f>
        <v>0</v>
      </c>
      <c r="AY65" s="331">
        <f>IF((AY$60-2021)&lt;START!$C$2,0,((AY$55*INDEX('DEFAULT DATA'!$AGZ$9:$AHG$41,START!$C$3,5))+(AY$56*INDEX('DEFAULT DATA'!$YJ$9:$YQ$41,START!$C$3,5))+(AY$57*INDEX('DEFAULT DATA'!$ZP$9:$ZW$41,START!$C$3,5)))*INDEX('DEFAULT DATA'!$WC$9:$WJ$41,START!$C$3,5)/1000000)</f>
        <v>0</v>
      </c>
      <c r="AZ65" s="331">
        <f>IF((AZ$60-2021)&lt;START!$C$2,0,((AZ$55*INDEX('DEFAULT DATA'!$AGZ$9:$AHG$41,START!$C$3,5))+(AZ$56*INDEX('DEFAULT DATA'!$YJ$9:$YQ$41,START!$C$3,5))+(AZ$57*INDEX('DEFAULT DATA'!$ZP$9:$ZW$41,START!$C$3,5)))*INDEX('DEFAULT DATA'!$WC$9:$WJ$41,START!$C$3,5)/1000000)</f>
        <v>0</v>
      </c>
      <c r="BA65" s="331">
        <f>IF((BA$60-2021)&lt;START!$C$2,0,((BA$55*INDEX('DEFAULT DATA'!$AGZ$9:$AHG$41,START!$C$3,5))+(BA$56*INDEX('DEFAULT DATA'!$YJ$9:$YQ$41,START!$C$3,5))+(BA$57*INDEX('DEFAULT DATA'!$ZP$9:$ZW$41,START!$C$3,5)))*INDEX('DEFAULT DATA'!$WC$9:$WJ$41,START!$C$3,5)/1000000)</f>
        <v>0</v>
      </c>
      <c r="BB65" s="331">
        <f>IF((BB$60-2021)&lt;START!$C$2,0,((BB$55*INDEX('DEFAULT DATA'!$AGZ$9:$AHG$41,START!$C$3,5))+(BB$56*INDEX('DEFAULT DATA'!$YJ$9:$YQ$41,START!$C$3,5))+(BB$57*INDEX('DEFAULT DATA'!$ZP$9:$ZW$41,START!$C$3,5)))*INDEX('DEFAULT DATA'!$WC$9:$WJ$41,START!$C$3,5)/1000000)</f>
        <v>0</v>
      </c>
      <c r="BC65" s="331">
        <f>IF((BC$60-2021)&lt;START!$C$2,0,((BC$55*INDEX('DEFAULT DATA'!$AGZ$9:$AHG$41,START!$C$3,5))+(BC$56*INDEX('DEFAULT DATA'!$YJ$9:$YQ$41,START!$C$3,5))+(BC$57*INDEX('DEFAULT DATA'!$ZP$9:$ZW$41,START!$C$3,5)))*INDEX('DEFAULT DATA'!$WC$9:$WJ$41,START!$C$3,5)/1000000)</f>
        <v>0</v>
      </c>
      <c r="BD65" s="331">
        <f>IF((BD$60-2021)&lt;START!$C$2,0,((BD$55*INDEX('DEFAULT DATA'!$AGZ$9:$AHG$41,START!$C$3,5))+(BD$56*INDEX('DEFAULT DATA'!$YJ$9:$YQ$41,START!$C$3,5))+(BD$57*INDEX('DEFAULT DATA'!$ZP$9:$ZW$41,START!$C$3,5)))*INDEX('DEFAULT DATA'!$WC$9:$WJ$41,START!$C$3,5)/1000000)</f>
        <v>0</v>
      </c>
      <c r="BE65" s="331">
        <f>IF((BE$60-2021)&lt;START!$C$2,0,((BE$55*INDEX('DEFAULT DATA'!$AGZ$9:$AHG$41,START!$C$3,5))+(BE$56*INDEX('DEFAULT DATA'!$YJ$9:$YQ$41,START!$C$3,5))+(BE$57*INDEX('DEFAULT DATA'!$ZP$9:$ZW$41,START!$C$3,5)))*INDEX('DEFAULT DATA'!$WC$9:$WJ$41,START!$C$3,5)/1000000)</f>
        <v>0</v>
      </c>
      <c r="BF65" s="331">
        <f>IF((BF$60-2021)&lt;START!$C$2,0,((BF$55*INDEX('DEFAULT DATA'!$AGZ$9:$AHG$41,START!$C$3,5))+(BF$56*INDEX('DEFAULT DATA'!$YJ$9:$YQ$41,START!$C$3,5))+(BF$57*INDEX('DEFAULT DATA'!$ZP$9:$ZW$41,START!$C$3,5)))*INDEX('DEFAULT DATA'!$WC$9:$WJ$41,START!$C$3,5)/1000000)</f>
        <v>0</v>
      </c>
      <c r="BG65" s="331">
        <f>IF((BG$60-2021)&lt;START!$C$2,0,((BG$55*INDEX('DEFAULT DATA'!$AGZ$9:$AHG$41,START!$C$3,5))+(BG$56*INDEX('DEFAULT DATA'!$YJ$9:$YQ$41,START!$C$3,5))+(BG$57*INDEX('DEFAULT DATA'!$ZP$9:$ZW$41,START!$C$3,5)))*INDEX('DEFAULT DATA'!$WC$9:$WJ$41,START!$C$3,5)/1000000)</f>
        <v>0</v>
      </c>
      <c r="BH65" s="331">
        <f>IF((BH$60-2021)&lt;START!$C$2,0,((BH$55*INDEX('DEFAULT DATA'!$AGZ$9:$AHG$41,START!$C$3,5))+(BH$56*INDEX('DEFAULT DATA'!$YJ$9:$YQ$41,START!$C$3,5))+(BH$57*INDEX('DEFAULT DATA'!$ZP$9:$ZW$41,START!$C$3,5)))*INDEX('DEFAULT DATA'!$WC$9:$WJ$41,START!$C$3,5)/1000000)</f>
        <v>0</v>
      </c>
      <c r="BI65" s="331">
        <f>IF((BI$60-2021)&lt;START!$C$2,0,((BI$55*INDEX('DEFAULT DATA'!$AGZ$9:$AHG$41,START!$C$3,5))+(BI$56*INDEX('DEFAULT DATA'!$YJ$9:$YQ$41,START!$C$3,5))+(BI$57*INDEX('DEFAULT DATA'!$ZP$9:$ZW$41,START!$C$3,5)))*INDEX('DEFAULT DATA'!$WC$9:$WJ$41,START!$C$3,5)/1000000)</f>
        <v>0</v>
      </c>
      <c r="BJ65" s="331">
        <f>IF((BJ$60-2021)&lt;START!$C$2,0,((BJ$55*INDEX('DEFAULT DATA'!$AGZ$9:$AHG$41,START!$C$3,5))+(BJ$56*INDEX('DEFAULT DATA'!$YJ$9:$YQ$41,START!$C$3,5))+(BJ$57*INDEX('DEFAULT DATA'!$ZP$9:$ZW$41,START!$C$3,5)))*INDEX('DEFAULT DATA'!$WC$9:$WJ$41,START!$C$3,5)/1000000)</f>
        <v>0</v>
      </c>
      <c r="BK65" s="331">
        <f>IF((BK$60-2021)&lt;START!$C$2,0,((BK$55*INDEX('DEFAULT DATA'!$AGZ$9:$AHG$41,START!$C$3,5))+(BK$56*INDEX('DEFAULT DATA'!$YJ$9:$YQ$41,START!$C$3,5))+(BK$57*INDEX('DEFAULT DATA'!$ZP$9:$ZW$41,START!$C$3,5)))*INDEX('DEFAULT DATA'!$WC$9:$WJ$41,START!$C$3,5)/1000000)</f>
        <v>0</v>
      </c>
      <c r="BL65" s="331">
        <f>IF((BL$60-2021)&lt;START!$C$2,0,((BL$55*INDEX('DEFAULT DATA'!$AGZ$9:$AHG$41,START!$C$3,5))+(BL$56*INDEX('DEFAULT DATA'!$YJ$9:$YQ$41,START!$C$3,5))+(BL$57*INDEX('DEFAULT DATA'!$ZP$9:$ZW$41,START!$C$3,5)))*INDEX('DEFAULT DATA'!$WC$9:$WJ$41,START!$C$3,5)/1000000)</f>
        <v>0</v>
      </c>
      <c r="BM65" s="331">
        <f>IF((BM$60-2021)&lt;START!$C$2,0,((BM$55*INDEX('DEFAULT DATA'!$AGZ$9:$AHG$41,START!$C$3,5))+(BM$56*INDEX('DEFAULT DATA'!$YJ$9:$YQ$41,START!$C$3,5))+(BM$57*INDEX('DEFAULT DATA'!$ZP$9:$ZW$41,START!$C$3,5)))*INDEX('DEFAULT DATA'!$WC$9:$WJ$41,START!$C$3,5)/1000000)</f>
        <v>0</v>
      </c>
      <c r="BN65" s="331">
        <f>IF((BN$60-2021)&lt;START!$C$2,0,((BN$55*INDEX('DEFAULT DATA'!$AGZ$9:$AHG$41,START!$C$3,5))+(BN$56*INDEX('DEFAULT DATA'!$YJ$9:$YQ$41,START!$C$3,5))+(BN$57*INDEX('DEFAULT DATA'!$ZP$9:$ZW$41,START!$C$3,5)))*INDEX('DEFAULT DATA'!$WC$9:$WJ$41,START!$C$3,5)/1000000)</f>
        <v>0</v>
      </c>
      <c r="BP65" s="355" t="str">
        <f t="shared" si="14"/>
        <v>Peat</v>
      </c>
      <c r="BQ65" s="361" t="s">
        <v>1358</v>
      </c>
      <c r="BR65" s="362"/>
      <c r="BS65" s="362"/>
      <c r="BT65" s="362"/>
      <c r="BU65" s="362"/>
      <c r="BV65" s="362"/>
      <c r="BW65" s="362"/>
      <c r="BX65" s="362"/>
      <c r="BY65" s="362"/>
      <c r="BZ65" s="362"/>
      <c r="CA65" s="362"/>
      <c r="CB65" s="362"/>
      <c r="CC65" s="362"/>
      <c r="CD65" s="362"/>
      <c r="CE65" s="363"/>
      <c r="CF65" s="360" t="s">
        <v>1261</v>
      </c>
      <c r="CG65" s="360" t="s">
        <v>1269</v>
      </c>
      <c r="CH65" s="360" t="s">
        <v>1277</v>
      </c>
      <c r="CI65" s="360" t="s">
        <v>1249</v>
      </c>
    </row>
    <row r="66" spans="1:87" ht="20.100000000000001" customHeight="1">
      <c r="A66" s="86"/>
      <c r="B66" s="65"/>
      <c r="C66" s="65"/>
      <c r="D66" s="65"/>
      <c r="E66" s="65"/>
      <c r="F66" s="65"/>
      <c r="G66" s="65"/>
      <c r="H66" s="21"/>
      <c r="I66" s="21"/>
      <c r="J66" s="21"/>
      <c r="K66" s="28"/>
      <c r="L66" s="16"/>
      <c r="M66" s="627"/>
      <c r="N66" s="630"/>
      <c r="O66" s="630"/>
      <c r="P66" s="630"/>
      <c r="Q66" s="630"/>
      <c r="R66" s="630"/>
      <c r="S66" s="630"/>
      <c r="T66" s="630"/>
      <c r="U66" s="630"/>
      <c r="V66" s="630"/>
      <c r="W66" s="630"/>
      <c r="X66" s="630"/>
      <c r="Y66" s="630"/>
      <c r="Z66" s="630"/>
      <c r="AA66" s="630"/>
      <c r="AB66" s="630"/>
      <c r="AC66" s="630"/>
      <c r="AD66" s="630"/>
      <c r="AE66" s="630"/>
      <c r="AF66" s="1551"/>
      <c r="AG66" s="1581" t="s">
        <v>866</v>
      </c>
      <c r="AH66" s="1582"/>
      <c r="AI66" s="1582"/>
      <c r="AJ66" s="1583"/>
      <c r="AK66" s="81">
        <v>0</v>
      </c>
      <c r="AL66" s="331">
        <f>IF((AL$60-2021)&lt;START!$C$2,0,((AL$55*INDEX('DEFAULT DATA'!$AGZ$9:$AHG$41,START!$C$3,6))+(AL$56*INDEX('DEFAULT DATA'!$YJ$9:$YQ$41,START!$C$3,6))+(AL$57*INDEX('DEFAULT DATA'!$ZP$9:$ZW$41,START!$C$3,6)))*INDEX('DEFAULT DATA'!$WC$9:$WJ$41,START!$C$3,6)/1000000)</f>
        <v>0</v>
      </c>
      <c r="AM66" s="331">
        <f>IF((AM$60-2021)&lt;START!$C$2,0,((AM$55*INDEX('DEFAULT DATA'!$AGZ$9:$AHG$41,START!$C$3,6))+(AM$56*INDEX('DEFAULT DATA'!$YJ$9:$YQ$41,START!$C$3,6))+(AM$57*INDEX('DEFAULT DATA'!$ZP$9:$ZW$41,START!$C$3,6)))*INDEX('DEFAULT DATA'!$WC$9:$WJ$41,START!$C$3,6)/1000000)</f>
        <v>0</v>
      </c>
      <c r="AN66" s="331">
        <f>IF((AN$60-2021)&lt;START!$C$2,0,((AN$55*INDEX('DEFAULT DATA'!$AGZ$9:$AHG$41,START!$C$3,6))+(AN$56*INDEX('DEFAULT DATA'!$YJ$9:$YQ$41,START!$C$3,6))+(AN$57*INDEX('DEFAULT DATA'!$ZP$9:$ZW$41,START!$C$3,6)))*INDEX('DEFAULT DATA'!$WC$9:$WJ$41,START!$C$3,6)/1000000)</f>
        <v>0</v>
      </c>
      <c r="AO66" s="331">
        <f>IF((AO$60-2021)&lt;START!$C$2,0,((AO$55*INDEX('DEFAULT DATA'!$AGZ$9:$AHG$41,START!$C$3,6))+(AO$56*INDEX('DEFAULT DATA'!$YJ$9:$YQ$41,START!$C$3,6))+(AO$57*INDEX('DEFAULT DATA'!$ZP$9:$ZW$41,START!$C$3,6)))*INDEX('DEFAULT DATA'!$WC$9:$WJ$41,START!$C$3,6)/1000000)</f>
        <v>0</v>
      </c>
      <c r="AP66" s="331">
        <f>IF((AP$60-2021)&lt;START!$C$2,0,((AP$55*INDEX('DEFAULT DATA'!$AGZ$9:$AHG$41,START!$C$3,6))+(AP$56*INDEX('DEFAULT DATA'!$YJ$9:$YQ$41,START!$C$3,6))+(AP$57*INDEX('DEFAULT DATA'!$ZP$9:$ZW$41,START!$C$3,6)))*INDEX('DEFAULT DATA'!$WC$9:$WJ$41,START!$C$3,6)/1000000)</f>
        <v>0</v>
      </c>
      <c r="AQ66" s="331">
        <f>IF((AQ$60-2021)&lt;START!$C$2,0,((AQ$55*INDEX('DEFAULT DATA'!$AGZ$9:$AHG$41,START!$C$3,6))+(AQ$56*INDEX('DEFAULT DATA'!$YJ$9:$YQ$41,START!$C$3,6))+(AQ$57*INDEX('DEFAULT DATA'!$ZP$9:$ZW$41,START!$C$3,6)))*INDEX('DEFAULT DATA'!$WC$9:$WJ$41,START!$C$3,6)/1000000)</f>
        <v>0</v>
      </c>
      <c r="AR66" s="331">
        <f>IF((AR$60-2021)&lt;START!$C$2,0,((AR$55*INDEX('DEFAULT DATA'!$AGZ$9:$AHG$41,START!$C$3,6))+(AR$56*INDEX('DEFAULT DATA'!$YJ$9:$YQ$41,START!$C$3,6))+(AR$57*INDEX('DEFAULT DATA'!$ZP$9:$ZW$41,START!$C$3,6)))*INDEX('DEFAULT DATA'!$WC$9:$WJ$41,START!$C$3,6)/1000000)</f>
        <v>0</v>
      </c>
      <c r="AS66" s="331">
        <f>IF((AS$60-2021)&lt;START!$C$2,0,((AS$55*INDEX('DEFAULT DATA'!$AGZ$9:$AHG$41,START!$C$3,6))+(AS$56*INDEX('DEFAULT DATA'!$YJ$9:$YQ$41,START!$C$3,6))+(AS$57*INDEX('DEFAULT DATA'!$ZP$9:$ZW$41,START!$C$3,6)))*INDEX('DEFAULT DATA'!$WC$9:$WJ$41,START!$C$3,6)/1000000)</f>
        <v>0</v>
      </c>
      <c r="AT66" s="331">
        <f>IF((AT$60-2021)&lt;START!$C$2,0,((AT$55*INDEX('DEFAULT DATA'!$AGZ$9:$AHG$41,START!$C$3,6))+(AT$56*INDEX('DEFAULT DATA'!$YJ$9:$YQ$41,START!$C$3,6))+(AT$57*INDEX('DEFAULT DATA'!$ZP$9:$ZW$41,START!$C$3,6)))*INDEX('DEFAULT DATA'!$WC$9:$WJ$41,START!$C$3,6)/1000000)</f>
        <v>0</v>
      </c>
      <c r="AU66" s="331">
        <f>IF((AU$60-2021)&lt;START!$C$2,0,((AU$55*INDEX('DEFAULT DATA'!$AGZ$9:$AHG$41,START!$C$3,6))+(AU$56*INDEX('DEFAULT DATA'!$YJ$9:$YQ$41,START!$C$3,6))+(AU$57*INDEX('DEFAULT DATA'!$ZP$9:$ZW$41,START!$C$3,6)))*INDEX('DEFAULT DATA'!$WC$9:$WJ$41,START!$C$3,6)/1000000)</f>
        <v>0</v>
      </c>
      <c r="AV66" s="331">
        <f>IF((AV$60-2021)&lt;START!$C$2,0,((AV$55*INDEX('DEFAULT DATA'!$AGZ$9:$AHG$41,START!$C$3,6))+(AV$56*INDEX('DEFAULT DATA'!$YJ$9:$YQ$41,START!$C$3,6))+(AV$57*INDEX('DEFAULT DATA'!$ZP$9:$ZW$41,START!$C$3,6)))*INDEX('DEFAULT DATA'!$WC$9:$WJ$41,START!$C$3,6)/1000000)</f>
        <v>0</v>
      </c>
      <c r="AW66" s="331">
        <f>IF((AW$60-2021)&lt;START!$C$2,0,((AW$55*INDEX('DEFAULT DATA'!$AGZ$9:$AHG$41,START!$C$3,6))+(AW$56*INDEX('DEFAULT DATA'!$YJ$9:$YQ$41,START!$C$3,6))+(AW$57*INDEX('DEFAULT DATA'!$ZP$9:$ZW$41,START!$C$3,6)))*INDEX('DEFAULT DATA'!$WC$9:$WJ$41,START!$C$3,6)/1000000)</f>
        <v>0</v>
      </c>
      <c r="AX66" s="331">
        <f>IF((AX$60-2021)&lt;START!$C$2,0,((AX$55*INDEX('DEFAULT DATA'!$AGZ$9:$AHG$41,START!$C$3,6))+(AX$56*INDEX('DEFAULT DATA'!$YJ$9:$YQ$41,START!$C$3,6))+(AX$57*INDEX('DEFAULT DATA'!$ZP$9:$ZW$41,START!$C$3,6)))*INDEX('DEFAULT DATA'!$WC$9:$WJ$41,START!$C$3,6)/1000000)</f>
        <v>0</v>
      </c>
      <c r="AY66" s="331">
        <f>IF((AY$60-2021)&lt;START!$C$2,0,((AY$55*INDEX('DEFAULT DATA'!$AGZ$9:$AHG$41,START!$C$3,6))+(AY$56*INDEX('DEFAULT DATA'!$YJ$9:$YQ$41,START!$C$3,6))+(AY$57*INDEX('DEFAULT DATA'!$ZP$9:$ZW$41,START!$C$3,6)))*INDEX('DEFAULT DATA'!$WC$9:$WJ$41,START!$C$3,6)/1000000)</f>
        <v>0</v>
      </c>
      <c r="AZ66" s="331">
        <f>IF((AZ$60-2021)&lt;START!$C$2,0,((AZ$55*INDEX('DEFAULT DATA'!$AGZ$9:$AHG$41,START!$C$3,6))+(AZ$56*INDEX('DEFAULT DATA'!$YJ$9:$YQ$41,START!$C$3,6))+(AZ$57*INDEX('DEFAULT DATA'!$ZP$9:$ZW$41,START!$C$3,6)))*INDEX('DEFAULT DATA'!$WC$9:$WJ$41,START!$C$3,6)/1000000)</f>
        <v>0</v>
      </c>
      <c r="BA66" s="331">
        <f>IF((BA$60-2021)&lt;START!$C$2,0,((BA$55*INDEX('DEFAULT DATA'!$AGZ$9:$AHG$41,START!$C$3,6))+(BA$56*INDEX('DEFAULT DATA'!$YJ$9:$YQ$41,START!$C$3,6))+(BA$57*INDEX('DEFAULT DATA'!$ZP$9:$ZW$41,START!$C$3,6)))*INDEX('DEFAULT DATA'!$WC$9:$WJ$41,START!$C$3,6)/1000000)</f>
        <v>0</v>
      </c>
      <c r="BB66" s="331">
        <f>IF((BB$60-2021)&lt;START!$C$2,0,((BB$55*INDEX('DEFAULT DATA'!$AGZ$9:$AHG$41,START!$C$3,6))+(BB$56*INDEX('DEFAULT DATA'!$YJ$9:$YQ$41,START!$C$3,6))+(BB$57*INDEX('DEFAULT DATA'!$ZP$9:$ZW$41,START!$C$3,6)))*INDEX('DEFAULT DATA'!$WC$9:$WJ$41,START!$C$3,6)/1000000)</f>
        <v>0</v>
      </c>
      <c r="BC66" s="331">
        <f>IF((BC$60-2021)&lt;START!$C$2,0,((BC$55*INDEX('DEFAULT DATA'!$AGZ$9:$AHG$41,START!$C$3,6))+(BC$56*INDEX('DEFAULT DATA'!$YJ$9:$YQ$41,START!$C$3,6))+(BC$57*INDEX('DEFAULT DATA'!$ZP$9:$ZW$41,START!$C$3,6)))*INDEX('DEFAULT DATA'!$WC$9:$WJ$41,START!$C$3,6)/1000000)</f>
        <v>0</v>
      </c>
      <c r="BD66" s="331">
        <f>IF((BD$60-2021)&lt;START!$C$2,0,((BD$55*INDEX('DEFAULT DATA'!$AGZ$9:$AHG$41,START!$C$3,6))+(BD$56*INDEX('DEFAULT DATA'!$YJ$9:$YQ$41,START!$C$3,6))+(BD$57*INDEX('DEFAULT DATA'!$ZP$9:$ZW$41,START!$C$3,6)))*INDEX('DEFAULT DATA'!$WC$9:$WJ$41,START!$C$3,6)/1000000)</f>
        <v>0</v>
      </c>
      <c r="BE66" s="331">
        <f>IF((BE$60-2021)&lt;START!$C$2,0,((BE$55*INDEX('DEFAULT DATA'!$AGZ$9:$AHG$41,START!$C$3,6))+(BE$56*INDEX('DEFAULT DATA'!$YJ$9:$YQ$41,START!$C$3,6))+(BE$57*INDEX('DEFAULT DATA'!$ZP$9:$ZW$41,START!$C$3,6)))*INDEX('DEFAULT DATA'!$WC$9:$WJ$41,START!$C$3,6)/1000000)</f>
        <v>0</v>
      </c>
      <c r="BF66" s="331">
        <f>IF((BF$60-2021)&lt;START!$C$2,0,((BF$55*INDEX('DEFAULT DATA'!$AGZ$9:$AHG$41,START!$C$3,6))+(BF$56*INDEX('DEFAULT DATA'!$YJ$9:$YQ$41,START!$C$3,6))+(BF$57*INDEX('DEFAULT DATA'!$ZP$9:$ZW$41,START!$C$3,6)))*INDEX('DEFAULT DATA'!$WC$9:$WJ$41,START!$C$3,6)/1000000)</f>
        <v>0</v>
      </c>
      <c r="BG66" s="331">
        <f>IF((BG$60-2021)&lt;START!$C$2,0,((BG$55*INDEX('DEFAULT DATA'!$AGZ$9:$AHG$41,START!$C$3,6))+(BG$56*INDEX('DEFAULT DATA'!$YJ$9:$YQ$41,START!$C$3,6))+(BG$57*INDEX('DEFAULT DATA'!$ZP$9:$ZW$41,START!$C$3,6)))*INDEX('DEFAULT DATA'!$WC$9:$WJ$41,START!$C$3,6)/1000000)</f>
        <v>0</v>
      </c>
      <c r="BH66" s="331">
        <f>IF((BH$60-2021)&lt;START!$C$2,0,((BH$55*INDEX('DEFAULT DATA'!$AGZ$9:$AHG$41,START!$C$3,6))+(BH$56*INDEX('DEFAULT DATA'!$YJ$9:$YQ$41,START!$C$3,6))+(BH$57*INDEX('DEFAULT DATA'!$ZP$9:$ZW$41,START!$C$3,6)))*INDEX('DEFAULT DATA'!$WC$9:$WJ$41,START!$C$3,6)/1000000)</f>
        <v>0</v>
      </c>
      <c r="BI66" s="331">
        <f>IF((BI$60-2021)&lt;START!$C$2,0,((BI$55*INDEX('DEFAULT DATA'!$AGZ$9:$AHG$41,START!$C$3,6))+(BI$56*INDEX('DEFAULT DATA'!$YJ$9:$YQ$41,START!$C$3,6))+(BI$57*INDEX('DEFAULT DATA'!$ZP$9:$ZW$41,START!$C$3,6)))*INDEX('DEFAULT DATA'!$WC$9:$WJ$41,START!$C$3,6)/1000000)</f>
        <v>0</v>
      </c>
      <c r="BJ66" s="331">
        <f>IF((BJ$60-2021)&lt;START!$C$2,0,((BJ$55*INDEX('DEFAULT DATA'!$AGZ$9:$AHG$41,START!$C$3,6))+(BJ$56*INDEX('DEFAULT DATA'!$YJ$9:$YQ$41,START!$C$3,6))+(BJ$57*INDEX('DEFAULT DATA'!$ZP$9:$ZW$41,START!$C$3,6)))*INDEX('DEFAULT DATA'!$WC$9:$WJ$41,START!$C$3,6)/1000000)</f>
        <v>0</v>
      </c>
      <c r="BK66" s="331">
        <f>IF((BK$60-2021)&lt;START!$C$2,0,((BK$55*INDEX('DEFAULT DATA'!$AGZ$9:$AHG$41,START!$C$3,6))+(BK$56*INDEX('DEFAULT DATA'!$YJ$9:$YQ$41,START!$C$3,6))+(BK$57*INDEX('DEFAULT DATA'!$ZP$9:$ZW$41,START!$C$3,6)))*INDEX('DEFAULT DATA'!$WC$9:$WJ$41,START!$C$3,6)/1000000)</f>
        <v>0</v>
      </c>
      <c r="BL66" s="331">
        <f>IF((BL$60-2021)&lt;START!$C$2,0,((BL$55*INDEX('DEFAULT DATA'!$AGZ$9:$AHG$41,START!$C$3,6))+(BL$56*INDEX('DEFAULT DATA'!$YJ$9:$YQ$41,START!$C$3,6))+(BL$57*INDEX('DEFAULT DATA'!$ZP$9:$ZW$41,START!$C$3,6)))*INDEX('DEFAULT DATA'!$WC$9:$WJ$41,START!$C$3,6)/1000000)</f>
        <v>0</v>
      </c>
      <c r="BM66" s="331">
        <f>IF((BM$60-2021)&lt;START!$C$2,0,((BM$55*INDEX('DEFAULT DATA'!$AGZ$9:$AHG$41,START!$C$3,6))+(BM$56*INDEX('DEFAULT DATA'!$YJ$9:$YQ$41,START!$C$3,6))+(BM$57*INDEX('DEFAULT DATA'!$ZP$9:$ZW$41,START!$C$3,6)))*INDEX('DEFAULT DATA'!$WC$9:$WJ$41,START!$C$3,6)/1000000)</f>
        <v>0</v>
      </c>
      <c r="BN66" s="331">
        <f>IF((BN$60-2021)&lt;START!$C$2,0,((BN$55*INDEX('DEFAULT DATA'!$AGZ$9:$AHG$41,START!$C$3,6))+(BN$56*INDEX('DEFAULT DATA'!$YJ$9:$YQ$41,START!$C$3,6))+(BN$57*INDEX('DEFAULT DATA'!$ZP$9:$ZW$41,START!$C$3,6)))*INDEX('DEFAULT DATA'!$WC$9:$WJ$41,START!$C$3,6)/1000000)</f>
        <v>0</v>
      </c>
      <c r="BP66" s="355" t="str">
        <f t="shared" si="14"/>
        <v>Wood</v>
      </c>
      <c r="BQ66" s="361" t="s">
        <v>1359</v>
      </c>
      <c r="BR66" s="362"/>
      <c r="BS66" s="362"/>
      <c r="BT66" s="362"/>
      <c r="BU66" s="362"/>
      <c r="BV66" s="362"/>
      <c r="BW66" s="362"/>
      <c r="BX66" s="362"/>
      <c r="BY66" s="362"/>
      <c r="BZ66" s="362"/>
      <c r="CA66" s="362"/>
      <c r="CB66" s="362"/>
      <c r="CC66" s="362"/>
      <c r="CD66" s="362"/>
      <c r="CE66" s="363"/>
      <c r="CF66" s="360" t="s">
        <v>1262</v>
      </c>
      <c r="CG66" s="360" t="s">
        <v>1270</v>
      </c>
      <c r="CH66" s="360" t="s">
        <v>1278</v>
      </c>
      <c r="CI66" s="360" t="s">
        <v>1250</v>
      </c>
    </row>
    <row r="67" spans="1:87" ht="20.100000000000001" customHeight="1">
      <c r="A67" s="86"/>
      <c r="B67" s="65"/>
      <c r="C67" s="65"/>
      <c r="D67" s="65"/>
      <c r="E67" s="65"/>
      <c r="F67" s="65"/>
      <c r="G67" s="65"/>
      <c r="H67" s="21"/>
      <c r="I67" s="21"/>
      <c r="J67" s="21"/>
      <c r="K67" s="28"/>
      <c r="L67" s="16"/>
      <c r="M67" s="627"/>
      <c r="N67" s="630"/>
      <c r="O67" s="630"/>
      <c r="P67" s="630"/>
      <c r="Q67" s="630"/>
      <c r="R67" s="630"/>
      <c r="S67" s="630"/>
      <c r="T67" s="630"/>
      <c r="U67" s="630"/>
      <c r="V67" s="630"/>
      <c r="W67" s="630"/>
      <c r="X67" s="630"/>
      <c r="Y67" s="630"/>
      <c r="Z67" s="630"/>
      <c r="AA67" s="630"/>
      <c r="AB67" s="630"/>
      <c r="AC67" s="630"/>
      <c r="AD67" s="630"/>
      <c r="AE67" s="630"/>
      <c r="AF67" s="1551"/>
      <c r="AG67" s="1581" t="s">
        <v>867</v>
      </c>
      <c r="AH67" s="1582"/>
      <c r="AI67" s="1582"/>
      <c r="AJ67" s="1583"/>
      <c r="AK67" s="81">
        <v>0</v>
      </c>
      <c r="AL67" s="331">
        <f>IF((AL$60-2021)&lt;START!$C$2,0,((AL$55*INDEX('DEFAULT DATA'!$AGZ$9:$AHG$41,START!$C$3,7))+(AL$56*INDEX('DEFAULT DATA'!$YJ$9:$YQ$41,START!$C$3,7))+(AL$57*INDEX('DEFAULT DATA'!$ZP$9:$ZW$41,START!$C$3,7)))*INDEX('DEFAULT DATA'!$WC$9:$WJ$41,START!$C$3,7)/1000000)</f>
        <v>0</v>
      </c>
      <c r="AM67" s="331">
        <f>IF((AM$60-2021)&lt;START!$C$2,0,((AM$55*INDEX('DEFAULT DATA'!$AGZ$9:$AHG$41,START!$C$3,7))+(AM$56*INDEX('DEFAULT DATA'!$YJ$9:$YQ$41,START!$C$3,7))+(AM$57*INDEX('DEFAULT DATA'!$ZP$9:$ZW$41,START!$C$3,7)))*INDEX('DEFAULT DATA'!$WC$9:$WJ$41,START!$C$3,7)/1000000)</f>
        <v>0</v>
      </c>
      <c r="AN67" s="331">
        <f>IF((AN$60-2021)&lt;START!$C$2,0,((AN$55*INDEX('DEFAULT DATA'!$AGZ$9:$AHG$41,START!$C$3,7))+(AN$56*INDEX('DEFAULT DATA'!$YJ$9:$YQ$41,START!$C$3,7))+(AN$57*INDEX('DEFAULT DATA'!$ZP$9:$ZW$41,START!$C$3,7)))*INDEX('DEFAULT DATA'!$WC$9:$WJ$41,START!$C$3,7)/1000000)</f>
        <v>0</v>
      </c>
      <c r="AO67" s="331">
        <f>IF((AO$60-2021)&lt;START!$C$2,0,((AO$55*INDEX('DEFAULT DATA'!$AGZ$9:$AHG$41,START!$C$3,7))+(AO$56*INDEX('DEFAULT DATA'!$YJ$9:$YQ$41,START!$C$3,7))+(AO$57*INDEX('DEFAULT DATA'!$ZP$9:$ZW$41,START!$C$3,7)))*INDEX('DEFAULT DATA'!$WC$9:$WJ$41,START!$C$3,7)/1000000)</f>
        <v>0</v>
      </c>
      <c r="AP67" s="331">
        <f>IF((AP$60-2021)&lt;START!$C$2,0,((AP$55*INDEX('DEFAULT DATA'!$AGZ$9:$AHG$41,START!$C$3,7))+(AP$56*INDEX('DEFAULT DATA'!$YJ$9:$YQ$41,START!$C$3,7))+(AP$57*INDEX('DEFAULT DATA'!$ZP$9:$ZW$41,START!$C$3,7)))*INDEX('DEFAULT DATA'!$WC$9:$WJ$41,START!$C$3,7)/1000000)</f>
        <v>0</v>
      </c>
      <c r="AQ67" s="331">
        <f>IF((AQ$60-2021)&lt;START!$C$2,0,((AQ$55*INDEX('DEFAULT DATA'!$AGZ$9:$AHG$41,START!$C$3,7))+(AQ$56*INDEX('DEFAULT DATA'!$YJ$9:$YQ$41,START!$C$3,7))+(AQ$57*INDEX('DEFAULT DATA'!$ZP$9:$ZW$41,START!$C$3,7)))*INDEX('DEFAULT DATA'!$WC$9:$WJ$41,START!$C$3,7)/1000000)</f>
        <v>0</v>
      </c>
      <c r="AR67" s="331">
        <f>IF((AR$60-2021)&lt;START!$C$2,0,((AR$55*INDEX('DEFAULT DATA'!$AGZ$9:$AHG$41,START!$C$3,7))+(AR$56*INDEX('DEFAULT DATA'!$YJ$9:$YQ$41,START!$C$3,7))+(AR$57*INDEX('DEFAULT DATA'!$ZP$9:$ZW$41,START!$C$3,7)))*INDEX('DEFAULT DATA'!$WC$9:$WJ$41,START!$C$3,7)/1000000)</f>
        <v>0</v>
      </c>
      <c r="AS67" s="331">
        <f>IF((AS$60-2021)&lt;START!$C$2,0,((AS$55*INDEX('DEFAULT DATA'!$AGZ$9:$AHG$41,START!$C$3,7))+(AS$56*INDEX('DEFAULT DATA'!$YJ$9:$YQ$41,START!$C$3,7))+(AS$57*INDEX('DEFAULT DATA'!$ZP$9:$ZW$41,START!$C$3,7)))*INDEX('DEFAULT DATA'!$WC$9:$WJ$41,START!$C$3,7)/1000000)</f>
        <v>0</v>
      </c>
      <c r="AT67" s="331">
        <f>IF((AT$60-2021)&lt;START!$C$2,0,((AT$55*INDEX('DEFAULT DATA'!$AGZ$9:$AHG$41,START!$C$3,7))+(AT$56*INDEX('DEFAULT DATA'!$YJ$9:$YQ$41,START!$C$3,7))+(AT$57*INDEX('DEFAULT DATA'!$ZP$9:$ZW$41,START!$C$3,7)))*INDEX('DEFAULT DATA'!$WC$9:$WJ$41,START!$C$3,7)/1000000)</f>
        <v>0</v>
      </c>
      <c r="AU67" s="331">
        <f>IF((AU$60-2021)&lt;START!$C$2,0,((AU$55*INDEX('DEFAULT DATA'!$AGZ$9:$AHG$41,START!$C$3,7))+(AU$56*INDEX('DEFAULT DATA'!$YJ$9:$YQ$41,START!$C$3,7))+(AU$57*INDEX('DEFAULT DATA'!$ZP$9:$ZW$41,START!$C$3,7)))*INDEX('DEFAULT DATA'!$WC$9:$WJ$41,START!$C$3,7)/1000000)</f>
        <v>0</v>
      </c>
      <c r="AV67" s="331">
        <f>IF((AV$60-2021)&lt;START!$C$2,0,((AV$55*INDEX('DEFAULT DATA'!$AGZ$9:$AHG$41,START!$C$3,7))+(AV$56*INDEX('DEFAULT DATA'!$YJ$9:$YQ$41,START!$C$3,7))+(AV$57*INDEX('DEFAULT DATA'!$ZP$9:$ZW$41,START!$C$3,7)))*INDEX('DEFAULT DATA'!$WC$9:$WJ$41,START!$C$3,7)/1000000)</f>
        <v>0</v>
      </c>
      <c r="AW67" s="331">
        <f>IF((AW$60-2021)&lt;START!$C$2,0,((AW$55*INDEX('DEFAULT DATA'!$AGZ$9:$AHG$41,START!$C$3,7))+(AW$56*INDEX('DEFAULT DATA'!$YJ$9:$YQ$41,START!$C$3,7))+(AW$57*INDEX('DEFAULT DATA'!$ZP$9:$ZW$41,START!$C$3,7)))*INDEX('DEFAULT DATA'!$WC$9:$WJ$41,START!$C$3,7)/1000000)</f>
        <v>0</v>
      </c>
      <c r="AX67" s="331">
        <f>IF((AX$60-2021)&lt;START!$C$2,0,((AX$55*INDEX('DEFAULT DATA'!$AGZ$9:$AHG$41,START!$C$3,7))+(AX$56*INDEX('DEFAULT DATA'!$YJ$9:$YQ$41,START!$C$3,7))+(AX$57*INDEX('DEFAULT DATA'!$ZP$9:$ZW$41,START!$C$3,7)))*INDEX('DEFAULT DATA'!$WC$9:$WJ$41,START!$C$3,7)/1000000)</f>
        <v>0</v>
      </c>
      <c r="AY67" s="331">
        <f>IF((AY$60-2021)&lt;START!$C$2,0,((AY$55*INDEX('DEFAULT DATA'!$AGZ$9:$AHG$41,START!$C$3,7))+(AY$56*INDEX('DEFAULT DATA'!$YJ$9:$YQ$41,START!$C$3,7))+(AY$57*INDEX('DEFAULT DATA'!$ZP$9:$ZW$41,START!$C$3,7)))*INDEX('DEFAULT DATA'!$WC$9:$WJ$41,START!$C$3,7)/1000000)</f>
        <v>0</v>
      </c>
      <c r="AZ67" s="331">
        <f>IF((AZ$60-2021)&lt;START!$C$2,0,((AZ$55*INDEX('DEFAULT DATA'!$AGZ$9:$AHG$41,START!$C$3,7))+(AZ$56*INDEX('DEFAULT DATA'!$YJ$9:$YQ$41,START!$C$3,7))+(AZ$57*INDEX('DEFAULT DATA'!$ZP$9:$ZW$41,START!$C$3,7)))*INDEX('DEFAULT DATA'!$WC$9:$WJ$41,START!$C$3,7)/1000000)</f>
        <v>0</v>
      </c>
      <c r="BA67" s="331">
        <f>IF((BA$60-2021)&lt;START!$C$2,0,((BA$55*INDEX('DEFAULT DATA'!$AGZ$9:$AHG$41,START!$C$3,7))+(BA$56*INDEX('DEFAULT DATA'!$YJ$9:$YQ$41,START!$C$3,7))+(BA$57*INDEX('DEFAULT DATA'!$ZP$9:$ZW$41,START!$C$3,7)))*INDEX('DEFAULT DATA'!$WC$9:$WJ$41,START!$C$3,7)/1000000)</f>
        <v>0</v>
      </c>
      <c r="BB67" s="331">
        <f>IF((BB$60-2021)&lt;START!$C$2,0,((BB$55*INDEX('DEFAULT DATA'!$AGZ$9:$AHG$41,START!$C$3,7))+(BB$56*INDEX('DEFAULT DATA'!$YJ$9:$YQ$41,START!$C$3,7))+(BB$57*INDEX('DEFAULT DATA'!$ZP$9:$ZW$41,START!$C$3,7)))*INDEX('DEFAULT DATA'!$WC$9:$WJ$41,START!$C$3,7)/1000000)</f>
        <v>0</v>
      </c>
      <c r="BC67" s="331">
        <f>IF((BC$60-2021)&lt;START!$C$2,0,((BC$55*INDEX('DEFAULT DATA'!$AGZ$9:$AHG$41,START!$C$3,7))+(BC$56*INDEX('DEFAULT DATA'!$YJ$9:$YQ$41,START!$C$3,7))+(BC$57*INDEX('DEFAULT DATA'!$ZP$9:$ZW$41,START!$C$3,7)))*INDEX('DEFAULT DATA'!$WC$9:$WJ$41,START!$C$3,7)/1000000)</f>
        <v>0</v>
      </c>
      <c r="BD67" s="331">
        <f>IF((BD$60-2021)&lt;START!$C$2,0,((BD$55*INDEX('DEFAULT DATA'!$AGZ$9:$AHG$41,START!$C$3,7))+(BD$56*INDEX('DEFAULT DATA'!$YJ$9:$YQ$41,START!$C$3,7))+(BD$57*INDEX('DEFAULT DATA'!$ZP$9:$ZW$41,START!$C$3,7)))*INDEX('DEFAULT DATA'!$WC$9:$WJ$41,START!$C$3,7)/1000000)</f>
        <v>0</v>
      </c>
      <c r="BE67" s="331">
        <f>IF((BE$60-2021)&lt;START!$C$2,0,((BE$55*INDEX('DEFAULT DATA'!$AGZ$9:$AHG$41,START!$C$3,7))+(BE$56*INDEX('DEFAULT DATA'!$YJ$9:$YQ$41,START!$C$3,7))+(BE$57*INDEX('DEFAULT DATA'!$ZP$9:$ZW$41,START!$C$3,7)))*INDEX('DEFAULT DATA'!$WC$9:$WJ$41,START!$C$3,7)/1000000)</f>
        <v>0</v>
      </c>
      <c r="BF67" s="331">
        <f>IF((BF$60-2021)&lt;START!$C$2,0,((BF$55*INDEX('DEFAULT DATA'!$AGZ$9:$AHG$41,START!$C$3,7))+(BF$56*INDEX('DEFAULT DATA'!$YJ$9:$YQ$41,START!$C$3,7))+(BF$57*INDEX('DEFAULT DATA'!$ZP$9:$ZW$41,START!$C$3,7)))*INDEX('DEFAULT DATA'!$WC$9:$WJ$41,START!$C$3,7)/1000000)</f>
        <v>0</v>
      </c>
      <c r="BG67" s="331">
        <f>IF((BG$60-2021)&lt;START!$C$2,0,((BG$55*INDEX('DEFAULT DATA'!$AGZ$9:$AHG$41,START!$C$3,7))+(BG$56*INDEX('DEFAULT DATA'!$YJ$9:$YQ$41,START!$C$3,7))+(BG$57*INDEX('DEFAULT DATA'!$ZP$9:$ZW$41,START!$C$3,7)))*INDEX('DEFAULT DATA'!$WC$9:$WJ$41,START!$C$3,7)/1000000)</f>
        <v>0</v>
      </c>
      <c r="BH67" s="331">
        <f>IF((BH$60-2021)&lt;START!$C$2,0,((BH$55*INDEX('DEFAULT DATA'!$AGZ$9:$AHG$41,START!$C$3,7))+(BH$56*INDEX('DEFAULT DATA'!$YJ$9:$YQ$41,START!$C$3,7))+(BH$57*INDEX('DEFAULT DATA'!$ZP$9:$ZW$41,START!$C$3,7)))*INDEX('DEFAULT DATA'!$WC$9:$WJ$41,START!$C$3,7)/1000000)</f>
        <v>0</v>
      </c>
      <c r="BI67" s="331">
        <f>IF((BI$60-2021)&lt;START!$C$2,0,((BI$55*INDEX('DEFAULT DATA'!$AGZ$9:$AHG$41,START!$C$3,7))+(BI$56*INDEX('DEFAULT DATA'!$YJ$9:$YQ$41,START!$C$3,7))+(BI$57*INDEX('DEFAULT DATA'!$ZP$9:$ZW$41,START!$C$3,7)))*INDEX('DEFAULT DATA'!$WC$9:$WJ$41,START!$C$3,7)/1000000)</f>
        <v>0</v>
      </c>
      <c r="BJ67" s="331">
        <f>IF((BJ$60-2021)&lt;START!$C$2,0,((BJ$55*INDEX('DEFAULT DATA'!$AGZ$9:$AHG$41,START!$C$3,7))+(BJ$56*INDEX('DEFAULT DATA'!$YJ$9:$YQ$41,START!$C$3,7))+(BJ$57*INDEX('DEFAULT DATA'!$ZP$9:$ZW$41,START!$C$3,7)))*INDEX('DEFAULT DATA'!$WC$9:$WJ$41,START!$C$3,7)/1000000)</f>
        <v>0</v>
      </c>
      <c r="BK67" s="331">
        <f>IF((BK$60-2021)&lt;START!$C$2,0,((BK$55*INDEX('DEFAULT DATA'!$AGZ$9:$AHG$41,START!$C$3,7))+(BK$56*INDEX('DEFAULT DATA'!$YJ$9:$YQ$41,START!$C$3,7))+(BK$57*INDEX('DEFAULT DATA'!$ZP$9:$ZW$41,START!$C$3,7)))*INDEX('DEFAULT DATA'!$WC$9:$WJ$41,START!$C$3,7)/1000000)</f>
        <v>0</v>
      </c>
      <c r="BL67" s="331">
        <f>IF((BL$60-2021)&lt;START!$C$2,0,((BL$55*INDEX('DEFAULT DATA'!$AGZ$9:$AHG$41,START!$C$3,7))+(BL$56*INDEX('DEFAULT DATA'!$YJ$9:$YQ$41,START!$C$3,7))+(BL$57*INDEX('DEFAULT DATA'!$ZP$9:$ZW$41,START!$C$3,7)))*INDEX('DEFAULT DATA'!$WC$9:$WJ$41,START!$C$3,7)/1000000)</f>
        <v>0</v>
      </c>
      <c r="BM67" s="331">
        <f>IF((BM$60-2021)&lt;START!$C$2,0,((BM$55*INDEX('DEFAULT DATA'!$AGZ$9:$AHG$41,START!$C$3,7))+(BM$56*INDEX('DEFAULT DATA'!$YJ$9:$YQ$41,START!$C$3,7))+(BM$57*INDEX('DEFAULT DATA'!$ZP$9:$ZW$41,START!$C$3,7)))*INDEX('DEFAULT DATA'!$WC$9:$WJ$41,START!$C$3,7)/1000000)</f>
        <v>0</v>
      </c>
      <c r="BN67" s="331">
        <f>IF((BN$60-2021)&lt;START!$C$2,0,((BN$55*INDEX('DEFAULT DATA'!$AGZ$9:$AHG$41,START!$C$3,7))+(BN$56*INDEX('DEFAULT DATA'!$YJ$9:$YQ$41,START!$C$3,7))+(BN$57*INDEX('DEFAULT DATA'!$ZP$9:$ZW$41,START!$C$3,7)))*INDEX('DEFAULT DATA'!$WC$9:$WJ$41,START!$C$3,7)/1000000)</f>
        <v>0</v>
      </c>
      <c r="BP67" s="355" t="str">
        <f t="shared" si="14"/>
        <v>Renewable</v>
      </c>
      <c r="BQ67" s="361" t="s">
        <v>1360</v>
      </c>
      <c r="BR67" s="362"/>
      <c r="BS67" s="362"/>
      <c r="BT67" s="362"/>
      <c r="BU67" s="362"/>
      <c r="BV67" s="362"/>
      <c r="BW67" s="362"/>
      <c r="BX67" s="362"/>
      <c r="BY67" s="362"/>
      <c r="BZ67" s="362"/>
      <c r="CA67" s="362"/>
      <c r="CB67" s="362"/>
      <c r="CC67" s="362"/>
      <c r="CD67" s="362"/>
      <c r="CE67" s="363"/>
      <c r="CF67" s="360" t="s">
        <v>1263</v>
      </c>
      <c r="CG67" s="360" t="s">
        <v>1271</v>
      </c>
      <c r="CH67" s="360" t="s">
        <v>1279</v>
      </c>
      <c r="CI67" s="360" t="s">
        <v>1251</v>
      </c>
    </row>
    <row r="68" spans="1:87" ht="20.100000000000001" customHeight="1" thickBot="1">
      <c r="A68" s="86"/>
      <c r="B68" s="65"/>
      <c r="C68" s="65"/>
      <c r="D68" s="65"/>
      <c r="E68" s="65"/>
      <c r="F68" s="65"/>
      <c r="G68" s="65"/>
      <c r="H68" s="21"/>
      <c r="I68" s="21"/>
      <c r="J68" s="21"/>
      <c r="K68" s="28"/>
      <c r="L68" s="16"/>
      <c r="M68" s="627"/>
      <c r="N68" s="630"/>
      <c r="O68" s="630"/>
      <c r="P68" s="630"/>
      <c r="Q68" s="630"/>
      <c r="R68" s="630"/>
      <c r="S68" s="630"/>
      <c r="T68" s="630"/>
      <c r="U68" s="630"/>
      <c r="V68" s="630"/>
      <c r="W68" s="630"/>
      <c r="X68" s="630"/>
      <c r="Y68" s="630"/>
      <c r="Z68" s="630"/>
      <c r="AA68" s="630"/>
      <c r="AB68" s="630"/>
      <c r="AC68" s="630"/>
      <c r="AD68" s="630"/>
      <c r="AE68" s="630"/>
      <c r="AF68" s="1552"/>
      <c r="AG68" s="1542" t="s">
        <v>868</v>
      </c>
      <c r="AH68" s="1572"/>
      <c r="AI68" s="1572"/>
      <c r="AJ68" s="1543"/>
      <c r="AK68" s="155">
        <v>0</v>
      </c>
      <c r="AL68" s="332">
        <f>IF((AL$60-2021)&lt;START!$C$2,0,((AL$55*INDEX('DEFAULT DATA'!$AGZ$9:$AHG$41,START!$C$3,8))+(AL$56*INDEX('DEFAULT DATA'!$YJ$9:$YQ$41,START!$C$3,8))+(AL$57*INDEX('DEFAULT DATA'!$ZP$9:$ZW$41,START!$C$3,8)))*AL6/1000000)</f>
        <v>2182.168637308484</v>
      </c>
      <c r="AM68" s="332">
        <f>IF((AM$60-2021)&lt;START!$C$2,0,((AM$55*INDEX('DEFAULT DATA'!$AGZ$9:$AHG$41,START!$C$3,8))+(AM$56*INDEX('DEFAULT DATA'!$YJ$9:$YQ$41,START!$C$3,8))+(AM$57*INDEX('DEFAULT DATA'!$ZP$9:$ZW$41,START!$C$3,8)))*AM6/1000000)</f>
        <v>2182.168637308484</v>
      </c>
      <c r="AN68" s="332">
        <f>IF((AN$60-2021)&lt;START!$C$2,0,((AN$55*INDEX('DEFAULT DATA'!$AGZ$9:$AHG$41,START!$C$3,8))+(AN$56*INDEX('DEFAULT DATA'!$YJ$9:$YQ$41,START!$C$3,8))+(AN$57*INDEX('DEFAULT DATA'!$ZP$9:$ZW$41,START!$C$3,8)))*AN6/1000000)</f>
        <v>2182.168637308484</v>
      </c>
      <c r="AO68" s="332">
        <f>IF((AO$60-2021)&lt;START!$C$2,0,((AO$55*INDEX('DEFAULT DATA'!$AGZ$9:$AHG$41,START!$C$3,8))+(AO$56*INDEX('DEFAULT DATA'!$YJ$9:$YQ$41,START!$C$3,8))+(AO$57*INDEX('DEFAULT DATA'!$ZP$9:$ZW$41,START!$C$3,8)))*AO6/1000000)</f>
        <v>2182.168637308484</v>
      </c>
      <c r="AP68" s="332">
        <f>IF((AP$60-2021)&lt;START!$C$2,0,((AP$55*INDEX('DEFAULT DATA'!$AGZ$9:$AHG$41,START!$C$3,8))+(AP$56*INDEX('DEFAULT DATA'!$YJ$9:$YQ$41,START!$C$3,8))+(AP$57*INDEX('DEFAULT DATA'!$ZP$9:$ZW$41,START!$C$3,8)))*AP6/1000000)</f>
        <v>2182.168637308484</v>
      </c>
      <c r="AQ68" s="332">
        <f>IF((AQ$60-2021)&lt;START!$C$2,0,((AQ$55*INDEX('DEFAULT DATA'!$AGZ$9:$AHG$41,START!$C$3,8))+(AQ$56*INDEX('DEFAULT DATA'!$YJ$9:$YQ$41,START!$C$3,8))+(AQ$57*INDEX('DEFAULT DATA'!$ZP$9:$ZW$41,START!$C$3,8)))*AQ6/1000000)</f>
        <v>2182.168637308484</v>
      </c>
      <c r="AR68" s="332">
        <f>IF((AR$60-2021)&lt;START!$C$2,0,((AR$55*INDEX('DEFAULT DATA'!$AGZ$9:$AHG$41,START!$C$3,8))+(AR$56*INDEX('DEFAULT DATA'!$YJ$9:$YQ$41,START!$C$3,8))+(AR$57*INDEX('DEFAULT DATA'!$ZP$9:$ZW$41,START!$C$3,8)))*AR6/1000000)</f>
        <v>2182.168637308484</v>
      </c>
      <c r="AS68" s="332">
        <f>IF((AS$60-2021)&lt;START!$C$2,0,((AS$55*INDEX('DEFAULT DATA'!$AGZ$9:$AHG$41,START!$C$3,8))+(AS$56*INDEX('DEFAULT DATA'!$YJ$9:$YQ$41,START!$C$3,8))+(AS$57*INDEX('DEFAULT DATA'!$ZP$9:$ZW$41,START!$C$3,8)))*AS6/1000000)</f>
        <v>2182.168637308484</v>
      </c>
      <c r="AT68" s="332">
        <f>IF((AT$60-2021)&lt;START!$C$2,0,((AT$55*INDEX('DEFAULT DATA'!$AGZ$9:$AHG$41,START!$C$3,8))+(AT$56*INDEX('DEFAULT DATA'!$YJ$9:$YQ$41,START!$C$3,8))+(AT$57*INDEX('DEFAULT DATA'!$ZP$9:$ZW$41,START!$C$3,8)))*AT6/1000000)</f>
        <v>2182.168637308484</v>
      </c>
      <c r="AU68" s="332">
        <f>IF((AU$60-2021)&lt;START!$C$2,0,((AU$55*INDEX('DEFAULT DATA'!$AGZ$9:$AHG$41,START!$C$3,8))+(AU$56*INDEX('DEFAULT DATA'!$YJ$9:$YQ$41,START!$C$3,8))+(AU$57*INDEX('DEFAULT DATA'!$ZP$9:$ZW$41,START!$C$3,8)))*AU6/1000000)</f>
        <v>2182.168637308484</v>
      </c>
      <c r="AV68" s="332">
        <f>IF((AV$60-2021)&lt;START!$C$2,0,((AV$55*INDEX('DEFAULT DATA'!$AGZ$9:$AHG$41,START!$C$3,8))+(AV$56*INDEX('DEFAULT DATA'!$YJ$9:$YQ$41,START!$C$3,8))+(AV$57*INDEX('DEFAULT DATA'!$ZP$9:$ZW$41,START!$C$3,8)))*AV6/1000000)</f>
        <v>2182.168637308484</v>
      </c>
      <c r="AW68" s="332">
        <f>IF((AW$60-2021)&lt;START!$C$2,0,((AW$55*INDEX('DEFAULT DATA'!$AGZ$9:$AHG$41,START!$C$3,8))+(AW$56*INDEX('DEFAULT DATA'!$YJ$9:$YQ$41,START!$C$3,8))+(AW$57*INDEX('DEFAULT DATA'!$ZP$9:$ZW$41,START!$C$3,8)))*AW6/1000000)</f>
        <v>2182.168637308484</v>
      </c>
      <c r="AX68" s="332">
        <f>IF((AX$60-2021)&lt;START!$C$2,0,((AX$55*INDEX('DEFAULT DATA'!$AGZ$9:$AHG$41,START!$C$3,8))+(AX$56*INDEX('DEFAULT DATA'!$YJ$9:$YQ$41,START!$C$3,8))+(AX$57*INDEX('DEFAULT DATA'!$ZP$9:$ZW$41,START!$C$3,8)))*AX6/1000000)</f>
        <v>2182.168637308484</v>
      </c>
      <c r="AY68" s="332">
        <f>IF((AY$60-2021)&lt;START!$C$2,0,((AY$55*INDEX('DEFAULT DATA'!$AGZ$9:$AHG$41,START!$C$3,8))+(AY$56*INDEX('DEFAULT DATA'!$YJ$9:$YQ$41,START!$C$3,8))+(AY$57*INDEX('DEFAULT DATA'!$ZP$9:$ZW$41,START!$C$3,8)))*AY6/1000000)</f>
        <v>2182.168637308484</v>
      </c>
      <c r="AZ68" s="332">
        <f>IF((AZ$60-2021)&lt;START!$C$2,0,((AZ$55*INDEX('DEFAULT DATA'!$AGZ$9:$AHG$41,START!$C$3,8))+(AZ$56*INDEX('DEFAULT DATA'!$YJ$9:$YQ$41,START!$C$3,8))+(AZ$57*INDEX('DEFAULT DATA'!$ZP$9:$ZW$41,START!$C$3,8)))*AZ6/1000000)</f>
        <v>2182.168637308484</v>
      </c>
      <c r="BA68" s="332">
        <f>IF((BA$60-2021)&lt;START!$C$2,0,((BA$55*INDEX('DEFAULT DATA'!$AGZ$9:$AHG$41,START!$C$3,8))+(BA$56*INDEX('DEFAULT DATA'!$YJ$9:$YQ$41,START!$C$3,8))+(BA$57*INDEX('DEFAULT DATA'!$ZP$9:$ZW$41,START!$C$3,8)))*BA6/1000000)</f>
        <v>2182.168637308484</v>
      </c>
      <c r="BB68" s="332">
        <f>IF((BB$60-2021)&lt;START!$C$2,0,((BB$55*INDEX('DEFAULT DATA'!$AGZ$9:$AHG$41,START!$C$3,8))+(BB$56*INDEX('DEFAULT DATA'!$YJ$9:$YQ$41,START!$C$3,8))+(BB$57*INDEX('DEFAULT DATA'!$ZP$9:$ZW$41,START!$C$3,8)))*BB6/1000000)</f>
        <v>2182.168637308484</v>
      </c>
      <c r="BC68" s="332">
        <f>IF((BC$60-2021)&lt;START!$C$2,0,((BC$55*INDEX('DEFAULT DATA'!$AGZ$9:$AHG$41,START!$C$3,8))+(BC$56*INDEX('DEFAULT DATA'!$YJ$9:$YQ$41,START!$C$3,8))+(BC$57*INDEX('DEFAULT DATA'!$ZP$9:$ZW$41,START!$C$3,8)))*BC6/1000000)</f>
        <v>2182.168637308484</v>
      </c>
      <c r="BD68" s="332">
        <f>IF((BD$60-2021)&lt;START!$C$2,0,((BD$55*INDEX('DEFAULT DATA'!$AGZ$9:$AHG$41,START!$C$3,8))+(BD$56*INDEX('DEFAULT DATA'!$YJ$9:$YQ$41,START!$C$3,8))+(BD$57*INDEX('DEFAULT DATA'!$ZP$9:$ZW$41,START!$C$3,8)))*BD6/1000000)</f>
        <v>2182.168637308484</v>
      </c>
      <c r="BE68" s="332">
        <f>IF((BE$60-2021)&lt;START!$C$2,0,((BE$55*INDEX('DEFAULT DATA'!$AGZ$9:$AHG$41,START!$C$3,8))+(BE$56*INDEX('DEFAULT DATA'!$YJ$9:$YQ$41,START!$C$3,8))+(BE$57*INDEX('DEFAULT DATA'!$ZP$9:$ZW$41,START!$C$3,8)))*BE6/1000000)</f>
        <v>2182.168637308484</v>
      </c>
      <c r="BF68" s="332">
        <f>IF((BF$60-2021)&lt;START!$C$2,0,((BF$55*INDEX('DEFAULT DATA'!$AGZ$9:$AHG$41,START!$C$3,8))+(BF$56*INDEX('DEFAULT DATA'!$YJ$9:$YQ$41,START!$C$3,8))+(BF$57*INDEX('DEFAULT DATA'!$ZP$9:$ZW$41,START!$C$3,8)))*BF6/1000000)</f>
        <v>2182.168637308484</v>
      </c>
      <c r="BG68" s="332">
        <f>IF((BG$60-2021)&lt;START!$C$2,0,((BG$55*INDEX('DEFAULT DATA'!$AGZ$9:$AHG$41,START!$C$3,8))+(BG$56*INDEX('DEFAULT DATA'!$YJ$9:$YQ$41,START!$C$3,8))+(BG$57*INDEX('DEFAULT DATA'!$ZP$9:$ZW$41,START!$C$3,8)))*BG6/1000000)</f>
        <v>2182.168637308484</v>
      </c>
      <c r="BH68" s="332">
        <f>IF((BH$60-2021)&lt;START!$C$2,0,((BH$55*INDEX('DEFAULT DATA'!$AGZ$9:$AHG$41,START!$C$3,8))+(BH$56*INDEX('DEFAULT DATA'!$YJ$9:$YQ$41,START!$C$3,8))+(BH$57*INDEX('DEFAULT DATA'!$ZP$9:$ZW$41,START!$C$3,8)))*BH6/1000000)</f>
        <v>2182.168637308484</v>
      </c>
      <c r="BI68" s="332">
        <f>IF((BI$60-2021)&lt;START!$C$2,0,((BI$55*INDEX('DEFAULT DATA'!$AGZ$9:$AHG$41,START!$C$3,8))+(BI$56*INDEX('DEFAULT DATA'!$YJ$9:$YQ$41,START!$C$3,8))+(BI$57*INDEX('DEFAULT DATA'!$ZP$9:$ZW$41,START!$C$3,8)))*BI6/1000000)</f>
        <v>2182.168637308484</v>
      </c>
      <c r="BJ68" s="332">
        <f>IF((BJ$60-2021)&lt;START!$C$2,0,((BJ$55*INDEX('DEFAULT DATA'!$AGZ$9:$AHG$41,START!$C$3,8))+(BJ$56*INDEX('DEFAULT DATA'!$YJ$9:$YQ$41,START!$C$3,8))+(BJ$57*INDEX('DEFAULT DATA'!$ZP$9:$ZW$41,START!$C$3,8)))*BJ6/1000000)</f>
        <v>2182.168637308484</v>
      </c>
      <c r="BK68" s="332">
        <f>IF((BK$60-2021)&lt;START!$C$2,0,((BK$55*INDEX('DEFAULT DATA'!$AGZ$9:$AHG$41,START!$C$3,8))+(BK$56*INDEX('DEFAULT DATA'!$YJ$9:$YQ$41,START!$C$3,8))+(BK$57*INDEX('DEFAULT DATA'!$ZP$9:$ZW$41,START!$C$3,8)))*BK6/1000000)</f>
        <v>2182.168637308484</v>
      </c>
      <c r="BL68" s="332">
        <f>IF((BL$60-2021)&lt;START!$C$2,0,((BL$55*INDEX('DEFAULT DATA'!$AGZ$9:$AHG$41,START!$C$3,8))+(BL$56*INDEX('DEFAULT DATA'!$YJ$9:$YQ$41,START!$C$3,8))+(BL$57*INDEX('DEFAULT DATA'!$ZP$9:$ZW$41,START!$C$3,8)))*BL6/1000000)</f>
        <v>2182.168637308484</v>
      </c>
      <c r="BM68" s="332">
        <f>IF((BM$60-2021)&lt;START!$C$2,0,((BM$55*INDEX('DEFAULT DATA'!$AGZ$9:$AHG$41,START!$C$3,8))+(BM$56*INDEX('DEFAULT DATA'!$YJ$9:$YQ$41,START!$C$3,8))+(BM$57*INDEX('DEFAULT DATA'!$ZP$9:$ZW$41,START!$C$3,8)))*BM6/1000000)</f>
        <v>2182.168637308484</v>
      </c>
      <c r="BN68" s="332">
        <f>IF((BN$60-2021)&lt;START!$C$2,0,((BN$55*INDEX('DEFAULT DATA'!$AGZ$9:$AHG$41,START!$C$3,8))+(BN$56*INDEX('DEFAULT DATA'!$YJ$9:$YQ$41,START!$C$3,8))+(BN$57*INDEX('DEFAULT DATA'!$ZP$9:$ZW$41,START!$C$3,8)))*BN6/1000000)</f>
        <v>2182.168637308484</v>
      </c>
      <c r="BO68" s="119"/>
      <c r="BP68" s="356" t="str">
        <f t="shared" si="14"/>
        <v>Heat</v>
      </c>
      <c r="BQ68" s="364" t="s">
        <v>1361</v>
      </c>
      <c r="BR68" s="365"/>
      <c r="BS68" s="365"/>
      <c r="BT68" s="365"/>
      <c r="BU68" s="365"/>
      <c r="BV68" s="365"/>
      <c r="BW68" s="365"/>
      <c r="BX68" s="365"/>
      <c r="BY68" s="365"/>
      <c r="BZ68" s="365"/>
      <c r="CA68" s="365"/>
      <c r="CB68" s="365"/>
      <c r="CC68" s="365"/>
      <c r="CD68" s="365"/>
      <c r="CE68" s="366"/>
      <c r="CF68" s="360" t="s">
        <v>1264</v>
      </c>
      <c r="CG68" s="360" t="s">
        <v>1272</v>
      </c>
      <c r="CH68" s="360" t="s">
        <v>1280</v>
      </c>
      <c r="CI68" s="360" t="s">
        <v>1252</v>
      </c>
    </row>
    <row r="69" spans="1:87" ht="20.100000000000001" customHeight="1" thickBot="1">
      <c r="A69" s="103"/>
      <c r="B69" s="104"/>
      <c r="C69" s="104"/>
      <c r="D69" s="104"/>
      <c r="E69" s="104"/>
      <c r="F69" s="104"/>
      <c r="G69" s="104"/>
      <c r="H69" s="46"/>
      <c r="I69" s="46"/>
      <c r="J69" s="46"/>
      <c r="K69" s="47"/>
      <c r="L69" s="16"/>
      <c r="M69" s="627"/>
      <c r="N69" s="630"/>
      <c r="O69" s="630"/>
      <c r="P69" s="630"/>
      <c r="Q69" s="630"/>
      <c r="R69" s="630"/>
      <c r="S69" s="630"/>
      <c r="T69" s="630"/>
      <c r="U69" s="630"/>
      <c r="V69" s="630"/>
      <c r="W69" s="630"/>
      <c r="X69" s="630"/>
      <c r="Y69" s="630"/>
      <c r="Z69" s="630"/>
      <c r="AA69" s="630"/>
      <c r="AB69" s="630"/>
      <c r="AC69" s="630"/>
      <c r="AD69" s="630"/>
      <c r="AE69" s="630"/>
      <c r="AF69" s="167"/>
      <c r="AG69" s="1486" t="s">
        <v>211</v>
      </c>
      <c r="AH69" s="1487"/>
      <c r="AI69" s="1487"/>
      <c r="AJ69" s="1580"/>
      <c r="AK69" s="151">
        <f>SUM(AK61:AK68)</f>
        <v>0</v>
      </c>
      <c r="AL69" s="162">
        <f t="shared" ref="AL69" si="15">SUM(AL61:AL68)</f>
        <v>9815.7307639400351</v>
      </c>
      <c r="AM69" s="162">
        <f t="shared" ref="AM69:BN69" si="16">SUM(AM61:AM68)</f>
        <v>9592.4780872851134</v>
      </c>
      <c r="AN69" s="162">
        <f t="shared" si="16"/>
        <v>9386.1926140559663</v>
      </c>
      <c r="AO69" s="162">
        <f t="shared" si="16"/>
        <v>9195.5848367922354</v>
      </c>
      <c r="AP69" s="162">
        <f t="shared" si="16"/>
        <v>9019.4632506005473</v>
      </c>
      <c r="AQ69" s="162">
        <f t="shared" si="16"/>
        <v>8856.7269049594288</v>
      </c>
      <c r="AR69" s="162">
        <f t="shared" si="16"/>
        <v>8706.3585215870335</v>
      </c>
      <c r="AS69" s="162">
        <f t="shared" si="16"/>
        <v>8567.4181353509412</v>
      </c>
      <c r="AT69" s="162">
        <f t="shared" si="16"/>
        <v>8439.0372184687913</v>
      </c>
      <c r="AU69" s="162">
        <f t="shared" si="16"/>
        <v>8337.5825096800836</v>
      </c>
      <c r="AV69" s="162">
        <f t="shared" si="16"/>
        <v>8242.7223569626403</v>
      </c>
      <c r="AW69" s="162">
        <f t="shared" si="16"/>
        <v>8154.0281141718306</v>
      </c>
      <c r="AX69" s="162">
        <f t="shared" si="16"/>
        <v>8071.0989971624231</v>
      </c>
      <c r="AY69" s="162">
        <f t="shared" si="16"/>
        <v>7993.5602727586283</v>
      </c>
      <c r="AZ69" s="162">
        <f t="shared" si="16"/>
        <v>7921.0615654410794</v>
      </c>
      <c r="BA69" s="162">
        <f t="shared" si="16"/>
        <v>7853.2752740991718</v>
      </c>
      <c r="BB69" s="162">
        <f t="shared" si="16"/>
        <v>7789.8950916944877</v>
      </c>
      <c r="BC69" s="162">
        <f t="shared" si="16"/>
        <v>7730.6346211461087</v>
      </c>
      <c r="BD69" s="162">
        <f t="shared" si="16"/>
        <v>7675.2260811833739</v>
      </c>
      <c r="BE69" s="162">
        <f t="shared" si="16"/>
        <v>7623.4190963182164</v>
      </c>
      <c r="BF69" s="162">
        <f t="shared" si="16"/>
        <v>7574.9795654692953</v>
      </c>
      <c r="BG69" s="162">
        <f t="shared" si="16"/>
        <v>7529.688604125553</v>
      </c>
      <c r="BH69" s="162">
        <f t="shared" si="16"/>
        <v>7487.341555269154</v>
      </c>
      <c r="BI69" s="162">
        <f t="shared" si="16"/>
        <v>7447.7470645884214</v>
      </c>
      <c r="BJ69" s="162">
        <f t="shared" si="16"/>
        <v>7410.7262158019366</v>
      </c>
      <c r="BK69" s="162">
        <f t="shared" si="16"/>
        <v>7376.1117221865725</v>
      </c>
      <c r="BL69" s="162">
        <f t="shared" si="16"/>
        <v>7343.7471706562083</v>
      </c>
      <c r="BM69" s="162">
        <f t="shared" si="16"/>
        <v>7313.4863149753164</v>
      </c>
      <c r="BN69" s="162">
        <f t="shared" si="16"/>
        <v>7285.192414913683</v>
      </c>
    </row>
    <row r="70" spans="1:87" ht="30" customHeight="1" thickBot="1">
      <c r="A70" s="1574" t="s">
        <v>1066</v>
      </c>
      <c r="B70" s="1575"/>
      <c r="C70" s="1575"/>
      <c r="D70" s="1575"/>
      <c r="E70" s="1575"/>
      <c r="F70" s="1575"/>
      <c r="G70" s="1575"/>
      <c r="H70" s="1575"/>
      <c r="I70" s="1575"/>
      <c r="J70" s="1575"/>
      <c r="K70" s="1576"/>
      <c r="L70" s="220"/>
      <c r="M70" s="220"/>
      <c r="N70" s="220"/>
      <c r="O70" s="220"/>
      <c r="P70" s="220"/>
      <c r="Q70" s="220"/>
      <c r="R70" s="220"/>
      <c r="S70" s="220"/>
      <c r="T70" s="220"/>
      <c r="U70" s="220"/>
      <c r="V70" s="220"/>
      <c r="W70" s="220"/>
      <c r="X70" s="220"/>
      <c r="Y70" s="220"/>
      <c r="Z70" s="220"/>
      <c r="AA70" s="220"/>
      <c r="AB70" s="220"/>
      <c r="AC70" s="220"/>
      <c r="AD70" s="220"/>
      <c r="AE70" s="220"/>
    </row>
    <row r="71" spans="1:87" ht="20.100000000000001" customHeight="1">
      <c r="A71" s="35"/>
      <c r="B71" s="36"/>
      <c r="C71" s="36"/>
      <c r="D71" s="36"/>
      <c r="E71" s="36"/>
      <c r="F71" s="36"/>
      <c r="G71" s="36"/>
      <c r="H71" s="36"/>
      <c r="I71" s="36"/>
      <c r="J71" s="36"/>
      <c r="K71" s="9"/>
      <c r="L71" s="16"/>
      <c r="M71" s="627"/>
      <c r="N71" s="630"/>
      <c r="O71" s="630"/>
      <c r="P71" s="630"/>
      <c r="Q71" s="630"/>
      <c r="R71" s="630"/>
      <c r="S71" s="630"/>
      <c r="T71" s="630"/>
      <c r="U71" s="630"/>
      <c r="V71" s="630"/>
      <c r="W71" s="630"/>
      <c r="X71" s="630"/>
      <c r="Y71" s="630"/>
      <c r="Z71" s="630"/>
      <c r="AA71" s="630"/>
      <c r="AB71" s="630"/>
      <c r="AC71" s="630"/>
      <c r="AD71" s="630"/>
      <c r="AE71" s="630"/>
      <c r="AF71" s="122" t="s">
        <v>1026</v>
      </c>
      <c r="BP71" s="6" t="s">
        <v>1282</v>
      </c>
      <c r="BQ71" s="6"/>
    </row>
    <row r="72" spans="1:87" ht="20.100000000000001" customHeight="1" thickBot="1">
      <c r="A72" s="85" t="s">
        <v>880</v>
      </c>
      <c r="B72" s="17"/>
      <c r="C72" s="17"/>
      <c r="D72" s="17"/>
      <c r="E72" s="17"/>
      <c r="F72" s="17"/>
      <c r="G72" s="17"/>
      <c r="H72" s="17"/>
      <c r="I72" s="17"/>
      <c r="J72" s="17"/>
      <c r="K72" s="10"/>
      <c r="L72" s="16"/>
      <c r="M72" s="627"/>
      <c r="N72" s="630"/>
      <c r="O72" s="630"/>
      <c r="P72" s="630"/>
      <c r="Q72" s="630"/>
      <c r="R72" s="630"/>
      <c r="S72" s="630"/>
      <c r="T72" s="630"/>
      <c r="U72" s="630"/>
      <c r="V72" s="630"/>
      <c r="W72" s="630"/>
      <c r="X72" s="630"/>
      <c r="Y72" s="630"/>
      <c r="Z72" s="630"/>
      <c r="AA72" s="630"/>
      <c r="AB72" s="630"/>
      <c r="AC72" s="630"/>
      <c r="AD72" s="630"/>
      <c r="AE72" s="630"/>
      <c r="AF72" s="139" t="s">
        <v>985</v>
      </c>
      <c r="AG72" s="333" t="s">
        <v>984</v>
      </c>
      <c r="AH72" s="334"/>
      <c r="AI72" s="334"/>
      <c r="AJ72" s="335"/>
      <c r="AK72" s="320">
        <v>2021</v>
      </c>
      <c r="AL72" s="320">
        <f t="shared" ref="AL72:BN72" si="17">AK72+1</f>
        <v>2022</v>
      </c>
      <c r="AM72" s="320">
        <f t="shared" si="17"/>
        <v>2023</v>
      </c>
      <c r="AN72" s="320">
        <f t="shared" si="17"/>
        <v>2024</v>
      </c>
      <c r="AO72" s="320">
        <f t="shared" si="17"/>
        <v>2025</v>
      </c>
      <c r="AP72" s="320">
        <f t="shared" si="17"/>
        <v>2026</v>
      </c>
      <c r="AQ72" s="320">
        <f t="shared" si="17"/>
        <v>2027</v>
      </c>
      <c r="AR72" s="320">
        <f t="shared" si="17"/>
        <v>2028</v>
      </c>
      <c r="AS72" s="320">
        <f t="shared" si="17"/>
        <v>2029</v>
      </c>
      <c r="AT72" s="320">
        <f t="shared" si="17"/>
        <v>2030</v>
      </c>
      <c r="AU72" s="320">
        <f t="shared" si="17"/>
        <v>2031</v>
      </c>
      <c r="AV72" s="320">
        <f t="shared" si="17"/>
        <v>2032</v>
      </c>
      <c r="AW72" s="320">
        <f t="shared" si="17"/>
        <v>2033</v>
      </c>
      <c r="AX72" s="320">
        <f t="shared" si="17"/>
        <v>2034</v>
      </c>
      <c r="AY72" s="320">
        <f t="shared" si="17"/>
        <v>2035</v>
      </c>
      <c r="AZ72" s="320">
        <f t="shared" si="17"/>
        <v>2036</v>
      </c>
      <c r="BA72" s="320">
        <f t="shared" si="17"/>
        <v>2037</v>
      </c>
      <c r="BB72" s="320">
        <f t="shared" si="17"/>
        <v>2038</v>
      </c>
      <c r="BC72" s="320">
        <f t="shared" si="17"/>
        <v>2039</v>
      </c>
      <c r="BD72" s="320">
        <f t="shared" si="17"/>
        <v>2040</v>
      </c>
      <c r="BE72" s="320">
        <f t="shared" si="17"/>
        <v>2041</v>
      </c>
      <c r="BF72" s="320">
        <f t="shared" si="17"/>
        <v>2042</v>
      </c>
      <c r="BG72" s="320">
        <f t="shared" si="17"/>
        <v>2043</v>
      </c>
      <c r="BH72" s="320">
        <f t="shared" si="17"/>
        <v>2044</v>
      </c>
      <c r="BI72" s="320">
        <f t="shared" si="17"/>
        <v>2045</v>
      </c>
      <c r="BJ72" s="320">
        <f t="shared" si="17"/>
        <v>2046</v>
      </c>
      <c r="BK72" s="320">
        <f t="shared" si="17"/>
        <v>2047</v>
      </c>
      <c r="BL72" s="320">
        <f t="shared" si="17"/>
        <v>2048</v>
      </c>
      <c r="BM72" s="320">
        <f t="shared" si="17"/>
        <v>2049</v>
      </c>
      <c r="BN72" s="320">
        <f t="shared" si="17"/>
        <v>2050</v>
      </c>
      <c r="BP72" s="353"/>
      <c r="BQ72" s="354" t="s">
        <v>1217</v>
      </c>
    </row>
    <row r="73" spans="1:87" ht="20.100000000000001" customHeight="1">
      <c r="A73" s="41"/>
      <c r="B73" s="124"/>
      <c r="C73" s="124"/>
      <c r="D73" s="1472" t="s">
        <v>1077</v>
      </c>
      <c r="E73" s="1472"/>
      <c r="F73" s="1564" t="s">
        <v>1074</v>
      </c>
      <c r="G73" s="16"/>
      <c r="H73" s="16"/>
      <c r="I73" s="16"/>
      <c r="J73" s="16"/>
      <c r="K73" s="11"/>
      <c r="L73" s="16"/>
      <c r="M73" s="627"/>
      <c r="N73" s="630"/>
      <c r="O73" s="630"/>
      <c r="P73" s="630"/>
      <c r="Q73" s="630"/>
      <c r="R73" s="630"/>
      <c r="S73" s="630"/>
      <c r="T73" s="630"/>
      <c r="U73" s="630"/>
      <c r="V73" s="630"/>
      <c r="W73" s="630"/>
      <c r="X73" s="630"/>
      <c r="Y73" s="630"/>
      <c r="Z73" s="630"/>
      <c r="AA73" s="630"/>
      <c r="AB73" s="630"/>
      <c r="AC73" s="630"/>
      <c r="AD73" s="630"/>
      <c r="AE73" s="630"/>
      <c r="AF73" s="1550" t="s">
        <v>860</v>
      </c>
      <c r="AG73" s="336" t="s">
        <v>997</v>
      </c>
      <c r="AH73" s="337"/>
      <c r="AI73" s="337"/>
      <c r="AJ73" s="338"/>
      <c r="AK73" s="321">
        <v>0</v>
      </c>
      <c r="AL73" s="165">
        <f>IF((AL$72-2021)=START!$C$2,BUILDINGS!$B9,ROUND(BUILDINGS!AK73-(INDEX('DEFAULT DATA'!$WK$9:$WM$41,START!$C$3,1)/100*(AK73+AK74+AK75)),0))</f>
        <v>25000</v>
      </c>
      <c r="AM73" s="165">
        <f>IF((AM$72-2021)=START!$C$2,BUILDINGS!$B9,ROUND(BUILDINGS!AL73-(INDEX('DEFAULT DATA'!$WK$9:$WM$41,START!$C$3,1)/100*(AL73+AL74+AL75)),0))</f>
        <v>25000</v>
      </c>
      <c r="AN73" s="165">
        <f>IF((AN$72-2021)=START!$C$2,BUILDINGS!$B9,ROUND(BUILDINGS!AM73-(INDEX('DEFAULT DATA'!$WK$9:$WM$41,START!$C$3,1)/100*(AM73+AM74+AM75)),0))</f>
        <v>25000</v>
      </c>
      <c r="AO73" s="165">
        <f>IF((AO$72-2021)=START!$C$2,BUILDINGS!$B9,ROUND(BUILDINGS!AN73-(INDEX('DEFAULT DATA'!$WK$9:$WM$41,START!$C$3,1)/100*(AN73+AN74+AN75)),0))</f>
        <v>25000</v>
      </c>
      <c r="AP73" s="165">
        <f>IF((AP$72-2021)=START!$C$2,BUILDINGS!$B9,ROUND(BUILDINGS!AO73-(INDEX('DEFAULT DATA'!$WK$9:$WM$41,START!$C$3,1)/100*(AO73+AO74+AO75)),0))</f>
        <v>25000</v>
      </c>
      <c r="AQ73" s="165">
        <f>IF((AQ$72-2021)=START!$C$2,BUILDINGS!$B9,ROUND(BUILDINGS!AP73-(INDEX('DEFAULT DATA'!$WK$9:$WM$41,START!$C$3,1)/100*(AP73+AP74+AP75)),0))</f>
        <v>25000</v>
      </c>
      <c r="AR73" s="165">
        <f>IF((AR$72-2021)=START!$C$2,BUILDINGS!$B9,ROUND(BUILDINGS!AQ73-(INDEX('DEFAULT DATA'!$WK$9:$WM$41,START!$C$3,1)/100*(AQ73+AQ74+AQ75)),0))</f>
        <v>25000</v>
      </c>
      <c r="AS73" s="165">
        <f>IF((AS$72-2021)=START!$C$2,BUILDINGS!$B9,ROUND(BUILDINGS!AR73-(INDEX('DEFAULT DATA'!$WK$9:$WM$41,START!$C$3,1)/100*(AR73+AR74+AR75)),0))</f>
        <v>25000</v>
      </c>
      <c r="AT73" s="165">
        <f>IF((AT$72-2021)=START!$C$2,BUILDINGS!$B9,ROUND(BUILDINGS!AS73-(INDEX('DEFAULT DATA'!$WK$9:$WM$41,START!$C$3,1)/100*(AS73+AS74+AS75)),0))</f>
        <v>25000</v>
      </c>
      <c r="AU73" s="165">
        <f>IF((AU$72-2021)=START!$C$2,BUILDINGS!$B9,ROUND(BUILDINGS!AT73-(INDEX('DEFAULT DATA'!$WK$9:$WM$41,START!$C$3,2)/100*(AT73+AT74+AT75)),0))</f>
        <v>25000</v>
      </c>
      <c r="AV73" s="165">
        <f>IF((AV$72-2021)=START!$C$2,BUILDINGS!$B9,ROUND(BUILDINGS!AU73-(INDEX('DEFAULT DATA'!$WK$9:$WM$41,START!$C$3,2)/100*(AU73+AU74+AU75)),0))</f>
        <v>25000</v>
      </c>
      <c r="AW73" s="165">
        <f>IF((AW$72-2021)=START!$C$2,BUILDINGS!$B9,ROUND(BUILDINGS!AV73-(INDEX('DEFAULT DATA'!$WK$9:$WM$41,START!$C$3,2)/100*(AV73+AV74+AV75)),0))</f>
        <v>25000</v>
      </c>
      <c r="AX73" s="165">
        <f>IF((AX$72-2021)=START!$C$2,BUILDINGS!$B9,ROUND(BUILDINGS!AW73-(INDEX('DEFAULT DATA'!$WK$9:$WM$41,START!$C$3,2)/100*(AW73+AW74+AW75)),0))</f>
        <v>25000</v>
      </c>
      <c r="AY73" s="165">
        <f>IF((AY$72-2021)=START!$C$2,BUILDINGS!$B9,ROUND(BUILDINGS!AX73-(INDEX('DEFAULT DATA'!$WK$9:$WM$41,START!$C$3,2)/100*(AX73+AX74+AX75)),0))</f>
        <v>25000</v>
      </c>
      <c r="AZ73" s="165">
        <f>IF((AZ$72-2021)=START!$C$2,BUILDINGS!$B9,ROUND(BUILDINGS!AY73-(INDEX('DEFAULT DATA'!$WK$9:$WM$41,START!$C$3,2)/100*(AY73+AY74+AY75)),0))</f>
        <v>25000</v>
      </c>
      <c r="BA73" s="165">
        <f>IF((BA$72-2021)=START!$C$2,BUILDINGS!$B9,ROUND(BUILDINGS!AZ73-(INDEX('DEFAULT DATA'!$WK$9:$WM$41,START!$C$3,2)/100*(AZ73+AZ74+AZ75)),0))</f>
        <v>25000</v>
      </c>
      <c r="BB73" s="165">
        <f>IF((BB$72-2021)=START!$C$2,BUILDINGS!$B9,ROUND(BUILDINGS!BA73-(INDEX('DEFAULT DATA'!$WK$9:$WM$41,START!$C$3,2)/100*(BA73+BA74+BA75)),0))</f>
        <v>25000</v>
      </c>
      <c r="BC73" s="165">
        <f>IF((BC$72-2021)=START!$C$2,BUILDINGS!$B9,ROUND(BUILDINGS!BB73-(INDEX('DEFAULT DATA'!$WK$9:$WM$41,START!$C$3,2)/100*(BB73+BB74+BB75)),0))</f>
        <v>25000</v>
      </c>
      <c r="BD73" s="165">
        <f>IF((BD$72-2021)=START!$C$2,BUILDINGS!$B9,ROUND(BUILDINGS!BC73-(INDEX('DEFAULT DATA'!$WK$9:$WM$41,START!$C$3,2)/100*(BC73+BC74+BC75)),0))</f>
        <v>25000</v>
      </c>
      <c r="BE73" s="165">
        <f>IF((BE$72-2021)=START!$C$2,BUILDINGS!$B9,ROUND(BUILDINGS!BD73-(INDEX('DEFAULT DATA'!$WK$9:$WM$41,START!$C$3,3)/100*(BD73+BD74+BD75)),0))</f>
        <v>25000</v>
      </c>
      <c r="BF73" s="165">
        <f>IF((BF$72-2021)=START!$C$2,BUILDINGS!$B9,ROUND(BUILDINGS!BE73-(INDEX('DEFAULT DATA'!$WK$9:$WM$41,START!$C$3,3)/100*(BE73+BE74+BE75)),0))</f>
        <v>25000</v>
      </c>
      <c r="BG73" s="165">
        <f>IF((BG$72-2021)=START!$C$2,BUILDINGS!$B9,ROUND(BUILDINGS!BF73-(INDEX('DEFAULT DATA'!$WK$9:$WM$41,START!$C$3,3)/100*(BF73+BF74+BF75)),0))</f>
        <v>25000</v>
      </c>
      <c r="BH73" s="165">
        <f>IF((BH$72-2021)=START!$C$2,BUILDINGS!$B9,ROUND(BUILDINGS!BG73-(INDEX('DEFAULT DATA'!$WK$9:$WM$41,START!$C$3,3)/100*(BG73+BG74+BG75)),0))</f>
        <v>25000</v>
      </c>
      <c r="BI73" s="165">
        <f>IF((BI$72-2021)=START!$C$2,BUILDINGS!$B9,ROUND(BUILDINGS!BH73-(INDEX('DEFAULT DATA'!$WK$9:$WM$41,START!$C$3,3)/100*(BH73+BH74+BH75)),0))</f>
        <v>25000</v>
      </c>
      <c r="BJ73" s="165">
        <f>IF((BJ$72-2021)=START!$C$2,BUILDINGS!$B9,ROUND(BUILDINGS!BI73-(INDEX('DEFAULT DATA'!$WK$9:$WM$41,START!$C$3,3)/100*(BI73+BI74+BI75)),0))</f>
        <v>25000</v>
      </c>
      <c r="BK73" s="165">
        <f>IF((BK$72-2021)=START!$C$2,BUILDINGS!$B9,ROUND(BUILDINGS!BJ73-(INDEX('DEFAULT DATA'!$WK$9:$WM$41,START!$C$3,3)/100*(BJ73+BJ74+BJ75)),0))</f>
        <v>25000</v>
      </c>
      <c r="BL73" s="165">
        <f>IF((BL$72-2021)=START!$C$2,BUILDINGS!$B9,ROUND(BUILDINGS!BK73-(INDEX('DEFAULT DATA'!$WK$9:$WM$41,START!$C$3,3)/100*(BK73+BK74+BK75)),0))</f>
        <v>25000</v>
      </c>
      <c r="BM73" s="165">
        <f>IF((BM$72-2021)=START!$C$2,BUILDINGS!$B9,ROUND(BUILDINGS!BL73-(INDEX('DEFAULT DATA'!$WK$9:$WM$41,START!$C$3,3)/100*(BL73+BL74+BL75)),0))</f>
        <v>25000</v>
      </c>
      <c r="BN73" s="166">
        <f>IF((BN$72-2021)=START!$C$2,BUILDINGS!$B9,ROUND(BUILDINGS!BM73-(INDEX('DEFAULT DATA'!$WK$9:$WM$41,START!$C$3,3)/100*(BM73+BM74+BM75)),0))</f>
        <v>25000</v>
      </c>
      <c r="BP73" s="355" t="s">
        <v>1340</v>
      </c>
      <c r="BQ73" s="352"/>
    </row>
    <row r="74" spans="1:87" ht="20.100000000000001" customHeight="1">
      <c r="A74" s="41" t="s">
        <v>966</v>
      </c>
      <c r="B74" s="216" t="s">
        <v>879</v>
      </c>
      <c r="C74" s="216"/>
      <c r="D74" s="1472"/>
      <c r="E74" s="1472"/>
      <c r="F74" s="1564"/>
      <c r="G74" s="16"/>
      <c r="H74" s="16"/>
      <c r="I74" s="16"/>
      <c r="J74" s="16"/>
      <c r="K74" s="11"/>
      <c r="L74" s="16"/>
      <c r="M74" s="627"/>
      <c r="N74" s="630"/>
      <c r="O74" s="630"/>
      <c r="P74" s="630"/>
      <c r="Q74" s="630"/>
      <c r="R74" s="630"/>
      <c r="S74" s="630"/>
      <c r="T74" s="630"/>
      <c r="U74" s="630"/>
      <c r="V74" s="630"/>
      <c r="W74" s="630"/>
      <c r="X74" s="630"/>
      <c r="Y74" s="630"/>
      <c r="Z74" s="630"/>
      <c r="AA74" s="630"/>
      <c r="AB74" s="630"/>
      <c r="AC74" s="630"/>
      <c r="AD74" s="630"/>
      <c r="AE74" s="630"/>
      <c r="AF74" s="1551"/>
      <c r="AG74" s="339" t="s">
        <v>998</v>
      </c>
      <c r="AH74" s="317"/>
      <c r="AI74" s="317"/>
      <c r="AJ74" s="318"/>
      <c r="AK74" s="322">
        <v>0</v>
      </c>
      <c r="AL74" s="115">
        <f>IF((AL$72-2021)=START!$C$2,0,BUILDINGS!AK74+ROUND((INDEX('DEFAULT DATA'!$XC$9:$XE$41,START!$C$3,1)/100*(AK73+AK74+AK75)),0))</f>
        <v>0</v>
      </c>
      <c r="AM74" s="115">
        <f>IF((AM$72-2021)=START!$C$2,0,BUILDINGS!AL74+ROUND((INDEX('DEFAULT DATA'!$XC$9:$XE$41,START!$C$3,1)/100*(AL73+AL74+AL75)),0))</f>
        <v>0</v>
      </c>
      <c r="AN74" s="115">
        <f>IF((AN$72-2021)=START!$C$2,0,BUILDINGS!AM74+ROUND((INDEX('DEFAULT DATA'!$XC$9:$XE$41,START!$C$3,1)/100*(AM73+AM74+AM75)),0))</f>
        <v>0</v>
      </c>
      <c r="AO74" s="115">
        <f>IF((AO$72-2021)=START!$C$2,0,BUILDINGS!AN74+ROUND((INDEX('DEFAULT DATA'!$XC$9:$XE$41,START!$C$3,1)/100*(AN73+AN74+AN75)),0))</f>
        <v>0</v>
      </c>
      <c r="AP74" s="115">
        <f>IF((AP$72-2021)=START!$C$2,0,BUILDINGS!AO74+ROUND((INDEX('DEFAULT DATA'!$XC$9:$XE$41,START!$C$3,1)/100*(AO73+AO74+AO75)),0))</f>
        <v>0</v>
      </c>
      <c r="AQ74" s="115">
        <f>IF((AQ$72-2021)=START!$C$2,0,BUILDINGS!AP74+ROUND((INDEX('DEFAULT DATA'!$XC$9:$XE$41,START!$C$3,1)/100*(AP73+AP74+AP75)),0))</f>
        <v>0</v>
      </c>
      <c r="AR74" s="115">
        <f>IF((AR$72-2021)=START!$C$2,0,BUILDINGS!AQ74+ROUND((INDEX('DEFAULT DATA'!$XC$9:$XE$41,START!$C$3,1)/100*(AQ73+AQ74+AQ75)),0))</f>
        <v>0</v>
      </c>
      <c r="AS74" s="115">
        <f>IF((AS$72-2021)=START!$C$2,0,BUILDINGS!AR74+ROUND((INDEX('DEFAULT DATA'!$XC$9:$XE$41,START!$C$3,1)/100*(AR73+AR74+AR75)),0))</f>
        <v>0</v>
      </c>
      <c r="AT74" s="115">
        <f>IF((AT$72-2021)=START!$C$2,0,BUILDINGS!AS74+ROUND((INDEX('DEFAULT DATA'!$XC$9:$XE$41,START!$C$3,1)/100*(AS73+AS74+AS75)),0))</f>
        <v>0</v>
      </c>
      <c r="AU74" s="115">
        <f>IF((AU$72-2021)=START!$C$2,0,BUILDINGS!AT74+ROUND((INDEX('DEFAULT DATA'!$XC$9:$XE$41,START!$C$3,2)/100*(AT73+AT74+AT75)),0))</f>
        <v>0</v>
      </c>
      <c r="AV74" s="115">
        <f>IF((AV$72-2021)=START!$C$2,0,BUILDINGS!AU74+ROUND((INDEX('DEFAULT DATA'!$XC$9:$XE$41,START!$C$3,2)/100*(AU73+AU74+AU75)),0))</f>
        <v>0</v>
      </c>
      <c r="AW74" s="115">
        <f>IF((AW$72-2021)=START!$C$2,0,BUILDINGS!AV74+ROUND((INDEX('DEFAULT DATA'!$XC$9:$XE$41,START!$C$3,2)/100*(AV73+AV74+AV75)),0))</f>
        <v>0</v>
      </c>
      <c r="AX74" s="115">
        <f>IF((AX$72-2021)=START!$C$2,0,BUILDINGS!AW74+ROUND((INDEX('DEFAULT DATA'!$XC$9:$XE$41,START!$C$3,2)/100*(AW73+AW74+AW75)),0))</f>
        <v>0</v>
      </c>
      <c r="AY74" s="115">
        <f>IF((AY$72-2021)=START!$C$2,0,BUILDINGS!AX74+ROUND((INDEX('DEFAULT DATA'!$XC$9:$XE$41,START!$C$3,2)/100*(AX73+AX74+AX75)),0))</f>
        <v>0</v>
      </c>
      <c r="AZ74" s="115">
        <f>IF((AZ$72-2021)=START!$C$2,0,BUILDINGS!AY74+ROUND((INDEX('DEFAULT DATA'!$XC$9:$XE$41,START!$C$3,2)/100*(AY73+AY74+AY75)),0))</f>
        <v>0</v>
      </c>
      <c r="BA74" s="115">
        <f>IF((BA$72-2021)=START!$C$2,0,BUILDINGS!AZ74+ROUND((INDEX('DEFAULT DATA'!$XC$9:$XE$41,START!$C$3,2)/100*(AZ73+AZ74+AZ75)),0))</f>
        <v>0</v>
      </c>
      <c r="BB74" s="115">
        <f>IF((BB$72-2021)=START!$C$2,0,BUILDINGS!BA74+ROUND((INDEX('DEFAULT DATA'!$XC$9:$XE$41,START!$C$3,2)/100*(BA73+BA74+BA75)),0))</f>
        <v>0</v>
      </c>
      <c r="BC74" s="115">
        <f>IF((BC$72-2021)=START!$C$2,0,BUILDINGS!BB74+ROUND((INDEX('DEFAULT DATA'!$XC$9:$XE$41,START!$C$3,2)/100*(BB73+BB74+BB75)),0))</f>
        <v>0</v>
      </c>
      <c r="BD74" s="115">
        <f>IF((BD$72-2021)=START!$C$2,0,BUILDINGS!BC74+ROUND((INDEX('DEFAULT DATA'!$XC$9:$XE$41,START!$C$3,2)/100*(BC73+BC74+BC75)),0))</f>
        <v>0</v>
      </c>
      <c r="BE74" s="115">
        <f>IF((BE$72-2021)=START!$C$2,0,BUILDINGS!BD74+ROUND((INDEX('DEFAULT DATA'!$XC$9:$XE$41,START!$C$3,3)/100*(BD73+BD74+BD75)),0))</f>
        <v>0</v>
      </c>
      <c r="BF74" s="115">
        <f>IF((BF$72-2021)=START!$C$2,0,BUILDINGS!BE74+ROUND((INDEX('DEFAULT DATA'!$XC$9:$XE$41,START!$C$3,3)/100*(BE73+BE74+BE75)),0))</f>
        <v>0</v>
      </c>
      <c r="BG74" s="115">
        <f>IF((BG$72-2021)=START!$C$2,0,BUILDINGS!BF74+ROUND((INDEX('DEFAULT DATA'!$XC$9:$XE$41,START!$C$3,3)/100*(BF73+BF74+BF75)),0))</f>
        <v>0</v>
      </c>
      <c r="BH74" s="115">
        <f>IF((BH$72-2021)=START!$C$2,0,BUILDINGS!BG74+ROUND((INDEX('DEFAULT DATA'!$XC$9:$XE$41,START!$C$3,3)/100*(BG73+BG74+BG75)),0))</f>
        <v>0</v>
      </c>
      <c r="BI74" s="115">
        <f>IF((BI$72-2021)=START!$C$2,0,BUILDINGS!BH74+ROUND((INDEX('DEFAULT DATA'!$XC$9:$XE$41,START!$C$3,3)/100*(BH73+BH74+BH75)),0))</f>
        <v>0</v>
      </c>
      <c r="BJ74" s="115">
        <f>IF((BJ$72-2021)=START!$C$2,0,BUILDINGS!BI74+ROUND((INDEX('DEFAULT DATA'!$XC$9:$XE$41,START!$C$3,3)/100*(BI73+BI74+BI75)),0))</f>
        <v>0</v>
      </c>
      <c r="BK74" s="115">
        <f>IF((BK$72-2021)=START!$C$2,0,BUILDINGS!BJ74+ROUND((INDEX('DEFAULT DATA'!$XC$9:$XE$41,START!$C$3,3)/100*(BJ73+BJ74+BJ75)),0))</f>
        <v>0</v>
      </c>
      <c r="BL74" s="115">
        <f>IF((BL$72-2021)=START!$C$2,0,BUILDINGS!BK74+ROUND((INDEX('DEFAULT DATA'!$XC$9:$XE$41,START!$C$3,3)/100*(BK73+BK74+BK75)),0))</f>
        <v>0</v>
      </c>
      <c r="BM74" s="115">
        <f>IF((BM$72-2021)=START!$C$2,0,BUILDINGS!BL74+ROUND((INDEX('DEFAULT DATA'!$XC$9:$XE$41,START!$C$3,3)/100*(BL73+BL74+BL75)),0))</f>
        <v>0</v>
      </c>
      <c r="BN74" s="323">
        <f>IF((BN$72-2021)=START!$C$2,0,BUILDINGS!BM74+ROUND((INDEX('DEFAULT DATA'!$XC$9:$XE$41,START!$C$3,3)/100*(BM73+BM74+BM75)),0))</f>
        <v>0</v>
      </c>
      <c r="BP74" s="355" t="s">
        <v>1341</v>
      </c>
      <c r="BQ74" s="352"/>
    </row>
    <row r="75" spans="1:87" ht="20.100000000000001" customHeight="1" thickBot="1">
      <c r="A75" s="41" t="str">
        <f>A28</f>
        <v>Apartment</v>
      </c>
      <c r="B75" s="133">
        <v>100000</v>
      </c>
      <c r="C75" s="216"/>
      <c r="D75" s="16">
        <v>9</v>
      </c>
      <c r="E75" s="106">
        <v>19</v>
      </c>
      <c r="F75" s="81">
        <v>0</v>
      </c>
      <c r="G75" s="16"/>
      <c r="H75" s="16"/>
      <c r="I75" s="16"/>
      <c r="J75" s="16"/>
      <c r="K75" s="11"/>
      <c r="L75" s="16"/>
      <c r="M75" s="627"/>
      <c r="N75" s="630"/>
      <c r="O75" s="630"/>
      <c r="P75" s="630"/>
      <c r="Q75" s="630"/>
      <c r="R75" s="630"/>
      <c r="S75" s="630"/>
      <c r="T75" s="630"/>
      <c r="U75" s="630"/>
      <c r="V75" s="630"/>
      <c r="W75" s="630"/>
      <c r="X75" s="630"/>
      <c r="Y75" s="630"/>
      <c r="Z75" s="630"/>
      <c r="AA75" s="630"/>
      <c r="AB75" s="630"/>
      <c r="AC75" s="630"/>
      <c r="AD75" s="630"/>
      <c r="AE75" s="630"/>
      <c r="AF75" s="1552"/>
      <c r="AG75" s="329" t="s">
        <v>999</v>
      </c>
      <c r="AH75" s="330"/>
      <c r="AI75" s="330"/>
      <c r="AJ75" s="175"/>
      <c r="AK75" s="324">
        <v>0</v>
      </c>
      <c r="AL75" s="170">
        <f>IF((AL$72-2021)=START!$C$2,0,BUILDINGS!AK75+ROUND((INDEX('DEFAULT DATA'!$XF$9:$XH$41,START!$C$3,1)/100*(AK73+AK74+AK75)),0))</f>
        <v>0</v>
      </c>
      <c r="AM75" s="170">
        <f>IF((AM$72-2021)=START!$C$2,0,BUILDINGS!AL75+ROUND((INDEX('DEFAULT DATA'!$XF$9:$XH$41,START!$C$3,1)/100*(AL73+AL74+AL75)),0))</f>
        <v>0</v>
      </c>
      <c r="AN75" s="170">
        <f>IF((AN$72-2021)=START!$C$2,0,BUILDINGS!AM75+ROUND((INDEX('DEFAULT DATA'!$XF$9:$XH$41,START!$C$3,1)/100*(AM73+AM74+AM75)),0))</f>
        <v>0</v>
      </c>
      <c r="AO75" s="170">
        <f>IF((AO$72-2021)=START!$C$2,0,BUILDINGS!AN75+ROUND((INDEX('DEFAULT DATA'!$XF$9:$XH$41,START!$C$3,1)/100*(AN73+AN74+AN75)),0))</f>
        <v>0</v>
      </c>
      <c r="AP75" s="170">
        <f>IF((AP$72-2021)=START!$C$2,0,BUILDINGS!AO75+ROUND((INDEX('DEFAULT DATA'!$XF$9:$XH$41,START!$C$3,1)/100*(AO73+AO74+AO75)),0))</f>
        <v>0</v>
      </c>
      <c r="AQ75" s="170">
        <f>IF((AQ$72-2021)=START!$C$2,0,BUILDINGS!AP75+ROUND((INDEX('DEFAULT DATA'!$XF$9:$XH$41,START!$C$3,1)/100*(AP73+AP74+AP75)),0))</f>
        <v>0</v>
      </c>
      <c r="AR75" s="170">
        <f>IF((AR$72-2021)=START!$C$2,0,BUILDINGS!AQ75+ROUND((INDEX('DEFAULT DATA'!$XF$9:$XH$41,START!$C$3,1)/100*(AQ73+AQ74+AQ75)),0))</f>
        <v>0</v>
      </c>
      <c r="AS75" s="170">
        <f>IF((AS$72-2021)=START!$C$2,0,BUILDINGS!AR75+ROUND((INDEX('DEFAULT DATA'!$XF$9:$XH$41,START!$C$3,1)/100*(AR73+AR74+AR75)),0))</f>
        <v>0</v>
      </c>
      <c r="AT75" s="170">
        <f>IF((AT$72-2021)=START!$C$2,0,BUILDINGS!AS75+ROUND((INDEX('DEFAULT DATA'!$XF$9:$XH$41,START!$C$3,1)/100*(AS73+AS74+AS75)),0))</f>
        <v>0</v>
      </c>
      <c r="AU75" s="170">
        <f>IF((AU$72-2021)=START!$C$2,0,BUILDINGS!AT75+ROUND((INDEX('DEFAULT DATA'!$XF$9:$XH$41,START!$C$3,2)/100*(AT73+AT74+AT75)),0))</f>
        <v>0</v>
      </c>
      <c r="AV75" s="170">
        <f>IF((AV$72-2021)=START!$C$2,0,BUILDINGS!AU75+ROUND((INDEX('DEFAULT DATA'!$XF$9:$XH$41,START!$C$3,2)/100*(AU73+AU74+AU75)),0))</f>
        <v>0</v>
      </c>
      <c r="AW75" s="170">
        <f>IF((AW$72-2021)=START!$C$2,0,BUILDINGS!AV75+ROUND((INDEX('DEFAULT DATA'!$XF$9:$XH$41,START!$C$3,2)/100*(AV73+AV74+AV75)),0))</f>
        <v>0</v>
      </c>
      <c r="AX75" s="170">
        <f>IF((AX$72-2021)=START!$C$2,0,BUILDINGS!AW75+ROUND((INDEX('DEFAULT DATA'!$XF$9:$XH$41,START!$C$3,2)/100*(AW73+AW74+AW75)),0))</f>
        <v>0</v>
      </c>
      <c r="AY75" s="170">
        <f>IF((AY$72-2021)=START!$C$2,0,BUILDINGS!AX75+ROUND((INDEX('DEFAULT DATA'!$XF$9:$XH$41,START!$C$3,2)/100*(AX73+AX74+AX75)),0))</f>
        <v>0</v>
      </c>
      <c r="AZ75" s="170">
        <f>IF((AZ$72-2021)=START!$C$2,0,BUILDINGS!AY75+ROUND((INDEX('DEFAULT DATA'!$XF$9:$XH$41,START!$C$3,2)/100*(AY73+AY74+AY75)),0))</f>
        <v>0</v>
      </c>
      <c r="BA75" s="170">
        <f>IF((BA$72-2021)=START!$C$2,0,BUILDINGS!AZ75+ROUND((INDEX('DEFAULT DATA'!$XF$9:$XH$41,START!$C$3,2)/100*(AZ73+AZ74+AZ75)),0))</f>
        <v>0</v>
      </c>
      <c r="BB75" s="170">
        <f>IF((BB$72-2021)=START!$C$2,0,BUILDINGS!BA75+ROUND((INDEX('DEFAULT DATA'!$XF$9:$XH$41,START!$C$3,2)/100*(BA73+BA74+BA75)),0))</f>
        <v>0</v>
      </c>
      <c r="BC75" s="170">
        <f>IF((BC$72-2021)=START!$C$2,0,BUILDINGS!BB75+ROUND((INDEX('DEFAULT DATA'!$XF$9:$XH$41,START!$C$3,2)/100*(BB73+BB74+BB75)),0))</f>
        <v>0</v>
      </c>
      <c r="BD75" s="170">
        <f>IF((BD$72-2021)=START!$C$2,0,BUILDINGS!BC75+ROUND((INDEX('DEFAULT DATA'!$XF$9:$XH$41,START!$C$3,2)/100*(BC73+BC74+BC75)),0))</f>
        <v>0</v>
      </c>
      <c r="BE75" s="170">
        <f>IF((BE$72-2021)=START!$C$2,0,BUILDINGS!BD75+ROUND((INDEX('DEFAULT DATA'!$XF$9:$XH$41,START!$C$3,3)/100*(BD73+BD74+BD75)),0))</f>
        <v>0</v>
      </c>
      <c r="BF75" s="170">
        <f>IF((BF$72-2021)=START!$C$2,0,BUILDINGS!BE75+ROUND((INDEX('DEFAULT DATA'!$XF$9:$XH$41,START!$C$3,3)/100*(BE73+BE74+BE75)),0))</f>
        <v>0</v>
      </c>
      <c r="BG75" s="170">
        <f>IF((BG$72-2021)=START!$C$2,0,BUILDINGS!BF75+ROUND((INDEX('DEFAULT DATA'!$XF$9:$XH$41,START!$C$3,3)/100*(BF73+BF74+BF75)),0))</f>
        <v>0</v>
      </c>
      <c r="BH75" s="170">
        <f>IF((BH$72-2021)=START!$C$2,0,BUILDINGS!BG75+ROUND((INDEX('DEFAULT DATA'!$XF$9:$XH$41,START!$C$3,3)/100*(BG73+BG74+BG75)),0))</f>
        <v>0</v>
      </c>
      <c r="BI75" s="170">
        <f>IF((BI$72-2021)=START!$C$2,0,BUILDINGS!BH75+ROUND((INDEX('DEFAULT DATA'!$XF$9:$XH$41,START!$C$3,3)/100*(BH73+BH74+BH75)),0))</f>
        <v>0</v>
      </c>
      <c r="BJ75" s="170">
        <f>IF((BJ$72-2021)=START!$C$2,0,BUILDINGS!BI75+ROUND((INDEX('DEFAULT DATA'!$XF$9:$XH$41,START!$C$3,3)/100*(BI73+BI74+BI75)),0))</f>
        <v>0</v>
      </c>
      <c r="BK75" s="170">
        <f>IF((BK$72-2021)=START!$C$2,0,BUILDINGS!BJ75+ROUND((INDEX('DEFAULT DATA'!$XF$9:$XH$41,START!$C$3,3)/100*(BJ73+BJ74+BJ75)),0))</f>
        <v>0</v>
      </c>
      <c r="BL75" s="170">
        <f>IF((BL$72-2021)=START!$C$2,0,BUILDINGS!BK75+ROUND((INDEX('DEFAULT DATA'!$XF$9:$XH$41,START!$C$3,3)/100*(BK73+BK74+BK75)),0))</f>
        <v>0</v>
      </c>
      <c r="BM75" s="170">
        <f>IF((BM$72-2021)=START!$C$2,0,BUILDINGS!BL75+ROUND((INDEX('DEFAULT DATA'!$XF$9:$XH$41,START!$C$3,3)/100*(BL73+BL74+BL75)),0))</f>
        <v>0</v>
      </c>
      <c r="BN75" s="325">
        <f>IF((BN$72-2021)=START!$C$2,0,BUILDINGS!BM75+ROUND((INDEX('DEFAULT DATA'!$XF$9:$XH$41,START!$C$3,3)/100*(BM73+BM74+BM75)),0))</f>
        <v>0</v>
      </c>
      <c r="BP75" s="356" t="s">
        <v>1342</v>
      </c>
      <c r="BQ75" s="352"/>
    </row>
    <row r="76" spans="1:87" ht="20.100000000000001" customHeight="1">
      <c r="A76" s="41" t="str">
        <f>A29</f>
        <v>Terraced</v>
      </c>
      <c r="B76" s="133">
        <v>0</v>
      </c>
      <c r="C76" s="216"/>
      <c r="D76" s="16">
        <v>9</v>
      </c>
      <c r="E76" s="106">
        <v>9</v>
      </c>
      <c r="F76" s="81">
        <v>0</v>
      </c>
      <c r="G76" s="16"/>
      <c r="H76" s="16"/>
      <c r="I76" s="16"/>
      <c r="J76" s="16"/>
      <c r="K76" s="11"/>
      <c r="L76" s="16"/>
      <c r="M76" s="627"/>
      <c r="N76" s="630"/>
      <c r="O76" s="630"/>
      <c r="P76" s="630"/>
      <c r="Q76" s="630"/>
      <c r="R76" s="630"/>
      <c r="S76" s="630"/>
      <c r="T76" s="630"/>
      <c r="U76" s="630"/>
      <c r="V76" s="630"/>
      <c r="W76" s="630"/>
      <c r="X76" s="630"/>
      <c r="Y76" s="630"/>
      <c r="Z76" s="630"/>
      <c r="AA76" s="630"/>
      <c r="AB76" s="630"/>
      <c r="AC76" s="630"/>
      <c r="AD76" s="630"/>
      <c r="AE76" s="630"/>
      <c r="AF76" s="167"/>
      <c r="AG76" s="340" t="s">
        <v>1000</v>
      </c>
      <c r="AH76" s="341"/>
      <c r="AI76" s="341"/>
      <c r="AJ76" s="342"/>
      <c r="AK76" s="326">
        <f t="shared" ref="AK76:BN76" si="18">SUM(AK73:AK75)</f>
        <v>0</v>
      </c>
      <c r="AL76" s="326">
        <f t="shared" si="18"/>
        <v>25000</v>
      </c>
      <c r="AM76" s="326">
        <f t="shared" si="18"/>
        <v>25000</v>
      </c>
      <c r="AN76" s="326">
        <f t="shared" si="18"/>
        <v>25000</v>
      </c>
      <c r="AO76" s="326">
        <f t="shared" si="18"/>
        <v>25000</v>
      </c>
      <c r="AP76" s="326">
        <f t="shared" si="18"/>
        <v>25000</v>
      </c>
      <c r="AQ76" s="326">
        <f t="shared" si="18"/>
        <v>25000</v>
      </c>
      <c r="AR76" s="326">
        <f t="shared" si="18"/>
        <v>25000</v>
      </c>
      <c r="AS76" s="326">
        <f t="shared" si="18"/>
        <v>25000</v>
      </c>
      <c r="AT76" s="326">
        <f t="shared" si="18"/>
        <v>25000</v>
      </c>
      <c r="AU76" s="326">
        <f t="shared" si="18"/>
        <v>25000</v>
      </c>
      <c r="AV76" s="326">
        <f t="shared" si="18"/>
        <v>25000</v>
      </c>
      <c r="AW76" s="326">
        <f t="shared" si="18"/>
        <v>25000</v>
      </c>
      <c r="AX76" s="326">
        <f t="shared" si="18"/>
        <v>25000</v>
      </c>
      <c r="AY76" s="326">
        <f t="shared" si="18"/>
        <v>25000</v>
      </c>
      <c r="AZ76" s="326">
        <f t="shared" si="18"/>
        <v>25000</v>
      </c>
      <c r="BA76" s="326">
        <f t="shared" si="18"/>
        <v>25000</v>
      </c>
      <c r="BB76" s="326">
        <f t="shared" si="18"/>
        <v>25000</v>
      </c>
      <c r="BC76" s="326">
        <f t="shared" si="18"/>
        <v>25000</v>
      </c>
      <c r="BD76" s="326">
        <f t="shared" si="18"/>
        <v>25000</v>
      </c>
      <c r="BE76" s="326">
        <f t="shared" si="18"/>
        <v>25000</v>
      </c>
      <c r="BF76" s="326">
        <f t="shared" si="18"/>
        <v>25000</v>
      </c>
      <c r="BG76" s="326">
        <f t="shared" si="18"/>
        <v>25000</v>
      </c>
      <c r="BH76" s="326">
        <f t="shared" si="18"/>
        <v>25000</v>
      </c>
      <c r="BI76" s="326">
        <f t="shared" si="18"/>
        <v>25000</v>
      </c>
      <c r="BJ76" s="326">
        <f t="shared" si="18"/>
        <v>25000</v>
      </c>
      <c r="BK76" s="326">
        <f t="shared" si="18"/>
        <v>25000</v>
      </c>
      <c r="BL76" s="326">
        <f t="shared" si="18"/>
        <v>25000</v>
      </c>
      <c r="BM76" s="326">
        <f t="shared" si="18"/>
        <v>25000</v>
      </c>
      <c r="BN76" s="326">
        <f t="shared" si="18"/>
        <v>25000</v>
      </c>
      <c r="CF76" s="225" t="s">
        <v>1219</v>
      </c>
      <c r="CG76" s="225" t="s">
        <v>1090</v>
      </c>
      <c r="CH76" s="225" t="s">
        <v>1091</v>
      </c>
    </row>
    <row r="77" spans="1:87" ht="20.100000000000001" customHeight="1">
      <c r="A77" s="41" t="str">
        <f>A30</f>
        <v>Semi-detached</v>
      </c>
      <c r="B77" s="133">
        <v>0</v>
      </c>
      <c r="C77" s="216"/>
      <c r="D77" s="16">
        <v>9</v>
      </c>
      <c r="E77" s="106">
        <v>14</v>
      </c>
      <c r="F77" s="81">
        <v>0</v>
      </c>
      <c r="G77" s="16"/>
      <c r="H77" s="16"/>
      <c r="I77" s="16"/>
      <c r="J77" s="16"/>
      <c r="K77" s="11"/>
      <c r="L77" s="16"/>
      <c r="M77" s="627"/>
      <c r="N77" s="630"/>
      <c r="O77" s="630"/>
      <c r="P77" s="630"/>
      <c r="Q77" s="630"/>
      <c r="R77" s="630"/>
      <c r="S77" s="630"/>
      <c r="T77" s="630"/>
      <c r="U77" s="630"/>
      <c r="V77" s="630"/>
      <c r="W77" s="630"/>
      <c r="X77" s="630"/>
      <c r="Y77" s="630"/>
      <c r="Z77" s="630"/>
      <c r="AA77" s="630"/>
      <c r="AB77" s="630"/>
      <c r="AC77" s="630"/>
      <c r="AD77" s="630"/>
      <c r="AE77" s="630"/>
      <c r="CF77" s="225" t="s">
        <v>1284</v>
      </c>
      <c r="CG77" s="225" t="s">
        <v>1284</v>
      </c>
      <c r="CH77" s="225" t="s">
        <v>1284</v>
      </c>
    </row>
    <row r="78" spans="1:87" ht="20.100000000000001" customHeight="1" thickBot="1">
      <c r="A78" s="41" t="str">
        <f>A31</f>
        <v>Detached</v>
      </c>
      <c r="B78" s="133">
        <v>0</v>
      </c>
      <c r="C78" s="216"/>
      <c r="D78" s="16">
        <v>14</v>
      </c>
      <c r="E78" s="106">
        <v>19</v>
      </c>
      <c r="F78" s="81">
        <v>0</v>
      </c>
      <c r="G78" s="16"/>
      <c r="H78" s="16"/>
      <c r="I78" s="16"/>
      <c r="J78" s="16"/>
      <c r="K78" s="11"/>
      <c r="L78" s="16"/>
      <c r="M78" s="627"/>
      <c r="N78" s="630"/>
      <c r="O78" s="630"/>
      <c r="P78" s="630"/>
      <c r="Q78" s="630"/>
      <c r="R78" s="630"/>
      <c r="S78" s="630"/>
      <c r="T78" s="630"/>
      <c r="U78" s="630"/>
      <c r="V78" s="630"/>
      <c r="W78" s="630"/>
      <c r="X78" s="630"/>
      <c r="Y78" s="630"/>
      <c r="Z78" s="630"/>
      <c r="AA78" s="630"/>
      <c r="AB78" s="630"/>
      <c r="AC78" s="630"/>
      <c r="AD78" s="630"/>
      <c r="AE78" s="630"/>
      <c r="AF78" s="343" t="s">
        <v>1009</v>
      </c>
      <c r="AG78" s="1577" t="s">
        <v>992</v>
      </c>
      <c r="AH78" s="1578"/>
      <c r="AI78" s="1578"/>
      <c r="AJ78" s="1579"/>
      <c r="AK78" s="320">
        <v>2021</v>
      </c>
      <c r="AL78" s="320">
        <f>AK78+1</f>
        <v>2022</v>
      </c>
      <c r="AM78" s="320">
        <f t="shared" ref="AM78:BN78" si="19">AL78+1</f>
        <v>2023</v>
      </c>
      <c r="AN78" s="320">
        <f t="shared" si="19"/>
        <v>2024</v>
      </c>
      <c r="AO78" s="320">
        <f t="shared" si="19"/>
        <v>2025</v>
      </c>
      <c r="AP78" s="320">
        <f t="shared" si="19"/>
        <v>2026</v>
      </c>
      <c r="AQ78" s="320">
        <f t="shared" si="19"/>
        <v>2027</v>
      </c>
      <c r="AR78" s="320">
        <f t="shared" si="19"/>
        <v>2028</v>
      </c>
      <c r="AS78" s="320">
        <f t="shared" si="19"/>
        <v>2029</v>
      </c>
      <c r="AT78" s="320">
        <f t="shared" si="19"/>
        <v>2030</v>
      </c>
      <c r="AU78" s="320">
        <f t="shared" si="19"/>
        <v>2031</v>
      </c>
      <c r="AV78" s="320">
        <f t="shared" si="19"/>
        <v>2032</v>
      </c>
      <c r="AW78" s="320">
        <f t="shared" si="19"/>
        <v>2033</v>
      </c>
      <c r="AX78" s="320">
        <f t="shared" si="19"/>
        <v>2034</v>
      </c>
      <c r="AY78" s="320">
        <f t="shared" si="19"/>
        <v>2035</v>
      </c>
      <c r="AZ78" s="320">
        <f t="shared" si="19"/>
        <v>2036</v>
      </c>
      <c r="BA78" s="320">
        <f t="shared" si="19"/>
        <v>2037</v>
      </c>
      <c r="BB78" s="320">
        <f t="shared" si="19"/>
        <v>2038</v>
      </c>
      <c r="BC78" s="320">
        <f t="shared" si="19"/>
        <v>2039</v>
      </c>
      <c r="BD78" s="320">
        <f t="shared" si="19"/>
        <v>2040</v>
      </c>
      <c r="BE78" s="320">
        <f t="shared" si="19"/>
        <v>2041</v>
      </c>
      <c r="BF78" s="320">
        <f t="shared" si="19"/>
        <v>2042</v>
      </c>
      <c r="BG78" s="320">
        <f t="shared" si="19"/>
        <v>2043</v>
      </c>
      <c r="BH78" s="320">
        <f t="shared" si="19"/>
        <v>2044</v>
      </c>
      <c r="BI78" s="320">
        <f t="shared" si="19"/>
        <v>2045</v>
      </c>
      <c r="BJ78" s="320">
        <f t="shared" si="19"/>
        <v>2046</v>
      </c>
      <c r="BK78" s="320">
        <f t="shared" si="19"/>
        <v>2047</v>
      </c>
      <c r="BL78" s="320">
        <f t="shared" si="19"/>
        <v>2048</v>
      </c>
      <c r="BM78" s="320">
        <f t="shared" si="19"/>
        <v>2049</v>
      </c>
      <c r="BN78" s="320">
        <f t="shared" si="19"/>
        <v>2050</v>
      </c>
      <c r="BP78" s="6" t="s">
        <v>1283</v>
      </c>
      <c r="BQ78" s="6"/>
      <c r="CF78" s="225" t="s">
        <v>1218</v>
      </c>
      <c r="CG78" s="225" t="s">
        <v>1218</v>
      </c>
      <c r="CH78" s="225" t="s">
        <v>1218</v>
      </c>
      <c r="CI78" s="225" t="s">
        <v>1224</v>
      </c>
    </row>
    <row r="79" spans="1:87" ht="20.100000000000001" customHeight="1">
      <c r="A79" s="41"/>
      <c r="B79" s="82"/>
      <c r="C79" s="82"/>
      <c r="D79" s="82"/>
      <c r="E79" s="82"/>
      <c r="F79" s="16"/>
      <c r="G79" s="16"/>
      <c r="H79" s="16"/>
      <c r="I79" s="16"/>
      <c r="J79" s="16"/>
      <c r="K79" s="11"/>
      <c r="L79" s="16"/>
      <c r="M79" s="627"/>
      <c r="N79" s="630"/>
      <c r="O79" s="630"/>
      <c r="P79" s="630"/>
      <c r="Q79" s="630"/>
      <c r="R79" s="630"/>
      <c r="S79" s="630"/>
      <c r="T79" s="630"/>
      <c r="U79" s="630"/>
      <c r="V79" s="630"/>
      <c r="W79" s="630"/>
      <c r="X79" s="630"/>
      <c r="Y79" s="630"/>
      <c r="Z79" s="630"/>
      <c r="AA79" s="630"/>
      <c r="AB79" s="630"/>
      <c r="AC79" s="630"/>
      <c r="AD79" s="630"/>
      <c r="AE79" s="630"/>
      <c r="AF79" s="1550" t="s">
        <v>860</v>
      </c>
      <c r="AG79" s="1486" t="s">
        <v>578</v>
      </c>
      <c r="AH79" s="1487"/>
      <c r="AI79" s="1487"/>
      <c r="AJ79" s="1580"/>
      <c r="AK79" s="152">
        <v>0</v>
      </c>
      <c r="AL79" s="157">
        <f>IF((AL$78-2021)&lt;START!$C$2,0,((AL$73*INDEX('DEFAULT DATA'!$AHH$9:$AHO$41,START!$C$3,1))+(AL$74*INDEX('DEFAULT DATA'!$YR$9:$YY$41,START!$C$3,1))+(AL$75*INDEX('DEFAULT DATA'!$ZX$9:$AAE$41,START!$C$3,1)))*AL5/1000000)</f>
        <v>12365.066894192883</v>
      </c>
      <c r="AM79" s="157">
        <f>IF((AM$78-2021)&lt;START!$C$2,0,((AM$73*INDEX('DEFAULT DATA'!$AHH$9:$AHO$41,START!$C$3,1))+(AM$74*INDEX('DEFAULT DATA'!$YR$9:$YY$41,START!$C$3,1))+(AM$75*INDEX('DEFAULT DATA'!$ZX$9:$AAE$41,START!$C$3,1)))*AM5/1000000)</f>
        <v>11425.321810234227</v>
      </c>
      <c r="AN79" s="157">
        <f>IF((AN$78-2021)&lt;START!$C$2,0,((AN$73*INDEX('DEFAULT DATA'!$AHH$9:$AHO$41,START!$C$3,1))+(AN$74*INDEX('DEFAULT DATA'!$YR$9:$YY$41,START!$C$3,1))+(AN$75*INDEX('DEFAULT DATA'!$ZX$9:$AAE$41,START!$C$3,1)))*AN5/1000000)</f>
        <v>10556.997352656426</v>
      </c>
      <c r="AO79" s="157">
        <f>IF((AO$78-2021)&lt;START!$C$2,0,((AO$73*INDEX('DEFAULT DATA'!$AHH$9:$AHO$41,START!$C$3,1))+(AO$74*INDEX('DEFAULT DATA'!$YR$9:$YY$41,START!$C$3,1))+(AO$75*INDEX('DEFAULT DATA'!$ZX$9:$AAE$41,START!$C$3,1)))*AO5/1000000)</f>
        <v>9754.6655538545365</v>
      </c>
      <c r="AP79" s="157">
        <f>IF((AP$78-2021)&lt;START!$C$2,0,((AP$73*INDEX('DEFAULT DATA'!$AHH$9:$AHO$41,START!$C$3,1))+(AP$74*INDEX('DEFAULT DATA'!$YR$9:$YY$41,START!$C$3,1))+(AP$75*INDEX('DEFAULT DATA'!$ZX$9:$AAE$41,START!$C$3,1)))*AP5/1000000)</f>
        <v>9013.3109717615935</v>
      </c>
      <c r="AQ79" s="157">
        <f>IF((AQ$78-2021)&lt;START!$C$2,0,((AQ$73*INDEX('DEFAULT DATA'!$AHH$9:$AHO$41,START!$C$3,1))+(AQ$74*INDEX('DEFAULT DATA'!$YR$9:$YY$41,START!$C$3,1))+(AQ$75*INDEX('DEFAULT DATA'!$ZX$9:$AAE$41,START!$C$3,1)))*AQ5/1000000)</f>
        <v>8328.2993379077125</v>
      </c>
      <c r="AR79" s="157">
        <f>IF((AR$78-2021)&lt;START!$C$2,0,((AR$73*INDEX('DEFAULT DATA'!$AHH$9:$AHO$41,START!$C$3,1))+(AR$74*INDEX('DEFAULT DATA'!$YR$9:$YY$41,START!$C$3,1))+(AR$75*INDEX('DEFAULT DATA'!$ZX$9:$AAE$41,START!$C$3,1)))*AR5/1000000)</f>
        <v>7695.3485882267269</v>
      </c>
      <c r="AS79" s="157">
        <f>IF((AS$78-2021)&lt;START!$C$2,0,((AS$73*INDEX('DEFAULT DATA'!$AHH$9:$AHO$41,START!$C$3,1))+(AS$74*INDEX('DEFAULT DATA'!$YR$9:$YY$41,START!$C$3,1))+(AS$75*INDEX('DEFAULT DATA'!$ZX$9:$AAE$41,START!$C$3,1)))*AS5/1000000)</f>
        <v>7110.502095521495</v>
      </c>
      <c r="AT79" s="157">
        <f>IF((AT$78-2021)&lt;START!$C$2,0,((AT$73*INDEX('DEFAULT DATA'!$AHH$9:$AHO$41,START!$C$3,1))+(AT$74*INDEX('DEFAULT DATA'!$YR$9:$YY$41,START!$C$3,1))+(AT$75*INDEX('DEFAULT DATA'!$ZX$9:$AAE$41,START!$C$3,1)))*AT5/1000000)</f>
        <v>6570.1039362618621</v>
      </c>
      <c r="AU79" s="157">
        <f>IF((AU$78-2021)&lt;START!$C$2,0,((AU$73*INDEX('DEFAULT DATA'!$AHH$9:$AHO$41,START!$C$3,1))+(AU$74*INDEX('DEFAULT DATA'!$YR$9:$YY$41,START!$C$3,1))+(AU$75*INDEX('DEFAULT DATA'!$ZX$9:$AAE$41,START!$C$3,1)))*AU5/1000000)</f>
        <v>6143.0471804048411</v>
      </c>
      <c r="AV79" s="157">
        <f>IF((AV$78-2021)&lt;START!$C$2,0,((AV$73*INDEX('DEFAULT DATA'!$AHH$9:$AHO$41,START!$C$3,1))+(AV$74*INDEX('DEFAULT DATA'!$YR$9:$YY$41,START!$C$3,1))+(AV$75*INDEX('DEFAULT DATA'!$ZX$9:$AAE$41,START!$C$3,1)))*AV5/1000000)</f>
        <v>5743.7491136785266</v>
      </c>
      <c r="AW79" s="157">
        <f>IF((AW$78-2021)&lt;START!$C$2,0,((AW$73*INDEX('DEFAULT DATA'!$AHH$9:$AHO$41,START!$C$3,1))+(AW$74*INDEX('DEFAULT DATA'!$YR$9:$YY$41,START!$C$3,1))+(AW$75*INDEX('DEFAULT DATA'!$ZX$9:$AAE$41,START!$C$3,1)))*AW5/1000000)</f>
        <v>5370.4054212894234</v>
      </c>
      <c r="AX79" s="157">
        <f>IF((AX$78-2021)&lt;START!$C$2,0,((AX$73*INDEX('DEFAULT DATA'!$AHH$9:$AHO$41,START!$C$3,1))+(AX$74*INDEX('DEFAULT DATA'!$YR$9:$YY$41,START!$C$3,1))+(AX$75*INDEX('DEFAULT DATA'!$ZX$9:$AAE$41,START!$C$3,1)))*AX5/1000000)</f>
        <v>5021.3290689056103</v>
      </c>
      <c r="AY79" s="157">
        <f>IF((AY$78-2021)&lt;START!$C$2,0,((AY$73*INDEX('DEFAULT DATA'!$AHH$9:$AHO$41,START!$C$3,1))+(AY$74*INDEX('DEFAULT DATA'!$YR$9:$YY$41,START!$C$3,1))+(AY$75*INDEX('DEFAULT DATA'!$ZX$9:$AAE$41,START!$C$3,1)))*AY5/1000000)</f>
        <v>4694.9426794267465</v>
      </c>
      <c r="AZ79" s="157">
        <f>IF((AZ$78-2021)&lt;START!$C$2,0,((AZ$73*INDEX('DEFAULT DATA'!$AHH$9:$AHO$41,START!$C$3,1))+(AZ$74*INDEX('DEFAULT DATA'!$YR$9:$YY$41,START!$C$3,1))+(AZ$75*INDEX('DEFAULT DATA'!$ZX$9:$AAE$41,START!$C$3,1)))*AZ5/1000000)</f>
        <v>4389.7714052640076</v>
      </c>
      <c r="BA79" s="157">
        <f>IF((BA$78-2021)&lt;START!$C$2,0,((BA$73*INDEX('DEFAULT DATA'!$AHH$9:$AHO$41,START!$C$3,1))+(BA$74*INDEX('DEFAULT DATA'!$YR$9:$YY$41,START!$C$3,1))+(BA$75*INDEX('DEFAULT DATA'!$ZX$9:$AAE$41,START!$C$3,1)))*BA5/1000000)</f>
        <v>4104.436263921848</v>
      </c>
      <c r="BB79" s="157">
        <f>IF((BB$78-2021)&lt;START!$C$2,0,((BB$73*INDEX('DEFAULT DATA'!$AHH$9:$AHO$41,START!$C$3,1))+(BB$74*INDEX('DEFAULT DATA'!$YR$9:$YY$41,START!$C$3,1))+(BB$75*INDEX('DEFAULT DATA'!$ZX$9:$AAE$41,START!$C$3,1)))*BB5/1000000)</f>
        <v>3837.6479067669284</v>
      </c>
      <c r="BC79" s="157">
        <f>IF((BC$78-2021)&lt;START!$C$2,0,((BC$73*INDEX('DEFAULT DATA'!$AHH$9:$AHO$41,START!$C$3,1))+(BC$74*INDEX('DEFAULT DATA'!$YR$9:$YY$41,START!$C$3,1))+(BC$75*INDEX('DEFAULT DATA'!$ZX$9:$AAE$41,START!$C$3,1)))*BC5/1000000)</f>
        <v>3588.2007928270782</v>
      </c>
      <c r="BD79" s="157">
        <f>IF((BD$78-2021)&lt;START!$C$2,0,((BD$73*INDEX('DEFAULT DATA'!$AHH$9:$AHO$41,START!$C$3,1))+(BD$74*INDEX('DEFAULT DATA'!$YR$9:$YY$41,START!$C$3,1))+(BD$75*INDEX('DEFAULT DATA'!$ZX$9:$AAE$41,START!$C$3,1)))*BD5/1000000)</f>
        <v>3354.9677412933183</v>
      </c>
      <c r="BE79" s="157">
        <f>IF((BE$78-2021)&lt;START!$C$2,0,((BE$73*INDEX('DEFAULT DATA'!$AHH$9:$AHO$41,START!$C$3,1))+(BE$74*INDEX('DEFAULT DATA'!$YR$9:$YY$41,START!$C$3,1))+(BE$75*INDEX('DEFAULT DATA'!$ZX$9:$AAE$41,START!$C$3,1)))*BE5/1000000)</f>
        <v>3136.8948381092528</v>
      </c>
      <c r="BF79" s="157">
        <f>IF((BF$78-2021)&lt;START!$C$2,0,((BF$73*INDEX('DEFAULT DATA'!$AHH$9:$AHO$41,START!$C$3,1))+(BF$74*INDEX('DEFAULT DATA'!$YR$9:$YY$41,START!$C$3,1))+(BF$75*INDEX('DEFAULT DATA'!$ZX$9:$AAE$41,START!$C$3,1)))*BF5/1000000)</f>
        <v>2932.9966736321517</v>
      </c>
      <c r="BG79" s="157">
        <f>IF((BG$78-2021)&lt;START!$C$2,0,((BG$73*INDEX('DEFAULT DATA'!$AHH$9:$AHO$41,START!$C$3,1))+(BG$74*INDEX('DEFAULT DATA'!$YR$9:$YY$41,START!$C$3,1))+(BG$75*INDEX('DEFAULT DATA'!$ZX$9:$AAE$41,START!$C$3,1)))*BG5/1000000)</f>
        <v>2742.351889846062</v>
      </c>
      <c r="BH79" s="157">
        <f>IF((BH$78-2021)&lt;START!$C$2,0,((BH$73*INDEX('DEFAULT DATA'!$AHH$9:$AHO$41,START!$C$3,1))+(BH$74*INDEX('DEFAULT DATA'!$YR$9:$YY$41,START!$C$3,1))+(BH$75*INDEX('DEFAULT DATA'!$ZX$9:$AAE$41,START!$C$3,1)))*BH5/1000000)</f>
        <v>2564.0990170060682</v>
      </c>
      <c r="BI79" s="157">
        <f>IF((BI$78-2021)&lt;START!$C$2,0,((BI$73*INDEX('DEFAULT DATA'!$AHH$9:$AHO$41,START!$C$3,1))+(BI$74*INDEX('DEFAULT DATA'!$YR$9:$YY$41,START!$C$3,1))+(BI$75*INDEX('DEFAULT DATA'!$ZX$9:$AAE$41,START!$C$3,1)))*BI5/1000000)</f>
        <v>2397.4325809006737</v>
      </c>
      <c r="BJ79" s="157">
        <f>IF((BJ$78-2021)&lt;START!$C$2,0,((BJ$73*INDEX('DEFAULT DATA'!$AHH$9:$AHO$41,START!$C$3,1))+(BJ$74*INDEX('DEFAULT DATA'!$YR$9:$YY$41,START!$C$3,1))+(BJ$75*INDEX('DEFAULT DATA'!$ZX$9:$AAE$41,START!$C$3,1)))*BJ5/1000000)</f>
        <v>2241.5994631421304</v>
      </c>
      <c r="BK79" s="157">
        <f>IF((BK$78-2021)&lt;START!$C$2,0,((BK$73*INDEX('DEFAULT DATA'!$AHH$9:$AHO$41,START!$C$3,1))+(BK$74*INDEX('DEFAULT DATA'!$YR$9:$YY$41,START!$C$3,1))+(BK$75*INDEX('DEFAULT DATA'!$ZX$9:$AAE$41,START!$C$3,1)))*BK5/1000000)</f>
        <v>2095.8954980378917</v>
      </c>
      <c r="BL79" s="157">
        <f>IF((BL$78-2021)&lt;START!$C$2,0,((BL$73*INDEX('DEFAULT DATA'!$AHH$9:$AHO$41,START!$C$3,1))+(BL$74*INDEX('DEFAULT DATA'!$YR$9:$YY$41,START!$C$3,1))+(BL$75*INDEX('DEFAULT DATA'!$ZX$9:$AAE$41,START!$C$3,1)))*BL5/1000000)</f>
        <v>1959.6622906654291</v>
      </c>
      <c r="BM79" s="157">
        <f>IF((BM$78-2021)&lt;START!$C$2,0,((BM$73*INDEX('DEFAULT DATA'!$AHH$9:$AHO$41,START!$C$3,1))+(BM$74*INDEX('DEFAULT DATA'!$YR$9:$YY$41,START!$C$3,1))+(BM$75*INDEX('DEFAULT DATA'!$ZX$9:$AAE$41,START!$C$3,1)))*BM5/1000000)</f>
        <v>1832.2842417721763</v>
      </c>
      <c r="BN79" s="158">
        <f>IF((BN$78-2021)&lt;START!$C$2,0,((BN$73*INDEX('DEFAULT DATA'!$AHH$9:$AHO$41,START!$C$3,1))+(BN$74*INDEX('DEFAULT DATA'!$YR$9:$YY$41,START!$C$3,1))+(BN$75*INDEX('DEFAULT DATA'!$ZX$9:$AAE$41,START!$C$3,1)))*BN5/1000000)</f>
        <v>1713.1857660569847</v>
      </c>
      <c r="BP79" s="353" t="str">
        <f>AG79</f>
        <v>Electricity</v>
      </c>
      <c r="BQ79" s="357" t="s">
        <v>1362</v>
      </c>
      <c r="BR79" s="358"/>
      <c r="BS79" s="358"/>
      <c r="BT79" s="358"/>
      <c r="BU79" s="358"/>
      <c r="BV79" s="358"/>
      <c r="BW79" s="358"/>
      <c r="BX79" s="358"/>
      <c r="BY79" s="358"/>
      <c r="BZ79" s="358"/>
      <c r="CA79" s="358"/>
      <c r="CB79" s="358"/>
      <c r="CC79" s="358"/>
      <c r="CD79" s="358"/>
      <c r="CE79" s="359"/>
      <c r="CF79" s="360" t="s">
        <v>1285</v>
      </c>
      <c r="CG79" s="360" t="s">
        <v>1293</v>
      </c>
      <c r="CH79" s="360" t="s">
        <v>1301</v>
      </c>
      <c r="CI79" s="360" t="s">
        <v>1225</v>
      </c>
    </row>
    <row r="80" spans="1:87" ht="20.100000000000001" customHeight="1">
      <c r="A80" s="85" t="s">
        <v>881</v>
      </c>
      <c r="B80" s="17"/>
      <c r="C80" s="17"/>
      <c r="D80" s="17"/>
      <c r="E80" s="17"/>
      <c r="F80" s="17"/>
      <c r="G80" s="17"/>
      <c r="H80" s="17"/>
      <c r="I80" s="17"/>
      <c r="J80" s="17"/>
      <c r="K80" s="10"/>
      <c r="L80" s="16"/>
      <c r="M80" s="627"/>
      <c r="N80" s="630"/>
      <c r="O80" s="630"/>
      <c r="P80" s="630"/>
      <c r="Q80" s="630"/>
      <c r="R80" s="630"/>
      <c r="S80" s="630"/>
      <c r="T80" s="630"/>
      <c r="U80" s="630"/>
      <c r="V80" s="630"/>
      <c r="W80" s="630"/>
      <c r="X80" s="630"/>
      <c r="Y80" s="630"/>
      <c r="Z80" s="630"/>
      <c r="AA80" s="630"/>
      <c r="AB80" s="630"/>
      <c r="AC80" s="630"/>
      <c r="AD80" s="630"/>
      <c r="AE80" s="630"/>
      <c r="AF80" s="1551"/>
      <c r="AG80" s="1581" t="s">
        <v>862</v>
      </c>
      <c r="AH80" s="1582"/>
      <c r="AI80" s="1582"/>
      <c r="AJ80" s="1583"/>
      <c r="AK80" s="81">
        <v>0</v>
      </c>
      <c r="AL80" s="123">
        <f>IF((AL$78-2021)&lt;START!$C$2,0,((AL$73*INDEX('DEFAULT DATA'!$AHH$9:$AHO$41,START!$C$3,2))+(AL$74*INDEX('DEFAULT DATA'!$YR$9:$YY$41,START!$C$3,2))+(AL$75*INDEX('DEFAULT DATA'!$ZX$9:$AAE$41,START!$C$3,2)))*INDEX('DEFAULT DATA'!$WC$9:$WJ$41,START!$C$3,2)/1000000)</f>
        <v>16964.263168347392</v>
      </c>
      <c r="AM80" s="123">
        <f>IF((AM$78-2021)&lt;START!$C$2,0,((AM$73*INDEX('DEFAULT DATA'!$AHH$9:$AHO$41,START!$C$3,2))+(AM$74*INDEX('DEFAULT DATA'!$YR$9:$YY$41,START!$C$3,2))+(AM$75*INDEX('DEFAULT DATA'!$ZX$9:$AAE$41,START!$C$3,2)))*INDEX('DEFAULT DATA'!$WC$9:$WJ$41,START!$C$3,2)/1000000)</f>
        <v>16964.263168347392</v>
      </c>
      <c r="AN80" s="123">
        <f>IF((AN$78-2021)&lt;START!$C$2,0,((AN$73*INDEX('DEFAULT DATA'!$AHH$9:$AHO$41,START!$C$3,2))+(AN$74*INDEX('DEFAULT DATA'!$YR$9:$YY$41,START!$C$3,2))+(AN$75*INDEX('DEFAULT DATA'!$ZX$9:$AAE$41,START!$C$3,2)))*INDEX('DEFAULT DATA'!$WC$9:$WJ$41,START!$C$3,2)/1000000)</f>
        <v>16964.263168347392</v>
      </c>
      <c r="AO80" s="123">
        <f>IF((AO$78-2021)&lt;START!$C$2,0,((AO$73*INDEX('DEFAULT DATA'!$AHH$9:$AHO$41,START!$C$3,2))+(AO$74*INDEX('DEFAULT DATA'!$YR$9:$YY$41,START!$C$3,2))+(AO$75*INDEX('DEFAULT DATA'!$ZX$9:$AAE$41,START!$C$3,2)))*INDEX('DEFAULT DATA'!$WC$9:$WJ$41,START!$C$3,2)/1000000)</f>
        <v>16964.263168347392</v>
      </c>
      <c r="AP80" s="123">
        <f>IF((AP$78-2021)&lt;START!$C$2,0,((AP$73*INDEX('DEFAULT DATA'!$AHH$9:$AHO$41,START!$C$3,2))+(AP$74*INDEX('DEFAULT DATA'!$YR$9:$YY$41,START!$C$3,2))+(AP$75*INDEX('DEFAULT DATA'!$ZX$9:$AAE$41,START!$C$3,2)))*INDEX('DEFAULT DATA'!$WC$9:$WJ$41,START!$C$3,2)/1000000)</f>
        <v>16964.263168347392</v>
      </c>
      <c r="AQ80" s="123">
        <f>IF((AQ$78-2021)&lt;START!$C$2,0,((AQ$73*INDEX('DEFAULT DATA'!$AHH$9:$AHO$41,START!$C$3,2))+(AQ$74*INDEX('DEFAULT DATA'!$YR$9:$YY$41,START!$C$3,2))+(AQ$75*INDEX('DEFAULT DATA'!$ZX$9:$AAE$41,START!$C$3,2)))*INDEX('DEFAULT DATA'!$WC$9:$WJ$41,START!$C$3,2)/1000000)</f>
        <v>16964.263168347392</v>
      </c>
      <c r="AR80" s="123">
        <f>IF((AR$78-2021)&lt;START!$C$2,0,((AR$73*INDEX('DEFAULT DATA'!$AHH$9:$AHO$41,START!$C$3,2))+(AR$74*INDEX('DEFAULT DATA'!$YR$9:$YY$41,START!$C$3,2))+(AR$75*INDEX('DEFAULT DATA'!$ZX$9:$AAE$41,START!$C$3,2)))*INDEX('DEFAULT DATA'!$WC$9:$WJ$41,START!$C$3,2)/1000000)</f>
        <v>16964.263168347392</v>
      </c>
      <c r="AS80" s="123">
        <f>IF((AS$78-2021)&lt;START!$C$2,0,((AS$73*INDEX('DEFAULT DATA'!$AHH$9:$AHO$41,START!$C$3,2))+(AS$74*INDEX('DEFAULT DATA'!$YR$9:$YY$41,START!$C$3,2))+(AS$75*INDEX('DEFAULT DATA'!$ZX$9:$AAE$41,START!$C$3,2)))*INDEX('DEFAULT DATA'!$WC$9:$WJ$41,START!$C$3,2)/1000000)</f>
        <v>16964.263168347392</v>
      </c>
      <c r="AT80" s="123">
        <f>IF((AT$78-2021)&lt;START!$C$2,0,((AT$73*INDEX('DEFAULT DATA'!$AHH$9:$AHO$41,START!$C$3,2))+(AT$74*INDEX('DEFAULT DATA'!$YR$9:$YY$41,START!$C$3,2))+(AT$75*INDEX('DEFAULT DATA'!$ZX$9:$AAE$41,START!$C$3,2)))*INDEX('DEFAULT DATA'!$WC$9:$WJ$41,START!$C$3,2)/1000000)</f>
        <v>16964.263168347392</v>
      </c>
      <c r="AU80" s="123">
        <f>IF((AU$78-2021)&lt;START!$C$2,0,((AU$73*INDEX('DEFAULT DATA'!$AHH$9:$AHO$41,START!$C$3,2))+(AU$74*INDEX('DEFAULT DATA'!$YR$9:$YY$41,START!$C$3,2))+(AU$75*INDEX('DEFAULT DATA'!$ZX$9:$AAE$41,START!$C$3,2)))*INDEX('DEFAULT DATA'!$WC$9:$WJ$41,START!$C$3,2)/1000000)</f>
        <v>16964.263168347392</v>
      </c>
      <c r="AV80" s="123">
        <f>IF((AV$78-2021)&lt;START!$C$2,0,((AV$73*INDEX('DEFAULT DATA'!$AHH$9:$AHO$41,START!$C$3,2))+(AV$74*INDEX('DEFAULT DATA'!$YR$9:$YY$41,START!$C$3,2))+(AV$75*INDEX('DEFAULT DATA'!$ZX$9:$AAE$41,START!$C$3,2)))*INDEX('DEFAULT DATA'!$WC$9:$WJ$41,START!$C$3,2)/1000000)</f>
        <v>16964.263168347392</v>
      </c>
      <c r="AW80" s="123">
        <f>IF((AW$78-2021)&lt;START!$C$2,0,((AW$73*INDEX('DEFAULT DATA'!$AHH$9:$AHO$41,START!$C$3,2))+(AW$74*INDEX('DEFAULT DATA'!$YR$9:$YY$41,START!$C$3,2))+(AW$75*INDEX('DEFAULT DATA'!$ZX$9:$AAE$41,START!$C$3,2)))*INDEX('DEFAULT DATA'!$WC$9:$WJ$41,START!$C$3,2)/1000000)</f>
        <v>16964.263168347392</v>
      </c>
      <c r="AX80" s="123">
        <f>IF((AX$78-2021)&lt;START!$C$2,0,((AX$73*INDEX('DEFAULT DATA'!$AHH$9:$AHO$41,START!$C$3,2))+(AX$74*INDEX('DEFAULT DATA'!$YR$9:$YY$41,START!$C$3,2))+(AX$75*INDEX('DEFAULT DATA'!$ZX$9:$AAE$41,START!$C$3,2)))*INDEX('DEFAULT DATA'!$WC$9:$WJ$41,START!$C$3,2)/1000000)</f>
        <v>16964.263168347392</v>
      </c>
      <c r="AY80" s="123">
        <f>IF((AY$78-2021)&lt;START!$C$2,0,((AY$73*INDEX('DEFAULT DATA'!$AHH$9:$AHO$41,START!$C$3,2))+(AY$74*INDEX('DEFAULT DATA'!$YR$9:$YY$41,START!$C$3,2))+(AY$75*INDEX('DEFAULT DATA'!$ZX$9:$AAE$41,START!$C$3,2)))*INDEX('DEFAULT DATA'!$WC$9:$WJ$41,START!$C$3,2)/1000000)</f>
        <v>16964.263168347392</v>
      </c>
      <c r="AZ80" s="123">
        <f>IF((AZ$78-2021)&lt;START!$C$2,0,((AZ$73*INDEX('DEFAULT DATA'!$AHH$9:$AHO$41,START!$C$3,2))+(AZ$74*INDEX('DEFAULT DATA'!$YR$9:$YY$41,START!$C$3,2))+(AZ$75*INDEX('DEFAULT DATA'!$ZX$9:$AAE$41,START!$C$3,2)))*INDEX('DEFAULT DATA'!$WC$9:$WJ$41,START!$C$3,2)/1000000)</f>
        <v>16964.263168347392</v>
      </c>
      <c r="BA80" s="123">
        <f>IF((BA$78-2021)&lt;START!$C$2,0,((BA$73*INDEX('DEFAULT DATA'!$AHH$9:$AHO$41,START!$C$3,2))+(BA$74*INDEX('DEFAULT DATA'!$YR$9:$YY$41,START!$C$3,2))+(BA$75*INDEX('DEFAULT DATA'!$ZX$9:$AAE$41,START!$C$3,2)))*INDEX('DEFAULT DATA'!$WC$9:$WJ$41,START!$C$3,2)/1000000)</f>
        <v>16964.263168347392</v>
      </c>
      <c r="BB80" s="123">
        <f>IF((BB$78-2021)&lt;START!$C$2,0,((BB$73*INDEX('DEFAULT DATA'!$AHH$9:$AHO$41,START!$C$3,2))+(BB$74*INDEX('DEFAULT DATA'!$YR$9:$YY$41,START!$C$3,2))+(BB$75*INDEX('DEFAULT DATA'!$ZX$9:$AAE$41,START!$C$3,2)))*INDEX('DEFAULT DATA'!$WC$9:$WJ$41,START!$C$3,2)/1000000)</f>
        <v>16964.263168347392</v>
      </c>
      <c r="BC80" s="123">
        <f>IF((BC$78-2021)&lt;START!$C$2,0,((BC$73*INDEX('DEFAULT DATA'!$AHH$9:$AHO$41,START!$C$3,2))+(BC$74*INDEX('DEFAULT DATA'!$YR$9:$YY$41,START!$C$3,2))+(BC$75*INDEX('DEFAULT DATA'!$ZX$9:$AAE$41,START!$C$3,2)))*INDEX('DEFAULT DATA'!$WC$9:$WJ$41,START!$C$3,2)/1000000)</f>
        <v>16964.263168347392</v>
      </c>
      <c r="BD80" s="123">
        <f>IF((BD$78-2021)&lt;START!$C$2,0,((BD$73*INDEX('DEFAULT DATA'!$AHH$9:$AHO$41,START!$C$3,2))+(BD$74*INDEX('DEFAULT DATA'!$YR$9:$YY$41,START!$C$3,2))+(BD$75*INDEX('DEFAULT DATA'!$ZX$9:$AAE$41,START!$C$3,2)))*INDEX('DEFAULT DATA'!$WC$9:$WJ$41,START!$C$3,2)/1000000)</f>
        <v>16964.263168347392</v>
      </c>
      <c r="BE80" s="123">
        <f>IF((BE$78-2021)&lt;START!$C$2,0,((BE$73*INDEX('DEFAULT DATA'!$AHH$9:$AHO$41,START!$C$3,2))+(BE$74*INDEX('DEFAULT DATA'!$YR$9:$YY$41,START!$C$3,2))+(BE$75*INDEX('DEFAULT DATA'!$ZX$9:$AAE$41,START!$C$3,2)))*INDEX('DEFAULT DATA'!$WC$9:$WJ$41,START!$C$3,2)/1000000)</f>
        <v>16964.263168347392</v>
      </c>
      <c r="BF80" s="123">
        <f>IF((BF$78-2021)&lt;START!$C$2,0,((BF$73*INDEX('DEFAULT DATA'!$AHH$9:$AHO$41,START!$C$3,2))+(BF$74*INDEX('DEFAULT DATA'!$YR$9:$YY$41,START!$C$3,2))+(BF$75*INDEX('DEFAULT DATA'!$ZX$9:$AAE$41,START!$C$3,2)))*INDEX('DEFAULT DATA'!$WC$9:$WJ$41,START!$C$3,2)/1000000)</f>
        <v>16964.263168347392</v>
      </c>
      <c r="BG80" s="123">
        <f>IF((BG$78-2021)&lt;START!$C$2,0,((BG$73*INDEX('DEFAULT DATA'!$AHH$9:$AHO$41,START!$C$3,2))+(BG$74*INDEX('DEFAULT DATA'!$YR$9:$YY$41,START!$C$3,2))+(BG$75*INDEX('DEFAULT DATA'!$ZX$9:$AAE$41,START!$C$3,2)))*INDEX('DEFAULT DATA'!$WC$9:$WJ$41,START!$C$3,2)/1000000)</f>
        <v>16964.263168347392</v>
      </c>
      <c r="BH80" s="123">
        <f>IF((BH$78-2021)&lt;START!$C$2,0,((BH$73*INDEX('DEFAULT DATA'!$AHH$9:$AHO$41,START!$C$3,2))+(BH$74*INDEX('DEFAULT DATA'!$YR$9:$YY$41,START!$C$3,2))+(BH$75*INDEX('DEFAULT DATA'!$ZX$9:$AAE$41,START!$C$3,2)))*INDEX('DEFAULT DATA'!$WC$9:$WJ$41,START!$C$3,2)/1000000)</f>
        <v>16964.263168347392</v>
      </c>
      <c r="BI80" s="123">
        <f>IF((BI$78-2021)&lt;START!$C$2,0,((BI$73*INDEX('DEFAULT DATA'!$AHH$9:$AHO$41,START!$C$3,2))+(BI$74*INDEX('DEFAULT DATA'!$YR$9:$YY$41,START!$C$3,2))+(BI$75*INDEX('DEFAULT DATA'!$ZX$9:$AAE$41,START!$C$3,2)))*INDEX('DEFAULT DATA'!$WC$9:$WJ$41,START!$C$3,2)/1000000)</f>
        <v>16964.263168347392</v>
      </c>
      <c r="BJ80" s="123">
        <f>IF((BJ$78-2021)&lt;START!$C$2,0,((BJ$73*INDEX('DEFAULT DATA'!$AHH$9:$AHO$41,START!$C$3,2))+(BJ$74*INDEX('DEFAULT DATA'!$YR$9:$YY$41,START!$C$3,2))+(BJ$75*INDEX('DEFAULT DATA'!$ZX$9:$AAE$41,START!$C$3,2)))*INDEX('DEFAULT DATA'!$WC$9:$WJ$41,START!$C$3,2)/1000000)</f>
        <v>16964.263168347392</v>
      </c>
      <c r="BK80" s="123">
        <f>IF((BK$78-2021)&lt;START!$C$2,0,((BK$73*INDEX('DEFAULT DATA'!$AHH$9:$AHO$41,START!$C$3,2))+(BK$74*INDEX('DEFAULT DATA'!$YR$9:$YY$41,START!$C$3,2))+(BK$75*INDEX('DEFAULT DATA'!$ZX$9:$AAE$41,START!$C$3,2)))*INDEX('DEFAULT DATA'!$WC$9:$WJ$41,START!$C$3,2)/1000000)</f>
        <v>16964.263168347392</v>
      </c>
      <c r="BL80" s="123">
        <f>IF((BL$78-2021)&lt;START!$C$2,0,((BL$73*INDEX('DEFAULT DATA'!$AHH$9:$AHO$41,START!$C$3,2))+(BL$74*INDEX('DEFAULT DATA'!$YR$9:$YY$41,START!$C$3,2))+(BL$75*INDEX('DEFAULT DATA'!$ZX$9:$AAE$41,START!$C$3,2)))*INDEX('DEFAULT DATA'!$WC$9:$WJ$41,START!$C$3,2)/1000000)</f>
        <v>16964.263168347392</v>
      </c>
      <c r="BM80" s="123">
        <f>IF((BM$78-2021)&lt;START!$C$2,0,((BM$73*INDEX('DEFAULT DATA'!$AHH$9:$AHO$41,START!$C$3,2))+(BM$74*INDEX('DEFAULT DATA'!$YR$9:$YY$41,START!$C$3,2))+(BM$75*INDEX('DEFAULT DATA'!$ZX$9:$AAE$41,START!$C$3,2)))*INDEX('DEFAULT DATA'!$WC$9:$WJ$41,START!$C$3,2)/1000000)</f>
        <v>16964.263168347392</v>
      </c>
      <c r="BN80" s="159">
        <f>IF((BN$78-2021)&lt;START!$C$2,0,((BN$73*INDEX('DEFAULT DATA'!$AHH$9:$AHO$41,START!$C$3,2))+(BN$74*INDEX('DEFAULT DATA'!$YR$9:$YY$41,START!$C$3,2))+(BN$75*INDEX('DEFAULT DATA'!$ZX$9:$AAE$41,START!$C$3,2)))*INDEX('DEFAULT DATA'!$WC$9:$WJ$41,START!$C$3,2)/1000000)</f>
        <v>16964.263168347392</v>
      </c>
      <c r="BP80" s="355" t="str">
        <f t="shared" ref="BP80:BP86" si="20">AG80</f>
        <v>Gas</v>
      </c>
      <c r="BQ80" s="361" t="s">
        <v>1363</v>
      </c>
      <c r="BR80" s="362"/>
      <c r="BS80" s="362"/>
      <c r="BT80" s="362"/>
      <c r="BU80" s="362"/>
      <c r="BV80" s="362"/>
      <c r="BW80" s="362"/>
      <c r="BX80" s="362"/>
      <c r="BY80" s="362"/>
      <c r="BZ80" s="362"/>
      <c r="CA80" s="362"/>
      <c r="CB80" s="362"/>
      <c r="CC80" s="362"/>
      <c r="CD80" s="362"/>
      <c r="CE80" s="363"/>
      <c r="CF80" s="360" t="s">
        <v>1286</v>
      </c>
      <c r="CG80" s="360" t="s">
        <v>1294</v>
      </c>
      <c r="CH80" s="360" t="s">
        <v>1302</v>
      </c>
      <c r="CI80" s="360" t="s">
        <v>886</v>
      </c>
    </row>
    <row r="81" spans="1:87" ht="20.100000000000001" customHeight="1">
      <c r="A81" s="41"/>
      <c r="B81" s="16"/>
      <c r="C81" s="16"/>
      <c r="D81" s="1562" t="s">
        <v>982</v>
      </c>
      <c r="E81" s="1562"/>
      <c r="F81" s="1563" t="s">
        <v>1074</v>
      </c>
      <c r="G81" s="16"/>
      <c r="H81" s="16"/>
      <c r="I81" s="16"/>
      <c r="J81" s="16"/>
      <c r="K81" s="11"/>
      <c r="L81" s="16"/>
      <c r="M81" s="627"/>
      <c r="N81" s="630"/>
      <c r="O81" s="630"/>
      <c r="P81" s="630"/>
      <c r="Q81" s="630"/>
      <c r="R81" s="630"/>
      <c r="S81" s="630"/>
      <c r="T81" s="630"/>
      <c r="U81" s="630"/>
      <c r="V81" s="630"/>
      <c r="W81" s="630"/>
      <c r="X81" s="630"/>
      <c r="Y81" s="630"/>
      <c r="Z81" s="630"/>
      <c r="AA81" s="630"/>
      <c r="AB81" s="630"/>
      <c r="AC81" s="630"/>
      <c r="AD81" s="630"/>
      <c r="AE81" s="630"/>
      <c r="AF81" s="1551"/>
      <c r="AG81" s="1581" t="s">
        <v>863</v>
      </c>
      <c r="AH81" s="1582"/>
      <c r="AI81" s="1582"/>
      <c r="AJ81" s="1583"/>
      <c r="AK81" s="81">
        <v>0</v>
      </c>
      <c r="AL81" s="123">
        <f>IF((AL$78-2021)&lt;START!$C$2,0,((AL$73*INDEX('DEFAULT DATA'!$AHH$9:$AHO$41,START!$C$3,3))+(AL$74*INDEX('DEFAULT DATA'!$YR$9:$YY$41,START!$C$3,3))+(AL$75*INDEX('DEFAULT DATA'!$ZX$9:$AAE$41,START!$C$3,3)))*INDEX('DEFAULT DATA'!$WC$9:$WJ$41,START!$C$3,3)/1000000)</f>
        <v>2802.8825903148227</v>
      </c>
      <c r="AM81" s="123">
        <f>IF((AM$78-2021)&lt;START!$C$2,0,((AM$73*INDEX('DEFAULT DATA'!$AHH$9:$AHO$41,START!$C$3,3))+(AM$74*INDEX('DEFAULT DATA'!$YR$9:$YY$41,START!$C$3,3))+(AM$75*INDEX('DEFAULT DATA'!$ZX$9:$AAE$41,START!$C$3,3)))*INDEX('DEFAULT DATA'!$WC$9:$WJ$41,START!$C$3,3)/1000000)</f>
        <v>2802.8825903148227</v>
      </c>
      <c r="AN81" s="123">
        <f>IF((AN$78-2021)&lt;START!$C$2,0,((AN$73*INDEX('DEFAULT DATA'!$AHH$9:$AHO$41,START!$C$3,3))+(AN$74*INDEX('DEFAULT DATA'!$YR$9:$YY$41,START!$C$3,3))+(AN$75*INDEX('DEFAULT DATA'!$ZX$9:$AAE$41,START!$C$3,3)))*INDEX('DEFAULT DATA'!$WC$9:$WJ$41,START!$C$3,3)/1000000)</f>
        <v>2802.8825903148227</v>
      </c>
      <c r="AO81" s="123">
        <f>IF((AO$78-2021)&lt;START!$C$2,0,((AO$73*INDEX('DEFAULT DATA'!$AHH$9:$AHO$41,START!$C$3,3))+(AO$74*INDEX('DEFAULT DATA'!$YR$9:$YY$41,START!$C$3,3))+(AO$75*INDEX('DEFAULT DATA'!$ZX$9:$AAE$41,START!$C$3,3)))*INDEX('DEFAULT DATA'!$WC$9:$WJ$41,START!$C$3,3)/1000000)</f>
        <v>2802.8825903148227</v>
      </c>
      <c r="AP81" s="123">
        <f>IF((AP$78-2021)&lt;START!$C$2,0,((AP$73*INDEX('DEFAULT DATA'!$AHH$9:$AHO$41,START!$C$3,3))+(AP$74*INDEX('DEFAULT DATA'!$YR$9:$YY$41,START!$C$3,3))+(AP$75*INDEX('DEFAULT DATA'!$ZX$9:$AAE$41,START!$C$3,3)))*INDEX('DEFAULT DATA'!$WC$9:$WJ$41,START!$C$3,3)/1000000)</f>
        <v>2802.8825903148227</v>
      </c>
      <c r="AQ81" s="123">
        <f>IF((AQ$78-2021)&lt;START!$C$2,0,((AQ$73*INDEX('DEFAULT DATA'!$AHH$9:$AHO$41,START!$C$3,3))+(AQ$74*INDEX('DEFAULT DATA'!$YR$9:$YY$41,START!$C$3,3))+(AQ$75*INDEX('DEFAULT DATA'!$ZX$9:$AAE$41,START!$C$3,3)))*INDEX('DEFAULT DATA'!$WC$9:$WJ$41,START!$C$3,3)/1000000)</f>
        <v>2802.8825903148227</v>
      </c>
      <c r="AR81" s="123">
        <f>IF((AR$78-2021)&lt;START!$C$2,0,((AR$73*INDEX('DEFAULT DATA'!$AHH$9:$AHO$41,START!$C$3,3))+(AR$74*INDEX('DEFAULT DATA'!$YR$9:$YY$41,START!$C$3,3))+(AR$75*INDEX('DEFAULT DATA'!$ZX$9:$AAE$41,START!$C$3,3)))*INDEX('DEFAULT DATA'!$WC$9:$WJ$41,START!$C$3,3)/1000000)</f>
        <v>2802.8825903148227</v>
      </c>
      <c r="AS81" s="123">
        <f>IF((AS$78-2021)&lt;START!$C$2,0,((AS$73*INDEX('DEFAULT DATA'!$AHH$9:$AHO$41,START!$C$3,3))+(AS$74*INDEX('DEFAULT DATA'!$YR$9:$YY$41,START!$C$3,3))+(AS$75*INDEX('DEFAULT DATA'!$ZX$9:$AAE$41,START!$C$3,3)))*INDEX('DEFAULT DATA'!$WC$9:$WJ$41,START!$C$3,3)/1000000)</f>
        <v>2802.8825903148227</v>
      </c>
      <c r="AT81" s="123">
        <f>IF((AT$78-2021)&lt;START!$C$2,0,((AT$73*INDEX('DEFAULT DATA'!$AHH$9:$AHO$41,START!$C$3,3))+(AT$74*INDEX('DEFAULT DATA'!$YR$9:$YY$41,START!$C$3,3))+(AT$75*INDEX('DEFAULT DATA'!$ZX$9:$AAE$41,START!$C$3,3)))*INDEX('DEFAULT DATA'!$WC$9:$WJ$41,START!$C$3,3)/1000000)</f>
        <v>2802.8825903148227</v>
      </c>
      <c r="AU81" s="123">
        <f>IF((AU$78-2021)&lt;START!$C$2,0,((AU$73*INDEX('DEFAULT DATA'!$AHH$9:$AHO$41,START!$C$3,3))+(AU$74*INDEX('DEFAULT DATA'!$YR$9:$YY$41,START!$C$3,3))+(AU$75*INDEX('DEFAULT DATA'!$ZX$9:$AAE$41,START!$C$3,3)))*INDEX('DEFAULT DATA'!$WC$9:$WJ$41,START!$C$3,3)/1000000)</f>
        <v>2802.8825903148227</v>
      </c>
      <c r="AV81" s="123">
        <f>IF((AV$78-2021)&lt;START!$C$2,0,((AV$73*INDEX('DEFAULT DATA'!$AHH$9:$AHO$41,START!$C$3,3))+(AV$74*INDEX('DEFAULT DATA'!$YR$9:$YY$41,START!$C$3,3))+(AV$75*INDEX('DEFAULT DATA'!$ZX$9:$AAE$41,START!$C$3,3)))*INDEX('DEFAULT DATA'!$WC$9:$WJ$41,START!$C$3,3)/1000000)</f>
        <v>2802.8825903148227</v>
      </c>
      <c r="AW81" s="123">
        <f>IF((AW$78-2021)&lt;START!$C$2,0,((AW$73*INDEX('DEFAULT DATA'!$AHH$9:$AHO$41,START!$C$3,3))+(AW$74*INDEX('DEFAULT DATA'!$YR$9:$YY$41,START!$C$3,3))+(AW$75*INDEX('DEFAULT DATA'!$ZX$9:$AAE$41,START!$C$3,3)))*INDEX('DEFAULT DATA'!$WC$9:$WJ$41,START!$C$3,3)/1000000)</f>
        <v>2802.8825903148227</v>
      </c>
      <c r="AX81" s="123">
        <f>IF((AX$78-2021)&lt;START!$C$2,0,((AX$73*INDEX('DEFAULT DATA'!$AHH$9:$AHO$41,START!$C$3,3))+(AX$74*INDEX('DEFAULT DATA'!$YR$9:$YY$41,START!$C$3,3))+(AX$75*INDEX('DEFAULT DATA'!$ZX$9:$AAE$41,START!$C$3,3)))*INDEX('DEFAULT DATA'!$WC$9:$WJ$41,START!$C$3,3)/1000000)</f>
        <v>2802.8825903148227</v>
      </c>
      <c r="AY81" s="123">
        <f>IF((AY$78-2021)&lt;START!$C$2,0,((AY$73*INDEX('DEFAULT DATA'!$AHH$9:$AHO$41,START!$C$3,3))+(AY$74*INDEX('DEFAULT DATA'!$YR$9:$YY$41,START!$C$3,3))+(AY$75*INDEX('DEFAULT DATA'!$ZX$9:$AAE$41,START!$C$3,3)))*INDEX('DEFAULT DATA'!$WC$9:$WJ$41,START!$C$3,3)/1000000)</f>
        <v>2802.8825903148227</v>
      </c>
      <c r="AZ81" s="123">
        <f>IF((AZ$78-2021)&lt;START!$C$2,0,((AZ$73*INDEX('DEFAULT DATA'!$AHH$9:$AHO$41,START!$C$3,3))+(AZ$74*INDEX('DEFAULT DATA'!$YR$9:$YY$41,START!$C$3,3))+(AZ$75*INDEX('DEFAULT DATA'!$ZX$9:$AAE$41,START!$C$3,3)))*INDEX('DEFAULT DATA'!$WC$9:$WJ$41,START!$C$3,3)/1000000)</f>
        <v>2802.8825903148227</v>
      </c>
      <c r="BA81" s="123">
        <f>IF((BA$78-2021)&lt;START!$C$2,0,((BA$73*INDEX('DEFAULT DATA'!$AHH$9:$AHO$41,START!$C$3,3))+(BA$74*INDEX('DEFAULT DATA'!$YR$9:$YY$41,START!$C$3,3))+(BA$75*INDEX('DEFAULT DATA'!$ZX$9:$AAE$41,START!$C$3,3)))*INDEX('DEFAULT DATA'!$WC$9:$WJ$41,START!$C$3,3)/1000000)</f>
        <v>2802.8825903148227</v>
      </c>
      <c r="BB81" s="123">
        <f>IF((BB$78-2021)&lt;START!$C$2,0,((BB$73*INDEX('DEFAULT DATA'!$AHH$9:$AHO$41,START!$C$3,3))+(BB$74*INDEX('DEFAULT DATA'!$YR$9:$YY$41,START!$C$3,3))+(BB$75*INDEX('DEFAULT DATA'!$ZX$9:$AAE$41,START!$C$3,3)))*INDEX('DEFAULT DATA'!$WC$9:$WJ$41,START!$C$3,3)/1000000)</f>
        <v>2802.8825903148227</v>
      </c>
      <c r="BC81" s="123">
        <f>IF((BC$78-2021)&lt;START!$C$2,0,((BC$73*INDEX('DEFAULT DATA'!$AHH$9:$AHO$41,START!$C$3,3))+(BC$74*INDEX('DEFAULT DATA'!$YR$9:$YY$41,START!$C$3,3))+(BC$75*INDEX('DEFAULT DATA'!$ZX$9:$AAE$41,START!$C$3,3)))*INDEX('DEFAULT DATA'!$WC$9:$WJ$41,START!$C$3,3)/1000000)</f>
        <v>2802.8825903148227</v>
      </c>
      <c r="BD81" s="123">
        <f>IF((BD$78-2021)&lt;START!$C$2,0,((BD$73*INDEX('DEFAULT DATA'!$AHH$9:$AHO$41,START!$C$3,3))+(BD$74*INDEX('DEFAULT DATA'!$YR$9:$YY$41,START!$C$3,3))+(BD$75*INDEX('DEFAULT DATA'!$ZX$9:$AAE$41,START!$C$3,3)))*INDEX('DEFAULT DATA'!$WC$9:$WJ$41,START!$C$3,3)/1000000)</f>
        <v>2802.8825903148227</v>
      </c>
      <c r="BE81" s="123">
        <f>IF((BE$78-2021)&lt;START!$C$2,0,((BE$73*INDEX('DEFAULT DATA'!$AHH$9:$AHO$41,START!$C$3,3))+(BE$74*INDEX('DEFAULT DATA'!$YR$9:$YY$41,START!$C$3,3))+(BE$75*INDEX('DEFAULT DATA'!$ZX$9:$AAE$41,START!$C$3,3)))*INDEX('DEFAULT DATA'!$WC$9:$WJ$41,START!$C$3,3)/1000000)</f>
        <v>2802.8825903148227</v>
      </c>
      <c r="BF81" s="123">
        <f>IF((BF$78-2021)&lt;START!$C$2,0,((BF$73*INDEX('DEFAULT DATA'!$AHH$9:$AHO$41,START!$C$3,3))+(BF$74*INDEX('DEFAULT DATA'!$YR$9:$YY$41,START!$C$3,3))+(BF$75*INDEX('DEFAULT DATA'!$ZX$9:$AAE$41,START!$C$3,3)))*INDEX('DEFAULT DATA'!$WC$9:$WJ$41,START!$C$3,3)/1000000)</f>
        <v>2802.8825903148227</v>
      </c>
      <c r="BG81" s="123">
        <f>IF((BG$78-2021)&lt;START!$C$2,0,((BG$73*INDEX('DEFAULT DATA'!$AHH$9:$AHO$41,START!$C$3,3))+(BG$74*INDEX('DEFAULT DATA'!$YR$9:$YY$41,START!$C$3,3))+(BG$75*INDEX('DEFAULT DATA'!$ZX$9:$AAE$41,START!$C$3,3)))*INDEX('DEFAULT DATA'!$WC$9:$WJ$41,START!$C$3,3)/1000000)</f>
        <v>2802.8825903148227</v>
      </c>
      <c r="BH81" s="123">
        <f>IF((BH$78-2021)&lt;START!$C$2,0,((BH$73*INDEX('DEFAULT DATA'!$AHH$9:$AHO$41,START!$C$3,3))+(BH$74*INDEX('DEFAULT DATA'!$YR$9:$YY$41,START!$C$3,3))+(BH$75*INDEX('DEFAULT DATA'!$ZX$9:$AAE$41,START!$C$3,3)))*INDEX('DEFAULT DATA'!$WC$9:$WJ$41,START!$C$3,3)/1000000)</f>
        <v>2802.8825903148227</v>
      </c>
      <c r="BI81" s="123">
        <f>IF((BI$78-2021)&lt;START!$C$2,0,((BI$73*INDEX('DEFAULT DATA'!$AHH$9:$AHO$41,START!$C$3,3))+(BI$74*INDEX('DEFAULT DATA'!$YR$9:$YY$41,START!$C$3,3))+(BI$75*INDEX('DEFAULT DATA'!$ZX$9:$AAE$41,START!$C$3,3)))*INDEX('DEFAULT DATA'!$WC$9:$WJ$41,START!$C$3,3)/1000000)</f>
        <v>2802.8825903148227</v>
      </c>
      <c r="BJ81" s="123">
        <f>IF((BJ$78-2021)&lt;START!$C$2,0,((BJ$73*INDEX('DEFAULT DATA'!$AHH$9:$AHO$41,START!$C$3,3))+(BJ$74*INDEX('DEFAULT DATA'!$YR$9:$YY$41,START!$C$3,3))+(BJ$75*INDEX('DEFAULT DATA'!$ZX$9:$AAE$41,START!$C$3,3)))*INDEX('DEFAULT DATA'!$WC$9:$WJ$41,START!$C$3,3)/1000000)</f>
        <v>2802.8825903148227</v>
      </c>
      <c r="BK81" s="123">
        <f>IF((BK$78-2021)&lt;START!$C$2,0,((BK$73*INDEX('DEFAULT DATA'!$AHH$9:$AHO$41,START!$C$3,3))+(BK$74*INDEX('DEFAULT DATA'!$YR$9:$YY$41,START!$C$3,3))+(BK$75*INDEX('DEFAULT DATA'!$ZX$9:$AAE$41,START!$C$3,3)))*INDEX('DEFAULT DATA'!$WC$9:$WJ$41,START!$C$3,3)/1000000)</f>
        <v>2802.8825903148227</v>
      </c>
      <c r="BL81" s="123">
        <f>IF((BL$78-2021)&lt;START!$C$2,0,((BL$73*INDEX('DEFAULT DATA'!$AHH$9:$AHO$41,START!$C$3,3))+(BL$74*INDEX('DEFAULT DATA'!$YR$9:$YY$41,START!$C$3,3))+(BL$75*INDEX('DEFAULT DATA'!$ZX$9:$AAE$41,START!$C$3,3)))*INDEX('DEFAULT DATA'!$WC$9:$WJ$41,START!$C$3,3)/1000000)</f>
        <v>2802.8825903148227</v>
      </c>
      <c r="BM81" s="123">
        <f>IF((BM$78-2021)&lt;START!$C$2,0,((BM$73*INDEX('DEFAULT DATA'!$AHH$9:$AHO$41,START!$C$3,3))+(BM$74*INDEX('DEFAULT DATA'!$YR$9:$YY$41,START!$C$3,3))+(BM$75*INDEX('DEFAULT DATA'!$ZX$9:$AAE$41,START!$C$3,3)))*INDEX('DEFAULT DATA'!$WC$9:$WJ$41,START!$C$3,3)/1000000)</f>
        <v>2802.8825903148227</v>
      </c>
      <c r="BN81" s="159">
        <f>IF((BN$78-2021)&lt;START!$C$2,0,((BN$73*INDEX('DEFAULT DATA'!$AHH$9:$AHO$41,START!$C$3,3))+(BN$74*INDEX('DEFAULT DATA'!$YR$9:$YY$41,START!$C$3,3))+(BN$75*INDEX('DEFAULT DATA'!$ZX$9:$AAE$41,START!$C$3,3)))*INDEX('DEFAULT DATA'!$WC$9:$WJ$41,START!$C$3,3)/1000000)</f>
        <v>2802.8825903148227</v>
      </c>
      <c r="BP81" s="355" t="str">
        <f t="shared" si="20"/>
        <v>Oil</v>
      </c>
      <c r="BQ81" s="361" t="s">
        <v>1364</v>
      </c>
      <c r="BR81" s="362"/>
      <c r="BS81" s="362"/>
      <c r="BT81" s="362"/>
      <c r="BU81" s="362"/>
      <c r="BV81" s="362"/>
      <c r="BW81" s="362"/>
      <c r="BX81" s="362"/>
      <c r="BY81" s="362"/>
      <c r="BZ81" s="362"/>
      <c r="CA81" s="362"/>
      <c r="CB81" s="362"/>
      <c r="CC81" s="362"/>
      <c r="CD81" s="362"/>
      <c r="CE81" s="363"/>
      <c r="CF81" s="360" t="s">
        <v>1287</v>
      </c>
      <c r="CG81" s="360" t="s">
        <v>1295</v>
      </c>
      <c r="CH81" s="360" t="s">
        <v>1303</v>
      </c>
      <c r="CI81" s="360" t="s">
        <v>1247</v>
      </c>
    </row>
    <row r="82" spans="1:87" ht="20.100000000000001" customHeight="1">
      <c r="A82" s="41" t="s">
        <v>970</v>
      </c>
      <c r="B82" s="216" t="s">
        <v>878</v>
      </c>
      <c r="C82" s="216"/>
      <c r="D82" s="1472"/>
      <c r="E82" s="1472"/>
      <c r="F82" s="1564"/>
      <c r="G82" s="16"/>
      <c r="H82" s="16"/>
      <c r="I82" s="16"/>
      <c r="J82" s="16"/>
      <c r="K82" s="11"/>
      <c r="L82" s="16"/>
      <c r="M82" s="627"/>
      <c r="N82" s="630"/>
      <c r="O82" s="630"/>
      <c r="P82" s="630"/>
      <c r="Q82" s="630"/>
      <c r="R82" s="630"/>
      <c r="S82" s="630"/>
      <c r="T82" s="630"/>
      <c r="U82" s="630"/>
      <c r="V82" s="630"/>
      <c r="W82" s="630"/>
      <c r="X82" s="630"/>
      <c r="Y82" s="630"/>
      <c r="Z82" s="630"/>
      <c r="AA82" s="630"/>
      <c r="AB82" s="630"/>
      <c r="AC82" s="630"/>
      <c r="AD82" s="630"/>
      <c r="AE82" s="630"/>
      <c r="AF82" s="1551"/>
      <c r="AG82" s="1581" t="s">
        <v>864</v>
      </c>
      <c r="AH82" s="1582"/>
      <c r="AI82" s="1582"/>
      <c r="AJ82" s="1583"/>
      <c r="AK82" s="81">
        <v>0</v>
      </c>
      <c r="AL82" s="123">
        <f>IF((AL$78-2021)&lt;START!$C$2,0,((AL$73*INDEX('DEFAULT DATA'!$AHH$9:$AHO$41,START!$C$3,4))+(AL$74*INDEX('DEFAULT DATA'!$YR$9:$YY$41,START!$C$3,4))+(AL$75*INDEX('DEFAULT DATA'!$ZX$9:$AAE$41,START!$C$3,4)))*INDEX('DEFAULT DATA'!$WC$9:$WJ$41,START!$C$3,4)/1000000)</f>
        <v>0</v>
      </c>
      <c r="AM82" s="123">
        <f>IF((AM$78-2021)&lt;START!$C$2,0,((AM$73*INDEX('DEFAULT DATA'!$AHH$9:$AHO$41,START!$C$3,4))+(AM$74*INDEX('DEFAULT DATA'!$YR$9:$YY$41,START!$C$3,4))+(AM$75*INDEX('DEFAULT DATA'!$ZX$9:$AAE$41,START!$C$3,4)))*INDEX('DEFAULT DATA'!$WC$9:$WJ$41,START!$C$3,4)/1000000)</f>
        <v>0</v>
      </c>
      <c r="AN82" s="123">
        <f>IF((AN$78-2021)&lt;START!$C$2,0,((AN$73*INDEX('DEFAULT DATA'!$AHH$9:$AHO$41,START!$C$3,4))+(AN$74*INDEX('DEFAULT DATA'!$YR$9:$YY$41,START!$C$3,4))+(AN$75*INDEX('DEFAULT DATA'!$ZX$9:$AAE$41,START!$C$3,4)))*INDEX('DEFAULT DATA'!$WC$9:$WJ$41,START!$C$3,4)/1000000)</f>
        <v>0</v>
      </c>
      <c r="AO82" s="123">
        <f>IF((AO$78-2021)&lt;START!$C$2,0,((AO$73*INDEX('DEFAULT DATA'!$AHH$9:$AHO$41,START!$C$3,4))+(AO$74*INDEX('DEFAULT DATA'!$YR$9:$YY$41,START!$C$3,4))+(AO$75*INDEX('DEFAULT DATA'!$ZX$9:$AAE$41,START!$C$3,4)))*INDEX('DEFAULT DATA'!$WC$9:$WJ$41,START!$C$3,4)/1000000)</f>
        <v>0</v>
      </c>
      <c r="AP82" s="123">
        <f>IF((AP$78-2021)&lt;START!$C$2,0,((AP$73*INDEX('DEFAULT DATA'!$AHH$9:$AHO$41,START!$C$3,4))+(AP$74*INDEX('DEFAULT DATA'!$YR$9:$YY$41,START!$C$3,4))+(AP$75*INDEX('DEFAULT DATA'!$ZX$9:$AAE$41,START!$C$3,4)))*INDEX('DEFAULT DATA'!$WC$9:$WJ$41,START!$C$3,4)/1000000)</f>
        <v>0</v>
      </c>
      <c r="AQ82" s="123">
        <f>IF((AQ$78-2021)&lt;START!$C$2,0,((AQ$73*INDEX('DEFAULT DATA'!$AHH$9:$AHO$41,START!$C$3,4))+(AQ$74*INDEX('DEFAULT DATA'!$YR$9:$YY$41,START!$C$3,4))+(AQ$75*INDEX('DEFAULT DATA'!$ZX$9:$AAE$41,START!$C$3,4)))*INDEX('DEFAULT DATA'!$WC$9:$WJ$41,START!$C$3,4)/1000000)</f>
        <v>0</v>
      </c>
      <c r="AR82" s="123">
        <f>IF((AR$78-2021)&lt;START!$C$2,0,((AR$73*INDEX('DEFAULT DATA'!$AHH$9:$AHO$41,START!$C$3,4))+(AR$74*INDEX('DEFAULT DATA'!$YR$9:$YY$41,START!$C$3,4))+(AR$75*INDEX('DEFAULT DATA'!$ZX$9:$AAE$41,START!$C$3,4)))*INDEX('DEFAULT DATA'!$WC$9:$WJ$41,START!$C$3,4)/1000000)</f>
        <v>0</v>
      </c>
      <c r="AS82" s="123">
        <f>IF((AS$78-2021)&lt;START!$C$2,0,((AS$73*INDEX('DEFAULT DATA'!$AHH$9:$AHO$41,START!$C$3,4))+(AS$74*INDEX('DEFAULT DATA'!$YR$9:$YY$41,START!$C$3,4))+(AS$75*INDEX('DEFAULT DATA'!$ZX$9:$AAE$41,START!$C$3,4)))*INDEX('DEFAULT DATA'!$WC$9:$WJ$41,START!$C$3,4)/1000000)</f>
        <v>0</v>
      </c>
      <c r="AT82" s="123">
        <f>IF((AT$78-2021)&lt;START!$C$2,0,((AT$73*INDEX('DEFAULT DATA'!$AHH$9:$AHO$41,START!$C$3,4))+(AT$74*INDEX('DEFAULT DATA'!$YR$9:$YY$41,START!$C$3,4))+(AT$75*INDEX('DEFAULT DATA'!$ZX$9:$AAE$41,START!$C$3,4)))*INDEX('DEFAULT DATA'!$WC$9:$WJ$41,START!$C$3,4)/1000000)</f>
        <v>0</v>
      </c>
      <c r="AU82" s="123">
        <f>IF((AU$78-2021)&lt;START!$C$2,0,((AU$73*INDEX('DEFAULT DATA'!$AHH$9:$AHO$41,START!$C$3,4))+(AU$74*INDEX('DEFAULT DATA'!$YR$9:$YY$41,START!$C$3,4))+(AU$75*INDEX('DEFAULT DATA'!$ZX$9:$AAE$41,START!$C$3,4)))*INDEX('DEFAULT DATA'!$WC$9:$WJ$41,START!$C$3,4)/1000000)</f>
        <v>0</v>
      </c>
      <c r="AV82" s="123">
        <f>IF((AV$78-2021)&lt;START!$C$2,0,((AV$73*INDEX('DEFAULT DATA'!$AHH$9:$AHO$41,START!$C$3,4))+(AV$74*INDEX('DEFAULT DATA'!$YR$9:$YY$41,START!$C$3,4))+(AV$75*INDEX('DEFAULT DATA'!$ZX$9:$AAE$41,START!$C$3,4)))*INDEX('DEFAULT DATA'!$WC$9:$WJ$41,START!$C$3,4)/1000000)</f>
        <v>0</v>
      </c>
      <c r="AW82" s="123">
        <f>IF((AW$78-2021)&lt;START!$C$2,0,((AW$73*INDEX('DEFAULT DATA'!$AHH$9:$AHO$41,START!$C$3,4))+(AW$74*INDEX('DEFAULT DATA'!$YR$9:$YY$41,START!$C$3,4))+(AW$75*INDEX('DEFAULT DATA'!$ZX$9:$AAE$41,START!$C$3,4)))*INDEX('DEFAULT DATA'!$WC$9:$WJ$41,START!$C$3,4)/1000000)</f>
        <v>0</v>
      </c>
      <c r="AX82" s="123">
        <f>IF((AX$78-2021)&lt;START!$C$2,0,((AX$73*INDEX('DEFAULT DATA'!$AHH$9:$AHO$41,START!$C$3,4))+(AX$74*INDEX('DEFAULT DATA'!$YR$9:$YY$41,START!$C$3,4))+(AX$75*INDEX('DEFAULT DATA'!$ZX$9:$AAE$41,START!$C$3,4)))*INDEX('DEFAULT DATA'!$WC$9:$WJ$41,START!$C$3,4)/1000000)</f>
        <v>0</v>
      </c>
      <c r="AY82" s="123">
        <f>IF((AY$78-2021)&lt;START!$C$2,0,((AY$73*INDEX('DEFAULT DATA'!$AHH$9:$AHO$41,START!$C$3,4))+(AY$74*INDEX('DEFAULT DATA'!$YR$9:$YY$41,START!$C$3,4))+(AY$75*INDEX('DEFAULT DATA'!$ZX$9:$AAE$41,START!$C$3,4)))*INDEX('DEFAULT DATA'!$WC$9:$WJ$41,START!$C$3,4)/1000000)</f>
        <v>0</v>
      </c>
      <c r="AZ82" s="123">
        <f>IF((AZ$78-2021)&lt;START!$C$2,0,((AZ$73*INDEX('DEFAULT DATA'!$AHH$9:$AHO$41,START!$C$3,4))+(AZ$74*INDEX('DEFAULT DATA'!$YR$9:$YY$41,START!$C$3,4))+(AZ$75*INDEX('DEFAULT DATA'!$ZX$9:$AAE$41,START!$C$3,4)))*INDEX('DEFAULT DATA'!$WC$9:$WJ$41,START!$C$3,4)/1000000)</f>
        <v>0</v>
      </c>
      <c r="BA82" s="123">
        <f>IF((BA$78-2021)&lt;START!$C$2,0,((BA$73*INDEX('DEFAULT DATA'!$AHH$9:$AHO$41,START!$C$3,4))+(BA$74*INDEX('DEFAULT DATA'!$YR$9:$YY$41,START!$C$3,4))+(BA$75*INDEX('DEFAULT DATA'!$ZX$9:$AAE$41,START!$C$3,4)))*INDEX('DEFAULT DATA'!$WC$9:$WJ$41,START!$C$3,4)/1000000)</f>
        <v>0</v>
      </c>
      <c r="BB82" s="123">
        <f>IF((BB$78-2021)&lt;START!$C$2,0,((BB$73*INDEX('DEFAULT DATA'!$AHH$9:$AHO$41,START!$C$3,4))+(BB$74*INDEX('DEFAULT DATA'!$YR$9:$YY$41,START!$C$3,4))+(BB$75*INDEX('DEFAULT DATA'!$ZX$9:$AAE$41,START!$C$3,4)))*INDEX('DEFAULT DATA'!$WC$9:$WJ$41,START!$C$3,4)/1000000)</f>
        <v>0</v>
      </c>
      <c r="BC82" s="123">
        <f>IF((BC$78-2021)&lt;START!$C$2,0,((BC$73*INDEX('DEFAULT DATA'!$AHH$9:$AHO$41,START!$C$3,4))+(BC$74*INDEX('DEFAULT DATA'!$YR$9:$YY$41,START!$C$3,4))+(BC$75*INDEX('DEFAULT DATA'!$ZX$9:$AAE$41,START!$C$3,4)))*INDEX('DEFAULT DATA'!$WC$9:$WJ$41,START!$C$3,4)/1000000)</f>
        <v>0</v>
      </c>
      <c r="BD82" s="123">
        <f>IF((BD$78-2021)&lt;START!$C$2,0,((BD$73*INDEX('DEFAULT DATA'!$AHH$9:$AHO$41,START!$C$3,4))+(BD$74*INDEX('DEFAULT DATA'!$YR$9:$YY$41,START!$C$3,4))+(BD$75*INDEX('DEFAULT DATA'!$ZX$9:$AAE$41,START!$C$3,4)))*INDEX('DEFAULT DATA'!$WC$9:$WJ$41,START!$C$3,4)/1000000)</f>
        <v>0</v>
      </c>
      <c r="BE82" s="123">
        <f>IF((BE$78-2021)&lt;START!$C$2,0,((BE$73*INDEX('DEFAULT DATA'!$AHH$9:$AHO$41,START!$C$3,4))+(BE$74*INDEX('DEFAULT DATA'!$YR$9:$YY$41,START!$C$3,4))+(BE$75*INDEX('DEFAULT DATA'!$ZX$9:$AAE$41,START!$C$3,4)))*INDEX('DEFAULT DATA'!$WC$9:$WJ$41,START!$C$3,4)/1000000)</f>
        <v>0</v>
      </c>
      <c r="BF82" s="123">
        <f>IF((BF$78-2021)&lt;START!$C$2,0,((BF$73*INDEX('DEFAULT DATA'!$AHH$9:$AHO$41,START!$C$3,4))+(BF$74*INDEX('DEFAULT DATA'!$YR$9:$YY$41,START!$C$3,4))+(BF$75*INDEX('DEFAULT DATA'!$ZX$9:$AAE$41,START!$C$3,4)))*INDEX('DEFAULT DATA'!$WC$9:$WJ$41,START!$C$3,4)/1000000)</f>
        <v>0</v>
      </c>
      <c r="BG82" s="123">
        <f>IF((BG$78-2021)&lt;START!$C$2,0,((BG$73*INDEX('DEFAULT DATA'!$AHH$9:$AHO$41,START!$C$3,4))+(BG$74*INDEX('DEFAULT DATA'!$YR$9:$YY$41,START!$C$3,4))+(BG$75*INDEX('DEFAULT DATA'!$ZX$9:$AAE$41,START!$C$3,4)))*INDEX('DEFAULT DATA'!$WC$9:$WJ$41,START!$C$3,4)/1000000)</f>
        <v>0</v>
      </c>
      <c r="BH82" s="123">
        <f>IF((BH$78-2021)&lt;START!$C$2,0,((BH$73*INDEX('DEFAULT DATA'!$AHH$9:$AHO$41,START!$C$3,4))+(BH$74*INDEX('DEFAULT DATA'!$YR$9:$YY$41,START!$C$3,4))+(BH$75*INDEX('DEFAULT DATA'!$ZX$9:$AAE$41,START!$C$3,4)))*INDEX('DEFAULT DATA'!$WC$9:$WJ$41,START!$C$3,4)/1000000)</f>
        <v>0</v>
      </c>
      <c r="BI82" s="123">
        <f>IF((BI$78-2021)&lt;START!$C$2,0,((BI$73*INDEX('DEFAULT DATA'!$AHH$9:$AHO$41,START!$C$3,4))+(BI$74*INDEX('DEFAULT DATA'!$YR$9:$YY$41,START!$C$3,4))+(BI$75*INDEX('DEFAULT DATA'!$ZX$9:$AAE$41,START!$C$3,4)))*INDEX('DEFAULT DATA'!$WC$9:$WJ$41,START!$C$3,4)/1000000)</f>
        <v>0</v>
      </c>
      <c r="BJ82" s="123">
        <f>IF((BJ$78-2021)&lt;START!$C$2,0,((BJ$73*INDEX('DEFAULT DATA'!$AHH$9:$AHO$41,START!$C$3,4))+(BJ$74*INDEX('DEFAULT DATA'!$YR$9:$YY$41,START!$C$3,4))+(BJ$75*INDEX('DEFAULT DATA'!$ZX$9:$AAE$41,START!$C$3,4)))*INDEX('DEFAULT DATA'!$WC$9:$WJ$41,START!$C$3,4)/1000000)</f>
        <v>0</v>
      </c>
      <c r="BK82" s="123">
        <f>IF((BK$78-2021)&lt;START!$C$2,0,((BK$73*INDEX('DEFAULT DATA'!$AHH$9:$AHO$41,START!$C$3,4))+(BK$74*INDEX('DEFAULT DATA'!$YR$9:$YY$41,START!$C$3,4))+(BK$75*INDEX('DEFAULT DATA'!$ZX$9:$AAE$41,START!$C$3,4)))*INDEX('DEFAULT DATA'!$WC$9:$WJ$41,START!$C$3,4)/1000000)</f>
        <v>0</v>
      </c>
      <c r="BL82" s="123">
        <f>IF((BL$78-2021)&lt;START!$C$2,0,((BL$73*INDEX('DEFAULT DATA'!$AHH$9:$AHO$41,START!$C$3,4))+(BL$74*INDEX('DEFAULT DATA'!$YR$9:$YY$41,START!$C$3,4))+(BL$75*INDEX('DEFAULT DATA'!$ZX$9:$AAE$41,START!$C$3,4)))*INDEX('DEFAULT DATA'!$WC$9:$WJ$41,START!$C$3,4)/1000000)</f>
        <v>0</v>
      </c>
      <c r="BM82" s="123">
        <f>IF((BM$78-2021)&lt;START!$C$2,0,((BM$73*INDEX('DEFAULT DATA'!$AHH$9:$AHO$41,START!$C$3,4))+(BM$74*INDEX('DEFAULT DATA'!$YR$9:$YY$41,START!$C$3,4))+(BM$75*INDEX('DEFAULT DATA'!$ZX$9:$AAE$41,START!$C$3,4)))*INDEX('DEFAULT DATA'!$WC$9:$WJ$41,START!$C$3,4)/1000000)</f>
        <v>0</v>
      </c>
      <c r="BN82" s="159">
        <f>IF((BN$78-2021)&lt;START!$C$2,0,((BN$73*INDEX('DEFAULT DATA'!$AHH$9:$AHO$41,START!$C$3,4))+(BN$74*INDEX('DEFAULT DATA'!$YR$9:$YY$41,START!$C$3,4))+(BN$75*INDEX('DEFAULT DATA'!$ZX$9:$AAE$41,START!$C$3,4)))*INDEX('DEFAULT DATA'!$WC$9:$WJ$41,START!$C$3,4)/1000000)</f>
        <v>0</v>
      </c>
      <c r="BP82" s="355" t="str">
        <f t="shared" si="20"/>
        <v>Coal</v>
      </c>
      <c r="BQ82" s="361" t="s">
        <v>1365</v>
      </c>
      <c r="BR82" s="362"/>
      <c r="BS82" s="362"/>
      <c r="BT82" s="362"/>
      <c r="BU82" s="362"/>
      <c r="BV82" s="362"/>
      <c r="BW82" s="362"/>
      <c r="BX82" s="362"/>
      <c r="BY82" s="362"/>
      <c r="BZ82" s="362"/>
      <c r="CA82" s="362"/>
      <c r="CB82" s="362"/>
      <c r="CC82" s="362"/>
      <c r="CD82" s="362"/>
      <c r="CE82" s="363"/>
      <c r="CF82" s="360" t="s">
        <v>1288</v>
      </c>
      <c r="CG82" s="360" t="s">
        <v>1296</v>
      </c>
      <c r="CH82" s="360" t="s">
        <v>1304</v>
      </c>
      <c r="CI82" s="360" t="s">
        <v>1248</v>
      </c>
    </row>
    <row r="83" spans="1:87" ht="20.100000000000001" customHeight="1">
      <c r="A83" s="41" t="str">
        <f t="shared" ref="A83:A88" si="21">A37</f>
        <v>Retail</v>
      </c>
      <c r="B83" s="133">
        <v>0</v>
      </c>
      <c r="C83" s="216"/>
      <c r="D83" s="16">
        <v>9</v>
      </c>
      <c r="E83" s="106">
        <v>9</v>
      </c>
      <c r="F83" s="81">
        <v>0</v>
      </c>
      <c r="G83" s="16"/>
      <c r="H83" s="16"/>
      <c r="I83" s="16"/>
      <c r="J83" s="16"/>
      <c r="K83" s="11"/>
      <c r="L83" s="16"/>
      <c r="M83" s="627"/>
      <c r="N83" s="630"/>
      <c r="O83" s="630"/>
      <c r="P83" s="630"/>
      <c r="Q83" s="630"/>
      <c r="R83" s="630"/>
      <c r="S83" s="630"/>
      <c r="T83" s="630"/>
      <c r="U83" s="630"/>
      <c r="V83" s="630"/>
      <c r="W83" s="630"/>
      <c r="X83" s="630"/>
      <c r="Y83" s="630"/>
      <c r="Z83" s="630"/>
      <c r="AA83" s="630"/>
      <c r="AB83" s="630"/>
      <c r="AC83" s="630"/>
      <c r="AD83" s="630"/>
      <c r="AE83" s="630"/>
      <c r="AF83" s="1551"/>
      <c r="AG83" s="1581" t="s">
        <v>865</v>
      </c>
      <c r="AH83" s="1582"/>
      <c r="AI83" s="1582"/>
      <c r="AJ83" s="1583"/>
      <c r="AK83" s="81">
        <v>0</v>
      </c>
      <c r="AL83" s="123">
        <f>IF((AL$78-2021)&lt;START!$C$2,0,((AL$73*INDEX('DEFAULT DATA'!$AHH$9:$AHO$41,START!$C$3,5))+(AL$74*INDEX('DEFAULT DATA'!$YR$9:$YY$41,START!$C$3,5))+(AL$75*INDEX('DEFAULT DATA'!$ZX$9:$AAE$41,START!$C$3,5)))*INDEX('DEFAULT DATA'!$WC$9:$WJ$41,START!$C$3,5)/1000000)</f>
        <v>0</v>
      </c>
      <c r="AM83" s="123">
        <f>IF((AM$78-2021)&lt;START!$C$2,0,((AM$73*INDEX('DEFAULT DATA'!$AHH$9:$AHO$41,START!$C$3,5))+(AM$74*INDEX('DEFAULT DATA'!$YR$9:$YY$41,START!$C$3,5))+(AM$75*INDEX('DEFAULT DATA'!$ZX$9:$AAE$41,START!$C$3,5)))*INDEX('DEFAULT DATA'!$WC$9:$WJ$41,START!$C$3,5)/1000000)</f>
        <v>0</v>
      </c>
      <c r="AN83" s="123">
        <f>IF((AN$78-2021)&lt;START!$C$2,0,((AN$73*INDEX('DEFAULT DATA'!$AHH$9:$AHO$41,START!$C$3,5))+(AN$74*INDEX('DEFAULT DATA'!$YR$9:$YY$41,START!$C$3,5))+(AN$75*INDEX('DEFAULT DATA'!$ZX$9:$AAE$41,START!$C$3,5)))*INDEX('DEFAULT DATA'!$WC$9:$WJ$41,START!$C$3,5)/1000000)</f>
        <v>0</v>
      </c>
      <c r="AO83" s="123">
        <f>IF((AO$78-2021)&lt;START!$C$2,0,((AO$73*INDEX('DEFAULT DATA'!$AHH$9:$AHO$41,START!$C$3,5))+(AO$74*INDEX('DEFAULT DATA'!$YR$9:$YY$41,START!$C$3,5))+(AO$75*INDEX('DEFAULT DATA'!$ZX$9:$AAE$41,START!$C$3,5)))*INDEX('DEFAULT DATA'!$WC$9:$WJ$41,START!$C$3,5)/1000000)</f>
        <v>0</v>
      </c>
      <c r="AP83" s="123">
        <f>IF((AP$78-2021)&lt;START!$C$2,0,((AP$73*INDEX('DEFAULT DATA'!$AHH$9:$AHO$41,START!$C$3,5))+(AP$74*INDEX('DEFAULT DATA'!$YR$9:$YY$41,START!$C$3,5))+(AP$75*INDEX('DEFAULT DATA'!$ZX$9:$AAE$41,START!$C$3,5)))*INDEX('DEFAULT DATA'!$WC$9:$WJ$41,START!$C$3,5)/1000000)</f>
        <v>0</v>
      </c>
      <c r="AQ83" s="123">
        <f>IF((AQ$78-2021)&lt;START!$C$2,0,((AQ$73*INDEX('DEFAULT DATA'!$AHH$9:$AHO$41,START!$C$3,5))+(AQ$74*INDEX('DEFAULT DATA'!$YR$9:$YY$41,START!$C$3,5))+(AQ$75*INDEX('DEFAULT DATA'!$ZX$9:$AAE$41,START!$C$3,5)))*INDEX('DEFAULT DATA'!$WC$9:$WJ$41,START!$C$3,5)/1000000)</f>
        <v>0</v>
      </c>
      <c r="AR83" s="123">
        <f>IF((AR$78-2021)&lt;START!$C$2,0,((AR$73*INDEX('DEFAULT DATA'!$AHH$9:$AHO$41,START!$C$3,5))+(AR$74*INDEX('DEFAULT DATA'!$YR$9:$YY$41,START!$C$3,5))+(AR$75*INDEX('DEFAULT DATA'!$ZX$9:$AAE$41,START!$C$3,5)))*INDEX('DEFAULT DATA'!$WC$9:$WJ$41,START!$C$3,5)/1000000)</f>
        <v>0</v>
      </c>
      <c r="AS83" s="123">
        <f>IF((AS$78-2021)&lt;START!$C$2,0,((AS$73*INDEX('DEFAULT DATA'!$AHH$9:$AHO$41,START!$C$3,5))+(AS$74*INDEX('DEFAULT DATA'!$YR$9:$YY$41,START!$C$3,5))+(AS$75*INDEX('DEFAULT DATA'!$ZX$9:$AAE$41,START!$C$3,5)))*INDEX('DEFAULT DATA'!$WC$9:$WJ$41,START!$C$3,5)/1000000)</f>
        <v>0</v>
      </c>
      <c r="AT83" s="123">
        <f>IF((AT$78-2021)&lt;START!$C$2,0,((AT$73*INDEX('DEFAULT DATA'!$AHH$9:$AHO$41,START!$C$3,5))+(AT$74*INDEX('DEFAULT DATA'!$YR$9:$YY$41,START!$C$3,5))+(AT$75*INDEX('DEFAULT DATA'!$ZX$9:$AAE$41,START!$C$3,5)))*INDEX('DEFAULT DATA'!$WC$9:$WJ$41,START!$C$3,5)/1000000)</f>
        <v>0</v>
      </c>
      <c r="AU83" s="123">
        <f>IF((AU$78-2021)&lt;START!$C$2,0,((AU$73*INDEX('DEFAULT DATA'!$AHH$9:$AHO$41,START!$C$3,5))+(AU$74*INDEX('DEFAULT DATA'!$YR$9:$YY$41,START!$C$3,5))+(AU$75*INDEX('DEFAULT DATA'!$ZX$9:$AAE$41,START!$C$3,5)))*INDEX('DEFAULT DATA'!$WC$9:$WJ$41,START!$C$3,5)/1000000)</f>
        <v>0</v>
      </c>
      <c r="AV83" s="123">
        <f>IF((AV$78-2021)&lt;START!$C$2,0,((AV$73*INDEX('DEFAULT DATA'!$AHH$9:$AHO$41,START!$C$3,5))+(AV$74*INDEX('DEFAULT DATA'!$YR$9:$YY$41,START!$C$3,5))+(AV$75*INDEX('DEFAULT DATA'!$ZX$9:$AAE$41,START!$C$3,5)))*INDEX('DEFAULT DATA'!$WC$9:$WJ$41,START!$C$3,5)/1000000)</f>
        <v>0</v>
      </c>
      <c r="AW83" s="123">
        <f>IF((AW$78-2021)&lt;START!$C$2,0,((AW$73*INDEX('DEFAULT DATA'!$AHH$9:$AHO$41,START!$C$3,5))+(AW$74*INDEX('DEFAULT DATA'!$YR$9:$YY$41,START!$C$3,5))+(AW$75*INDEX('DEFAULT DATA'!$ZX$9:$AAE$41,START!$C$3,5)))*INDEX('DEFAULT DATA'!$WC$9:$WJ$41,START!$C$3,5)/1000000)</f>
        <v>0</v>
      </c>
      <c r="AX83" s="123">
        <f>IF((AX$78-2021)&lt;START!$C$2,0,((AX$73*INDEX('DEFAULT DATA'!$AHH$9:$AHO$41,START!$C$3,5))+(AX$74*INDEX('DEFAULT DATA'!$YR$9:$YY$41,START!$C$3,5))+(AX$75*INDEX('DEFAULT DATA'!$ZX$9:$AAE$41,START!$C$3,5)))*INDEX('DEFAULT DATA'!$WC$9:$WJ$41,START!$C$3,5)/1000000)</f>
        <v>0</v>
      </c>
      <c r="AY83" s="123">
        <f>IF((AY$78-2021)&lt;START!$C$2,0,((AY$73*INDEX('DEFAULT DATA'!$AHH$9:$AHO$41,START!$C$3,5))+(AY$74*INDEX('DEFAULT DATA'!$YR$9:$YY$41,START!$C$3,5))+(AY$75*INDEX('DEFAULT DATA'!$ZX$9:$AAE$41,START!$C$3,5)))*INDEX('DEFAULT DATA'!$WC$9:$WJ$41,START!$C$3,5)/1000000)</f>
        <v>0</v>
      </c>
      <c r="AZ83" s="123">
        <f>IF((AZ$78-2021)&lt;START!$C$2,0,((AZ$73*INDEX('DEFAULT DATA'!$AHH$9:$AHO$41,START!$C$3,5))+(AZ$74*INDEX('DEFAULT DATA'!$YR$9:$YY$41,START!$C$3,5))+(AZ$75*INDEX('DEFAULT DATA'!$ZX$9:$AAE$41,START!$C$3,5)))*INDEX('DEFAULT DATA'!$WC$9:$WJ$41,START!$C$3,5)/1000000)</f>
        <v>0</v>
      </c>
      <c r="BA83" s="123">
        <f>IF((BA$78-2021)&lt;START!$C$2,0,((BA$73*INDEX('DEFAULT DATA'!$AHH$9:$AHO$41,START!$C$3,5))+(BA$74*INDEX('DEFAULT DATA'!$YR$9:$YY$41,START!$C$3,5))+(BA$75*INDEX('DEFAULT DATA'!$ZX$9:$AAE$41,START!$C$3,5)))*INDEX('DEFAULT DATA'!$WC$9:$WJ$41,START!$C$3,5)/1000000)</f>
        <v>0</v>
      </c>
      <c r="BB83" s="123">
        <f>IF((BB$78-2021)&lt;START!$C$2,0,((BB$73*INDEX('DEFAULT DATA'!$AHH$9:$AHO$41,START!$C$3,5))+(BB$74*INDEX('DEFAULT DATA'!$YR$9:$YY$41,START!$C$3,5))+(BB$75*INDEX('DEFAULT DATA'!$ZX$9:$AAE$41,START!$C$3,5)))*INDEX('DEFAULT DATA'!$WC$9:$WJ$41,START!$C$3,5)/1000000)</f>
        <v>0</v>
      </c>
      <c r="BC83" s="123">
        <f>IF((BC$78-2021)&lt;START!$C$2,0,((BC$73*INDEX('DEFAULT DATA'!$AHH$9:$AHO$41,START!$C$3,5))+(BC$74*INDEX('DEFAULT DATA'!$YR$9:$YY$41,START!$C$3,5))+(BC$75*INDEX('DEFAULT DATA'!$ZX$9:$AAE$41,START!$C$3,5)))*INDEX('DEFAULT DATA'!$WC$9:$WJ$41,START!$C$3,5)/1000000)</f>
        <v>0</v>
      </c>
      <c r="BD83" s="123">
        <f>IF((BD$78-2021)&lt;START!$C$2,0,((BD$73*INDEX('DEFAULT DATA'!$AHH$9:$AHO$41,START!$C$3,5))+(BD$74*INDEX('DEFAULT DATA'!$YR$9:$YY$41,START!$C$3,5))+(BD$75*INDEX('DEFAULT DATA'!$ZX$9:$AAE$41,START!$C$3,5)))*INDEX('DEFAULT DATA'!$WC$9:$WJ$41,START!$C$3,5)/1000000)</f>
        <v>0</v>
      </c>
      <c r="BE83" s="123">
        <f>IF((BE$78-2021)&lt;START!$C$2,0,((BE$73*INDEX('DEFAULT DATA'!$AHH$9:$AHO$41,START!$C$3,5))+(BE$74*INDEX('DEFAULT DATA'!$YR$9:$YY$41,START!$C$3,5))+(BE$75*INDEX('DEFAULT DATA'!$ZX$9:$AAE$41,START!$C$3,5)))*INDEX('DEFAULT DATA'!$WC$9:$WJ$41,START!$C$3,5)/1000000)</f>
        <v>0</v>
      </c>
      <c r="BF83" s="123">
        <f>IF((BF$78-2021)&lt;START!$C$2,0,((BF$73*INDEX('DEFAULT DATA'!$AHH$9:$AHO$41,START!$C$3,5))+(BF$74*INDEX('DEFAULT DATA'!$YR$9:$YY$41,START!$C$3,5))+(BF$75*INDEX('DEFAULT DATA'!$ZX$9:$AAE$41,START!$C$3,5)))*INDEX('DEFAULT DATA'!$WC$9:$WJ$41,START!$C$3,5)/1000000)</f>
        <v>0</v>
      </c>
      <c r="BG83" s="123">
        <f>IF((BG$78-2021)&lt;START!$C$2,0,((BG$73*INDEX('DEFAULT DATA'!$AHH$9:$AHO$41,START!$C$3,5))+(BG$74*INDEX('DEFAULT DATA'!$YR$9:$YY$41,START!$C$3,5))+(BG$75*INDEX('DEFAULT DATA'!$ZX$9:$AAE$41,START!$C$3,5)))*INDEX('DEFAULT DATA'!$WC$9:$WJ$41,START!$C$3,5)/1000000)</f>
        <v>0</v>
      </c>
      <c r="BH83" s="123">
        <f>IF((BH$78-2021)&lt;START!$C$2,0,((BH$73*INDEX('DEFAULT DATA'!$AHH$9:$AHO$41,START!$C$3,5))+(BH$74*INDEX('DEFAULT DATA'!$YR$9:$YY$41,START!$C$3,5))+(BH$75*INDEX('DEFAULT DATA'!$ZX$9:$AAE$41,START!$C$3,5)))*INDEX('DEFAULT DATA'!$WC$9:$WJ$41,START!$C$3,5)/1000000)</f>
        <v>0</v>
      </c>
      <c r="BI83" s="123">
        <f>IF((BI$78-2021)&lt;START!$C$2,0,((BI$73*INDEX('DEFAULT DATA'!$AHH$9:$AHO$41,START!$C$3,5))+(BI$74*INDEX('DEFAULT DATA'!$YR$9:$YY$41,START!$C$3,5))+(BI$75*INDEX('DEFAULT DATA'!$ZX$9:$AAE$41,START!$C$3,5)))*INDEX('DEFAULT DATA'!$WC$9:$WJ$41,START!$C$3,5)/1000000)</f>
        <v>0</v>
      </c>
      <c r="BJ83" s="123">
        <f>IF((BJ$78-2021)&lt;START!$C$2,0,((BJ$73*INDEX('DEFAULT DATA'!$AHH$9:$AHO$41,START!$C$3,5))+(BJ$74*INDEX('DEFAULT DATA'!$YR$9:$YY$41,START!$C$3,5))+(BJ$75*INDEX('DEFAULT DATA'!$ZX$9:$AAE$41,START!$C$3,5)))*INDEX('DEFAULT DATA'!$WC$9:$WJ$41,START!$C$3,5)/1000000)</f>
        <v>0</v>
      </c>
      <c r="BK83" s="123">
        <f>IF((BK$78-2021)&lt;START!$C$2,0,((BK$73*INDEX('DEFAULT DATA'!$AHH$9:$AHO$41,START!$C$3,5))+(BK$74*INDEX('DEFAULT DATA'!$YR$9:$YY$41,START!$C$3,5))+(BK$75*INDEX('DEFAULT DATA'!$ZX$9:$AAE$41,START!$C$3,5)))*INDEX('DEFAULT DATA'!$WC$9:$WJ$41,START!$C$3,5)/1000000)</f>
        <v>0</v>
      </c>
      <c r="BL83" s="123">
        <f>IF((BL$78-2021)&lt;START!$C$2,0,((BL$73*INDEX('DEFAULT DATA'!$AHH$9:$AHO$41,START!$C$3,5))+(BL$74*INDEX('DEFAULT DATA'!$YR$9:$YY$41,START!$C$3,5))+(BL$75*INDEX('DEFAULT DATA'!$ZX$9:$AAE$41,START!$C$3,5)))*INDEX('DEFAULT DATA'!$WC$9:$WJ$41,START!$C$3,5)/1000000)</f>
        <v>0</v>
      </c>
      <c r="BM83" s="123">
        <f>IF((BM$78-2021)&lt;START!$C$2,0,((BM$73*INDEX('DEFAULT DATA'!$AHH$9:$AHO$41,START!$C$3,5))+(BM$74*INDEX('DEFAULT DATA'!$YR$9:$YY$41,START!$C$3,5))+(BM$75*INDEX('DEFAULT DATA'!$ZX$9:$AAE$41,START!$C$3,5)))*INDEX('DEFAULT DATA'!$WC$9:$WJ$41,START!$C$3,5)/1000000)</f>
        <v>0</v>
      </c>
      <c r="BN83" s="159">
        <f>IF((BN$78-2021)&lt;START!$C$2,0,((BN$73*INDEX('DEFAULT DATA'!$AHH$9:$AHO$41,START!$C$3,5))+(BN$74*INDEX('DEFAULT DATA'!$YR$9:$YY$41,START!$C$3,5))+(BN$75*INDEX('DEFAULT DATA'!$ZX$9:$AAE$41,START!$C$3,5)))*INDEX('DEFAULT DATA'!$WC$9:$WJ$41,START!$C$3,5)/1000000)</f>
        <v>0</v>
      </c>
      <c r="BP83" s="355" t="str">
        <f t="shared" si="20"/>
        <v>Peat</v>
      </c>
      <c r="BQ83" s="361" t="s">
        <v>1366</v>
      </c>
      <c r="BR83" s="362"/>
      <c r="BS83" s="362"/>
      <c r="BT83" s="362"/>
      <c r="BU83" s="362"/>
      <c r="BV83" s="362"/>
      <c r="BW83" s="362"/>
      <c r="BX83" s="362"/>
      <c r="BY83" s="362"/>
      <c r="BZ83" s="362"/>
      <c r="CA83" s="362"/>
      <c r="CB83" s="362"/>
      <c r="CC83" s="362"/>
      <c r="CD83" s="362"/>
      <c r="CE83" s="363"/>
      <c r="CF83" s="360" t="s">
        <v>1289</v>
      </c>
      <c r="CG83" s="360" t="s">
        <v>1297</v>
      </c>
      <c r="CH83" s="360" t="s">
        <v>1305</v>
      </c>
      <c r="CI83" s="360" t="s">
        <v>1249</v>
      </c>
    </row>
    <row r="84" spans="1:87" ht="20.100000000000001" customHeight="1">
      <c r="A84" s="41" t="str">
        <f t="shared" si="21"/>
        <v>Health</v>
      </c>
      <c r="B84" s="133">
        <v>0</v>
      </c>
      <c r="C84" s="216"/>
      <c r="D84" s="16">
        <v>9</v>
      </c>
      <c r="E84" s="106">
        <v>9</v>
      </c>
      <c r="F84" s="81">
        <v>0</v>
      </c>
      <c r="G84" s="16"/>
      <c r="H84" s="16"/>
      <c r="I84" s="16"/>
      <c r="J84" s="16"/>
      <c r="K84" s="11"/>
      <c r="L84" s="16"/>
      <c r="M84" s="627"/>
      <c r="N84" s="630"/>
      <c r="O84" s="630"/>
      <c r="P84" s="630"/>
      <c r="Q84" s="630"/>
      <c r="R84" s="630"/>
      <c r="S84" s="630"/>
      <c r="T84" s="630"/>
      <c r="U84" s="630"/>
      <c r="V84" s="630"/>
      <c r="W84" s="630"/>
      <c r="X84" s="630"/>
      <c r="Y84" s="630"/>
      <c r="Z84" s="630"/>
      <c r="AA84" s="630"/>
      <c r="AB84" s="630"/>
      <c r="AC84" s="630"/>
      <c r="AD84" s="630"/>
      <c r="AE84" s="630"/>
      <c r="AF84" s="1551"/>
      <c r="AG84" s="1581" t="s">
        <v>866</v>
      </c>
      <c r="AH84" s="1582"/>
      <c r="AI84" s="1582"/>
      <c r="AJ84" s="1583"/>
      <c r="AK84" s="81">
        <v>0</v>
      </c>
      <c r="AL84" s="123">
        <f>IF((AL$78-2021)&lt;START!$C$2,0,((AL$73*INDEX('DEFAULT DATA'!$AHH$9:$AHO$41,START!$C$3,6))+(AL$74*INDEX('DEFAULT DATA'!$YR$9:$YY$41,START!$C$3,6))+(AL$75*INDEX('DEFAULT DATA'!$ZX$9:$AAE$41,START!$C$3,6)))*INDEX('DEFAULT DATA'!$WC$9:$WJ$41,START!$C$3,6)/1000000)</f>
        <v>0</v>
      </c>
      <c r="AM84" s="123">
        <f>IF((AM$78-2021)&lt;START!$C$2,0,((AM$73*INDEX('DEFAULT DATA'!$AHH$9:$AHO$41,START!$C$3,6))+(AM$74*INDEX('DEFAULT DATA'!$YR$9:$YY$41,START!$C$3,6))+(AM$75*INDEX('DEFAULT DATA'!$ZX$9:$AAE$41,START!$C$3,6)))*INDEX('DEFAULT DATA'!$WC$9:$WJ$41,START!$C$3,6)/1000000)</f>
        <v>0</v>
      </c>
      <c r="AN84" s="123">
        <f>IF((AN$78-2021)&lt;START!$C$2,0,((AN$73*INDEX('DEFAULT DATA'!$AHH$9:$AHO$41,START!$C$3,6))+(AN$74*INDEX('DEFAULT DATA'!$YR$9:$YY$41,START!$C$3,6))+(AN$75*INDEX('DEFAULT DATA'!$ZX$9:$AAE$41,START!$C$3,6)))*INDEX('DEFAULT DATA'!$WC$9:$WJ$41,START!$C$3,6)/1000000)</f>
        <v>0</v>
      </c>
      <c r="AO84" s="123">
        <f>IF((AO$78-2021)&lt;START!$C$2,0,((AO$73*INDEX('DEFAULT DATA'!$AHH$9:$AHO$41,START!$C$3,6))+(AO$74*INDEX('DEFAULT DATA'!$YR$9:$YY$41,START!$C$3,6))+(AO$75*INDEX('DEFAULT DATA'!$ZX$9:$AAE$41,START!$C$3,6)))*INDEX('DEFAULT DATA'!$WC$9:$WJ$41,START!$C$3,6)/1000000)</f>
        <v>0</v>
      </c>
      <c r="AP84" s="123">
        <f>IF((AP$78-2021)&lt;START!$C$2,0,((AP$73*INDEX('DEFAULT DATA'!$AHH$9:$AHO$41,START!$C$3,6))+(AP$74*INDEX('DEFAULT DATA'!$YR$9:$YY$41,START!$C$3,6))+(AP$75*INDEX('DEFAULT DATA'!$ZX$9:$AAE$41,START!$C$3,6)))*INDEX('DEFAULT DATA'!$WC$9:$WJ$41,START!$C$3,6)/1000000)</f>
        <v>0</v>
      </c>
      <c r="AQ84" s="123">
        <f>IF((AQ$78-2021)&lt;START!$C$2,0,((AQ$73*INDEX('DEFAULT DATA'!$AHH$9:$AHO$41,START!$C$3,6))+(AQ$74*INDEX('DEFAULT DATA'!$YR$9:$YY$41,START!$C$3,6))+(AQ$75*INDEX('DEFAULT DATA'!$ZX$9:$AAE$41,START!$C$3,6)))*INDEX('DEFAULT DATA'!$WC$9:$WJ$41,START!$C$3,6)/1000000)</f>
        <v>0</v>
      </c>
      <c r="AR84" s="123">
        <f>IF((AR$78-2021)&lt;START!$C$2,0,((AR$73*INDEX('DEFAULT DATA'!$AHH$9:$AHO$41,START!$C$3,6))+(AR$74*INDEX('DEFAULT DATA'!$YR$9:$YY$41,START!$C$3,6))+(AR$75*INDEX('DEFAULT DATA'!$ZX$9:$AAE$41,START!$C$3,6)))*INDEX('DEFAULT DATA'!$WC$9:$WJ$41,START!$C$3,6)/1000000)</f>
        <v>0</v>
      </c>
      <c r="AS84" s="123">
        <f>IF((AS$78-2021)&lt;START!$C$2,0,((AS$73*INDEX('DEFAULT DATA'!$AHH$9:$AHO$41,START!$C$3,6))+(AS$74*INDEX('DEFAULT DATA'!$YR$9:$YY$41,START!$C$3,6))+(AS$75*INDEX('DEFAULT DATA'!$ZX$9:$AAE$41,START!$C$3,6)))*INDEX('DEFAULT DATA'!$WC$9:$WJ$41,START!$C$3,6)/1000000)</f>
        <v>0</v>
      </c>
      <c r="AT84" s="123">
        <f>IF((AT$78-2021)&lt;START!$C$2,0,((AT$73*INDEX('DEFAULT DATA'!$AHH$9:$AHO$41,START!$C$3,6))+(AT$74*INDEX('DEFAULT DATA'!$YR$9:$YY$41,START!$C$3,6))+(AT$75*INDEX('DEFAULT DATA'!$ZX$9:$AAE$41,START!$C$3,6)))*INDEX('DEFAULT DATA'!$WC$9:$WJ$41,START!$C$3,6)/1000000)</f>
        <v>0</v>
      </c>
      <c r="AU84" s="123">
        <f>IF((AU$78-2021)&lt;START!$C$2,0,((AU$73*INDEX('DEFAULT DATA'!$AHH$9:$AHO$41,START!$C$3,6))+(AU$74*INDEX('DEFAULT DATA'!$YR$9:$YY$41,START!$C$3,6))+(AU$75*INDEX('DEFAULT DATA'!$ZX$9:$AAE$41,START!$C$3,6)))*INDEX('DEFAULT DATA'!$WC$9:$WJ$41,START!$C$3,6)/1000000)</f>
        <v>0</v>
      </c>
      <c r="AV84" s="123">
        <f>IF((AV$78-2021)&lt;START!$C$2,0,((AV$73*INDEX('DEFAULT DATA'!$AHH$9:$AHO$41,START!$C$3,6))+(AV$74*INDEX('DEFAULT DATA'!$YR$9:$YY$41,START!$C$3,6))+(AV$75*INDEX('DEFAULT DATA'!$ZX$9:$AAE$41,START!$C$3,6)))*INDEX('DEFAULT DATA'!$WC$9:$WJ$41,START!$C$3,6)/1000000)</f>
        <v>0</v>
      </c>
      <c r="AW84" s="123">
        <f>IF((AW$78-2021)&lt;START!$C$2,0,((AW$73*INDEX('DEFAULT DATA'!$AHH$9:$AHO$41,START!$C$3,6))+(AW$74*INDEX('DEFAULT DATA'!$YR$9:$YY$41,START!$C$3,6))+(AW$75*INDEX('DEFAULT DATA'!$ZX$9:$AAE$41,START!$C$3,6)))*INDEX('DEFAULT DATA'!$WC$9:$WJ$41,START!$C$3,6)/1000000)</f>
        <v>0</v>
      </c>
      <c r="AX84" s="123">
        <f>IF((AX$78-2021)&lt;START!$C$2,0,((AX$73*INDEX('DEFAULT DATA'!$AHH$9:$AHO$41,START!$C$3,6))+(AX$74*INDEX('DEFAULT DATA'!$YR$9:$YY$41,START!$C$3,6))+(AX$75*INDEX('DEFAULT DATA'!$ZX$9:$AAE$41,START!$C$3,6)))*INDEX('DEFAULT DATA'!$WC$9:$WJ$41,START!$C$3,6)/1000000)</f>
        <v>0</v>
      </c>
      <c r="AY84" s="123">
        <f>IF((AY$78-2021)&lt;START!$C$2,0,((AY$73*INDEX('DEFAULT DATA'!$AHH$9:$AHO$41,START!$C$3,6))+(AY$74*INDEX('DEFAULT DATA'!$YR$9:$YY$41,START!$C$3,6))+(AY$75*INDEX('DEFAULT DATA'!$ZX$9:$AAE$41,START!$C$3,6)))*INDEX('DEFAULT DATA'!$WC$9:$WJ$41,START!$C$3,6)/1000000)</f>
        <v>0</v>
      </c>
      <c r="AZ84" s="123">
        <f>IF((AZ$78-2021)&lt;START!$C$2,0,((AZ$73*INDEX('DEFAULT DATA'!$AHH$9:$AHO$41,START!$C$3,6))+(AZ$74*INDEX('DEFAULT DATA'!$YR$9:$YY$41,START!$C$3,6))+(AZ$75*INDEX('DEFAULT DATA'!$ZX$9:$AAE$41,START!$C$3,6)))*INDEX('DEFAULT DATA'!$WC$9:$WJ$41,START!$C$3,6)/1000000)</f>
        <v>0</v>
      </c>
      <c r="BA84" s="123">
        <f>IF((BA$78-2021)&lt;START!$C$2,0,((BA$73*INDEX('DEFAULT DATA'!$AHH$9:$AHO$41,START!$C$3,6))+(BA$74*INDEX('DEFAULT DATA'!$YR$9:$YY$41,START!$C$3,6))+(BA$75*INDEX('DEFAULT DATA'!$ZX$9:$AAE$41,START!$C$3,6)))*INDEX('DEFAULT DATA'!$WC$9:$WJ$41,START!$C$3,6)/1000000)</f>
        <v>0</v>
      </c>
      <c r="BB84" s="123">
        <f>IF((BB$78-2021)&lt;START!$C$2,0,((BB$73*INDEX('DEFAULT DATA'!$AHH$9:$AHO$41,START!$C$3,6))+(BB$74*INDEX('DEFAULT DATA'!$YR$9:$YY$41,START!$C$3,6))+(BB$75*INDEX('DEFAULT DATA'!$ZX$9:$AAE$41,START!$C$3,6)))*INDEX('DEFAULT DATA'!$WC$9:$WJ$41,START!$C$3,6)/1000000)</f>
        <v>0</v>
      </c>
      <c r="BC84" s="123">
        <f>IF((BC$78-2021)&lt;START!$C$2,0,((BC$73*INDEX('DEFAULT DATA'!$AHH$9:$AHO$41,START!$C$3,6))+(BC$74*INDEX('DEFAULT DATA'!$YR$9:$YY$41,START!$C$3,6))+(BC$75*INDEX('DEFAULT DATA'!$ZX$9:$AAE$41,START!$C$3,6)))*INDEX('DEFAULT DATA'!$WC$9:$WJ$41,START!$C$3,6)/1000000)</f>
        <v>0</v>
      </c>
      <c r="BD84" s="123">
        <f>IF((BD$78-2021)&lt;START!$C$2,0,((BD$73*INDEX('DEFAULT DATA'!$AHH$9:$AHO$41,START!$C$3,6))+(BD$74*INDEX('DEFAULT DATA'!$YR$9:$YY$41,START!$C$3,6))+(BD$75*INDEX('DEFAULT DATA'!$ZX$9:$AAE$41,START!$C$3,6)))*INDEX('DEFAULT DATA'!$WC$9:$WJ$41,START!$C$3,6)/1000000)</f>
        <v>0</v>
      </c>
      <c r="BE84" s="123">
        <f>IF((BE$78-2021)&lt;START!$C$2,0,((BE$73*INDEX('DEFAULT DATA'!$AHH$9:$AHO$41,START!$C$3,6))+(BE$74*INDEX('DEFAULT DATA'!$YR$9:$YY$41,START!$C$3,6))+(BE$75*INDEX('DEFAULT DATA'!$ZX$9:$AAE$41,START!$C$3,6)))*INDEX('DEFAULT DATA'!$WC$9:$WJ$41,START!$C$3,6)/1000000)</f>
        <v>0</v>
      </c>
      <c r="BF84" s="123">
        <f>IF((BF$78-2021)&lt;START!$C$2,0,((BF$73*INDEX('DEFAULT DATA'!$AHH$9:$AHO$41,START!$C$3,6))+(BF$74*INDEX('DEFAULT DATA'!$YR$9:$YY$41,START!$C$3,6))+(BF$75*INDEX('DEFAULT DATA'!$ZX$9:$AAE$41,START!$C$3,6)))*INDEX('DEFAULT DATA'!$WC$9:$WJ$41,START!$C$3,6)/1000000)</f>
        <v>0</v>
      </c>
      <c r="BG84" s="123">
        <f>IF((BG$78-2021)&lt;START!$C$2,0,((BG$73*INDEX('DEFAULT DATA'!$AHH$9:$AHO$41,START!$C$3,6))+(BG$74*INDEX('DEFAULT DATA'!$YR$9:$YY$41,START!$C$3,6))+(BG$75*INDEX('DEFAULT DATA'!$ZX$9:$AAE$41,START!$C$3,6)))*INDEX('DEFAULT DATA'!$WC$9:$WJ$41,START!$C$3,6)/1000000)</f>
        <v>0</v>
      </c>
      <c r="BH84" s="123">
        <f>IF((BH$78-2021)&lt;START!$C$2,0,((BH$73*INDEX('DEFAULT DATA'!$AHH$9:$AHO$41,START!$C$3,6))+(BH$74*INDEX('DEFAULT DATA'!$YR$9:$YY$41,START!$C$3,6))+(BH$75*INDEX('DEFAULT DATA'!$ZX$9:$AAE$41,START!$C$3,6)))*INDEX('DEFAULT DATA'!$WC$9:$WJ$41,START!$C$3,6)/1000000)</f>
        <v>0</v>
      </c>
      <c r="BI84" s="123">
        <f>IF((BI$78-2021)&lt;START!$C$2,0,((BI$73*INDEX('DEFAULT DATA'!$AHH$9:$AHO$41,START!$C$3,6))+(BI$74*INDEX('DEFAULT DATA'!$YR$9:$YY$41,START!$C$3,6))+(BI$75*INDEX('DEFAULT DATA'!$ZX$9:$AAE$41,START!$C$3,6)))*INDEX('DEFAULT DATA'!$WC$9:$WJ$41,START!$C$3,6)/1000000)</f>
        <v>0</v>
      </c>
      <c r="BJ84" s="123">
        <f>IF((BJ$78-2021)&lt;START!$C$2,0,((BJ$73*INDEX('DEFAULT DATA'!$AHH$9:$AHO$41,START!$C$3,6))+(BJ$74*INDEX('DEFAULT DATA'!$YR$9:$YY$41,START!$C$3,6))+(BJ$75*INDEX('DEFAULT DATA'!$ZX$9:$AAE$41,START!$C$3,6)))*INDEX('DEFAULT DATA'!$WC$9:$WJ$41,START!$C$3,6)/1000000)</f>
        <v>0</v>
      </c>
      <c r="BK84" s="123">
        <f>IF((BK$78-2021)&lt;START!$C$2,0,((BK$73*INDEX('DEFAULT DATA'!$AHH$9:$AHO$41,START!$C$3,6))+(BK$74*INDEX('DEFAULT DATA'!$YR$9:$YY$41,START!$C$3,6))+(BK$75*INDEX('DEFAULT DATA'!$ZX$9:$AAE$41,START!$C$3,6)))*INDEX('DEFAULT DATA'!$WC$9:$WJ$41,START!$C$3,6)/1000000)</f>
        <v>0</v>
      </c>
      <c r="BL84" s="123">
        <f>IF((BL$78-2021)&lt;START!$C$2,0,((BL$73*INDEX('DEFAULT DATA'!$AHH$9:$AHO$41,START!$C$3,6))+(BL$74*INDEX('DEFAULT DATA'!$YR$9:$YY$41,START!$C$3,6))+(BL$75*INDEX('DEFAULT DATA'!$ZX$9:$AAE$41,START!$C$3,6)))*INDEX('DEFAULT DATA'!$WC$9:$WJ$41,START!$C$3,6)/1000000)</f>
        <v>0</v>
      </c>
      <c r="BM84" s="123">
        <f>IF((BM$78-2021)&lt;START!$C$2,0,((BM$73*INDEX('DEFAULT DATA'!$AHH$9:$AHO$41,START!$C$3,6))+(BM$74*INDEX('DEFAULT DATA'!$YR$9:$YY$41,START!$C$3,6))+(BM$75*INDEX('DEFAULT DATA'!$ZX$9:$AAE$41,START!$C$3,6)))*INDEX('DEFAULT DATA'!$WC$9:$WJ$41,START!$C$3,6)/1000000)</f>
        <v>0</v>
      </c>
      <c r="BN84" s="159">
        <f>IF((BN$78-2021)&lt;START!$C$2,0,((BN$73*INDEX('DEFAULT DATA'!$AHH$9:$AHO$41,START!$C$3,6))+(BN$74*INDEX('DEFAULT DATA'!$YR$9:$YY$41,START!$C$3,6))+(BN$75*INDEX('DEFAULT DATA'!$ZX$9:$AAE$41,START!$C$3,6)))*INDEX('DEFAULT DATA'!$WC$9:$WJ$41,START!$C$3,6)/1000000)</f>
        <v>0</v>
      </c>
      <c r="BP84" s="355" t="str">
        <f t="shared" si="20"/>
        <v>Wood</v>
      </c>
      <c r="BQ84" s="361" t="s">
        <v>1367</v>
      </c>
      <c r="BR84" s="362"/>
      <c r="BS84" s="362"/>
      <c r="BT84" s="362"/>
      <c r="BU84" s="362"/>
      <c r="BV84" s="362"/>
      <c r="BW84" s="362"/>
      <c r="BX84" s="362"/>
      <c r="BY84" s="362"/>
      <c r="BZ84" s="362"/>
      <c r="CA84" s="362"/>
      <c r="CB84" s="362"/>
      <c r="CC84" s="362"/>
      <c r="CD84" s="362"/>
      <c r="CE84" s="363"/>
      <c r="CF84" s="360" t="s">
        <v>1290</v>
      </c>
      <c r="CG84" s="360" t="s">
        <v>1298</v>
      </c>
      <c r="CH84" s="360" t="s">
        <v>1306</v>
      </c>
      <c r="CI84" s="360" t="s">
        <v>1250</v>
      </c>
    </row>
    <row r="85" spans="1:87" ht="20.100000000000001" customHeight="1">
      <c r="A85" s="41" t="str">
        <f t="shared" si="21"/>
        <v>Hospitality</v>
      </c>
      <c r="B85" s="133">
        <v>0</v>
      </c>
      <c r="C85" s="216"/>
      <c r="D85" s="16">
        <v>9</v>
      </c>
      <c r="E85" s="106">
        <v>9</v>
      </c>
      <c r="F85" s="81">
        <v>0</v>
      </c>
      <c r="G85" s="16"/>
      <c r="H85" s="16"/>
      <c r="I85" s="16"/>
      <c r="J85" s="16"/>
      <c r="K85" s="11"/>
      <c r="L85" s="16"/>
      <c r="M85" s="627"/>
      <c r="N85" s="630"/>
      <c r="O85" s="630"/>
      <c r="P85" s="630"/>
      <c r="Q85" s="630"/>
      <c r="R85" s="630"/>
      <c r="S85" s="630"/>
      <c r="T85" s="630"/>
      <c r="U85" s="630"/>
      <c r="V85" s="630"/>
      <c r="W85" s="630"/>
      <c r="X85" s="630"/>
      <c r="Y85" s="630"/>
      <c r="Z85" s="630"/>
      <c r="AA85" s="630"/>
      <c r="AB85" s="630"/>
      <c r="AC85" s="630"/>
      <c r="AD85" s="630"/>
      <c r="AE85" s="630"/>
      <c r="AF85" s="1551"/>
      <c r="AG85" s="1581" t="s">
        <v>867</v>
      </c>
      <c r="AH85" s="1582"/>
      <c r="AI85" s="1582"/>
      <c r="AJ85" s="1583"/>
      <c r="AK85" s="81">
        <v>0</v>
      </c>
      <c r="AL85" s="123">
        <f>IF((AL$78-2021)&lt;START!$C$2,0,((AL$73*INDEX('DEFAULT DATA'!$AHH$9:$AHO$41,START!$C$3,7))+(AL$74*INDEX('DEFAULT DATA'!$YR$9:$YY$41,START!$C$3,7))+(AL$75*INDEX('DEFAULT DATA'!$ZX$9:$AAE$41,START!$C$3,7)))*INDEX('DEFAULT DATA'!$WC$9:$WJ$41,START!$C$3,7)/1000000)</f>
        <v>0</v>
      </c>
      <c r="AM85" s="123">
        <f>IF((AM$78-2021)&lt;START!$C$2,0,((AM$73*INDEX('DEFAULT DATA'!$AHH$9:$AHO$41,START!$C$3,7))+(AM$74*INDEX('DEFAULT DATA'!$YR$9:$YY$41,START!$C$3,7))+(AM$75*INDEX('DEFAULT DATA'!$ZX$9:$AAE$41,START!$C$3,7)))*INDEX('DEFAULT DATA'!$WC$9:$WJ$41,START!$C$3,7)/1000000)</f>
        <v>0</v>
      </c>
      <c r="AN85" s="123">
        <f>IF((AN$78-2021)&lt;START!$C$2,0,((AN$73*INDEX('DEFAULT DATA'!$AHH$9:$AHO$41,START!$C$3,7))+(AN$74*INDEX('DEFAULT DATA'!$YR$9:$YY$41,START!$C$3,7))+(AN$75*INDEX('DEFAULT DATA'!$ZX$9:$AAE$41,START!$C$3,7)))*INDEX('DEFAULT DATA'!$WC$9:$WJ$41,START!$C$3,7)/1000000)</f>
        <v>0</v>
      </c>
      <c r="AO85" s="123">
        <f>IF((AO$78-2021)&lt;START!$C$2,0,((AO$73*INDEX('DEFAULT DATA'!$AHH$9:$AHO$41,START!$C$3,7))+(AO$74*INDEX('DEFAULT DATA'!$YR$9:$YY$41,START!$C$3,7))+(AO$75*INDEX('DEFAULT DATA'!$ZX$9:$AAE$41,START!$C$3,7)))*INDEX('DEFAULT DATA'!$WC$9:$WJ$41,START!$C$3,7)/1000000)</f>
        <v>0</v>
      </c>
      <c r="AP85" s="123">
        <f>IF((AP$78-2021)&lt;START!$C$2,0,((AP$73*INDEX('DEFAULT DATA'!$AHH$9:$AHO$41,START!$C$3,7))+(AP$74*INDEX('DEFAULT DATA'!$YR$9:$YY$41,START!$C$3,7))+(AP$75*INDEX('DEFAULT DATA'!$ZX$9:$AAE$41,START!$C$3,7)))*INDEX('DEFAULT DATA'!$WC$9:$WJ$41,START!$C$3,7)/1000000)</f>
        <v>0</v>
      </c>
      <c r="AQ85" s="123">
        <f>IF((AQ$78-2021)&lt;START!$C$2,0,((AQ$73*INDEX('DEFAULT DATA'!$AHH$9:$AHO$41,START!$C$3,7))+(AQ$74*INDEX('DEFAULT DATA'!$YR$9:$YY$41,START!$C$3,7))+(AQ$75*INDEX('DEFAULT DATA'!$ZX$9:$AAE$41,START!$C$3,7)))*INDEX('DEFAULT DATA'!$WC$9:$WJ$41,START!$C$3,7)/1000000)</f>
        <v>0</v>
      </c>
      <c r="AR85" s="123">
        <f>IF((AR$78-2021)&lt;START!$C$2,0,((AR$73*INDEX('DEFAULT DATA'!$AHH$9:$AHO$41,START!$C$3,7))+(AR$74*INDEX('DEFAULT DATA'!$YR$9:$YY$41,START!$C$3,7))+(AR$75*INDEX('DEFAULT DATA'!$ZX$9:$AAE$41,START!$C$3,7)))*INDEX('DEFAULT DATA'!$WC$9:$WJ$41,START!$C$3,7)/1000000)</f>
        <v>0</v>
      </c>
      <c r="AS85" s="123">
        <f>IF((AS$78-2021)&lt;START!$C$2,0,((AS$73*INDEX('DEFAULT DATA'!$AHH$9:$AHO$41,START!$C$3,7))+(AS$74*INDEX('DEFAULT DATA'!$YR$9:$YY$41,START!$C$3,7))+(AS$75*INDEX('DEFAULT DATA'!$ZX$9:$AAE$41,START!$C$3,7)))*INDEX('DEFAULT DATA'!$WC$9:$WJ$41,START!$C$3,7)/1000000)</f>
        <v>0</v>
      </c>
      <c r="AT85" s="123">
        <f>IF((AT$78-2021)&lt;START!$C$2,0,((AT$73*INDEX('DEFAULT DATA'!$AHH$9:$AHO$41,START!$C$3,7))+(AT$74*INDEX('DEFAULT DATA'!$YR$9:$YY$41,START!$C$3,7))+(AT$75*INDEX('DEFAULT DATA'!$ZX$9:$AAE$41,START!$C$3,7)))*INDEX('DEFAULT DATA'!$WC$9:$WJ$41,START!$C$3,7)/1000000)</f>
        <v>0</v>
      </c>
      <c r="AU85" s="123">
        <f>IF((AU$78-2021)&lt;START!$C$2,0,((AU$73*INDEX('DEFAULT DATA'!$AHH$9:$AHO$41,START!$C$3,7))+(AU$74*INDEX('DEFAULT DATA'!$YR$9:$YY$41,START!$C$3,7))+(AU$75*INDEX('DEFAULT DATA'!$ZX$9:$AAE$41,START!$C$3,7)))*INDEX('DEFAULT DATA'!$WC$9:$WJ$41,START!$C$3,7)/1000000)</f>
        <v>0</v>
      </c>
      <c r="AV85" s="123">
        <f>IF((AV$78-2021)&lt;START!$C$2,0,((AV$73*INDEX('DEFAULT DATA'!$AHH$9:$AHO$41,START!$C$3,7))+(AV$74*INDEX('DEFAULT DATA'!$YR$9:$YY$41,START!$C$3,7))+(AV$75*INDEX('DEFAULT DATA'!$ZX$9:$AAE$41,START!$C$3,7)))*INDEX('DEFAULT DATA'!$WC$9:$WJ$41,START!$C$3,7)/1000000)</f>
        <v>0</v>
      </c>
      <c r="AW85" s="123">
        <f>IF((AW$78-2021)&lt;START!$C$2,0,((AW$73*INDEX('DEFAULT DATA'!$AHH$9:$AHO$41,START!$C$3,7))+(AW$74*INDEX('DEFAULT DATA'!$YR$9:$YY$41,START!$C$3,7))+(AW$75*INDEX('DEFAULT DATA'!$ZX$9:$AAE$41,START!$C$3,7)))*INDEX('DEFAULT DATA'!$WC$9:$WJ$41,START!$C$3,7)/1000000)</f>
        <v>0</v>
      </c>
      <c r="AX85" s="123">
        <f>IF((AX$78-2021)&lt;START!$C$2,0,((AX$73*INDEX('DEFAULT DATA'!$AHH$9:$AHO$41,START!$C$3,7))+(AX$74*INDEX('DEFAULT DATA'!$YR$9:$YY$41,START!$C$3,7))+(AX$75*INDEX('DEFAULT DATA'!$ZX$9:$AAE$41,START!$C$3,7)))*INDEX('DEFAULT DATA'!$WC$9:$WJ$41,START!$C$3,7)/1000000)</f>
        <v>0</v>
      </c>
      <c r="AY85" s="123">
        <f>IF((AY$78-2021)&lt;START!$C$2,0,((AY$73*INDEX('DEFAULT DATA'!$AHH$9:$AHO$41,START!$C$3,7))+(AY$74*INDEX('DEFAULT DATA'!$YR$9:$YY$41,START!$C$3,7))+(AY$75*INDEX('DEFAULT DATA'!$ZX$9:$AAE$41,START!$C$3,7)))*INDEX('DEFAULT DATA'!$WC$9:$WJ$41,START!$C$3,7)/1000000)</f>
        <v>0</v>
      </c>
      <c r="AZ85" s="123">
        <f>IF((AZ$78-2021)&lt;START!$C$2,0,((AZ$73*INDEX('DEFAULT DATA'!$AHH$9:$AHO$41,START!$C$3,7))+(AZ$74*INDEX('DEFAULT DATA'!$YR$9:$YY$41,START!$C$3,7))+(AZ$75*INDEX('DEFAULT DATA'!$ZX$9:$AAE$41,START!$C$3,7)))*INDEX('DEFAULT DATA'!$WC$9:$WJ$41,START!$C$3,7)/1000000)</f>
        <v>0</v>
      </c>
      <c r="BA85" s="123">
        <f>IF((BA$78-2021)&lt;START!$C$2,0,((BA$73*INDEX('DEFAULT DATA'!$AHH$9:$AHO$41,START!$C$3,7))+(BA$74*INDEX('DEFAULT DATA'!$YR$9:$YY$41,START!$C$3,7))+(BA$75*INDEX('DEFAULT DATA'!$ZX$9:$AAE$41,START!$C$3,7)))*INDEX('DEFAULT DATA'!$WC$9:$WJ$41,START!$C$3,7)/1000000)</f>
        <v>0</v>
      </c>
      <c r="BB85" s="123">
        <f>IF((BB$78-2021)&lt;START!$C$2,0,((BB$73*INDEX('DEFAULT DATA'!$AHH$9:$AHO$41,START!$C$3,7))+(BB$74*INDEX('DEFAULT DATA'!$YR$9:$YY$41,START!$C$3,7))+(BB$75*INDEX('DEFAULT DATA'!$ZX$9:$AAE$41,START!$C$3,7)))*INDEX('DEFAULT DATA'!$WC$9:$WJ$41,START!$C$3,7)/1000000)</f>
        <v>0</v>
      </c>
      <c r="BC85" s="123">
        <f>IF((BC$78-2021)&lt;START!$C$2,0,((BC$73*INDEX('DEFAULT DATA'!$AHH$9:$AHO$41,START!$C$3,7))+(BC$74*INDEX('DEFAULT DATA'!$YR$9:$YY$41,START!$C$3,7))+(BC$75*INDEX('DEFAULT DATA'!$ZX$9:$AAE$41,START!$C$3,7)))*INDEX('DEFAULT DATA'!$WC$9:$WJ$41,START!$C$3,7)/1000000)</f>
        <v>0</v>
      </c>
      <c r="BD85" s="123">
        <f>IF((BD$78-2021)&lt;START!$C$2,0,((BD$73*INDEX('DEFAULT DATA'!$AHH$9:$AHO$41,START!$C$3,7))+(BD$74*INDEX('DEFAULT DATA'!$YR$9:$YY$41,START!$C$3,7))+(BD$75*INDEX('DEFAULT DATA'!$ZX$9:$AAE$41,START!$C$3,7)))*INDEX('DEFAULT DATA'!$WC$9:$WJ$41,START!$C$3,7)/1000000)</f>
        <v>0</v>
      </c>
      <c r="BE85" s="123">
        <f>IF((BE$78-2021)&lt;START!$C$2,0,((BE$73*INDEX('DEFAULT DATA'!$AHH$9:$AHO$41,START!$C$3,7))+(BE$74*INDEX('DEFAULT DATA'!$YR$9:$YY$41,START!$C$3,7))+(BE$75*INDEX('DEFAULT DATA'!$ZX$9:$AAE$41,START!$C$3,7)))*INDEX('DEFAULT DATA'!$WC$9:$WJ$41,START!$C$3,7)/1000000)</f>
        <v>0</v>
      </c>
      <c r="BF85" s="123">
        <f>IF((BF$78-2021)&lt;START!$C$2,0,((BF$73*INDEX('DEFAULT DATA'!$AHH$9:$AHO$41,START!$C$3,7))+(BF$74*INDEX('DEFAULT DATA'!$YR$9:$YY$41,START!$C$3,7))+(BF$75*INDEX('DEFAULT DATA'!$ZX$9:$AAE$41,START!$C$3,7)))*INDEX('DEFAULT DATA'!$WC$9:$WJ$41,START!$C$3,7)/1000000)</f>
        <v>0</v>
      </c>
      <c r="BG85" s="123">
        <f>IF((BG$78-2021)&lt;START!$C$2,0,((BG$73*INDEX('DEFAULT DATA'!$AHH$9:$AHO$41,START!$C$3,7))+(BG$74*INDEX('DEFAULT DATA'!$YR$9:$YY$41,START!$C$3,7))+(BG$75*INDEX('DEFAULT DATA'!$ZX$9:$AAE$41,START!$C$3,7)))*INDEX('DEFAULT DATA'!$WC$9:$WJ$41,START!$C$3,7)/1000000)</f>
        <v>0</v>
      </c>
      <c r="BH85" s="123">
        <f>IF((BH$78-2021)&lt;START!$C$2,0,((BH$73*INDEX('DEFAULT DATA'!$AHH$9:$AHO$41,START!$C$3,7))+(BH$74*INDEX('DEFAULT DATA'!$YR$9:$YY$41,START!$C$3,7))+(BH$75*INDEX('DEFAULT DATA'!$ZX$9:$AAE$41,START!$C$3,7)))*INDEX('DEFAULT DATA'!$WC$9:$WJ$41,START!$C$3,7)/1000000)</f>
        <v>0</v>
      </c>
      <c r="BI85" s="123">
        <f>IF((BI$78-2021)&lt;START!$C$2,0,((BI$73*INDEX('DEFAULT DATA'!$AHH$9:$AHO$41,START!$C$3,7))+(BI$74*INDEX('DEFAULT DATA'!$YR$9:$YY$41,START!$C$3,7))+(BI$75*INDEX('DEFAULT DATA'!$ZX$9:$AAE$41,START!$C$3,7)))*INDEX('DEFAULT DATA'!$WC$9:$WJ$41,START!$C$3,7)/1000000)</f>
        <v>0</v>
      </c>
      <c r="BJ85" s="123">
        <f>IF((BJ$78-2021)&lt;START!$C$2,0,((BJ$73*INDEX('DEFAULT DATA'!$AHH$9:$AHO$41,START!$C$3,7))+(BJ$74*INDEX('DEFAULT DATA'!$YR$9:$YY$41,START!$C$3,7))+(BJ$75*INDEX('DEFAULT DATA'!$ZX$9:$AAE$41,START!$C$3,7)))*INDEX('DEFAULT DATA'!$WC$9:$WJ$41,START!$C$3,7)/1000000)</f>
        <v>0</v>
      </c>
      <c r="BK85" s="123">
        <f>IF((BK$78-2021)&lt;START!$C$2,0,((BK$73*INDEX('DEFAULT DATA'!$AHH$9:$AHO$41,START!$C$3,7))+(BK$74*INDEX('DEFAULT DATA'!$YR$9:$YY$41,START!$C$3,7))+(BK$75*INDEX('DEFAULT DATA'!$ZX$9:$AAE$41,START!$C$3,7)))*INDEX('DEFAULT DATA'!$WC$9:$WJ$41,START!$C$3,7)/1000000)</f>
        <v>0</v>
      </c>
      <c r="BL85" s="123">
        <f>IF((BL$78-2021)&lt;START!$C$2,0,((BL$73*INDEX('DEFAULT DATA'!$AHH$9:$AHO$41,START!$C$3,7))+(BL$74*INDEX('DEFAULT DATA'!$YR$9:$YY$41,START!$C$3,7))+(BL$75*INDEX('DEFAULT DATA'!$ZX$9:$AAE$41,START!$C$3,7)))*INDEX('DEFAULT DATA'!$WC$9:$WJ$41,START!$C$3,7)/1000000)</f>
        <v>0</v>
      </c>
      <c r="BM85" s="123">
        <f>IF((BM$78-2021)&lt;START!$C$2,0,((BM$73*INDEX('DEFAULT DATA'!$AHH$9:$AHO$41,START!$C$3,7))+(BM$74*INDEX('DEFAULT DATA'!$YR$9:$YY$41,START!$C$3,7))+(BM$75*INDEX('DEFAULT DATA'!$ZX$9:$AAE$41,START!$C$3,7)))*INDEX('DEFAULT DATA'!$WC$9:$WJ$41,START!$C$3,7)/1000000)</f>
        <v>0</v>
      </c>
      <c r="BN85" s="159">
        <f>IF((BN$78-2021)&lt;START!$C$2,0,((BN$73*INDEX('DEFAULT DATA'!$AHH$9:$AHO$41,START!$C$3,7))+(BN$74*INDEX('DEFAULT DATA'!$YR$9:$YY$41,START!$C$3,7))+(BN$75*INDEX('DEFAULT DATA'!$ZX$9:$AAE$41,START!$C$3,7)))*INDEX('DEFAULT DATA'!$WC$9:$WJ$41,START!$C$3,7)/1000000)</f>
        <v>0</v>
      </c>
      <c r="BO85" s="119"/>
      <c r="BP85" s="355" t="str">
        <f t="shared" si="20"/>
        <v>Renewable</v>
      </c>
      <c r="BQ85" s="361" t="s">
        <v>1368</v>
      </c>
      <c r="BR85" s="362"/>
      <c r="BS85" s="362"/>
      <c r="BT85" s="362"/>
      <c r="BU85" s="362"/>
      <c r="BV85" s="362"/>
      <c r="BW85" s="362"/>
      <c r="BX85" s="362"/>
      <c r="BY85" s="362"/>
      <c r="BZ85" s="362"/>
      <c r="CA85" s="362"/>
      <c r="CB85" s="362"/>
      <c r="CC85" s="362"/>
      <c r="CD85" s="362"/>
      <c r="CE85" s="363"/>
      <c r="CF85" s="360" t="s">
        <v>1291</v>
      </c>
      <c r="CG85" s="360" t="s">
        <v>1299</v>
      </c>
      <c r="CH85" s="360" t="s">
        <v>1307</v>
      </c>
      <c r="CI85" s="360" t="s">
        <v>1251</v>
      </c>
    </row>
    <row r="86" spans="1:87" ht="20.100000000000001" customHeight="1" thickBot="1">
      <c r="A86" s="41" t="str">
        <f t="shared" si="21"/>
        <v>Offices</v>
      </c>
      <c r="B86" s="133">
        <v>0</v>
      </c>
      <c r="C86" s="216"/>
      <c r="D86" s="16">
        <v>9</v>
      </c>
      <c r="E86" s="106">
        <v>9</v>
      </c>
      <c r="F86" s="81">
        <v>0</v>
      </c>
      <c r="G86" s="16"/>
      <c r="H86" s="16"/>
      <c r="I86" s="16"/>
      <c r="J86" s="16"/>
      <c r="K86" s="11"/>
      <c r="L86" s="16"/>
      <c r="M86" s="627"/>
      <c r="N86" s="630"/>
      <c r="O86" s="630"/>
      <c r="P86" s="630"/>
      <c r="Q86" s="630"/>
      <c r="R86" s="630"/>
      <c r="S86" s="630"/>
      <c r="T86" s="630"/>
      <c r="U86" s="630"/>
      <c r="V86" s="630"/>
      <c r="W86" s="630"/>
      <c r="X86" s="630"/>
      <c r="Y86" s="630"/>
      <c r="Z86" s="630"/>
      <c r="AA86" s="630"/>
      <c r="AB86" s="630"/>
      <c r="AC86" s="630"/>
      <c r="AD86" s="630"/>
      <c r="AE86" s="630"/>
      <c r="AF86" s="1552"/>
      <c r="AG86" s="1542" t="s">
        <v>868</v>
      </c>
      <c r="AH86" s="1572"/>
      <c r="AI86" s="1572"/>
      <c r="AJ86" s="1543"/>
      <c r="AK86" s="155">
        <v>0</v>
      </c>
      <c r="AL86" s="160">
        <f>IF((AL$78-2021)&lt;START!$C$2,0,((AL$73*INDEX('DEFAULT DATA'!$AHH$9:$AHO$41,START!$C$3,8))+(AL$74*INDEX('DEFAULT DATA'!$YR$9:$YY$41,START!$C$3,8))+(AL$75*INDEX('DEFAULT DATA'!$ZX$9:$AAE$41,START!$C$3,8)))*AL6/1000000)</f>
        <v>9185.4766536534462</v>
      </c>
      <c r="AM86" s="160">
        <f>IF((AM$78-2021)&lt;START!$C$2,0,((AM$73*INDEX('DEFAULT DATA'!$AHH$9:$AHO$41,START!$C$3,8))+(AM$74*INDEX('DEFAULT DATA'!$YR$9:$YY$41,START!$C$3,8))+(AM$75*INDEX('DEFAULT DATA'!$ZX$9:$AAE$41,START!$C$3,8)))*AM6/1000000)</f>
        <v>9185.4766536534462</v>
      </c>
      <c r="AN86" s="160">
        <f>IF((AN$78-2021)&lt;START!$C$2,0,((AN$73*INDEX('DEFAULT DATA'!$AHH$9:$AHO$41,START!$C$3,8))+(AN$74*INDEX('DEFAULT DATA'!$YR$9:$YY$41,START!$C$3,8))+(AN$75*INDEX('DEFAULT DATA'!$ZX$9:$AAE$41,START!$C$3,8)))*AN6/1000000)</f>
        <v>9185.4766536534462</v>
      </c>
      <c r="AO86" s="160">
        <f>IF((AO$78-2021)&lt;START!$C$2,0,((AO$73*INDEX('DEFAULT DATA'!$AHH$9:$AHO$41,START!$C$3,8))+(AO$74*INDEX('DEFAULT DATA'!$YR$9:$YY$41,START!$C$3,8))+(AO$75*INDEX('DEFAULT DATA'!$ZX$9:$AAE$41,START!$C$3,8)))*AO6/1000000)</f>
        <v>9185.4766536534462</v>
      </c>
      <c r="AP86" s="160">
        <f>IF((AP$78-2021)&lt;START!$C$2,0,((AP$73*INDEX('DEFAULT DATA'!$AHH$9:$AHO$41,START!$C$3,8))+(AP$74*INDEX('DEFAULT DATA'!$YR$9:$YY$41,START!$C$3,8))+(AP$75*INDEX('DEFAULT DATA'!$ZX$9:$AAE$41,START!$C$3,8)))*AP6/1000000)</f>
        <v>9185.4766536534462</v>
      </c>
      <c r="AQ86" s="160">
        <f>IF((AQ$78-2021)&lt;START!$C$2,0,((AQ$73*INDEX('DEFAULT DATA'!$AHH$9:$AHO$41,START!$C$3,8))+(AQ$74*INDEX('DEFAULT DATA'!$YR$9:$YY$41,START!$C$3,8))+(AQ$75*INDEX('DEFAULT DATA'!$ZX$9:$AAE$41,START!$C$3,8)))*AQ6/1000000)</f>
        <v>9185.4766536534462</v>
      </c>
      <c r="AR86" s="160">
        <f>IF((AR$78-2021)&lt;START!$C$2,0,((AR$73*INDEX('DEFAULT DATA'!$AHH$9:$AHO$41,START!$C$3,8))+(AR$74*INDEX('DEFAULT DATA'!$YR$9:$YY$41,START!$C$3,8))+(AR$75*INDEX('DEFAULT DATA'!$ZX$9:$AAE$41,START!$C$3,8)))*AR6/1000000)</f>
        <v>9185.4766536534462</v>
      </c>
      <c r="AS86" s="160">
        <f>IF((AS$78-2021)&lt;START!$C$2,0,((AS$73*INDEX('DEFAULT DATA'!$AHH$9:$AHO$41,START!$C$3,8))+(AS$74*INDEX('DEFAULT DATA'!$YR$9:$YY$41,START!$C$3,8))+(AS$75*INDEX('DEFAULT DATA'!$ZX$9:$AAE$41,START!$C$3,8)))*AS6/1000000)</f>
        <v>9185.4766536534462</v>
      </c>
      <c r="AT86" s="160">
        <f>IF((AT$78-2021)&lt;START!$C$2,0,((AT$73*INDEX('DEFAULT DATA'!$AHH$9:$AHO$41,START!$C$3,8))+(AT$74*INDEX('DEFAULT DATA'!$YR$9:$YY$41,START!$C$3,8))+(AT$75*INDEX('DEFAULT DATA'!$ZX$9:$AAE$41,START!$C$3,8)))*AT6/1000000)</f>
        <v>9185.4766536534462</v>
      </c>
      <c r="AU86" s="160">
        <f>IF((AU$78-2021)&lt;START!$C$2,0,((AU$73*INDEX('DEFAULT DATA'!$AHH$9:$AHO$41,START!$C$3,8))+(AU$74*INDEX('DEFAULT DATA'!$YR$9:$YY$41,START!$C$3,8))+(AU$75*INDEX('DEFAULT DATA'!$ZX$9:$AAE$41,START!$C$3,8)))*AU6/1000000)</f>
        <v>9185.4766536534462</v>
      </c>
      <c r="AV86" s="160">
        <f>IF((AV$78-2021)&lt;START!$C$2,0,((AV$73*INDEX('DEFAULT DATA'!$AHH$9:$AHO$41,START!$C$3,8))+(AV$74*INDEX('DEFAULT DATA'!$YR$9:$YY$41,START!$C$3,8))+(AV$75*INDEX('DEFAULT DATA'!$ZX$9:$AAE$41,START!$C$3,8)))*AV6/1000000)</f>
        <v>9185.4766536534462</v>
      </c>
      <c r="AW86" s="160">
        <f>IF((AW$78-2021)&lt;START!$C$2,0,((AW$73*INDEX('DEFAULT DATA'!$AHH$9:$AHO$41,START!$C$3,8))+(AW$74*INDEX('DEFAULT DATA'!$YR$9:$YY$41,START!$C$3,8))+(AW$75*INDEX('DEFAULT DATA'!$ZX$9:$AAE$41,START!$C$3,8)))*AW6/1000000)</f>
        <v>9185.4766536534462</v>
      </c>
      <c r="AX86" s="160">
        <f>IF((AX$78-2021)&lt;START!$C$2,0,((AX$73*INDEX('DEFAULT DATA'!$AHH$9:$AHO$41,START!$C$3,8))+(AX$74*INDEX('DEFAULT DATA'!$YR$9:$YY$41,START!$C$3,8))+(AX$75*INDEX('DEFAULT DATA'!$ZX$9:$AAE$41,START!$C$3,8)))*AX6/1000000)</f>
        <v>9185.4766536534462</v>
      </c>
      <c r="AY86" s="160">
        <f>IF((AY$78-2021)&lt;START!$C$2,0,((AY$73*INDEX('DEFAULT DATA'!$AHH$9:$AHO$41,START!$C$3,8))+(AY$74*INDEX('DEFAULT DATA'!$YR$9:$YY$41,START!$C$3,8))+(AY$75*INDEX('DEFAULT DATA'!$ZX$9:$AAE$41,START!$C$3,8)))*AY6/1000000)</f>
        <v>9185.4766536534462</v>
      </c>
      <c r="AZ86" s="160">
        <f>IF((AZ$78-2021)&lt;START!$C$2,0,((AZ$73*INDEX('DEFAULT DATA'!$AHH$9:$AHO$41,START!$C$3,8))+(AZ$74*INDEX('DEFAULT DATA'!$YR$9:$YY$41,START!$C$3,8))+(AZ$75*INDEX('DEFAULT DATA'!$ZX$9:$AAE$41,START!$C$3,8)))*AZ6/1000000)</f>
        <v>9185.4766536534462</v>
      </c>
      <c r="BA86" s="160">
        <f>IF((BA$78-2021)&lt;START!$C$2,0,((BA$73*INDEX('DEFAULT DATA'!$AHH$9:$AHO$41,START!$C$3,8))+(BA$74*INDEX('DEFAULT DATA'!$YR$9:$YY$41,START!$C$3,8))+(BA$75*INDEX('DEFAULT DATA'!$ZX$9:$AAE$41,START!$C$3,8)))*BA6/1000000)</f>
        <v>9185.4766536534462</v>
      </c>
      <c r="BB86" s="160">
        <f>IF((BB$78-2021)&lt;START!$C$2,0,((BB$73*INDEX('DEFAULT DATA'!$AHH$9:$AHO$41,START!$C$3,8))+(BB$74*INDEX('DEFAULT DATA'!$YR$9:$YY$41,START!$C$3,8))+(BB$75*INDEX('DEFAULT DATA'!$ZX$9:$AAE$41,START!$C$3,8)))*BB6/1000000)</f>
        <v>9185.4766536534462</v>
      </c>
      <c r="BC86" s="160">
        <f>IF((BC$78-2021)&lt;START!$C$2,0,((BC$73*INDEX('DEFAULT DATA'!$AHH$9:$AHO$41,START!$C$3,8))+(BC$74*INDEX('DEFAULT DATA'!$YR$9:$YY$41,START!$C$3,8))+(BC$75*INDEX('DEFAULT DATA'!$ZX$9:$AAE$41,START!$C$3,8)))*BC6/1000000)</f>
        <v>9185.4766536534462</v>
      </c>
      <c r="BD86" s="160">
        <f>IF((BD$78-2021)&lt;START!$C$2,0,((BD$73*INDEX('DEFAULT DATA'!$AHH$9:$AHO$41,START!$C$3,8))+(BD$74*INDEX('DEFAULT DATA'!$YR$9:$YY$41,START!$C$3,8))+(BD$75*INDEX('DEFAULT DATA'!$ZX$9:$AAE$41,START!$C$3,8)))*BD6/1000000)</f>
        <v>9185.4766536534462</v>
      </c>
      <c r="BE86" s="160">
        <f>IF((BE$78-2021)&lt;START!$C$2,0,((BE$73*INDEX('DEFAULT DATA'!$AHH$9:$AHO$41,START!$C$3,8))+(BE$74*INDEX('DEFAULT DATA'!$YR$9:$YY$41,START!$C$3,8))+(BE$75*INDEX('DEFAULT DATA'!$ZX$9:$AAE$41,START!$C$3,8)))*BE6/1000000)</f>
        <v>9185.4766536534462</v>
      </c>
      <c r="BF86" s="160">
        <f>IF((BF$78-2021)&lt;START!$C$2,0,((BF$73*INDEX('DEFAULT DATA'!$AHH$9:$AHO$41,START!$C$3,8))+(BF$74*INDEX('DEFAULT DATA'!$YR$9:$YY$41,START!$C$3,8))+(BF$75*INDEX('DEFAULT DATA'!$ZX$9:$AAE$41,START!$C$3,8)))*BF6/1000000)</f>
        <v>9185.4766536534462</v>
      </c>
      <c r="BG86" s="160">
        <f>IF((BG$78-2021)&lt;START!$C$2,0,((BG$73*INDEX('DEFAULT DATA'!$AHH$9:$AHO$41,START!$C$3,8))+(BG$74*INDEX('DEFAULT DATA'!$YR$9:$YY$41,START!$C$3,8))+(BG$75*INDEX('DEFAULT DATA'!$ZX$9:$AAE$41,START!$C$3,8)))*BG6/1000000)</f>
        <v>9185.4766536534462</v>
      </c>
      <c r="BH86" s="160">
        <f>IF((BH$78-2021)&lt;START!$C$2,0,((BH$73*INDEX('DEFAULT DATA'!$AHH$9:$AHO$41,START!$C$3,8))+(BH$74*INDEX('DEFAULT DATA'!$YR$9:$YY$41,START!$C$3,8))+(BH$75*INDEX('DEFAULT DATA'!$ZX$9:$AAE$41,START!$C$3,8)))*BH6/1000000)</f>
        <v>9185.4766536534462</v>
      </c>
      <c r="BI86" s="160">
        <f>IF((BI$78-2021)&lt;START!$C$2,0,((BI$73*INDEX('DEFAULT DATA'!$AHH$9:$AHO$41,START!$C$3,8))+(BI$74*INDEX('DEFAULT DATA'!$YR$9:$YY$41,START!$C$3,8))+(BI$75*INDEX('DEFAULT DATA'!$ZX$9:$AAE$41,START!$C$3,8)))*BI6/1000000)</f>
        <v>9185.4766536534462</v>
      </c>
      <c r="BJ86" s="160">
        <f>IF((BJ$78-2021)&lt;START!$C$2,0,((BJ$73*INDEX('DEFAULT DATA'!$AHH$9:$AHO$41,START!$C$3,8))+(BJ$74*INDEX('DEFAULT DATA'!$YR$9:$YY$41,START!$C$3,8))+(BJ$75*INDEX('DEFAULT DATA'!$ZX$9:$AAE$41,START!$C$3,8)))*BJ6/1000000)</f>
        <v>9185.4766536534462</v>
      </c>
      <c r="BK86" s="160">
        <f>IF((BK$78-2021)&lt;START!$C$2,0,((BK$73*INDEX('DEFAULT DATA'!$AHH$9:$AHO$41,START!$C$3,8))+(BK$74*INDEX('DEFAULT DATA'!$YR$9:$YY$41,START!$C$3,8))+(BK$75*INDEX('DEFAULT DATA'!$ZX$9:$AAE$41,START!$C$3,8)))*BK6/1000000)</f>
        <v>9185.4766536534462</v>
      </c>
      <c r="BL86" s="160">
        <f>IF((BL$78-2021)&lt;START!$C$2,0,((BL$73*INDEX('DEFAULT DATA'!$AHH$9:$AHO$41,START!$C$3,8))+(BL$74*INDEX('DEFAULT DATA'!$YR$9:$YY$41,START!$C$3,8))+(BL$75*INDEX('DEFAULT DATA'!$ZX$9:$AAE$41,START!$C$3,8)))*BL6/1000000)</f>
        <v>9185.4766536534462</v>
      </c>
      <c r="BM86" s="160">
        <f>IF((BM$78-2021)&lt;START!$C$2,0,((BM$73*INDEX('DEFAULT DATA'!$AHH$9:$AHO$41,START!$C$3,8))+(BM$74*INDEX('DEFAULT DATA'!$YR$9:$YY$41,START!$C$3,8))+(BM$75*INDEX('DEFAULT DATA'!$ZX$9:$AAE$41,START!$C$3,8)))*BM6/1000000)</f>
        <v>9185.4766536534462</v>
      </c>
      <c r="BN86" s="161">
        <f>IF((BN$78-2021)&lt;START!$C$2,0,((BN$73*INDEX('DEFAULT DATA'!$AHH$9:$AHO$41,START!$C$3,8))+(BN$74*INDEX('DEFAULT DATA'!$YR$9:$YY$41,START!$C$3,8))+(BN$75*INDEX('DEFAULT DATA'!$ZX$9:$AAE$41,START!$C$3,8)))*BN6/1000000)</f>
        <v>9185.4766536534462</v>
      </c>
      <c r="BP86" s="356" t="str">
        <f t="shared" si="20"/>
        <v>Heat</v>
      </c>
      <c r="BQ86" s="364" t="s">
        <v>1369</v>
      </c>
      <c r="BR86" s="365"/>
      <c r="BS86" s="365"/>
      <c r="BT86" s="365"/>
      <c r="BU86" s="365"/>
      <c r="BV86" s="365"/>
      <c r="BW86" s="365"/>
      <c r="BX86" s="365"/>
      <c r="BY86" s="365"/>
      <c r="BZ86" s="365"/>
      <c r="CA86" s="365"/>
      <c r="CB86" s="365"/>
      <c r="CC86" s="365"/>
      <c r="CD86" s="365"/>
      <c r="CE86" s="366"/>
      <c r="CF86" s="360" t="s">
        <v>1292</v>
      </c>
      <c r="CG86" s="360" t="s">
        <v>1300</v>
      </c>
      <c r="CH86" s="360" t="s">
        <v>1308</v>
      </c>
      <c r="CI86" s="360" t="s">
        <v>1252</v>
      </c>
    </row>
    <row r="87" spans="1:87" ht="20.100000000000001" customHeight="1">
      <c r="A87" s="41" t="str">
        <f t="shared" si="21"/>
        <v>Industrial</v>
      </c>
      <c r="B87" s="133">
        <v>0</v>
      </c>
      <c r="C87" s="216"/>
      <c r="D87" s="16">
        <v>9</v>
      </c>
      <c r="E87" s="106">
        <v>9</v>
      </c>
      <c r="F87" s="81">
        <v>0</v>
      </c>
      <c r="G87" s="16"/>
      <c r="H87" s="16"/>
      <c r="I87" s="16"/>
      <c r="J87" s="16"/>
      <c r="K87" s="11"/>
      <c r="L87" s="16"/>
      <c r="M87" s="627"/>
      <c r="N87" s="630"/>
      <c r="O87" s="630"/>
      <c r="P87" s="630"/>
      <c r="Q87" s="630"/>
      <c r="R87" s="630"/>
      <c r="S87" s="630"/>
      <c r="T87" s="630"/>
      <c r="U87" s="630"/>
      <c r="V87" s="630"/>
      <c r="W87" s="630"/>
      <c r="X87" s="630"/>
      <c r="Y87" s="630"/>
      <c r="Z87" s="630"/>
      <c r="AA87" s="630"/>
      <c r="AB87" s="630"/>
      <c r="AC87" s="630"/>
      <c r="AD87" s="630"/>
      <c r="AE87" s="630"/>
      <c r="AF87" s="327"/>
      <c r="AG87" s="1486" t="s">
        <v>211</v>
      </c>
      <c r="AH87" s="1487"/>
      <c r="AI87" s="1487"/>
      <c r="AJ87" s="1580"/>
      <c r="AK87" s="151">
        <f>SUM(AK79:AK86)</f>
        <v>0</v>
      </c>
      <c r="AL87" s="162">
        <f t="shared" ref="AL87" si="22">SUM(AL79:AL86)</f>
        <v>41317.689306508546</v>
      </c>
      <c r="AM87" s="162">
        <f t="shared" ref="AM87:BN87" si="23">SUM(AM79:AM86)</f>
        <v>40377.944222549886</v>
      </c>
      <c r="AN87" s="162">
        <f t="shared" si="23"/>
        <v>39509.619764972085</v>
      </c>
      <c r="AO87" s="162">
        <f t="shared" si="23"/>
        <v>38707.287966170195</v>
      </c>
      <c r="AP87" s="162">
        <f t="shared" si="23"/>
        <v>37965.933384077252</v>
      </c>
      <c r="AQ87" s="162">
        <f t="shared" si="23"/>
        <v>37280.921750223373</v>
      </c>
      <c r="AR87" s="162">
        <f t="shared" si="23"/>
        <v>36647.971000542384</v>
      </c>
      <c r="AS87" s="162">
        <f t="shared" si="23"/>
        <v>36063.124507837158</v>
      </c>
      <c r="AT87" s="162">
        <f t="shared" si="23"/>
        <v>35522.726348577518</v>
      </c>
      <c r="AU87" s="162">
        <f t="shared" si="23"/>
        <v>35095.6695927205</v>
      </c>
      <c r="AV87" s="162">
        <f t="shared" si="23"/>
        <v>34696.371525994189</v>
      </c>
      <c r="AW87" s="162">
        <f t="shared" si="23"/>
        <v>34323.027833605083</v>
      </c>
      <c r="AX87" s="162">
        <f t="shared" si="23"/>
        <v>33973.951481221273</v>
      </c>
      <c r="AY87" s="162">
        <f t="shared" si="23"/>
        <v>33647.565091742406</v>
      </c>
      <c r="AZ87" s="162">
        <f t="shared" si="23"/>
        <v>33342.393817579665</v>
      </c>
      <c r="BA87" s="162">
        <f t="shared" si="23"/>
        <v>33057.05867623751</v>
      </c>
      <c r="BB87" s="162">
        <f t="shared" si="23"/>
        <v>32790.270319082585</v>
      </c>
      <c r="BC87" s="162">
        <f t="shared" si="23"/>
        <v>32540.82320514274</v>
      </c>
      <c r="BD87" s="162">
        <f t="shared" si="23"/>
        <v>32307.59015360898</v>
      </c>
      <c r="BE87" s="162">
        <f t="shared" si="23"/>
        <v>32089.517250424913</v>
      </c>
      <c r="BF87" s="162">
        <f t="shared" si="23"/>
        <v>31885.619085947808</v>
      </c>
      <c r="BG87" s="162">
        <f t="shared" si="23"/>
        <v>31694.974302161718</v>
      </c>
      <c r="BH87" s="162">
        <f t="shared" si="23"/>
        <v>31516.721429321726</v>
      </c>
      <c r="BI87" s="162">
        <f t="shared" si="23"/>
        <v>31350.054993216334</v>
      </c>
      <c r="BJ87" s="162">
        <f t="shared" si="23"/>
        <v>31194.221875457792</v>
      </c>
      <c r="BK87" s="162">
        <f t="shared" si="23"/>
        <v>31048.517910353548</v>
      </c>
      <c r="BL87" s="162">
        <f t="shared" si="23"/>
        <v>30912.284702981087</v>
      </c>
      <c r="BM87" s="162">
        <f t="shared" si="23"/>
        <v>30784.906654087834</v>
      </c>
      <c r="BN87" s="162">
        <f t="shared" si="23"/>
        <v>30665.808178372645</v>
      </c>
    </row>
    <row r="88" spans="1:87" ht="20.100000000000001" customHeight="1">
      <c r="A88" s="41" t="str">
        <f t="shared" si="21"/>
        <v>Warehouses</v>
      </c>
      <c r="B88" s="133">
        <v>0</v>
      </c>
      <c r="C88" s="216"/>
      <c r="D88" s="16">
        <v>9</v>
      </c>
      <c r="E88" s="106">
        <v>9</v>
      </c>
      <c r="F88" s="81">
        <v>0</v>
      </c>
      <c r="G88" s="16"/>
      <c r="H88" s="16"/>
      <c r="I88" s="16"/>
      <c r="J88" s="16"/>
      <c r="K88" s="11"/>
      <c r="L88" s="16"/>
      <c r="M88" s="627"/>
      <c r="N88" s="630"/>
      <c r="O88" s="630"/>
      <c r="P88" s="630"/>
      <c r="Q88" s="630"/>
      <c r="R88" s="630"/>
      <c r="S88" s="630"/>
      <c r="T88" s="630"/>
      <c r="U88" s="630"/>
      <c r="V88" s="630"/>
      <c r="W88" s="630"/>
      <c r="X88" s="630"/>
      <c r="Y88" s="630"/>
      <c r="Z88" s="630"/>
      <c r="AA88" s="630"/>
      <c r="AB88" s="630"/>
      <c r="AC88" s="630"/>
      <c r="AD88" s="630"/>
      <c r="AE88" s="630"/>
    </row>
    <row r="89" spans="1:87" ht="20.100000000000001" customHeight="1">
      <c r="A89" s="41"/>
      <c r="B89" s="82"/>
      <c r="C89" s="82"/>
      <c r="D89" s="82"/>
      <c r="E89" s="82"/>
      <c r="F89" s="82"/>
      <c r="G89" s="82"/>
      <c r="H89" s="16"/>
      <c r="I89" s="16"/>
      <c r="J89" s="16"/>
      <c r="K89" s="11"/>
      <c r="L89" s="16"/>
      <c r="M89" s="627"/>
      <c r="N89" s="630"/>
      <c r="O89" s="630"/>
      <c r="P89" s="630"/>
      <c r="Q89" s="630"/>
      <c r="R89" s="630"/>
      <c r="S89" s="630"/>
      <c r="T89" s="630"/>
      <c r="U89" s="630"/>
      <c r="V89" s="630"/>
      <c r="W89" s="630"/>
      <c r="X89" s="630"/>
      <c r="Y89" s="630"/>
      <c r="Z89" s="630"/>
      <c r="AA89" s="630"/>
      <c r="AB89" s="630"/>
      <c r="AC89" s="630"/>
      <c r="AD89" s="630"/>
      <c r="AE89" s="630"/>
    </row>
    <row r="90" spans="1:87" ht="20.100000000000001" customHeight="1">
      <c r="A90" s="15"/>
      <c r="B90" s="49"/>
      <c r="C90" s="49"/>
      <c r="D90" s="16"/>
      <c r="E90" s="16"/>
      <c r="F90" s="16"/>
      <c r="G90" s="16"/>
      <c r="H90" s="16"/>
      <c r="I90" s="16"/>
      <c r="J90" s="16"/>
      <c r="K90" s="11"/>
      <c r="L90" s="16"/>
      <c r="M90" s="627"/>
      <c r="N90" s="630"/>
      <c r="O90" s="630"/>
      <c r="P90" s="630"/>
      <c r="Q90" s="630"/>
      <c r="R90" s="630"/>
      <c r="S90" s="630"/>
      <c r="T90" s="630"/>
      <c r="U90" s="630"/>
      <c r="V90" s="630"/>
      <c r="W90" s="630"/>
      <c r="X90" s="630"/>
      <c r="Y90" s="630"/>
      <c r="Z90" s="630"/>
      <c r="AA90" s="630"/>
      <c r="AB90" s="630"/>
      <c r="AC90" s="630"/>
      <c r="AD90" s="630"/>
      <c r="AE90" s="630"/>
    </row>
    <row r="91" spans="1:87" ht="30" customHeight="1">
      <c r="A91" s="85" t="s">
        <v>1065</v>
      </c>
      <c r="B91" s="49"/>
      <c r="C91" s="49"/>
      <c r="D91" s="16"/>
      <c r="E91" s="128"/>
      <c r="F91" s="16"/>
      <c r="G91" s="128"/>
      <c r="H91" s="38"/>
      <c r="I91" s="17"/>
      <c r="J91" s="128"/>
      <c r="K91" s="129"/>
      <c r="L91" s="13"/>
      <c r="M91" s="13"/>
      <c r="N91" s="13"/>
      <c r="O91" s="13"/>
      <c r="P91" s="13"/>
      <c r="Q91" s="13"/>
      <c r="R91" s="13"/>
      <c r="S91" s="13"/>
      <c r="T91" s="13"/>
      <c r="U91" s="13"/>
      <c r="V91" s="13"/>
      <c r="W91" s="13"/>
      <c r="X91" s="13"/>
      <c r="Y91" s="13"/>
      <c r="Z91" s="13"/>
      <c r="AA91" s="13"/>
      <c r="AB91" s="13"/>
      <c r="AC91" s="13"/>
      <c r="AD91" s="13"/>
      <c r="AE91" s="13"/>
      <c r="AF91" s="122" t="s">
        <v>1027</v>
      </c>
      <c r="BP91" s="6" t="s">
        <v>1309</v>
      </c>
      <c r="BQ91" s="6"/>
    </row>
    <row r="92" spans="1:87" ht="20.100000000000001" customHeight="1" thickBot="1">
      <c r="A92" s="41" t="s">
        <v>1071</v>
      </c>
      <c r="B92" s="1562" t="s">
        <v>1067</v>
      </c>
      <c r="C92" s="1562" t="s">
        <v>1076</v>
      </c>
      <c r="D92" s="1562" t="s">
        <v>1077</v>
      </c>
      <c r="E92" s="1562"/>
      <c r="F92" s="1563" t="s">
        <v>1074</v>
      </c>
      <c r="G92" s="124"/>
      <c r="H92" s="409" t="s">
        <v>1062</v>
      </c>
      <c r="I92" s="16"/>
      <c r="J92" s="16"/>
      <c r="K92" s="11"/>
      <c r="L92" s="16"/>
      <c r="M92" s="627"/>
      <c r="N92" s="630"/>
      <c r="O92" s="630"/>
      <c r="P92" s="630"/>
      <c r="Q92" s="630"/>
      <c r="R92" s="630"/>
      <c r="S92" s="630"/>
      <c r="T92" s="630"/>
      <c r="U92" s="630"/>
      <c r="V92" s="630"/>
      <c r="W92" s="630"/>
      <c r="X92" s="630"/>
      <c r="Y92" s="630"/>
      <c r="Z92" s="630"/>
      <c r="AA92" s="630"/>
      <c r="AB92" s="630"/>
      <c r="AC92" s="630"/>
      <c r="AD92" s="630"/>
      <c r="AE92" s="630"/>
      <c r="AF92" s="319" t="s">
        <v>985</v>
      </c>
      <c r="AG92" s="333" t="s">
        <v>984</v>
      </c>
      <c r="AH92" s="334"/>
      <c r="AI92" s="334"/>
      <c r="AJ92" s="335"/>
      <c r="AK92" s="320">
        <v>2021</v>
      </c>
      <c r="AL92" s="320">
        <f t="shared" ref="AL92:BN92" si="24">AK92+1</f>
        <v>2022</v>
      </c>
      <c r="AM92" s="320">
        <f t="shared" si="24"/>
        <v>2023</v>
      </c>
      <c r="AN92" s="320">
        <f t="shared" si="24"/>
        <v>2024</v>
      </c>
      <c r="AO92" s="320">
        <f t="shared" si="24"/>
        <v>2025</v>
      </c>
      <c r="AP92" s="320">
        <f t="shared" si="24"/>
        <v>2026</v>
      </c>
      <c r="AQ92" s="320">
        <f t="shared" si="24"/>
        <v>2027</v>
      </c>
      <c r="AR92" s="320">
        <f t="shared" si="24"/>
        <v>2028</v>
      </c>
      <c r="AS92" s="320">
        <f t="shared" si="24"/>
        <v>2029</v>
      </c>
      <c r="AT92" s="320">
        <f t="shared" si="24"/>
        <v>2030</v>
      </c>
      <c r="AU92" s="320">
        <f t="shared" si="24"/>
        <v>2031</v>
      </c>
      <c r="AV92" s="320">
        <f t="shared" si="24"/>
        <v>2032</v>
      </c>
      <c r="AW92" s="320">
        <f t="shared" si="24"/>
        <v>2033</v>
      </c>
      <c r="AX92" s="320">
        <f t="shared" si="24"/>
        <v>2034</v>
      </c>
      <c r="AY92" s="320">
        <f t="shared" si="24"/>
        <v>2035</v>
      </c>
      <c r="AZ92" s="320">
        <f t="shared" si="24"/>
        <v>2036</v>
      </c>
      <c r="BA92" s="320">
        <f t="shared" si="24"/>
        <v>2037</v>
      </c>
      <c r="BB92" s="320">
        <f t="shared" si="24"/>
        <v>2038</v>
      </c>
      <c r="BC92" s="320">
        <f t="shared" si="24"/>
        <v>2039</v>
      </c>
      <c r="BD92" s="320">
        <f t="shared" si="24"/>
        <v>2040</v>
      </c>
      <c r="BE92" s="320">
        <f t="shared" si="24"/>
        <v>2041</v>
      </c>
      <c r="BF92" s="320">
        <f t="shared" si="24"/>
        <v>2042</v>
      </c>
      <c r="BG92" s="320">
        <f t="shared" si="24"/>
        <v>2043</v>
      </c>
      <c r="BH92" s="320">
        <f t="shared" si="24"/>
        <v>2044</v>
      </c>
      <c r="BI92" s="320">
        <f t="shared" si="24"/>
        <v>2045</v>
      </c>
      <c r="BJ92" s="320">
        <f t="shared" si="24"/>
        <v>2046</v>
      </c>
      <c r="BK92" s="320">
        <f t="shared" si="24"/>
        <v>2047</v>
      </c>
      <c r="BL92" s="320">
        <f t="shared" si="24"/>
        <v>2048</v>
      </c>
      <c r="BM92" s="320">
        <f t="shared" si="24"/>
        <v>2049</v>
      </c>
      <c r="BN92" s="320">
        <f t="shared" si="24"/>
        <v>2050</v>
      </c>
      <c r="BP92" s="353"/>
      <c r="BQ92" s="354" t="s">
        <v>1217</v>
      </c>
    </row>
    <row r="93" spans="1:87" ht="20.100000000000001" customHeight="1">
      <c r="A93" s="41" t="s">
        <v>1068</v>
      </c>
      <c r="B93" s="1477"/>
      <c r="C93" s="1477"/>
      <c r="D93" s="1472"/>
      <c r="E93" s="1472"/>
      <c r="F93" s="1564"/>
      <c r="G93" s="124"/>
      <c r="H93" s="409" t="s">
        <v>1072</v>
      </c>
      <c r="I93" s="16"/>
      <c r="J93" s="16"/>
      <c r="K93" s="11"/>
      <c r="L93" s="16"/>
      <c r="M93" s="627"/>
      <c r="N93" s="630"/>
      <c r="O93" s="630"/>
      <c r="P93" s="630"/>
      <c r="Q93" s="630"/>
      <c r="R93" s="630"/>
      <c r="S93" s="630"/>
      <c r="T93" s="630"/>
      <c r="U93" s="630"/>
      <c r="V93" s="630"/>
      <c r="W93" s="630"/>
      <c r="X93" s="630"/>
      <c r="Y93" s="630"/>
      <c r="Z93" s="630"/>
      <c r="AA93" s="630"/>
      <c r="AB93" s="630"/>
      <c r="AC93" s="630"/>
      <c r="AD93" s="630"/>
      <c r="AE93" s="630"/>
      <c r="AF93" s="1550" t="s">
        <v>859</v>
      </c>
      <c r="AG93" s="336" t="s">
        <v>1001</v>
      </c>
      <c r="AH93" s="337"/>
      <c r="AI93" s="337"/>
      <c r="AJ93" s="338"/>
      <c r="AK93" s="321">
        <v>0</v>
      </c>
      <c r="AL93" s="165">
        <f>IF((AL$92-2021)=START!$C$2,BUILDINGS!$B10,ROUND(BUILDINGS!AK93-(INDEX('DEFAULT DATA'!$WK$9:$WM$41,START!$C$3,1)/100*(AK93+AK94+AK95)),0))</f>
        <v>34566</v>
      </c>
      <c r="AM93" s="165">
        <f>IF((AM$92-2021)=START!$C$2,BUILDINGS!$B10,ROUND(BUILDINGS!AL93-(INDEX('DEFAULT DATA'!$WK$9:$WM$41,START!$C$3,1)/100*(AL93+AL94+AL95)),0))</f>
        <v>34566</v>
      </c>
      <c r="AN93" s="165">
        <f>IF((AN$92-2021)=START!$C$2,BUILDINGS!$B10,ROUND(BUILDINGS!AM93-(INDEX('DEFAULT DATA'!$WK$9:$WM$41,START!$C$3,1)/100*(AM93+AM94+AM95)),0))</f>
        <v>34566</v>
      </c>
      <c r="AO93" s="165">
        <f>IF((AO$92-2021)=START!$C$2,BUILDINGS!$B10,ROUND(BUILDINGS!AN93-(INDEX('DEFAULT DATA'!$WK$9:$WM$41,START!$C$3,1)/100*(AN93+AN94+AN95)),0))</f>
        <v>34566</v>
      </c>
      <c r="AP93" s="165">
        <f>IF((AP$92-2021)=START!$C$2,BUILDINGS!$B10,ROUND(BUILDINGS!AO93-(INDEX('DEFAULT DATA'!$WK$9:$WM$41,START!$C$3,1)/100*(AO93+AO94+AO95)),0))</f>
        <v>34566</v>
      </c>
      <c r="AQ93" s="165">
        <f>IF((AQ$92-2021)=START!$C$2,BUILDINGS!$B10,ROUND(BUILDINGS!AP93-(INDEX('DEFAULT DATA'!$WK$9:$WM$41,START!$C$3,1)/100*(AP93+AP94+AP95)),0))</f>
        <v>34566</v>
      </c>
      <c r="AR93" s="165">
        <f>IF((AR$92-2021)=START!$C$2,BUILDINGS!$B10,ROUND(BUILDINGS!AQ93-(INDEX('DEFAULT DATA'!$WK$9:$WM$41,START!$C$3,1)/100*(AQ93+AQ94+AQ95)),0))</f>
        <v>34566</v>
      </c>
      <c r="AS93" s="165">
        <f>IF((AS$92-2021)=START!$C$2,BUILDINGS!$B10,ROUND(BUILDINGS!AR93-(INDEX('DEFAULT DATA'!$WK$9:$WM$41,START!$C$3,1)/100*(AR93+AR94+AR95)),0))</f>
        <v>34566</v>
      </c>
      <c r="AT93" s="165">
        <f>IF((AT$92-2021)=START!$C$2,BUILDINGS!$B10,ROUND(BUILDINGS!AS93-(INDEX('DEFAULT DATA'!$WK$9:$WM$41,START!$C$3,1)/100*(AS93+AS94+AS95)),0))</f>
        <v>34566</v>
      </c>
      <c r="AU93" s="165">
        <f>IF((AU$92-2021)=START!$C$2,BUILDINGS!$B10,ROUND(BUILDINGS!AT93-(INDEX('DEFAULT DATA'!$WK$9:$WM$41,START!$C$3,2)/100*(AT93+AT94+AT95)),0))</f>
        <v>34566</v>
      </c>
      <c r="AV93" s="165">
        <f>IF((AV$92-2021)=START!$C$2,BUILDINGS!$B10,ROUND(BUILDINGS!AU93-(INDEX('DEFAULT DATA'!$WK$9:$WM$41,START!$C$3,2)/100*(AU93+AU94+AU95)),0))</f>
        <v>34566</v>
      </c>
      <c r="AW93" s="165">
        <f>IF((AW$92-2021)=START!$C$2,BUILDINGS!$B10,ROUND(BUILDINGS!AV93-(INDEX('DEFAULT DATA'!$WK$9:$WM$41,START!$C$3,2)/100*(AV93+AV94+AV95)),0))</f>
        <v>34566</v>
      </c>
      <c r="AX93" s="165">
        <f>IF((AX$92-2021)=START!$C$2,BUILDINGS!$B10,ROUND(BUILDINGS!AW93-(INDEX('DEFAULT DATA'!$WK$9:$WM$41,START!$C$3,2)/100*(AW93+AW94+AW95)),0))</f>
        <v>34566</v>
      </c>
      <c r="AY93" s="165">
        <f>IF((AY$92-2021)=START!$C$2,BUILDINGS!$B10,ROUND(BUILDINGS!AX93-(INDEX('DEFAULT DATA'!$WK$9:$WM$41,START!$C$3,2)/100*(AX93+AX94+AX95)),0))</f>
        <v>34566</v>
      </c>
      <c r="AZ93" s="165">
        <f>IF((AZ$92-2021)=START!$C$2,BUILDINGS!$B10,ROUND(BUILDINGS!AY93-(INDEX('DEFAULT DATA'!$WK$9:$WM$41,START!$C$3,2)/100*(AY93+AY94+AY95)),0))</f>
        <v>34566</v>
      </c>
      <c r="BA93" s="165">
        <f>IF((BA$92-2021)=START!$C$2,BUILDINGS!$B10,ROUND(BUILDINGS!AZ93-(INDEX('DEFAULT DATA'!$WK$9:$WM$41,START!$C$3,2)/100*(AZ93+AZ94+AZ95)),0))</f>
        <v>34566</v>
      </c>
      <c r="BB93" s="165">
        <f>IF((BB$92-2021)=START!$C$2,BUILDINGS!$B10,ROUND(BUILDINGS!BA93-(INDEX('DEFAULT DATA'!$WK$9:$WM$41,START!$C$3,2)/100*(BA93+BA94+BA95)),0))</f>
        <v>34566</v>
      </c>
      <c r="BC93" s="165">
        <f>IF((BC$92-2021)=START!$C$2,BUILDINGS!$B10,ROUND(BUILDINGS!BB93-(INDEX('DEFAULT DATA'!$WK$9:$WM$41,START!$C$3,2)/100*(BB93+BB94+BB95)),0))</f>
        <v>34566</v>
      </c>
      <c r="BD93" s="165">
        <f>IF((BD$92-2021)=START!$C$2,BUILDINGS!$B10,ROUND(BUILDINGS!BC93-(INDEX('DEFAULT DATA'!$WK$9:$WM$41,START!$C$3,2)/100*(BC93+BC94+BC95)),0))</f>
        <v>34566</v>
      </c>
      <c r="BE93" s="165">
        <f>IF((BE$92-2021)=START!$C$2,BUILDINGS!$B10,ROUND(BUILDINGS!BD93-(INDEX('DEFAULT DATA'!$WK$9:$WM$41,START!$C$3,3)/100*(BD93+BD94+BD95)),0))</f>
        <v>34566</v>
      </c>
      <c r="BF93" s="165">
        <f>IF((BF$92-2021)=START!$C$2,BUILDINGS!$B10,ROUND(BUILDINGS!BE93-(INDEX('DEFAULT DATA'!$WK$9:$WM$41,START!$C$3,3)/100*(BE93+BE94+BE95)),0))</f>
        <v>34566</v>
      </c>
      <c r="BG93" s="165">
        <f>IF((BG$92-2021)=START!$C$2,BUILDINGS!$B10,ROUND(BUILDINGS!BF93-(INDEX('DEFAULT DATA'!$WK$9:$WM$41,START!$C$3,3)/100*(BF93+BF94+BF95)),0))</f>
        <v>34566</v>
      </c>
      <c r="BH93" s="165">
        <f>IF((BH$92-2021)=START!$C$2,BUILDINGS!$B10,ROUND(BUILDINGS!BG93-(INDEX('DEFAULT DATA'!$WK$9:$WM$41,START!$C$3,3)/100*(BG93+BG94+BG95)),0))</f>
        <v>34566</v>
      </c>
      <c r="BI93" s="165">
        <f>IF((BI$92-2021)=START!$C$2,BUILDINGS!$B10,ROUND(BUILDINGS!BH93-(INDEX('DEFAULT DATA'!$WK$9:$WM$41,START!$C$3,3)/100*(BH93+BH94+BH95)),0))</f>
        <v>34566</v>
      </c>
      <c r="BJ93" s="165">
        <f>IF((BJ$92-2021)=START!$C$2,BUILDINGS!$B10,ROUND(BUILDINGS!BI93-(INDEX('DEFAULT DATA'!$WK$9:$WM$41,START!$C$3,3)/100*(BI93+BI94+BI95)),0))</f>
        <v>34566</v>
      </c>
      <c r="BK93" s="165">
        <f>IF((BK$92-2021)=START!$C$2,BUILDINGS!$B10,ROUND(BUILDINGS!BJ93-(INDEX('DEFAULT DATA'!$WK$9:$WM$41,START!$C$3,3)/100*(BJ93+BJ94+BJ95)),0))</f>
        <v>34566</v>
      </c>
      <c r="BL93" s="165">
        <f>IF((BL$92-2021)=START!$C$2,BUILDINGS!$B10,ROUND(BUILDINGS!BK93-(INDEX('DEFAULT DATA'!$WK$9:$WM$41,START!$C$3,3)/100*(BK93+BK94+BK95)),0))</f>
        <v>34566</v>
      </c>
      <c r="BM93" s="165">
        <f>IF((BM$92-2021)=START!$C$2,BUILDINGS!$B10,ROUND(BUILDINGS!BL93-(INDEX('DEFAULT DATA'!$WK$9:$WM$41,START!$C$3,3)/100*(BL93+BL94+BL95)),0))</f>
        <v>34566</v>
      </c>
      <c r="BN93" s="166">
        <f>IF((BN$92-2021)=START!$C$2,BUILDINGS!$B10,ROUND(BUILDINGS!BM93-(INDEX('DEFAULT DATA'!$WK$9:$WM$41,START!$C$3,3)/100*(BM93+BM94+BM95)),0))</f>
        <v>34566</v>
      </c>
      <c r="BP93" s="355" t="s">
        <v>1343</v>
      </c>
      <c r="BQ93" s="352"/>
    </row>
    <row r="94" spans="1:87" ht="20.100000000000001" customHeight="1">
      <c r="A94" s="41" t="str">
        <f>A75</f>
        <v>Apartment</v>
      </c>
      <c r="B94" s="133">
        <v>0</v>
      </c>
      <c r="C94" s="81">
        <v>0</v>
      </c>
      <c r="D94" s="16">
        <v>9</v>
      </c>
      <c r="E94" s="106">
        <v>9</v>
      </c>
      <c r="F94" s="81">
        <v>0</v>
      </c>
      <c r="G94" s="16"/>
      <c r="H94" s="916">
        <f>ROUND((100+C94)/100*B94,0)</f>
        <v>0</v>
      </c>
      <c r="I94" s="16"/>
      <c r="J94" s="16"/>
      <c r="K94" s="11"/>
      <c r="L94" s="16"/>
      <c r="M94" s="627"/>
      <c r="N94" s="630"/>
      <c r="O94" s="630"/>
      <c r="P94" s="630"/>
      <c r="Q94" s="630"/>
      <c r="R94" s="630"/>
      <c r="S94" s="630"/>
      <c r="T94" s="630"/>
      <c r="U94" s="630"/>
      <c r="V94" s="630"/>
      <c r="W94" s="630"/>
      <c r="X94" s="630"/>
      <c r="Y94" s="630"/>
      <c r="Z94" s="630"/>
      <c r="AA94" s="630"/>
      <c r="AB94" s="630"/>
      <c r="AC94" s="630"/>
      <c r="AD94" s="630"/>
      <c r="AE94" s="630"/>
      <c r="AF94" s="1551"/>
      <c r="AG94" s="339" t="s">
        <v>1002</v>
      </c>
      <c r="AH94" s="317"/>
      <c r="AI94" s="317"/>
      <c r="AJ94" s="318"/>
      <c r="AK94" s="322">
        <v>0</v>
      </c>
      <c r="AL94" s="115">
        <f>IF((AL$92-2021)=START!$C$2,0,BUILDINGS!AK94+ROUND((INDEX('DEFAULT DATA'!$XI$9:$XK$41,START!$C$3,1)/100*(AK93+AK94+AK95)),0))</f>
        <v>0</v>
      </c>
      <c r="AM94" s="115">
        <f>IF((AM$92-2021)=START!$C$2,0,BUILDINGS!AL94+ROUND((INDEX('DEFAULT DATA'!$XI$9:$XK$41,START!$C$3,1)/100*(AL93+AL94+AL95)),0))</f>
        <v>0</v>
      </c>
      <c r="AN94" s="115">
        <f>IF((AN$92-2021)=START!$C$2,0,BUILDINGS!AM94+ROUND((INDEX('DEFAULT DATA'!$XI$9:$XK$41,START!$C$3,1)/100*(AM93+AM94+AM95)),0))</f>
        <v>0</v>
      </c>
      <c r="AO94" s="115">
        <f>IF((AO$92-2021)=START!$C$2,0,BUILDINGS!AN94+ROUND((INDEX('DEFAULT DATA'!$XI$9:$XK$41,START!$C$3,1)/100*(AN93+AN94+AN95)),0))</f>
        <v>0</v>
      </c>
      <c r="AP94" s="115">
        <f>IF((AP$92-2021)=START!$C$2,0,BUILDINGS!AO94+ROUND((INDEX('DEFAULT DATA'!$XI$9:$XK$41,START!$C$3,1)/100*(AO93+AO94+AO95)),0))</f>
        <v>0</v>
      </c>
      <c r="AQ94" s="115">
        <f>IF((AQ$92-2021)=START!$C$2,0,BUILDINGS!AP94+ROUND((INDEX('DEFAULT DATA'!$XI$9:$XK$41,START!$C$3,1)/100*(AP93+AP94+AP95)),0))</f>
        <v>0</v>
      </c>
      <c r="AR94" s="115">
        <f>IF((AR$92-2021)=START!$C$2,0,BUILDINGS!AQ94+ROUND((INDEX('DEFAULT DATA'!$XI$9:$XK$41,START!$C$3,1)/100*(AQ93+AQ94+AQ95)),0))</f>
        <v>0</v>
      </c>
      <c r="AS94" s="115">
        <f>IF((AS$92-2021)=START!$C$2,0,BUILDINGS!AR94+ROUND((INDEX('DEFAULT DATA'!$XI$9:$XK$41,START!$C$3,1)/100*(AR93+AR94+AR95)),0))</f>
        <v>0</v>
      </c>
      <c r="AT94" s="115">
        <f>IF((AT$92-2021)=START!$C$2,0,BUILDINGS!AS94+ROUND((INDEX('DEFAULT DATA'!$XI$9:$XK$41,START!$C$3,1)/100*(AS93+AS94+AS95)),0))</f>
        <v>0</v>
      </c>
      <c r="AU94" s="115">
        <f>IF((AU$92-2021)=START!$C$2,0,BUILDINGS!AT94+ROUND((INDEX('DEFAULT DATA'!$XI$9:$XK$41,START!$C$3,2)/100*(AT93+AT94+AT95)),0))</f>
        <v>0</v>
      </c>
      <c r="AV94" s="115">
        <f>IF((AV$92-2021)=START!$C$2,0,BUILDINGS!AU94+ROUND((INDEX('DEFAULT DATA'!$XI$9:$XK$41,START!$C$3,2)/100*(AU93+AU94+AU95)),0))</f>
        <v>0</v>
      </c>
      <c r="AW94" s="115">
        <f>IF((AW$92-2021)=START!$C$2,0,BUILDINGS!AV94+ROUND((INDEX('DEFAULT DATA'!$XI$9:$XK$41,START!$C$3,2)/100*(AV93+AV94+AV95)),0))</f>
        <v>0</v>
      </c>
      <c r="AX94" s="115">
        <f>IF((AX$92-2021)=START!$C$2,0,BUILDINGS!AW94+ROUND((INDEX('DEFAULT DATA'!$XI$9:$XK$41,START!$C$3,2)/100*(AW93+AW94+AW95)),0))</f>
        <v>0</v>
      </c>
      <c r="AY94" s="115">
        <f>IF((AY$92-2021)=START!$C$2,0,BUILDINGS!AX94+ROUND((INDEX('DEFAULT DATA'!$XI$9:$XK$41,START!$C$3,2)/100*(AX93+AX94+AX95)),0))</f>
        <v>0</v>
      </c>
      <c r="AZ94" s="115">
        <f>IF((AZ$92-2021)=START!$C$2,0,BUILDINGS!AY94+ROUND((INDEX('DEFAULT DATA'!$XI$9:$XK$41,START!$C$3,2)/100*(AY93+AY94+AY95)),0))</f>
        <v>0</v>
      </c>
      <c r="BA94" s="115">
        <f>IF((BA$92-2021)=START!$C$2,0,BUILDINGS!AZ94+ROUND((INDEX('DEFAULT DATA'!$XI$9:$XK$41,START!$C$3,2)/100*(AZ93+AZ94+AZ95)),0))</f>
        <v>0</v>
      </c>
      <c r="BB94" s="115">
        <f>IF((BB$92-2021)=START!$C$2,0,BUILDINGS!BA94+ROUND((INDEX('DEFAULT DATA'!$XI$9:$XK$41,START!$C$3,2)/100*(BA93+BA94+BA95)),0))</f>
        <v>0</v>
      </c>
      <c r="BC94" s="115">
        <f>IF((BC$92-2021)=START!$C$2,0,BUILDINGS!BB94+ROUND((INDEX('DEFAULT DATA'!$XI$9:$XK$41,START!$C$3,2)/100*(BB93+BB94+BB95)),0))</f>
        <v>0</v>
      </c>
      <c r="BD94" s="115">
        <f>IF((BD$92-2021)=START!$C$2,0,BUILDINGS!BC94+ROUND((INDEX('DEFAULT DATA'!$XI$9:$XK$41,START!$C$3,2)/100*(BC93+BC94+BC95)),0))</f>
        <v>0</v>
      </c>
      <c r="BE94" s="115">
        <f>IF((BE$92-2021)=START!$C$2,0,BUILDINGS!BD94+ROUND((INDEX('DEFAULT DATA'!$XI$9:$XK$41,START!$C$3,3)/100*(BD93+BD94+BD95)),0))</f>
        <v>0</v>
      </c>
      <c r="BF94" s="115">
        <f>IF((BF$92-2021)=START!$C$2,0,BUILDINGS!BE94+ROUND((INDEX('DEFAULT DATA'!$XI$9:$XK$41,START!$C$3,3)/100*(BE93+BE94+BE95)),0))</f>
        <v>0</v>
      </c>
      <c r="BG94" s="115">
        <f>IF((BG$92-2021)=START!$C$2,0,BUILDINGS!BF94+ROUND((INDEX('DEFAULT DATA'!$XI$9:$XK$41,START!$C$3,3)/100*(BF93+BF94+BF95)),0))</f>
        <v>0</v>
      </c>
      <c r="BH94" s="115">
        <f>IF((BH$92-2021)=START!$C$2,0,BUILDINGS!BG94+ROUND((INDEX('DEFAULT DATA'!$XI$9:$XK$41,START!$C$3,3)/100*(BG93+BG94+BG95)),0))</f>
        <v>0</v>
      </c>
      <c r="BI94" s="115">
        <f>IF((BI$92-2021)=START!$C$2,0,BUILDINGS!BH94+ROUND((INDEX('DEFAULT DATA'!$XI$9:$XK$41,START!$C$3,3)/100*(BH93+BH94+BH95)),0))</f>
        <v>0</v>
      </c>
      <c r="BJ94" s="115">
        <f>IF((BJ$92-2021)=START!$C$2,0,BUILDINGS!BI94+ROUND((INDEX('DEFAULT DATA'!$XI$9:$XK$41,START!$C$3,3)/100*(BI93+BI94+BI95)),0))</f>
        <v>0</v>
      </c>
      <c r="BK94" s="115">
        <f>IF((BK$92-2021)=START!$C$2,0,BUILDINGS!BJ94+ROUND((INDEX('DEFAULT DATA'!$XI$9:$XK$41,START!$C$3,3)/100*(BJ93+BJ94+BJ95)),0))</f>
        <v>0</v>
      </c>
      <c r="BL94" s="115">
        <f>IF((BL$92-2021)=START!$C$2,0,BUILDINGS!BK94+ROUND((INDEX('DEFAULT DATA'!$XI$9:$XK$41,START!$C$3,3)/100*(BK93+BK94+BK95)),0))</f>
        <v>0</v>
      </c>
      <c r="BM94" s="115">
        <f>IF((BM$92-2021)=START!$C$2,0,BUILDINGS!BL94+ROUND((INDEX('DEFAULT DATA'!$XI$9:$XK$41,START!$C$3,3)/100*(BL93+BL94+BL95)),0))</f>
        <v>0</v>
      </c>
      <c r="BN94" s="323">
        <f>IF((BN$92-2021)=START!$C$2,0,BUILDINGS!BM94+ROUND((INDEX('DEFAULT DATA'!$XI$9:$XK$41,START!$C$3,3)/100*(BM93+BM94+BM95)),0))</f>
        <v>0</v>
      </c>
      <c r="BP94" s="355" t="s">
        <v>1344</v>
      </c>
      <c r="BQ94" s="352"/>
    </row>
    <row r="95" spans="1:87" ht="20.100000000000001" customHeight="1" thickBot="1">
      <c r="A95" s="41" t="str">
        <f>A76</f>
        <v>Terraced</v>
      </c>
      <c r="B95" s="133">
        <v>0</v>
      </c>
      <c r="C95" s="81">
        <v>0</v>
      </c>
      <c r="D95" s="16">
        <v>9</v>
      </c>
      <c r="E95" s="106">
        <v>9</v>
      </c>
      <c r="F95" s="81">
        <v>0</v>
      </c>
      <c r="G95" s="16"/>
      <c r="H95" s="916">
        <f>ROUND((100+C95)/100*B95,0)</f>
        <v>0</v>
      </c>
      <c r="I95" s="16"/>
      <c r="J95" s="16"/>
      <c r="K95" s="11"/>
      <c r="L95" s="16"/>
      <c r="M95" s="627"/>
      <c r="N95" s="630"/>
      <c r="O95" s="630"/>
      <c r="P95" s="630"/>
      <c r="Q95" s="630"/>
      <c r="R95" s="630"/>
      <c r="S95" s="630"/>
      <c r="T95" s="630"/>
      <c r="U95" s="630"/>
      <c r="V95" s="630"/>
      <c r="W95" s="630"/>
      <c r="X95" s="630"/>
      <c r="Y95" s="630"/>
      <c r="Z95" s="630"/>
      <c r="AA95" s="630"/>
      <c r="AB95" s="630"/>
      <c r="AC95" s="630"/>
      <c r="AD95" s="630"/>
      <c r="AE95" s="630"/>
      <c r="AF95" s="1552"/>
      <c r="AG95" s="329" t="s">
        <v>1003</v>
      </c>
      <c r="AH95" s="330"/>
      <c r="AI95" s="330"/>
      <c r="AJ95" s="175"/>
      <c r="AK95" s="324">
        <v>0</v>
      </c>
      <c r="AL95" s="170">
        <f>IF((AL$92-2021)=START!$C$2,0,BUILDINGS!AK95+ROUND((INDEX('DEFAULT DATA'!$XL$9:$XN$41,START!$C$3,1)/100*(AK93+AK94+AK95)),0))</f>
        <v>0</v>
      </c>
      <c r="AM95" s="170">
        <f>IF((AM$92-2021)=START!$C$2,0,BUILDINGS!AL95+ROUND((INDEX('DEFAULT DATA'!$XL$9:$XN$41,START!$C$3,1)/100*(AL93+AL94+AL95)),0))</f>
        <v>0</v>
      </c>
      <c r="AN95" s="170">
        <f>IF((AN$92-2021)=START!$C$2,0,BUILDINGS!AM95+ROUND((INDEX('DEFAULT DATA'!$XL$9:$XN$41,START!$C$3,1)/100*(AM93+AM94+AM95)),0))</f>
        <v>0</v>
      </c>
      <c r="AO95" s="170">
        <f>IF((AO$92-2021)=START!$C$2,0,BUILDINGS!AN95+ROUND((INDEX('DEFAULT DATA'!$XL$9:$XN$41,START!$C$3,1)/100*(AN93+AN94+AN95)),0))</f>
        <v>0</v>
      </c>
      <c r="AP95" s="170">
        <f>IF((AP$92-2021)=START!$C$2,0,BUILDINGS!AO95+ROUND((INDEX('DEFAULT DATA'!$XL$9:$XN$41,START!$C$3,1)/100*(AO93+AO94+AO95)),0))</f>
        <v>0</v>
      </c>
      <c r="AQ95" s="170">
        <f>IF((AQ$92-2021)=START!$C$2,0,BUILDINGS!AP95+ROUND((INDEX('DEFAULT DATA'!$XL$9:$XN$41,START!$C$3,1)/100*(AP93+AP94+AP95)),0))</f>
        <v>0</v>
      </c>
      <c r="AR95" s="170">
        <f>IF((AR$92-2021)=START!$C$2,0,BUILDINGS!AQ95+ROUND((INDEX('DEFAULT DATA'!$XL$9:$XN$41,START!$C$3,1)/100*(AQ93+AQ94+AQ95)),0))</f>
        <v>0</v>
      </c>
      <c r="AS95" s="170">
        <f>IF((AS$92-2021)=START!$C$2,0,BUILDINGS!AR95+ROUND((INDEX('DEFAULT DATA'!$XL$9:$XN$41,START!$C$3,1)/100*(AR93+AR94+AR95)),0))</f>
        <v>0</v>
      </c>
      <c r="AT95" s="170">
        <f>IF((AT$92-2021)=START!$C$2,0,BUILDINGS!AS95+ROUND((INDEX('DEFAULT DATA'!$XL$9:$XN$41,START!$C$3,1)/100*(AS93+AS94+AS95)),0))</f>
        <v>0</v>
      </c>
      <c r="AU95" s="170">
        <f>IF((AU$92-2021)=START!$C$2,0,BUILDINGS!AT95+ROUND((INDEX('DEFAULT DATA'!$XL$9:$XN$41,START!$C$3,2)/100*(AT93+AT94+AT95)),0))</f>
        <v>0</v>
      </c>
      <c r="AV95" s="170">
        <f>IF((AV$92-2021)=START!$C$2,0,BUILDINGS!AU95+ROUND((INDEX('DEFAULT DATA'!$XL$9:$XN$41,START!$C$3,2)/100*(AU93+AU94+AU95)),0))</f>
        <v>0</v>
      </c>
      <c r="AW95" s="170">
        <f>IF((AW$92-2021)=START!$C$2,0,BUILDINGS!AV95+ROUND((INDEX('DEFAULT DATA'!$XL$9:$XN$41,START!$C$3,2)/100*(AV93+AV94+AV95)),0))</f>
        <v>0</v>
      </c>
      <c r="AX95" s="170">
        <f>IF((AX$92-2021)=START!$C$2,0,BUILDINGS!AW95+ROUND((INDEX('DEFAULT DATA'!$XL$9:$XN$41,START!$C$3,2)/100*(AW93+AW94+AW95)),0))</f>
        <v>0</v>
      </c>
      <c r="AY95" s="170">
        <f>IF((AY$92-2021)=START!$C$2,0,BUILDINGS!AX95+ROUND((INDEX('DEFAULT DATA'!$XL$9:$XN$41,START!$C$3,2)/100*(AX93+AX94+AX95)),0))</f>
        <v>0</v>
      </c>
      <c r="AZ95" s="170">
        <f>IF((AZ$92-2021)=START!$C$2,0,BUILDINGS!AY95+ROUND((INDEX('DEFAULT DATA'!$XL$9:$XN$41,START!$C$3,2)/100*(AY93+AY94+AY95)),0))</f>
        <v>0</v>
      </c>
      <c r="BA95" s="170">
        <f>IF((BA$92-2021)=START!$C$2,0,BUILDINGS!AZ95+ROUND((INDEX('DEFAULT DATA'!$XL$9:$XN$41,START!$C$3,2)/100*(AZ93+AZ94+AZ95)),0))</f>
        <v>0</v>
      </c>
      <c r="BB95" s="170">
        <f>IF((BB$92-2021)=START!$C$2,0,BUILDINGS!BA95+ROUND((INDEX('DEFAULT DATA'!$XL$9:$XN$41,START!$C$3,2)/100*(BA93+BA94+BA95)),0))</f>
        <v>0</v>
      </c>
      <c r="BC95" s="170">
        <f>IF((BC$92-2021)=START!$C$2,0,BUILDINGS!BB95+ROUND((INDEX('DEFAULT DATA'!$XL$9:$XN$41,START!$C$3,2)/100*(BB93+BB94+BB95)),0))</f>
        <v>0</v>
      </c>
      <c r="BD95" s="170">
        <f>IF((BD$92-2021)=START!$C$2,0,BUILDINGS!BC95+ROUND((INDEX('DEFAULT DATA'!$XL$9:$XN$41,START!$C$3,2)/100*(BC93+BC94+BC95)),0))</f>
        <v>0</v>
      </c>
      <c r="BE95" s="170">
        <f>IF((BE$92-2021)=START!$C$2,0,BUILDINGS!BD95+ROUND((INDEX('DEFAULT DATA'!$XL$9:$XN$41,START!$C$3,3)/100*(BD93+BD94+BD95)),0))</f>
        <v>0</v>
      </c>
      <c r="BF95" s="170">
        <f>IF((BF$92-2021)=START!$C$2,0,BUILDINGS!BE95+ROUND((INDEX('DEFAULT DATA'!$XL$9:$XN$41,START!$C$3,3)/100*(BE93+BE94+BE95)),0))</f>
        <v>0</v>
      </c>
      <c r="BG95" s="170">
        <f>IF((BG$92-2021)=START!$C$2,0,BUILDINGS!BF95+ROUND((INDEX('DEFAULT DATA'!$XL$9:$XN$41,START!$C$3,3)/100*(BF93+BF94+BF95)),0))</f>
        <v>0</v>
      </c>
      <c r="BH95" s="170">
        <f>IF((BH$92-2021)=START!$C$2,0,BUILDINGS!BG95+ROUND((INDEX('DEFAULT DATA'!$XL$9:$XN$41,START!$C$3,3)/100*(BG93+BG94+BG95)),0))</f>
        <v>0</v>
      </c>
      <c r="BI95" s="170">
        <f>IF((BI$92-2021)=START!$C$2,0,BUILDINGS!BH95+ROUND((INDEX('DEFAULT DATA'!$XL$9:$XN$41,START!$C$3,3)/100*(BH93+BH94+BH95)),0))</f>
        <v>0</v>
      </c>
      <c r="BJ95" s="170">
        <f>IF((BJ$92-2021)=START!$C$2,0,BUILDINGS!BI95+ROUND((INDEX('DEFAULT DATA'!$XL$9:$XN$41,START!$C$3,3)/100*(BI93+BI94+BI95)),0))</f>
        <v>0</v>
      </c>
      <c r="BK95" s="170">
        <f>IF((BK$92-2021)=START!$C$2,0,BUILDINGS!BJ95+ROUND((INDEX('DEFAULT DATA'!$XL$9:$XN$41,START!$C$3,3)/100*(BJ93+BJ94+BJ95)),0))</f>
        <v>0</v>
      </c>
      <c r="BL95" s="170">
        <f>IF((BL$92-2021)=START!$C$2,0,BUILDINGS!BK95+ROUND((INDEX('DEFAULT DATA'!$XL$9:$XN$41,START!$C$3,3)/100*(BK93+BK94+BK95)),0))</f>
        <v>0</v>
      </c>
      <c r="BM95" s="170">
        <f>IF((BM$92-2021)=START!$C$2,0,BUILDINGS!BL95+ROUND((INDEX('DEFAULT DATA'!$XL$9:$XN$41,START!$C$3,3)/100*(BL93+BL94+BL95)),0))</f>
        <v>0</v>
      </c>
      <c r="BN95" s="325">
        <f>IF((BN$92-2021)=START!$C$2,0,BUILDINGS!BM95+ROUND((INDEX('DEFAULT DATA'!$XL$9:$XN$41,START!$C$3,3)/100*(BM93+BM94+BM95)),0))</f>
        <v>0</v>
      </c>
      <c r="BP95" s="356" t="s">
        <v>1345</v>
      </c>
      <c r="BQ95" s="352"/>
    </row>
    <row r="96" spans="1:87" ht="20.100000000000001" customHeight="1">
      <c r="A96" s="41" t="str">
        <f>A77</f>
        <v>Semi-detached</v>
      </c>
      <c r="B96" s="133">
        <v>0</v>
      </c>
      <c r="C96" s="81">
        <v>0</v>
      </c>
      <c r="D96" s="16">
        <v>9</v>
      </c>
      <c r="E96" s="106">
        <v>9</v>
      </c>
      <c r="F96" s="81">
        <v>0</v>
      </c>
      <c r="G96" s="16"/>
      <c r="H96" s="916">
        <f>ROUND((100+C96)/100*B96,0)</f>
        <v>0</v>
      </c>
      <c r="I96" s="16"/>
      <c r="J96" s="16"/>
      <c r="K96" s="11"/>
      <c r="L96" s="16"/>
      <c r="M96" s="627"/>
      <c r="N96" s="630"/>
      <c r="O96" s="630"/>
      <c r="P96" s="630"/>
      <c r="Q96" s="630"/>
      <c r="R96" s="630"/>
      <c r="S96" s="630"/>
      <c r="T96" s="630"/>
      <c r="U96" s="630"/>
      <c r="V96" s="630"/>
      <c r="W96" s="630"/>
      <c r="X96" s="630"/>
      <c r="Y96" s="630"/>
      <c r="Z96" s="630"/>
      <c r="AA96" s="630"/>
      <c r="AB96" s="630"/>
      <c r="AC96" s="630"/>
      <c r="AD96" s="630"/>
      <c r="AE96" s="630"/>
      <c r="AF96" s="167"/>
      <c r="AG96" s="340" t="s">
        <v>1004</v>
      </c>
      <c r="AH96" s="341"/>
      <c r="AI96" s="341"/>
      <c r="AJ96" s="342"/>
      <c r="AK96" s="326">
        <f t="shared" ref="AK96:BN96" si="25">SUM(AK93:AK95)</f>
        <v>0</v>
      </c>
      <c r="AL96" s="326">
        <f t="shared" si="25"/>
        <v>34566</v>
      </c>
      <c r="AM96" s="326">
        <f t="shared" si="25"/>
        <v>34566</v>
      </c>
      <c r="AN96" s="326">
        <f t="shared" si="25"/>
        <v>34566</v>
      </c>
      <c r="AO96" s="326">
        <f t="shared" si="25"/>
        <v>34566</v>
      </c>
      <c r="AP96" s="326">
        <f t="shared" si="25"/>
        <v>34566</v>
      </c>
      <c r="AQ96" s="326">
        <f t="shared" si="25"/>
        <v>34566</v>
      </c>
      <c r="AR96" s="326">
        <f t="shared" si="25"/>
        <v>34566</v>
      </c>
      <c r="AS96" s="326">
        <f t="shared" si="25"/>
        <v>34566</v>
      </c>
      <c r="AT96" s="326">
        <f t="shared" si="25"/>
        <v>34566</v>
      </c>
      <c r="AU96" s="326">
        <f t="shared" si="25"/>
        <v>34566</v>
      </c>
      <c r="AV96" s="326">
        <f t="shared" si="25"/>
        <v>34566</v>
      </c>
      <c r="AW96" s="326">
        <f t="shared" si="25"/>
        <v>34566</v>
      </c>
      <c r="AX96" s="326">
        <f t="shared" si="25"/>
        <v>34566</v>
      </c>
      <c r="AY96" s="326">
        <f t="shared" si="25"/>
        <v>34566</v>
      </c>
      <c r="AZ96" s="326">
        <f t="shared" si="25"/>
        <v>34566</v>
      </c>
      <c r="BA96" s="326">
        <f t="shared" si="25"/>
        <v>34566</v>
      </c>
      <c r="BB96" s="326">
        <f t="shared" si="25"/>
        <v>34566</v>
      </c>
      <c r="BC96" s="326">
        <f t="shared" si="25"/>
        <v>34566</v>
      </c>
      <c r="BD96" s="326">
        <f t="shared" si="25"/>
        <v>34566</v>
      </c>
      <c r="BE96" s="326">
        <f t="shared" si="25"/>
        <v>34566</v>
      </c>
      <c r="BF96" s="326">
        <f t="shared" si="25"/>
        <v>34566</v>
      </c>
      <c r="BG96" s="326">
        <f t="shared" si="25"/>
        <v>34566</v>
      </c>
      <c r="BH96" s="326">
        <f t="shared" si="25"/>
        <v>34566</v>
      </c>
      <c r="BI96" s="326">
        <f t="shared" si="25"/>
        <v>34566</v>
      </c>
      <c r="BJ96" s="326">
        <f t="shared" si="25"/>
        <v>34566</v>
      </c>
      <c r="BK96" s="326">
        <f t="shared" si="25"/>
        <v>34566</v>
      </c>
      <c r="BL96" s="326">
        <f t="shared" si="25"/>
        <v>34566</v>
      </c>
      <c r="BM96" s="326">
        <f t="shared" si="25"/>
        <v>34566</v>
      </c>
      <c r="BN96" s="326">
        <f t="shared" si="25"/>
        <v>34566</v>
      </c>
      <c r="CF96" s="225" t="s">
        <v>1219</v>
      </c>
      <c r="CG96" s="225" t="s">
        <v>1090</v>
      </c>
      <c r="CH96" s="225" t="s">
        <v>1091</v>
      </c>
    </row>
    <row r="97" spans="1:87" ht="20.100000000000001" customHeight="1">
      <c r="A97" s="41" t="str">
        <f>A78</f>
        <v>Detached</v>
      </c>
      <c r="B97" s="133">
        <v>0</v>
      </c>
      <c r="C97" s="81">
        <v>0</v>
      </c>
      <c r="D97" s="16">
        <v>9</v>
      </c>
      <c r="E97" s="106">
        <v>14</v>
      </c>
      <c r="F97" s="81">
        <v>0</v>
      </c>
      <c r="G97" s="16"/>
      <c r="H97" s="916">
        <f>ROUND((100+C97)/100*B97,0)</f>
        <v>0</v>
      </c>
      <c r="I97" s="16"/>
      <c r="J97" s="16"/>
      <c r="K97" s="11"/>
      <c r="L97" s="16"/>
      <c r="M97" s="627"/>
      <c r="N97" s="630"/>
      <c r="O97" s="630"/>
      <c r="P97" s="630"/>
      <c r="Q97" s="630"/>
      <c r="R97" s="630"/>
      <c r="S97" s="630"/>
      <c r="T97" s="630"/>
      <c r="U97" s="630"/>
      <c r="V97" s="630"/>
      <c r="W97" s="630"/>
      <c r="X97" s="630"/>
      <c r="Y97" s="630"/>
      <c r="Z97" s="630"/>
      <c r="AA97" s="630"/>
      <c r="AB97" s="630"/>
      <c r="AC97" s="630"/>
      <c r="AD97" s="630"/>
      <c r="AE97" s="630"/>
      <c r="CF97" s="225" t="s">
        <v>1371</v>
      </c>
      <c r="CG97" s="225" t="s">
        <v>1371</v>
      </c>
      <c r="CH97" s="225" t="s">
        <v>1371</v>
      </c>
    </row>
    <row r="98" spans="1:87" ht="20.100000000000001" customHeight="1" thickBot="1">
      <c r="A98" s="15"/>
      <c r="B98" s="16"/>
      <c r="C98" s="16"/>
      <c r="D98" s="16"/>
      <c r="E98" s="16"/>
      <c r="F98" s="16"/>
      <c r="G98" s="16"/>
      <c r="H98" s="917"/>
      <c r="I98" s="16"/>
      <c r="J98" s="16"/>
      <c r="K98" s="11"/>
      <c r="L98" s="16"/>
      <c r="M98" s="627"/>
      <c r="N98" s="630"/>
      <c r="O98" s="630"/>
      <c r="P98" s="630"/>
      <c r="Q98" s="630"/>
      <c r="R98" s="630"/>
      <c r="S98" s="630"/>
      <c r="T98" s="630"/>
      <c r="U98" s="630"/>
      <c r="V98" s="630"/>
      <c r="W98" s="630"/>
      <c r="X98" s="630"/>
      <c r="Y98" s="630"/>
      <c r="Z98" s="630"/>
      <c r="AA98" s="630"/>
      <c r="AB98" s="630"/>
      <c r="AC98" s="630"/>
      <c r="AD98" s="630"/>
      <c r="AE98" s="630"/>
      <c r="AF98" s="168" t="s">
        <v>1009</v>
      </c>
      <c r="AG98" s="1577" t="s">
        <v>992</v>
      </c>
      <c r="AH98" s="1578"/>
      <c r="AI98" s="1578"/>
      <c r="AJ98" s="1579"/>
      <c r="AK98" s="320">
        <v>2021</v>
      </c>
      <c r="AL98" s="320">
        <f>AK98+1</f>
        <v>2022</v>
      </c>
      <c r="AM98" s="320">
        <f t="shared" ref="AM98:BN98" si="26">AL98+1</f>
        <v>2023</v>
      </c>
      <c r="AN98" s="320">
        <f t="shared" si="26"/>
        <v>2024</v>
      </c>
      <c r="AO98" s="320">
        <f t="shared" si="26"/>
        <v>2025</v>
      </c>
      <c r="AP98" s="320">
        <f t="shared" si="26"/>
        <v>2026</v>
      </c>
      <c r="AQ98" s="320">
        <f t="shared" si="26"/>
        <v>2027</v>
      </c>
      <c r="AR98" s="320">
        <f t="shared" si="26"/>
        <v>2028</v>
      </c>
      <c r="AS98" s="320">
        <f t="shared" si="26"/>
        <v>2029</v>
      </c>
      <c r="AT98" s="320">
        <f t="shared" si="26"/>
        <v>2030</v>
      </c>
      <c r="AU98" s="320">
        <f t="shared" si="26"/>
        <v>2031</v>
      </c>
      <c r="AV98" s="320">
        <f t="shared" si="26"/>
        <v>2032</v>
      </c>
      <c r="AW98" s="320">
        <f t="shared" si="26"/>
        <v>2033</v>
      </c>
      <c r="AX98" s="320">
        <f t="shared" si="26"/>
        <v>2034</v>
      </c>
      <c r="AY98" s="320">
        <f t="shared" si="26"/>
        <v>2035</v>
      </c>
      <c r="AZ98" s="320">
        <f t="shared" si="26"/>
        <v>2036</v>
      </c>
      <c r="BA98" s="320">
        <f t="shared" si="26"/>
        <v>2037</v>
      </c>
      <c r="BB98" s="320">
        <f t="shared" si="26"/>
        <v>2038</v>
      </c>
      <c r="BC98" s="320">
        <f t="shared" si="26"/>
        <v>2039</v>
      </c>
      <c r="BD98" s="320">
        <f t="shared" si="26"/>
        <v>2040</v>
      </c>
      <c r="BE98" s="320">
        <f t="shared" si="26"/>
        <v>2041</v>
      </c>
      <c r="BF98" s="320">
        <f t="shared" si="26"/>
        <v>2042</v>
      </c>
      <c r="BG98" s="320">
        <f t="shared" si="26"/>
        <v>2043</v>
      </c>
      <c r="BH98" s="320">
        <f t="shared" si="26"/>
        <v>2044</v>
      </c>
      <c r="BI98" s="320">
        <f t="shared" si="26"/>
        <v>2045</v>
      </c>
      <c r="BJ98" s="320">
        <f t="shared" si="26"/>
        <v>2046</v>
      </c>
      <c r="BK98" s="320">
        <f t="shared" si="26"/>
        <v>2047</v>
      </c>
      <c r="BL98" s="320">
        <f t="shared" si="26"/>
        <v>2048</v>
      </c>
      <c r="BM98" s="320">
        <f t="shared" si="26"/>
        <v>2049</v>
      </c>
      <c r="BN98" s="320">
        <f t="shared" si="26"/>
        <v>2050</v>
      </c>
      <c r="BP98" s="6" t="s">
        <v>1370</v>
      </c>
      <c r="BQ98" s="6"/>
      <c r="CF98" s="225" t="s">
        <v>1218</v>
      </c>
      <c r="CG98" s="225" t="s">
        <v>1218</v>
      </c>
      <c r="CH98" s="225" t="s">
        <v>1218</v>
      </c>
      <c r="CI98" s="225" t="s">
        <v>1224</v>
      </c>
    </row>
    <row r="99" spans="1:87" ht="20.100000000000001" customHeight="1">
      <c r="A99" s="15"/>
      <c r="B99" s="1472" t="s">
        <v>1137</v>
      </c>
      <c r="C99" s="1472" t="s">
        <v>1076</v>
      </c>
      <c r="D99" s="1472" t="s">
        <v>982</v>
      </c>
      <c r="E99" s="1472"/>
      <c r="F99" s="1564" t="s">
        <v>1074</v>
      </c>
      <c r="G99" s="16"/>
      <c r="H99" s="917"/>
      <c r="I99" s="16"/>
      <c r="J99" s="16"/>
      <c r="K99" s="11"/>
      <c r="L99" s="16"/>
      <c r="M99" s="627"/>
      <c r="N99" s="630"/>
      <c r="O99" s="630"/>
      <c r="P99" s="630"/>
      <c r="Q99" s="630"/>
      <c r="R99" s="630"/>
      <c r="S99" s="630"/>
      <c r="T99" s="630"/>
      <c r="U99" s="630"/>
      <c r="V99" s="630"/>
      <c r="W99" s="630"/>
      <c r="X99" s="630"/>
      <c r="Y99" s="630"/>
      <c r="Z99" s="630"/>
      <c r="AA99" s="630"/>
      <c r="AB99" s="630"/>
      <c r="AC99" s="630"/>
      <c r="AD99" s="630"/>
      <c r="AE99" s="630"/>
      <c r="AF99" s="1550" t="s">
        <v>859</v>
      </c>
      <c r="AG99" s="1486" t="s">
        <v>578</v>
      </c>
      <c r="AH99" s="1487"/>
      <c r="AI99" s="1487"/>
      <c r="AJ99" s="1580"/>
      <c r="AK99" s="165">
        <v>0</v>
      </c>
      <c r="AL99" s="157">
        <f>IF((AL$98-2021)&lt;START!$C$2,0,((AL$93*INDEX('DEFAULT DATA'!$AHP$9:$AHW$41,START!$C$3,1))+(AL$94*INDEX('DEFAULT DATA'!$YZ$9:$ZG$41,START!$C$3,1))+(AL$95*INDEX('DEFAULT DATA'!$AAF$9:$AAM$41,START!$C$3,1)))*AL5/1000000)</f>
        <v>26266.342720992528</v>
      </c>
      <c r="AM99" s="157">
        <f>IF((AM$98-2021)&lt;START!$C$2,0,((AM$93*INDEX('DEFAULT DATA'!$AHP$9:$AHW$41,START!$C$3,1))+(AM$94*INDEX('DEFAULT DATA'!$YZ$9:$ZG$41,START!$C$3,1))+(AM$95*INDEX('DEFAULT DATA'!$AAF$9:$AAM$41,START!$C$3,1)))*AM5/1000000)</f>
        <v>24270.1006741971</v>
      </c>
      <c r="AN99" s="157">
        <f>IF((AN$98-2021)&lt;START!$C$2,0,((AN$93*INDEX('DEFAULT DATA'!$AHP$9:$AHW$41,START!$C$3,1))+(AN$94*INDEX('DEFAULT DATA'!$YZ$9:$ZG$41,START!$C$3,1))+(AN$95*INDEX('DEFAULT DATA'!$AAF$9:$AAM$41,START!$C$3,1)))*AN5/1000000)</f>
        <v>22425.573022958117</v>
      </c>
      <c r="AO99" s="157">
        <f>IF((AO$98-2021)&lt;START!$C$2,0,((AO$93*INDEX('DEFAULT DATA'!$AHP$9:$AHW$41,START!$C$3,1))+(AO$94*INDEX('DEFAULT DATA'!$YZ$9:$ZG$41,START!$C$3,1))+(AO$95*INDEX('DEFAULT DATA'!$AAF$9:$AAM$41,START!$C$3,1)))*AO5/1000000)</f>
        <v>20721.229473213301</v>
      </c>
      <c r="AP99" s="157">
        <f>IF((AP$98-2021)&lt;START!$C$2,0,((AP$93*INDEX('DEFAULT DATA'!$AHP$9:$AHW$41,START!$C$3,1))+(AP$94*INDEX('DEFAULT DATA'!$YZ$9:$ZG$41,START!$C$3,1))+(AP$95*INDEX('DEFAULT DATA'!$AAF$9:$AAM$41,START!$C$3,1)))*AP5/1000000)</f>
        <v>19146.416033249094</v>
      </c>
      <c r="AQ99" s="157">
        <f>IF((AQ$98-2021)&lt;START!$C$2,0,((AQ$93*INDEX('DEFAULT DATA'!$AHP$9:$AHW$41,START!$C$3,1))+(AQ$94*INDEX('DEFAULT DATA'!$YZ$9:$ZG$41,START!$C$3,1))+(AQ$95*INDEX('DEFAULT DATA'!$AAF$9:$AAM$41,START!$C$3,1)))*AQ5/1000000)</f>
        <v>17691.288414722163</v>
      </c>
      <c r="AR99" s="157">
        <f>IF((AR$98-2021)&lt;START!$C$2,0,((AR$93*INDEX('DEFAULT DATA'!$AHP$9:$AHW$41,START!$C$3,1))+(AR$94*INDEX('DEFAULT DATA'!$YZ$9:$ZG$41,START!$C$3,1))+(AR$95*INDEX('DEFAULT DATA'!$AAF$9:$AAM$41,START!$C$3,1)))*AR5/1000000)</f>
        <v>16346.75049520328</v>
      </c>
      <c r="AS99" s="157">
        <f>IF((AS$98-2021)&lt;START!$C$2,0,((AS$93*INDEX('DEFAULT DATA'!$AHP$9:$AHW$41,START!$C$3,1))+(AS$94*INDEX('DEFAULT DATA'!$YZ$9:$ZG$41,START!$C$3,1))+(AS$95*INDEX('DEFAULT DATA'!$AAF$9:$AAM$41,START!$C$3,1)))*AS5/1000000)</f>
        <v>15104.397457567829</v>
      </c>
      <c r="AT99" s="157">
        <f>IF((AT$98-2021)&lt;START!$C$2,0,((AT$93*INDEX('DEFAULT DATA'!$AHP$9:$AHW$41,START!$C$3,1))+(AT$94*INDEX('DEFAULT DATA'!$YZ$9:$ZG$41,START!$C$3,1))+(AT$95*INDEX('DEFAULT DATA'!$AAF$9:$AAM$41,START!$C$3,1)))*AT5/1000000)</f>
        <v>13956.463250792674</v>
      </c>
      <c r="AU99" s="157">
        <f>IF((AU$98-2021)&lt;START!$C$2,0,((AU$93*INDEX('DEFAULT DATA'!$AHP$9:$AHW$41,START!$C$3,1))+(AU$94*INDEX('DEFAULT DATA'!$YZ$9:$ZG$41,START!$C$3,1))+(AU$95*INDEX('DEFAULT DATA'!$AAF$9:$AAM$41,START!$C$3,1)))*AU5/1000000)</f>
        <v>13049.293139491152</v>
      </c>
      <c r="AV99" s="157">
        <f>IF((AV$98-2021)&lt;START!$C$2,0,((AV$93*INDEX('DEFAULT DATA'!$AHP$9:$AHW$41,START!$C$3,1))+(AV$94*INDEX('DEFAULT DATA'!$YZ$9:$ZG$41,START!$C$3,1))+(AV$95*INDEX('DEFAULT DATA'!$AAF$9:$AAM$41,START!$C$3,1)))*AV5/1000000)</f>
        <v>12201.089085424228</v>
      </c>
      <c r="AW99" s="157">
        <f>IF((AW$98-2021)&lt;START!$C$2,0,((AW$93*INDEX('DEFAULT DATA'!$AHP$9:$AHW$41,START!$C$3,1))+(AW$94*INDEX('DEFAULT DATA'!$YZ$9:$ZG$41,START!$C$3,1))+(AW$95*INDEX('DEFAULT DATA'!$AAF$9:$AAM$41,START!$C$3,1)))*AW5/1000000)</f>
        <v>11408.018294871654</v>
      </c>
      <c r="AX99" s="157">
        <f>IF((AX$98-2021)&lt;START!$C$2,0,((AX$93*INDEX('DEFAULT DATA'!$AHP$9:$AHW$41,START!$C$3,1))+(AX$94*INDEX('DEFAULT DATA'!$YZ$9:$ZG$41,START!$C$3,1))+(AX$95*INDEX('DEFAULT DATA'!$AAF$9:$AAM$41,START!$C$3,1)))*AX5/1000000)</f>
        <v>10666.497105704997</v>
      </c>
      <c r="AY99" s="157">
        <f>IF((AY$98-2021)&lt;START!$C$2,0,((AY$93*INDEX('DEFAULT DATA'!$AHP$9:$AHW$41,START!$C$3,1))+(AY$94*INDEX('DEFAULT DATA'!$YZ$9:$ZG$41,START!$C$3,1))+(AY$95*INDEX('DEFAULT DATA'!$AAF$9:$AAM$41,START!$C$3,1)))*AY5/1000000)</f>
        <v>9973.1747938341723</v>
      </c>
      <c r="AZ99" s="157">
        <f>IF((AZ$98-2021)&lt;START!$C$2,0,((AZ$93*INDEX('DEFAULT DATA'!$AHP$9:$AHW$41,START!$C$3,1))+(AZ$94*INDEX('DEFAULT DATA'!$YZ$9:$ZG$41,START!$C$3,1))+(AZ$95*INDEX('DEFAULT DATA'!$AAF$9:$AAM$41,START!$C$3,1)))*AZ5/1000000)</f>
        <v>9324.9184322349502</v>
      </c>
      <c r="BA99" s="157">
        <f>IF((BA$98-2021)&lt;START!$C$2,0,((BA$93*INDEX('DEFAULT DATA'!$AHP$9:$AHW$41,START!$C$3,1))+(BA$94*INDEX('DEFAULT DATA'!$YZ$9:$ZG$41,START!$C$3,1))+(BA$95*INDEX('DEFAULT DATA'!$AAF$9:$AAM$41,START!$C$3,1)))*BA5/1000000)</f>
        <v>8718.7987341396802</v>
      </c>
      <c r="BB99" s="157">
        <f>IF((BB$98-2021)&lt;START!$C$2,0,((BB$93*INDEX('DEFAULT DATA'!$AHP$9:$AHW$41,START!$C$3,1))+(BB$94*INDEX('DEFAULT DATA'!$YZ$9:$ZG$41,START!$C$3,1))+(BB$95*INDEX('DEFAULT DATA'!$AAF$9:$AAM$41,START!$C$3,1)))*BB5/1000000)</f>
        <v>8152.0768164206029</v>
      </c>
      <c r="BC99" s="157">
        <f>IF((BC$98-2021)&lt;START!$C$2,0,((BC$93*INDEX('DEFAULT DATA'!$AHP$9:$AHW$41,START!$C$3,1))+(BC$94*INDEX('DEFAULT DATA'!$YZ$9:$ZG$41,START!$C$3,1))+(BC$95*INDEX('DEFAULT DATA'!$AAF$9:$AAM$41,START!$C$3,1)))*BC5/1000000)</f>
        <v>7622.1918233532642</v>
      </c>
      <c r="BD99" s="157">
        <f>IF((BD$98-2021)&lt;START!$C$2,0,((BD$93*INDEX('DEFAULT DATA'!$AHP$9:$AHW$41,START!$C$3,1))+(BD$94*INDEX('DEFAULT DATA'!$YZ$9:$ZG$41,START!$C$3,1))+(BD$95*INDEX('DEFAULT DATA'!$AAF$9:$AAM$41,START!$C$3,1)))*BD5/1000000)</f>
        <v>7126.7493548353023</v>
      </c>
      <c r="BE99" s="157">
        <f>IF((BE$98-2021)&lt;START!$C$2,0,((BE$93*INDEX('DEFAULT DATA'!$AHP$9:$AHW$41,START!$C$3,1))+(BE$94*INDEX('DEFAULT DATA'!$YZ$9:$ZG$41,START!$C$3,1))+(BE$95*INDEX('DEFAULT DATA'!$AAF$9:$AAM$41,START!$C$3,1)))*BE5/1000000)</f>
        <v>6663.5106467710084</v>
      </c>
      <c r="BF99" s="157">
        <f>IF((BF$98-2021)&lt;START!$C$2,0,((BF$93*INDEX('DEFAULT DATA'!$AHP$9:$AHW$41,START!$C$3,1))+(BF$94*INDEX('DEFAULT DATA'!$YZ$9:$ZG$41,START!$C$3,1))+(BF$95*INDEX('DEFAULT DATA'!$AAF$9:$AAM$41,START!$C$3,1)))*BF5/1000000)</f>
        <v>6230.3824547308932</v>
      </c>
      <c r="BG99" s="157">
        <f>IF((BG$98-2021)&lt;START!$C$2,0,((BG$93*INDEX('DEFAULT DATA'!$AHP$9:$AHW$41,START!$C$3,1))+(BG$94*INDEX('DEFAULT DATA'!$YZ$9:$ZG$41,START!$C$3,1))+(BG$95*INDEX('DEFAULT DATA'!$AAF$9:$AAM$41,START!$C$3,1)))*BG5/1000000)</f>
        <v>5825.4075951733857</v>
      </c>
      <c r="BH99" s="157">
        <f>IF((BH$98-2021)&lt;START!$C$2,0,((BH$93*INDEX('DEFAULT DATA'!$AHP$9:$AHW$41,START!$C$3,1))+(BH$94*INDEX('DEFAULT DATA'!$YZ$9:$ZG$41,START!$C$3,1))+(BH$95*INDEX('DEFAULT DATA'!$AAF$9:$AAM$41,START!$C$3,1)))*BH5/1000000)</f>
        <v>5446.7561014871162</v>
      </c>
      <c r="BI99" s="157">
        <f>IF((BI$98-2021)&lt;START!$C$2,0,((BI$93*INDEX('DEFAULT DATA'!$AHP$9:$AHW$41,START!$C$3,1))+(BI$94*INDEX('DEFAULT DATA'!$YZ$9:$ZG$41,START!$C$3,1))+(BI$95*INDEX('DEFAULT DATA'!$AAF$9:$AAM$41,START!$C$3,1)))*BI5/1000000)</f>
        <v>5092.716954890454</v>
      </c>
      <c r="BJ99" s="157">
        <f>IF((BJ$98-2021)&lt;START!$C$2,0,((BJ$93*INDEX('DEFAULT DATA'!$AHP$9:$AHW$41,START!$C$3,1))+(BJ$94*INDEX('DEFAULT DATA'!$YZ$9:$ZG$41,START!$C$3,1))+(BJ$95*INDEX('DEFAULT DATA'!$AAF$9:$AAM$41,START!$C$3,1)))*BJ5/1000000)</f>
        <v>4761.6903528225748</v>
      </c>
      <c r="BK99" s="157">
        <f>IF((BK$98-2021)&lt;START!$C$2,0,((BK$93*INDEX('DEFAULT DATA'!$AHP$9:$AHW$41,START!$C$3,1))+(BK$94*INDEX('DEFAULT DATA'!$YZ$9:$ZG$41,START!$C$3,1))+(BK$95*INDEX('DEFAULT DATA'!$AAF$9:$AAM$41,START!$C$3,1)))*BK5/1000000)</f>
        <v>4452.180479889108</v>
      </c>
      <c r="BL99" s="157">
        <f>IF((BL$98-2021)&lt;START!$C$2,0,((BL$93*INDEX('DEFAULT DATA'!$AHP$9:$AHW$41,START!$C$3,1))+(BL$94*INDEX('DEFAULT DATA'!$YZ$9:$ZG$41,START!$C$3,1))+(BL$95*INDEX('DEFAULT DATA'!$AAF$9:$AAM$41,START!$C$3,1)))*BL5/1000000)</f>
        <v>4162.7887486963155</v>
      </c>
      <c r="BM99" s="157">
        <f>IF((BM$98-2021)&lt;START!$C$2,0,((BM$93*INDEX('DEFAULT DATA'!$AHP$9:$AHW$41,START!$C$3,1))+(BM$94*INDEX('DEFAULT DATA'!$YZ$9:$ZG$41,START!$C$3,1))+(BM$95*INDEX('DEFAULT DATA'!$AAF$9:$AAM$41,START!$C$3,1)))*BM5/1000000)</f>
        <v>3892.2074800310556</v>
      </c>
      <c r="BN99" s="158">
        <f>IF((BN$98-2021)&lt;START!$C$2,0,((BN$93*INDEX('DEFAULT DATA'!$AHP$9:$AHW$41,START!$C$3,1))+(BN$94*INDEX('DEFAULT DATA'!$YZ$9:$ZG$41,START!$C$3,1))+(BN$95*INDEX('DEFAULT DATA'!$AAF$9:$AAM$41,START!$C$3,1)))*BN5/1000000)</f>
        <v>3639.2139938290366</v>
      </c>
      <c r="BP99" s="353" t="str">
        <f>AG99</f>
        <v>Electricity</v>
      </c>
      <c r="BQ99" s="357" t="s">
        <v>1372</v>
      </c>
      <c r="BR99" s="358"/>
      <c r="BS99" s="358"/>
      <c r="BT99" s="358"/>
      <c r="BU99" s="358"/>
      <c r="BV99" s="358"/>
      <c r="BW99" s="358"/>
      <c r="BX99" s="358"/>
      <c r="BY99" s="358"/>
      <c r="BZ99" s="358"/>
      <c r="CA99" s="358"/>
      <c r="CB99" s="358"/>
      <c r="CC99" s="358"/>
      <c r="CD99" s="358"/>
      <c r="CE99" s="359"/>
      <c r="CF99" s="360" t="s">
        <v>1310</v>
      </c>
      <c r="CG99" s="360" t="s">
        <v>1311</v>
      </c>
      <c r="CH99" s="360" t="s">
        <v>1312</v>
      </c>
      <c r="CI99" s="360" t="s">
        <v>1225</v>
      </c>
    </row>
    <row r="100" spans="1:87" ht="20.100000000000001" customHeight="1">
      <c r="A100" s="41" t="s">
        <v>1069</v>
      </c>
      <c r="B100" s="1477"/>
      <c r="C100" s="1472"/>
      <c r="D100" s="1472"/>
      <c r="E100" s="1472"/>
      <c r="F100" s="1474"/>
      <c r="G100" s="16"/>
      <c r="H100" s="409" t="s">
        <v>1073</v>
      </c>
      <c r="I100" s="16"/>
      <c r="J100" s="16"/>
      <c r="K100" s="11"/>
      <c r="L100" s="16"/>
      <c r="M100" s="627"/>
      <c r="N100" s="630"/>
      <c r="O100" s="630"/>
      <c r="P100" s="630"/>
      <c r="Q100" s="630"/>
      <c r="R100" s="630"/>
      <c r="S100" s="630"/>
      <c r="T100" s="630"/>
      <c r="U100" s="630"/>
      <c r="V100" s="630"/>
      <c r="W100" s="630"/>
      <c r="X100" s="630"/>
      <c r="Y100" s="630"/>
      <c r="Z100" s="630"/>
      <c r="AA100" s="630"/>
      <c r="AB100" s="630"/>
      <c r="AC100" s="630"/>
      <c r="AD100" s="630"/>
      <c r="AE100" s="630"/>
      <c r="AF100" s="1551"/>
      <c r="AG100" s="1581" t="s">
        <v>862</v>
      </c>
      <c r="AH100" s="1582"/>
      <c r="AI100" s="1582"/>
      <c r="AJ100" s="1583"/>
      <c r="AK100" s="115">
        <v>0</v>
      </c>
      <c r="AL100" s="123">
        <f>IF((AL$98-2021)&lt;START!$C$2,0,((AL$93*INDEX('DEFAULT DATA'!$AHP$9:$AHW$41,START!$C$3,2))+(AL$94*INDEX('DEFAULT DATA'!$YZ$9:$ZG$41,START!$C$3,2))+(AL$95*INDEX('DEFAULT DATA'!$AAF$9:$AAM$41,START!$C$3,2)))*INDEX('DEFAULT DATA'!$WC$9:$WJ$41,START!$C$3,2)/1000000)</f>
        <v>36036.129379792452</v>
      </c>
      <c r="AM100" s="123">
        <f>IF((AM$98-2021)&lt;START!$C$2,0,((AM$93*INDEX('DEFAULT DATA'!$AHP$9:$AHW$41,START!$C$3,2))+(AM$94*INDEX('DEFAULT DATA'!$YZ$9:$ZG$41,START!$C$3,2))+(AM$95*INDEX('DEFAULT DATA'!$AAF$9:$AAM$41,START!$C$3,2)))*INDEX('DEFAULT DATA'!$WC$9:$WJ$41,START!$C$3,2)/1000000)</f>
        <v>36036.129379792452</v>
      </c>
      <c r="AN100" s="123">
        <f>IF((AN$98-2021)&lt;START!$C$2,0,((AN$93*INDEX('DEFAULT DATA'!$AHP$9:$AHW$41,START!$C$3,2))+(AN$94*INDEX('DEFAULT DATA'!$YZ$9:$ZG$41,START!$C$3,2))+(AN$95*INDEX('DEFAULT DATA'!$AAF$9:$AAM$41,START!$C$3,2)))*INDEX('DEFAULT DATA'!$WC$9:$WJ$41,START!$C$3,2)/1000000)</f>
        <v>36036.129379792452</v>
      </c>
      <c r="AO100" s="123">
        <f>IF((AO$98-2021)&lt;START!$C$2,0,((AO$93*INDEX('DEFAULT DATA'!$AHP$9:$AHW$41,START!$C$3,2))+(AO$94*INDEX('DEFAULT DATA'!$YZ$9:$ZG$41,START!$C$3,2))+(AO$95*INDEX('DEFAULT DATA'!$AAF$9:$AAM$41,START!$C$3,2)))*INDEX('DEFAULT DATA'!$WC$9:$WJ$41,START!$C$3,2)/1000000)</f>
        <v>36036.129379792452</v>
      </c>
      <c r="AP100" s="123">
        <f>IF((AP$98-2021)&lt;START!$C$2,0,((AP$93*INDEX('DEFAULT DATA'!$AHP$9:$AHW$41,START!$C$3,2))+(AP$94*INDEX('DEFAULT DATA'!$YZ$9:$ZG$41,START!$C$3,2))+(AP$95*INDEX('DEFAULT DATA'!$AAF$9:$AAM$41,START!$C$3,2)))*INDEX('DEFAULT DATA'!$WC$9:$WJ$41,START!$C$3,2)/1000000)</f>
        <v>36036.129379792452</v>
      </c>
      <c r="AQ100" s="123">
        <f>IF((AQ$98-2021)&lt;START!$C$2,0,((AQ$93*INDEX('DEFAULT DATA'!$AHP$9:$AHW$41,START!$C$3,2))+(AQ$94*INDEX('DEFAULT DATA'!$YZ$9:$ZG$41,START!$C$3,2))+(AQ$95*INDEX('DEFAULT DATA'!$AAF$9:$AAM$41,START!$C$3,2)))*INDEX('DEFAULT DATA'!$WC$9:$WJ$41,START!$C$3,2)/1000000)</f>
        <v>36036.129379792452</v>
      </c>
      <c r="AR100" s="123">
        <f>IF((AR$98-2021)&lt;START!$C$2,0,((AR$93*INDEX('DEFAULT DATA'!$AHP$9:$AHW$41,START!$C$3,2))+(AR$94*INDEX('DEFAULT DATA'!$YZ$9:$ZG$41,START!$C$3,2))+(AR$95*INDEX('DEFAULT DATA'!$AAF$9:$AAM$41,START!$C$3,2)))*INDEX('DEFAULT DATA'!$WC$9:$WJ$41,START!$C$3,2)/1000000)</f>
        <v>36036.129379792452</v>
      </c>
      <c r="AS100" s="123">
        <f>IF((AS$98-2021)&lt;START!$C$2,0,((AS$93*INDEX('DEFAULT DATA'!$AHP$9:$AHW$41,START!$C$3,2))+(AS$94*INDEX('DEFAULT DATA'!$YZ$9:$ZG$41,START!$C$3,2))+(AS$95*INDEX('DEFAULT DATA'!$AAF$9:$AAM$41,START!$C$3,2)))*INDEX('DEFAULT DATA'!$WC$9:$WJ$41,START!$C$3,2)/1000000)</f>
        <v>36036.129379792452</v>
      </c>
      <c r="AT100" s="123">
        <f>IF((AT$98-2021)&lt;START!$C$2,0,((AT$93*INDEX('DEFAULT DATA'!$AHP$9:$AHW$41,START!$C$3,2))+(AT$94*INDEX('DEFAULT DATA'!$YZ$9:$ZG$41,START!$C$3,2))+(AT$95*INDEX('DEFAULT DATA'!$AAF$9:$AAM$41,START!$C$3,2)))*INDEX('DEFAULT DATA'!$WC$9:$WJ$41,START!$C$3,2)/1000000)</f>
        <v>36036.129379792452</v>
      </c>
      <c r="AU100" s="123">
        <f>IF((AU$98-2021)&lt;START!$C$2,0,((AU$93*INDEX('DEFAULT DATA'!$AHP$9:$AHW$41,START!$C$3,2))+(AU$94*INDEX('DEFAULT DATA'!$YZ$9:$ZG$41,START!$C$3,2))+(AU$95*INDEX('DEFAULT DATA'!$AAF$9:$AAM$41,START!$C$3,2)))*INDEX('DEFAULT DATA'!$WC$9:$WJ$41,START!$C$3,2)/1000000)</f>
        <v>36036.129379792452</v>
      </c>
      <c r="AV100" s="123">
        <f>IF((AV$98-2021)&lt;START!$C$2,0,((AV$93*INDEX('DEFAULT DATA'!$AHP$9:$AHW$41,START!$C$3,2))+(AV$94*INDEX('DEFAULT DATA'!$YZ$9:$ZG$41,START!$C$3,2))+(AV$95*INDEX('DEFAULT DATA'!$AAF$9:$AAM$41,START!$C$3,2)))*INDEX('DEFAULT DATA'!$WC$9:$WJ$41,START!$C$3,2)/1000000)</f>
        <v>36036.129379792452</v>
      </c>
      <c r="AW100" s="123">
        <f>IF((AW$98-2021)&lt;START!$C$2,0,((AW$93*INDEX('DEFAULT DATA'!$AHP$9:$AHW$41,START!$C$3,2))+(AW$94*INDEX('DEFAULT DATA'!$YZ$9:$ZG$41,START!$C$3,2))+(AW$95*INDEX('DEFAULT DATA'!$AAF$9:$AAM$41,START!$C$3,2)))*INDEX('DEFAULT DATA'!$WC$9:$WJ$41,START!$C$3,2)/1000000)</f>
        <v>36036.129379792452</v>
      </c>
      <c r="AX100" s="123">
        <f>IF((AX$98-2021)&lt;START!$C$2,0,((AX$93*INDEX('DEFAULT DATA'!$AHP$9:$AHW$41,START!$C$3,2))+(AX$94*INDEX('DEFAULT DATA'!$YZ$9:$ZG$41,START!$C$3,2))+(AX$95*INDEX('DEFAULT DATA'!$AAF$9:$AAM$41,START!$C$3,2)))*INDEX('DEFAULT DATA'!$WC$9:$WJ$41,START!$C$3,2)/1000000)</f>
        <v>36036.129379792452</v>
      </c>
      <c r="AY100" s="123">
        <f>IF((AY$98-2021)&lt;START!$C$2,0,((AY$93*INDEX('DEFAULT DATA'!$AHP$9:$AHW$41,START!$C$3,2))+(AY$94*INDEX('DEFAULT DATA'!$YZ$9:$ZG$41,START!$C$3,2))+(AY$95*INDEX('DEFAULT DATA'!$AAF$9:$AAM$41,START!$C$3,2)))*INDEX('DEFAULT DATA'!$WC$9:$WJ$41,START!$C$3,2)/1000000)</f>
        <v>36036.129379792452</v>
      </c>
      <c r="AZ100" s="123">
        <f>IF((AZ$98-2021)&lt;START!$C$2,0,((AZ$93*INDEX('DEFAULT DATA'!$AHP$9:$AHW$41,START!$C$3,2))+(AZ$94*INDEX('DEFAULT DATA'!$YZ$9:$ZG$41,START!$C$3,2))+(AZ$95*INDEX('DEFAULT DATA'!$AAF$9:$AAM$41,START!$C$3,2)))*INDEX('DEFAULT DATA'!$WC$9:$WJ$41,START!$C$3,2)/1000000)</f>
        <v>36036.129379792452</v>
      </c>
      <c r="BA100" s="123">
        <f>IF((BA$98-2021)&lt;START!$C$2,0,((BA$93*INDEX('DEFAULT DATA'!$AHP$9:$AHW$41,START!$C$3,2))+(BA$94*INDEX('DEFAULT DATA'!$YZ$9:$ZG$41,START!$C$3,2))+(BA$95*INDEX('DEFAULT DATA'!$AAF$9:$AAM$41,START!$C$3,2)))*INDEX('DEFAULT DATA'!$WC$9:$WJ$41,START!$C$3,2)/1000000)</f>
        <v>36036.129379792452</v>
      </c>
      <c r="BB100" s="123">
        <f>IF((BB$98-2021)&lt;START!$C$2,0,((BB$93*INDEX('DEFAULT DATA'!$AHP$9:$AHW$41,START!$C$3,2))+(BB$94*INDEX('DEFAULT DATA'!$YZ$9:$ZG$41,START!$C$3,2))+(BB$95*INDEX('DEFAULT DATA'!$AAF$9:$AAM$41,START!$C$3,2)))*INDEX('DEFAULT DATA'!$WC$9:$WJ$41,START!$C$3,2)/1000000)</f>
        <v>36036.129379792452</v>
      </c>
      <c r="BC100" s="123">
        <f>IF((BC$98-2021)&lt;START!$C$2,0,((BC$93*INDEX('DEFAULT DATA'!$AHP$9:$AHW$41,START!$C$3,2))+(BC$94*INDEX('DEFAULT DATA'!$YZ$9:$ZG$41,START!$C$3,2))+(BC$95*INDEX('DEFAULT DATA'!$AAF$9:$AAM$41,START!$C$3,2)))*INDEX('DEFAULT DATA'!$WC$9:$WJ$41,START!$C$3,2)/1000000)</f>
        <v>36036.129379792452</v>
      </c>
      <c r="BD100" s="123">
        <f>IF((BD$98-2021)&lt;START!$C$2,0,((BD$93*INDEX('DEFAULT DATA'!$AHP$9:$AHW$41,START!$C$3,2))+(BD$94*INDEX('DEFAULT DATA'!$YZ$9:$ZG$41,START!$C$3,2))+(BD$95*INDEX('DEFAULT DATA'!$AAF$9:$AAM$41,START!$C$3,2)))*INDEX('DEFAULT DATA'!$WC$9:$WJ$41,START!$C$3,2)/1000000)</f>
        <v>36036.129379792452</v>
      </c>
      <c r="BE100" s="123">
        <f>IF((BE$98-2021)&lt;START!$C$2,0,((BE$93*INDEX('DEFAULT DATA'!$AHP$9:$AHW$41,START!$C$3,2))+(BE$94*INDEX('DEFAULT DATA'!$YZ$9:$ZG$41,START!$C$3,2))+(BE$95*INDEX('DEFAULT DATA'!$AAF$9:$AAM$41,START!$C$3,2)))*INDEX('DEFAULT DATA'!$WC$9:$WJ$41,START!$C$3,2)/1000000)</f>
        <v>36036.129379792452</v>
      </c>
      <c r="BF100" s="123">
        <f>IF((BF$98-2021)&lt;START!$C$2,0,((BF$93*INDEX('DEFAULT DATA'!$AHP$9:$AHW$41,START!$C$3,2))+(BF$94*INDEX('DEFAULT DATA'!$YZ$9:$ZG$41,START!$C$3,2))+(BF$95*INDEX('DEFAULT DATA'!$AAF$9:$AAM$41,START!$C$3,2)))*INDEX('DEFAULT DATA'!$WC$9:$WJ$41,START!$C$3,2)/1000000)</f>
        <v>36036.129379792452</v>
      </c>
      <c r="BG100" s="123">
        <f>IF((BG$98-2021)&lt;START!$C$2,0,((BG$93*INDEX('DEFAULT DATA'!$AHP$9:$AHW$41,START!$C$3,2))+(BG$94*INDEX('DEFAULT DATA'!$YZ$9:$ZG$41,START!$C$3,2))+(BG$95*INDEX('DEFAULT DATA'!$AAF$9:$AAM$41,START!$C$3,2)))*INDEX('DEFAULT DATA'!$WC$9:$WJ$41,START!$C$3,2)/1000000)</f>
        <v>36036.129379792452</v>
      </c>
      <c r="BH100" s="123">
        <f>IF((BH$98-2021)&lt;START!$C$2,0,((BH$93*INDEX('DEFAULT DATA'!$AHP$9:$AHW$41,START!$C$3,2))+(BH$94*INDEX('DEFAULT DATA'!$YZ$9:$ZG$41,START!$C$3,2))+(BH$95*INDEX('DEFAULT DATA'!$AAF$9:$AAM$41,START!$C$3,2)))*INDEX('DEFAULT DATA'!$WC$9:$WJ$41,START!$C$3,2)/1000000)</f>
        <v>36036.129379792452</v>
      </c>
      <c r="BI100" s="123">
        <f>IF((BI$98-2021)&lt;START!$C$2,0,((BI$93*INDEX('DEFAULT DATA'!$AHP$9:$AHW$41,START!$C$3,2))+(BI$94*INDEX('DEFAULT DATA'!$YZ$9:$ZG$41,START!$C$3,2))+(BI$95*INDEX('DEFAULT DATA'!$AAF$9:$AAM$41,START!$C$3,2)))*INDEX('DEFAULT DATA'!$WC$9:$WJ$41,START!$C$3,2)/1000000)</f>
        <v>36036.129379792452</v>
      </c>
      <c r="BJ100" s="123">
        <f>IF((BJ$98-2021)&lt;START!$C$2,0,((BJ$93*INDEX('DEFAULT DATA'!$AHP$9:$AHW$41,START!$C$3,2))+(BJ$94*INDEX('DEFAULT DATA'!$YZ$9:$ZG$41,START!$C$3,2))+(BJ$95*INDEX('DEFAULT DATA'!$AAF$9:$AAM$41,START!$C$3,2)))*INDEX('DEFAULT DATA'!$WC$9:$WJ$41,START!$C$3,2)/1000000)</f>
        <v>36036.129379792452</v>
      </c>
      <c r="BK100" s="123">
        <f>IF((BK$98-2021)&lt;START!$C$2,0,((BK$93*INDEX('DEFAULT DATA'!$AHP$9:$AHW$41,START!$C$3,2))+(BK$94*INDEX('DEFAULT DATA'!$YZ$9:$ZG$41,START!$C$3,2))+(BK$95*INDEX('DEFAULT DATA'!$AAF$9:$AAM$41,START!$C$3,2)))*INDEX('DEFAULT DATA'!$WC$9:$WJ$41,START!$C$3,2)/1000000)</f>
        <v>36036.129379792452</v>
      </c>
      <c r="BL100" s="123">
        <f>IF((BL$98-2021)&lt;START!$C$2,0,((BL$93*INDEX('DEFAULT DATA'!$AHP$9:$AHW$41,START!$C$3,2))+(BL$94*INDEX('DEFAULT DATA'!$YZ$9:$ZG$41,START!$C$3,2))+(BL$95*INDEX('DEFAULT DATA'!$AAF$9:$AAM$41,START!$C$3,2)))*INDEX('DEFAULT DATA'!$WC$9:$WJ$41,START!$C$3,2)/1000000)</f>
        <v>36036.129379792452</v>
      </c>
      <c r="BM100" s="123">
        <f>IF((BM$98-2021)&lt;START!$C$2,0,((BM$93*INDEX('DEFAULT DATA'!$AHP$9:$AHW$41,START!$C$3,2))+(BM$94*INDEX('DEFAULT DATA'!$YZ$9:$ZG$41,START!$C$3,2))+(BM$95*INDEX('DEFAULT DATA'!$AAF$9:$AAM$41,START!$C$3,2)))*INDEX('DEFAULT DATA'!$WC$9:$WJ$41,START!$C$3,2)/1000000)</f>
        <v>36036.129379792452</v>
      </c>
      <c r="BN100" s="159">
        <f>IF((BN$98-2021)&lt;START!$C$2,0,((BN$93*INDEX('DEFAULT DATA'!$AHP$9:$AHW$41,START!$C$3,2))+(BN$94*INDEX('DEFAULT DATA'!$YZ$9:$ZG$41,START!$C$3,2))+(BN$95*INDEX('DEFAULT DATA'!$AAF$9:$AAM$41,START!$C$3,2)))*INDEX('DEFAULT DATA'!$WC$9:$WJ$41,START!$C$3,2)/1000000)</f>
        <v>36036.129379792452</v>
      </c>
      <c r="BP100" s="355" t="str">
        <f t="shared" ref="BP100:BP106" si="27">AG100</f>
        <v>Gas</v>
      </c>
      <c r="BQ100" s="361" t="s">
        <v>1373</v>
      </c>
      <c r="BR100" s="362"/>
      <c r="BS100" s="362"/>
      <c r="BT100" s="362"/>
      <c r="BU100" s="362"/>
      <c r="BV100" s="362"/>
      <c r="BW100" s="362"/>
      <c r="BX100" s="362"/>
      <c r="BY100" s="362"/>
      <c r="BZ100" s="362"/>
      <c r="CA100" s="362"/>
      <c r="CB100" s="362"/>
      <c r="CC100" s="362"/>
      <c r="CD100" s="362"/>
      <c r="CE100" s="363"/>
      <c r="CF100" s="360" t="s">
        <v>1313</v>
      </c>
      <c r="CG100" s="360" t="s">
        <v>1320</v>
      </c>
      <c r="CH100" s="360" t="s">
        <v>1327</v>
      </c>
      <c r="CI100" s="360" t="s">
        <v>886</v>
      </c>
    </row>
    <row r="101" spans="1:87" ht="20.100000000000001" customHeight="1">
      <c r="A101" s="41" t="str">
        <f t="shared" ref="A101:A106" si="28">A83</f>
        <v>Retail</v>
      </c>
      <c r="B101" s="133">
        <v>0</v>
      </c>
      <c r="C101" s="81">
        <v>0</v>
      </c>
      <c r="D101" s="16">
        <v>9</v>
      </c>
      <c r="E101" s="106">
        <v>9</v>
      </c>
      <c r="F101" s="81">
        <v>0</v>
      </c>
      <c r="G101" s="16"/>
      <c r="H101" s="916">
        <f t="shared" ref="H101:H106" si="29">(100+C101)/100*B101</f>
        <v>0</v>
      </c>
      <c r="I101" s="16"/>
      <c r="J101" s="16"/>
      <c r="K101" s="11"/>
      <c r="L101" s="16"/>
      <c r="M101" s="627"/>
      <c r="N101" s="630"/>
      <c r="O101" s="630"/>
      <c r="P101" s="630"/>
      <c r="Q101" s="630"/>
      <c r="R101" s="630"/>
      <c r="S101" s="630"/>
      <c r="T101" s="630"/>
      <c r="U101" s="630"/>
      <c r="V101" s="630"/>
      <c r="W101" s="630"/>
      <c r="X101" s="630"/>
      <c r="Y101" s="630"/>
      <c r="Z101" s="630"/>
      <c r="AA101" s="630"/>
      <c r="AB101" s="630"/>
      <c r="AC101" s="630"/>
      <c r="AD101" s="630"/>
      <c r="AE101" s="630"/>
      <c r="AF101" s="1551"/>
      <c r="AG101" s="1581" t="s">
        <v>863</v>
      </c>
      <c r="AH101" s="1582"/>
      <c r="AI101" s="1582"/>
      <c r="AJ101" s="1583"/>
      <c r="AK101" s="115">
        <v>0</v>
      </c>
      <c r="AL101" s="123">
        <f>IF((AL$98-2021)&lt;START!$C$2,0,((AL$93*INDEX('DEFAULT DATA'!$AHP$9:$AHW$41,START!$C$3,3))+(AL$94*INDEX('DEFAULT DATA'!$YZ$9:$ZG$41,START!$C$3,3))+(AL$95*INDEX('DEFAULT DATA'!$AAF$9:$AAM$41,START!$C$3,3)))*INDEX('DEFAULT DATA'!$WC$9:$WJ$41,START!$C$3,3)/1000000)</f>
        <v>5953.9891982701629</v>
      </c>
      <c r="AM101" s="123">
        <f>IF((AM$98-2021)&lt;START!$C$2,0,((AM$93*INDEX('DEFAULT DATA'!$AHP$9:$AHW$41,START!$C$3,3))+(AM$94*INDEX('DEFAULT DATA'!$YZ$9:$ZG$41,START!$C$3,3))+(AM$95*INDEX('DEFAULT DATA'!$AAF$9:$AAM$41,START!$C$3,3)))*INDEX('DEFAULT DATA'!$WC$9:$WJ$41,START!$C$3,3)/1000000)</f>
        <v>5953.9891982701629</v>
      </c>
      <c r="AN101" s="123">
        <f>IF((AN$98-2021)&lt;START!$C$2,0,((AN$93*INDEX('DEFAULT DATA'!$AHP$9:$AHW$41,START!$C$3,3))+(AN$94*INDEX('DEFAULT DATA'!$YZ$9:$ZG$41,START!$C$3,3))+(AN$95*INDEX('DEFAULT DATA'!$AAF$9:$AAM$41,START!$C$3,3)))*INDEX('DEFAULT DATA'!$WC$9:$WJ$41,START!$C$3,3)/1000000)</f>
        <v>5953.9891982701629</v>
      </c>
      <c r="AO101" s="123">
        <f>IF((AO$98-2021)&lt;START!$C$2,0,((AO$93*INDEX('DEFAULT DATA'!$AHP$9:$AHW$41,START!$C$3,3))+(AO$94*INDEX('DEFAULT DATA'!$YZ$9:$ZG$41,START!$C$3,3))+(AO$95*INDEX('DEFAULT DATA'!$AAF$9:$AAM$41,START!$C$3,3)))*INDEX('DEFAULT DATA'!$WC$9:$WJ$41,START!$C$3,3)/1000000)</f>
        <v>5953.9891982701629</v>
      </c>
      <c r="AP101" s="123">
        <f>IF((AP$98-2021)&lt;START!$C$2,0,((AP$93*INDEX('DEFAULT DATA'!$AHP$9:$AHW$41,START!$C$3,3))+(AP$94*INDEX('DEFAULT DATA'!$YZ$9:$ZG$41,START!$C$3,3))+(AP$95*INDEX('DEFAULT DATA'!$AAF$9:$AAM$41,START!$C$3,3)))*INDEX('DEFAULT DATA'!$WC$9:$WJ$41,START!$C$3,3)/1000000)</f>
        <v>5953.9891982701629</v>
      </c>
      <c r="AQ101" s="123">
        <f>IF((AQ$98-2021)&lt;START!$C$2,0,((AQ$93*INDEX('DEFAULT DATA'!$AHP$9:$AHW$41,START!$C$3,3))+(AQ$94*INDEX('DEFAULT DATA'!$YZ$9:$ZG$41,START!$C$3,3))+(AQ$95*INDEX('DEFAULT DATA'!$AAF$9:$AAM$41,START!$C$3,3)))*INDEX('DEFAULT DATA'!$WC$9:$WJ$41,START!$C$3,3)/1000000)</f>
        <v>5953.9891982701629</v>
      </c>
      <c r="AR101" s="123">
        <f>IF((AR$98-2021)&lt;START!$C$2,0,((AR$93*INDEX('DEFAULT DATA'!$AHP$9:$AHW$41,START!$C$3,3))+(AR$94*INDEX('DEFAULT DATA'!$YZ$9:$ZG$41,START!$C$3,3))+(AR$95*INDEX('DEFAULT DATA'!$AAF$9:$AAM$41,START!$C$3,3)))*INDEX('DEFAULT DATA'!$WC$9:$WJ$41,START!$C$3,3)/1000000)</f>
        <v>5953.9891982701629</v>
      </c>
      <c r="AS101" s="123">
        <f>IF((AS$98-2021)&lt;START!$C$2,0,((AS$93*INDEX('DEFAULT DATA'!$AHP$9:$AHW$41,START!$C$3,3))+(AS$94*INDEX('DEFAULT DATA'!$YZ$9:$ZG$41,START!$C$3,3))+(AS$95*INDEX('DEFAULT DATA'!$AAF$9:$AAM$41,START!$C$3,3)))*INDEX('DEFAULT DATA'!$WC$9:$WJ$41,START!$C$3,3)/1000000)</f>
        <v>5953.9891982701629</v>
      </c>
      <c r="AT101" s="123">
        <f>IF((AT$98-2021)&lt;START!$C$2,0,((AT$93*INDEX('DEFAULT DATA'!$AHP$9:$AHW$41,START!$C$3,3))+(AT$94*INDEX('DEFAULT DATA'!$YZ$9:$ZG$41,START!$C$3,3))+(AT$95*INDEX('DEFAULT DATA'!$AAF$9:$AAM$41,START!$C$3,3)))*INDEX('DEFAULT DATA'!$WC$9:$WJ$41,START!$C$3,3)/1000000)</f>
        <v>5953.9891982701629</v>
      </c>
      <c r="AU101" s="123">
        <f>IF((AU$98-2021)&lt;START!$C$2,0,((AU$93*INDEX('DEFAULT DATA'!$AHP$9:$AHW$41,START!$C$3,3))+(AU$94*INDEX('DEFAULT DATA'!$YZ$9:$ZG$41,START!$C$3,3))+(AU$95*INDEX('DEFAULT DATA'!$AAF$9:$AAM$41,START!$C$3,3)))*INDEX('DEFAULT DATA'!$WC$9:$WJ$41,START!$C$3,3)/1000000)</f>
        <v>5953.9891982701629</v>
      </c>
      <c r="AV101" s="123">
        <f>IF((AV$98-2021)&lt;START!$C$2,0,((AV$93*INDEX('DEFAULT DATA'!$AHP$9:$AHW$41,START!$C$3,3))+(AV$94*INDEX('DEFAULT DATA'!$YZ$9:$ZG$41,START!$C$3,3))+(AV$95*INDEX('DEFAULT DATA'!$AAF$9:$AAM$41,START!$C$3,3)))*INDEX('DEFAULT DATA'!$WC$9:$WJ$41,START!$C$3,3)/1000000)</f>
        <v>5953.9891982701629</v>
      </c>
      <c r="AW101" s="123">
        <f>IF((AW$98-2021)&lt;START!$C$2,0,((AW$93*INDEX('DEFAULT DATA'!$AHP$9:$AHW$41,START!$C$3,3))+(AW$94*INDEX('DEFAULT DATA'!$YZ$9:$ZG$41,START!$C$3,3))+(AW$95*INDEX('DEFAULT DATA'!$AAF$9:$AAM$41,START!$C$3,3)))*INDEX('DEFAULT DATA'!$WC$9:$WJ$41,START!$C$3,3)/1000000)</f>
        <v>5953.9891982701629</v>
      </c>
      <c r="AX101" s="123">
        <f>IF((AX$98-2021)&lt;START!$C$2,0,((AX$93*INDEX('DEFAULT DATA'!$AHP$9:$AHW$41,START!$C$3,3))+(AX$94*INDEX('DEFAULT DATA'!$YZ$9:$ZG$41,START!$C$3,3))+(AX$95*INDEX('DEFAULT DATA'!$AAF$9:$AAM$41,START!$C$3,3)))*INDEX('DEFAULT DATA'!$WC$9:$WJ$41,START!$C$3,3)/1000000)</f>
        <v>5953.9891982701629</v>
      </c>
      <c r="AY101" s="123">
        <f>IF((AY$98-2021)&lt;START!$C$2,0,((AY$93*INDEX('DEFAULT DATA'!$AHP$9:$AHW$41,START!$C$3,3))+(AY$94*INDEX('DEFAULT DATA'!$YZ$9:$ZG$41,START!$C$3,3))+(AY$95*INDEX('DEFAULT DATA'!$AAF$9:$AAM$41,START!$C$3,3)))*INDEX('DEFAULT DATA'!$WC$9:$WJ$41,START!$C$3,3)/1000000)</f>
        <v>5953.9891982701629</v>
      </c>
      <c r="AZ101" s="123">
        <f>IF((AZ$98-2021)&lt;START!$C$2,0,((AZ$93*INDEX('DEFAULT DATA'!$AHP$9:$AHW$41,START!$C$3,3))+(AZ$94*INDEX('DEFAULT DATA'!$YZ$9:$ZG$41,START!$C$3,3))+(AZ$95*INDEX('DEFAULT DATA'!$AAF$9:$AAM$41,START!$C$3,3)))*INDEX('DEFAULT DATA'!$WC$9:$WJ$41,START!$C$3,3)/1000000)</f>
        <v>5953.9891982701629</v>
      </c>
      <c r="BA101" s="123">
        <f>IF((BA$98-2021)&lt;START!$C$2,0,((BA$93*INDEX('DEFAULT DATA'!$AHP$9:$AHW$41,START!$C$3,3))+(BA$94*INDEX('DEFAULT DATA'!$YZ$9:$ZG$41,START!$C$3,3))+(BA$95*INDEX('DEFAULT DATA'!$AAF$9:$AAM$41,START!$C$3,3)))*INDEX('DEFAULT DATA'!$WC$9:$WJ$41,START!$C$3,3)/1000000)</f>
        <v>5953.9891982701629</v>
      </c>
      <c r="BB101" s="123">
        <f>IF((BB$98-2021)&lt;START!$C$2,0,((BB$93*INDEX('DEFAULT DATA'!$AHP$9:$AHW$41,START!$C$3,3))+(BB$94*INDEX('DEFAULT DATA'!$YZ$9:$ZG$41,START!$C$3,3))+(BB$95*INDEX('DEFAULT DATA'!$AAF$9:$AAM$41,START!$C$3,3)))*INDEX('DEFAULT DATA'!$WC$9:$WJ$41,START!$C$3,3)/1000000)</f>
        <v>5953.9891982701629</v>
      </c>
      <c r="BC101" s="123">
        <f>IF((BC$98-2021)&lt;START!$C$2,0,((BC$93*INDEX('DEFAULT DATA'!$AHP$9:$AHW$41,START!$C$3,3))+(BC$94*INDEX('DEFAULT DATA'!$YZ$9:$ZG$41,START!$C$3,3))+(BC$95*INDEX('DEFAULT DATA'!$AAF$9:$AAM$41,START!$C$3,3)))*INDEX('DEFAULT DATA'!$WC$9:$WJ$41,START!$C$3,3)/1000000)</f>
        <v>5953.9891982701629</v>
      </c>
      <c r="BD101" s="123">
        <f>IF((BD$98-2021)&lt;START!$C$2,0,((BD$93*INDEX('DEFAULT DATA'!$AHP$9:$AHW$41,START!$C$3,3))+(BD$94*INDEX('DEFAULT DATA'!$YZ$9:$ZG$41,START!$C$3,3))+(BD$95*INDEX('DEFAULT DATA'!$AAF$9:$AAM$41,START!$C$3,3)))*INDEX('DEFAULT DATA'!$WC$9:$WJ$41,START!$C$3,3)/1000000)</f>
        <v>5953.9891982701629</v>
      </c>
      <c r="BE101" s="123">
        <f>IF((BE$98-2021)&lt;START!$C$2,0,((BE$93*INDEX('DEFAULT DATA'!$AHP$9:$AHW$41,START!$C$3,3))+(BE$94*INDEX('DEFAULT DATA'!$YZ$9:$ZG$41,START!$C$3,3))+(BE$95*INDEX('DEFAULT DATA'!$AAF$9:$AAM$41,START!$C$3,3)))*INDEX('DEFAULT DATA'!$WC$9:$WJ$41,START!$C$3,3)/1000000)</f>
        <v>5953.9891982701629</v>
      </c>
      <c r="BF101" s="123">
        <f>IF((BF$98-2021)&lt;START!$C$2,0,((BF$93*INDEX('DEFAULT DATA'!$AHP$9:$AHW$41,START!$C$3,3))+(BF$94*INDEX('DEFAULT DATA'!$YZ$9:$ZG$41,START!$C$3,3))+(BF$95*INDEX('DEFAULT DATA'!$AAF$9:$AAM$41,START!$C$3,3)))*INDEX('DEFAULT DATA'!$WC$9:$WJ$41,START!$C$3,3)/1000000)</f>
        <v>5953.9891982701629</v>
      </c>
      <c r="BG101" s="123">
        <f>IF((BG$98-2021)&lt;START!$C$2,0,((BG$93*INDEX('DEFAULT DATA'!$AHP$9:$AHW$41,START!$C$3,3))+(BG$94*INDEX('DEFAULT DATA'!$YZ$9:$ZG$41,START!$C$3,3))+(BG$95*INDEX('DEFAULT DATA'!$AAF$9:$AAM$41,START!$C$3,3)))*INDEX('DEFAULT DATA'!$WC$9:$WJ$41,START!$C$3,3)/1000000)</f>
        <v>5953.9891982701629</v>
      </c>
      <c r="BH101" s="123">
        <f>IF((BH$98-2021)&lt;START!$C$2,0,((BH$93*INDEX('DEFAULT DATA'!$AHP$9:$AHW$41,START!$C$3,3))+(BH$94*INDEX('DEFAULT DATA'!$YZ$9:$ZG$41,START!$C$3,3))+(BH$95*INDEX('DEFAULT DATA'!$AAF$9:$AAM$41,START!$C$3,3)))*INDEX('DEFAULT DATA'!$WC$9:$WJ$41,START!$C$3,3)/1000000)</f>
        <v>5953.9891982701629</v>
      </c>
      <c r="BI101" s="123">
        <f>IF((BI$98-2021)&lt;START!$C$2,0,((BI$93*INDEX('DEFAULT DATA'!$AHP$9:$AHW$41,START!$C$3,3))+(BI$94*INDEX('DEFAULT DATA'!$YZ$9:$ZG$41,START!$C$3,3))+(BI$95*INDEX('DEFAULT DATA'!$AAF$9:$AAM$41,START!$C$3,3)))*INDEX('DEFAULT DATA'!$WC$9:$WJ$41,START!$C$3,3)/1000000)</f>
        <v>5953.9891982701629</v>
      </c>
      <c r="BJ101" s="123">
        <f>IF((BJ$98-2021)&lt;START!$C$2,0,((BJ$93*INDEX('DEFAULT DATA'!$AHP$9:$AHW$41,START!$C$3,3))+(BJ$94*INDEX('DEFAULT DATA'!$YZ$9:$ZG$41,START!$C$3,3))+(BJ$95*INDEX('DEFAULT DATA'!$AAF$9:$AAM$41,START!$C$3,3)))*INDEX('DEFAULT DATA'!$WC$9:$WJ$41,START!$C$3,3)/1000000)</f>
        <v>5953.9891982701629</v>
      </c>
      <c r="BK101" s="123">
        <f>IF((BK$98-2021)&lt;START!$C$2,0,((BK$93*INDEX('DEFAULT DATA'!$AHP$9:$AHW$41,START!$C$3,3))+(BK$94*INDEX('DEFAULT DATA'!$YZ$9:$ZG$41,START!$C$3,3))+(BK$95*INDEX('DEFAULT DATA'!$AAF$9:$AAM$41,START!$C$3,3)))*INDEX('DEFAULT DATA'!$WC$9:$WJ$41,START!$C$3,3)/1000000)</f>
        <v>5953.9891982701629</v>
      </c>
      <c r="BL101" s="123">
        <f>IF((BL$98-2021)&lt;START!$C$2,0,((BL$93*INDEX('DEFAULT DATA'!$AHP$9:$AHW$41,START!$C$3,3))+(BL$94*INDEX('DEFAULT DATA'!$YZ$9:$ZG$41,START!$C$3,3))+(BL$95*INDEX('DEFAULT DATA'!$AAF$9:$AAM$41,START!$C$3,3)))*INDEX('DEFAULT DATA'!$WC$9:$WJ$41,START!$C$3,3)/1000000)</f>
        <v>5953.9891982701629</v>
      </c>
      <c r="BM101" s="123">
        <f>IF((BM$98-2021)&lt;START!$C$2,0,((BM$93*INDEX('DEFAULT DATA'!$AHP$9:$AHW$41,START!$C$3,3))+(BM$94*INDEX('DEFAULT DATA'!$YZ$9:$ZG$41,START!$C$3,3))+(BM$95*INDEX('DEFAULT DATA'!$AAF$9:$AAM$41,START!$C$3,3)))*INDEX('DEFAULT DATA'!$WC$9:$WJ$41,START!$C$3,3)/1000000)</f>
        <v>5953.9891982701629</v>
      </c>
      <c r="BN101" s="159">
        <f>IF((BN$98-2021)&lt;START!$C$2,0,((BN$93*INDEX('DEFAULT DATA'!$AHP$9:$AHW$41,START!$C$3,3))+(BN$94*INDEX('DEFAULT DATA'!$YZ$9:$ZG$41,START!$C$3,3))+(BN$95*INDEX('DEFAULT DATA'!$AAF$9:$AAM$41,START!$C$3,3)))*INDEX('DEFAULT DATA'!$WC$9:$WJ$41,START!$C$3,3)/1000000)</f>
        <v>5953.9891982701629</v>
      </c>
      <c r="BP101" s="355" t="str">
        <f t="shared" si="27"/>
        <v>Oil</v>
      </c>
      <c r="BQ101" s="361" t="s">
        <v>1374</v>
      </c>
      <c r="BR101" s="362"/>
      <c r="BS101" s="362"/>
      <c r="BT101" s="362"/>
      <c r="BU101" s="362"/>
      <c r="BV101" s="362"/>
      <c r="BW101" s="362"/>
      <c r="BX101" s="362"/>
      <c r="BY101" s="362"/>
      <c r="BZ101" s="362"/>
      <c r="CA101" s="362"/>
      <c r="CB101" s="362"/>
      <c r="CC101" s="362"/>
      <c r="CD101" s="362"/>
      <c r="CE101" s="363"/>
      <c r="CF101" s="360" t="s">
        <v>1314</v>
      </c>
      <c r="CG101" s="360" t="s">
        <v>1321</v>
      </c>
      <c r="CH101" s="360" t="s">
        <v>1328</v>
      </c>
      <c r="CI101" s="360" t="s">
        <v>1247</v>
      </c>
    </row>
    <row r="102" spans="1:87" ht="20.100000000000001" customHeight="1">
      <c r="A102" s="41" t="str">
        <f t="shared" si="28"/>
        <v>Health</v>
      </c>
      <c r="B102" s="133">
        <v>0</v>
      </c>
      <c r="C102" s="81">
        <v>0</v>
      </c>
      <c r="D102" s="16">
        <v>9</v>
      </c>
      <c r="E102" s="106">
        <v>9</v>
      </c>
      <c r="F102" s="81">
        <v>0</v>
      </c>
      <c r="G102" s="16"/>
      <c r="H102" s="916">
        <f t="shared" si="29"/>
        <v>0</v>
      </c>
      <c r="I102" s="16"/>
      <c r="J102" s="16"/>
      <c r="K102" s="11"/>
      <c r="L102" s="16"/>
      <c r="M102" s="627"/>
      <c r="N102" s="630"/>
      <c r="O102" s="630"/>
      <c r="P102" s="630"/>
      <c r="Q102" s="630"/>
      <c r="R102" s="630"/>
      <c r="S102" s="630"/>
      <c r="T102" s="630"/>
      <c r="U102" s="630"/>
      <c r="V102" s="630"/>
      <c r="W102" s="630"/>
      <c r="X102" s="630"/>
      <c r="Y102" s="630"/>
      <c r="Z102" s="630"/>
      <c r="AA102" s="630"/>
      <c r="AB102" s="630"/>
      <c r="AC102" s="630"/>
      <c r="AD102" s="630"/>
      <c r="AE102" s="630"/>
      <c r="AF102" s="1551"/>
      <c r="AG102" s="1581" t="s">
        <v>864</v>
      </c>
      <c r="AH102" s="1582"/>
      <c r="AI102" s="1582"/>
      <c r="AJ102" s="1583"/>
      <c r="AK102" s="115">
        <v>0</v>
      </c>
      <c r="AL102" s="123">
        <f>IF((AL$98-2021)&lt;START!$C$2,0,((AL$93*INDEX('DEFAULT DATA'!$AHP$9:$AHW$41,START!$C$3,4))+(AL$94*INDEX('DEFAULT DATA'!$YZ$9:$ZG$41,START!$C$3,4))+(AL$95*INDEX('DEFAULT DATA'!$AAF$9:$AAM$41,START!$C$3,4)))*INDEX('DEFAULT DATA'!$WC$9:$WJ$41,START!$C$3,4)/1000000)</f>
        <v>0</v>
      </c>
      <c r="AM102" s="123">
        <f>IF((AM$98-2021)&lt;START!$C$2,0,((AM$93*INDEX('DEFAULT DATA'!$AHP$9:$AHW$41,START!$C$3,4))+(AM$94*INDEX('DEFAULT DATA'!$YZ$9:$ZG$41,START!$C$3,4))+(AM$95*INDEX('DEFAULT DATA'!$AAF$9:$AAM$41,START!$C$3,4)))*INDEX('DEFAULT DATA'!$WC$9:$WJ$41,START!$C$3,4)/1000000)</f>
        <v>0</v>
      </c>
      <c r="AN102" s="123">
        <f>IF((AN$98-2021)&lt;START!$C$2,0,((AN$93*INDEX('DEFAULT DATA'!$AHP$9:$AHW$41,START!$C$3,4))+(AN$94*INDEX('DEFAULT DATA'!$YZ$9:$ZG$41,START!$C$3,4))+(AN$95*INDEX('DEFAULT DATA'!$AAF$9:$AAM$41,START!$C$3,4)))*INDEX('DEFAULT DATA'!$WC$9:$WJ$41,START!$C$3,4)/1000000)</f>
        <v>0</v>
      </c>
      <c r="AO102" s="123">
        <f>IF((AO$98-2021)&lt;START!$C$2,0,((AO$93*INDEX('DEFAULT DATA'!$AHP$9:$AHW$41,START!$C$3,4))+(AO$94*INDEX('DEFAULT DATA'!$YZ$9:$ZG$41,START!$C$3,4))+(AO$95*INDEX('DEFAULT DATA'!$AAF$9:$AAM$41,START!$C$3,4)))*INDEX('DEFAULT DATA'!$WC$9:$WJ$41,START!$C$3,4)/1000000)</f>
        <v>0</v>
      </c>
      <c r="AP102" s="123">
        <f>IF((AP$98-2021)&lt;START!$C$2,0,((AP$93*INDEX('DEFAULT DATA'!$AHP$9:$AHW$41,START!$C$3,4))+(AP$94*INDEX('DEFAULT DATA'!$YZ$9:$ZG$41,START!$C$3,4))+(AP$95*INDEX('DEFAULT DATA'!$AAF$9:$AAM$41,START!$C$3,4)))*INDEX('DEFAULT DATA'!$WC$9:$WJ$41,START!$C$3,4)/1000000)</f>
        <v>0</v>
      </c>
      <c r="AQ102" s="123">
        <f>IF((AQ$98-2021)&lt;START!$C$2,0,((AQ$93*INDEX('DEFAULT DATA'!$AHP$9:$AHW$41,START!$C$3,4))+(AQ$94*INDEX('DEFAULT DATA'!$YZ$9:$ZG$41,START!$C$3,4))+(AQ$95*INDEX('DEFAULT DATA'!$AAF$9:$AAM$41,START!$C$3,4)))*INDEX('DEFAULT DATA'!$WC$9:$WJ$41,START!$C$3,4)/1000000)</f>
        <v>0</v>
      </c>
      <c r="AR102" s="123">
        <f>IF((AR$98-2021)&lt;START!$C$2,0,((AR$93*INDEX('DEFAULT DATA'!$AHP$9:$AHW$41,START!$C$3,4))+(AR$94*INDEX('DEFAULT DATA'!$YZ$9:$ZG$41,START!$C$3,4))+(AR$95*INDEX('DEFAULT DATA'!$AAF$9:$AAM$41,START!$C$3,4)))*INDEX('DEFAULT DATA'!$WC$9:$WJ$41,START!$C$3,4)/1000000)</f>
        <v>0</v>
      </c>
      <c r="AS102" s="123">
        <f>IF((AS$98-2021)&lt;START!$C$2,0,((AS$93*INDEX('DEFAULT DATA'!$AHP$9:$AHW$41,START!$C$3,4))+(AS$94*INDEX('DEFAULT DATA'!$YZ$9:$ZG$41,START!$C$3,4))+(AS$95*INDEX('DEFAULT DATA'!$AAF$9:$AAM$41,START!$C$3,4)))*INDEX('DEFAULT DATA'!$WC$9:$WJ$41,START!$C$3,4)/1000000)</f>
        <v>0</v>
      </c>
      <c r="AT102" s="123">
        <f>IF((AT$98-2021)&lt;START!$C$2,0,((AT$93*INDEX('DEFAULT DATA'!$AHP$9:$AHW$41,START!$C$3,4))+(AT$94*INDEX('DEFAULT DATA'!$YZ$9:$ZG$41,START!$C$3,4))+(AT$95*INDEX('DEFAULT DATA'!$AAF$9:$AAM$41,START!$C$3,4)))*INDEX('DEFAULT DATA'!$WC$9:$WJ$41,START!$C$3,4)/1000000)</f>
        <v>0</v>
      </c>
      <c r="AU102" s="123">
        <f>IF((AU$98-2021)&lt;START!$C$2,0,((AU$93*INDEX('DEFAULT DATA'!$AHP$9:$AHW$41,START!$C$3,4))+(AU$94*INDEX('DEFAULT DATA'!$YZ$9:$ZG$41,START!$C$3,4))+(AU$95*INDEX('DEFAULT DATA'!$AAF$9:$AAM$41,START!$C$3,4)))*INDEX('DEFAULT DATA'!$WC$9:$WJ$41,START!$C$3,4)/1000000)</f>
        <v>0</v>
      </c>
      <c r="AV102" s="123">
        <f>IF((AV$98-2021)&lt;START!$C$2,0,((AV$93*INDEX('DEFAULT DATA'!$AHP$9:$AHW$41,START!$C$3,4))+(AV$94*INDEX('DEFAULT DATA'!$YZ$9:$ZG$41,START!$C$3,4))+(AV$95*INDEX('DEFAULT DATA'!$AAF$9:$AAM$41,START!$C$3,4)))*INDEX('DEFAULT DATA'!$WC$9:$WJ$41,START!$C$3,4)/1000000)</f>
        <v>0</v>
      </c>
      <c r="AW102" s="123">
        <f>IF((AW$98-2021)&lt;START!$C$2,0,((AW$93*INDEX('DEFAULT DATA'!$AHP$9:$AHW$41,START!$C$3,4))+(AW$94*INDEX('DEFAULT DATA'!$YZ$9:$ZG$41,START!$C$3,4))+(AW$95*INDEX('DEFAULT DATA'!$AAF$9:$AAM$41,START!$C$3,4)))*INDEX('DEFAULT DATA'!$WC$9:$WJ$41,START!$C$3,4)/1000000)</f>
        <v>0</v>
      </c>
      <c r="AX102" s="123">
        <f>IF((AX$98-2021)&lt;START!$C$2,0,((AX$93*INDEX('DEFAULT DATA'!$AHP$9:$AHW$41,START!$C$3,4))+(AX$94*INDEX('DEFAULT DATA'!$YZ$9:$ZG$41,START!$C$3,4))+(AX$95*INDEX('DEFAULT DATA'!$AAF$9:$AAM$41,START!$C$3,4)))*INDEX('DEFAULT DATA'!$WC$9:$WJ$41,START!$C$3,4)/1000000)</f>
        <v>0</v>
      </c>
      <c r="AY102" s="123">
        <f>IF((AY$98-2021)&lt;START!$C$2,0,((AY$93*INDEX('DEFAULT DATA'!$AHP$9:$AHW$41,START!$C$3,4))+(AY$94*INDEX('DEFAULT DATA'!$YZ$9:$ZG$41,START!$C$3,4))+(AY$95*INDEX('DEFAULT DATA'!$AAF$9:$AAM$41,START!$C$3,4)))*INDEX('DEFAULT DATA'!$WC$9:$WJ$41,START!$C$3,4)/1000000)</f>
        <v>0</v>
      </c>
      <c r="AZ102" s="123">
        <f>IF((AZ$98-2021)&lt;START!$C$2,0,((AZ$93*INDEX('DEFAULT DATA'!$AHP$9:$AHW$41,START!$C$3,4))+(AZ$94*INDEX('DEFAULT DATA'!$YZ$9:$ZG$41,START!$C$3,4))+(AZ$95*INDEX('DEFAULT DATA'!$AAF$9:$AAM$41,START!$C$3,4)))*INDEX('DEFAULT DATA'!$WC$9:$WJ$41,START!$C$3,4)/1000000)</f>
        <v>0</v>
      </c>
      <c r="BA102" s="123">
        <f>IF((BA$98-2021)&lt;START!$C$2,0,((BA$93*INDEX('DEFAULT DATA'!$AHP$9:$AHW$41,START!$C$3,4))+(BA$94*INDEX('DEFAULT DATA'!$YZ$9:$ZG$41,START!$C$3,4))+(BA$95*INDEX('DEFAULT DATA'!$AAF$9:$AAM$41,START!$C$3,4)))*INDEX('DEFAULT DATA'!$WC$9:$WJ$41,START!$C$3,4)/1000000)</f>
        <v>0</v>
      </c>
      <c r="BB102" s="123">
        <f>IF((BB$98-2021)&lt;START!$C$2,0,((BB$93*INDEX('DEFAULT DATA'!$AHP$9:$AHW$41,START!$C$3,4))+(BB$94*INDEX('DEFAULT DATA'!$YZ$9:$ZG$41,START!$C$3,4))+(BB$95*INDEX('DEFAULT DATA'!$AAF$9:$AAM$41,START!$C$3,4)))*INDEX('DEFAULT DATA'!$WC$9:$WJ$41,START!$C$3,4)/1000000)</f>
        <v>0</v>
      </c>
      <c r="BC102" s="123">
        <f>IF((BC$98-2021)&lt;START!$C$2,0,((BC$93*INDEX('DEFAULT DATA'!$AHP$9:$AHW$41,START!$C$3,4))+(BC$94*INDEX('DEFAULT DATA'!$YZ$9:$ZG$41,START!$C$3,4))+(BC$95*INDEX('DEFAULT DATA'!$AAF$9:$AAM$41,START!$C$3,4)))*INDEX('DEFAULT DATA'!$WC$9:$WJ$41,START!$C$3,4)/1000000)</f>
        <v>0</v>
      </c>
      <c r="BD102" s="123">
        <f>IF((BD$98-2021)&lt;START!$C$2,0,((BD$93*INDEX('DEFAULT DATA'!$AHP$9:$AHW$41,START!$C$3,4))+(BD$94*INDEX('DEFAULT DATA'!$YZ$9:$ZG$41,START!$C$3,4))+(BD$95*INDEX('DEFAULT DATA'!$AAF$9:$AAM$41,START!$C$3,4)))*INDEX('DEFAULT DATA'!$WC$9:$WJ$41,START!$C$3,4)/1000000)</f>
        <v>0</v>
      </c>
      <c r="BE102" s="123">
        <f>IF((BE$98-2021)&lt;START!$C$2,0,((BE$93*INDEX('DEFAULT DATA'!$AHP$9:$AHW$41,START!$C$3,4))+(BE$94*INDEX('DEFAULT DATA'!$YZ$9:$ZG$41,START!$C$3,4))+(BE$95*INDEX('DEFAULT DATA'!$AAF$9:$AAM$41,START!$C$3,4)))*INDEX('DEFAULT DATA'!$WC$9:$WJ$41,START!$C$3,4)/1000000)</f>
        <v>0</v>
      </c>
      <c r="BF102" s="123">
        <f>IF((BF$98-2021)&lt;START!$C$2,0,((BF$93*INDEX('DEFAULT DATA'!$AHP$9:$AHW$41,START!$C$3,4))+(BF$94*INDEX('DEFAULT DATA'!$YZ$9:$ZG$41,START!$C$3,4))+(BF$95*INDEX('DEFAULT DATA'!$AAF$9:$AAM$41,START!$C$3,4)))*INDEX('DEFAULT DATA'!$WC$9:$WJ$41,START!$C$3,4)/1000000)</f>
        <v>0</v>
      </c>
      <c r="BG102" s="123">
        <f>IF((BG$98-2021)&lt;START!$C$2,0,((BG$93*INDEX('DEFAULT DATA'!$AHP$9:$AHW$41,START!$C$3,4))+(BG$94*INDEX('DEFAULT DATA'!$YZ$9:$ZG$41,START!$C$3,4))+(BG$95*INDEX('DEFAULT DATA'!$AAF$9:$AAM$41,START!$C$3,4)))*INDEX('DEFAULT DATA'!$WC$9:$WJ$41,START!$C$3,4)/1000000)</f>
        <v>0</v>
      </c>
      <c r="BH102" s="123">
        <f>IF((BH$98-2021)&lt;START!$C$2,0,((BH$93*INDEX('DEFAULT DATA'!$AHP$9:$AHW$41,START!$C$3,4))+(BH$94*INDEX('DEFAULT DATA'!$YZ$9:$ZG$41,START!$C$3,4))+(BH$95*INDEX('DEFAULT DATA'!$AAF$9:$AAM$41,START!$C$3,4)))*INDEX('DEFAULT DATA'!$WC$9:$WJ$41,START!$C$3,4)/1000000)</f>
        <v>0</v>
      </c>
      <c r="BI102" s="123">
        <f>IF((BI$98-2021)&lt;START!$C$2,0,((BI$93*INDEX('DEFAULT DATA'!$AHP$9:$AHW$41,START!$C$3,4))+(BI$94*INDEX('DEFAULT DATA'!$YZ$9:$ZG$41,START!$C$3,4))+(BI$95*INDEX('DEFAULT DATA'!$AAF$9:$AAM$41,START!$C$3,4)))*INDEX('DEFAULT DATA'!$WC$9:$WJ$41,START!$C$3,4)/1000000)</f>
        <v>0</v>
      </c>
      <c r="BJ102" s="123">
        <f>IF((BJ$98-2021)&lt;START!$C$2,0,((BJ$93*INDEX('DEFAULT DATA'!$AHP$9:$AHW$41,START!$C$3,4))+(BJ$94*INDEX('DEFAULT DATA'!$YZ$9:$ZG$41,START!$C$3,4))+(BJ$95*INDEX('DEFAULT DATA'!$AAF$9:$AAM$41,START!$C$3,4)))*INDEX('DEFAULT DATA'!$WC$9:$WJ$41,START!$C$3,4)/1000000)</f>
        <v>0</v>
      </c>
      <c r="BK102" s="123">
        <f>IF((BK$98-2021)&lt;START!$C$2,0,((BK$93*INDEX('DEFAULT DATA'!$AHP$9:$AHW$41,START!$C$3,4))+(BK$94*INDEX('DEFAULT DATA'!$YZ$9:$ZG$41,START!$C$3,4))+(BK$95*INDEX('DEFAULT DATA'!$AAF$9:$AAM$41,START!$C$3,4)))*INDEX('DEFAULT DATA'!$WC$9:$WJ$41,START!$C$3,4)/1000000)</f>
        <v>0</v>
      </c>
      <c r="BL102" s="123">
        <f>IF((BL$98-2021)&lt;START!$C$2,0,((BL$93*INDEX('DEFAULT DATA'!$AHP$9:$AHW$41,START!$C$3,4))+(BL$94*INDEX('DEFAULT DATA'!$YZ$9:$ZG$41,START!$C$3,4))+(BL$95*INDEX('DEFAULT DATA'!$AAF$9:$AAM$41,START!$C$3,4)))*INDEX('DEFAULT DATA'!$WC$9:$WJ$41,START!$C$3,4)/1000000)</f>
        <v>0</v>
      </c>
      <c r="BM102" s="123">
        <f>IF((BM$98-2021)&lt;START!$C$2,0,((BM$93*INDEX('DEFAULT DATA'!$AHP$9:$AHW$41,START!$C$3,4))+(BM$94*INDEX('DEFAULT DATA'!$YZ$9:$ZG$41,START!$C$3,4))+(BM$95*INDEX('DEFAULT DATA'!$AAF$9:$AAM$41,START!$C$3,4)))*INDEX('DEFAULT DATA'!$WC$9:$WJ$41,START!$C$3,4)/1000000)</f>
        <v>0</v>
      </c>
      <c r="BN102" s="159">
        <f>IF((BN$98-2021)&lt;START!$C$2,0,((BN$93*INDEX('DEFAULT DATA'!$AHP$9:$AHW$41,START!$C$3,4))+(BN$94*INDEX('DEFAULT DATA'!$YZ$9:$ZG$41,START!$C$3,4))+(BN$95*INDEX('DEFAULT DATA'!$AAF$9:$AAM$41,START!$C$3,4)))*INDEX('DEFAULT DATA'!$WC$9:$WJ$41,START!$C$3,4)/1000000)</f>
        <v>0</v>
      </c>
      <c r="BP102" s="355" t="str">
        <f t="shared" si="27"/>
        <v>Coal</v>
      </c>
      <c r="BQ102" s="361" t="s">
        <v>1375</v>
      </c>
      <c r="BR102" s="362"/>
      <c r="BS102" s="362"/>
      <c r="BT102" s="362"/>
      <c r="BU102" s="362"/>
      <c r="BV102" s="362"/>
      <c r="BW102" s="362"/>
      <c r="BX102" s="362"/>
      <c r="BY102" s="362"/>
      <c r="BZ102" s="362"/>
      <c r="CA102" s="362"/>
      <c r="CB102" s="362"/>
      <c r="CC102" s="362"/>
      <c r="CD102" s="362"/>
      <c r="CE102" s="363"/>
      <c r="CF102" s="360" t="s">
        <v>1315</v>
      </c>
      <c r="CG102" s="360" t="s">
        <v>1322</v>
      </c>
      <c r="CH102" s="360" t="s">
        <v>1329</v>
      </c>
      <c r="CI102" s="360" t="s">
        <v>1248</v>
      </c>
    </row>
    <row r="103" spans="1:87" ht="20.100000000000001" customHeight="1">
      <c r="A103" s="41" t="str">
        <f t="shared" si="28"/>
        <v>Hospitality</v>
      </c>
      <c r="B103" s="133">
        <v>0</v>
      </c>
      <c r="C103" s="81">
        <v>0</v>
      </c>
      <c r="D103" s="16">
        <v>9</v>
      </c>
      <c r="E103" s="106">
        <v>9</v>
      </c>
      <c r="F103" s="81">
        <v>0</v>
      </c>
      <c r="G103" s="16"/>
      <c r="H103" s="916">
        <f t="shared" si="29"/>
        <v>0</v>
      </c>
      <c r="I103" s="16"/>
      <c r="J103" s="16"/>
      <c r="K103" s="11"/>
      <c r="L103" s="16"/>
      <c r="M103" s="627"/>
      <c r="N103" s="630"/>
      <c r="O103" s="630"/>
      <c r="P103" s="630"/>
      <c r="Q103" s="630"/>
      <c r="R103" s="630"/>
      <c r="S103" s="630"/>
      <c r="T103" s="630"/>
      <c r="U103" s="630"/>
      <c r="V103" s="630"/>
      <c r="W103" s="630"/>
      <c r="X103" s="630"/>
      <c r="Y103" s="630"/>
      <c r="Z103" s="630"/>
      <c r="AA103" s="630"/>
      <c r="AB103" s="630"/>
      <c r="AC103" s="630"/>
      <c r="AD103" s="630"/>
      <c r="AE103" s="630"/>
      <c r="AF103" s="1551"/>
      <c r="AG103" s="1581" t="s">
        <v>865</v>
      </c>
      <c r="AH103" s="1582"/>
      <c r="AI103" s="1582"/>
      <c r="AJ103" s="1583"/>
      <c r="AK103" s="115">
        <v>0</v>
      </c>
      <c r="AL103" s="123">
        <f>IF((AL$98-2021)&lt;START!$C$2,0,((AL$93*INDEX('DEFAULT DATA'!$AHP$9:$AHW$41,START!$C$3,5))+(AL$94*INDEX('DEFAULT DATA'!$YZ$9:$ZG$41,START!$C$3,5))+(AL$95*INDEX('DEFAULT DATA'!$AAF$9:$AAM$41,START!$C$3,5)))*INDEX('DEFAULT DATA'!$WC$9:$WJ$41,START!$C$3,5)/1000000)</f>
        <v>0</v>
      </c>
      <c r="AM103" s="123">
        <f>IF((AM$98-2021)&lt;START!$C$2,0,((AM$93*INDEX('DEFAULT DATA'!$AHP$9:$AHW$41,START!$C$3,5))+(AM$94*INDEX('DEFAULT DATA'!$YZ$9:$ZG$41,START!$C$3,5))+(AM$95*INDEX('DEFAULT DATA'!$AAF$9:$AAM$41,START!$C$3,5)))*INDEX('DEFAULT DATA'!$WC$9:$WJ$41,START!$C$3,5)/1000000)</f>
        <v>0</v>
      </c>
      <c r="AN103" s="123">
        <f>IF((AN$98-2021)&lt;START!$C$2,0,((AN$93*INDEX('DEFAULT DATA'!$AHP$9:$AHW$41,START!$C$3,5))+(AN$94*INDEX('DEFAULT DATA'!$YZ$9:$ZG$41,START!$C$3,5))+(AN$95*INDEX('DEFAULT DATA'!$AAF$9:$AAM$41,START!$C$3,5)))*INDEX('DEFAULT DATA'!$WC$9:$WJ$41,START!$C$3,5)/1000000)</f>
        <v>0</v>
      </c>
      <c r="AO103" s="123">
        <f>IF((AO$98-2021)&lt;START!$C$2,0,((AO$93*INDEX('DEFAULT DATA'!$AHP$9:$AHW$41,START!$C$3,5))+(AO$94*INDEX('DEFAULT DATA'!$YZ$9:$ZG$41,START!$C$3,5))+(AO$95*INDEX('DEFAULT DATA'!$AAF$9:$AAM$41,START!$C$3,5)))*INDEX('DEFAULT DATA'!$WC$9:$WJ$41,START!$C$3,5)/1000000)</f>
        <v>0</v>
      </c>
      <c r="AP103" s="123">
        <f>IF((AP$98-2021)&lt;START!$C$2,0,((AP$93*INDEX('DEFAULT DATA'!$AHP$9:$AHW$41,START!$C$3,5))+(AP$94*INDEX('DEFAULT DATA'!$YZ$9:$ZG$41,START!$C$3,5))+(AP$95*INDEX('DEFAULT DATA'!$AAF$9:$AAM$41,START!$C$3,5)))*INDEX('DEFAULT DATA'!$WC$9:$WJ$41,START!$C$3,5)/1000000)</f>
        <v>0</v>
      </c>
      <c r="AQ103" s="123">
        <f>IF((AQ$98-2021)&lt;START!$C$2,0,((AQ$93*INDEX('DEFAULT DATA'!$AHP$9:$AHW$41,START!$C$3,5))+(AQ$94*INDEX('DEFAULT DATA'!$YZ$9:$ZG$41,START!$C$3,5))+(AQ$95*INDEX('DEFAULT DATA'!$AAF$9:$AAM$41,START!$C$3,5)))*INDEX('DEFAULT DATA'!$WC$9:$WJ$41,START!$C$3,5)/1000000)</f>
        <v>0</v>
      </c>
      <c r="AR103" s="123">
        <f>IF((AR$98-2021)&lt;START!$C$2,0,((AR$93*INDEX('DEFAULT DATA'!$AHP$9:$AHW$41,START!$C$3,5))+(AR$94*INDEX('DEFAULT DATA'!$YZ$9:$ZG$41,START!$C$3,5))+(AR$95*INDEX('DEFAULT DATA'!$AAF$9:$AAM$41,START!$C$3,5)))*INDEX('DEFAULT DATA'!$WC$9:$WJ$41,START!$C$3,5)/1000000)</f>
        <v>0</v>
      </c>
      <c r="AS103" s="123">
        <f>IF((AS$98-2021)&lt;START!$C$2,0,((AS$93*INDEX('DEFAULT DATA'!$AHP$9:$AHW$41,START!$C$3,5))+(AS$94*INDEX('DEFAULT DATA'!$YZ$9:$ZG$41,START!$C$3,5))+(AS$95*INDEX('DEFAULT DATA'!$AAF$9:$AAM$41,START!$C$3,5)))*INDEX('DEFAULT DATA'!$WC$9:$WJ$41,START!$C$3,5)/1000000)</f>
        <v>0</v>
      </c>
      <c r="AT103" s="123">
        <f>IF((AT$98-2021)&lt;START!$C$2,0,((AT$93*INDEX('DEFAULT DATA'!$AHP$9:$AHW$41,START!$C$3,5))+(AT$94*INDEX('DEFAULT DATA'!$YZ$9:$ZG$41,START!$C$3,5))+(AT$95*INDEX('DEFAULT DATA'!$AAF$9:$AAM$41,START!$C$3,5)))*INDEX('DEFAULT DATA'!$WC$9:$WJ$41,START!$C$3,5)/1000000)</f>
        <v>0</v>
      </c>
      <c r="AU103" s="123">
        <f>IF((AU$98-2021)&lt;START!$C$2,0,((AU$93*INDEX('DEFAULT DATA'!$AHP$9:$AHW$41,START!$C$3,5))+(AU$94*INDEX('DEFAULT DATA'!$YZ$9:$ZG$41,START!$C$3,5))+(AU$95*INDEX('DEFAULT DATA'!$AAF$9:$AAM$41,START!$C$3,5)))*INDEX('DEFAULT DATA'!$WC$9:$WJ$41,START!$C$3,5)/1000000)</f>
        <v>0</v>
      </c>
      <c r="AV103" s="123">
        <f>IF((AV$98-2021)&lt;START!$C$2,0,((AV$93*INDEX('DEFAULT DATA'!$AHP$9:$AHW$41,START!$C$3,5))+(AV$94*INDEX('DEFAULT DATA'!$YZ$9:$ZG$41,START!$C$3,5))+(AV$95*INDEX('DEFAULT DATA'!$AAF$9:$AAM$41,START!$C$3,5)))*INDEX('DEFAULT DATA'!$WC$9:$WJ$41,START!$C$3,5)/1000000)</f>
        <v>0</v>
      </c>
      <c r="AW103" s="123">
        <f>IF((AW$98-2021)&lt;START!$C$2,0,((AW$93*INDEX('DEFAULT DATA'!$AHP$9:$AHW$41,START!$C$3,5))+(AW$94*INDEX('DEFAULT DATA'!$YZ$9:$ZG$41,START!$C$3,5))+(AW$95*INDEX('DEFAULT DATA'!$AAF$9:$AAM$41,START!$C$3,5)))*INDEX('DEFAULT DATA'!$WC$9:$WJ$41,START!$C$3,5)/1000000)</f>
        <v>0</v>
      </c>
      <c r="AX103" s="123">
        <f>IF((AX$98-2021)&lt;START!$C$2,0,((AX$93*INDEX('DEFAULT DATA'!$AHP$9:$AHW$41,START!$C$3,5))+(AX$94*INDEX('DEFAULT DATA'!$YZ$9:$ZG$41,START!$C$3,5))+(AX$95*INDEX('DEFAULT DATA'!$AAF$9:$AAM$41,START!$C$3,5)))*INDEX('DEFAULT DATA'!$WC$9:$WJ$41,START!$C$3,5)/1000000)</f>
        <v>0</v>
      </c>
      <c r="AY103" s="123">
        <f>IF((AY$98-2021)&lt;START!$C$2,0,((AY$93*INDEX('DEFAULT DATA'!$AHP$9:$AHW$41,START!$C$3,5))+(AY$94*INDEX('DEFAULT DATA'!$YZ$9:$ZG$41,START!$C$3,5))+(AY$95*INDEX('DEFAULT DATA'!$AAF$9:$AAM$41,START!$C$3,5)))*INDEX('DEFAULT DATA'!$WC$9:$WJ$41,START!$C$3,5)/1000000)</f>
        <v>0</v>
      </c>
      <c r="AZ103" s="123">
        <f>IF((AZ$98-2021)&lt;START!$C$2,0,((AZ$93*INDEX('DEFAULT DATA'!$AHP$9:$AHW$41,START!$C$3,5))+(AZ$94*INDEX('DEFAULT DATA'!$YZ$9:$ZG$41,START!$C$3,5))+(AZ$95*INDEX('DEFAULT DATA'!$AAF$9:$AAM$41,START!$C$3,5)))*INDEX('DEFAULT DATA'!$WC$9:$WJ$41,START!$C$3,5)/1000000)</f>
        <v>0</v>
      </c>
      <c r="BA103" s="123">
        <f>IF((BA$98-2021)&lt;START!$C$2,0,((BA$93*INDEX('DEFAULT DATA'!$AHP$9:$AHW$41,START!$C$3,5))+(BA$94*INDEX('DEFAULT DATA'!$YZ$9:$ZG$41,START!$C$3,5))+(BA$95*INDEX('DEFAULT DATA'!$AAF$9:$AAM$41,START!$C$3,5)))*INDEX('DEFAULT DATA'!$WC$9:$WJ$41,START!$C$3,5)/1000000)</f>
        <v>0</v>
      </c>
      <c r="BB103" s="123">
        <f>IF((BB$98-2021)&lt;START!$C$2,0,((BB$93*INDEX('DEFAULT DATA'!$AHP$9:$AHW$41,START!$C$3,5))+(BB$94*INDEX('DEFAULT DATA'!$YZ$9:$ZG$41,START!$C$3,5))+(BB$95*INDEX('DEFAULT DATA'!$AAF$9:$AAM$41,START!$C$3,5)))*INDEX('DEFAULT DATA'!$WC$9:$WJ$41,START!$C$3,5)/1000000)</f>
        <v>0</v>
      </c>
      <c r="BC103" s="123">
        <f>IF((BC$98-2021)&lt;START!$C$2,0,((BC$93*INDEX('DEFAULT DATA'!$AHP$9:$AHW$41,START!$C$3,5))+(BC$94*INDEX('DEFAULT DATA'!$YZ$9:$ZG$41,START!$C$3,5))+(BC$95*INDEX('DEFAULT DATA'!$AAF$9:$AAM$41,START!$C$3,5)))*INDEX('DEFAULT DATA'!$WC$9:$WJ$41,START!$C$3,5)/1000000)</f>
        <v>0</v>
      </c>
      <c r="BD103" s="123">
        <f>IF((BD$98-2021)&lt;START!$C$2,0,((BD$93*INDEX('DEFAULT DATA'!$AHP$9:$AHW$41,START!$C$3,5))+(BD$94*INDEX('DEFAULT DATA'!$YZ$9:$ZG$41,START!$C$3,5))+(BD$95*INDEX('DEFAULT DATA'!$AAF$9:$AAM$41,START!$C$3,5)))*INDEX('DEFAULT DATA'!$WC$9:$WJ$41,START!$C$3,5)/1000000)</f>
        <v>0</v>
      </c>
      <c r="BE103" s="123">
        <f>IF((BE$98-2021)&lt;START!$C$2,0,((BE$93*INDEX('DEFAULT DATA'!$AHP$9:$AHW$41,START!$C$3,5))+(BE$94*INDEX('DEFAULT DATA'!$YZ$9:$ZG$41,START!$C$3,5))+(BE$95*INDEX('DEFAULT DATA'!$AAF$9:$AAM$41,START!$C$3,5)))*INDEX('DEFAULT DATA'!$WC$9:$WJ$41,START!$C$3,5)/1000000)</f>
        <v>0</v>
      </c>
      <c r="BF103" s="123">
        <f>IF((BF$98-2021)&lt;START!$C$2,0,((BF$93*INDEX('DEFAULT DATA'!$AHP$9:$AHW$41,START!$C$3,5))+(BF$94*INDEX('DEFAULT DATA'!$YZ$9:$ZG$41,START!$C$3,5))+(BF$95*INDEX('DEFAULT DATA'!$AAF$9:$AAM$41,START!$C$3,5)))*INDEX('DEFAULT DATA'!$WC$9:$WJ$41,START!$C$3,5)/1000000)</f>
        <v>0</v>
      </c>
      <c r="BG103" s="123">
        <f>IF((BG$98-2021)&lt;START!$C$2,0,((BG$93*INDEX('DEFAULT DATA'!$AHP$9:$AHW$41,START!$C$3,5))+(BG$94*INDEX('DEFAULT DATA'!$YZ$9:$ZG$41,START!$C$3,5))+(BG$95*INDEX('DEFAULT DATA'!$AAF$9:$AAM$41,START!$C$3,5)))*INDEX('DEFAULT DATA'!$WC$9:$WJ$41,START!$C$3,5)/1000000)</f>
        <v>0</v>
      </c>
      <c r="BH103" s="123">
        <f>IF((BH$98-2021)&lt;START!$C$2,0,((BH$93*INDEX('DEFAULT DATA'!$AHP$9:$AHW$41,START!$C$3,5))+(BH$94*INDEX('DEFAULT DATA'!$YZ$9:$ZG$41,START!$C$3,5))+(BH$95*INDEX('DEFAULT DATA'!$AAF$9:$AAM$41,START!$C$3,5)))*INDEX('DEFAULT DATA'!$WC$9:$WJ$41,START!$C$3,5)/1000000)</f>
        <v>0</v>
      </c>
      <c r="BI103" s="123">
        <f>IF((BI$98-2021)&lt;START!$C$2,0,((BI$93*INDEX('DEFAULT DATA'!$AHP$9:$AHW$41,START!$C$3,5))+(BI$94*INDEX('DEFAULT DATA'!$YZ$9:$ZG$41,START!$C$3,5))+(BI$95*INDEX('DEFAULT DATA'!$AAF$9:$AAM$41,START!$C$3,5)))*INDEX('DEFAULT DATA'!$WC$9:$WJ$41,START!$C$3,5)/1000000)</f>
        <v>0</v>
      </c>
      <c r="BJ103" s="123">
        <f>IF((BJ$98-2021)&lt;START!$C$2,0,((BJ$93*INDEX('DEFAULT DATA'!$AHP$9:$AHW$41,START!$C$3,5))+(BJ$94*INDEX('DEFAULT DATA'!$YZ$9:$ZG$41,START!$C$3,5))+(BJ$95*INDEX('DEFAULT DATA'!$AAF$9:$AAM$41,START!$C$3,5)))*INDEX('DEFAULT DATA'!$WC$9:$WJ$41,START!$C$3,5)/1000000)</f>
        <v>0</v>
      </c>
      <c r="BK103" s="123">
        <f>IF((BK$98-2021)&lt;START!$C$2,0,((BK$93*INDEX('DEFAULT DATA'!$AHP$9:$AHW$41,START!$C$3,5))+(BK$94*INDEX('DEFAULT DATA'!$YZ$9:$ZG$41,START!$C$3,5))+(BK$95*INDEX('DEFAULT DATA'!$AAF$9:$AAM$41,START!$C$3,5)))*INDEX('DEFAULT DATA'!$WC$9:$WJ$41,START!$C$3,5)/1000000)</f>
        <v>0</v>
      </c>
      <c r="BL103" s="123">
        <f>IF((BL$98-2021)&lt;START!$C$2,0,((BL$93*INDEX('DEFAULT DATA'!$AHP$9:$AHW$41,START!$C$3,5))+(BL$94*INDEX('DEFAULT DATA'!$YZ$9:$ZG$41,START!$C$3,5))+(BL$95*INDEX('DEFAULT DATA'!$AAF$9:$AAM$41,START!$C$3,5)))*INDEX('DEFAULT DATA'!$WC$9:$WJ$41,START!$C$3,5)/1000000)</f>
        <v>0</v>
      </c>
      <c r="BM103" s="123">
        <f>IF((BM$98-2021)&lt;START!$C$2,0,((BM$93*INDEX('DEFAULT DATA'!$AHP$9:$AHW$41,START!$C$3,5))+(BM$94*INDEX('DEFAULT DATA'!$YZ$9:$ZG$41,START!$C$3,5))+(BM$95*INDEX('DEFAULT DATA'!$AAF$9:$AAM$41,START!$C$3,5)))*INDEX('DEFAULT DATA'!$WC$9:$WJ$41,START!$C$3,5)/1000000)</f>
        <v>0</v>
      </c>
      <c r="BN103" s="159">
        <f>IF((BN$98-2021)&lt;START!$C$2,0,((BN$93*INDEX('DEFAULT DATA'!$AHP$9:$AHW$41,START!$C$3,5))+(BN$94*INDEX('DEFAULT DATA'!$YZ$9:$ZG$41,START!$C$3,5))+(BN$95*INDEX('DEFAULT DATA'!$AAF$9:$AAM$41,START!$C$3,5)))*INDEX('DEFAULT DATA'!$WC$9:$WJ$41,START!$C$3,5)/1000000)</f>
        <v>0</v>
      </c>
      <c r="BP103" s="355" t="str">
        <f t="shared" si="27"/>
        <v>Peat</v>
      </c>
      <c r="BQ103" s="361" t="s">
        <v>1376</v>
      </c>
      <c r="BR103" s="362"/>
      <c r="BS103" s="362"/>
      <c r="BT103" s="362"/>
      <c r="BU103" s="362"/>
      <c r="BV103" s="362"/>
      <c r="BW103" s="362"/>
      <c r="BX103" s="362"/>
      <c r="BY103" s="362"/>
      <c r="BZ103" s="362"/>
      <c r="CA103" s="362"/>
      <c r="CB103" s="362"/>
      <c r="CC103" s="362"/>
      <c r="CD103" s="362"/>
      <c r="CE103" s="363"/>
      <c r="CF103" s="360" t="s">
        <v>1316</v>
      </c>
      <c r="CG103" s="360" t="s">
        <v>1323</v>
      </c>
      <c r="CH103" s="360" t="s">
        <v>1330</v>
      </c>
      <c r="CI103" s="360" t="s">
        <v>1249</v>
      </c>
    </row>
    <row r="104" spans="1:87" ht="20.100000000000001" customHeight="1">
      <c r="A104" s="41" t="str">
        <f t="shared" si="28"/>
        <v>Offices</v>
      </c>
      <c r="B104" s="133">
        <v>0</v>
      </c>
      <c r="C104" s="81">
        <v>0</v>
      </c>
      <c r="D104" s="16">
        <v>9</v>
      </c>
      <c r="E104" s="106">
        <v>9</v>
      </c>
      <c r="F104" s="81">
        <v>0</v>
      </c>
      <c r="G104" s="16"/>
      <c r="H104" s="916">
        <f t="shared" si="29"/>
        <v>0</v>
      </c>
      <c r="I104" s="16"/>
      <c r="J104" s="16"/>
      <c r="K104" s="11"/>
      <c r="L104" s="16"/>
      <c r="M104" s="627"/>
      <c r="N104" s="630"/>
      <c r="O104" s="630"/>
      <c r="P104" s="630"/>
      <c r="Q104" s="630"/>
      <c r="R104" s="630"/>
      <c r="S104" s="630"/>
      <c r="T104" s="630"/>
      <c r="U104" s="630"/>
      <c r="V104" s="630"/>
      <c r="W104" s="630"/>
      <c r="X104" s="630"/>
      <c r="Y104" s="630"/>
      <c r="Z104" s="630"/>
      <c r="AA104" s="630"/>
      <c r="AB104" s="630"/>
      <c r="AC104" s="630"/>
      <c r="AD104" s="630"/>
      <c r="AE104" s="630"/>
      <c r="AF104" s="1551"/>
      <c r="AG104" s="1581" t="s">
        <v>866</v>
      </c>
      <c r="AH104" s="1582"/>
      <c r="AI104" s="1582"/>
      <c r="AJ104" s="1583"/>
      <c r="AK104" s="115">
        <v>0</v>
      </c>
      <c r="AL104" s="123">
        <f>IF((AL$98-2021)&lt;START!$C$2,0,((AL$93*INDEX('DEFAULT DATA'!$AHP$9:$AHW$41,START!$C$3,6))+(AL$94*INDEX('DEFAULT DATA'!$YZ$9:$ZG$41,START!$C$3,6))+(AL$95*INDEX('DEFAULT DATA'!$AAF$9:$AAM$41,START!$C$3,6)))*INDEX('DEFAULT DATA'!$WC$9:$WJ$41,START!$C$3,6)/1000000)</f>
        <v>0</v>
      </c>
      <c r="AM104" s="123">
        <f>IF((AM$98-2021)&lt;START!$C$2,0,((AM$93*INDEX('DEFAULT DATA'!$AHP$9:$AHW$41,START!$C$3,6))+(AM$94*INDEX('DEFAULT DATA'!$YZ$9:$ZG$41,START!$C$3,6))+(AM$95*INDEX('DEFAULT DATA'!$AAF$9:$AAM$41,START!$C$3,6)))*INDEX('DEFAULT DATA'!$WC$9:$WJ$41,START!$C$3,6)/1000000)</f>
        <v>0</v>
      </c>
      <c r="AN104" s="123">
        <f>IF((AN$98-2021)&lt;START!$C$2,0,((AN$93*INDEX('DEFAULT DATA'!$AHP$9:$AHW$41,START!$C$3,6))+(AN$94*INDEX('DEFAULT DATA'!$YZ$9:$ZG$41,START!$C$3,6))+(AN$95*INDEX('DEFAULT DATA'!$AAF$9:$AAM$41,START!$C$3,6)))*INDEX('DEFAULT DATA'!$WC$9:$WJ$41,START!$C$3,6)/1000000)</f>
        <v>0</v>
      </c>
      <c r="AO104" s="123">
        <f>IF((AO$98-2021)&lt;START!$C$2,0,((AO$93*INDEX('DEFAULT DATA'!$AHP$9:$AHW$41,START!$C$3,6))+(AO$94*INDEX('DEFAULT DATA'!$YZ$9:$ZG$41,START!$C$3,6))+(AO$95*INDEX('DEFAULT DATA'!$AAF$9:$AAM$41,START!$C$3,6)))*INDEX('DEFAULT DATA'!$WC$9:$WJ$41,START!$C$3,6)/1000000)</f>
        <v>0</v>
      </c>
      <c r="AP104" s="123">
        <f>IF((AP$98-2021)&lt;START!$C$2,0,((AP$93*INDEX('DEFAULT DATA'!$AHP$9:$AHW$41,START!$C$3,6))+(AP$94*INDEX('DEFAULT DATA'!$YZ$9:$ZG$41,START!$C$3,6))+(AP$95*INDEX('DEFAULT DATA'!$AAF$9:$AAM$41,START!$C$3,6)))*INDEX('DEFAULT DATA'!$WC$9:$WJ$41,START!$C$3,6)/1000000)</f>
        <v>0</v>
      </c>
      <c r="AQ104" s="123">
        <f>IF((AQ$98-2021)&lt;START!$C$2,0,((AQ$93*INDEX('DEFAULT DATA'!$AHP$9:$AHW$41,START!$C$3,6))+(AQ$94*INDEX('DEFAULT DATA'!$YZ$9:$ZG$41,START!$C$3,6))+(AQ$95*INDEX('DEFAULT DATA'!$AAF$9:$AAM$41,START!$C$3,6)))*INDEX('DEFAULT DATA'!$WC$9:$WJ$41,START!$C$3,6)/1000000)</f>
        <v>0</v>
      </c>
      <c r="AR104" s="123">
        <f>IF((AR$98-2021)&lt;START!$C$2,0,((AR$93*INDEX('DEFAULT DATA'!$AHP$9:$AHW$41,START!$C$3,6))+(AR$94*INDEX('DEFAULT DATA'!$YZ$9:$ZG$41,START!$C$3,6))+(AR$95*INDEX('DEFAULT DATA'!$AAF$9:$AAM$41,START!$C$3,6)))*INDEX('DEFAULT DATA'!$WC$9:$WJ$41,START!$C$3,6)/1000000)</f>
        <v>0</v>
      </c>
      <c r="AS104" s="123">
        <f>IF((AS$98-2021)&lt;START!$C$2,0,((AS$93*INDEX('DEFAULT DATA'!$AHP$9:$AHW$41,START!$C$3,6))+(AS$94*INDEX('DEFAULT DATA'!$YZ$9:$ZG$41,START!$C$3,6))+(AS$95*INDEX('DEFAULT DATA'!$AAF$9:$AAM$41,START!$C$3,6)))*INDEX('DEFAULT DATA'!$WC$9:$WJ$41,START!$C$3,6)/1000000)</f>
        <v>0</v>
      </c>
      <c r="AT104" s="123">
        <f>IF((AT$98-2021)&lt;START!$C$2,0,((AT$93*INDEX('DEFAULT DATA'!$AHP$9:$AHW$41,START!$C$3,6))+(AT$94*INDEX('DEFAULT DATA'!$YZ$9:$ZG$41,START!$C$3,6))+(AT$95*INDEX('DEFAULT DATA'!$AAF$9:$AAM$41,START!$C$3,6)))*INDEX('DEFAULT DATA'!$WC$9:$WJ$41,START!$C$3,6)/1000000)</f>
        <v>0</v>
      </c>
      <c r="AU104" s="123">
        <f>IF((AU$98-2021)&lt;START!$C$2,0,((AU$93*INDEX('DEFAULT DATA'!$AHP$9:$AHW$41,START!$C$3,6))+(AU$94*INDEX('DEFAULT DATA'!$YZ$9:$ZG$41,START!$C$3,6))+(AU$95*INDEX('DEFAULT DATA'!$AAF$9:$AAM$41,START!$C$3,6)))*INDEX('DEFAULT DATA'!$WC$9:$WJ$41,START!$C$3,6)/1000000)</f>
        <v>0</v>
      </c>
      <c r="AV104" s="123">
        <f>IF((AV$98-2021)&lt;START!$C$2,0,((AV$93*INDEX('DEFAULT DATA'!$AHP$9:$AHW$41,START!$C$3,6))+(AV$94*INDEX('DEFAULT DATA'!$YZ$9:$ZG$41,START!$C$3,6))+(AV$95*INDEX('DEFAULT DATA'!$AAF$9:$AAM$41,START!$C$3,6)))*INDEX('DEFAULT DATA'!$WC$9:$WJ$41,START!$C$3,6)/1000000)</f>
        <v>0</v>
      </c>
      <c r="AW104" s="123">
        <f>IF((AW$98-2021)&lt;START!$C$2,0,((AW$93*INDEX('DEFAULT DATA'!$AHP$9:$AHW$41,START!$C$3,6))+(AW$94*INDEX('DEFAULT DATA'!$YZ$9:$ZG$41,START!$C$3,6))+(AW$95*INDEX('DEFAULT DATA'!$AAF$9:$AAM$41,START!$C$3,6)))*INDEX('DEFAULT DATA'!$WC$9:$WJ$41,START!$C$3,6)/1000000)</f>
        <v>0</v>
      </c>
      <c r="AX104" s="123">
        <f>IF((AX$98-2021)&lt;START!$C$2,0,((AX$93*INDEX('DEFAULT DATA'!$AHP$9:$AHW$41,START!$C$3,6))+(AX$94*INDEX('DEFAULT DATA'!$YZ$9:$ZG$41,START!$C$3,6))+(AX$95*INDEX('DEFAULT DATA'!$AAF$9:$AAM$41,START!$C$3,6)))*INDEX('DEFAULT DATA'!$WC$9:$WJ$41,START!$C$3,6)/1000000)</f>
        <v>0</v>
      </c>
      <c r="AY104" s="123">
        <f>IF((AY$98-2021)&lt;START!$C$2,0,((AY$93*INDEX('DEFAULT DATA'!$AHP$9:$AHW$41,START!$C$3,6))+(AY$94*INDEX('DEFAULT DATA'!$YZ$9:$ZG$41,START!$C$3,6))+(AY$95*INDEX('DEFAULT DATA'!$AAF$9:$AAM$41,START!$C$3,6)))*INDEX('DEFAULT DATA'!$WC$9:$WJ$41,START!$C$3,6)/1000000)</f>
        <v>0</v>
      </c>
      <c r="AZ104" s="123">
        <f>IF((AZ$98-2021)&lt;START!$C$2,0,((AZ$93*INDEX('DEFAULT DATA'!$AHP$9:$AHW$41,START!$C$3,6))+(AZ$94*INDEX('DEFAULT DATA'!$YZ$9:$ZG$41,START!$C$3,6))+(AZ$95*INDEX('DEFAULT DATA'!$AAF$9:$AAM$41,START!$C$3,6)))*INDEX('DEFAULT DATA'!$WC$9:$WJ$41,START!$C$3,6)/1000000)</f>
        <v>0</v>
      </c>
      <c r="BA104" s="123">
        <f>IF((BA$98-2021)&lt;START!$C$2,0,((BA$93*INDEX('DEFAULT DATA'!$AHP$9:$AHW$41,START!$C$3,6))+(BA$94*INDEX('DEFAULT DATA'!$YZ$9:$ZG$41,START!$C$3,6))+(BA$95*INDEX('DEFAULT DATA'!$AAF$9:$AAM$41,START!$C$3,6)))*INDEX('DEFAULT DATA'!$WC$9:$WJ$41,START!$C$3,6)/1000000)</f>
        <v>0</v>
      </c>
      <c r="BB104" s="123">
        <f>IF((BB$98-2021)&lt;START!$C$2,0,((BB$93*INDEX('DEFAULT DATA'!$AHP$9:$AHW$41,START!$C$3,6))+(BB$94*INDEX('DEFAULT DATA'!$YZ$9:$ZG$41,START!$C$3,6))+(BB$95*INDEX('DEFAULT DATA'!$AAF$9:$AAM$41,START!$C$3,6)))*INDEX('DEFAULT DATA'!$WC$9:$WJ$41,START!$C$3,6)/1000000)</f>
        <v>0</v>
      </c>
      <c r="BC104" s="123">
        <f>IF((BC$98-2021)&lt;START!$C$2,0,((BC$93*INDEX('DEFAULT DATA'!$AHP$9:$AHW$41,START!$C$3,6))+(BC$94*INDEX('DEFAULT DATA'!$YZ$9:$ZG$41,START!$C$3,6))+(BC$95*INDEX('DEFAULT DATA'!$AAF$9:$AAM$41,START!$C$3,6)))*INDEX('DEFAULT DATA'!$WC$9:$WJ$41,START!$C$3,6)/1000000)</f>
        <v>0</v>
      </c>
      <c r="BD104" s="123">
        <f>IF((BD$98-2021)&lt;START!$C$2,0,((BD$93*INDEX('DEFAULT DATA'!$AHP$9:$AHW$41,START!$C$3,6))+(BD$94*INDEX('DEFAULT DATA'!$YZ$9:$ZG$41,START!$C$3,6))+(BD$95*INDEX('DEFAULT DATA'!$AAF$9:$AAM$41,START!$C$3,6)))*INDEX('DEFAULT DATA'!$WC$9:$WJ$41,START!$C$3,6)/1000000)</f>
        <v>0</v>
      </c>
      <c r="BE104" s="123">
        <f>IF((BE$98-2021)&lt;START!$C$2,0,((BE$93*INDEX('DEFAULT DATA'!$AHP$9:$AHW$41,START!$C$3,6))+(BE$94*INDEX('DEFAULT DATA'!$YZ$9:$ZG$41,START!$C$3,6))+(BE$95*INDEX('DEFAULT DATA'!$AAF$9:$AAM$41,START!$C$3,6)))*INDEX('DEFAULT DATA'!$WC$9:$WJ$41,START!$C$3,6)/1000000)</f>
        <v>0</v>
      </c>
      <c r="BF104" s="123">
        <f>IF((BF$98-2021)&lt;START!$C$2,0,((BF$93*INDEX('DEFAULT DATA'!$AHP$9:$AHW$41,START!$C$3,6))+(BF$94*INDEX('DEFAULT DATA'!$YZ$9:$ZG$41,START!$C$3,6))+(BF$95*INDEX('DEFAULT DATA'!$AAF$9:$AAM$41,START!$C$3,6)))*INDEX('DEFAULT DATA'!$WC$9:$WJ$41,START!$C$3,6)/1000000)</f>
        <v>0</v>
      </c>
      <c r="BG104" s="123">
        <f>IF((BG$98-2021)&lt;START!$C$2,0,((BG$93*INDEX('DEFAULT DATA'!$AHP$9:$AHW$41,START!$C$3,6))+(BG$94*INDEX('DEFAULT DATA'!$YZ$9:$ZG$41,START!$C$3,6))+(BG$95*INDEX('DEFAULT DATA'!$AAF$9:$AAM$41,START!$C$3,6)))*INDEX('DEFAULT DATA'!$WC$9:$WJ$41,START!$C$3,6)/1000000)</f>
        <v>0</v>
      </c>
      <c r="BH104" s="123">
        <f>IF((BH$98-2021)&lt;START!$C$2,0,((BH$93*INDEX('DEFAULT DATA'!$AHP$9:$AHW$41,START!$C$3,6))+(BH$94*INDEX('DEFAULT DATA'!$YZ$9:$ZG$41,START!$C$3,6))+(BH$95*INDEX('DEFAULT DATA'!$AAF$9:$AAM$41,START!$C$3,6)))*INDEX('DEFAULT DATA'!$WC$9:$WJ$41,START!$C$3,6)/1000000)</f>
        <v>0</v>
      </c>
      <c r="BI104" s="123">
        <f>IF((BI$98-2021)&lt;START!$C$2,0,((BI$93*INDEX('DEFAULT DATA'!$AHP$9:$AHW$41,START!$C$3,6))+(BI$94*INDEX('DEFAULT DATA'!$YZ$9:$ZG$41,START!$C$3,6))+(BI$95*INDEX('DEFAULT DATA'!$AAF$9:$AAM$41,START!$C$3,6)))*INDEX('DEFAULT DATA'!$WC$9:$WJ$41,START!$C$3,6)/1000000)</f>
        <v>0</v>
      </c>
      <c r="BJ104" s="123">
        <f>IF((BJ$98-2021)&lt;START!$C$2,0,((BJ$93*INDEX('DEFAULT DATA'!$AHP$9:$AHW$41,START!$C$3,6))+(BJ$94*INDEX('DEFAULT DATA'!$YZ$9:$ZG$41,START!$C$3,6))+(BJ$95*INDEX('DEFAULT DATA'!$AAF$9:$AAM$41,START!$C$3,6)))*INDEX('DEFAULT DATA'!$WC$9:$WJ$41,START!$C$3,6)/1000000)</f>
        <v>0</v>
      </c>
      <c r="BK104" s="123">
        <f>IF((BK$98-2021)&lt;START!$C$2,0,((BK$93*INDEX('DEFAULT DATA'!$AHP$9:$AHW$41,START!$C$3,6))+(BK$94*INDEX('DEFAULT DATA'!$YZ$9:$ZG$41,START!$C$3,6))+(BK$95*INDEX('DEFAULT DATA'!$AAF$9:$AAM$41,START!$C$3,6)))*INDEX('DEFAULT DATA'!$WC$9:$WJ$41,START!$C$3,6)/1000000)</f>
        <v>0</v>
      </c>
      <c r="BL104" s="123">
        <f>IF((BL$98-2021)&lt;START!$C$2,0,((BL$93*INDEX('DEFAULT DATA'!$AHP$9:$AHW$41,START!$C$3,6))+(BL$94*INDEX('DEFAULT DATA'!$YZ$9:$ZG$41,START!$C$3,6))+(BL$95*INDEX('DEFAULT DATA'!$AAF$9:$AAM$41,START!$C$3,6)))*INDEX('DEFAULT DATA'!$WC$9:$WJ$41,START!$C$3,6)/1000000)</f>
        <v>0</v>
      </c>
      <c r="BM104" s="123">
        <f>IF((BM$98-2021)&lt;START!$C$2,0,((BM$93*INDEX('DEFAULT DATA'!$AHP$9:$AHW$41,START!$C$3,6))+(BM$94*INDEX('DEFAULT DATA'!$YZ$9:$ZG$41,START!$C$3,6))+(BM$95*INDEX('DEFAULT DATA'!$AAF$9:$AAM$41,START!$C$3,6)))*INDEX('DEFAULT DATA'!$WC$9:$WJ$41,START!$C$3,6)/1000000)</f>
        <v>0</v>
      </c>
      <c r="BN104" s="159">
        <f>IF((BN$98-2021)&lt;START!$C$2,0,((BN$93*INDEX('DEFAULT DATA'!$AHP$9:$AHW$41,START!$C$3,6))+(BN$94*INDEX('DEFAULT DATA'!$YZ$9:$ZG$41,START!$C$3,6))+(BN$95*INDEX('DEFAULT DATA'!$AAF$9:$AAM$41,START!$C$3,6)))*INDEX('DEFAULT DATA'!$WC$9:$WJ$41,START!$C$3,6)/1000000)</f>
        <v>0</v>
      </c>
      <c r="BP104" s="355" t="str">
        <f t="shared" si="27"/>
        <v>Wood</v>
      </c>
      <c r="BQ104" s="361" t="s">
        <v>1377</v>
      </c>
      <c r="BR104" s="362"/>
      <c r="BS104" s="362"/>
      <c r="BT104" s="362"/>
      <c r="BU104" s="362"/>
      <c r="BV104" s="362"/>
      <c r="BW104" s="362"/>
      <c r="BX104" s="362"/>
      <c r="BY104" s="362"/>
      <c r="BZ104" s="362"/>
      <c r="CA104" s="362"/>
      <c r="CB104" s="362"/>
      <c r="CC104" s="362"/>
      <c r="CD104" s="362"/>
      <c r="CE104" s="363"/>
      <c r="CF104" s="360" t="s">
        <v>1317</v>
      </c>
      <c r="CG104" s="360" t="s">
        <v>1324</v>
      </c>
      <c r="CH104" s="360" t="s">
        <v>1331</v>
      </c>
      <c r="CI104" s="360" t="s">
        <v>1250</v>
      </c>
    </row>
    <row r="105" spans="1:87" ht="20.100000000000001" customHeight="1">
      <c r="A105" s="41" t="str">
        <f t="shared" si="28"/>
        <v>Industrial</v>
      </c>
      <c r="B105" s="133">
        <v>0</v>
      </c>
      <c r="C105" s="81">
        <v>0</v>
      </c>
      <c r="D105" s="16">
        <v>9</v>
      </c>
      <c r="E105" s="106">
        <v>9</v>
      </c>
      <c r="F105" s="81">
        <v>0</v>
      </c>
      <c r="G105" s="16"/>
      <c r="H105" s="916">
        <f t="shared" si="29"/>
        <v>0</v>
      </c>
      <c r="I105" s="16"/>
      <c r="J105" s="16"/>
      <c r="K105" s="11"/>
      <c r="L105" s="16"/>
      <c r="M105" s="627"/>
      <c r="N105" s="630"/>
      <c r="O105" s="630"/>
      <c r="P105" s="630"/>
      <c r="Q105" s="630"/>
      <c r="R105" s="630"/>
      <c r="S105" s="630"/>
      <c r="T105" s="630"/>
      <c r="U105" s="630"/>
      <c r="V105" s="630"/>
      <c r="W105" s="630"/>
      <c r="X105" s="630"/>
      <c r="Y105" s="630"/>
      <c r="Z105" s="630"/>
      <c r="AA105" s="630"/>
      <c r="AB105" s="630"/>
      <c r="AC105" s="630"/>
      <c r="AD105" s="630"/>
      <c r="AE105" s="630"/>
      <c r="AF105" s="1551"/>
      <c r="AG105" s="1581" t="s">
        <v>867</v>
      </c>
      <c r="AH105" s="1582"/>
      <c r="AI105" s="1582"/>
      <c r="AJ105" s="1583"/>
      <c r="AK105" s="115">
        <v>0</v>
      </c>
      <c r="AL105" s="123">
        <f>IF((AL$98-2021)&lt;START!$C$2,0,((AL$93*INDEX('DEFAULT DATA'!$AHP$9:$AHW$41,START!$C$3,7))+(AL$94*INDEX('DEFAULT DATA'!$YZ$9:$ZG$41,START!$C$3,7))+(AL$95*INDEX('DEFAULT DATA'!$AAF$9:$AAM$41,START!$C$3,7)))*INDEX('DEFAULT DATA'!$WC$9:$WJ$41,START!$C$3,7)/1000000)</f>
        <v>0</v>
      </c>
      <c r="AM105" s="123">
        <f>IF((AM$98-2021)&lt;START!$C$2,0,((AM$93*INDEX('DEFAULT DATA'!$AHP$9:$AHW$41,START!$C$3,7))+(AM$94*INDEX('DEFAULT DATA'!$YZ$9:$ZG$41,START!$C$3,7))+(AM$95*INDEX('DEFAULT DATA'!$AAF$9:$AAM$41,START!$C$3,7)))*INDEX('DEFAULT DATA'!$WC$9:$WJ$41,START!$C$3,7)/1000000)</f>
        <v>0</v>
      </c>
      <c r="AN105" s="123">
        <f>IF((AN$98-2021)&lt;START!$C$2,0,((AN$93*INDEX('DEFAULT DATA'!$AHP$9:$AHW$41,START!$C$3,7))+(AN$94*INDEX('DEFAULT DATA'!$YZ$9:$ZG$41,START!$C$3,7))+(AN$95*INDEX('DEFAULT DATA'!$AAF$9:$AAM$41,START!$C$3,7)))*INDEX('DEFAULT DATA'!$WC$9:$WJ$41,START!$C$3,7)/1000000)</f>
        <v>0</v>
      </c>
      <c r="AO105" s="123">
        <f>IF((AO$98-2021)&lt;START!$C$2,0,((AO$93*INDEX('DEFAULT DATA'!$AHP$9:$AHW$41,START!$C$3,7))+(AO$94*INDEX('DEFAULT DATA'!$YZ$9:$ZG$41,START!$C$3,7))+(AO$95*INDEX('DEFAULT DATA'!$AAF$9:$AAM$41,START!$C$3,7)))*INDEX('DEFAULT DATA'!$WC$9:$WJ$41,START!$C$3,7)/1000000)</f>
        <v>0</v>
      </c>
      <c r="AP105" s="123">
        <f>IF((AP$98-2021)&lt;START!$C$2,0,((AP$93*INDEX('DEFAULT DATA'!$AHP$9:$AHW$41,START!$C$3,7))+(AP$94*INDEX('DEFAULT DATA'!$YZ$9:$ZG$41,START!$C$3,7))+(AP$95*INDEX('DEFAULT DATA'!$AAF$9:$AAM$41,START!$C$3,7)))*INDEX('DEFAULT DATA'!$WC$9:$WJ$41,START!$C$3,7)/1000000)</f>
        <v>0</v>
      </c>
      <c r="AQ105" s="123">
        <f>IF((AQ$98-2021)&lt;START!$C$2,0,((AQ$93*INDEX('DEFAULT DATA'!$AHP$9:$AHW$41,START!$C$3,7))+(AQ$94*INDEX('DEFAULT DATA'!$YZ$9:$ZG$41,START!$C$3,7))+(AQ$95*INDEX('DEFAULT DATA'!$AAF$9:$AAM$41,START!$C$3,7)))*INDEX('DEFAULT DATA'!$WC$9:$WJ$41,START!$C$3,7)/1000000)</f>
        <v>0</v>
      </c>
      <c r="AR105" s="123">
        <f>IF((AR$98-2021)&lt;START!$C$2,0,((AR$93*INDEX('DEFAULT DATA'!$AHP$9:$AHW$41,START!$C$3,7))+(AR$94*INDEX('DEFAULT DATA'!$YZ$9:$ZG$41,START!$C$3,7))+(AR$95*INDEX('DEFAULT DATA'!$AAF$9:$AAM$41,START!$C$3,7)))*INDEX('DEFAULT DATA'!$WC$9:$WJ$41,START!$C$3,7)/1000000)</f>
        <v>0</v>
      </c>
      <c r="AS105" s="123">
        <f>IF((AS$98-2021)&lt;START!$C$2,0,((AS$93*INDEX('DEFAULT DATA'!$AHP$9:$AHW$41,START!$C$3,7))+(AS$94*INDEX('DEFAULT DATA'!$YZ$9:$ZG$41,START!$C$3,7))+(AS$95*INDEX('DEFAULT DATA'!$AAF$9:$AAM$41,START!$C$3,7)))*INDEX('DEFAULT DATA'!$WC$9:$WJ$41,START!$C$3,7)/1000000)</f>
        <v>0</v>
      </c>
      <c r="AT105" s="123">
        <f>IF((AT$98-2021)&lt;START!$C$2,0,((AT$93*INDEX('DEFAULT DATA'!$AHP$9:$AHW$41,START!$C$3,7))+(AT$94*INDEX('DEFAULT DATA'!$YZ$9:$ZG$41,START!$C$3,7))+(AT$95*INDEX('DEFAULT DATA'!$AAF$9:$AAM$41,START!$C$3,7)))*INDEX('DEFAULT DATA'!$WC$9:$WJ$41,START!$C$3,7)/1000000)</f>
        <v>0</v>
      </c>
      <c r="AU105" s="123">
        <f>IF((AU$98-2021)&lt;START!$C$2,0,((AU$93*INDEX('DEFAULT DATA'!$AHP$9:$AHW$41,START!$C$3,7))+(AU$94*INDEX('DEFAULT DATA'!$YZ$9:$ZG$41,START!$C$3,7))+(AU$95*INDEX('DEFAULT DATA'!$AAF$9:$AAM$41,START!$C$3,7)))*INDEX('DEFAULT DATA'!$WC$9:$WJ$41,START!$C$3,7)/1000000)</f>
        <v>0</v>
      </c>
      <c r="AV105" s="123">
        <f>IF((AV$98-2021)&lt;START!$C$2,0,((AV$93*INDEX('DEFAULT DATA'!$AHP$9:$AHW$41,START!$C$3,7))+(AV$94*INDEX('DEFAULT DATA'!$YZ$9:$ZG$41,START!$C$3,7))+(AV$95*INDEX('DEFAULT DATA'!$AAF$9:$AAM$41,START!$C$3,7)))*INDEX('DEFAULT DATA'!$WC$9:$WJ$41,START!$C$3,7)/1000000)</f>
        <v>0</v>
      </c>
      <c r="AW105" s="123">
        <f>IF((AW$98-2021)&lt;START!$C$2,0,((AW$93*INDEX('DEFAULT DATA'!$AHP$9:$AHW$41,START!$C$3,7))+(AW$94*INDEX('DEFAULT DATA'!$YZ$9:$ZG$41,START!$C$3,7))+(AW$95*INDEX('DEFAULT DATA'!$AAF$9:$AAM$41,START!$C$3,7)))*INDEX('DEFAULT DATA'!$WC$9:$WJ$41,START!$C$3,7)/1000000)</f>
        <v>0</v>
      </c>
      <c r="AX105" s="123">
        <f>IF((AX$98-2021)&lt;START!$C$2,0,((AX$93*INDEX('DEFAULT DATA'!$AHP$9:$AHW$41,START!$C$3,7))+(AX$94*INDEX('DEFAULT DATA'!$YZ$9:$ZG$41,START!$C$3,7))+(AX$95*INDEX('DEFAULT DATA'!$AAF$9:$AAM$41,START!$C$3,7)))*INDEX('DEFAULT DATA'!$WC$9:$WJ$41,START!$C$3,7)/1000000)</f>
        <v>0</v>
      </c>
      <c r="AY105" s="123">
        <f>IF((AY$98-2021)&lt;START!$C$2,0,((AY$93*INDEX('DEFAULT DATA'!$AHP$9:$AHW$41,START!$C$3,7))+(AY$94*INDEX('DEFAULT DATA'!$YZ$9:$ZG$41,START!$C$3,7))+(AY$95*INDEX('DEFAULT DATA'!$AAF$9:$AAM$41,START!$C$3,7)))*INDEX('DEFAULT DATA'!$WC$9:$WJ$41,START!$C$3,7)/1000000)</f>
        <v>0</v>
      </c>
      <c r="AZ105" s="123">
        <f>IF((AZ$98-2021)&lt;START!$C$2,0,((AZ$93*INDEX('DEFAULT DATA'!$AHP$9:$AHW$41,START!$C$3,7))+(AZ$94*INDEX('DEFAULT DATA'!$YZ$9:$ZG$41,START!$C$3,7))+(AZ$95*INDEX('DEFAULT DATA'!$AAF$9:$AAM$41,START!$C$3,7)))*INDEX('DEFAULT DATA'!$WC$9:$WJ$41,START!$C$3,7)/1000000)</f>
        <v>0</v>
      </c>
      <c r="BA105" s="123">
        <f>IF((BA$98-2021)&lt;START!$C$2,0,((BA$93*INDEX('DEFAULT DATA'!$AHP$9:$AHW$41,START!$C$3,7))+(BA$94*INDEX('DEFAULT DATA'!$YZ$9:$ZG$41,START!$C$3,7))+(BA$95*INDEX('DEFAULT DATA'!$AAF$9:$AAM$41,START!$C$3,7)))*INDEX('DEFAULT DATA'!$WC$9:$WJ$41,START!$C$3,7)/1000000)</f>
        <v>0</v>
      </c>
      <c r="BB105" s="123">
        <f>IF((BB$98-2021)&lt;START!$C$2,0,((BB$93*INDEX('DEFAULT DATA'!$AHP$9:$AHW$41,START!$C$3,7))+(BB$94*INDEX('DEFAULT DATA'!$YZ$9:$ZG$41,START!$C$3,7))+(BB$95*INDEX('DEFAULT DATA'!$AAF$9:$AAM$41,START!$C$3,7)))*INDEX('DEFAULT DATA'!$WC$9:$WJ$41,START!$C$3,7)/1000000)</f>
        <v>0</v>
      </c>
      <c r="BC105" s="123">
        <f>IF((BC$98-2021)&lt;START!$C$2,0,((BC$93*INDEX('DEFAULT DATA'!$AHP$9:$AHW$41,START!$C$3,7))+(BC$94*INDEX('DEFAULT DATA'!$YZ$9:$ZG$41,START!$C$3,7))+(BC$95*INDEX('DEFAULT DATA'!$AAF$9:$AAM$41,START!$C$3,7)))*INDEX('DEFAULT DATA'!$WC$9:$WJ$41,START!$C$3,7)/1000000)</f>
        <v>0</v>
      </c>
      <c r="BD105" s="123">
        <f>IF((BD$98-2021)&lt;START!$C$2,0,((BD$93*INDEX('DEFAULT DATA'!$AHP$9:$AHW$41,START!$C$3,7))+(BD$94*INDEX('DEFAULT DATA'!$YZ$9:$ZG$41,START!$C$3,7))+(BD$95*INDEX('DEFAULT DATA'!$AAF$9:$AAM$41,START!$C$3,7)))*INDEX('DEFAULT DATA'!$WC$9:$WJ$41,START!$C$3,7)/1000000)</f>
        <v>0</v>
      </c>
      <c r="BE105" s="123">
        <f>IF((BE$98-2021)&lt;START!$C$2,0,((BE$93*INDEX('DEFAULT DATA'!$AHP$9:$AHW$41,START!$C$3,7))+(BE$94*INDEX('DEFAULT DATA'!$YZ$9:$ZG$41,START!$C$3,7))+(BE$95*INDEX('DEFAULT DATA'!$AAF$9:$AAM$41,START!$C$3,7)))*INDEX('DEFAULT DATA'!$WC$9:$WJ$41,START!$C$3,7)/1000000)</f>
        <v>0</v>
      </c>
      <c r="BF105" s="123">
        <f>IF((BF$98-2021)&lt;START!$C$2,0,((BF$93*INDEX('DEFAULT DATA'!$AHP$9:$AHW$41,START!$C$3,7))+(BF$94*INDEX('DEFAULT DATA'!$YZ$9:$ZG$41,START!$C$3,7))+(BF$95*INDEX('DEFAULT DATA'!$AAF$9:$AAM$41,START!$C$3,7)))*INDEX('DEFAULT DATA'!$WC$9:$WJ$41,START!$C$3,7)/1000000)</f>
        <v>0</v>
      </c>
      <c r="BG105" s="123">
        <f>IF((BG$98-2021)&lt;START!$C$2,0,((BG$93*INDEX('DEFAULT DATA'!$AHP$9:$AHW$41,START!$C$3,7))+(BG$94*INDEX('DEFAULT DATA'!$YZ$9:$ZG$41,START!$C$3,7))+(BG$95*INDEX('DEFAULT DATA'!$AAF$9:$AAM$41,START!$C$3,7)))*INDEX('DEFAULT DATA'!$WC$9:$WJ$41,START!$C$3,7)/1000000)</f>
        <v>0</v>
      </c>
      <c r="BH105" s="123">
        <f>IF((BH$98-2021)&lt;START!$C$2,0,((BH$93*INDEX('DEFAULT DATA'!$AHP$9:$AHW$41,START!$C$3,7))+(BH$94*INDEX('DEFAULT DATA'!$YZ$9:$ZG$41,START!$C$3,7))+(BH$95*INDEX('DEFAULT DATA'!$AAF$9:$AAM$41,START!$C$3,7)))*INDEX('DEFAULT DATA'!$WC$9:$WJ$41,START!$C$3,7)/1000000)</f>
        <v>0</v>
      </c>
      <c r="BI105" s="123">
        <f>IF((BI$98-2021)&lt;START!$C$2,0,((BI$93*INDEX('DEFAULT DATA'!$AHP$9:$AHW$41,START!$C$3,7))+(BI$94*INDEX('DEFAULT DATA'!$YZ$9:$ZG$41,START!$C$3,7))+(BI$95*INDEX('DEFAULT DATA'!$AAF$9:$AAM$41,START!$C$3,7)))*INDEX('DEFAULT DATA'!$WC$9:$WJ$41,START!$C$3,7)/1000000)</f>
        <v>0</v>
      </c>
      <c r="BJ105" s="123">
        <f>IF((BJ$98-2021)&lt;START!$C$2,0,((BJ$93*INDEX('DEFAULT DATA'!$AHP$9:$AHW$41,START!$C$3,7))+(BJ$94*INDEX('DEFAULT DATA'!$YZ$9:$ZG$41,START!$C$3,7))+(BJ$95*INDEX('DEFAULT DATA'!$AAF$9:$AAM$41,START!$C$3,7)))*INDEX('DEFAULT DATA'!$WC$9:$WJ$41,START!$C$3,7)/1000000)</f>
        <v>0</v>
      </c>
      <c r="BK105" s="123">
        <f>IF((BK$98-2021)&lt;START!$C$2,0,((BK$93*INDEX('DEFAULT DATA'!$AHP$9:$AHW$41,START!$C$3,7))+(BK$94*INDEX('DEFAULT DATA'!$YZ$9:$ZG$41,START!$C$3,7))+(BK$95*INDEX('DEFAULT DATA'!$AAF$9:$AAM$41,START!$C$3,7)))*INDEX('DEFAULT DATA'!$WC$9:$WJ$41,START!$C$3,7)/1000000)</f>
        <v>0</v>
      </c>
      <c r="BL105" s="123">
        <f>IF((BL$98-2021)&lt;START!$C$2,0,((BL$93*INDEX('DEFAULT DATA'!$AHP$9:$AHW$41,START!$C$3,7))+(BL$94*INDEX('DEFAULT DATA'!$YZ$9:$ZG$41,START!$C$3,7))+(BL$95*INDEX('DEFAULT DATA'!$AAF$9:$AAM$41,START!$C$3,7)))*INDEX('DEFAULT DATA'!$WC$9:$WJ$41,START!$C$3,7)/1000000)</f>
        <v>0</v>
      </c>
      <c r="BM105" s="123">
        <f>IF((BM$98-2021)&lt;START!$C$2,0,((BM$93*INDEX('DEFAULT DATA'!$AHP$9:$AHW$41,START!$C$3,7))+(BM$94*INDEX('DEFAULT DATA'!$YZ$9:$ZG$41,START!$C$3,7))+(BM$95*INDEX('DEFAULT DATA'!$AAF$9:$AAM$41,START!$C$3,7)))*INDEX('DEFAULT DATA'!$WC$9:$WJ$41,START!$C$3,7)/1000000)</f>
        <v>0</v>
      </c>
      <c r="BN105" s="159">
        <f>IF((BN$98-2021)&lt;START!$C$2,0,((BN$93*INDEX('DEFAULT DATA'!$AHP$9:$AHW$41,START!$C$3,7))+(BN$94*INDEX('DEFAULT DATA'!$YZ$9:$ZG$41,START!$C$3,7))+(BN$95*INDEX('DEFAULT DATA'!$AAF$9:$AAM$41,START!$C$3,7)))*INDEX('DEFAULT DATA'!$WC$9:$WJ$41,START!$C$3,7)/1000000)</f>
        <v>0</v>
      </c>
      <c r="BP105" s="355" t="str">
        <f t="shared" si="27"/>
        <v>Renewable</v>
      </c>
      <c r="BQ105" s="361" t="s">
        <v>1378</v>
      </c>
      <c r="BR105" s="362"/>
      <c r="BS105" s="362"/>
      <c r="BT105" s="362"/>
      <c r="BU105" s="362"/>
      <c r="BV105" s="362"/>
      <c r="BW105" s="362"/>
      <c r="BX105" s="362"/>
      <c r="BY105" s="362"/>
      <c r="BZ105" s="362"/>
      <c r="CA105" s="362"/>
      <c r="CB105" s="362"/>
      <c r="CC105" s="362"/>
      <c r="CD105" s="362"/>
      <c r="CE105" s="363"/>
      <c r="CF105" s="360" t="s">
        <v>1318</v>
      </c>
      <c r="CG105" s="360" t="s">
        <v>1325</v>
      </c>
      <c r="CH105" s="360" t="s">
        <v>1332</v>
      </c>
      <c r="CI105" s="360" t="s">
        <v>1251</v>
      </c>
    </row>
    <row r="106" spans="1:87" ht="20.100000000000001" customHeight="1" thickBot="1">
      <c r="A106" s="41" t="str">
        <f t="shared" si="28"/>
        <v>Warehouses</v>
      </c>
      <c r="B106" s="133">
        <v>0</v>
      </c>
      <c r="C106" s="81">
        <v>0</v>
      </c>
      <c r="D106" s="16">
        <v>9</v>
      </c>
      <c r="E106" s="106">
        <v>9</v>
      </c>
      <c r="F106" s="81">
        <v>0</v>
      </c>
      <c r="G106" s="16"/>
      <c r="H106" s="916">
        <f t="shared" si="29"/>
        <v>0</v>
      </c>
      <c r="I106" s="16"/>
      <c r="J106" s="16"/>
      <c r="K106" s="11"/>
      <c r="L106" s="16"/>
      <c r="M106" s="627"/>
      <c r="N106" s="630"/>
      <c r="O106" s="630"/>
      <c r="P106" s="630"/>
      <c r="Q106" s="630"/>
      <c r="R106" s="630"/>
      <c r="S106" s="630"/>
      <c r="T106" s="630"/>
      <c r="U106" s="630"/>
      <c r="V106" s="630"/>
      <c r="W106" s="630"/>
      <c r="X106" s="630"/>
      <c r="Y106" s="630"/>
      <c r="Z106" s="630"/>
      <c r="AA106" s="630"/>
      <c r="AB106" s="630"/>
      <c r="AC106" s="630"/>
      <c r="AD106" s="630"/>
      <c r="AE106" s="630"/>
      <c r="AF106" s="1552"/>
      <c r="AG106" s="1542" t="s">
        <v>868</v>
      </c>
      <c r="AH106" s="1572"/>
      <c r="AI106" s="1572"/>
      <c r="AJ106" s="1543"/>
      <c r="AK106" s="170">
        <v>0</v>
      </c>
      <c r="AL106" s="160">
        <f>IF((AL$98-2021)&lt;START!$C$2,0,((AL$93*INDEX('DEFAULT DATA'!$AGR$9:$AGY$41,START!$C$3,8))+(AL$94*INDEX('DEFAULT DATA'!$YB$9:$YI$41,START!$C$3,8))+(AL$95*INDEX('DEFAULT DATA'!$ZH$9:$ZO$41,START!$C$3,8)))*AL6/1000000)</f>
        <v>10968.360971260936</v>
      </c>
      <c r="AM106" s="160">
        <f>IF((AM$98-2021)&lt;START!$C$2,0,((AM$93*INDEX('DEFAULT DATA'!$AGR$9:$AGY$41,START!$C$3,8))+(AM$94*INDEX('DEFAULT DATA'!$YB$9:$YI$41,START!$C$3,8))+(AM$95*INDEX('DEFAULT DATA'!$ZH$9:$ZO$41,START!$C$3,8)))*AM6/1000000)</f>
        <v>10968.360971260936</v>
      </c>
      <c r="AN106" s="160">
        <f>IF((AN$98-2021)&lt;START!$C$2,0,((AN$93*INDEX('DEFAULT DATA'!$AGR$9:$AGY$41,START!$C$3,8))+(AN$94*INDEX('DEFAULT DATA'!$YB$9:$YI$41,START!$C$3,8))+(AN$95*INDEX('DEFAULT DATA'!$ZH$9:$ZO$41,START!$C$3,8)))*AN6/1000000)</f>
        <v>10968.360971260936</v>
      </c>
      <c r="AO106" s="160">
        <f>IF((AO$98-2021)&lt;START!$C$2,0,((AO$93*INDEX('DEFAULT DATA'!$AGR$9:$AGY$41,START!$C$3,8))+(AO$94*INDEX('DEFAULT DATA'!$YB$9:$YI$41,START!$C$3,8))+(AO$95*INDEX('DEFAULT DATA'!$ZH$9:$ZO$41,START!$C$3,8)))*AO6/1000000)</f>
        <v>10968.360971260936</v>
      </c>
      <c r="AP106" s="160">
        <f>IF((AP$98-2021)&lt;START!$C$2,0,((AP$93*INDEX('DEFAULT DATA'!$AGR$9:$AGY$41,START!$C$3,8))+(AP$94*INDEX('DEFAULT DATA'!$YB$9:$YI$41,START!$C$3,8))+(AP$95*INDEX('DEFAULT DATA'!$ZH$9:$ZO$41,START!$C$3,8)))*AP6/1000000)</f>
        <v>10968.360971260936</v>
      </c>
      <c r="AQ106" s="160">
        <f>IF((AQ$98-2021)&lt;START!$C$2,0,((AQ$93*INDEX('DEFAULT DATA'!$AGR$9:$AGY$41,START!$C$3,8))+(AQ$94*INDEX('DEFAULT DATA'!$YB$9:$YI$41,START!$C$3,8))+(AQ$95*INDEX('DEFAULT DATA'!$ZH$9:$ZO$41,START!$C$3,8)))*AQ6/1000000)</f>
        <v>10968.360971260936</v>
      </c>
      <c r="AR106" s="160">
        <f>IF((AR$98-2021)&lt;START!$C$2,0,((AR$93*INDEX('DEFAULT DATA'!$AGR$9:$AGY$41,START!$C$3,8))+(AR$94*INDEX('DEFAULT DATA'!$YB$9:$YI$41,START!$C$3,8))+(AR$95*INDEX('DEFAULT DATA'!$ZH$9:$ZO$41,START!$C$3,8)))*AR6/1000000)</f>
        <v>10968.360971260936</v>
      </c>
      <c r="AS106" s="160">
        <f>IF((AS$98-2021)&lt;START!$C$2,0,((AS$93*INDEX('DEFAULT DATA'!$AGR$9:$AGY$41,START!$C$3,8))+(AS$94*INDEX('DEFAULT DATA'!$YB$9:$YI$41,START!$C$3,8))+(AS$95*INDEX('DEFAULT DATA'!$ZH$9:$ZO$41,START!$C$3,8)))*AS6/1000000)</f>
        <v>10968.360971260936</v>
      </c>
      <c r="AT106" s="160">
        <f>IF((AT$98-2021)&lt;START!$C$2,0,((AT$93*INDEX('DEFAULT DATA'!$AGR$9:$AGY$41,START!$C$3,8))+(AT$94*INDEX('DEFAULT DATA'!$YB$9:$YI$41,START!$C$3,8))+(AT$95*INDEX('DEFAULT DATA'!$ZH$9:$ZO$41,START!$C$3,8)))*AT6/1000000)</f>
        <v>10968.360971260936</v>
      </c>
      <c r="AU106" s="160">
        <f>IF((AU$98-2021)&lt;START!$C$2,0,((AU$93*INDEX('DEFAULT DATA'!$AGR$9:$AGY$41,START!$C$3,8))+(AU$94*INDEX('DEFAULT DATA'!$YB$9:$YI$41,START!$C$3,8))+(AU$95*INDEX('DEFAULT DATA'!$ZH$9:$ZO$41,START!$C$3,8)))*AU6/1000000)</f>
        <v>10968.360971260936</v>
      </c>
      <c r="AV106" s="160">
        <f>IF((AV$98-2021)&lt;START!$C$2,0,((AV$93*INDEX('DEFAULT DATA'!$AGR$9:$AGY$41,START!$C$3,8))+(AV$94*INDEX('DEFAULT DATA'!$YB$9:$YI$41,START!$C$3,8))+(AV$95*INDEX('DEFAULT DATA'!$ZH$9:$ZO$41,START!$C$3,8)))*AV6/1000000)</f>
        <v>10968.360971260936</v>
      </c>
      <c r="AW106" s="160">
        <f>IF((AW$98-2021)&lt;START!$C$2,0,((AW$93*INDEX('DEFAULT DATA'!$AGR$9:$AGY$41,START!$C$3,8))+(AW$94*INDEX('DEFAULT DATA'!$YB$9:$YI$41,START!$C$3,8))+(AW$95*INDEX('DEFAULT DATA'!$ZH$9:$ZO$41,START!$C$3,8)))*AW6/1000000)</f>
        <v>10968.360971260936</v>
      </c>
      <c r="AX106" s="160">
        <f>IF((AX$98-2021)&lt;START!$C$2,0,((AX$93*INDEX('DEFAULT DATA'!$AGR$9:$AGY$41,START!$C$3,8))+(AX$94*INDEX('DEFAULT DATA'!$YB$9:$YI$41,START!$C$3,8))+(AX$95*INDEX('DEFAULT DATA'!$ZH$9:$ZO$41,START!$C$3,8)))*AX6/1000000)</f>
        <v>10968.360971260936</v>
      </c>
      <c r="AY106" s="160">
        <f>IF((AY$98-2021)&lt;START!$C$2,0,((AY$93*INDEX('DEFAULT DATA'!$AGR$9:$AGY$41,START!$C$3,8))+(AY$94*INDEX('DEFAULT DATA'!$YB$9:$YI$41,START!$C$3,8))+(AY$95*INDEX('DEFAULT DATA'!$ZH$9:$ZO$41,START!$C$3,8)))*AY6/1000000)</f>
        <v>10968.360971260936</v>
      </c>
      <c r="AZ106" s="160">
        <f>IF((AZ$98-2021)&lt;START!$C$2,0,((AZ$93*INDEX('DEFAULT DATA'!$AGR$9:$AGY$41,START!$C$3,8))+(AZ$94*INDEX('DEFAULT DATA'!$YB$9:$YI$41,START!$C$3,8))+(AZ$95*INDEX('DEFAULT DATA'!$ZH$9:$ZO$41,START!$C$3,8)))*AZ6/1000000)</f>
        <v>10968.360971260936</v>
      </c>
      <c r="BA106" s="160">
        <f>IF((BA$98-2021)&lt;START!$C$2,0,((BA$93*INDEX('DEFAULT DATA'!$AGR$9:$AGY$41,START!$C$3,8))+(BA$94*INDEX('DEFAULT DATA'!$YB$9:$YI$41,START!$C$3,8))+(BA$95*INDEX('DEFAULT DATA'!$ZH$9:$ZO$41,START!$C$3,8)))*BA6/1000000)</f>
        <v>10968.360971260936</v>
      </c>
      <c r="BB106" s="160">
        <f>IF((BB$98-2021)&lt;START!$C$2,0,((BB$93*INDEX('DEFAULT DATA'!$AGR$9:$AGY$41,START!$C$3,8))+(BB$94*INDEX('DEFAULT DATA'!$YB$9:$YI$41,START!$C$3,8))+(BB$95*INDEX('DEFAULT DATA'!$ZH$9:$ZO$41,START!$C$3,8)))*BB6/1000000)</f>
        <v>10968.360971260936</v>
      </c>
      <c r="BC106" s="160">
        <f>IF((BC$98-2021)&lt;START!$C$2,0,((BC$93*INDEX('DEFAULT DATA'!$AGR$9:$AGY$41,START!$C$3,8))+(BC$94*INDEX('DEFAULT DATA'!$YB$9:$YI$41,START!$C$3,8))+(BC$95*INDEX('DEFAULT DATA'!$ZH$9:$ZO$41,START!$C$3,8)))*BC6/1000000)</f>
        <v>10968.360971260936</v>
      </c>
      <c r="BD106" s="160">
        <f>IF((BD$98-2021)&lt;START!$C$2,0,((BD$93*INDEX('DEFAULT DATA'!$AGR$9:$AGY$41,START!$C$3,8))+(BD$94*INDEX('DEFAULT DATA'!$YB$9:$YI$41,START!$C$3,8))+(BD$95*INDEX('DEFAULT DATA'!$ZH$9:$ZO$41,START!$C$3,8)))*BD6/1000000)</f>
        <v>10968.360971260936</v>
      </c>
      <c r="BE106" s="160">
        <f>IF((BE$98-2021)&lt;START!$C$2,0,((BE$93*INDEX('DEFAULT DATA'!$AGR$9:$AGY$41,START!$C$3,8))+(BE$94*INDEX('DEFAULT DATA'!$YB$9:$YI$41,START!$C$3,8))+(BE$95*INDEX('DEFAULT DATA'!$ZH$9:$ZO$41,START!$C$3,8)))*BE6/1000000)</f>
        <v>10968.360971260936</v>
      </c>
      <c r="BF106" s="160">
        <f>IF((BF$98-2021)&lt;START!$C$2,0,((BF$93*INDEX('DEFAULT DATA'!$AGR$9:$AGY$41,START!$C$3,8))+(BF$94*INDEX('DEFAULT DATA'!$YB$9:$YI$41,START!$C$3,8))+(BF$95*INDEX('DEFAULT DATA'!$ZH$9:$ZO$41,START!$C$3,8)))*BF6/1000000)</f>
        <v>10968.360971260936</v>
      </c>
      <c r="BG106" s="160">
        <f>IF((BG$98-2021)&lt;START!$C$2,0,((BG$93*INDEX('DEFAULT DATA'!$AGR$9:$AGY$41,START!$C$3,8))+(BG$94*INDEX('DEFAULT DATA'!$YB$9:$YI$41,START!$C$3,8))+(BG$95*INDEX('DEFAULT DATA'!$ZH$9:$ZO$41,START!$C$3,8)))*BG6/1000000)</f>
        <v>10968.360971260936</v>
      </c>
      <c r="BH106" s="160">
        <f>IF((BH$98-2021)&lt;START!$C$2,0,((BH$93*INDEX('DEFAULT DATA'!$AGR$9:$AGY$41,START!$C$3,8))+(BH$94*INDEX('DEFAULT DATA'!$YB$9:$YI$41,START!$C$3,8))+(BH$95*INDEX('DEFAULT DATA'!$ZH$9:$ZO$41,START!$C$3,8)))*BH6/1000000)</f>
        <v>10968.360971260936</v>
      </c>
      <c r="BI106" s="160">
        <f>IF((BI$98-2021)&lt;START!$C$2,0,((BI$93*INDEX('DEFAULT DATA'!$AGR$9:$AGY$41,START!$C$3,8))+(BI$94*INDEX('DEFAULT DATA'!$YB$9:$YI$41,START!$C$3,8))+(BI$95*INDEX('DEFAULT DATA'!$ZH$9:$ZO$41,START!$C$3,8)))*BI6/1000000)</f>
        <v>10968.360971260936</v>
      </c>
      <c r="BJ106" s="160">
        <f>IF((BJ$98-2021)&lt;START!$C$2,0,((BJ$93*INDEX('DEFAULT DATA'!$AGR$9:$AGY$41,START!$C$3,8))+(BJ$94*INDEX('DEFAULT DATA'!$YB$9:$YI$41,START!$C$3,8))+(BJ$95*INDEX('DEFAULT DATA'!$ZH$9:$ZO$41,START!$C$3,8)))*BJ6/1000000)</f>
        <v>10968.360971260936</v>
      </c>
      <c r="BK106" s="160">
        <f>IF((BK$98-2021)&lt;START!$C$2,0,((BK$93*INDEX('DEFAULT DATA'!$AGR$9:$AGY$41,START!$C$3,8))+(BK$94*INDEX('DEFAULT DATA'!$YB$9:$YI$41,START!$C$3,8))+(BK$95*INDEX('DEFAULT DATA'!$ZH$9:$ZO$41,START!$C$3,8)))*BK6/1000000)</f>
        <v>10968.360971260936</v>
      </c>
      <c r="BL106" s="160">
        <f>IF((BL$98-2021)&lt;START!$C$2,0,((BL$93*INDEX('DEFAULT DATA'!$AGR$9:$AGY$41,START!$C$3,8))+(BL$94*INDEX('DEFAULT DATA'!$YB$9:$YI$41,START!$C$3,8))+(BL$95*INDEX('DEFAULT DATA'!$ZH$9:$ZO$41,START!$C$3,8)))*BL6/1000000)</f>
        <v>10968.360971260936</v>
      </c>
      <c r="BM106" s="160">
        <f>IF((BM$98-2021)&lt;START!$C$2,0,((BM$93*INDEX('DEFAULT DATA'!$AGR$9:$AGY$41,START!$C$3,8))+(BM$94*INDEX('DEFAULT DATA'!$YB$9:$YI$41,START!$C$3,8))+(BM$95*INDEX('DEFAULT DATA'!$ZH$9:$ZO$41,START!$C$3,8)))*BM6/1000000)</f>
        <v>10968.360971260936</v>
      </c>
      <c r="BN106" s="161">
        <f>IF((BN$98-2021)&lt;START!$C$2,0,((BN$93*INDEX('DEFAULT DATA'!$AGR$9:$AGY$41,START!$C$3,8))+(BN$94*INDEX('DEFAULT DATA'!$YB$9:$YI$41,START!$C$3,8))+(BN$95*INDEX('DEFAULT DATA'!$ZH$9:$ZO$41,START!$C$3,8)))*BN6/1000000)</f>
        <v>10968.360971260936</v>
      </c>
      <c r="BP106" s="356" t="str">
        <f t="shared" si="27"/>
        <v>Heat</v>
      </c>
      <c r="BQ106" s="364" t="s">
        <v>1379</v>
      </c>
      <c r="BR106" s="365"/>
      <c r="BS106" s="365"/>
      <c r="BT106" s="365"/>
      <c r="BU106" s="365"/>
      <c r="BV106" s="365"/>
      <c r="BW106" s="365"/>
      <c r="BX106" s="365"/>
      <c r="BY106" s="365"/>
      <c r="BZ106" s="365"/>
      <c r="CA106" s="365"/>
      <c r="CB106" s="365"/>
      <c r="CC106" s="365"/>
      <c r="CD106" s="365"/>
      <c r="CE106" s="366"/>
      <c r="CF106" s="360" t="s">
        <v>1319</v>
      </c>
      <c r="CG106" s="360" t="s">
        <v>1326</v>
      </c>
      <c r="CH106" s="360" t="s">
        <v>1333</v>
      </c>
      <c r="CI106" s="360" t="s">
        <v>1252</v>
      </c>
    </row>
    <row r="107" spans="1:87" ht="20.100000000000001" customHeight="1">
      <c r="A107" s="15"/>
      <c r="B107" s="16"/>
      <c r="C107" s="16"/>
      <c r="D107" s="16"/>
      <c r="E107" s="16"/>
      <c r="F107" s="16"/>
      <c r="G107" s="16"/>
      <c r="H107" s="16"/>
      <c r="I107" s="16"/>
      <c r="J107" s="16"/>
      <c r="K107" s="11"/>
      <c r="L107" s="16"/>
      <c r="M107" s="627"/>
      <c r="N107" s="630"/>
      <c r="O107" s="630"/>
      <c r="P107" s="630"/>
      <c r="Q107" s="630"/>
      <c r="R107" s="630"/>
      <c r="S107" s="630"/>
      <c r="T107" s="630"/>
      <c r="U107" s="630"/>
      <c r="V107" s="630"/>
      <c r="W107" s="630"/>
      <c r="X107" s="630"/>
      <c r="Y107" s="630"/>
      <c r="Z107" s="630"/>
      <c r="AA107" s="630"/>
      <c r="AB107" s="630"/>
      <c r="AC107" s="630"/>
      <c r="AD107" s="630"/>
      <c r="AE107" s="630"/>
      <c r="AF107" s="167"/>
      <c r="AG107" s="1486" t="s">
        <v>211</v>
      </c>
      <c r="AH107" s="1487"/>
      <c r="AI107" s="1487"/>
      <c r="AJ107" s="1580"/>
      <c r="AK107" s="328">
        <f>SUM(AK99:AK106)</f>
        <v>0</v>
      </c>
      <c r="AL107" s="162">
        <f t="shared" ref="AL107" si="30">SUM(AL99:AL106)</f>
        <v>79224.822270316072</v>
      </c>
      <c r="AM107" s="162">
        <f t="shared" ref="AM107:BN107" si="31">SUM(AM99:AM106)</f>
        <v>77228.58022352065</v>
      </c>
      <c r="AN107" s="162">
        <f t="shared" si="31"/>
        <v>75384.052572281667</v>
      </c>
      <c r="AO107" s="162">
        <f t="shared" si="31"/>
        <v>73679.709022536845</v>
      </c>
      <c r="AP107" s="162">
        <f t="shared" si="31"/>
        <v>72104.895582572644</v>
      </c>
      <c r="AQ107" s="162">
        <f t="shared" si="31"/>
        <v>70649.767964045706</v>
      </c>
      <c r="AR107" s="162">
        <f t="shared" si="31"/>
        <v>69305.230044526834</v>
      </c>
      <c r="AS107" s="162">
        <f t="shared" si="31"/>
        <v>68062.877006891373</v>
      </c>
      <c r="AT107" s="162">
        <f t="shared" si="31"/>
        <v>66914.942800116216</v>
      </c>
      <c r="AU107" s="162">
        <f t="shared" si="31"/>
        <v>66007.772688814701</v>
      </c>
      <c r="AV107" s="162">
        <f t="shared" si="31"/>
        <v>65159.568634747775</v>
      </c>
      <c r="AW107" s="162">
        <f t="shared" si="31"/>
        <v>64366.497844195197</v>
      </c>
      <c r="AX107" s="162">
        <f t="shared" si="31"/>
        <v>63624.976655028542</v>
      </c>
      <c r="AY107" s="162">
        <f t="shared" si="31"/>
        <v>62931.654343157716</v>
      </c>
      <c r="AZ107" s="162">
        <f t="shared" si="31"/>
        <v>62283.397981558504</v>
      </c>
      <c r="BA107" s="162">
        <f t="shared" si="31"/>
        <v>61677.278283463223</v>
      </c>
      <c r="BB107" s="162">
        <f t="shared" si="31"/>
        <v>61110.556365744153</v>
      </c>
      <c r="BC107" s="162">
        <f t="shared" si="31"/>
        <v>60580.671372676807</v>
      </c>
      <c r="BD107" s="162">
        <f t="shared" si="31"/>
        <v>60085.228904158852</v>
      </c>
      <c r="BE107" s="162">
        <f t="shared" si="31"/>
        <v>59621.990196094557</v>
      </c>
      <c r="BF107" s="162">
        <f t="shared" si="31"/>
        <v>59188.862004054434</v>
      </c>
      <c r="BG107" s="162">
        <f t="shared" si="31"/>
        <v>58783.887144496926</v>
      </c>
      <c r="BH107" s="162">
        <f t="shared" si="31"/>
        <v>58405.23565081066</v>
      </c>
      <c r="BI107" s="162">
        <f t="shared" si="31"/>
        <v>58051.196504214007</v>
      </c>
      <c r="BJ107" s="162">
        <f t="shared" si="31"/>
        <v>57720.169902146125</v>
      </c>
      <c r="BK107" s="162">
        <f t="shared" si="31"/>
        <v>57410.660029212653</v>
      </c>
      <c r="BL107" s="162">
        <f t="shared" si="31"/>
        <v>57121.268298019859</v>
      </c>
      <c r="BM107" s="162">
        <f t="shared" si="31"/>
        <v>56850.687029354609</v>
      </c>
      <c r="BN107" s="162">
        <f t="shared" si="31"/>
        <v>56597.693543152578</v>
      </c>
    </row>
    <row r="108" spans="1:87" ht="20.100000000000001" customHeight="1" thickBot="1">
      <c r="A108" s="18"/>
      <c r="B108" s="19"/>
      <c r="C108" s="19"/>
      <c r="D108" s="19"/>
      <c r="E108" s="19"/>
      <c r="F108" s="19"/>
      <c r="G108" s="19"/>
      <c r="H108" s="19"/>
      <c r="I108" s="19"/>
      <c r="J108" s="19"/>
      <c r="K108" s="20"/>
      <c r="L108" s="16"/>
      <c r="M108" s="627"/>
      <c r="N108" s="630"/>
      <c r="O108" s="630"/>
      <c r="P108" s="630"/>
      <c r="Q108" s="630"/>
      <c r="R108" s="630"/>
      <c r="S108" s="630"/>
      <c r="T108" s="630"/>
      <c r="U108" s="630"/>
      <c r="V108" s="630"/>
      <c r="W108" s="630"/>
      <c r="X108" s="630"/>
      <c r="Y108" s="630"/>
      <c r="Z108" s="630"/>
      <c r="AA108" s="630"/>
      <c r="AB108" s="630"/>
      <c r="AC108" s="630"/>
      <c r="AD108" s="630"/>
      <c r="AE108" s="630"/>
    </row>
    <row r="109" spans="1:87" ht="30" customHeight="1" thickBot="1">
      <c r="A109" s="1574" t="s">
        <v>877</v>
      </c>
      <c r="B109" s="1575"/>
      <c r="C109" s="1575"/>
      <c r="D109" s="1575"/>
      <c r="E109" s="1575"/>
      <c r="F109" s="1575"/>
      <c r="G109" s="1575"/>
      <c r="H109" s="1575"/>
      <c r="I109" s="1575"/>
      <c r="J109" s="1575"/>
      <c r="K109" s="1576"/>
      <c r="L109" s="220"/>
      <c r="M109" s="220"/>
      <c r="N109" s="220"/>
      <c r="O109" s="220"/>
      <c r="P109" s="220"/>
      <c r="Q109" s="220"/>
      <c r="R109" s="220"/>
      <c r="S109" s="220"/>
      <c r="T109" s="220"/>
      <c r="U109" s="220"/>
      <c r="V109" s="220"/>
      <c r="W109" s="220"/>
      <c r="X109" s="220"/>
      <c r="Y109" s="220"/>
      <c r="Z109" s="220"/>
      <c r="AA109" s="220"/>
      <c r="AB109" s="220"/>
      <c r="AC109" s="220"/>
      <c r="AD109" s="220"/>
      <c r="AE109" s="220"/>
      <c r="AF109" s="122" t="s">
        <v>1020</v>
      </c>
    </row>
    <row r="110" spans="1:87" ht="20.100000000000001" customHeight="1">
      <c r="A110" s="57"/>
      <c r="B110" s="184"/>
      <c r="C110" s="184"/>
      <c r="D110" s="184"/>
      <c r="E110" s="184"/>
      <c r="F110" s="184"/>
      <c r="G110" s="184"/>
      <c r="H110" s="184"/>
      <c r="I110" s="184"/>
      <c r="J110" s="184"/>
      <c r="K110" s="185"/>
      <c r="L110" s="82"/>
      <c r="M110" s="82"/>
      <c r="N110" s="82"/>
      <c r="O110" s="82"/>
      <c r="P110" s="82"/>
      <c r="Q110" s="82"/>
      <c r="R110" s="82"/>
      <c r="S110" s="82"/>
      <c r="T110" s="82"/>
      <c r="U110" s="82"/>
      <c r="V110" s="82"/>
      <c r="W110" s="82"/>
      <c r="X110" s="82"/>
      <c r="Y110" s="82"/>
      <c r="Z110" s="82"/>
      <c r="AA110" s="82"/>
      <c r="AB110" s="82"/>
      <c r="AC110" s="82"/>
      <c r="AD110" s="82"/>
      <c r="AE110" s="82"/>
      <c r="AF110" s="1584" t="s">
        <v>1040</v>
      </c>
      <c r="AG110" s="1536" t="s">
        <v>1041</v>
      </c>
      <c r="AH110" s="1544"/>
      <c r="AI110" s="1544"/>
      <c r="AJ110" s="1544"/>
      <c r="AK110" s="1544"/>
      <c r="AL110" s="1544"/>
      <c r="AM110" s="1537"/>
    </row>
    <row r="111" spans="1:87" ht="20.100000000000001" customHeight="1">
      <c r="A111" s="85" t="s">
        <v>968</v>
      </c>
      <c r="B111" s="125"/>
      <c r="C111" s="125"/>
      <c r="D111" s="125"/>
      <c r="E111" s="125"/>
      <c r="F111" s="125"/>
      <c r="G111" s="125"/>
      <c r="H111" s="125"/>
      <c r="I111" s="125"/>
      <c r="J111" s="125"/>
      <c r="K111" s="126"/>
      <c r="L111" s="82"/>
      <c r="M111" s="82"/>
      <c r="N111" s="82"/>
      <c r="O111" s="82"/>
      <c r="P111" s="82"/>
      <c r="Q111" s="82"/>
      <c r="R111" s="82"/>
      <c r="S111" s="82"/>
      <c r="T111" s="82"/>
      <c r="U111" s="82"/>
      <c r="V111" s="82"/>
      <c r="W111" s="82"/>
      <c r="X111" s="82"/>
      <c r="Y111" s="82"/>
      <c r="Z111" s="82"/>
      <c r="AA111" s="82"/>
      <c r="AB111" s="82"/>
      <c r="AC111" s="82"/>
      <c r="AD111" s="82"/>
      <c r="AE111" s="82"/>
      <c r="AF111" s="1585"/>
      <c r="AG111" s="1569" t="s">
        <v>1042</v>
      </c>
      <c r="AH111" s="1570"/>
      <c r="AI111" s="1570"/>
      <c r="AJ111" s="1570"/>
      <c r="AK111" s="1570"/>
      <c r="AL111" s="1570"/>
      <c r="AM111" s="1571"/>
    </row>
    <row r="112" spans="1:87" ht="20.100000000000001" customHeight="1">
      <c r="A112" s="41"/>
      <c r="B112" s="82"/>
      <c r="C112" s="1562" t="s">
        <v>1062</v>
      </c>
      <c r="D112" s="1565" t="s">
        <v>971</v>
      </c>
      <c r="E112" s="1565"/>
      <c r="F112" s="1566" t="s">
        <v>967</v>
      </c>
      <c r="G112" s="1472"/>
      <c r="H112" s="1472"/>
      <c r="I112" s="1472" t="s">
        <v>1075</v>
      </c>
      <c r="J112" s="1472"/>
      <c r="K112" s="127"/>
      <c r="L112" s="82"/>
      <c r="M112" s="82"/>
      <c r="N112" s="82"/>
      <c r="O112" s="82"/>
      <c r="P112" s="82"/>
      <c r="Q112" s="82"/>
      <c r="R112" s="82"/>
      <c r="S112" s="82"/>
      <c r="T112" s="82"/>
      <c r="U112" s="82"/>
      <c r="V112" s="82"/>
      <c r="W112" s="82"/>
      <c r="X112" s="82"/>
      <c r="Y112" s="82"/>
      <c r="Z112" s="82"/>
      <c r="AA112" s="82"/>
      <c r="AB112" s="82"/>
      <c r="AC112" s="82"/>
      <c r="AD112" s="82"/>
      <c r="AE112" s="82"/>
      <c r="AF112" s="1585"/>
      <c r="AG112" s="1569" t="s">
        <v>1043</v>
      </c>
      <c r="AH112" s="1570"/>
      <c r="AI112" s="1570"/>
      <c r="AJ112" s="1570"/>
      <c r="AK112" s="1570"/>
      <c r="AL112" s="1570"/>
      <c r="AM112" s="1571"/>
    </row>
    <row r="113" spans="1:58" ht="20.100000000000001" customHeight="1">
      <c r="A113" s="41" t="s">
        <v>980</v>
      </c>
      <c r="B113" s="82"/>
      <c r="C113" s="1477"/>
      <c r="D113" s="216" t="s">
        <v>972</v>
      </c>
      <c r="E113" s="216" t="s">
        <v>899</v>
      </c>
      <c r="F113" s="1567"/>
      <c r="G113" s="215"/>
      <c r="H113" s="216"/>
      <c r="I113" s="1472"/>
      <c r="J113" s="1472"/>
      <c r="K113" s="127"/>
      <c r="L113" s="82"/>
      <c r="M113" s="82"/>
      <c r="N113" s="82"/>
      <c r="O113" s="82"/>
      <c r="P113" s="82"/>
      <c r="Q113" s="82"/>
      <c r="R113" s="82"/>
      <c r="S113" s="82"/>
      <c r="T113" s="82"/>
      <c r="U113" s="82"/>
      <c r="V113" s="82"/>
      <c r="W113" s="82"/>
      <c r="X113" s="82"/>
      <c r="Y113" s="82"/>
      <c r="Z113" s="82"/>
      <c r="AA113" s="82"/>
      <c r="AB113" s="82"/>
      <c r="AC113" s="82"/>
      <c r="AD113" s="82"/>
      <c r="AE113" s="82"/>
      <c r="AF113" s="1586"/>
      <c r="AG113" s="1569" t="s">
        <v>1044</v>
      </c>
      <c r="AH113" s="1570"/>
      <c r="AI113" s="1570"/>
      <c r="AJ113" s="1570"/>
      <c r="AK113" s="1570"/>
      <c r="AL113" s="1570"/>
      <c r="AM113" s="1571"/>
    </row>
    <row r="114" spans="1:58" ht="20.100000000000001" customHeight="1">
      <c r="A114" s="41">
        <v>1</v>
      </c>
      <c r="B114" s="82"/>
      <c r="C114" s="133">
        <v>0</v>
      </c>
      <c r="D114" s="82">
        <v>4</v>
      </c>
      <c r="E114" s="186">
        <v>1</v>
      </c>
      <c r="F114" s="81">
        <v>0</v>
      </c>
      <c r="G114" s="216"/>
      <c r="H114" s="216"/>
      <c r="I114" s="82">
        <v>9</v>
      </c>
      <c r="J114" s="186">
        <v>9</v>
      </c>
      <c r="K114" s="127"/>
      <c r="L114" s="82"/>
      <c r="M114" s="82"/>
      <c r="N114" s="82"/>
      <c r="O114" s="82"/>
      <c r="P114" s="82"/>
      <c r="Q114" s="82"/>
      <c r="R114" s="82"/>
      <c r="S114" s="82"/>
      <c r="T114" s="82"/>
      <c r="U114" s="82"/>
      <c r="V114" s="82"/>
      <c r="W114" s="82"/>
      <c r="X114" s="82"/>
      <c r="Y114" s="82"/>
      <c r="Z114" s="82"/>
      <c r="AA114" s="82"/>
      <c r="AB114" s="82"/>
      <c r="AC114" s="82"/>
      <c r="AD114" s="82"/>
      <c r="AE114" s="82"/>
      <c r="AF114" s="16"/>
      <c r="AG114" s="16"/>
      <c r="AH114" s="16"/>
      <c r="AI114" s="16"/>
      <c r="AJ114" s="16"/>
      <c r="AK114" s="16"/>
      <c r="AL114" s="16"/>
      <c r="AM114" s="16"/>
      <c r="AN114" s="16"/>
      <c r="AO114" s="16"/>
      <c r="AP114" s="16"/>
      <c r="AQ114" s="16"/>
      <c r="AR114" s="16"/>
      <c r="AS114" s="16"/>
      <c r="AT114" s="16"/>
      <c r="AU114" s="16"/>
      <c r="AV114" s="16"/>
      <c r="AW114" s="16"/>
      <c r="AX114" s="16"/>
      <c r="AY114" s="16"/>
      <c r="AZ114" s="16"/>
      <c r="BA114" s="16"/>
      <c r="BB114" s="16"/>
      <c r="BC114" s="16"/>
      <c r="BD114" s="16"/>
      <c r="BE114" s="16"/>
      <c r="BF114" s="16"/>
    </row>
    <row r="115" spans="1:58" ht="20.100000000000001" customHeight="1">
      <c r="A115" s="41">
        <v>4</v>
      </c>
      <c r="B115" s="82"/>
      <c r="C115" s="133">
        <v>0</v>
      </c>
      <c r="D115" s="82">
        <v>5</v>
      </c>
      <c r="E115" s="186">
        <v>1</v>
      </c>
      <c r="F115" s="445">
        <v>0</v>
      </c>
      <c r="G115" s="216"/>
      <c r="H115" s="216"/>
      <c r="I115" s="82">
        <v>9</v>
      </c>
      <c r="J115" s="186">
        <v>14</v>
      </c>
      <c r="K115" s="127"/>
      <c r="L115" s="82"/>
      <c r="M115" s="82"/>
      <c r="N115" s="82"/>
      <c r="O115" s="82"/>
      <c r="P115" s="82"/>
      <c r="Q115" s="82"/>
      <c r="R115" s="82"/>
      <c r="S115" s="82"/>
      <c r="T115" s="82"/>
      <c r="U115" s="82"/>
      <c r="V115" s="82"/>
      <c r="W115" s="82"/>
      <c r="X115" s="82"/>
      <c r="Y115" s="82"/>
      <c r="Z115" s="82"/>
      <c r="AA115" s="82"/>
      <c r="AB115" s="82"/>
      <c r="AC115" s="82"/>
      <c r="AD115" s="82"/>
      <c r="AE115" s="82"/>
      <c r="AF115" s="367" t="s">
        <v>1045</v>
      </c>
      <c r="AG115" s="1494" t="s">
        <v>1047</v>
      </c>
      <c r="AH115" s="1494"/>
      <c r="AI115" s="1494"/>
      <c r="AJ115" s="1494"/>
      <c r="AK115" s="1494"/>
      <c r="AL115" s="1494"/>
      <c r="AM115" s="1494"/>
      <c r="AN115" s="1494"/>
      <c r="AO115" s="1594" t="s">
        <v>1172</v>
      </c>
      <c r="AP115" s="1594"/>
      <c r="AQ115" s="1594"/>
      <c r="AR115" s="1594"/>
      <c r="AS115" s="1594"/>
      <c r="AT115" s="16"/>
      <c r="AU115" s="16"/>
      <c r="AV115" s="16"/>
      <c r="AW115" s="16"/>
      <c r="AX115" s="16"/>
      <c r="AY115" s="16"/>
      <c r="AZ115" s="16"/>
      <c r="BA115" s="16"/>
      <c r="BB115" s="16"/>
      <c r="BC115" s="16"/>
      <c r="BD115" s="16"/>
      <c r="BE115" s="16"/>
      <c r="BF115" s="16"/>
    </row>
    <row r="116" spans="1:58" ht="20.100000000000001" customHeight="1">
      <c r="A116" s="41">
        <v>2</v>
      </c>
      <c r="B116" s="82"/>
      <c r="C116" s="133">
        <v>0</v>
      </c>
      <c r="D116" s="82">
        <v>5</v>
      </c>
      <c r="E116" s="186">
        <v>1</v>
      </c>
      <c r="F116" s="445">
        <v>0</v>
      </c>
      <c r="G116" s="216"/>
      <c r="H116" s="216"/>
      <c r="I116" s="82">
        <v>4</v>
      </c>
      <c r="J116" s="186">
        <v>4</v>
      </c>
      <c r="K116" s="127"/>
      <c r="L116" s="82"/>
      <c r="M116" s="82"/>
      <c r="N116" s="82"/>
      <c r="O116" s="82"/>
      <c r="P116" s="82"/>
      <c r="Q116" s="82"/>
      <c r="R116" s="82"/>
      <c r="S116" s="82"/>
      <c r="T116" s="82"/>
      <c r="U116" s="82"/>
      <c r="V116" s="82"/>
      <c r="W116" s="82"/>
      <c r="X116" s="82"/>
      <c r="Y116" s="82"/>
      <c r="Z116" s="82"/>
      <c r="AA116" s="82"/>
      <c r="AB116" s="82"/>
      <c r="AC116" s="82"/>
      <c r="AD116" s="82"/>
      <c r="AE116" s="82"/>
      <c r="AF116" s="1555" t="s">
        <v>1046</v>
      </c>
      <c r="AG116" s="1494" t="s">
        <v>1048</v>
      </c>
      <c r="AH116" s="1494"/>
      <c r="AI116" s="1494"/>
      <c r="AJ116" s="1494"/>
      <c r="AK116" s="1494"/>
      <c r="AL116" s="1494"/>
      <c r="AM116" s="1494"/>
      <c r="AN116" s="1494"/>
      <c r="AO116" s="1594" t="s">
        <v>1173</v>
      </c>
      <c r="AP116" s="1594"/>
      <c r="AQ116" s="1594"/>
      <c r="AR116" s="1594"/>
      <c r="AS116" s="1594"/>
      <c r="AT116" s="16"/>
      <c r="AU116" s="16"/>
      <c r="AV116" s="16"/>
      <c r="AW116" s="16"/>
      <c r="AX116" s="16"/>
      <c r="AY116" s="16"/>
      <c r="AZ116" s="16"/>
      <c r="BA116" s="16"/>
      <c r="BB116" s="16"/>
      <c r="BC116" s="16"/>
      <c r="BD116" s="16"/>
      <c r="BE116" s="16"/>
      <c r="BF116" s="16"/>
    </row>
    <row r="117" spans="1:58" ht="20.100000000000001" customHeight="1">
      <c r="A117" s="41">
        <v>2</v>
      </c>
      <c r="B117" s="82"/>
      <c r="C117" s="133">
        <v>0</v>
      </c>
      <c r="D117" s="82">
        <v>5</v>
      </c>
      <c r="E117" s="186">
        <v>1</v>
      </c>
      <c r="F117" s="445">
        <v>0</v>
      </c>
      <c r="G117" s="216"/>
      <c r="H117" s="216"/>
      <c r="I117" s="82">
        <v>4</v>
      </c>
      <c r="J117" s="186">
        <v>4</v>
      </c>
      <c r="K117" s="127"/>
      <c r="L117" s="82"/>
      <c r="M117" s="82"/>
      <c r="N117" s="82"/>
      <c r="O117" s="82"/>
      <c r="P117" s="82"/>
      <c r="Q117" s="82"/>
      <c r="R117" s="82"/>
      <c r="S117" s="82"/>
      <c r="T117" s="82"/>
      <c r="U117" s="82"/>
      <c r="V117" s="82"/>
      <c r="W117" s="82"/>
      <c r="X117" s="82"/>
      <c r="Y117" s="82"/>
      <c r="Z117" s="82"/>
      <c r="AA117" s="82"/>
      <c r="AB117" s="82"/>
      <c r="AC117" s="82"/>
      <c r="AD117" s="82"/>
      <c r="AE117" s="82"/>
      <c r="AF117" s="1555"/>
      <c r="AG117" s="1494" t="s">
        <v>1049</v>
      </c>
      <c r="AH117" s="1494"/>
      <c r="AI117" s="1494"/>
      <c r="AJ117" s="1494"/>
      <c r="AK117" s="1494"/>
      <c r="AL117" s="1494"/>
      <c r="AM117" s="1494"/>
      <c r="AN117" s="1494"/>
      <c r="AO117" s="1594" t="s">
        <v>1174</v>
      </c>
      <c r="AP117" s="1594"/>
      <c r="AQ117" s="1594"/>
      <c r="AR117" s="1594"/>
      <c r="AS117" s="1594"/>
      <c r="AT117" s="16"/>
      <c r="AU117" s="16"/>
      <c r="AV117" s="16"/>
      <c r="AW117" s="16"/>
      <c r="AX117" s="16"/>
      <c r="AY117" s="16"/>
      <c r="AZ117" s="16"/>
      <c r="BA117" s="16"/>
      <c r="BB117" s="16"/>
      <c r="BC117" s="16"/>
      <c r="BD117" s="16"/>
      <c r="BE117" s="16"/>
      <c r="BF117" s="16"/>
    </row>
    <row r="118" spans="1:58" ht="20.100000000000001" customHeight="1">
      <c r="A118" s="41">
        <v>2</v>
      </c>
      <c r="B118" s="82"/>
      <c r="C118" s="133">
        <v>0</v>
      </c>
      <c r="D118" s="82">
        <v>5</v>
      </c>
      <c r="E118" s="186">
        <v>1</v>
      </c>
      <c r="F118" s="445">
        <v>0</v>
      </c>
      <c r="G118" s="216"/>
      <c r="H118" s="216"/>
      <c r="I118" s="82">
        <v>4</v>
      </c>
      <c r="J118" s="186">
        <v>4</v>
      </c>
      <c r="K118" s="127"/>
      <c r="L118" s="82"/>
      <c r="M118" s="82"/>
      <c r="N118" s="82"/>
      <c r="O118" s="82"/>
      <c r="P118" s="82"/>
      <c r="Q118" s="82"/>
      <c r="R118" s="82"/>
      <c r="S118" s="82"/>
      <c r="T118" s="82"/>
      <c r="U118" s="82"/>
      <c r="V118" s="82"/>
      <c r="W118" s="82"/>
      <c r="X118" s="82"/>
      <c r="Y118" s="82"/>
      <c r="Z118" s="82"/>
      <c r="AA118" s="82"/>
      <c r="AB118" s="82"/>
      <c r="AC118" s="82"/>
      <c r="AD118" s="82"/>
      <c r="AE118" s="82"/>
      <c r="AF118" s="1555"/>
      <c r="AG118" s="1494" t="s">
        <v>1050</v>
      </c>
      <c r="AH118" s="1494"/>
      <c r="AI118" s="1494"/>
      <c r="AJ118" s="1494"/>
      <c r="AK118" s="1494"/>
      <c r="AL118" s="1494"/>
      <c r="AM118" s="1494"/>
      <c r="AN118" s="1494"/>
      <c r="AO118" s="1594" t="s">
        <v>1175</v>
      </c>
      <c r="AP118" s="1594"/>
      <c r="AQ118" s="1594"/>
      <c r="AR118" s="1594"/>
      <c r="AS118" s="1594"/>
      <c r="AT118" s="16"/>
      <c r="AU118" s="16"/>
      <c r="AV118" s="16"/>
      <c r="AW118" s="16"/>
      <c r="AX118" s="16"/>
      <c r="AY118" s="16"/>
      <c r="AZ118" s="16"/>
      <c r="BA118" s="16"/>
      <c r="BB118" s="16"/>
      <c r="BC118" s="16"/>
      <c r="BD118" s="16"/>
      <c r="BE118" s="16"/>
      <c r="BF118" s="16"/>
    </row>
    <row r="119" spans="1:58" ht="20.100000000000001" customHeight="1">
      <c r="A119" s="41">
        <v>2</v>
      </c>
      <c r="B119" s="82"/>
      <c r="C119" s="133">
        <v>0</v>
      </c>
      <c r="D119" s="82">
        <v>5</v>
      </c>
      <c r="E119" s="186">
        <v>1</v>
      </c>
      <c r="F119" s="445">
        <v>0</v>
      </c>
      <c r="G119" s="216"/>
      <c r="H119" s="216"/>
      <c r="I119" s="82">
        <v>4</v>
      </c>
      <c r="J119" s="186">
        <v>4</v>
      </c>
      <c r="K119" s="127"/>
      <c r="L119" s="82"/>
      <c r="M119" s="82"/>
      <c r="N119" s="82"/>
      <c r="O119" s="82"/>
      <c r="P119" s="82"/>
      <c r="Q119" s="82"/>
      <c r="R119" s="82"/>
      <c r="S119" s="82"/>
      <c r="T119" s="82"/>
      <c r="U119" s="82"/>
      <c r="V119" s="82"/>
      <c r="W119" s="82"/>
      <c r="X119" s="82"/>
      <c r="Y119" s="82"/>
      <c r="Z119" s="82"/>
      <c r="AA119" s="82"/>
      <c r="AB119" s="82"/>
      <c r="AC119" s="82"/>
      <c r="AD119" s="82"/>
      <c r="AE119" s="82"/>
      <c r="AF119" s="1555"/>
      <c r="AG119" s="1494" t="s">
        <v>1051</v>
      </c>
      <c r="AH119" s="1494"/>
      <c r="AI119" s="1494"/>
      <c r="AJ119" s="1494"/>
      <c r="AK119" s="1494"/>
      <c r="AL119" s="1494"/>
      <c r="AM119" s="1494"/>
      <c r="AN119" s="1494"/>
      <c r="AO119" s="1594" t="s">
        <v>1176</v>
      </c>
      <c r="AP119" s="1594"/>
      <c r="AQ119" s="1594"/>
      <c r="AR119" s="1594"/>
      <c r="AS119" s="1594"/>
    </row>
    <row r="120" spans="1:58" ht="20.100000000000001" customHeight="1">
      <c r="A120" s="41"/>
      <c r="B120" s="82"/>
      <c r="C120" s="82"/>
      <c r="D120" s="82"/>
      <c r="E120" s="82"/>
      <c r="F120" s="82"/>
      <c r="G120" s="82"/>
      <c r="H120" s="82"/>
      <c r="I120" s="82"/>
      <c r="J120" s="82"/>
      <c r="K120" s="127"/>
      <c r="L120" s="82"/>
      <c r="M120" s="82"/>
      <c r="N120" s="82"/>
      <c r="O120" s="82"/>
      <c r="P120" s="82"/>
      <c r="Q120" s="82"/>
      <c r="R120" s="82"/>
      <c r="S120" s="82"/>
      <c r="T120" s="82"/>
      <c r="U120" s="82"/>
      <c r="V120" s="82"/>
      <c r="W120" s="82"/>
      <c r="X120" s="82"/>
      <c r="Y120" s="82"/>
      <c r="Z120" s="82"/>
      <c r="AA120" s="82"/>
      <c r="AB120" s="82"/>
      <c r="AC120" s="82"/>
      <c r="AD120" s="82"/>
      <c r="AE120" s="82"/>
      <c r="AF120" s="1555"/>
      <c r="AG120" s="1494" t="s">
        <v>1052</v>
      </c>
      <c r="AH120" s="1494"/>
      <c r="AI120" s="1494"/>
      <c r="AJ120" s="1494"/>
      <c r="AK120" s="1494"/>
      <c r="AL120" s="1494"/>
      <c r="AM120" s="1494"/>
      <c r="AN120" s="1494"/>
      <c r="AO120" s="1594" t="s">
        <v>1177</v>
      </c>
      <c r="AP120" s="1594"/>
      <c r="AQ120" s="1594"/>
      <c r="AR120" s="1594"/>
      <c r="AS120" s="1594"/>
    </row>
    <row r="121" spans="1:58" ht="20.100000000000001" customHeight="1">
      <c r="A121" s="85" t="s">
        <v>969</v>
      </c>
      <c r="B121" s="125"/>
      <c r="C121" s="125"/>
      <c r="D121" s="125"/>
      <c r="E121" s="125"/>
      <c r="F121" s="125"/>
      <c r="G121" s="125"/>
      <c r="H121" s="125"/>
      <c r="I121" s="125"/>
      <c r="J121" s="125"/>
      <c r="K121" s="126"/>
      <c r="L121" s="82"/>
      <c r="M121" s="82"/>
      <c r="N121" s="82"/>
      <c r="O121" s="82"/>
      <c r="P121" s="82"/>
      <c r="Q121" s="82"/>
      <c r="R121" s="82"/>
      <c r="S121" s="82"/>
      <c r="T121" s="82"/>
      <c r="U121" s="82"/>
      <c r="V121" s="82"/>
      <c r="W121" s="82"/>
      <c r="X121" s="82"/>
      <c r="Y121" s="82"/>
      <c r="Z121" s="82"/>
      <c r="AA121" s="82"/>
      <c r="AB121" s="82"/>
      <c r="AC121" s="82"/>
      <c r="AD121" s="82"/>
      <c r="AE121" s="82"/>
      <c r="AF121" s="1555"/>
      <c r="AG121" s="1494" t="s">
        <v>1053</v>
      </c>
      <c r="AH121" s="1494"/>
      <c r="AI121" s="1494"/>
      <c r="AJ121" s="1494"/>
      <c r="AK121" s="1494"/>
      <c r="AL121" s="1494"/>
      <c r="AM121" s="1494"/>
      <c r="AN121" s="1494"/>
      <c r="AO121" s="1594" t="s">
        <v>1178</v>
      </c>
      <c r="AP121" s="1594"/>
      <c r="AQ121" s="1594"/>
      <c r="AR121" s="1594"/>
      <c r="AS121" s="1594"/>
    </row>
    <row r="122" spans="1:58" ht="20.100000000000001" customHeight="1">
      <c r="A122" s="41"/>
      <c r="B122" s="82"/>
      <c r="C122" s="1562" t="s">
        <v>878</v>
      </c>
      <c r="D122" s="82"/>
      <c r="E122" s="1566" t="s">
        <v>2085</v>
      </c>
      <c r="F122" s="1566" t="s">
        <v>967</v>
      </c>
      <c r="G122" s="1472"/>
      <c r="H122" s="1472"/>
      <c r="I122" s="1472" t="s">
        <v>1075</v>
      </c>
      <c r="J122" s="1472"/>
      <c r="K122" s="127"/>
      <c r="L122" s="82"/>
      <c r="M122" s="82"/>
      <c r="N122" s="82"/>
      <c r="O122" s="82"/>
      <c r="P122" s="82"/>
      <c r="Q122" s="82"/>
      <c r="R122" s="82"/>
      <c r="S122" s="82"/>
      <c r="T122" s="82"/>
      <c r="U122" s="82"/>
      <c r="V122" s="82"/>
      <c r="W122" s="82"/>
      <c r="X122" s="82"/>
      <c r="Y122" s="82"/>
      <c r="Z122" s="82"/>
      <c r="AA122" s="82"/>
      <c r="AB122" s="82"/>
      <c r="AC122" s="82"/>
      <c r="AD122" s="82"/>
      <c r="AE122" s="82"/>
      <c r="AF122" s="1555"/>
      <c r="AG122" s="1494" t="s">
        <v>1054</v>
      </c>
      <c r="AH122" s="1494"/>
      <c r="AI122" s="1494"/>
      <c r="AJ122" s="1494"/>
      <c r="AK122" s="1494"/>
      <c r="AL122" s="1494"/>
      <c r="AM122" s="1494"/>
      <c r="AN122" s="1494"/>
      <c r="AO122" s="1594" t="s">
        <v>1179</v>
      </c>
      <c r="AP122" s="1594"/>
      <c r="AQ122" s="1594"/>
      <c r="AR122" s="1594"/>
      <c r="AS122" s="1594"/>
    </row>
    <row r="123" spans="1:58" ht="20.100000000000001" customHeight="1">
      <c r="A123" s="41" t="s">
        <v>981</v>
      </c>
      <c r="B123" s="82"/>
      <c r="C123" s="1477"/>
      <c r="D123" s="82"/>
      <c r="E123" s="1568"/>
      <c r="F123" s="1568"/>
      <c r="G123" s="215"/>
      <c r="H123" s="216"/>
      <c r="I123" s="1472"/>
      <c r="J123" s="1472"/>
      <c r="K123" s="127"/>
      <c r="L123" s="82"/>
      <c r="M123" s="82"/>
      <c r="N123" s="82"/>
      <c r="O123" s="82"/>
      <c r="P123" s="82"/>
      <c r="Q123" s="82"/>
      <c r="R123" s="82"/>
      <c r="S123" s="82"/>
      <c r="T123" s="82"/>
      <c r="U123" s="82"/>
      <c r="V123" s="82"/>
      <c r="W123" s="82"/>
      <c r="X123" s="82"/>
      <c r="Y123" s="82"/>
      <c r="Z123" s="82"/>
      <c r="AA123" s="82"/>
      <c r="AB123" s="82"/>
      <c r="AC123" s="82"/>
      <c r="AD123" s="82"/>
      <c r="AE123" s="82"/>
      <c r="AF123" s="368" t="s">
        <v>871</v>
      </c>
      <c r="AG123" s="1494" t="s">
        <v>1055</v>
      </c>
      <c r="AH123" s="1494"/>
      <c r="AI123" s="1494"/>
      <c r="AJ123" s="1494"/>
      <c r="AK123" s="1494"/>
      <c r="AL123" s="1494"/>
      <c r="AM123" s="1494"/>
      <c r="AN123" s="1494"/>
      <c r="AO123" s="1594" t="s">
        <v>1180</v>
      </c>
      <c r="AP123" s="1594"/>
      <c r="AQ123" s="1594"/>
      <c r="AR123" s="1594"/>
      <c r="AS123" s="1594"/>
    </row>
    <row r="124" spans="1:58" ht="20.100000000000001" customHeight="1">
      <c r="A124" s="41">
        <v>2</v>
      </c>
      <c r="B124" s="82"/>
      <c r="C124" s="445">
        <v>0</v>
      </c>
      <c r="D124" s="216"/>
      <c r="E124" s="131"/>
      <c r="F124" s="131"/>
      <c r="G124" s="216"/>
      <c r="H124" s="216"/>
      <c r="I124" s="187">
        <v>2</v>
      </c>
      <c r="J124" s="187">
        <v>3</v>
      </c>
      <c r="K124" s="127"/>
      <c r="L124" s="82"/>
      <c r="M124" s="82"/>
      <c r="N124" s="82"/>
      <c r="O124" s="82"/>
      <c r="P124" s="82"/>
      <c r="Q124" s="82"/>
      <c r="R124" s="82"/>
      <c r="S124" s="82"/>
      <c r="T124" s="82"/>
      <c r="U124" s="82"/>
      <c r="V124" s="82"/>
      <c r="W124" s="82"/>
      <c r="X124" s="82"/>
      <c r="Y124" s="82"/>
      <c r="Z124" s="82"/>
      <c r="AA124" s="82"/>
      <c r="AB124" s="82"/>
      <c r="AC124" s="82"/>
      <c r="AD124" s="82"/>
      <c r="AE124" s="82"/>
      <c r="AF124" s="368" t="s">
        <v>872</v>
      </c>
      <c r="AG124" s="1494" t="s">
        <v>1056</v>
      </c>
      <c r="AH124" s="1494"/>
      <c r="AI124" s="1494"/>
      <c r="AJ124" s="1494"/>
      <c r="AK124" s="1494"/>
      <c r="AL124" s="1494"/>
      <c r="AM124" s="1494"/>
      <c r="AN124" s="1494"/>
      <c r="AO124" s="1594" t="s">
        <v>1181</v>
      </c>
      <c r="AP124" s="1594"/>
      <c r="AQ124" s="1594"/>
      <c r="AR124" s="1594"/>
      <c r="AS124" s="1594"/>
    </row>
    <row r="125" spans="1:58" ht="20.100000000000001" customHeight="1">
      <c r="A125" s="41">
        <v>2</v>
      </c>
      <c r="B125" s="82"/>
      <c r="C125" s="445">
        <v>0</v>
      </c>
      <c r="D125" s="216"/>
      <c r="E125" s="131"/>
      <c r="F125" s="131"/>
      <c r="G125" s="216"/>
      <c r="H125" s="216"/>
      <c r="I125" s="187">
        <v>2</v>
      </c>
      <c r="J125" s="187">
        <v>3</v>
      </c>
      <c r="K125" s="127"/>
      <c r="L125" s="82"/>
      <c r="M125" s="82"/>
      <c r="N125" s="82"/>
      <c r="O125" s="82"/>
      <c r="P125" s="82"/>
      <c r="Q125" s="82"/>
      <c r="R125" s="82"/>
      <c r="S125" s="82"/>
      <c r="T125" s="82"/>
      <c r="U125" s="82"/>
      <c r="V125" s="82"/>
      <c r="W125" s="82"/>
      <c r="X125" s="82"/>
      <c r="Y125" s="82"/>
      <c r="Z125" s="82"/>
      <c r="AA125" s="82"/>
      <c r="AB125" s="82"/>
      <c r="AC125" s="82"/>
      <c r="AD125" s="82"/>
      <c r="AE125" s="82"/>
      <c r="AF125" s="368" t="s">
        <v>873</v>
      </c>
      <c r="AG125" s="1494" t="s">
        <v>1057</v>
      </c>
      <c r="AH125" s="1494"/>
      <c r="AI125" s="1494"/>
      <c r="AJ125" s="1494"/>
      <c r="AK125" s="1494"/>
      <c r="AL125" s="1494"/>
      <c r="AM125" s="1494"/>
      <c r="AN125" s="1494"/>
      <c r="AO125" s="1594" t="s">
        <v>1182</v>
      </c>
      <c r="AP125" s="1594"/>
      <c r="AQ125" s="1594"/>
      <c r="AR125" s="1594"/>
      <c r="AS125" s="1594"/>
    </row>
    <row r="126" spans="1:58" ht="20.100000000000001" customHeight="1">
      <c r="A126" s="41">
        <v>2</v>
      </c>
      <c r="B126" s="82"/>
      <c r="C126" s="445">
        <v>0</v>
      </c>
      <c r="D126" s="216"/>
      <c r="E126" s="131"/>
      <c r="F126" s="131"/>
      <c r="G126" s="216"/>
      <c r="H126" s="216"/>
      <c r="I126" s="187">
        <v>2</v>
      </c>
      <c r="J126" s="187">
        <v>3</v>
      </c>
      <c r="K126" s="127"/>
      <c r="L126" s="82"/>
      <c r="M126" s="82"/>
      <c r="N126" s="82"/>
      <c r="O126" s="82"/>
      <c r="P126" s="82"/>
      <c r="Q126" s="82"/>
      <c r="R126" s="82"/>
      <c r="S126" s="82"/>
      <c r="T126" s="82"/>
      <c r="U126" s="82"/>
      <c r="V126" s="82"/>
      <c r="W126" s="82"/>
      <c r="X126" s="82"/>
      <c r="Y126" s="82"/>
      <c r="Z126" s="82"/>
      <c r="AA126" s="82"/>
      <c r="AB126" s="82"/>
      <c r="AC126" s="82"/>
      <c r="AD126" s="82"/>
      <c r="AE126" s="82"/>
      <c r="AF126" s="368" t="s">
        <v>874</v>
      </c>
      <c r="AG126" s="1494" t="s">
        <v>1058</v>
      </c>
      <c r="AH126" s="1494"/>
      <c r="AI126" s="1494"/>
      <c r="AJ126" s="1494"/>
      <c r="AK126" s="1494"/>
      <c r="AL126" s="1494"/>
      <c r="AM126" s="1494"/>
      <c r="AN126" s="1494"/>
      <c r="AO126" s="1594" t="s">
        <v>1183</v>
      </c>
      <c r="AP126" s="1594"/>
      <c r="AQ126" s="1594"/>
      <c r="AR126" s="1594"/>
      <c r="AS126" s="1594"/>
    </row>
    <row r="127" spans="1:58" ht="20.100000000000001" customHeight="1">
      <c r="A127" s="41">
        <v>2</v>
      </c>
      <c r="B127" s="82"/>
      <c r="C127" s="445">
        <v>0</v>
      </c>
      <c r="D127" s="216"/>
      <c r="E127" s="131"/>
      <c r="F127" s="131"/>
      <c r="G127" s="216"/>
      <c r="H127" s="216"/>
      <c r="I127" s="187">
        <v>2</v>
      </c>
      <c r="J127" s="187">
        <v>3</v>
      </c>
      <c r="K127" s="127"/>
      <c r="L127" s="82"/>
      <c r="M127" s="82"/>
      <c r="N127" s="82"/>
      <c r="O127" s="82"/>
      <c r="P127" s="82"/>
      <c r="Q127" s="82"/>
      <c r="R127" s="82"/>
      <c r="S127" s="82"/>
      <c r="T127" s="82"/>
      <c r="U127" s="82"/>
      <c r="V127" s="82"/>
      <c r="W127" s="82"/>
      <c r="X127" s="82"/>
      <c r="Y127" s="82"/>
      <c r="Z127" s="82"/>
      <c r="AA127" s="82"/>
      <c r="AB127" s="82"/>
      <c r="AC127" s="82"/>
      <c r="AD127" s="82"/>
      <c r="AE127" s="82"/>
      <c r="AF127" s="368" t="s">
        <v>875</v>
      </c>
      <c r="AG127" s="1494" t="s">
        <v>1059</v>
      </c>
      <c r="AH127" s="1494"/>
      <c r="AI127" s="1494"/>
      <c r="AJ127" s="1494"/>
      <c r="AK127" s="1494"/>
      <c r="AL127" s="1494"/>
      <c r="AM127" s="1494"/>
      <c r="AN127" s="1494"/>
      <c r="AO127" s="1594" t="s">
        <v>1184</v>
      </c>
      <c r="AP127" s="1594"/>
      <c r="AQ127" s="1594"/>
      <c r="AR127" s="1594"/>
      <c r="AS127" s="1594"/>
    </row>
    <row r="128" spans="1:58" ht="20.100000000000001" customHeight="1">
      <c r="A128" s="41">
        <v>2</v>
      </c>
      <c r="B128" s="82"/>
      <c r="C128" s="445">
        <v>0</v>
      </c>
      <c r="D128" s="216"/>
      <c r="E128" s="131"/>
      <c r="F128" s="131"/>
      <c r="G128" s="216"/>
      <c r="H128" s="216"/>
      <c r="I128" s="187">
        <v>2</v>
      </c>
      <c r="J128" s="187">
        <v>3</v>
      </c>
      <c r="K128" s="127"/>
      <c r="L128" s="82"/>
      <c r="M128" s="82"/>
      <c r="N128" s="82"/>
      <c r="O128" s="82"/>
      <c r="P128" s="82"/>
      <c r="Q128" s="82"/>
      <c r="R128" s="82"/>
      <c r="S128" s="82"/>
      <c r="T128" s="82"/>
      <c r="U128" s="82"/>
      <c r="V128" s="82"/>
      <c r="W128" s="82"/>
      <c r="X128" s="82"/>
      <c r="Y128" s="82"/>
      <c r="Z128" s="82"/>
      <c r="AA128" s="82"/>
      <c r="AB128" s="82"/>
      <c r="AC128" s="82"/>
      <c r="AD128" s="82"/>
      <c r="AE128" s="82"/>
    </row>
    <row r="129" spans="1:87" ht="20.100000000000001" customHeight="1">
      <c r="A129" s="41">
        <v>2</v>
      </c>
      <c r="B129" s="82"/>
      <c r="C129" s="445">
        <v>0</v>
      </c>
      <c r="D129" s="216"/>
      <c r="E129" s="131"/>
      <c r="F129" s="131"/>
      <c r="G129" s="216"/>
      <c r="H129" s="216"/>
      <c r="I129" s="187">
        <v>2</v>
      </c>
      <c r="J129" s="187">
        <v>3</v>
      </c>
      <c r="K129" s="127"/>
      <c r="L129" s="82"/>
      <c r="M129" s="82"/>
      <c r="N129" s="82"/>
      <c r="O129" s="82"/>
      <c r="P129" s="82"/>
      <c r="Q129" s="82"/>
      <c r="R129" s="82"/>
      <c r="S129" s="82"/>
      <c r="T129" s="82"/>
      <c r="U129" s="82"/>
      <c r="V129" s="82"/>
      <c r="W129" s="82"/>
      <c r="X129" s="82"/>
      <c r="Y129" s="82"/>
      <c r="Z129" s="82"/>
      <c r="AA129" s="82"/>
      <c r="AB129" s="82"/>
      <c r="AC129" s="82"/>
      <c r="AD129" s="82"/>
      <c r="AE129" s="82"/>
    </row>
    <row r="130" spans="1:87" ht="20.100000000000001" customHeight="1">
      <c r="A130" s="41"/>
      <c r="B130" s="82"/>
      <c r="C130" s="82"/>
      <c r="D130" s="216"/>
      <c r="E130" s="82"/>
      <c r="F130" s="82"/>
      <c r="G130" s="82"/>
      <c r="H130" s="82"/>
      <c r="I130" s="187"/>
      <c r="J130" s="187"/>
      <c r="K130" s="127"/>
      <c r="L130" s="82"/>
      <c r="M130" s="82"/>
      <c r="N130" s="82"/>
      <c r="O130" s="82"/>
      <c r="P130" s="82"/>
      <c r="Q130" s="82"/>
      <c r="R130" s="82"/>
      <c r="S130" s="82"/>
      <c r="T130" s="82"/>
      <c r="U130" s="82"/>
      <c r="V130" s="82"/>
      <c r="W130" s="82"/>
      <c r="X130" s="82"/>
      <c r="Y130" s="82"/>
      <c r="Z130" s="82"/>
      <c r="AA130" s="82"/>
      <c r="AB130" s="82"/>
      <c r="AC130" s="82"/>
      <c r="AD130" s="82"/>
      <c r="AE130" s="82"/>
      <c r="AF130" s="122" t="s">
        <v>1020</v>
      </c>
      <c r="BP130" s="6" t="s">
        <v>1380</v>
      </c>
      <c r="BQ130" s="6"/>
    </row>
    <row r="131" spans="1:87" ht="20.100000000000001" customHeight="1">
      <c r="A131" s="41"/>
      <c r="B131" s="82"/>
      <c r="C131" s="82"/>
      <c r="D131" s="82"/>
      <c r="E131" s="82"/>
      <c r="F131" s="82"/>
      <c r="G131" s="82"/>
      <c r="H131" s="82"/>
      <c r="I131" s="82"/>
      <c r="J131" s="82"/>
      <c r="K131" s="127"/>
      <c r="L131" s="82"/>
      <c r="M131" s="82"/>
      <c r="N131" s="82"/>
      <c r="O131" s="82"/>
      <c r="P131" s="82"/>
      <c r="Q131" s="82"/>
      <c r="R131" s="82"/>
      <c r="S131" s="82"/>
      <c r="T131" s="82"/>
      <c r="U131" s="82"/>
      <c r="V131" s="82"/>
      <c r="W131" s="82"/>
      <c r="X131" s="82"/>
      <c r="Y131" s="82"/>
      <c r="Z131" s="82"/>
      <c r="AA131" s="82"/>
      <c r="AB131" s="82"/>
      <c r="AC131" s="82"/>
      <c r="AD131" s="82"/>
      <c r="AE131" s="82"/>
      <c r="AF131" s="319" t="s">
        <v>1032</v>
      </c>
      <c r="AG131" s="1581" t="s">
        <v>984</v>
      </c>
      <c r="AH131" s="1582"/>
      <c r="AI131" s="1582"/>
      <c r="AJ131" s="1583"/>
      <c r="AK131" s="115">
        <v>2021</v>
      </c>
      <c r="AL131" s="115">
        <f>AK131+1</f>
        <v>2022</v>
      </c>
      <c r="AM131" s="115">
        <f t="shared" ref="AM131:BN131" si="32">AL131+1</f>
        <v>2023</v>
      </c>
      <c r="AN131" s="115">
        <f t="shared" si="32"/>
        <v>2024</v>
      </c>
      <c r="AO131" s="115">
        <f t="shared" si="32"/>
        <v>2025</v>
      </c>
      <c r="AP131" s="115">
        <f t="shared" si="32"/>
        <v>2026</v>
      </c>
      <c r="AQ131" s="115">
        <f t="shared" si="32"/>
        <v>2027</v>
      </c>
      <c r="AR131" s="115">
        <f t="shared" si="32"/>
        <v>2028</v>
      </c>
      <c r="AS131" s="115">
        <f t="shared" si="32"/>
        <v>2029</v>
      </c>
      <c r="AT131" s="115">
        <f t="shared" si="32"/>
        <v>2030</v>
      </c>
      <c r="AU131" s="115">
        <f t="shared" si="32"/>
        <v>2031</v>
      </c>
      <c r="AV131" s="115">
        <f t="shared" si="32"/>
        <v>2032</v>
      </c>
      <c r="AW131" s="115">
        <f t="shared" si="32"/>
        <v>2033</v>
      </c>
      <c r="AX131" s="115">
        <f t="shared" si="32"/>
        <v>2034</v>
      </c>
      <c r="AY131" s="115">
        <f t="shared" si="32"/>
        <v>2035</v>
      </c>
      <c r="AZ131" s="115">
        <f t="shared" si="32"/>
        <v>2036</v>
      </c>
      <c r="BA131" s="115">
        <f t="shared" si="32"/>
        <v>2037</v>
      </c>
      <c r="BB131" s="115">
        <f t="shared" si="32"/>
        <v>2038</v>
      </c>
      <c r="BC131" s="115">
        <f t="shared" si="32"/>
        <v>2039</v>
      </c>
      <c r="BD131" s="115">
        <f t="shared" si="32"/>
        <v>2040</v>
      </c>
      <c r="BE131" s="115">
        <f t="shared" si="32"/>
        <v>2041</v>
      </c>
      <c r="BF131" s="115">
        <f t="shared" si="32"/>
        <v>2042</v>
      </c>
      <c r="BG131" s="115">
        <f t="shared" si="32"/>
        <v>2043</v>
      </c>
      <c r="BH131" s="115">
        <f t="shared" si="32"/>
        <v>2044</v>
      </c>
      <c r="BI131" s="115">
        <f t="shared" si="32"/>
        <v>2045</v>
      </c>
      <c r="BJ131" s="115">
        <f t="shared" si="32"/>
        <v>2046</v>
      </c>
      <c r="BK131" s="115">
        <f t="shared" si="32"/>
        <v>2047</v>
      </c>
      <c r="BL131" s="115">
        <f t="shared" si="32"/>
        <v>2048</v>
      </c>
      <c r="BM131" s="115">
        <f t="shared" si="32"/>
        <v>2049</v>
      </c>
      <c r="BN131" s="115">
        <f t="shared" si="32"/>
        <v>2050</v>
      </c>
      <c r="BP131" s="353"/>
      <c r="BQ131" s="354" t="s">
        <v>1217</v>
      </c>
    </row>
    <row r="132" spans="1:87" ht="20.100000000000001" customHeight="1">
      <c r="A132" s="85" t="s">
        <v>1079</v>
      </c>
      <c r="B132" s="125"/>
      <c r="C132" s="125"/>
      <c r="D132" s="125"/>
      <c r="E132" s="125"/>
      <c r="F132" s="125"/>
      <c r="G132" s="125"/>
      <c r="H132" s="125"/>
      <c r="I132" s="125"/>
      <c r="J132" s="125"/>
      <c r="K132" s="126"/>
      <c r="L132" s="82"/>
      <c r="M132" s="82"/>
      <c r="N132" s="82"/>
      <c r="O132" s="82"/>
      <c r="P132" s="82"/>
      <c r="Q132" s="82"/>
      <c r="R132" s="82"/>
      <c r="S132" s="82"/>
      <c r="T132" s="82"/>
      <c r="U132" s="82"/>
      <c r="V132" s="82"/>
      <c r="W132" s="82"/>
      <c r="X132" s="82"/>
      <c r="Y132" s="82"/>
      <c r="Z132" s="82"/>
      <c r="AA132" s="82"/>
      <c r="AB132" s="82"/>
      <c r="AC132" s="82"/>
      <c r="AD132" s="82"/>
      <c r="AE132" s="82"/>
      <c r="AF132" s="1556" t="s">
        <v>1031</v>
      </c>
      <c r="AG132" s="1581" t="s">
        <v>870</v>
      </c>
      <c r="AH132" s="1582"/>
      <c r="AI132" s="1582"/>
      <c r="AJ132" s="1583"/>
      <c r="AK132" s="322">
        <v>0</v>
      </c>
      <c r="AL132" s="81">
        <f>IF((AL$131-2021)=START!$C$2,BUILDINGS!$B15,(100-INDEX('DEFAULT DATA'!$WN$9:$WP$41,START!$C$3,1)+INDEX('DEFAULT DATA'!$XO$9:$XQ$41,START!$C$3,1))/100*AK132)</f>
        <v>262714</v>
      </c>
      <c r="AM132" s="81">
        <f>IF((AM$131-2021)=START!$C$2,BUILDINGS!$B15,(100-INDEX('DEFAULT DATA'!$WN$9:$WP$41,START!$C$3,1)+INDEX('DEFAULT DATA'!$XO$9:$XQ$41,START!$C$3,1))/100*AL132)</f>
        <v>262714</v>
      </c>
      <c r="AN132" s="81">
        <f>IF((AN$131-2021)=START!$C$2,BUILDINGS!$B15,(100-INDEX('DEFAULT DATA'!$WN$9:$WP$41,START!$C$3,1)+INDEX('DEFAULT DATA'!$XO$9:$XQ$41,START!$C$3,1))/100*AM132)</f>
        <v>262714</v>
      </c>
      <c r="AO132" s="81">
        <f>IF((AO$131-2021)=START!$C$2,BUILDINGS!$B15,(100-INDEX('DEFAULT DATA'!$WN$9:$WP$41,START!$C$3,1)+INDEX('DEFAULT DATA'!$XO$9:$XQ$41,START!$C$3,1))/100*AN132)</f>
        <v>262714</v>
      </c>
      <c r="AP132" s="81">
        <f>IF((AP$131-2021)=START!$C$2,BUILDINGS!$B15,(100-INDEX('DEFAULT DATA'!$WN$9:$WP$41,START!$C$3,1)+INDEX('DEFAULT DATA'!$XO$9:$XQ$41,START!$C$3,1))/100*AO132)</f>
        <v>262714</v>
      </c>
      <c r="AQ132" s="81">
        <f>IF((AQ$131-2021)=START!$C$2,BUILDINGS!$B15,(100-INDEX('DEFAULT DATA'!$WN$9:$WP$41,START!$C$3,1)+INDEX('DEFAULT DATA'!$XO$9:$XQ$41,START!$C$3,1))/100*AP132)</f>
        <v>262714</v>
      </c>
      <c r="AR132" s="81">
        <f>IF((AR$131-2021)=START!$C$2,BUILDINGS!$B15,(100-INDEX('DEFAULT DATA'!$WN$9:$WP$41,START!$C$3,1)+INDEX('DEFAULT DATA'!$XO$9:$XQ$41,START!$C$3,1))/100*AQ132)</f>
        <v>262714</v>
      </c>
      <c r="AS132" s="81">
        <f>IF((AS$131-2021)=START!$C$2,BUILDINGS!$B15,(100-INDEX('DEFAULT DATA'!$WN$9:$WP$41,START!$C$3,1)+INDEX('DEFAULT DATA'!$XO$9:$XQ$41,START!$C$3,1))/100*AR132)</f>
        <v>262714</v>
      </c>
      <c r="AT132" s="81">
        <f>IF((AT$131-2021)=START!$C$2,BUILDINGS!$B15,(100-INDEX('DEFAULT DATA'!$WN$9:$WP$41,START!$C$3,1)+INDEX('DEFAULT DATA'!$XO$9:$XQ$41,START!$C$3,1))/100*AS132)</f>
        <v>262714</v>
      </c>
      <c r="AU132" s="81">
        <f>IF((AU$131-2021)=START!$C$2,BUILDINGS!$B15,(100-INDEX('DEFAULT DATA'!$WN$9:$WP$41,START!$C$3,1)+INDEX('DEFAULT DATA'!$XO$9:$XQ$41,START!$C$3,1))/100*AT132)</f>
        <v>262714</v>
      </c>
      <c r="AV132" s="81">
        <f>IF((AV$131-2021)=START!$C$2,BUILDINGS!$B15,(100-INDEX('DEFAULT DATA'!$WN$9:$WP$41,START!$C$3,1)+INDEX('DEFAULT DATA'!$XO$9:$XQ$41,START!$C$3,1))/100*AU132)</f>
        <v>262714</v>
      </c>
      <c r="AW132" s="81">
        <f>IF((AW$131-2021)=START!$C$2,BUILDINGS!$B15,(100-INDEX('DEFAULT DATA'!$WN$9:$WP$41,START!$C$3,1)+INDEX('DEFAULT DATA'!$XO$9:$XQ$41,START!$C$3,1))/100*AV132)</f>
        <v>262714</v>
      </c>
      <c r="AX132" s="81">
        <f>IF((AX$131-2021)=START!$C$2,BUILDINGS!$B15,(100-INDEX('DEFAULT DATA'!$WN$9:$WP$41,START!$C$3,1)+INDEX('DEFAULT DATA'!$XO$9:$XQ$41,START!$C$3,1))/100*AW132)</f>
        <v>262714</v>
      </c>
      <c r="AY132" s="81">
        <f>IF((AY$131-2021)=START!$C$2,BUILDINGS!$B15,(100-INDEX('DEFAULT DATA'!$WN$9:$WP$41,START!$C$3,1)+INDEX('DEFAULT DATA'!$XO$9:$XQ$41,START!$C$3,1))/100*AX132)</f>
        <v>262714</v>
      </c>
      <c r="AZ132" s="81">
        <f>IF((AZ$131-2021)=START!$C$2,BUILDINGS!$B15,(100-INDEX('DEFAULT DATA'!$WN$9:$WP$41,START!$C$3,1)+INDEX('DEFAULT DATA'!$XO$9:$XQ$41,START!$C$3,1))/100*AY132)</f>
        <v>262714</v>
      </c>
      <c r="BA132" s="81">
        <f>IF((BA$131-2021)=START!$C$2,BUILDINGS!$B15,(100-INDEX('DEFAULT DATA'!$WN$9:$WP$41,START!$C$3,1)+INDEX('DEFAULT DATA'!$XO$9:$XQ$41,START!$C$3,1))/100*AZ132)</f>
        <v>262714</v>
      </c>
      <c r="BB132" s="81">
        <f>IF((BB$131-2021)=START!$C$2,BUILDINGS!$B15,(100-INDEX('DEFAULT DATA'!$WN$9:$WP$41,START!$C$3,1)+INDEX('DEFAULT DATA'!$XO$9:$XQ$41,START!$C$3,1))/100*BA132)</f>
        <v>262714</v>
      </c>
      <c r="BC132" s="81">
        <f>IF((BC$131-2021)=START!$C$2,BUILDINGS!$B15,(100-INDEX('DEFAULT DATA'!$WN$9:$WP$41,START!$C$3,1)+INDEX('DEFAULT DATA'!$XO$9:$XQ$41,START!$C$3,1))/100*BB132)</f>
        <v>262714</v>
      </c>
      <c r="BD132" s="81">
        <f>IF((BD$131-2021)=START!$C$2,BUILDINGS!$B15,(100-INDEX('DEFAULT DATA'!$WN$9:$WP$41,START!$C$3,1)+INDEX('DEFAULT DATA'!$XO$9:$XQ$41,START!$C$3,1))/100*BC132)</f>
        <v>262714</v>
      </c>
      <c r="BE132" s="81">
        <f>IF((BE$131-2021)=START!$C$2,BUILDINGS!$B15,(100-INDEX('DEFAULT DATA'!$WN$9:$WP$41,START!$C$3,1)+INDEX('DEFAULT DATA'!$XO$9:$XQ$41,START!$C$3,1))/100*BD132)</f>
        <v>262714</v>
      </c>
      <c r="BF132" s="81">
        <f>IF((BF$131-2021)=START!$C$2,BUILDINGS!$B15,(100-INDEX('DEFAULT DATA'!$WN$9:$WP$41,START!$C$3,1)+INDEX('DEFAULT DATA'!$XO$9:$XQ$41,START!$C$3,1))/100*BE132)</f>
        <v>262714</v>
      </c>
      <c r="BG132" s="81">
        <f>IF((BG$131-2021)=START!$C$2,BUILDINGS!$B15,(100-INDEX('DEFAULT DATA'!$WN$9:$WP$41,START!$C$3,1)+INDEX('DEFAULT DATA'!$XO$9:$XQ$41,START!$C$3,1))/100*BF132)</f>
        <v>262714</v>
      </c>
      <c r="BH132" s="81">
        <f>IF((BH$131-2021)=START!$C$2,BUILDINGS!$B15,(100-INDEX('DEFAULT DATA'!$WN$9:$WP$41,START!$C$3,1)+INDEX('DEFAULT DATA'!$XO$9:$XQ$41,START!$C$3,1))/100*BG132)</f>
        <v>262714</v>
      </c>
      <c r="BI132" s="81">
        <f>IF((BI$131-2021)=START!$C$2,BUILDINGS!$B15,(100-INDEX('DEFAULT DATA'!$WN$9:$WP$41,START!$C$3,1)+INDEX('DEFAULT DATA'!$XO$9:$XQ$41,START!$C$3,1))/100*BH132)</f>
        <v>262714</v>
      </c>
      <c r="BJ132" s="81">
        <f>IF((BJ$131-2021)=START!$C$2,BUILDINGS!$B15,(100-INDEX('DEFAULT DATA'!$WN$9:$WP$41,START!$C$3,1)+INDEX('DEFAULT DATA'!$XO$9:$XQ$41,START!$C$3,1))/100*BI132)</f>
        <v>262714</v>
      </c>
      <c r="BK132" s="81">
        <f>IF((BK$131-2021)=START!$C$2,BUILDINGS!$B15,(100-INDEX('DEFAULT DATA'!$WN$9:$WP$41,START!$C$3,1)+INDEX('DEFAULT DATA'!$XO$9:$XQ$41,START!$C$3,1))/100*BJ132)</f>
        <v>262714</v>
      </c>
      <c r="BL132" s="81">
        <f>IF((BL$131-2021)=START!$C$2,BUILDINGS!$B15,(100-INDEX('DEFAULT DATA'!$WN$9:$WP$41,START!$C$3,1)+INDEX('DEFAULT DATA'!$XO$9:$XQ$41,START!$C$3,1))/100*BK132)</f>
        <v>262714</v>
      </c>
      <c r="BM132" s="81">
        <f>IF((BM$131-2021)=START!$C$2,BUILDINGS!$B15,(100-INDEX('DEFAULT DATA'!$WN$9:$WP$41,START!$C$3,1)+INDEX('DEFAULT DATA'!$XO$9:$XQ$41,START!$C$3,1))/100*BL132)</f>
        <v>262714</v>
      </c>
      <c r="BN132" s="81">
        <f>IF((BN$131-2021)=START!$C$2,BUILDINGS!$B15,(100-INDEX('DEFAULT DATA'!$WN$9:$WP$41,START!$C$3,1)+INDEX('DEFAULT DATA'!$XO$9:$XQ$41,START!$C$3,1))/100*BM132)</f>
        <v>262714</v>
      </c>
      <c r="BP132" s="355" t="s">
        <v>1381</v>
      </c>
      <c r="BQ132" s="352"/>
      <c r="BT132" s="227" t="s">
        <v>1387</v>
      </c>
      <c r="BU132" s="6" t="s">
        <v>1390</v>
      </c>
    </row>
    <row r="133" spans="1:87" ht="20.100000000000001" customHeight="1">
      <c r="A133" s="41"/>
      <c r="B133" s="82"/>
      <c r="C133" s="82"/>
      <c r="D133" s="82"/>
      <c r="E133" s="82"/>
      <c r="F133" s="16"/>
      <c r="G133" s="16"/>
      <c r="H133" s="82"/>
      <c r="I133" s="1562" t="s">
        <v>1078</v>
      </c>
      <c r="J133" s="1562"/>
      <c r="K133" s="127"/>
      <c r="L133" s="82"/>
      <c r="M133" s="82"/>
      <c r="N133" s="82"/>
      <c r="O133" s="82"/>
      <c r="P133" s="82"/>
      <c r="Q133" s="82"/>
      <c r="R133" s="82"/>
      <c r="S133" s="82"/>
      <c r="T133" s="82"/>
      <c r="U133" s="82"/>
      <c r="V133" s="82"/>
      <c r="W133" s="82"/>
      <c r="X133" s="82"/>
      <c r="Y133" s="82"/>
      <c r="Z133" s="82"/>
      <c r="AA133" s="82"/>
      <c r="AB133" s="82"/>
      <c r="AC133" s="82"/>
      <c r="AD133" s="82"/>
      <c r="AE133" s="82"/>
      <c r="AF133" s="1557"/>
      <c r="AG133" s="1581" t="s">
        <v>871</v>
      </c>
      <c r="AH133" s="1582"/>
      <c r="AI133" s="1582"/>
      <c r="AJ133" s="1583"/>
      <c r="AK133" s="322">
        <v>0</v>
      </c>
      <c r="AL133" s="81">
        <f>IF((AL$131-2021)=START!$C$2,BUILDINGS!$B16,(100-INDEX('DEFAULT DATA'!$WN$9:$WP$41,START!$C$3,1)+INDEX('DEFAULT DATA'!$XO$9:$XQ$41,START!$C$3,1))/100*AK133)</f>
        <v>31619</v>
      </c>
      <c r="AM133" s="81">
        <f>IF((AM$131-2021)=START!$C$2,BUILDINGS!$B16,(100-INDEX('DEFAULT DATA'!$WN$9:$WP$41,START!$C$3,1)+INDEX('DEFAULT DATA'!$XO$9:$XQ$41,START!$C$3,1))/100*AL133)</f>
        <v>31619</v>
      </c>
      <c r="AN133" s="81">
        <f>IF((AN$131-2021)=START!$C$2,BUILDINGS!$B16,(100-INDEX('DEFAULT DATA'!$WN$9:$WP$41,START!$C$3,1)+INDEX('DEFAULT DATA'!$XO$9:$XQ$41,START!$C$3,1))/100*AM133)</f>
        <v>31619</v>
      </c>
      <c r="AO133" s="81">
        <f>IF((AO$131-2021)=START!$C$2,BUILDINGS!$B16,(100-INDEX('DEFAULT DATA'!$WN$9:$WP$41,START!$C$3,1)+INDEX('DEFAULT DATA'!$XO$9:$XQ$41,START!$C$3,1))/100*AN133)</f>
        <v>31619</v>
      </c>
      <c r="AP133" s="81">
        <f>IF((AP$131-2021)=START!$C$2,BUILDINGS!$B16,(100-INDEX('DEFAULT DATA'!$WN$9:$WP$41,START!$C$3,1)+INDEX('DEFAULT DATA'!$XO$9:$XQ$41,START!$C$3,1))/100*AO133)</f>
        <v>31619</v>
      </c>
      <c r="AQ133" s="81">
        <f>IF((AQ$131-2021)=START!$C$2,BUILDINGS!$B16,(100-INDEX('DEFAULT DATA'!$WN$9:$WP$41,START!$C$3,1)+INDEX('DEFAULT DATA'!$XO$9:$XQ$41,START!$C$3,1))/100*AP133)</f>
        <v>31619</v>
      </c>
      <c r="AR133" s="81">
        <f>IF((AR$131-2021)=START!$C$2,BUILDINGS!$B16,(100-INDEX('DEFAULT DATA'!$WN$9:$WP$41,START!$C$3,1)+INDEX('DEFAULT DATA'!$XO$9:$XQ$41,START!$C$3,1))/100*AQ133)</f>
        <v>31619</v>
      </c>
      <c r="AS133" s="81">
        <f>IF((AS$131-2021)=START!$C$2,BUILDINGS!$B16,(100-INDEX('DEFAULT DATA'!$WN$9:$WP$41,START!$C$3,1)+INDEX('DEFAULT DATA'!$XO$9:$XQ$41,START!$C$3,1))/100*AR133)</f>
        <v>31619</v>
      </c>
      <c r="AT133" s="81">
        <f>IF((AT$131-2021)=START!$C$2,BUILDINGS!$B16,(100-INDEX('DEFAULT DATA'!$WN$9:$WP$41,START!$C$3,1)+INDEX('DEFAULT DATA'!$XO$9:$XQ$41,START!$C$3,1))/100*AS133)</f>
        <v>31619</v>
      </c>
      <c r="AU133" s="81">
        <f>IF((AU$131-2021)=START!$C$2,BUILDINGS!$B16,(100-INDEX('DEFAULT DATA'!$WN$9:$WP$41,START!$C$3,1)+INDEX('DEFAULT DATA'!$XO$9:$XQ$41,START!$C$3,1))/100*AT133)</f>
        <v>31619</v>
      </c>
      <c r="AV133" s="81">
        <f>IF((AV$131-2021)=START!$C$2,BUILDINGS!$B16,(100-INDEX('DEFAULT DATA'!$WN$9:$WP$41,START!$C$3,1)+INDEX('DEFAULT DATA'!$XO$9:$XQ$41,START!$C$3,1))/100*AU133)</f>
        <v>31619</v>
      </c>
      <c r="AW133" s="81">
        <f>IF((AW$131-2021)=START!$C$2,BUILDINGS!$B16,(100-INDEX('DEFAULT DATA'!$WN$9:$WP$41,START!$C$3,1)+INDEX('DEFAULT DATA'!$XO$9:$XQ$41,START!$C$3,1))/100*AV133)</f>
        <v>31619</v>
      </c>
      <c r="AX133" s="81">
        <f>IF((AX$131-2021)=START!$C$2,BUILDINGS!$B16,(100-INDEX('DEFAULT DATA'!$WN$9:$WP$41,START!$C$3,1)+INDEX('DEFAULT DATA'!$XO$9:$XQ$41,START!$C$3,1))/100*AW133)</f>
        <v>31619</v>
      </c>
      <c r="AY133" s="81">
        <f>IF((AY$131-2021)=START!$C$2,BUILDINGS!$B16,(100-INDEX('DEFAULT DATA'!$WN$9:$WP$41,START!$C$3,1)+INDEX('DEFAULT DATA'!$XO$9:$XQ$41,START!$C$3,1))/100*AX133)</f>
        <v>31619</v>
      </c>
      <c r="AZ133" s="81">
        <f>IF((AZ$131-2021)=START!$C$2,BUILDINGS!$B16,(100-INDEX('DEFAULT DATA'!$WN$9:$WP$41,START!$C$3,1)+INDEX('DEFAULT DATA'!$XO$9:$XQ$41,START!$C$3,1))/100*AY133)</f>
        <v>31619</v>
      </c>
      <c r="BA133" s="81">
        <f>IF((BA$131-2021)=START!$C$2,BUILDINGS!$B16,(100-INDEX('DEFAULT DATA'!$WN$9:$WP$41,START!$C$3,1)+INDEX('DEFAULT DATA'!$XO$9:$XQ$41,START!$C$3,1))/100*AZ133)</f>
        <v>31619</v>
      </c>
      <c r="BB133" s="81">
        <f>IF((BB$131-2021)=START!$C$2,BUILDINGS!$B16,(100-INDEX('DEFAULT DATA'!$WN$9:$WP$41,START!$C$3,1)+INDEX('DEFAULT DATA'!$XO$9:$XQ$41,START!$C$3,1))/100*BA133)</f>
        <v>31619</v>
      </c>
      <c r="BC133" s="81">
        <f>IF((BC$131-2021)=START!$C$2,BUILDINGS!$B16,(100-INDEX('DEFAULT DATA'!$WN$9:$WP$41,START!$C$3,1)+INDEX('DEFAULT DATA'!$XO$9:$XQ$41,START!$C$3,1))/100*BB133)</f>
        <v>31619</v>
      </c>
      <c r="BD133" s="81">
        <f>IF((BD$131-2021)=START!$C$2,BUILDINGS!$B16,(100-INDEX('DEFAULT DATA'!$WN$9:$WP$41,START!$C$3,1)+INDEX('DEFAULT DATA'!$XO$9:$XQ$41,START!$C$3,1))/100*BC133)</f>
        <v>31619</v>
      </c>
      <c r="BE133" s="81">
        <f>IF((BE$131-2021)=START!$C$2,BUILDINGS!$B16,(100-INDEX('DEFAULT DATA'!$WN$9:$WP$41,START!$C$3,1)+INDEX('DEFAULT DATA'!$XO$9:$XQ$41,START!$C$3,1))/100*BD133)</f>
        <v>31619</v>
      </c>
      <c r="BF133" s="81">
        <f>IF((BF$131-2021)=START!$C$2,BUILDINGS!$B16,(100-INDEX('DEFAULT DATA'!$WN$9:$WP$41,START!$C$3,1)+INDEX('DEFAULT DATA'!$XO$9:$XQ$41,START!$C$3,1))/100*BE133)</f>
        <v>31619</v>
      </c>
      <c r="BG133" s="81">
        <f>IF((BG$131-2021)=START!$C$2,BUILDINGS!$B16,(100-INDEX('DEFAULT DATA'!$WN$9:$WP$41,START!$C$3,1)+INDEX('DEFAULT DATA'!$XO$9:$XQ$41,START!$C$3,1))/100*BF133)</f>
        <v>31619</v>
      </c>
      <c r="BH133" s="81">
        <f>IF((BH$131-2021)=START!$C$2,BUILDINGS!$B16,(100-INDEX('DEFAULT DATA'!$WN$9:$WP$41,START!$C$3,1)+INDEX('DEFAULT DATA'!$XO$9:$XQ$41,START!$C$3,1))/100*BG133)</f>
        <v>31619</v>
      </c>
      <c r="BI133" s="81">
        <f>IF((BI$131-2021)=START!$C$2,BUILDINGS!$B16,(100-INDEX('DEFAULT DATA'!$WN$9:$WP$41,START!$C$3,1)+INDEX('DEFAULT DATA'!$XO$9:$XQ$41,START!$C$3,1))/100*BH133)</f>
        <v>31619</v>
      </c>
      <c r="BJ133" s="81">
        <f>IF((BJ$131-2021)=START!$C$2,BUILDINGS!$B16,(100-INDEX('DEFAULT DATA'!$WN$9:$WP$41,START!$C$3,1)+INDEX('DEFAULT DATA'!$XO$9:$XQ$41,START!$C$3,1))/100*BI133)</f>
        <v>31619</v>
      </c>
      <c r="BK133" s="81">
        <f>IF((BK$131-2021)=START!$C$2,BUILDINGS!$B16,(100-INDEX('DEFAULT DATA'!$WN$9:$WP$41,START!$C$3,1)+INDEX('DEFAULT DATA'!$XO$9:$XQ$41,START!$C$3,1))/100*BJ133)</f>
        <v>31619</v>
      </c>
      <c r="BL133" s="81">
        <f>IF((BL$131-2021)=START!$C$2,BUILDINGS!$B16,(100-INDEX('DEFAULT DATA'!$WN$9:$WP$41,START!$C$3,1)+INDEX('DEFAULT DATA'!$XO$9:$XQ$41,START!$C$3,1))/100*BK133)</f>
        <v>31619</v>
      </c>
      <c r="BM133" s="81">
        <f>IF((BM$131-2021)=START!$C$2,BUILDINGS!$B16,(100-INDEX('DEFAULT DATA'!$WN$9:$WP$41,START!$C$3,1)+INDEX('DEFAULT DATA'!$XO$9:$XQ$41,START!$C$3,1))/100*BL133)</f>
        <v>31619</v>
      </c>
      <c r="BN133" s="81">
        <f>IF((BN$131-2021)=START!$C$2,BUILDINGS!$B16,(100-INDEX('DEFAULT DATA'!$WN$9:$WP$41,START!$C$3,1)+INDEX('DEFAULT DATA'!$XO$9:$XQ$41,START!$C$3,1))/100*BM133)</f>
        <v>31619</v>
      </c>
      <c r="BP133" s="355" t="s">
        <v>1382</v>
      </c>
      <c r="BQ133" s="352"/>
      <c r="BT133" s="227" t="s">
        <v>1388</v>
      </c>
      <c r="BU133" s="6" t="s">
        <v>1391</v>
      </c>
    </row>
    <row r="134" spans="1:87" ht="20.100000000000001" customHeight="1">
      <c r="A134" s="134" t="s">
        <v>1063</v>
      </c>
      <c r="B134" s="82"/>
      <c r="C134" s="216" t="s">
        <v>1064</v>
      </c>
      <c r="D134" s="82"/>
      <c r="E134" s="216" t="s">
        <v>1070</v>
      </c>
      <c r="F134" s="16"/>
      <c r="G134" s="16"/>
      <c r="H134" s="82"/>
      <c r="I134" s="1472"/>
      <c r="J134" s="1472"/>
      <c r="K134" s="127"/>
      <c r="L134" s="82"/>
      <c r="M134" s="82"/>
      <c r="N134" s="82"/>
      <c r="O134" s="82"/>
      <c r="P134" s="82"/>
      <c r="Q134" s="82"/>
      <c r="R134" s="82"/>
      <c r="S134" s="82"/>
      <c r="T134" s="82"/>
      <c r="U134" s="82"/>
      <c r="V134" s="82"/>
      <c r="W134" s="82"/>
      <c r="X134" s="82"/>
      <c r="Y134" s="82"/>
      <c r="Z134" s="82"/>
      <c r="AA134" s="82"/>
      <c r="AB134" s="82"/>
      <c r="AC134" s="82"/>
      <c r="AD134" s="82"/>
      <c r="AE134" s="82"/>
      <c r="AF134" s="1557"/>
      <c r="AG134" s="1581" t="s">
        <v>872</v>
      </c>
      <c r="AH134" s="1582"/>
      <c r="AI134" s="1582"/>
      <c r="AJ134" s="1583"/>
      <c r="AK134" s="322">
        <v>0</v>
      </c>
      <c r="AL134" s="81">
        <f>IF((AL$131-2021)=START!$C$2,BUILDINGS!$B17,(100-INDEX('DEFAULT DATA'!$WN$9:$WP$41,START!$C$3,1)+INDEX('DEFAULT DATA'!$XO$9:$XQ$41,START!$C$3,1))/100*AK134)</f>
        <v>317908</v>
      </c>
      <c r="AM134" s="81">
        <f>IF((AM$131-2021)=START!$C$2,BUILDINGS!$B17,(100-INDEX('DEFAULT DATA'!$WN$9:$WP$41,START!$C$3,1)+INDEX('DEFAULT DATA'!$XO$9:$XQ$41,START!$C$3,1))/100*AL134)</f>
        <v>317908</v>
      </c>
      <c r="AN134" s="81">
        <f>IF((AN$131-2021)=START!$C$2,BUILDINGS!$B17,(100-INDEX('DEFAULT DATA'!$WN$9:$WP$41,START!$C$3,1)+INDEX('DEFAULT DATA'!$XO$9:$XQ$41,START!$C$3,1))/100*AM134)</f>
        <v>317908</v>
      </c>
      <c r="AO134" s="81">
        <f>IF((AO$131-2021)=START!$C$2,BUILDINGS!$B17,(100-INDEX('DEFAULT DATA'!$WN$9:$WP$41,START!$C$3,1)+INDEX('DEFAULT DATA'!$XO$9:$XQ$41,START!$C$3,1))/100*AN134)</f>
        <v>317908</v>
      </c>
      <c r="AP134" s="81">
        <f>IF((AP$131-2021)=START!$C$2,BUILDINGS!$B17,(100-INDEX('DEFAULT DATA'!$WN$9:$WP$41,START!$C$3,1)+INDEX('DEFAULT DATA'!$XO$9:$XQ$41,START!$C$3,1))/100*AO134)</f>
        <v>317908</v>
      </c>
      <c r="AQ134" s="81">
        <f>IF((AQ$131-2021)=START!$C$2,BUILDINGS!$B17,(100-INDEX('DEFAULT DATA'!$WN$9:$WP$41,START!$C$3,1)+INDEX('DEFAULT DATA'!$XO$9:$XQ$41,START!$C$3,1))/100*AP134)</f>
        <v>317908</v>
      </c>
      <c r="AR134" s="81">
        <f>IF((AR$131-2021)=START!$C$2,BUILDINGS!$B17,(100-INDEX('DEFAULT DATA'!$WN$9:$WP$41,START!$C$3,1)+INDEX('DEFAULT DATA'!$XO$9:$XQ$41,START!$C$3,1))/100*AQ134)</f>
        <v>317908</v>
      </c>
      <c r="AS134" s="81">
        <f>IF((AS$131-2021)=START!$C$2,BUILDINGS!$B17,(100-INDEX('DEFAULT DATA'!$WN$9:$WP$41,START!$C$3,1)+INDEX('DEFAULT DATA'!$XO$9:$XQ$41,START!$C$3,1))/100*AR134)</f>
        <v>317908</v>
      </c>
      <c r="AT134" s="81">
        <f>IF((AT$131-2021)=START!$C$2,BUILDINGS!$B17,(100-INDEX('DEFAULT DATA'!$WN$9:$WP$41,START!$C$3,1)+INDEX('DEFAULT DATA'!$XO$9:$XQ$41,START!$C$3,1))/100*AS134)</f>
        <v>317908</v>
      </c>
      <c r="AU134" s="81">
        <f>IF((AU$131-2021)=START!$C$2,BUILDINGS!$B17,(100-INDEX('DEFAULT DATA'!$WN$9:$WP$41,START!$C$3,1)+INDEX('DEFAULT DATA'!$XO$9:$XQ$41,START!$C$3,1))/100*AT134)</f>
        <v>317908</v>
      </c>
      <c r="AV134" s="81">
        <f>IF((AV$131-2021)=START!$C$2,BUILDINGS!$B17,(100-INDEX('DEFAULT DATA'!$WN$9:$WP$41,START!$C$3,1)+INDEX('DEFAULT DATA'!$XO$9:$XQ$41,START!$C$3,1))/100*AU134)</f>
        <v>317908</v>
      </c>
      <c r="AW134" s="81">
        <f>IF((AW$131-2021)=START!$C$2,BUILDINGS!$B17,(100-INDEX('DEFAULT DATA'!$WN$9:$WP$41,START!$C$3,1)+INDEX('DEFAULT DATA'!$XO$9:$XQ$41,START!$C$3,1))/100*AV134)</f>
        <v>317908</v>
      </c>
      <c r="AX134" s="81">
        <f>IF((AX$131-2021)=START!$C$2,BUILDINGS!$B17,(100-INDEX('DEFAULT DATA'!$WN$9:$WP$41,START!$C$3,1)+INDEX('DEFAULT DATA'!$XO$9:$XQ$41,START!$C$3,1))/100*AW134)</f>
        <v>317908</v>
      </c>
      <c r="AY134" s="81">
        <f>IF((AY$131-2021)=START!$C$2,BUILDINGS!$B17,(100-INDEX('DEFAULT DATA'!$WN$9:$WP$41,START!$C$3,1)+INDEX('DEFAULT DATA'!$XO$9:$XQ$41,START!$C$3,1))/100*AX134)</f>
        <v>317908</v>
      </c>
      <c r="AZ134" s="81">
        <f>IF((AZ$131-2021)=START!$C$2,BUILDINGS!$B17,(100-INDEX('DEFAULT DATA'!$WN$9:$WP$41,START!$C$3,1)+INDEX('DEFAULT DATA'!$XO$9:$XQ$41,START!$C$3,1))/100*AY134)</f>
        <v>317908</v>
      </c>
      <c r="BA134" s="81">
        <f>IF((BA$131-2021)=START!$C$2,BUILDINGS!$B17,(100-INDEX('DEFAULT DATA'!$WN$9:$WP$41,START!$C$3,1)+INDEX('DEFAULT DATA'!$XO$9:$XQ$41,START!$C$3,1))/100*AZ134)</f>
        <v>317908</v>
      </c>
      <c r="BB134" s="81">
        <f>IF((BB$131-2021)=START!$C$2,BUILDINGS!$B17,(100-INDEX('DEFAULT DATA'!$WN$9:$WP$41,START!$C$3,1)+INDEX('DEFAULT DATA'!$XO$9:$XQ$41,START!$C$3,1))/100*BA134)</f>
        <v>317908</v>
      </c>
      <c r="BC134" s="81">
        <f>IF((BC$131-2021)=START!$C$2,BUILDINGS!$B17,(100-INDEX('DEFAULT DATA'!$WN$9:$WP$41,START!$C$3,1)+INDEX('DEFAULT DATA'!$XO$9:$XQ$41,START!$C$3,1))/100*BB134)</f>
        <v>317908</v>
      </c>
      <c r="BD134" s="81">
        <f>IF((BD$131-2021)=START!$C$2,BUILDINGS!$B17,(100-INDEX('DEFAULT DATA'!$WN$9:$WP$41,START!$C$3,1)+INDEX('DEFAULT DATA'!$XO$9:$XQ$41,START!$C$3,1))/100*BC134)</f>
        <v>317908</v>
      </c>
      <c r="BE134" s="81">
        <f>IF((BE$131-2021)=START!$C$2,BUILDINGS!$B17,(100-INDEX('DEFAULT DATA'!$WN$9:$WP$41,START!$C$3,1)+INDEX('DEFAULT DATA'!$XO$9:$XQ$41,START!$C$3,1))/100*BD134)</f>
        <v>317908</v>
      </c>
      <c r="BF134" s="81">
        <f>IF((BF$131-2021)=START!$C$2,BUILDINGS!$B17,(100-INDEX('DEFAULT DATA'!$WN$9:$WP$41,START!$C$3,1)+INDEX('DEFAULT DATA'!$XO$9:$XQ$41,START!$C$3,1))/100*BE134)</f>
        <v>317908</v>
      </c>
      <c r="BG134" s="81">
        <f>IF((BG$131-2021)=START!$C$2,BUILDINGS!$B17,(100-INDEX('DEFAULT DATA'!$WN$9:$WP$41,START!$C$3,1)+INDEX('DEFAULT DATA'!$XO$9:$XQ$41,START!$C$3,1))/100*BF134)</f>
        <v>317908</v>
      </c>
      <c r="BH134" s="81">
        <f>IF((BH$131-2021)=START!$C$2,BUILDINGS!$B17,(100-INDEX('DEFAULT DATA'!$WN$9:$WP$41,START!$C$3,1)+INDEX('DEFAULT DATA'!$XO$9:$XQ$41,START!$C$3,1))/100*BG134)</f>
        <v>317908</v>
      </c>
      <c r="BI134" s="81">
        <f>IF((BI$131-2021)=START!$C$2,BUILDINGS!$B17,(100-INDEX('DEFAULT DATA'!$WN$9:$WP$41,START!$C$3,1)+INDEX('DEFAULT DATA'!$XO$9:$XQ$41,START!$C$3,1))/100*BH134)</f>
        <v>317908</v>
      </c>
      <c r="BJ134" s="81">
        <f>IF((BJ$131-2021)=START!$C$2,BUILDINGS!$B17,(100-INDEX('DEFAULT DATA'!$WN$9:$WP$41,START!$C$3,1)+INDEX('DEFAULT DATA'!$XO$9:$XQ$41,START!$C$3,1))/100*BI134)</f>
        <v>317908</v>
      </c>
      <c r="BK134" s="81">
        <f>IF((BK$131-2021)=START!$C$2,BUILDINGS!$B17,(100-INDEX('DEFAULT DATA'!$WN$9:$WP$41,START!$C$3,1)+INDEX('DEFAULT DATA'!$XO$9:$XQ$41,START!$C$3,1))/100*BJ134)</f>
        <v>317908</v>
      </c>
      <c r="BL134" s="81">
        <f>IF((BL$131-2021)=START!$C$2,BUILDINGS!$B17,(100-INDEX('DEFAULT DATA'!$WN$9:$WP$41,START!$C$3,1)+INDEX('DEFAULT DATA'!$XO$9:$XQ$41,START!$C$3,1))/100*BK134)</f>
        <v>317908</v>
      </c>
      <c r="BM134" s="81">
        <f>IF((BM$131-2021)=START!$C$2,BUILDINGS!$B17,(100-INDEX('DEFAULT DATA'!$WN$9:$WP$41,START!$C$3,1)+INDEX('DEFAULT DATA'!$XO$9:$XQ$41,START!$C$3,1))/100*BL134)</f>
        <v>317908</v>
      </c>
      <c r="BN134" s="81">
        <f>IF((BN$131-2021)=START!$C$2,BUILDINGS!$B17,(100-INDEX('DEFAULT DATA'!$WN$9:$WP$41,START!$C$3,1)+INDEX('DEFAULT DATA'!$XO$9:$XQ$41,START!$C$3,1))/100*BM134)</f>
        <v>317908</v>
      </c>
      <c r="BP134" s="355" t="s">
        <v>1383</v>
      </c>
      <c r="BQ134" s="352"/>
      <c r="BT134" s="227" t="s">
        <v>1389</v>
      </c>
      <c r="BU134" s="6" t="s">
        <v>1392</v>
      </c>
    </row>
    <row r="135" spans="1:87" ht="20.100000000000001" customHeight="1">
      <c r="A135" s="41">
        <v>9</v>
      </c>
      <c r="B135" s="82"/>
      <c r="C135" s="82">
        <v>1</v>
      </c>
      <c r="D135" s="82"/>
      <c r="E135" s="133">
        <v>0</v>
      </c>
      <c r="F135" s="16"/>
      <c r="G135" s="16"/>
      <c r="H135" s="82"/>
      <c r="I135" s="82">
        <v>14</v>
      </c>
      <c r="J135" s="186">
        <v>14</v>
      </c>
      <c r="K135" s="127"/>
      <c r="L135" s="82"/>
      <c r="M135" s="82"/>
      <c r="N135" s="82"/>
      <c r="O135" s="82"/>
      <c r="P135" s="82"/>
      <c r="Q135" s="82"/>
      <c r="R135" s="82"/>
      <c r="S135" s="82"/>
      <c r="T135" s="82"/>
      <c r="U135" s="82"/>
      <c r="V135" s="82"/>
      <c r="W135" s="82"/>
      <c r="X135" s="82"/>
      <c r="Y135" s="82"/>
      <c r="Z135" s="82"/>
      <c r="AA135" s="82"/>
      <c r="AB135" s="82"/>
      <c r="AC135" s="82"/>
      <c r="AD135" s="82"/>
      <c r="AE135" s="82"/>
      <c r="AF135" s="1557"/>
      <c r="AG135" s="1581" t="s">
        <v>873</v>
      </c>
      <c r="AH135" s="1582"/>
      <c r="AI135" s="1582"/>
      <c r="AJ135" s="1583"/>
      <c r="AK135" s="322">
        <v>0</v>
      </c>
      <c r="AL135" s="81">
        <f>IF((AL$131-2021)=START!$C$2,BUILDINGS!$B18,(100-INDEX('DEFAULT DATA'!$WN$9:$WP$41,START!$C$3,1)+INDEX('DEFAULT DATA'!$XO$9:$XQ$41,START!$C$3,1))/100*AK135)</f>
        <v>136770</v>
      </c>
      <c r="AM135" s="81">
        <f>IF((AM$131-2021)=START!$C$2,BUILDINGS!$B18,(100-INDEX('DEFAULT DATA'!$WN$9:$WP$41,START!$C$3,1)+INDEX('DEFAULT DATA'!$XO$9:$XQ$41,START!$C$3,1))/100*AL135)</f>
        <v>136770</v>
      </c>
      <c r="AN135" s="81">
        <f>IF((AN$131-2021)=START!$C$2,BUILDINGS!$B18,(100-INDEX('DEFAULT DATA'!$WN$9:$WP$41,START!$C$3,1)+INDEX('DEFAULT DATA'!$XO$9:$XQ$41,START!$C$3,1))/100*AM135)</f>
        <v>136770</v>
      </c>
      <c r="AO135" s="81">
        <f>IF((AO$131-2021)=START!$C$2,BUILDINGS!$B18,(100-INDEX('DEFAULT DATA'!$WN$9:$WP$41,START!$C$3,1)+INDEX('DEFAULT DATA'!$XO$9:$XQ$41,START!$C$3,1))/100*AN135)</f>
        <v>136770</v>
      </c>
      <c r="AP135" s="81">
        <f>IF((AP$131-2021)=START!$C$2,BUILDINGS!$B18,(100-INDEX('DEFAULT DATA'!$WN$9:$WP$41,START!$C$3,1)+INDEX('DEFAULT DATA'!$XO$9:$XQ$41,START!$C$3,1))/100*AO135)</f>
        <v>136770</v>
      </c>
      <c r="AQ135" s="81">
        <f>IF((AQ$131-2021)=START!$C$2,BUILDINGS!$B18,(100-INDEX('DEFAULT DATA'!$WN$9:$WP$41,START!$C$3,1)+INDEX('DEFAULT DATA'!$XO$9:$XQ$41,START!$C$3,1))/100*AP135)</f>
        <v>136770</v>
      </c>
      <c r="AR135" s="81">
        <f>IF((AR$131-2021)=START!$C$2,BUILDINGS!$B18,(100-INDEX('DEFAULT DATA'!$WN$9:$WP$41,START!$C$3,1)+INDEX('DEFAULT DATA'!$XO$9:$XQ$41,START!$C$3,1))/100*AQ135)</f>
        <v>136770</v>
      </c>
      <c r="AS135" s="81">
        <f>IF((AS$131-2021)=START!$C$2,BUILDINGS!$B18,(100-INDEX('DEFAULT DATA'!$WN$9:$WP$41,START!$C$3,1)+INDEX('DEFAULT DATA'!$XO$9:$XQ$41,START!$C$3,1))/100*AR135)</f>
        <v>136770</v>
      </c>
      <c r="AT135" s="81">
        <f>IF((AT$131-2021)=START!$C$2,BUILDINGS!$B18,(100-INDEX('DEFAULT DATA'!$WN$9:$WP$41,START!$C$3,1)+INDEX('DEFAULT DATA'!$XO$9:$XQ$41,START!$C$3,1))/100*AS135)</f>
        <v>136770</v>
      </c>
      <c r="AU135" s="81">
        <f>IF((AU$131-2021)=START!$C$2,BUILDINGS!$B18,(100-INDEX('DEFAULT DATA'!$WN$9:$WP$41,START!$C$3,1)+INDEX('DEFAULT DATA'!$XO$9:$XQ$41,START!$C$3,1))/100*AT135)</f>
        <v>136770</v>
      </c>
      <c r="AV135" s="81">
        <f>IF((AV$131-2021)=START!$C$2,BUILDINGS!$B18,(100-INDEX('DEFAULT DATA'!$WN$9:$WP$41,START!$C$3,1)+INDEX('DEFAULT DATA'!$XO$9:$XQ$41,START!$C$3,1))/100*AU135)</f>
        <v>136770</v>
      </c>
      <c r="AW135" s="81">
        <f>IF((AW$131-2021)=START!$C$2,BUILDINGS!$B18,(100-INDEX('DEFAULT DATA'!$WN$9:$WP$41,START!$C$3,1)+INDEX('DEFAULT DATA'!$XO$9:$XQ$41,START!$C$3,1))/100*AV135)</f>
        <v>136770</v>
      </c>
      <c r="AX135" s="81">
        <f>IF((AX$131-2021)=START!$C$2,BUILDINGS!$B18,(100-INDEX('DEFAULT DATA'!$WN$9:$WP$41,START!$C$3,1)+INDEX('DEFAULT DATA'!$XO$9:$XQ$41,START!$C$3,1))/100*AW135)</f>
        <v>136770</v>
      </c>
      <c r="AY135" s="81">
        <f>IF((AY$131-2021)=START!$C$2,BUILDINGS!$B18,(100-INDEX('DEFAULT DATA'!$WN$9:$WP$41,START!$C$3,1)+INDEX('DEFAULT DATA'!$XO$9:$XQ$41,START!$C$3,1))/100*AX135)</f>
        <v>136770</v>
      </c>
      <c r="AZ135" s="81">
        <f>IF((AZ$131-2021)=START!$C$2,BUILDINGS!$B18,(100-INDEX('DEFAULT DATA'!$WN$9:$WP$41,START!$C$3,1)+INDEX('DEFAULT DATA'!$XO$9:$XQ$41,START!$C$3,1))/100*AY135)</f>
        <v>136770</v>
      </c>
      <c r="BA135" s="81">
        <f>IF((BA$131-2021)=START!$C$2,BUILDINGS!$B18,(100-INDEX('DEFAULT DATA'!$WN$9:$WP$41,START!$C$3,1)+INDEX('DEFAULT DATA'!$XO$9:$XQ$41,START!$C$3,1))/100*AZ135)</f>
        <v>136770</v>
      </c>
      <c r="BB135" s="81">
        <f>IF((BB$131-2021)=START!$C$2,BUILDINGS!$B18,(100-INDEX('DEFAULT DATA'!$WN$9:$WP$41,START!$C$3,1)+INDEX('DEFAULT DATA'!$XO$9:$XQ$41,START!$C$3,1))/100*BA135)</f>
        <v>136770</v>
      </c>
      <c r="BC135" s="81">
        <f>IF((BC$131-2021)=START!$C$2,BUILDINGS!$B18,(100-INDEX('DEFAULT DATA'!$WN$9:$WP$41,START!$C$3,1)+INDEX('DEFAULT DATA'!$XO$9:$XQ$41,START!$C$3,1))/100*BB135)</f>
        <v>136770</v>
      </c>
      <c r="BD135" s="81">
        <f>IF((BD$131-2021)=START!$C$2,BUILDINGS!$B18,(100-INDEX('DEFAULT DATA'!$WN$9:$WP$41,START!$C$3,1)+INDEX('DEFAULT DATA'!$XO$9:$XQ$41,START!$C$3,1))/100*BC135)</f>
        <v>136770</v>
      </c>
      <c r="BE135" s="81">
        <f>IF((BE$131-2021)=START!$C$2,BUILDINGS!$B18,(100-INDEX('DEFAULT DATA'!$WN$9:$WP$41,START!$C$3,1)+INDEX('DEFAULT DATA'!$XO$9:$XQ$41,START!$C$3,1))/100*BD135)</f>
        <v>136770</v>
      </c>
      <c r="BF135" s="81">
        <f>IF((BF$131-2021)=START!$C$2,BUILDINGS!$B18,(100-INDEX('DEFAULT DATA'!$WN$9:$WP$41,START!$C$3,1)+INDEX('DEFAULT DATA'!$XO$9:$XQ$41,START!$C$3,1))/100*BE135)</f>
        <v>136770</v>
      </c>
      <c r="BG135" s="81">
        <f>IF((BG$131-2021)=START!$C$2,BUILDINGS!$B18,(100-INDEX('DEFAULT DATA'!$WN$9:$WP$41,START!$C$3,1)+INDEX('DEFAULT DATA'!$XO$9:$XQ$41,START!$C$3,1))/100*BF135)</f>
        <v>136770</v>
      </c>
      <c r="BH135" s="81">
        <f>IF((BH$131-2021)=START!$C$2,BUILDINGS!$B18,(100-INDEX('DEFAULT DATA'!$WN$9:$WP$41,START!$C$3,1)+INDEX('DEFAULT DATA'!$XO$9:$XQ$41,START!$C$3,1))/100*BG135)</f>
        <v>136770</v>
      </c>
      <c r="BI135" s="81">
        <f>IF((BI$131-2021)=START!$C$2,BUILDINGS!$B18,(100-INDEX('DEFAULT DATA'!$WN$9:$WP$41,START!$C$3,1)+INDEX('DEFAULT DATA'!$XO$9:$XQ$41,START!$C$3,1))/100*BH135)</f>
        <v>136770</v>
      </c>
      <c r="BJ135" s="81">
        <f>IF((BJ$131-2021)=START!$C$2,BUILDINGS!$B18,(100-INDEX('DEFAULT DATA'!$WN$9:$WP$41,START!$C$3,1)+INDEX('DEFAULT DATA'!$XO$9:$XQ$41,START!$C$3,1))/100*BI135)</f>
        <v>136770</v>
      </c>
      <c r="BK135" s="81">
        <f>IF((BK$131-2021)=START!$C$2,BUILDINGS!$B18,(100-INDEX('DEFAULT DATA'!$WN$9:$WP$41,START!$C$3,1)+INDEX('DEFAULT DATA'!$XO$9:$XQ$41,START!$C$3,1))/100*BJ135)</f>
        <v>136770</v>
      </c>
      <c r="BL135" s="81">
        <f>IF((BL$131-2021)=START!$C$2,BUILDINGS!$B18,(100-INDEX('DEFAULT DATA'!$WN$9:$WP$41,START!$C$3,1)+INDEX('DEFAULT DATA'!$XO$9:$XQ$41,START!$C$3,1))/100*BK135)</f>
        <v>136770</v>
      </c>
      <c r="BM135" s="81">
        <f>IF((BM$131-2021)=START!$C$2,BUILDINGS!$B18,(100-INDEX('DEFAULT DATA'!$WN$9:$WP$41,START!$C$3,1)+INDEX('DEFAULT DATA'!$XO$9:$XQ$41,START!$C$3,1))/100*BL135)</f>
        <v>136770</v>
      </c>
      <c r="BN135" s="81">
        <f>IF((BN$131-2021)=START!$C$2,BUILDINGS!$B18,(100-INDEX('DEFAULT DATA'!$WN$9:$WP$41,START!$C$3,1)+INDEX('DEFAULT DATA'!$XO$9:$XQ$41,START!$C$3,1))/100*BM135)</f>
        <v>136770</v>
      </c>
      <c r="BP135" s="355" t="s">
        <v>1384</v>
      </c>
      <c r="BQ135" s="352"/>
      <c r="BU135" s="6" t="s">
        <v>1498</v>
      </c>
    </row>
    <row r="136" spans="1:87" ht="20.100000000000001" customHeight="1">
      <c r="A136" s="41">
        <v>1</v>
      </c>
      <c r="B136" s="82"/>
      <c r="C136" s="82">
        <v>2</v>
      </c>
      <c r="D136" s="82"/>
      <c r="E136" s="133">
        <v>0</v>
      </c>
      <c r="F136" s="16"/>
      <c r="G136" s="16"/>
      <c r="H136" s="82"/>
      <c r="I136" s="82">
        <v>3</v>
      </c>
      <c r="J136" s="186">
        <v>3</v>
      </c>
      <c r="K136" s="127"/>
      <c r="L136" s="82"/>
      <c r="M136" s="82"/>
      <c r="N136" s="82"/>
      <c r="O136" s="82"/>
      <c r="P136" s="82"/>
      <c r="Q136" s="82"/>
      <c r="R136" s="82"/>
      <c r="S136" s="82"/>
      <c r="T136" s="82"/>
      <c r="U136" s="82"/>
      <c r="V136" s="82"/>
      <c r="W136" s="82"/>
      <c r="X136" s="82"/>
      <c r="Y136" s="82"/>
      <c r="Z136" s="82"/>
      <c r="AA136" s="82"/>
      <c r="AB136" s="82"/>
      <c r="AC136" s="82"/>
      <c r="AD136" s="82"/>
      <c r="AE136" s="82"/>
      <c r="AF136" s="1557"/>
      <c r="AG136" s="1581" t="s">
        <v>874</v>
      </c>
      <c r="AH136" s="1582"/>
      <c r="AI136" s="1582"/>
      <c r="AJ136" s="1583"/>
      <c r="AK136" s="322">
        <v>0</v>
      </c>
      <c r="AL136" s="81">
        <f>IF((AL$131-2021)=START!$C$2,BUILDINGS!$B19,(100-INDEX('DEFAULT DATA'!$WN$9:$WP$41,START!$C$3,1)+INDEX('DEFAULT DATA'!$XO$9:$XQ$41,START!$C$3,1))/100*AK136)</f>
        <v>1508421</v>
      </c>
      <c r="AM136" s="81">
        <f>IF((AM$131-2021)=START!$C$2,BUILDINGS!$B19,(100-INDEX('DEFAULT DATA'!$WN$9:$WP$41,START!$C$3,1)+INDEX('DEFAULT DATA'!$XO$9:$XQ$41,START!$C$3,1))/100*AL136)</f>
        <v>1508421</v>
      </c>
      <c r="AN136" s="81">
        <f>IF((AN$131-2021)=START!$C$2,BUILDINGS!$B19,(100-INDEX('DEFAULT DATA'!$WN$9:$WP$41,START!$C$3,1)+INDEX('DEFAULT DATA'!$XO$9:$XQ$41,START!$C$3,1))/100*AM136)</f>
        <v>1508421</v>
      </c>
      <c r="AO136" s="81">
        <f>IF((AO$131-2021)=START!$C$2,BUILDINGS!$B19,(100-INDEX('DEFAULT DATA'!$WN$9:$WP$41,START!$C$3,1)+INDEX('DEFAULT DATA'!$XO$9:$XQ$41,START!$C$3,1))/100*AN136)</f>
        <v>1508421</v>
      </c>
      <c r="AP136" s="81">
        <f>IF((AP$131-2021)=START!$C$2,BUILDINGS!$B19,(100-INDEX('DEFAULT DATA'!$WN$9:$WP$41,START!$C$3,1)+INDEX('DEFAULT DATA'!$XO$9:$XQ$41,START!$C$3,1))/100*AO136)</f>
        <v>1508421</v>
      </c>
      <c r="AQ136" s="81">
        <f>IF((AQ$131-2021)=START!$C$2,BUILDINGS!$B19,(100-INDEX('DEFAULT DATA'!$WN$9:$WP$41,START!$C$3,1)+INDEX('DEFAULT DATA'!$XO$9:$XQ$41,START!$C$3,1))/100*AP136)</f>
        <v>1508421</v>
      </c>
      <c r="AR136" s="81">
        <f>IF((AR$131-2021)=START!$C$2,BUILDINGS!$B19,(100-INDEX('DEFAULT DATA'!$WN$9:$WP$41,START!$C$3,1)+INDEX('DEFAULT DATA'!$XO$9:$XQ$41,START!$C$3,1))/100*AQ136)</f>
        <v>1508421</v>
      </c>
      <c r="AS136" s="81">
        <f>IF((AS$131-2021)=START!$C$2,BUILDINGS!$B19,(100-INDEX('DEFAULT DATA'!$WN$9:$WP$41,START!$C$3,1)+INDEX('DEFAULT DATA'!$XO$9:$XQ$41,START!$C$3,1))/100*AR136)</f>
        <v>1508421</v>
      </c>
      <c r="AT136" s="81">
        <f>IF((AT$131-2021)=START!$C$2,BUILDINGS!$B19,(100-INDEX('DEFAULT DATA'!$WN$9:$WP$41,START!$C$3,1)+INDEX('DEFAULT DATA'!$XO$9:$XQ$41,START!$C$3,1))/100*AS136)</f>
        <v>1508421</v>
      </c>
      <c r="AU136" s="81">
        <f>IF((AU$131-2021)=START!$C$2,BUILDINGS!$B19,(100-INDEX('DEFAULT DATA'!$WN$9:$WP$41,START!$C$3,1)+INDEX('DEFAULT DATA'!$XO$9:$XQ$41,START!$C$3,1))/100*AT136)</f>
        <v>1508421</v>
      </c>
      <c r="AV136" s="81">
        <f>IF((AV$131-2021)=START!$C$2,BUILDINGS!$B19,(100-INDEX('DEFAULT DATA'!$WN$9:$WP$41,START!$C$3,1)+INDEX('DEFAULT DATA'!$XO$9:$XQ$41,START!$C$3,1))/100*AU136)</f>
        <v>1508421</v>
      </c>
      <c r="AW136" s="81">
        <f>IF((AW$131-2021)=START!$C$2,BUILDINGS!$B19,(100-INDEX('DEFAULT DATA'!$WN$9:$WP$41,START!$C$3,1)+INDEX('DEFAULT DATA'!$XO$9:$XQ$41,START!$C$3,1))/100*AV136)</f>
        <v>1508421</v>
      </c>
      <c r="AX136" s="81">
        <f>IF((AX$131-2021)=START!$C$2,BUILDINGS!$B19,(100-INDEX('DEFAULT DATA'!$WN$9:$WP$41,START!$C$3,1)+INDEX('DEFAULT DATA'!$XO$9:$XQ$41,START!$C$3,1))/100*AW136)</f>
        <v>1508421</v>
      </c>
      <c r="AY136" s="81">
        <f>IF((AY$131-2021)=START!$C$2,BUILDINGS!$B19,(100-INDEX('DEFAULT DATA'!$WN$9:$WP$41,START!$C$3,1)+INDEX('DEFAULT DATA'!$XO$9:$XQ$41,START!$C$3,1))/100*AX136)</f>
        <v>1508421</v>
      </c>
      <c r="AZ136" s="81">
        <f>IF((AZ$131-2021)=START!$C$2,BUILDINGS!$B19,(100-INDEX('DEFAULT DATA'!$WN$9:$WP$41,START!$C$3,1)+INDEX('DEFAULT DATA'!$XO$9:$XQ$41,START!$C$3,1))/100*AY136)</f>
        <v>1508421</v>
      </c>
      <c r="BA136" s="81">
        <f>IF((BA$131-2021)=START!$C$2,BUILDINGS!$B19,(100-INDEX('DEFAULT DATA'!$WN$9:$WP$41,START!$C$3,1)+INDEX('DEFAULT DATA'!$XO$9:$XQ$41,START!$C$3,1))/100*AZ136)</f>
        <v>1508421</v>
      </c>
      <c r="BB136" s="81">
        <f>IF((BB$131-2021)=START!$C$2,BUILDINGS!$B19,(100-INDEX('DEFAULT DATA'!$WN$9:$WP$41,START!$C$3,1)+INDEX('DEFAULT DATA'!$XO$9:$XQ$41,START!$C$3,1))/100*BA136)</f>
        <v>1508421</v>
      </c>
      <c r="BC136" s="81">
        <f>IF((BC$131-2021)=START!$C$2,BUILDINGS!$B19,(100-INDEX('DEFAULT DATA'!$WN$9:$WP$41,START!$C$3,1)+INDEX('DEFAULT DATA'!$XO$9:$XQ$41,START!$C$3,1))/100*BB136)</f>
        <v>1508421</v>
      </c>
      <c r="BD136" s="81">
        <f>IF((BD$131-2021)=START!$C$2,BUILDINGS!$B19,(100-INDEX('DEFAULT DATA'!$WN$9:$WP$41,START!$C$3,1)+INDEX('DEFAULT DATA'!$XO$9:$XQ$41,START!$C$3,1))/100*BC136)</f>
        <v>1508421</v>
      </c>
      <c r="BE136" s="81">
        <f>IF((BE$131-2021)=START!$C$2,BUILDINGS!$B19,(100-INDEX('DEFAULT DATA'!$WN$9:$WP$41,START!$C$3,1)+INDEX('DEFAULT DATA'!$XO$9:$XQ$41,START!$C$3,1))/100*BD136)</f>
        <v>1508421</v>
      </c>
      <c r="BF136" s="81">
        <f>IF((BF$131-2021)=START!$C$2,BUILDINGS!$B19,(100-INDEX('DEFAULT DATA'!$WN$9:$WP$41,START!$C$3,1)+INDEX('DEFAULT DATA'!$XO$9:$XQ$41,START!$C$3,1))/100*BE136)</f>
        <v>1508421</v>
      </c>
      <c r="BG136" s="81">
        <f>IF((BG$131-2021)=START!$C$2,BUILDINGS!$B19,(100-INDEX('DEFAULT DATA'!$WN$9:$WP$41,START!$C$3,1)+INDEX('DEFAULT DATA'!$XO$9:$XQ$41,START!$C$3,1))/100*BF136)</f>
        <v>1508421</v>
      </c>
      <c r="BH136" s="81">
        <f>IF((BH$131-2021)=START!$C$2,BUILDINGS!$B19,(100-INDEX('DEFAULT DATA'!$WN$9:$WP$41,START!$C$3,1)+INDEX('DEFAULT DATA'!$XO$9:$XQ$41,START!$C$3,1))/100*BG136)</f>
        <v>1508421</v>
      </c>
      <c r="BI136" s="81">
        <f>IF((BI$131-2021)=START!$C$2,BUILDINGS!$B19,(100-INDEX('DEFAULT DATA'!$WN$9:$WP$41,START!$C$3,1)+INDEX('DEFAULT DATA'!$XO$9:$XQ$41,START!$C$3,1))/100*BH136)</f>
        <v>1508421</v>
      </c>
      <c r="BJ136" s="81">
        <f>IF((BJ$131-2021)=START!$C$2,BUILDINGS!$B19,(100-INDEX('DEFAULT DATA'!$WN$9:$WP$41,START!$C$3,1)+INDEX('DEFAULT DATA'!$XO$9:$XQ$41,START!$C$3,1))/100*BI136)</f>
        <v>1508421</v>
      </c>
      <c r="BK136" s="81">
        <f>IF((BK$131-2021)=START!$C$2,BUILDINGS!$B19,(100-INDEX('DEFAULT DATA'!$WN$9:$WP$41,START!$C$3,1)+INDEX('DEFAULT DATA'!$XO$9:$XQ$41,START!$C$3,1))/100*BJ136)</f>
        <v>1508421</v>
      </c>
      <c r="BL136" s="81">
        <f>IF((BL$131-2021)=START!$C$2,BUILDINGS!$B19,(100-INDEX('DEFAULT DATA'!$WN$9:$WP$41,START!$C$3,1)+INDEX('DEFAULT DATA'!$XO$9:$XQ$41,START!$C$3,1))/100*BK136)</f>
        <v>1508421</v>
      </c>
      <c r="BM136" s="81">
        <f>IF((BM$131-2021)=START!$C$2,BUILDINGS!$B19,(100-INDEX('DEFAULT DATA'!$WN$9:$WP$41,START!$C$3,1)+INDEX('DEFAULT DATA'!$XO$9:$XQ$41,START!$C$3,1))/100*BL136)</f>
        <v>1508421</v>
      </c>
      <c r="BN136" s="81">
        <f>IF((BN$131-2021)=START!$C$2,BUILDINGS!$B19,(100-INDEX('DEFAULT DATA'!$WN$9:$WP$41,START!$C$3,1)+INDEX('DEFAULT DATA'!$XO$9:$XQ$41,START!$C$3,1))/100*BM136)</f>
        <v>1508421</v>
      </c>
      <c r="BP136" s="355" t="s">
        <v>1385</v>
      </c>
      <c r="BQ136" s="352"/>
      <c r="BU136" s="6" t="s">
        <v>1499</v>
      </c>
    </row>
    <row r="137" spans="1:87" ht="20.100000000000001" customHeight="1" thickBot="1">
      <c r="A137" s="41">
        <v>1</v>
      </c>
      <c r="B137" s="82"/>
      <c r="C137" s="82">
        <v>3</v>
      </c>
      <c r="D137" s="82"/>
      <c r="E137" s="133">
        <v>0</v>
      </c>
      <c r="F137" s="16"/>
      <c r="G137" s="16"/>
      <c r="H137" s="82"/>
      <c r="I137" s="82">
        <v>2</v>
      </c>
      <c r="J137" s="186">
        <v>3</v>
      </c>
      <c r="K137" s="127"/>
      <c r="L137" s="82"/>
      <c r="M137" s="82"/>
      <c r="N137" s="82"/>
      <c r="O137" s="82"/>
      <c r="P137" s="82"/>
      <c r="Q137" s="82"/>
      <c r="R137" s="82"/>
      <c r="S137" s="82"/>
      <c r="T137" s="82"/>
      <c r="U137" s="82"/>
      <c r="V137" s="82"/>
      <c r="W137" s="82"/>
      <c r="X137" s="82"/>
      <c r="Y137" s="82"/>
      <c r="Z137" s="82"/>
      <c r="AA137" s="82"/>
      <c r="AB137" s="82"/>
      <c r="AC137" s="82"/>
      <c r="AD137" s="82"/>
      <c r="AE137" s="82"/>
      <c r="AF137" s="1558"/>
      <c r="AG137" s="1542" t="s">
        <v>875</v>
      </c>
      <c r="AH137" s="1572"/>
      <c r="AI137" s="1572"/>
      <c r="AJ137" s="1543"/>
      <c r="AK137" s="369">
        <v>0</v>
      </c>
      <c r="AL137" s="155">
        <f>IF((AL$131-2021)=START!$C$2,BUILDINGS!$B20,(100-INDEX('DEFAULT DATA'!$WN$9:$WP$41,START!$C$3,1)+INDEX('DEFAULT DATA'!$XO$9:$XQ$41,START!$C$3,1))/100*AK137)</f>
        <v>61143</v>
      </c>
      <c r="AM137" s="155">
        <f>IF((AM$131-2021)=START!$C$2,BUILDINGS!$B20,(100-INDEX('DEFAULT DATA'!$WN$9:$WP$41,START!$C$3,1)+INDEX('DEFAULT DATA'!$XO$9:$XQ$41,START!$C$3,1))/100*AL137)</f>
        <v>61143</v>
      </c>
      <c r="AN137" s="155">
        <f>IF((AN$131-2021)=START!$C$2,BUILDINGS!$B20,(100-INDEX('DEFAULT DATA'!$WN$9:$WP$41,START!$C$3,1)+INDEX('DEFAULT DATA'!$XO$9:$XQ$41,START!$C$3,1))/100*AM137)</f>
        <v>61143</v>
      </c>
      <c r="AO137" s="155">
        <f>IF((AO$131-2021)=START!$C$2,BUILDINGS!$B20,(100-INDEX('DEFAULT DATA'!$WN$9:$WP$41,START!$C$3,1)+INDEX('DEFAULT DATA'!$XO$9:$XQ$41,START!$C$3,1))/100*AN137)</f>
        <v>61143</v>
      </c>
      <c r="AP137" s="155">
        <f>IF((AP$131-2021)=START!$C$2,BUILDINGS!$B20,(100-INDEX('DEFAULT DATA'!$WN$9:$WP$41,START!$C$3,1)+INDEX('DEFAULT DATA'!$XO$9:$XQ$41,START!$C$3,1))/100*AO137)</f>
        <v>61143</v>
      </c>
      <c r="AQ137" s="155">
        <f>IF((AQ$131-2021)=START!$C$2,BUILDINGS!$B20,(100-INDEX('DEFAULT DATA'!$WN$9:$WP$41,START!$C$3,1)+INDEX('DEFAULT DATA'!$XO$9:$XQ$41,START!$C$3,1))/100*AP137)</f>
        <v>61143</v>
      </c>
      <c r="AR137" s="155">
        <f>IF((AR$131-2021)=START!$C$2,BUILDINGS!$B20,(100-INDEX('DEFAULT DATA'!$WN$9:$WP$41,START!$C$3,1)+INDEX('DEFAULT DATA'!$XO$9:$XQ$41,START!$C$3,1))/100*AQ137)</f>
        <v>61143</v>
      </c>
      <c r="AS137" s="155">
        <f>IF((AS$131-2021)=START!$C$2,BUILDINGS!$B20,(100-INDEX('DEFAULT DATA'!$WN$9:$WP$41,START!$C$3,1)+INDEX('DEFAULT DATA'!$XO$9:$XQ$41,START!$C$3,1))/100*AR137)</f>
        <v>61143</v>
      </c>
      <c r="AT137" s="155">
        <f>IF((AT$131-2021)=START!$C$2,BUILDINGS!$B20,(100-INDEX('DEFAULT DATA'!$WN$9:$WP$41,START!$C$3,1)+INDEX('DEFAULT DATA'!$XO$9:$XQ$41,START!$C$3,1))/100*AS137)</f>
        <v>61143</v>
      </c>
      <c r="AU137" s="155">
        <f>IF((AU$131-2021)=START!$C$2,BUILDINGS!$B20,(100-INDEX('DEFAULT DATA'!$WN$9:$WP$41,START!$C$3,1)+INDEX('DEFAULT DATA'!$XO$9:$XQ$41,START!$C$3,1))/100*AT137)</f>
        <v>61143</v>
      </c>
      <c r="AV137" s="155">
        <f>IF((AV$131-2021)=START!$C$2,BUILDINGS!$B20,(100-INDEX('DEFAULT DATA'!$WN$9:$WP$41,START!$C$3,1)+INDEX('DEFAULT DATA'!$XO$9:$XQ$41,START!$C$3,1))/100*AU137)</f>
        <v>61143</v>
      </c>
      <c r="AW137" s="155">
        <f>IF((AW$131-2021)=START!$C$2,BUILDINGS!$B20,(100-INDEX('DEFAULT DATA'!$WN$9:$WP$41,START!$C$3,1)+INDEX('DEFAULT DATA'!$XO$9:$XQ$41,START!$C$3,1))/100*AV137)</f>
        <v>61143</v>
      </c>
      <c r="AX137" s="155">
        <f>IF((AX$131-2021)=START!$C$2,BUILDINGS!$B20,(100-INDEX('DEFAULT DATA'!$WN$9:$WP$41,START!$C$3,1)+INDEX('DEFAULT DATA'!$XO$9:$XQ$41,START!$C$3,1))/100*AW137)</f>
        <v>61143</v>
      </c>
      <c r="AY137" s="155">
        <f>IF((AY$131-2021)=START!$C$2,BUILDINGS!$B20,(100-INDEX('DEFAULT DATA'!$WN$9:$WP$41,START!$C$3,1)+INDEX('DEFAULT DATA'!$XO$9:$XQ$41,START!$C$3,1))/100*AX137)</f>
        <v>61143</v>
      </c>
      <c r="AZ137" s="155">
        <f>IF((AZ$131-2021)=START!$C$2,BUILDINGS!$B20,(100-INDEX('DEFAULT DATA'!$WN$9:$WP$41,START!$C$3,1)+INDEX('DEFAULT DATA'!$XO$9:$XQ$41,START!$C$3,1))/100*AY137)</f>
        <v>61143</v>
      </c>
      <c r="BA137" s="155">
        <f>IF((BA$131-2021)=START!$C$2,BUILDINGS!$B20,(100-INDEX('DEFAULT DATA'!$WN$9:$WP$41,START!$C$3,1)+INDEX('DEFAULT DATA'!$XO$9:$XQ$41,START!$C$3,1))/100*AZ137)</f>
        <v>61143</v>
      </c>
      <c r="BB137" s="155">
        <f>IF((BB$131-2021)=START!$C$2,BUILDINGS!$B20,(100-INDEX('DEFAULT DATA'!$WN$9:$WP$41,START!$C$3,1)+INDEX('DEFAULT DATA'!$XO$9:$XQ$41,START!$C$3,1))/100*BA137)</f>
        <v>61143</v>
      </c>
      <c r="BC137" s="155">
        <f>IF((BC$131-2021)=START!$C$2,BUILDINGS!$B20,(100-INDEX('DEFAULT DATA'!$WN$9:$WP$41,START!$C$3,1)+INDEX('DEFAULT DATA'!$XO$9:$XQ$41,START!$C$3,1))/100*BB137)</f>
        <v>61143</v>
      </c>
      <c r="BD137" s="155">
        <f>IF((BD$131-2021)=START!$C$2,BUILDINGS!$B20,(100-INDEX('DEFAULT DATA'!$WN$9:$WP$41,START!$C$3,1)+INDEX('DEFAULT DATA'!$XO$9:$XQ$41,START!$C$3,1))/100*BC137)</f>
        <v>61143</v>
      </c>
      <c r="BE137" s="155">
        <f>IF((BE$131-2021)=START!$C$2,BUILDINGS!$B20,(100-INDEX('DEFAULT DATA'!$WN$9:$WP$41,START!$C$3,1)+INDEX('DEFAULT DATA'!$XO$9:$XQ$41,START!$C$3,1))/100*BD137)</f>
        <v>61143</v>
      </c>
      <c r="BF137" s="155">
        <f>IF((BF$131-2021)=START!$C$2,BUILDINGS!$B20,(100-INDEX('DEFAULT DATA'!$WN$9:$WP$41,START!$C$3,1)+INDEX('DEFAULT DATA'!$XO$9:$XQ$41,START!$C$3,1))/100*BE137)</f>
        <v>61143</v>
      </c>
      <c r="BG137" s="155">
        <f>IF((BG$131-2021)=START!$C$2,BUILDINGS!$B20,(100-INDEX('DEFAULT DATA'!$WN$9:$WP$41,START!$C$3,1)+INDEX('DEFAULT DATA'!$XO$9:$XQ$41,START!$C$3,1))/100*BF137)</f>
        <v>61143</v>
      </c>
      <c r="BH137" s="155">
        <f>IF((BH$131-2021)=START!$C$2,BUILDINGS!$B20,(100-INDEX('DEFAULT DATA'!$WN$9:$WP$41,START!$C$3,1)+INDEX('DEFAULT DATA'!$XO$9:$XQ$41,START!$C$3,1))/100*BG137)</f>
        <v>61143</v>
      </c>
      <c r="BI137" s="155">
        <f>IF((BI$131-2021)=START!$C$2,BUILDINGS!$B20,(100-INDEX('DEFAULT DATA'!$WN$9:$WP$41,START!$C$3,1)+INDEX('DEFAULT DATA'!$XO$9:$XQ$41,START!$C$3,1))/100*BH137)</f>
        <v>61143</v>
      </c>
      <c r="BJ137" s="155">
        <f>IF((BJ$131-2021)=START!$C$2,BUILDINGS!$B20,(100-INDEX('DEFAULT DATA'!$WN$9:$WP$41,START!$C$3,1)+INDEX('DEFAULT DATA'!$XO$9:$XQ$41,START!$C$3,1))/100*BI137)</f>
        <v>61143</v>
      </c>
      <c r="BK137" s="155">
        <f>IF((BK$131-2021)=START!$C$2,BUILDINGS!$B20,(100-INDEX('DEFAULT DATA'!$WN$9:$WP$41,START!$C$3,1)+INDEX('DEFAULT DATA'!$XO$9:$XQ$41,START!$C$3,1))/100*BJ137)</f>
        <v>61143</v>
      </c>
      <c r="BL137" s="155">
        <f>IF((BL$131-2021)=START!$C$2,BUILDINGS!$B20,(100-INDEX('DEFAULT DATA'!$WN$9:$WP$41,START!$C$3,1)+INDEX('DEFAULT DATA'!$XO$9:$XQ$41,START!$C$3,1))/100*BK137)</f>
        <v>61143</v>
      </c>
      <c r="BM137" s="155">
        <f>IF((BM$131-2021)=START!$C$2,BUILDINGS!$B20,(100-INDEX('DEFAULT DATA'!$WN$9:$WP$41,START!$C$3,1)+INDEX('DEFAULT DATA'!$XO$9:$XQ$41,START!$C$3,1))/100*BL137)</f>
        <v>61143</v>
      </c>
      <c r="BN137" s="155">
        <f>IF((BN$131-2021)=START!$C$2,BUILDINGS!$B20,(100-INDEX('DEFAULT DATA'!$WN$9:$WP$41,START!$C$3,1)+INDEX('DEFAULT DATA'!$XO$9:$XQ$41,START!$C$3,1))/100*BM137)</f>
        <v>61143</v>
      </c>
      <c r="BP137" s="356" t="s">
        <v>1386</v>
      </c>
      <c r="BQ137" s="352"/>
    </row>
    <row r="138" spans="1:87" ht="20.100000000000001" customHeight="1">
      <c r="A138" s="41">
        <v>1</v>
      </c>
      <c r="B138" s="82"/>
      <c r="C138" s="82">
        <v>4</v>
      </c>
      <c r="D138" s="82"/>
      <c r="E138" s="133">
        <v>0</v>
      </c>
      <c r="F138" s="16"/>
      <c r="G138" s="16"/>
      <c r="H138" s="82"/>
      <c r="I138" s="82">
        <v>2</v>
      </c>
      <c r="J138" s="186">
        <v>3</v>
      </c>
      <c r="K138" s="127"/>
      <c r="L138" s="82"/>
      <c r="M138" s="82"/>
      <c r="N138" s="82"/>
      <c r="O138" s="82"/>
      <c r="P138" s="82"/>
      <c r="Q138" s="82"/>
      <c r="R138" s="82"/>
      <c r="S138" s="82"/>
      <c r="T138" s="82"/>
      <c r="U138" s="82"/>
      <c r="V138" s="82"/>
      <c r="W138" s="82"/>
      <c r="X138" s="82"/>
      <c r="Y138" s="82"/>
      <c r="Z138" s="82"/>
      <c r="AA138" s="82"/>
      <c r="AB138" s="82"/>
      <c r="AC138" s="82"/>
      <c r="AD138" s="82"/>
      <c r="AE138" s="82"/>
      <c r="AF138" s="167"/>
      <c r="AG138" s="1598" t="s">
        <v>1033</v>
      </c>
      <c r="AH138" s="1599"/>
      <c r="AI138" s="1599"/>
      <c r="AJ138" s="1600"/>
      <c r="AK138" s="326">
        <f>SUM(AK132:AK137)</f>
        <v>0</v>
      </c>
      <c r="AL138" s="326">
        <f t="shared" ref="AL138" si="33">SUM(AL132:AL137)</f>
        <v>2318575</v>
      </c>
      <c r="AM138" s="326">
        <f t="shared" ref="AM138" si="34">SUM(AM132:AM137)</f>
        <v>2318575</v>
      </c>
      <c r="AN138" s="326">
        <f t="shared" ref="AN138" si="35">SUM(AN132:AN137)</f>
        <v>2318575</v>
      </c>
      <c r="AO138" s="326">
        <f t="shared" ref="AO138" si="36">SUM(AO132:AO137)</f>
        <v>2318575</v>
      </c>
      <c r="AP138" s="326">
        <f t="shared" ref="AP138" si="37">SUM(AP132:AP137)</f>
        <v>2318575</v>
      </c>
      <c r="AQ138" s="326">
        <f t="shared" ref="AQ138" si="38">SUM(AQ132:AQ137)</f>
        <v>2318575</v>
      </c>
      <c r="AR138" s="326">
        <f t="shared" ref="AR138" si="39">SUM(AR132:AR137)</f>
        <v>2318575</v>
      </c>
      <c r="AS138" s="326">
        <f t="shared" ref="AS138" si="40">SUM(AS132:AS137)</f>
        <v>2318575</v>
      </c>
      <c r="AT138" s="326">
        <f t="shared" ref="AT138" si="41">SUM(AT132:AT137)</f>
        <v>2318575</v>
      </c>
      <c r="AU138" s="326">
        <f t="shared" ref="AU138" si="42">SUM(AU132:AU137)</f>
        <v>2318575</v>
      </c>
      <c r="AV138" s="326">
        <f t="shared" ref="AV138" si="43">SUM(AV132:AV137)</f>
        <v>2318575</v>
      </c>
      <c r="AW138" s="326">
        <f t="shared" ref="AW138" si="44">SUM(AW132:AW137)</f>
        <v>2318575</v>
      </c>
      <c r="AX138" s="326">
        <f t="shared" ref="AX138" si="45">SUM(AX132:AX137)</f>
        <v>2318575</v>
      </c>
      <c r="AY138" s="326">
        <f t="shared" ref="AY138" si="46">SUM(AY132:AY137)</f>
        <v>2318575</v>
      </c>
      <c r="AZ138" s="326">
        <f t="shared" ref="AZ138" si="47">SUM(AZ132:AZ137)</f>
        <v>2318575</v>
      </c>
      <c r="BA138" s="326">
        <f t="shared" ref="BA138" si="48">SUM(BA132:BA137)</f>
        <v>2318575</v>
      </c>
      <c r="BB138" s="326">
        <f t="shared" ref="BB138" si="49">SUM(BB132:BB137)</f>
        <v>2318575</v>
      </c>
      <c r="BC138" s="326">
        <f t="shared" ref="BC138" si="50">SUM(BC132:BC137)</f>
        <v>2318575</v>
      </c>
      <c r="BD138" s="326">
        <f t="shared" ref="BD138" si="51">SUM(BD132:BD137)</f>
        <v>2318575</v>
      </c>
      <c r="BE138" s="326">
        <f t="shared" ref="BE138" si="52">SUM(BE132:BE137)</f>
        <v>2318575</v>
      </c>
      <c r="BF138" s="326">
        <f t="shared" ref="BF138" si="53">SUM(BF132:BF137)</f>
        <v>2318575</v>
      </c>
      <c r="BG138" s="326">
        <f t="shared" ref="BG138" si="54">SUM(BG132:BG137)</f>
        <v>2318575</v>
      </c>
      <c r="BH138" s="326">
        <f t="shared" ref="BH138" si="55">SUM(BH132:BH137)</f>
        <v>2318575</v>
      </c>
      <c r="BI138" s="326">
        <f t="shared" ref="BI138" si="56">SUM(BI132:BI137)</f>
        <v>2318575</v>
      </c>
      <c r="BJ138" s="326">
        <f t="shared" ref="BJ138" si="57">SUM(BJ132:BJ137)</f>
        <v>2318575</v>
      </c>
      <c r="BK138" s="326">
        <f t="shared" ref="BK138" si="58">SUM(BK132:BK137)</f>
        <v>2318575</v>
      </c>
      <c r="BL138" s="326">
        <f t="shared" ref="BL138" si="59">SUM(BL132:BL137)</f>
        <v>2318575</v>
      </c>
      <c r="BM138" s="326">
        <f t="shared" ref="BM138" si="60">SUM(BM132:BM137)</f>
        <v>2318575</v>
      </c>
      <c r="BN138" s="326">
        <f t="shared" ref="BN138" si="61">SUM(BN132:BN137)</f>
        <v>2318575</v>
      </c>
    </row>
    <row r="139" spans="1:87" ht="20.100000000000001" customHeight="1">
      <c r="A139" s="41">
        <v>1</v>
      </c>
      <c r="B139" s="82"/>
      <c r="C139" s="82">
        <v>5</v>
      </c>
      <c r="D139" s="82"/>
      <c r="E139" s="133">
        <v>0</v>
      </c>
      <c r="F139" s="16"/>
      <c r="G139" s="16"/>
      <c r="H139" s="82"/>
      <c r="I139" s="82">
        <v>2</v>
      </c>
      <c r="J139" s="186">
        <v>3</v>
      </c>
      <c r="K139" s="127"/>
      <c r="L139" s="82"/>
      <c r="M139" s="82"/>
      <c r="N139" s="82"/>
      <c r="O139" s="82"/>
      <c r="P139" s="82"/>
      <c r="Q139" s="82"/>
      <c r="R139" s="82"/>
      <c r="S139" s="82"/>
      <c r="T139" s="82"/>
      <c r="U139" s="82"/>
      <c r="V139" s="82"/>
      <c r="W139" s="82"/>
      <c r="X139" s="82"/>
      <c r="Y139" s="82"/>
      <c r="Z139" s="82"/>
      <c r="AA139" s="82"/>
      <c r="AB139" s="82"/>
      <c r="AC139" s="82"/>
      <c r="AD139" s="82"/>
      <c r="AE139" s="82"/>
    </row>
    <row r="140" spans="1:87" ht="20.100000000000001" customHeight="1">
      <c r="A140" s="41">
        <v>1</v>
      </c>
      <c r="B140" s="82"/>
      <c r="C140" s="82">
        <v>6</v>
      </c>
      <c r="D140" s="82"/>
      <c r="E140" s="133">
        <v>0</v>
      </c>
      <c r="F140" s="16"/>
      <c r="G140" s="16"/>
      <c r="H140" s="82"/>
      <c r="I140" s="82">
        <v>2</v>
      </c>
      <c r="J140" s="186">
        <v>3</v>
      </c>
      <c r="K140" s="127"/>
      <c r="L140" s="82"/>
      <c r="M140" s="82"/>
      <c r="N140" s="82"/>
      <c r="O140" s="82"/>
      <c r="P140" s="82"/>
      <c r="Q140" s="82"/>
      <c r="R140" s="82"/>
      <c r="S140" s="82"/>
      <c r="T140" s="82"/>
      <c r="U140" s="82"/>
      <c r="V140" s="82"/>
      <c r="W140" s="82"/>
      <c r="X140" s="82"/>
      <c r="Y140" s="82"/>
      <c r="Z140" s="82"/>
      <c r="AA140" s="82"/>
      <c r="AB140" s="82"/>
      <c r="AC140" s="82"/>
      <c r="AD140" s="82"/>
      <c r="AE140" s="82"/>
      <c r="CH140" s="1610" t="s">
        <v>1393</v>
      </c>
      <c r="CI140" s="225"/>
    </row>
    <row r="141" spans="1:87" ht="20.100000000000001" customHeight="1">
      <c r="A141" s="41"/>
      <c r="B141" s="82"/>
      <c r="C141" s="82"/>
      <c r="D141" s="82"/>
      <c r="E141" s="82"/>
      <c r="F141" s="82"/>
      <c r="G141" s="82"/>
      <c r="H141" s="82"/>
      <c r="I141" s="82"/>
      <c r="J141" s="82"/>
      <c r="K141" s="127"/>
      <c r="L141" s="82"/>
      <c r="M141" s="82"/>
      <c r="N141" s="82"/>
      <c r="O141" s="82"/>
      <c r="P141" s="82"/>
      <c r="Q141" s="82"/>
      <c r="R141" s="82"/>
      <c r="S141" s="82"/>
      <c r="T141" s="82"/>
      <c r="U141" s="82"/>
      <c r="V141" s="82"/>
      <c r="W141" s="82"/>
      <c r="X141" s="82"/>
      <c r="Y141" s="82"/>
      <c r="Z141" s="82"/>
      <c r="AA141" s="82"/>
      <c r="AB141" s="82"/>
      <c r="AC141" s="82"/>
      <c r="AD141" s="82"/>
      <c r="AE141" s="82"/>
      <c r="AF141" s="122" t="s">
        <v>1034</v>
      </c>
      <c r="AL141" s="213"/>
      <c r="BQ141" s="6"/>
      <c r="CH141" s="1610"/>
      <c r="CI141" s="225"/>
    </row>
    <row r="142" spans="1:87" ht="20.100000000000001" customHeight="1" thickBot="1">
      <c r="A142" s="83"/>
      <c r="B142" s="188"/>
      <c r="C142" s="188"/>
      <c r="D142" s="188"/>
      <c r="E142" s="188"/>
      <c r="F142" s="188"/>
      <c r="G142" s="188"/>
      <c r="H142" s="188"/>
      <c r="I142" s="188"/>
      <c r="J142" s="188"/>
      <c r="K142" s="189"/>
      <c r="L142" s="82"/>
      <c r="M142" s="82"/>
      <c r="N142" s="82"/>
      <c r="O142" s="82"/>
      <c r="P142" s="82"/>
      <c r="Q142" s="82"/>
      <c r="R142" s="82"/>
      <c r="S142" s="82"/>
      <c r="T142" s="82"/>
      <c r="U142" s="82"/>
      <c r="V142" s="82"/>
      <c r="W142" s="82"/>
      <c r="X142" s="82"/>
      <c r="Y142" s="82"/>
      <c r="Z142" s="82"/>
      <c r="AA142" s="82"/>
      <c r="AB142" s="82"/>
      <c r="AC142" s="82"/>
      <c r="AD142" s="82"/>
      <c r="AE142" s="82"/>
      <c r="AF142" s="120" t="s">
        <v>1009</v>
      </c>
      <c r="AG142" s="1581" t="s">
        <v>992</v>
      </c>
      <c r="AH142" s="1582"/>
      <c r="AI142" s="1582"/>
      <c r="AJ142" s="1583"/>
      <c r="AK142" s="115">
        <v>2021</v>
      </c>
      <c r="AL142" s="115">
        <f>AK142+1</f>
        <v>2022</v>
      </c>
      <c r="AM142" s="115">
        <f t="shared" ref="AM142:BN142" si="62">AL142+1</f>
        <v>2023</v>
      </c>
      <c r="AN142" s="115">
        <f t="shared" si="62"/>
        <v>2024</v>
      </c>
      <c r="AO142" s="115">
        <f t="shared" si="62"/>
        <v>2025</v>
      </c>
      <c r="AP142" s="115">
        <f t="shared" si="62"/>
        <v>2026</v>
      </c>
      <c r="AQ142" s="115">
        <f t="shared" si="62"/>
        <v>2027</v>
      </c>
      <c r="AR142" s="115">
        <f t="shared" si="62"/>
        <v>2028</v>
      </c>
      <c r="AS142" s="115">
        <f t="shared" si="62"/>
        <v>2029</v>
      </c>
      <c r="AT142" s="115">
        <f t="shared" si="62"/>
        <v>2030</v>
      </c>
      <c r="AU142" s="115">
        <f t="shared" si="62"/>
        <v>2031</v>
      </c>
      <c r="AV142" s="115">
        <f t="shared" si="62"/>
        <v>2032</v>
      </c>
      <c r="AW142" s="115">
        <f t="shared" si="62"/>
        <v>2033</v>
      </c>
      <c r="AX142" s="115">
        <f t="shared" si="62"/>
        <v>2034</v>
      </c>
      <c r="AY142" s="115">
        <f t="shared" si="62"/>
        <v>2035</v>
      </c>
      <c r="AZ142" s="115">
        <f t="shared" si="62"/>
        <v>2036</v>
      </c>
      <c r="BA142" s="115">
        <f t="shared" si="62"/>
        <v>2037</v>
      </c>
      <c r="BB142" s="115">
        <f t="shared" si="62"/>
        <v>2038</v>
      </c>
      <c r="BC142" s="115">
        <f t="shared" si="62"/>
        <v>2039</v>
      </c>
      <c r="BD142" s="115">
        <f t="shared" si="62"/>
        <v>2040</v>
      </c>
      <c r="BE142" s="115">
        <f t="shared" si="62"/>
        <v>2041</v>
      </c>
      <c r="BF142" s="115">
        <f t="shared" si="62"/>
        <v>2042</v>
      </c>
      <c r="BG142" s="115">
        <f t="shared" si="62"/>
        <v>2043</v>
      </c>
      <c r="BH142" s="115">
        <f t="shared" si="62"/>
        <v>2044</v>
      </c>
      <c r="BI142" s="115">
        <f t="shared" si="62"/>
        <v>2045</v>
      </c>
      <c r="BJ142" s="115">
        <f t="shared" si="62"/>
        <v>2046</v>
      </c>
      <c r="BK142" s="115">
        <f t="shared" si="62"/>
        <v>2047</v>
      </c>
      <c r="BL142" s="115">
        <f t="shared" si="62"/>
        <v>2048</v>
      </c>
      <c r="BM142" s="115">
        <f t="shared" si="62"/>
        <v>2049</v>
      </c>
      <c r="BN142" s="115">
        <f t="shared" si="62"/>
        <v>2050</v>
      </c>
      <c r="BP142" s="6" t="s">
        <v>1394</v>
      </c>
      <c r="BQ142" s="6"/>
      <c r="CH142" s="228" t="s">
        <v>1395</v>
      </c>
      <c r="CI142" s="225" t="s">
        <v>1224</v>
      </c>
    </row>
    <row r="143" spans="1:87" ht="20.100000000000001" customHeight="1">
      <c r="A143" s="55"/>
      <c r="B143" s="43"/>
      <c r="C143" s="43"/>
      <c r="D143" s="43"/>
      <c r="E143" s="43"/>
      <c r="F143" s="43"/>
      <c r="G143" s="43"/>
      <c r="H143" s="43"/>
      <c r="I143" s="43"/>
      <c r="J143" s="43"/>
      <c r="K143" s="44"/>
      <c r="L143" s="16"/>
      <c r="M143" s="627"/>
      <c r="N143" s="630"/>
      <c r="O143" s="630"/>
      <c r="P143" s="630"/>
      <c r="Q143" s="630"/>
      <c r="R143" s="630"/>
      <c r="S143" s="630"/>
      <c r="T143" s="630"/>
      <c r="U143" s="630"/>
      <c r="V143" s="630"/>
      <c r="W143" s="630"/>
      <c r="X143" s="630"/>
      <c r="Y143" s="630"/>
      <c r="Z143" s="630"/>
      <c r="AA143" s="630"/>
      <c r="AB143" s="630"/>
      <c r="AC143" s="630"/>
      <c r="AD143" s="630"/>
      <c r="AE143" s="630"/>
      <c r="AF143" s="1556" t="s">
        <v>870</v>
      </c>
      <c r="AG143" s="1581" t="s">
        <v>578</v>
      </c>
      <c r="AH143" s="1582"/>
      <c r="AI143" s="1582"/>
      <c r="AJ143" s="1583"/>
      <c r="AK143" s="115">
        <v>0</v>
      </c>
      <c r="AL143" s="123">
        <f>AL$132*INDEX('DEFAULT DATA'!$AHX$9:$AIE$41,START!$C$3,1)*BUILDINGS!AL5/1000000</f>
        <v>14588.207846393425</v>
      </c>
      <c r="AM143" s="123">
        <f>AM$132*INDEX('DEFAULT DATA'!$AHX$9:$AIE$41,START!$C$3,1)*BUILDINGS!AM5/1000000</f>
        <v>13479.504050067526</v>
      </c>
      <c r="AN143" s="123">
        <f>AN$132*INDEX('DEFAULT DATA'!$AHX$9:$AIE$41,START!$C$3,1)*BUILDINGS!AN5/1000000</f>
        <v>12455.061742262396</v>
      </c>
      <c r="AO143" s="123">
        <f>AO$132*INDEX('DEFAULT DATA'!$AHX$9:$AIE$41,START!$C$3,1)*BUILDINGS!AO5/1000000</f>
        <v>11508.477049850453</v>
      </c>
      <c r="AP143" s="123">
        <f>AP$132*INDEX('DEFAULT DATA'!$AHX$9:$AIE$41,START!$C$3,1)*BUILDINGS!AP5/1000000</f>
        <v>10633.832794061818</v>
      </c>
      <c r="AQ143" s="123">
        <f>AQ$132*INDEX('DEFAULT DATA'!$AHX$9:$AIE$41,START!$C$3,1)*BUILDINGS!AQ5/1000000</f>
        <v>9825.6615017131207</v>
      </c>
      <c r="AR143" s="123">
        <f>AR$132*INDEX('DEFAULT DATA'!$AHX$9:$AIE$41,START!$C$3,1)*BUILDINGS!AR5/1000000</f>
        <v>9078.9112275829248</v>
      </c>
      <c r="AS143" s="123">
        <f>AS$132*INDEX('DEFAULT DATA'!$AHX$9:$AIE$41,START!$C$3,1)*BUILDINGS!AS5/1000000</f>
        <v>8388.9139742866228</v>
      </c>
      <c r="AT143" s="123">
        <f>AT$132*INDEX('DEFAULT DATA'!$AHX$9:$AIE$41,START!$C$3,1)*BUILDINGS!AT5/1000000</f>
        <v>7751.3565122408399</v>
      </c>
      <c r="AU143" s="123">
        <f>AU$132*INDEX('DEFAULT DATA'!$AHX$9:$AIE$41,START!$C$3,1)*BUILDINGS!AU5/1000000</f>
        <v>7247.5183389451859</v>
      </c>
      <c r="AV143" s="123">
        <f>AV$132*INDEX('DEFAULT DATA'!$AHX$9:$AIE$41,START!$C$3,1)*BUILDINGS!AV5/1000000</f>
        <v>6776.4296469137489</v>
      </c>
      <c r="AW143" s="123">
        <f>AW$132*INDEX('DEFAULT DATA'!$AHX$9:$AIE$41,START!$C$3,1)*BUILDINGS!AW5/1000000</f>
        <v>6335.9617198643555</v>
      </c>
      <c r="AX143" s="123">
        <f>AX$132*INDEX('DEFAULT DATA'!$AHX$9:$AIE$41,START!$C$3,1)*BUILDINGS!AX5/1000000</f>
        <v>5924.1242080731727</v>
      </c>
      <c r="AY143" s="123">
        <f>AY$132*INDEX('DEFAULT DATA'!$AHX$9:$AIE$41,START!$C$3,1)*BUILDINGS!AY5/1000000</f>
        <v>5539.0561345484175</v>
      </c>
      <c r="AZ143" s="123">
        <f>AZ$132*INDEX('DEFAULT DATA'!$AHX$9:$AIE$41,START!$C$3,1)*BUILDINGS!AZ5/1000000</f>
        <v>5179.0174858027694</v>
      </c>
      <c r="BA143" s="123">
        <f>BA$132*INDEX('DEFAULT DATA'!$AHX$9:$AIE$41,START!$C$3,1)*BUILDINGS!BA5/1000000</f>
        <v>4842.3813492255904</v>
      </c>
      <c r="BB143" s="123">
        <f>BB$132*INDEX('DEFAULT DATA'!$AHX$9:$AIE$41,START!$C$3,1)*BUILDINGS!BB5/1000000</f>
        <v>4527.6265615259272</v>
      </c>
      <c r="BC143" s="123">
        <f>BC$132*INDEX('DEFAULT DATA'!$AHX$9:$AIE$41,START!$C$3,1)*BUILDINGS!BC5/1000000</f>
        <v>4233.3308350267425</v>
      </c>
      <c r="BD143" s="123">
        <f>BD$132*INDEX('DEFAULT DATA'!$AHX$9:$AIE$41,START!$C$3,1)*BUILDINGS!BD5/1000000</f>
        <v>3958.1643307500049</v>
      </c>
      <c r="BE143" s="123">
        <f>BE$132*INDEX('DEFAULT DATA'!$AHX$9:$AIE$41,START!$C$3,1)*BUILDINGS!BE5/1000000</f>
        <v>3700.8836492512546</v>
      </c>
      <c r="BF143" s="123">
        <f>BF$132*INDEX('DEFAULT DATA'!$AHX$9:$AIE$41,START!$C$3,1)*BUILDINGS!BF5/1000000</f>
        <v>3460.3262120499235</v>
      </c>
      <c r="BG143" s="123">
        <f>BG$132*INDEX('DEFAULT DATA'!$AHX$9:$AIE$41,START!$C$3,1)*BUILDINGS!BG5/1000000</f>
        <v>3235.4050082666781</v>
      </c>
      <c r="BH143" s="123">
        <f>BH$132*INDEX('DEFAULT DATA'!$AHX$9:$AIE$41,START!$C$3,1)*BUILDINGS!BH5/1000000</f>
        <v>3025.1036827293447</v>
      </c>
      <c r="BI143" s="123">
        <f>BI$132*INDEX('DEFAULT DATA'!$AHX$9:$AIE$41,START!$C$3,1)*BUILDINGS!BI5/1000000</f>
        <v>2828.4719433519376</v>
      </c>
      <c r="BJ143" s="123">
        <f>BJ$132*INDEX('DEFAULT DATA'!$AHX$9:$AIE$41,START!$C$3,1)*BUILDINGS!BJ5/1000000</f>
        <v>2644.6212670340619</v>
      </c>
      <c r="BK143" s="123">
        <f>BK$132*INDEX('DEFAULT DATA'!$AHX$9:$AIE$41,START!$C$3,1)*BUILDINGS!BK5/1000000</f>
        <v>2472.7208846768481</v>
      </c>
      <c r="BL143" s="123">
        <f>BL$132*INDEX('DEFAULT DATA'!$AHX$9:$AIE$41,START!$C$3,1)*BUILDINGS!BL5/1000000</f>
        <v>2311.9940271728528</v>
      </c>
      <c r="BM143" s="123">
        <f>BM$132*INDEX('DEFAULT DATA'!$AHX$9:$AIE$41,START!$C$3,1)*BUILDINGS!BM5/1000000</f>
        <v>2161.7144154066177</v>
      </c>
      <c r="BN143" s="123">
        <f>BN$132*INDEX('DEFAULT DATA'!$AHX$9:$AIE$41,START!$C$3,1)*BUILDINGS!BN5/1000000</f>
        <v>2021.2029784051874</v>
      </c>
      <c r="BP143" s="353" t="str">
        <f>AG143</f>
        <v>Electricity</v>
      </c>
      <c r="BQ143" s="357" t="s">
        <v>1492</v>
      </c>
      <c r="BR143" s="358"/>
      <c r="BS143" s="358"/>
      <c r="BT143" s="358"/>
      <c r="BU143" s="358"/>
      <c r="BV143" s="358"/>
      <c r="BW143" s="358"/>
      <c r="BX143" s="358"/>
      <c r="BY143" s="358"/>
      <c r="BZ143" s="358"/>
      <c r="CA143" s="358"/>
      <c r="CB143" s="358"/>
      <c r="CC143" s="358"/>
      <c r="CD143" s="358"/>
      <c r="CE143" s="358"/>
      <c r="CF143" s="358"/>
      <c r="CG143" s="359"/>
      <c r="CH143" s="360" t="s">
        <v>1396</v>
      </c>
      <c r="CI143" s="360" t="s">
        <v>1491</v>
      </c>
    </row>
    <row r="144" spans="1:87" ht="20.100000000000001" customHeight="1" thickBot="1">
      <c r="A144" s="93" t="s">
        <v>1143</v>
      </c>
      <c r="B144" s="94"/>
      <c r="C144" s="94"/>
      <c r="D144" s="94"/>
      <c r="E144" s="94"/>
      <c r="F144" s="94"/>
      <c r="G144" s="94"/>
      <c r="H144" s="95"/>
      <c r="I144" s="95"/>
      <c r="J144" s="95"/>
      <c r="K144" s="96"/>
      <c r="L144" s="219"/>
      <c r="M144" s="219"/>
      <c r="N144" s="219"/>
      <c r="O144" s="219"/>
      <c r="P144" s="219"/>
      <c r="Q144" s="219"/>
      <c r="R144" s="219"/>
      <c r="S144" s="219"/>
      <c r="T144" s="219"/>
      <c r="U144" s="219"/>
      <c r="V144" s="219"/>
      <c r="W144" s="219"/>
      <c r="X144" s="219"/>
      <c r="Y144" s="219"/>
      <c r="Z144" s="219"/>
      <c r="AA144" s="219"/>
      <c r="AB144" s="219"/>
      <c r="AC144" s="219"/>
      <c r="AD144" s="219"/>
      <c r="AE144" s="219"/>
      <c r="AF144" s="1557"/>
      <c r="AG144" s="1581" t="s">
        <v>862</v>
      </c>
      <c r="AH144" s="1582"/>
      <c r="AI144" s="1582"/>
      <c r="AJ144" s="1583"/>
      <c r="AK144" s="115">
        <v>0</v>
      </c>
      <c r="AL144" s="123">
        <f>AL$132*INDEX('DEFAULT DATA'!$AHX$9:$AIE$41,START!$C$3,2)*INDEX('DEFAULT DATA'!$WC$9:$WI$41,START!$C$3,2)/1000000</f>
        <v>0</v>
      </c>
      <c r="AM144" s="123">
        <f>AM$132*INDEX('DEFAULT DATA'!$AHX$9:$AIE$41,START!$C$3,2)*INDEX('DEFAULT DATA'!$WC$9:$WI$41,START!$C$3,2)/1000000</f>
        <v>0</v>
      </c>
      <c r="AN144" s="123">
        <f>AN$132*INDEX('DEFAULT DATA'!$AHX$9:$AIE$41,START!$C$3,2)*INDEX('DEFAULT DATA'!$WC$9:$WI$41,START!$C$3,2)/1000000</f>
        <v>0</v>
      </c>
      <c r="AO144" s="123">
        <f>AO$132*INDEX('DEFAULT DATA'!$AHX$9:$AIE$41,START!$C$3,2)*INDEX('DEFAULT DATA'!$WC$9:$WI$41,START!$C$3,2)/1000000</f>
        <v>0</v>
      </c>
      <c r="AP144" s="123">
        <f>AP$132*INDEX('DEFAULT DATA'!$AHX$9:$AIE$41,START!$C$3,2)*INDEX('DEFAULT DATA'!$WC$9:$WI$41,START!$C$3,2)/1000000</f>
        <v>0</v>
      </c>
      <c r="AQ144" s="123">
        <f>AQ$132*INDEX('DEFAULT DATA'!$AHX$9:$AIE$41,START!$C$3,2)*INDEX('DEFAULT DATA'!$WC$9:$WI$41,START!$C$3,2)/1000000</f>
        <v>0</v>
      </c>
      <c r="AR144" s="123">
        <f>AR$132*INDEX('DEFAULT DATA'!$AHX$9:$AIE$41,START!$C$3,2)*INDEX('DEFAULT DATA'!$WC$9:$WI$41,START!$C$3,2)/1000000</f>
        <v>0</v>
      </c>
      <c r="AS144" s="123">
        <f>AS$132*INDEX('DEFAULT DATA'!$AHX$9:$AIE$41,START!$C$3,2)*INDEX('DEFAULT DATA'!$WC$9:$WI$41,START!$C$3,2)/1000000</f>
        <v>0</v>
      </c>
      <c r="AT144" s="123">
        <f>AT$132*INDEX('DEFAULT DATA'!$AHX$9:$AIE$41,START!$C$3,2)*INDEX('DEFAULT DATA'!$WC$9:$WI$41,START!$C$3,2)/1000000</f>
        <v>0</v>
      </c>
      <c r="AU144" s="123">
        <f>AU$132*INDEX('DEFAULT DATA'!$AHX$9:$AIE$41,START!$C$3,2)*INDEX('DEFAULT DATA'!$WC$9:$WI$41,START!$C$3,2)/1000000</f>
        <v>0</v>
      </c>
      <c r="AV144" s="123">
        <f>AV$132*INDEX('DEFAULT DATA'!$AHX$9:$AIE$41,START!$C$3,2)*INDEX('DEFAULT DATA'!$WC$9:$WI$41,START!$C$3,2)/1000000</f>
        <v>0</v>
      </c>
      <c r="AW144" s="123">
        <f>AW$132*INDEX('DEFAULT DATA'!$AHX$9:$AIE$41,START!$C$3,2)*INDEX('DEFAULT DATA'!$WC$9:$WI$41,START!$C$3,2)/1000000</f>
        <v>0</v>
      </c>
      <c r="AX144" s="123">
        <f>AX$132*INDEX('DEFAULT DATA'!$AHX$9:$AIE$41,START!$C$3,2)*INDEX('DEFAULT DATA'!$WC$9:$WI$41,START!$C$3,2)/1000000</f>
        <v>0</v>
      </c>
      <c r="AY144" s="123">
        <f>AY$132*INDEX('DEFAULT DATA'!$AHX$9:$AIE$41,START!$C$3,2)*INDEX('DEFAULT DATA'!$WC$9:$WI$41,START!$C$3,2)/1000000</f>
        <v>0</v>
      </c>
      <c r="AZ144" s="123">
        <f>AZ$132*INDEX('DEFAULT DATA'!$AHX$9:$AIE$41,START!$C$3,2)*INDEX('DEFAULT DATA'!$WC$9:$WI$41,START!$C$3,2)/1000000</f>
        <v>0</v>
      </c>
      <c r="BA144" s="123">
        <f>BA$132*INDEX('DEFAULT DATA'!$AHX$9:$AIE$41,START!$C$3,2)*INDEX('DEFAULT DATA'!$WC$9:$WI$41,START!$C$3,2)/1000000</f>
        <v>0</v>
      </c>
      <c r="BB144" s="123">
        <f>BB$132*INDEX('DEFAULT DATA'!$AHX$9:$AIE$41,START!$C$3,2)*INDEX('DEFAULT DATA'!$WC$9:$WI$41,START!$C$3,2)/1000000</f>
        <v>0</v>
      </c>
      <c r="BC144" s="123">
        <f>BC$132*INDEX('DEFAULT DATA'!$AHX$9:$AIE$41,START!$C$3,2)*INDEX('DEFAULT DATA'!$WC$9:$WI$41,START!$C$3,2)/1000000</f>
        <v>0</v>
      </c>
      <c r="BD144" s="123">
        <f>BD$132*INDEX('DEFAULT DATA'!$AHX$9:$AIE$41,START!$C$3,2)*INDEX('DEFAULT DATA'!$WC$9:$WI$41,START!$C$3,2)/1000000</f>
        <v>0</v>
      </c>
      <c r="BE144" s="123">
        <f>BE$132*INDEX('DEFAULT DATA'!$AHX$9:$AIE$41,START!$C$3,2)*INDEX('DEFAULT DATA'!$WC$9:$WI$41,START!$C$3,2)/1000000</f>
        <v>0</v>
      </c>
      <c r="BF144" s="123">
        <f>BF$132*INDEX('DEFAULT DATA'!$AHX$9:$AIE$41,START!$C$3,2)*INDEX('DEFAULT DATA'!$WC$9:$WI$41,START!$C$3,2)/1000000</f>
        <v>0</v>
      </c>
      <c r="BG144" s="123">
        <f>BG$132*INDEX('DEFAULT DATA'!$AHX$9:$AIE$41,START!$C$3,2)*INDEX('DEFAULT DATA'!$WC$9:$WI$41,START!$C$3,2)/1000000</f>
        <v>0</v>
      </c>
      <c r="BH144" s="123">
        <f>BH$132*INDEX('DEFAULT DATA'!$AHX$9:$AIE$41,START!$C$3,2)*INDEX('DEFAULT DATA'!$WC$9:$WI$41,START!$C$3,2)/1000000</f>
        <v>0</v>
      </c>
      <c r="BI144" s="123">
        <f>BI$132*INDEX('DEFAULT DATA'!$AHX$9:$AIE$41,START!$C$3,2)*INDEX('DEFAULT DATA'!$WC$9:$WI$41,START!$C$3,2)/1000000</f>
        <v>0</v>
      </c>
      <c r="BJ144" s="123">
        <f>BJ$132*INDEX('DEFAULT DATA'!$AHX$9:$AIE$41,START!$C$3,2)*INDEX('DEFAULT DATA'!$WC$9:$WI$41,START!$C$3,2)/1000000</f>
        <v>0</v>
      </c>
      <c r="BK144" s="123">
        <f>BK$132*INDEX('DEFAULT DATA'!$AHX$9:$AIE$41,START!$C$3,2)*INDEX('DEFAULT DATA'!$WC$9:$WI$41,START!$C$3,2)/1000000</f>
        <v>0</v>
      </c>
      <c r="BL144" s="123">
        <f>BL$132*INDEX('DEFAULT DATA'!$AHX$9:$AIE$41,START!$C$3,2)*INDEX('DEFAULT DATA'!$WC$9:$WI$41,START!$C$3,2)/1000000</f>
        <v>0</v>
      </c>
      <c r="BM144" s="123">
        <f>BM$132*INDEX('DEFAULT DATA'!$AHX$9:$AIE$41,START!$C$3,2)*INDEX('DEFAULT DATA'!$WC$9:$WI$41,START!$C$3,2)/1000000</f>
        <v>0</v>
      </c>
      <c r="BN144" s="123">
        <f>BN$132*INDEX('DEFAULT DATA'!$AHX$9:$AIE$41,START!$C$3,2)*INDEX('DEFAULT DATA'!$WC$9:$WI$41,START!$C$3,2)/1000000</f>
        <v>0</v>
      </c>
      <c r="BP144" s="355" t="str">
        <f t="shared" ref="BP144:BP150" si="63">AG144</f>
        <v>Gas</v>
      </c>
      <c r="BQ144" s="361" t="s">
        <v>1449</v>
      </c>
      <c r="BR144" s="362"/>
      <c r="BS144" s="362"/>
      <c r="BT144" s="362"/>
      <c r="BU144" s="362"/>
      <c r="BV144" s="362"/>
      <c r="BW144" s="362"/>
      <c r="BX144" s="362"/>
      <c r="BY144" s="362"/>
      <c r="BZ144" s="362"/>
      <c r="CA144" s="362"/>
      <c r="CB144" s="362"/>
      <c r="CC144" s="362"/>
      <c r="CD144" s="362"/>
      <c r="CE144" s="362"/>
      <c r="CF144" s="362"/>
      <c r="CG144" s="363"/>
      <c r="CH144" s="360" t="s">
        <v>1397</v>
      </c>
      <c r="CI144" s="360" t="s">
        <v>886</v>
      </c>
    </row>
    <row r="145" spans="1:87" ht="20.100000000000001" customHeight="1">
      <c r="A145" s="97" t="s">
        <v>1144</v>
      </c>
      <c r="B145" s="114">
        <f>2021+START!C2</f>
        <v>2022</v>
      </c>
      <c r="C145" s="98"/>
      <c r="D145" s="98"/>
      <c r="E145" s="98"/>
      <c r="F145" s="98"/>
      <c r="G145" s="98"/>
      <c r="H145" s="98"/>
      <c r="I145" s="98"/>
      <c r="J145" s="99"/>
      <c r="K145" s="100"/>
      <c r="L145" s="219"/>
      <c r="M145" s="219"/>
      <c r="N145" s="219"/>
      <c r="O145" s="219"/>
      <c r="P145" s="219"/>
      <c r="Q145" s="219"/>
      <c r="R145" s="219"/>
      <c r="S145" s="219"/>
      <c r="T145" s="219"/>
      <c r="U145" s="219"/>
      <c r="V145" s="219"/>
      <c r="W145" s="219"/>
      <c r="X145" s="219"/>
      <c r="Y145" s="219"/>
      <c r="Z145" s="219"/>
      <c r="AA145" s="219"/>
      <c r="AB145" s="219"/>
      <c r="AC145" s="219"/>
      <c r="AD145" s="219"/>
      <c r="AE145" s="219"/>
      <c r="AF145" s="1557"/>
      <c r="AG145" s="1581" t="s">
        <v>863</v>
      </c>
      <c r="AH145" s="1582"/>
      <c r="AI145" s="1582"/>
      <c r="AJ145" s="1583"/>
      <c r="AK145" s="115">
        <v>0</v>
      </c>
      <c r="AL145" s="123">
        <f>AL$132*INDEX('DEFAULT DATA'!$AHX$9:$AIE$41,START!$C$3,3)*INDEX('DEFAULT DATA'!$WC$9:$WI$41,START!$C$3,3)/1000000</f>
        <v>0</v>
      </c>
      <c r="AM145" s="123">
        <f>AM$132*INDEX('DEFAULT DATA'!$AHX$9:$AIE$41,START!$C$3,3)*INDEX('DEFAULT DATA'!$WC$9:$WI$41,START!$C$3,3)/1000000</f>
        <v>0</v>
      </c>
      <c r="AN145" s="123">
        <f>AN$132*INDEX('DEFAULT DATA'!$AHX$9:$AIE$41,START!$C$3,3)*INDEX('DEFAULT DATA'!$WC$9:$WI$41,START!$C$3,3)/1000000</f>
        <v>0</v>
      </c>
      <c r="AO145" s="123">
        <f>AO$132*INDEX('DEFAULT DATA'!$AHX$9:$AIE$41,START!$C$3,3)*INDEX('DEFAULT DATA'!$WC$9:$WI$41,START!$C$3,3)/1000000</f>
        <v>0</v>
      </c>
      <c r="AP145" s="123">
        <f>AP$132*INDEX('DEFAULT DATA'!$AHX$9:$AIE$41,START!$C$3,3)*INDEX('DEFAULT DATA'!$WC$9:$WI$41,START!$C$3,3)/1000000</f>
        <v>0</v>
      </c>
      <c r="AQ145" s="123">
        <f>AQ$132*INDEX('DEFAULT DATA'!$AHX$9:$AIE$41,START!$C$3,3)*INDEX('DEFAULT DATA'!$WC$9:$WI$41,START!$C$3,3)/1000000</f>
        <v>0</v>
      </c>
      <c r="AR145" s="123">
        <f>AR$132*INDEX('DEFAULT DATA'!$AHX$9:$AIE$41,START!$C$3,3)*INDEX('DEFAULT DATA'!$WC$9:$WI$41,START!$C$3,3)/1000000</f>
        <v>0</v>
      </c>
      <c r="AS145" s="123">
        <f>AS$132*INDEX('DEFAULT DATA'!$AHX$9:$AIE$41,START!$C$3,3)*INDEX('DEFAULT DATA'!$WC$9:$WI$41,START!$C$3,3)/1000000</f>
        <v>0</v>
      </c>
      <c r="AT145" s="123">
        <f>AT$132*INDEX('DEFAULT DATA'!$AHX$9:$AIE$41,START!$C$3,3)*INDEX('DEFAULT DATA'!$WC$9:$WI$41,START!$C$3,3)/1000000</f>
        <v>0</v>
      </c>
      <c r="AU145" s="123">
        <f>AU$132*INDEX('DEFAULT DATA'!$AHX$9:$AIE$41,START!$C$3,3)*INDEX('DEFAULT DATA'!$WC$9:$WI$41,START!$C$3,3)/1000000</f>
        <v>0</v>
      </c>
      <c r="AV145" s="123">
        <f>AV$132*INDEX('DEFAULT DATA'!$AHX$9:$AIE$41,START!$C$3,3)*INDEX('DEFAULT DATA'!$WC$9:$WI$41,START!$C$3,3)/1000000</f>
        <v>0</v>
      </c>
      <c r="AW145" s="123">
        <f>AW$132*INDEX('DEFAULT DATA'!$AHX$9:$AIE$41,START!$C$3,3)*INDEX('DEFAULT DATA'!$WC$9:$WI$41,START!$C$3,3)/1000000</f>
        <v>0</v>
      </c>
      <c r="AX145" s="123">
        <f>AX$132*INDEX('DEFAULT DATA'!$AHX$9:$AIE$41,START!$C$3,3)*INDEX('DEFAULT DATA'!$WC$9:$WI$41,START!$C$3,3)/1000000</f>
        <v>0</v>
      </c>
      <c r="AY145" s="123">
        <f>AY$132*INDEX('DEFAULT DATA'!$AHX$9:$AIE$41,START!$C$3,3)*INDEX('DEFAULT DATA'!$WC$9:$WI$41,START!$C$3,3)/1000000</f>
        <v>0</v>
      </c>
      <c r="AZ145" s="123">
        <f>AZ$132*INDEX('DEFAULT DATA'!$AHX$9:$AIE$41,START!$C$3,3)*INDEX('DEFAULT DATA'!$WC$9:$WI$41,START!$C$3,3)/1000000</f>
        <v>0</v>
      </c>
      <c r="BA145" s="123">
        <f>BA$132*INDEX('DEFAULT DATA'!$AHX$9:$AIE$41,START!$C$3,3)*INDEX('DEFAULT DATA'!$WC$9:$WI$41,START!$C$3,3)/1000000</f>
        <v>0</v>
      </c>
      <c r="BB145" s="123">
        <f>BB$132*INDEX('DEFAULT DATA'!$AHX$9:$AIE$41,START!$C$3,3)*INDEX('DEFAULT DATA'!$WC$9:$WI$41,START!$C$3,3)/1000000</f>
        <v>0</v>
      </c>
      <c r="BC145" s="123">
        <f>BC$132*INDEX('DEFAULT DATA'!$AHX$9:$AIE$41,START!$C$3,3)*INDEX('DEFAULT DATA'!$WC$9:$WI$41,START!$C$3,3)/1000000</f>
        <v>0</v>
      </c>
      <c r="BD145" s="123">
        <f>BD$132*INDEX('DEFAULT DATA'!$AHX$9:$AIE$41,START!$C$3,3)*INDEX('DEFAULT DATA'!$WC$9:$WI$41,START!$C$3,3)/1000000</f>
        <v>0</v>
      </c>
      <c r="BE145" s="123">
        <f>BE$132*INDEX('DEFAULT DATA'!$AHX$9:$AIE$41,START!$C$3,3)*INDEX('DEFAULT DATA'!$WC$9:$WI$41,START!$C$3,3)/1000000</f>
        <v>0</v>
      </c>
      <c r="BF145" s="123">
        <f>BF$132*INDEX('DEFAULT DATA'!$AHX$9:$AIE$41,START!$C$3,3)*INDEX('DEFAULT DATA'!$WC$9:$WI$41,START!$C$3,3)/1000000</f>
        <v>0</v>
      </c>
      <c r="BG145" s="123">
        <f>BG$132*INDEX('DEFAULT DATA'!$AHX$9:$AIE$41,START!$C$3,3)*INDEX('DEFAULT DATA'!$WC$9:$WI$41,START!$C$3,3)/1000000</f>
        <v>0</v>
      </c>
      <c r="BH145" s="123">
        <f>BH$132*INDEX('DEFAULT DATA'!$AHX$9:$AIE$41,START!$C$3,3)*INDEX('DEFAULT DATA'!$WC$9:$WI$41,START!$C$3,3)/1000000</f>
        <v>0</v>
      </c>
      <c r="BI145" s="123">
        <f>BI$132*INDEX('DEFAULT DATA'!$AHX$9:$AIE$41,START!$C$3,3)*INDEX('DEFAULT DATA'!$WC$9:$WI$41,START!$C$3,3)/1000000</f>
        <v>0</v>
      </c>
      <c r="BJ145" s="123">
        <f>BJ$132*INDEX('DEFAULT DATA'!$AHX$9:$AIE$41,START!$C$3,3)*INDEX('DEFAULT DATA'!$WC$9:$WI$41,START!$C$3,3)/1000000</f>
        <v>0</v>
      </c>
      <c r="BK145" s="123">
        <f>BK$132*INDEX('DEFAULT DATA'!$AHX$9:$AIE$41,START!$C$3,3)*INDEX('DEFAULT DATA'!$WC$9:$WI$41,START!$C$3,3)/1000000</f>
        <v>0</v>
      </c>
      <c r="BL145" s="123">
        <f>BL$132*INDEX('DEFAULT DATA'!$AHX$9:$AIE$41,START!$C$3,3)*INDEX('DEFAULT DATA'!$WC$9:$WI$41,START!$C$3,3)/1000000</f>
        <v>0</v>
      </c>
      <c r="BM145" s="123">
        <f>BM$132*INDEX('DEFAULT DATA'!$AHX$9:$AIE$41,START!$C$3,3)*INDEX('DEFAULT DATA'!$WC$9:$WI$41,START!$C$3,3)/1000000</f>
        <v>0</v>
      </c>
      <c r="BN145" s="123">
        <f>BN$132*INDEX('DEFAULT DATA'!$AHX$9:$AIE$41,START!$C$3,3)*INDEX('DEFAULT DATA'!$WC$9:$WI$41,START!$C$3,3)/1000000</f>
        <v>0</v>
      </c>
      <c r="BP145" s="355" t="str">
        <f t="shared" si="63"/>
        <v>Oil</v>
      </c>
      <c r="BQ145" s="361" t="s">
        <v>1450</v>
      </c>
      <c r="BR145" s="362"/>
      <c r="BS145" s="362"/>
      <c r="BT145" s="362"/>
      <c r="BU145" s="362"/>
      <c r="BV145" s="362"/>
      <c r="BW145" s="362"/>
      <c r="BX145" s="362"/>
      <c r="BY145" s="362"/>
      <c r="BZ145" s="362"/>
      <c r="CA145" s="362"/>
      <c r="CB145" s="362"/>
      <c r="CC145" s="362"/>
      <c r="CD145" s="362"/>
      <c r="CE145" s="362"/>
      <c r="CF145" s="362"/>
      <c r="CG145" s="363"/>
      <c r="CH145" s="360" t="s">
        <v>1398</v>
      </c>
      <c r="CI145" s="360" t="s">
        <v>1247</v>
      </c>
    </row>
    <row r="146" spans="1:87" ht="20.100000000000001" customHeight="1">
      <c r="A146" s="90" t="s">
        <v>2171</v>
      </c>
      <c r="B146" s="79"/>
      <c r="C146" s="79"/>
      <c r="D146" s="79"/>
      <c r="E146" s="79"/>
      <c r="F146" s="79"/>
      <c r="G146" s="79"/>
      <c r="H146" s="78"/>
      <c r="I146" s="78"/>
      <c r="J146" s="78"/>
      <c r="K146" s="89"/>
      <c r="L146" s="16"/>
      <c r="M146" s="627"/>
      <c r="N146" s="630"/>
      <c r="O146" s="630"/>
      <c r="P146" s="630"/>
      <c r="Q146" s="630"/>
      <c r="R146" s="630"/>
      <c r="S146" s="630"/>
      <c r="T146" s="630"/>
      <c r="U146" s="630"/>
      <c r="V146" s="630"/>
      <c r="W146" s="630"/>
      <c r="X146" s="630"/>
      <c r="Y146" s="630"/>
      <c r="Z146" s="630"/>
      <c r="AA146" s="630"/>
      <c r="AB146" s="630"/>
      <c r="AC146" s="630"/>
      <c r="AD146" s="630"/>
      <c r="AE146" s="630"/>
      <c r="AF146" s="1557"/>
      <c r="AG146" s="1581" t="s">
        <v>864</v>
      </c>
      <c r="AH146" s="1582"/>
      <c r="AI146" s="1582"/>
      <c r="AJ146" s="1583"/>
      <c r="AK146" s="115">
        <v>0</v>
      </c>
      <c r="AL146" s="123">
        <f>AL$132*INDEX('DEFAULT DATA'!$AHX$9:$AIE$41,START!$C$3,4)*INDEX('DEFAULT DATA'!$WC$9:$WI$41,START!$C$3,4)/1000000</f>
        <v>0</v>
      </c>
      <c r="AM146" s="123">
        <f>AM$132*INDEX('DEFAULT DATA'!$AHX$9:$AIE$41,START!$C$3,4)*INDEX('DEFAULT DATA'!$WC$9:$WI$41,START!$C$3,4)/1000000</f>
        <v>0</v>
      </c>
      <c r="AN146" s="123">
        <f>AN$132*INDEX('DEFAULT DATA'!$AHX$9:$AIE$41,START!$C$3,4)*INDEX('DEFAULT DATA'!$WC$9:$WI$41,START!$C$3,4)/1000000</f>
        <v>0</v>
      </c>
      <c r="AO146" s="123">
        <f>AO$132*INDEX('DEFAULT DATA'!$AHX$9:$AIE$41,START!$C$3,4)*INDEX('DEFAULT DATA'!$WC$9:$WI$41,START!$C$3,4)/1000000</f>
        <v>0</v>
      </c>
      <c r="AP146" s="123">
        <f>AP$132*INDEX('DEFAULT DATA'!$AHX$9:$AIE$41,START!$C$3,4)*INDEX('DEFAULT DATA'!$WC$9:$WI$41,START!$C$3,4)/1000000</f>
        <v>0</v>
      </c>
      <c r="AQ146" s="123">
        <f>AQ$132*INDEX('DEFAULT DATA'!$AHX$9:$AIE$41,START!$C$3,4)*INDEX('DEFAULT DATA'!$WC$9:$WI$41,START!$C$3,4)/1000000</f>
        <v>0</v>
      </c>
      <c r="AR146" s="123">
        <f>AR$132*INDEX('DEFAULT DATA'!$AHX$9:$AIE$41,START!$C$3,4)*INDEX('DEFAULT DATA'!$WC$9:$WI$41,START!$C$3,4)/1000000</f>
        <v>0</v>
      </c>
      <c r="AS146" s="123">
        <f>AS$132*INDEX('DEFAULT DATA'!$AHX$9:$AIE$41,START!$C$3,4)*INDEX('DEFAULT DATA'!$WC$9:$WI$41,START!$C$3,4)/1000000</f>
        <v>0</v>
      </c>
      <c r="AT146" s="123">
        <f>AT$132*INDEX('DEFAULT DATA'!$AHX$9:$AIE$41,START!$C$3,4)*INDEX('DEFAULT DATA'!$WC$9:$WI$41,START!$C$3,4)/1000000</f>
        <v>0</v>
      </c>
      <c r="AU146" s="123">
        <f>AU$132*INDEX('DEFAULT DATA'!$AHX$9:$AIE$41,START!$C$3,4)*INDEX('DEFAULT DATA'!$WC$9:$WI$41,START!$C$3,4)/1000000</f>
        <v>0</v>
      </c>
      <c r="AV146" s="123">
        <f>AV$132*INDEX('DEFAULT DATA'!$AHX$9:$AIE$41,START!$C$3,4)*INDEX('DEFAULT DATA'!$WC$9:$WI$41,START!$C$3,4)/1000000</f>
        <v>0</v>
      </c>
      <c r="AW146" s="123">
        <f>AW$132*INDEX('DEFAULT DATA'!$AHX$9:$AIE$41,START!$C$3,4)*INDEX('DEFAULT DATA'!$WC$9:$WI$41,START!$C$3,4)/1000000</f>
        <v>0</v>
      </c>
      <c r="AX146" s="123">
        <f>AX$132*INDEX('DEFAULT DATA'!$AHX$9:$AIE$41,START!$C$3,4)*INDEX('DEFAULT DATA'!$WC$9:$WI$41,START!$C$3,4)/1000000</f>
        <v>0</v>
      </c>
      <c r="AY146" s="123">
        <f>AY$132*INDEX('DEFAULT DATA'!$AHX$9:$AIE$41,START!$C$3,4)*INDEX('DEFAULT DATA'!$WC$9:$WI$41,START!$C$3,4)/1000000</f>
        <v>0</v>
      </c>
      <c r="AZ146" s="123">
        <f>AZ$132*INDEX('DEFAULT DATA'!$AHX$9:$AIE$41,START!$C$3,4)*INDEX('DEFAULT DATA'!$WC$9:$WI$41,START!$C$3,4)/1000000</f>
        <v>0</v>
      </c>
      <c r="BA146" s="123">
        <f>BA$132*INDEX('DEFAULT DATA'!$AHX$9:$AIE$41,START!$C$3,4)*INDEX('DEFAULT DATA'!$WC$9:$WI$41,START!$C$3,4)/1000000</f>
        <v>0</v>
      </c>
      <c r="BB146" s="123">
        <f>BB$132*INDEX('DEFAULT DATA'!$AHX$9:$AIE$41,START!$C$3,4)*INDEX('DEFAULT DATA'!$WC$9:$WI$41,START!$C$3,4)/1000000</f>
        <v>0</v>
      </c>
      <c r="BC146" s="123">
        <f>BC$132*INDEX('DEFAULT DATA'!$AHX$9:$AIE$41,START!$C$3,4)*INDEX('DEFAULT DATA'!$WC$9:$WI$41,START!$C$3,4)/1000000</f>
        <v>0</v>
      </c>
      <c r="BD146" s="123">
        <f>BD$132*INDEX('DEFAULT DATA'!$AHX$9:$AIE$41,START!$C$3,4)*INDEX('DEFAULT DATA'!$WC$9:$WI$41,START!$C$3,4)/1000000</f>
        <v>0</v>
      </c>
      <c r="BE146" s="123">
        <f>BE$132*INDEX('DEFAULT DATA'!$AHX$9:$AIE$41,START!$C$3,4)*INDEX('DEFAULT DATA'!$WC$9:$WI$41,START!$C$3,4)/1000000</f>
        <v>0</v>
      </c>
      <c r="BF146" s="123">
        <f>BF$132*INDEX('DEFAULT DATA'!$AHX$9:$AIE$41,START!$C$3,4)*INDEX('DEFAULT DATA'!$WC$9:$WI$41,START!$C$3,4)/1000000</f>
        <v>0</v>
      </c>
      <c r="BG146" s="123">
        <f>BG$132*INDEX('DEFAULT DATA'!$AHX$9:$AIE$41,START!$C$3,4)*INDEX('DEFAULT DATA'!$WC$9:$WI$41,START!$C$3,4)/1000000</f>
        <v>0</v>
      </c>
      <c r="BH146" s="123">
        <f>BH$132*INDEX('DEFAULT DATA'!$AHX$9:$AIE$41,START!$C$3,4)*INDEX('DEFAULT DATA'!$WC$9:$WI$41,START!$C$3,4)/1000000</f>
        <v>0</v>
      </c>
      <c r="BI146" s="123">
        <f>BI$132*INDEX('DEFAULT DATA'!$AHX$9:$AIE$41,START!$C$3,4)*INDEX('DEFAULT DATA'!$WC$9:$WI$41,START!$C$3,4)/1000000</f>
        <v>0</v>
      </c>
      <c r="BJ146" s="123">
        <f>BJ$132*INDEX('DEFAULT DATA'!$AHX$9:$AIE$41,START!$C$3,4)*INDEX('DEFAULT DATA'!$WC$9:$WI$41,START!$C$3,4)/1000000</f>
        <v>0</v>
      </c>
      <c r="BK146" s="123">
        <f>BK$132*INDEX('DEFAULT DATA'!$AHX$9:$AIE$41,START!$C$3,4)*INDEX('DEFAULT DATA'!$WC$9:$WI$41,START!$C$3,4)/1000000</f>
        <v>0</v>
      </c>
      <c r="BL146" s="123">
        <f>BL$132*INDEX('DEFAULT DATA'!$AHX$9:$AIE$41,START!$C$3,4)*INDEX('DEFAULT DATA'!$WC$9:$WI$41,START!$C$3,4)/1000000</f>
        <v>0</v>
      </c>
      <c r="BM146" s="123">
        <f>BM$132*INDEX('DEFAULT DATA'!$AHX$9:$AIE$41,START!$C$3,4)*INDEX('DEFAULT DATA'!$WC$9:$WI$41,START!$C$3,4)/1000000</f>
        <v>0</v>
      </c>
      <c r="BN146" s="123">
        <f>BN$132*INDEX('DEFAULT DATA'!$AHX$9:$AIE$41,START!$C$3,4)*INDEX('DEFAULT DATA'!$WC$9:$WI$41,START!$C$3,4)/1000000</f>
        <v>0</v>
      </c>
      <c r="BP146" s="355" t="str">
        <f t="shared" si="63"/>
        <v>Coal</v>
      </c>
      <c r="BQ146" s="361" t="s">
        <v>1451</v>
      </c>
      <c r="BR146" s="362"/>
      <c r="BS146" s="362"/>
      <c r="BT146" s="362"/>
      <c r="BU146" s="362"/>
      <c r="BV146" s="362"/>
      <c r="BW146" s="362"/>
      <c r="BX146" s="362"/>
      <c r="BY146" s="362"/>
      <c r="BZ146" s="362"/>
      <c r="CA146" s="362"/>
      <c r="CB146" s="362"/>
      <c r="CC146" s="362"/>
      <c r="CD146" s="362"/>
      <c r="CE146" s="362"/>
      <c r="CF146" s="362"/>
      <c r="CG146" s="363"/>
      <c r="CH146" s="360" t="s">
        <v>1399</v>
      </c>
      <c r="CI146" s="360" t="s">
        <v>1248</v>
      </c>
    </row>
    <row r="147" spans="1:87" ht="20.100000000000001" customHeight="1">
      <c r="A147" s="633" t="s">
        <v>1060</v>
      </c>
      <c r="B147" s="634" t="s">
        <v>578</v>
      </c>
      <c r="C147" s="634" t="s">
        <v>862</v>
      </c>
      <c r="D147" s="634" t="s">
        <v>863</v>
      </c>
      <c r="E147" s="634" t="s">
        <v>864</v>
      </c>
      <c r="F147" s="634" t="s">
        <v>865</v>
      </c>
      <c r="G147" s="634" t="s">
        <v>866</v>
      </c>
      <c r="H147" s="634" t="s">
        <v>867</v>
      </c>
      <c r="I147" s="634" t="s">
        <v>868</v>
      </c>
      <c r="J147" s="634" t="s">
        <v>122</v>
      </c>
      <c r="K147" s="28"/>
      <c r="L147" s="16"/>
      <c r="M147" s="627"/>
      <c r="N147" s="630"/>
      <c r="O147" s="630"/>
      <c r="P147" s="630"/>
      <c r="Q147" s="630"/>
      <c r="R147" s="630"/>
      <c r="S147" s="630"/>
      <c r="T147" s="630"/>
      <c r="U147" s="630"/>
      <c r="V147" s="630"/>
      <c r="W147" s="630"/>
      <c r="X147" s="630"/>
      <c r="Y147" s="630"/>
      <c r="Z147" s="630"/>
      <c r="AA147" s="630"/>
      <c r="AB147" s="630"/>
      <c r="AC147" s="630"/>
      <c r="AD147" s="630"/>
      <c r="AE147" s="630"/>
      <c r="AF147" s="1557"/>
      <c r="AG147" s="1581" t="s">
        <v>865</v>
      </c>
      <c r="AH147" s="1582"/>
      <c r="AI147" s="1582"/>
      <c r="AJ147" s="1583"/>
      <c r="AK147" s="115">
        <v>0</v>
      </c>
      <c r="AL147" s="123">
        <f>AL$132*INDEX('DEFAULT DATA'!$AHX$9:$AIE$41,START!$C$3,5)*INDEX('DEFAULT DATA'!$WC$9:$WI$41,START!$C$3,5)/1000000</f>
        <v>0</v>
      </c>
      <c r="AM147" s="123">
        <f>AM$132*INDEX('DEFAULT DATA'!$AHX$9:$AIE$41,START!$C$3,5)*INDEX('DEFAULT DATA'!$WC$9:$WI$41,START!$C$3,5)/1000000</f>
        <v>0</v>
      </c>
      <c r="AN147" s="123">
        <f>AN$132*INDEX('DEFAULT DATA'!$AHX$9:$AIE$41,START!$C$3,5)*INDEX('DEFAULT DATA'!$WC$9:$WI$41,START!$C$3,5)/1000000</f>
        <v>0</v>
      </c>
      <c r="AO147" s="123">
        <f>AO$132*INDEX('DEFAULT DATA'!$AHX$9:$AIE$41,START!$C$3,5)*INDEX('DEFAULT DATA'!$WC$9:$WI$41,START!$C$3,5)/1000000</f>
        <v>0</v>
      </c>
      <c r="AP147" s="123">
        <f>AP$132*INDEX('DEFAULT DATA'!$AHX$9:$AIE$41,START!$C$3,5)*INDEX('DEFAULT DATA'!$WC$9:$WI$41,START!$C$3,5)/1000000</f>
        <v>0</v>
      </c>
      <c r="AQ147" s="123">
        <f>AQ$132*INDEX('DEFAULT DATA'!$AHX$9:$AIE$41,START!$C$3,5)*INDEX('DEFAULT DATA'!$WC$9:$WI$41,START!$C$3,5)/1000000</f>
        <v>0</v>
      </c>
      <c r="AR147" s="123">
        <f>AR$132*INDEX('DEFAULT DATA'!$AHX$9:$AIE$41,START!$C$3,5)*INDEX('DEFAULT DATA'!$WC$9:$WI$41,START!$C$3,5)/1000000</f>
        <v>0</v>
      </c>
      <c r="AS147" s="123">
        <f>AS$132*INDEX('DEFAULT DATA'!$AHX$9:$AIE$41,START!$C$3,5)*INDEX('DEFAULT DATA'!$WC$9:$WI$41,START!$C$3,5)/1000000</f>
        <v>0</v>
      </c>
      <c r="AT147" s="123">
        <f>AT$132*INDEX('DEFAULT DATA'!$AHX$9:$AIE$41,START!$C$3,5)*INDEX('DEFAULT DATA'!$WC$9:$WI$41,START!$C$3,5)/1000000</f>
        <v>0</v>
      </c>
      <c r="AU147" s="123">
        <f>AU$132*INDEX('DEFAULT DATA'!$AHX$9:$AIE$41,START!$C$3,5)*INDEX('DEFAULT DATA'!$WC$9:$WI$41,START!$C$3,5)/1000000</f>
        <v>0</v>
      </c>
      <c r="AV147" s="123">
        <f>AV$132*INDEX('DEFAULT DATA'!$AHX$9:$AIE$41,START!$C$3,5)*INDEX('DEFAULT DATA'!$WC$9:$WI$41,START!$C$3,5)/1000000</f>
        <v>0</v>
      </c>
      <c r="AW147" s="123">
        <f>AW$132*INDEX('DEFAULT DATA'!$AHX$9:$AIE$41,START!$C$3,5)*INDEX('DEFAULT DATA'!$WC$9:$WI$41,START!$C$3,5)/1000000</f>
        <v>0</v>
      </c>
      <c r="AX147" s="123">
        <f>AX$132*INDEX('DEFAULT DATA'!$AHX$9:$AIE$41,START!$C$3,5)*INDEX('DEFAULT DATA'!$WC$9:$WI$41,START!$C$3,5)/1000000</f>
        <v>0</v>
      </c>
      <c r="AY147" s="123">
        <f>AY$132*INDEX('DEFAULT DATA'!$AHX$9:$AIE$41,START!$C$3,5)*INDEX('DEFAULT DATA'!$WC$9:$WI$41,START!$C$3,5)/1000000</f>
        <v>0</v>
      </c>
      <c r="AZ147" s="123">
        <f>AZ$132*INDEX('DEFAULT DATA'!$AHX$9:$AIE$41,START!$C$3,5)*INDEX('DEFAULT DATA'!$WC$9:$WI$41,START!$C$3,5)/1000000</f>
        <v>0</v>
      </c>
      <c r="BA147" s="123">
        <f>BA$132*INDEX('DEFAULT DATA'!$AHX$9:$AIE$41,START!$C$3,5)*INDEX('DEFAULT DATA'!$WC$9:$WI$41,START!$C$3,5)/1000000</f>
        <v>0</v>
      </c>
      <c r="BB147" s="123">
        <f>BB$132*INDEX('DEFAULT DATA'!$AHX$9:$AIE$41,START!$C$3,5)*INDEX('DEFAULT DATA'!$WC$9:$WI$41,START!$C$3,5)/1000000</f>
        <v>0</v>
      </c>
      <c r="BC147" s="123">
        <f>BC$132*INDEX('DEFAULT DATA'!$AHX$9:$AIE$41,START!$C$3,5)*INDEX('DEFAULT DATA'!$WC$9:$WI$41,START!$C$3,5)/1000000</f>
        <v>0</v>
      </c>
      <c r="BD147" s="123">
        <f>BD$132*INDEX('DEFAULT DATA'!$AHX$9:$AIE$41,START!$C$3,5)*INDEX('DEFAULT DATA'!$WC$9:$WI$41,START!$C$3,5)/1000000</f>
        <v>0</v>
      </c>
      <c r="BE147" s="123">
        <f>BE$132*INDEX('DEFAULT DATA'!$AHX$9:$AIE$41,START!$C$3,5)*INDEX('DEFAULT DATA'!$WC$9:$WI$41,START!$C$3,5)/1000000</f>
        <v>0</v>
      </c>
      <c r="BF147" s="123">
        <f>BF$132*INDEX('DEFAULT DATA'!$AHX$9:$AIE$41,START!$C$3,5)*INDEX('DEFAULT DATA'!$WC$9:$WI$41,START!$C$3,5)/1000000</f>
        <v>0</v>
      </c>
      <c r="BG147" s="123">
        <f>BG$132*INDEX('DEFAULT DATA'!$AHX$9:$AIE$41,START!$C$3,5)*INDEX('DEFAULT DATA'!$WC$9:$WI$41,START!$C$3,5)/1000000</f>
        <v>0</v>
      </c>
      <c r="BH147" s="123">
        <f>BH$132*INDEX('DEFAULT DATA'!$AHX$9:$AIE$41,START!$C$3,5)*INDEX('DEFAULT DATA'!$WC$9:$WI$41,START!$C$3,5)/1000000</f>
        <v>0</v>
      </c>
      <c r="BI147" s="123">
        <f>BI$132*INDEX('DEFAULT DATA'!$AHX$9:$AIE$41,START!$C$3,5)*INDEX('DEFAULT DATA'!$WC$9:$WI$41,START!$C$3,5)/1000000</f>
        <v>0</v>
      </c>
      <c r="BJ147" s="123">
        <f>BJ$132*INDEX('DEFAULT DATA'!$AHX$9:$AIE$41,START!$C$3,5)*INDEX('DEFAULT DATA'!$WC$9:$WI$41,START!$C$3,5)/1000000</f>
        <v>0</v>
      </c>
      <c r="BK147" s="123">
        <f>BK$132*INDEX('DEFAULT DATA'!$AHX$9:$AIE$41,START!$C$3,5)*INDEX('DEFAULT DATA'!$WC$9:$WI$41,START!$C$3,5)/1000000</f>
        <v>0</v>
      </c>
      <c r="BL147" s="123">
        <f>BL$132*INDEX('DEFAULT DATA'!$AHX$9:$AIE$41,START!$C$3,5)*INDEX('DEFAULT DATA'!$WC$9:$WI$41,START!$C$3,5)/1000000</f>
        <v>0</v>
      </c>
      <c r="BM147" s="123">
        <f>BM$132*INDEX('DEFAULT DATA'!$AHX$9:$AIE$41,START!$C$3,5)*INDEX('DEFAULT DATA'!$WC$9:$WI$41,START!$C$3,5)/1000000</f>
        <v>0</v>
      </c>
      <c r="BN147" s="123">
        <f>BN$132*INDEX('DEFAULT DATA'!$AHX$9:$AIE$41,START!$C$3,5)*INDEX('DEFAULT DATA'!$WC$9:$WI$41,START!$C$3,5)/1000000</f>
        <v>0</v>
      </c>
      <c r="BP147" s="355" t="str">
        <f t="shared" si="63"/>
        <v>Peat</v>
      </c>
      <c r="BQ147" s="361" t="s">
        <v>1452</v>
      </c>
      <c r="BR147" s="362"/>
      <c r="BS147" s="362"/>
      <c r="BT147" s="362"/>
      <c r="BU147" s="362"/>
      <c r="BV147" s="362"/>
      <c r="BW147" s="362"/>
      <c r="BX147" s="362"/>
      <c r="BY147" s="362"/>
      <c r="BZ147" s="362"/>
      <c r="CA147" s="362"/>
      <c r="CB147" s="362"/>
      <c r="CC147" s="362"/>
      <c r="CD147" s="362"/>
      <c r="CE147" s="362"/>
      <c r="CF147" s="362"/>
      <c r="CG147" s="363"/>
      <c r="CH147" s="360" t="s">
        <v>1400</v>
      </c>
      <c r="CI147" s="360" t="s">
        <v>1249</v>
      </c>
    </row>
    <row r="148" spans="1:87" ht="20.100000000000001" customHeight="1">
      <c r="A148" s="633" t="s">
        <v>858</v>
      </c>
      <c r="B148" s="635">
        <f>INDEX($AL$43:$BN$50,1,START!$C$2)</f>
        <v>1897.4307558838022</v>
      </c>
      <c r="C148" s="635">
        <f>INDEX($AL$43:$BN$50,2,START!$C$2)</f>
        <v>2603.1816052403333</v>
      </c>
      <c r="D148" s="635">
        <f>INDEX($AL$43:$BN$50,3,START!$C$2)</f>
        <v>430.10488155889169</v>
      </c>
      <c r="E148" s="635">
        <f>INDEX($AL$43:$BN$50,4,START!$C$2)</f>
        <v>0</v>
      </c>
      <c r="F148" s="635">
        <f>INDEX($AL$43:$BN$50,5,START!$C$2)</f>
        <v>0</v>
      </c>
      <c r="G148" s="635">
        <f>INDEX($AL$43:$BN$50,6,START!$C$2)</f>
        <v>0</v>
      </c>
      <c r="H148" s="635">
        <f>INDEX($AL$43:$BN$50,7,START!$C$2)</f>
        <v>0</v>
      </c>
      <c r="I148" s="635">
        <f>INDEX($AL$43:$BN$50,8,START!$C$2)</f>
        <v>1409.5197429364428</v>
      </c>
      <c r="J148" s="635">
        <f>SUM(B148:I148)</f>
        <v>6340.23698561947</v>
      </c>
      <c r="K148" s="28"/>
      <c r="L148" s="16"/>
      <c r="M148" s="627"/>
      <c r="N148" s="630"/>
      <c r="O148" s="630"/>
      <c r="P148" s="630"/>
      <c r="Q148" s="630"/>
      <c r="R148" s="630"/>
      <c r="S148" s="630"/>
      <c r="T148" s="630"/>
      <c r="U148" s="630"/>
      <c r="V148" s="630"/>
      <c r="W148" s="630"/>
      <c r="X148" s="630"/>
      <c r="Y148" s="630"/>
      <c r="Z148" s="630"/>
      <c r="AA148" s="630"/>
      <c r="AB148" s="630"/>
      <c r="AC148" s="630"/>
      <c r="AD148" s="630"/>
      <c r="AE148" s="630"/>
      <c r="AF148" s="1557"/>
      <c r="AG148" s="1581" t="s">
        <v>866</v>
      </c>
      <c r="AH148" s="1582"/>
      <c r="AI148" s="1582"/>
      <c r="AJ148" s="1583"/>
      <c r="AK148" s="115">
        <v>0</v>
      </c>
      <c r="AL148" s="123">
        <f>AL$132*INDEX('DEFAULT DATA'!$AHX$9:$AIE$41,START!$C$3,6)*INDEX('DEFAULT DATA'!$WC$9:$WI$41,START!$C$3,6)/1000000</f>
        <v>0</v>
      </c>
      <c r="AM148" s="123">
        <f>AM$132*INDEX('DEFAULT DATA'!$AHX$9:$AIE$41,START!$C$3,6)*INDEX('DEFAULT DATA'!$WC$9:$WI$41,START!$C$3,6)/1000000</f>
        <v>0</v>
      </c>
      <c r="AN148" s="123">
        <f>AN$132*INDEX('DEFAULT DATA'!$AHX$9:$AIE$41,START!$C$3,6)*INDEX('DEFAULT DATA'!$WC$9:$WI$41,START!$C$3,6)/1000000</f>
        <v>0</v>
      </c>
      <c r="AO148" s="123">
        <f>AO$132*INDEX('DEFAULT DATA'!$AHX$9:$AIE$41,START!$C$3,6)*INDEX('DEFAULT DATA'!$WC$9:$WI$41,START!$C$3,6)/1000000</f>
        <v>0</v>
      </c>
      <c r="AP148" s="123">
        <f>AP$132*INDEX('DEFAULT DATA'!$AHX$9:$AIE$41,START!$C$3,6)*INDEX('DEFAULT DATA'!$WC$9:$WI$41,START!$C$3,6)/1000000</f>
        <v>0</v>
      </c>
      <c r="AQ148" s="123">
        <f>AQ$132*INDEX('DEFAULT DATA'!$AHX$9:$AIE$41,START!$C$3,6)*INDEX('DEFAULT DATA'!$WC$9:$WI$41,START!$C$3,6)/1000000</f>
        <v>0</v>
      </c>
      <c r="AR148" s="123">
        <f>AR$132*INDEX('DEFAULT DATA'!$AHX$9:$AIE$41,START!$C$3,6)*INDEX('DEFAULT DATA'!$WC$9:$WI$41,START!$C$3,6)/1000000</f>
        <v>0</v>
      </c>
      <c r="AS148" s="123">
        <f>AS$132*INDEX('DEFAULT DATA'!$AHX$9:$AIE$41,START!$C$3,6)*INDEX('DEFAULT DATA'!$WC$9:$WI$41,START!$C$3,6)/1000000</f>
        <v>0</v>
      </c>
      <c r="AT148" s="123">
        <f>AT$132*INDEX('DEFAULT DATA'!$AHX$9:$AIE$41,START!$C$3,6)*INDEX('DEFAULT DATA'!$WC$9:$WI$41,START!$C$3,6)/1000000</f>
        <v>0</v>
      </c>
      <c r="AU148" s="123">
        <f>AU$132*INDEX('DEFAULT DATA'!$AHX$9:$AIE$41,START!$C$3,6)*INDEX('DEFAULT DATA'!$WC$9:$WI$41,START!$C$3,6)/1000000</f>
        <v>0</v>
      </c>
      <c r="AV148" s="123">
        <f>AV$132*INDEX('DEFAULT DATA'!$AHX$9:$AIE$41,START!$C$3,6)*INDEX('DEFAULT DATA'!$WC$9:$WI$41,START!$C$3,6)/1000000</f>
        <v>0</v>
      </c>
      <c r="AW148" s="123">
        <f>AW$132*INDEX('DEFAULT DATA'!$AHX$9:$AIE$41,START!$C$3,6)*INDEX('DEFAULT DATA'!$WC$9:$WI$41,START!$C$3,6)/1000000</f>
        <v>0</v>
      </c>
      <c r="AX148" s="123">
        <f>AX$132*INDEX('DEFAULT DATA'!$AHX$9:$AIE$41,START!$C$3,6)*INDEX('DEFAULT DATA'!$WC$9:$WI$41,START!$C$3,6)/1000000</f>
        <v>0</v>
      </c>
      <c r="AY148" s="123">
        <f>AY$132*INDEX('DEFAULT DATA'!$AHX$9:$AIE$41,START!$C$3,6)*INDEX('DEFAULT DATA'!$WC$9:$WI$41,START!$C$3,6)/1000000</f>
        <v>0</v>
      </c>
      <c r="AZ148" s="123">
        <f>AZ$132*INDEX('DEFAULT DATA'!$AHX$9:$AIE$41,START!$C$3,6)*INDEX('DEFAULT DATA'!$WC$9:$WI$41,START!$C$3,6)/1000000</f>
        <v>0</v>
      </c>
      <c r="BA148" s="123">
        <f>BA$132*INDEX('DEFAULT DATA'!$AHX$9:$AIE$41,START!$C$3,6)*INDEX('DEFAULT DATA'!$WC$9:$WI$41,START!$C$3,6)/1000000</f>
        <v>0</v>
      </c>
      <c r="BB148" s="123">
        <f>BB$132*INDEX('DEFAULT DATA'!$AHX$9:$AIE$41,START!$C$3,6)*INDEX('DEFAULT DATA'!$WC$9:$WI$41,START!$C$3,6)/1000000</f>
        <v>0</v>
      </c>
      <c r="BC148" s="123">
        <f>BC$132*INDEX('DEFAULT DATA'!$AHX$9:$AIE$41,START!$C$3,6)*INDEX('DEFAULT DATA'!$WC$9:$WI$41,START!$C$3,6)/1000000</f>
        <v>0</v>
      </c>
      <c r="BD148" s="123">
        <f>BD$132*INDEX('DEFAULT DATA'!$AHX$9:$AIE$41,START!$C$3,6)*INDEX('DEFAULT DATA'!$WC$9:$WI$41,START!$C$3,6)/1000000</f>
        <v>0</v>
      </c>
      <c r="BE148" s="123">
        <f>BE$132*INDEX('DEFAULT DATA'!$AHX$9:$AIE$41,START!$C$3,6)*INDEX('DEFAULT DATA'!$WC$9:$WI$41,START!$C$3,6)/1000000</f>
        <v>0</v>
      </c>
      <c r="BF148" s="123">
        <f>BF$132*INDEX('DEFAULT DATA'!$AHX$9:$AIE$41,START!$C$3,6)*INDEX('DEFAULT DATA'!$WC$9:$WI$41,START!$C$3,6)/1000000</f>
        <v>0</v>
      </c>
      <c r="BG148" s="123">
        <f>BG$132*INDEX('DEFAULT DATA'!$AHX$9:$AIE$41,START!$C$3,6)*INDEX('DEFAULT DATA'!$WC$9:$WI$41,START!$C$3,6)/1000000</f>
        <v>0</v>
      </c>
      <c r="BH148" s="123">
        <f>BH$132*INDEX('DEFAULT DATA'!$AHX$9:$AIE$41,START!$C$3,6)*INDEX('DEFAULT DATA'!$WC$9:$WI$41,START!$C$3,6)/1000000</f>
        <v>0</v>
      </c>
      <c r="BI148" s="123">
        <f>BI$132*INDEX('DEFAULT DATA'!$AHX$9:$AIE$41,START!$C$3,6)*INDEX('DEFAULT DATA'!$WC$9:$WI$41,START!$C$3,6)/1000000</f>
        <v>0</v>
      </c>
      <c r="BJ148" s="123">
        <f>BJ$132*INDEX('DEFAULT DATA'!$AHX$9:$AIE$41,START!$C$3,6)*INDEX('DEFAULT DATA'!$WC$9:$WI$41,START!$C$3,6)/1000000</f>
        <v>0</v>
      </c>
      <c r="BK148" s="123">
        <f>BK$132*INDEX('DEFAULT DATA'!$AHX$9:$AIE$41,START!$C$3,6)*INDEX('DEFAULT DATA'!$WC$9:$WI$41,START!$C$3,6)/1000000</f>
        <v>0</v>
      </c>
      <c r="BL148" s="123">
        <f>BL$132*INDEX('DEFAULT DATA'!$AHX$9:$AIE$41,START!$C$3,6)*INDEX('DEFAULT DATA'!$WC$9:$WI$41,START!$C$3,6)/1000000</f>
        <v>0</v>
      </c>
      <c r="BM148" s="123">
        <f>BM$132*INDEX('DEFAULT DATA'!$AHX$9:$AIE$41,START!$C$3,6)*INDEX('DEFAULT DATA'!$WC$9:$WI$41,START!$C$3,6)/1000000</f>
        <v>0</v>
      </c>
      <c r="BN148" s="123">
        <f>BN$132*INDEX('DEFAULT DATA'!$AHX$9:$AIE$41,START!$C$3,6)*INDEX('DEFAULT DATA'!$WC$9:$WI$41,START!$C$3,6)/1000000</f>
        <v>0</v>
      </c>
      <c r="BP148" s="355" t="str">
        <f t="shared" si="63"/>
        <v>Wood</v>
      </c>
      <c r="BQ148" s="361" t="s">
        <v>1453</v>
      </c>
      <c r="BR148" s="362"/>
      <c r="BS148" s="362"/>
      <c r="BT148" s="362"/>
      <c r="BU148" s="362"/>
      <c r="BV148" s="362"/>
      <c r="BW148" s="362"/>
      <c r="BX148" s="362"/>
      <c r="BY148" s="362"/>
      <c r="BZ148" s="362"/>
      <c r="CA148" s="362"/>
      <c r="CB148" s="362"/>
      <c r="CC148" s="362"/>
      <c r="CD148" s="362"/>
      <c r="CE148" s="362"/>
      <c r="CF148" s="362"/>
      <c r="CG148" s="363"/>
      <c r="CH148" s="360" t="s">
        <v>1401</v>
      </c>
      <c r="CI148" s="360" t="s">
        <v>1250</v>
      </c>
    </row>
    <row r="149" spans="1:87" ht="20.100000000000001" customHeight="1">
      <c r="A149" s="633" t="s">
        <v>861</v>
      </c>
      <c r="B149" s="635">
        <f>INDEX($AL$61:$BN$68,1,START!$C$2)</f>
        <v>2937.5352191436918</v>
      </c>
      <c r="C149" s="635">
        <f>INDEX($AL$61:$BN$68,2,START!$C$2)</f>
        <v>4030.1537347320118</v>
      </c>
      <c r="D149" s="635">
        <f>INDEX($AL$61:$BN$68,3,START!$C$2)</f>
        <v>665.87317275584599</v>
      </c>
      <c r="E149" s="635">
        <f>INDEX($AL$61:$BN$68,4,START!$C$2)</f>
        <v>0</v>
      </c>
      <c r="F149" s="635">
        <f>INDEX($AL$61:$BN$68,5,START!$C$2)</f>
        <v>0</v>
      </c>
      <c r="G149" s="635">
        <f>INDEX($AL$61:$BN$68,6,START!$C$2)</f>
        <v>0</v>
      </c>
      <c r="H149" s="635">
        <f>INDEX($AL$61:$BN$68,7,START!$C$2)</f>
        <v>0</v>
      </c>
      <c r="I149" s="635">
        <f>INDEX($AL$61:$BN$68,8,START!$C$2)</f>
        <v>2182.168637308484</v>
      </c>
      <c r="J149" s="635">
        <f t="shared" ref="J149:J152" si="64">SUM(B149:I149)</f>
        <v>9815.7307639400351</v>
      </c>
      <c r="K149" s="28"/>
      <c r="L149" s="16"/>
      <c r="M149" s="627"/>
      <c r="N149" s="630"/>
      <c r="O149" s="630"/>
      <c r="P149" s="630"/>
      <c r="Q149" s="630"/>
      <c r="R149" s="630"/>
      <c r="S149" s="630"/>
      <c r="T149" s="630"/>
      <c r="U149" s="630"/>
      <c r="V149" s="630"/>
      <c r="W149" s="630"/>
      <c r="X149" s="630"/>
      <c r="Y149" s="630"/>
      <c r="Z149" s="630"/>
      <c r="AA149" s="630"/>
      <c r="AB149" s="630"/>
      <c r="AC149" s="630"/>
      <c r="AD149" s="630"/>
      <c r="AE149" s="630"/>
      <c r="AF149" s="1557"/>
      <c r="AG149" s="1581" t="s">
        <v>867</v>
      </c>
      <c r="AH149" s="1582"/>
      <c r="AI149" s="1582"/>
      <c r="AJ149" s="1583"/>
      <c r="AK149" s="115">
        <v>0</v>
      </c>
      <c r="AL149" s="123">
        <f>AL$132*INDEX('DEFAULT DATA'!$AHX$9:$AIE$41,START!$C$3,7)*INDEX('DEFAULT DATA'!$WC$9:$WI$41,START!$C$3,7)/1000000</f>
        <v>0</v>
      </c>
      <c r="AM149" s="123">
        <f>AM$132*INDEX('DEFAULT DATA'!$AHX$9:$AIE$41,START!$C$3,7)*INDEX('DEFAULT DATA'!$WC$9:$WI$41,START!$C$3,7)/1000000</f>
        <v>0</v>
      </c>
      <c r="AN149" s="123">
        <f>AN$132*INDEX('DEFAULT DATA'!$AHX$9:$AIE$41,START!$C$3,7)*INDEX('DEFAULT DATA'!$WC$9:$WI$41,START!$C$3,7)/1000000</f>
        <v>0</v>
      </c>
      <c r="AO149" s="123">
        <f>AO$132*INDEX('DEFAULT DATA'!$AHX$9:$AIE$41,START!$C$3,7)*INDEX('DEFAULT DATA'!$WC$9:$WI$41,START!$C$3,7)/1000000</f>
        <v>0</v>
      </c>
      <c r="AP149" s="123">
        <f>AP$132*INDEX('DEFAULT DATA'!$AHX$9:$AIE$41,START!$C$3,7)*INDEX('DEFAULT DATA'!$WC$9:$WI$41,START!$C$3,7)/1000000</f>
        <v>0</v>
      </c>
      <c r="AQ149" s="123">
        <f>AQ$132*INDEX('DEFAULT DATA'!$AHX$9:$AIE$41,START!$C$3,7)*INDEX('DEFAULT DATA'!$WC$9:$WI$41,START!$C$3,7)/1000000</f>
        <v>0</v>
      </c>
      <c r="AR149" s="123">
        <f>AR$132*INDEX('DEFAULT DATA'!$AHX$9:$AIE$41,START!$C$3,7)*INDEX('DEFAULT DATA'!$WC$9:$WI$41,START!$C$3,7)/1000000</f>
        <v>0</v>
      </c>
      <c r="AS149" s="123">
        <f>AS$132*INDEX('DEFAULT DATA'!$AHX$9:$AIE$41,START!$C$3,7)*INDEX('DEFAULT DATA'!$WC$9:$WI$41,START!$C$3,7)/1000000</f>
        <v>0</v>
      </c>
      <c r="AT149" s="123">
        <f>AT$132*INDEX('DEFAULT DATA'!$AHX$9:$AIE$41,START!$C$3,7)*INDEX('DEFAULT DATA'!$WC$9:$WI$41,START!$C$3,7)/1000000</f>
        <v>0</v>
      </c>
      <c r="AU149" s="123">
        <f>AU$132*INDEX('DEFAULT DATA'!$AHX$9:$AIE$41,START!$C$3,7)*INDEX('DEFAULT DATA'!$WC$9:$WI$41,START!$C$3,7)/1000000</f>
        <v>0</v>
      </c>
      <c r="AV149" s="123">
        <f>AV$132*INDEX('DEFAULT DATA'!$AHX$9:$AIE$41,START!$C$3,7)*INDEX('DEFAULT DATA'!$WC$9:$WI$41,START!$C$3,7)/1000000</f>
        <v>0</v>
      </c>
      <c r="AW149" s="123">
        <f>AW$132*INDEX('DEFAULT DATA'!$AHX$9:$AIE$41,START!$C$3,7)*INDEX('DEFAULT DATA'!$WC$9:$WI$41,START!$C$3,7)/1000000</f>
        <v>0</v>
      </c>
      <c r="AX149" s="123">
        <f>AX$132*INDEX('DEFAULT DATA'!$AHX$9:$AIE$41,START!$C$3,7)*INDEX('DEFAULT DATA'!$WC$9:$WI$41,START!$C$3,7)/1000000</f>
        <v>0</v>
      </c>
      <c r="AY149" s="123">
        <f>AY$132*INDEX('DEFAULT DATA'!$AHX$9:$AIE$41,START!$C$3,7)*INDEX('DEFAULT DATA'!$WC$9:$WI$41,START!$C$3,7)/1000000</f>
        <v>0</v>
      </c>
      <c r="AZ149" s="123">
        <f>AZ$132*INDEX('DEFAULT DATA'!$AHX$9:$AIE$41,START!$C$3,7)*INDEX('DEFAULT DATA'!$WC$9:$WI$41,START!$C$3,7)/1000000</f>
        <v>0</v>
      </c>
      <c r="BA149" s="123">
        <f>BA$132*INDEX('DEFAULT DATA'!$AHX$9:$AIE$41,START!$C$3,7)*INDEX('DEFAULT DATA'!$WC$9:$WI$41,START!$C$3,7)/1000000</f>
        <v>0</v>
      </c>
      <c r="BB149" s="123">
        <f>BB$132*INDEX('DEFAULT DATA'!$AHX$9:$AIE$41,START!$C$3,7)*INDEX('DEFAULT DATA'!$WC$9:$WI$41,START!$C$3,7)/1000000</f>
        <v>0</v>
      </c>
      <c r="BC149" s="123">
        <f>BC$132*INDEX('DEFAULT DATA'!$AHX$9:$AIE$41,START!$C$3,7)*INDEX('DEFAULT DATA'!$WC$9:$WI$41,START!$C$3,7)/1000000</f>
        <v>0</v>
      </c>
      <c r="BD149" s="123">
        <f>BD$132*INDEX('DEFAULT DATA'!$AHX$9:$AIE$41,START!$C$3,7)*INDEX('DEFAULT DATA'!$WC$9:$WI$41,START!$C$3,7)/1000000</f>
        <v>0</v>
      </c>
      <c r="BE149" s="123">
        <f>BE$132*INDEX('DEFAULT DATA'!$AHX$9:$AIE$41,START!$C$3,7)*INDEX('DEFAULT DATA'!$WC$9:$WI$41,START!$C$3,7)/1000000</f>
        <v>0</v>
      </c>
      <c r="BF149" s="123">
        <f>BF$132*INDEX('DEFAULT DATA'!$AHX$9:$AIE$41,START!$C$3,7)*INDEX('DEFAULT DATA'!$WC$9:$WI$41,START!$C$3,7)/1000000</f>
        <v>0</v>
      </c>
      <c r="BG149" s="123">
        <f>BG$132*INDEX('DEFAULT DATA'!$AHX$9:$AIE$41,START!$C$3,7)*INDEX('DEFAULT DATA'!$WC$9:$WI$41,START!$C$3,7)/1000000</f>
        <v>0</v>
      </c>
      <c r="BH149" s="123">
        <f>BH$132*INDEX('DEFAULT DATA'!$AHX$9:$AIE$41,START!$C$3,7)*INDEX('DEFAULT DATA'!$WC$9:$WI$41,START!$C$3,7)/1000000</f>
        <v>0</v>
      </c>
      <c r="BI149" s="123">
        <f>BI$132*INDEX('DEFAULT DATA'!$AHX$9:$AIE$41,START!$C$3,7)*INDEX('DEFAULT DATA'!$WC$9:$WI$41,START!$C$3,7)/1000000</f>
        <v>0</v>
      </c>
      <c r="BJ149" s="123">
        <f>BJ$132*INDEX('DEFAULT DATA'!$AHX$9:$AIE$41,START!$C$3,7)*INDEX('DEFAULT DATA'!$WC$9:$WI$41,START!$C$3,7)/1000000</f>
        <v>0</v>
      </c>
      <c r="BK149" s="123">
        <f>BK$132*INDEX('DEFAULT DATA'!$AHX$9:$AIE$41,START!$C$3,7)*INDEX('DEFAULT DATA'!$WC$9:$WI$41,START!$C$3,7)/1000000</f>
        <v>0</v>
      </c>
      <c r="BL149" s="123">
        <f>BL$132*INDEX('DEFAULT DATA'!$AHX$9:$AIE$41,START!$C$3,7)*INDEX('DEFAULT DATA'!$WC$9:$WI$41,START!$C$3,7)/1000000</f>
        <v>0</v>
      </c>
      <c r="BM149" s="123">
        <f>BM$132*INDEX('DEFAULT DATA'!$AHX$9:$AIE$41,START!$C$3,7)*INDEX('DEFAULT DATA'!$WC$9:$WI$41,START!$C$3,7)/1000000</f>
        <v>0</v>
      </c>
      <c r="BN149" s="123">
        <f>BN$132*INDEX('DEFAULT DATA'!$AHX$9:$AIE$41,START!$C$3,7)*INDEX('DEFAULT DATA'!$WC$9:$WI$41,START!$C$3,7)/1000000</f>
        <v>0</v>
      </c>
      <c r="BP149" s="355" t="str">
        <f t="shared" si="63"/>
        <v>Renewable</v>
      </c>
      <c r="BQ149" s="361" t="s">
        <v>1454</v>
      </c>
      <c r="BR149" s="362"/>
      <c r="BS149" s="362"/>
      <c r="BT149" s="362"/>
      <c r="BU149" s="362"/>
      <c r="BV149" s="362"/>
      <c r="BW149" s="362"/>
      <c r="BX149" s="362"/>
      <c r="BY149" s="362"/>
      <c r="BZ149" s="362"/>
      <c r="CA149" s="362"/>
      <c r="CB149" s="362"/>
      <c r="CC149" s="362"/>
      <c r="CD149" s="362"/>
      <c r="CE149" s="362"/>
      <c r="CF149" s="362"/>
      <c r="CG149" s="363"/>
      <c r="CH149" s="360" t="s">
        <v>1402</v>
      </c>
      <c r="CI149" s="360" t="s">
        <v>1251</v>
      </c>
    </row>
    <row r="150" spans="1:87" ht="20.100000000000001" customHeight="1" thickBot="1">
      <c r="A150" s="633" t="s">
        <v>860</v>
      </c>
      <c r="B150" s="635">
        <f>INDEX($AL$79:$BN$86,1,START!$C$2)</f>
        <v>12365.066894192883</v>
      </c>
      <c r="C150" s="635">
        <f>INDEX($AL$79:$BN$86,2,START!$C$2)</f>
        <v>16964.263168347392</v>
      </c>
      <c r="D150" s="635">
        <f>INDEX($AL$79:$BN$86,3,START!$C$2)</f>
        <v>2802.8825903148227</v>
      </c>
      <c r="E150" s="635">
        <f>INDEX($AL$79:$BN$86,4,START!$C$2)</f>
        <v>0</v>
      </c>
      <c r="F150" s="635">
        <f>INDEX($AL$79:$BN$86,5,START!$C$2)</f>
        <v>0</v>
      </c>
      <c r="G150" s="635">
        <f>INDEX($AL$79:$BN$86,6,START!$C$2)</f>
        <v>0</v>
      </c>
      <c r="H150" s="635">
        <f>INDEX($AL$79:$BN$86,7,START!$C$2)</f>
        <v>0</v>
      </c>
      <c r="I150" s="635">
        <f>INDEX($AL$79:$BN$86,8,START!$C$2)</f>
        <v>9185.4766536534462</v>
      </c>
      <c r="J150" s="635">
        <f t="shared" si="64"/>
        <v>41317.689306508546</v>
      </c>
      <c r="K150" s="28"/>
      <c r="L150" s="16"/>
      <c r="M150" s="627"/>
      <c r="N150" s="630"/>
      <c r="O150" s="630"/>
      <c r="P150" s="630"/>
      <c r="Q150" s="630"/>
      <c r="R150" s="630"/>
      <c r="S150" s="630"/>
      <c r="T150" s="630"/>
      <c r="U150" s="630"/>
      <c r="V150" s="630"/>
      <c r="W150" s="630"/>
      <c r="X150" s="630"/>
      <c r="Y150" s="630"/>
      <c r="Z150" s="630"/>
      <c r="AA150" s="630"/>
      <c r="AB150" s="630"/>
      <c r="AC150" s="630"/>
      <c r="AD150" s="630"/>
      <c r="AE150" s="630"/>
      <c r="AF150" s="1558"/>
      <c r="AG150" s="1542" t="s">
        <v>868</v>
      </c>
      <c r="AH150" s="1572"/>
      <c r="AI150" s="1572"/>
      <c r="AJ150" s="1543"/>
      <c r="AK150" s="170">
        <v>0</v>
      </c>
      <c r="AL150" s="160">
        <f>AL$132*INDEX('DEFAULT DATA'!$AHX$9:$AIE$41,START!$C$3,8)*BUILDINGS!AL6/1000000</f>
        <v>0</v>
      </c>
      <c r="AM150" s="160">
        <f>AM$132*INDEX('DEFAULT DATA'!$AHX$9:$AIE$41,START!$C$3,8)*BUILDINGS!AM6/1000000</f>
        <v>0</v>
      </c>
      <c r="AN150" s="160">
        <f>AN$132*INDEX('DEFAULT DATA'!$AHX$9:$AIE$41,START!$C$3,8)*BUILDINGS!AN6/1000000</f>
        <v>0</v>
      </c>
      <c r="AO150" s="160">
        <f>AO$132*INDEX('DEFAULT DATA'!$AHX$9:$AIE$41,START!$C$3,8)*BUILDINGS!AO6/1000000</f>
        <v>0</v>
      </c>
      <c r="AP150" s="160">
        <f>AP$132*INDEX('DEFAULT DATA'!$AHX$9:$AIE$41,START!$C$3,8)*BUILDINGS!AP6/1000000</f>
        <v>0</v>
      </c>
      <c r="AQ150" s="160">
        <f>AQ$132*INDEX('DEFAULT DATA'!$AHX$9:$AIE$41,START!$C$3,8)*BUILDINGS!AQ6/1000000</f>
        <v>0</v>
      </c>
      <c r="AR150" s="160">
        <f>AR$132*INDEX('DEFAULT DATA'!$AHX$9:$AIE$41,START!$C$3,8)*BUILDINGS!AR6/1000000</f>
        <v>0</v>
      </c>
      <c r="AS150" s="160">
        <f>AS$132*INDEX('DEFAULT DATA'!$AHX$9:$AIE$41,START!$C$3,8)*BUILDINGS!AS6/1000000</f>
        <v>0</v>
      </c>
      <c r="AT150" s="160">
        <f>AT$132*INDEX('DEFAULT DATA'!$AHX$9:$AIE$41,START!$C$3,8)*BUILDINGS!AT6/1000000</f>
        <v>0</v>
      </c>
      <c r="AU150" s="160">
        <f>AU$132*INDEX('DEFAULT DATA'!$AHX$9:$AIE$41,START!$C$3,8)*BUILDINGS!AU6/1000000</f>
        <v>0</v>
      </c>
      <c r="AV150" s="160">
        <f>AV$132*INDEX('DEFAULT DATA'!$AHX$9:$AIE$41,START!$C$3,8)*BUILDINGS!AV6/1000000</f>
        <v>0</v>
      </c>
      <c r="AW150" s="160">
        <f>AW$132*INDEX('DEFAULT DATA'!$AHX$9:$AIE$41,START!$C$3,8)*BUILDINGS!AW6/1000000</f>
        <v>0</v>
      </c>
      <c r="AX150" s="160">
        <f>AX$132*INDEX('DEFAULT DATA'!$AHX$9:$AIE$41,START!$C$3,8)*BUILDINGS!AX6/1000000</f>
        <v>0</v>
      </c>
      <c r="AY150" s="160">
        <f>AY$132*INDEX('DEFAULT DATA'!$AHX$9:$AIE$41,START!$C$3,8)*BUILDINGS!AY6/1000000</f>
        <v>0</v>
      </c>
      <c r="AZ150" s="160">
        <f>AZ$132*INDEX('DEFAULT DATA'!$AHX$9:$AIE$41,START!$C$3,8)*BUILDINGS!AZ6/1000000</f>
        <v>0</v>
      </c>
      <c r="BA150" s="160">
        <f>BA$132*INDEX('DEFAULT DATA'!$AHX$9:$AIE$41,START!$C$3,8)*BUILDINGS!BA6/1000000</f>
        <v>0</v>
      </c>
      <c r="BB150" s="160">
        <f>BB$132*INDEX('DEFAULT DATA'!$AHX$9:$AIE$41,START!$C$3,8)*BUILDINGS!BB6/1000000</f>
        <v>0</v>
      </c>
      <c r="BC150" s="160">
        <f>BC$132*INDEX('DEFAULT DATA'!$AHX$9:$AIE$41,START!$C$3,8)*BUILDINGS!BC6/1000000</f>
        <v>0</v>
      </c>
      <c r="BD150" s="160">
        <f>BD$132*INDEX('DEFAULT DATA'!$AHX$9:$AIE$41,START!$C$3,8)*BUILDINGS!BD6/1000000</f>
        <v>0</v>
      </c>
      <c r="BE150" s="160">
        <f>BE$132*INDEX('DEFAULT DATA'!$AHX$9:$AIE$41,START!$C$3,8)*BUILDINGS!BE6/1000000</f>
        <v>0</v>
      </c>
      <c r="BF150" s="160">
        <f>BF$132*INDEX('DEFAULT DATA'!$AHX$9:$AIE$41,START!$C$3,8)*BUILDINGS!BF6/1000000</f>
        <v>0</v>
      </c>
      <c r="BG150" s="160">
        <f>BG$132*INDEX('DEFAULT DATA'!$AHX$9:$AIE$41,START!$C$3,8)*BUILDINGS!BG6/1000000</f>
        <v>0</v>
      </c>
      <c r="BH150" s="160">
        <f>BH$132*INDEX('DEFAULT DATA'!$AHX$9:$AIE$41,START!$C$3,8)*BUILDINGS!BH6/1000000</f>
        <v>0</v>
      </c>
      <c r="BI150" s="160">
        <f>BI$132*INDEX('DEFAULT DATA'!$AHX$9:$AIE$41,START!$C$3,8)*BUILDINGS!BI6/1000000</f>
        <v>0</v>
      </c>
      <c r="BJ150" s="160">
        <f>BJ$132*INDEX('DEFAULT DATA'!$AHX$9:$AIE$41,START!$C$3,8)*BUILDINGS!BJ6/1000000</f>
        <v>0</v>
      </c>
      <c r="BK150" s="160">
        <f>BK$132*INDEX('DEFAULT DATA'!$AHX$9:$AIE$41,START!$C$3,8)*BUILDINGS!BK6/1000000</f>
        <v>0</v>
      </c>
      <c r="BL150" s="160">
        <f>BL$132*INDEX('DEFAULT DATA'!$AHX$9:$AIE$41,START!$C$3,8)*BUILDINGS!BL6/1000000</f>
        <v>0</v>
      </c>
      <c r="BM150" s="160">
        <f>BM$132*INDEX('DEFAULT DATA'!$AHX$9:$AIE$41,START!$C$3,8)*BUILDINGS!BM6/1000000</f>
        <v>0</v>
      </c>
      <c r="BN150" s="160">
        <f>BN$132*INDEX('DEFAULT DATA'!$AHX$9:$AIE$41,START!$C$3,8)*BUILDINGS!BN6/1000000</f>
        <v>0</v>
      </c>
      <c r="BP150" s="356" t="str">
        <f t="shared" si="63"/>
        <v>Heat</v>
      </c>
      <c r="BQ150" s="364" t="s">
        <v>1455</v>
      </c>
      <c r="BR150" s="365"/>
      <c r="BS150" s="365"/>
      <c r="BT150" s="365"/>
      <c r="BU150" s="365"/>
      <c r="BV150" s="365"/>
      <c r="BW150" s="365"/>
      <c r="BX150" s="365"/>
      <c r="BY150" s="365"/>
      <c r="BZ150" s="365"/>
      <c r="CA150" s="365"/>
      <c r="CB150" s="365"/>
      <c r="CC150" s="365"/>
      <c r="CD150" s="365"/>
      <c r="CE150" s="365"/>
      <c r="CF150" s="365"/>
      <c r="CG150" s="366"/>
      <c r="CH150" s="360" t="s">
        <v>1403</v>
      </c>
      <c r="CI150" s="360" t="s">
        <v>1252</v>
      </c>
    </row>
    <row r="151" spans="1:87" ht="20.100000000000001" customHeight="1">
      <c r="A151" s="633" t="s">
        <v>859</v>
      </c>
      <c r="B151" s="635">
        <f>INDEX($AL$99:$BN$106,1,START!$C$2)</f>
        <v>26266.342720992528</v>
      </c>
      <c r="C151" s="635">
        <f>INDEX($AL$99:$BN$106,2,START!$C$2)</f>
        <v>36036.129379792452</v>
      </c>
      <c r="D151" s="635">
        <f>INDEX($AL$99:$BN$106,3,START!$C$2)</f>
        <v>5953.9891982701629</v>
      </c>
      <c r="E151" s="635">
        <f>INDEX($AL$99:$BN$106,4,START!$C$2)</f>
        <v>0</v>
      </c>
      <c r="F151" s="635">
        <f>INDEX($AL$99:$BN$106,5,START!$C$2)</f>
        <v>0</v>
      </c>
      <c r="G151" s="635">
        <f>INDEX($AL$99:$BN$106,6,START!$C$2)</f>
        <v>0</v>
      </c>
      <c r="H151" s="635">
        <f>INDEX($AL$99:$BN$106,7,START!$C$2)</f>
        <v>0</v>
      </c>
      <c r="I151" s="635">
        <f>INDEX($AL$99:$BN$106,8,START!$C$2)</f>
        <v>10968.360971260936</v>
      </c>
      <c r="J151" s="635">
        <f t="shared" si="64"/>
        <v>79224.822270316072</v>
      </c>
      <c r="K151" s="28"/>
      <c r="L151" s="16"/>
      <c r="M151" s="627"/>
      <c r="N151" s="630"/>
      <c r="O151" s="630"/>
      <c r="P151" s="630"/>
      <c r="Q151" s="630"/>
      <c r="R151" s="630"/>
      <c r="S151" s="630"/>
      <c r="T151" s="630"/>
      <c r="U151" s="630"/>
      <c r="V151" s="630"/>
      <c r="W151" s="630"/>
      <c r="X151" s="630"/>
      <c r="Y151" s="630"/>
      <c r="Z151" s="630"/>
      <c r="AA151" s="630"/>
      <c r="AB151" s="630"/>
      <c r="AC151" s="630"/>
      <c r="AD151" s="630"/>
      <c r="AE151" s="630"/>
      <c r="AF151" s="167"/>
      <c r="AG151" s="1486" t="s">
        <v>211</v>
      </c>
      <c r="AH151" s="1487"/>
      <c r="AI151" s="1487"/>
      <c r="AJ151" s="1580"/>
      <c r="AK151" s="328">
        <f>SUM(AK143:AK150)</f>
        <v>0</v>
      </c>
      <c r="AL151" s="162">
        <f t="shared" ref="AL151:BN151" si="65">SUM(AL143:AL150)</f>
        <v>14588.207846393425</v>
      </c>
      <c r="AM151" s="162">
        <f t="shared" si="65"/>
        <v>13479.504050067526</v>
      </c>
      <c r="AN151" s="162">
        <f t="shared" si="65"/>
        <v>12455.061742262396</v>
      </c>
      <c r="AO151" s="162">
        <f t="shared" si="65"/>
        <v>11508.477049850453</v>
      </c>
      <c r="AP151" s="162">
        <f t="shared" si="65"/>
        <v>10633.832794061818</v>
      </c>
      <c r="AQ151" s="162">
        <f t="shared" si="65"/>
        <v>9825.6615017131207</v>
      </c>
      <c r="AR151" s="162">
        <f t="shared" si="65"/>
        <v>9078.9112275829248</v>
      </c>
      <c r="AS151" s="162">
        <f t="shared" si="65"/>
        <v>8388.9139742866228</v>
      </c>
      <c r="AT151" s="162">
        <f t="shared" si="65"/>
        <v>7751.3565122408399</v>
      </c>
      <c r="AU151" s="162">
        <f t="shared" si="65"/>
        <v>7247.5183389451859</v>
      </c>
      <c r="AV151" s="162">
        <f t="shared" si="65"/>
        <v>6776.4296469137489</v>
      </c>
      <c r="AW151" s="162">
        <f t="shared" si="65"/>
        <v>6335.9617198643555</v>
      </c>
      <c r="AX151" s="162">
        <f t="shared" si="65"/>
        <v>5924.1242080731727</v>
      </c>
      <c r="AY151" s="162">
        <f t="shared" si="65"/>
        <v>5539.0561345484175</v>
      </c>
      <c r="AZ151" s="162">
        <f t="shared" si="65"/>
        <v>5179.0174858027694</v>
      </c>
      <c r="BA151" s="162">
        <f t="shared" si="65"/>
        <v>4842.3813492255904</v>
      </c>
      <c r="BB151" s="162">
        <f t="shared" si="65"/>
        <v>4527.6265615259272</v>
      </c>
      <c r="BC151" s="162">
        <f t="shared" si="65"/>
        <v>4233.3308350267425</v>
      </c>
      <c r="BD151" s="162">
        <f t="shared" si="65"/>
        <v>3958.1643307500049</v>
      </c>
      <c r="BE151" s="162">
        <f t="shared" si="65"/>
        <v>3700.8836492512546</v>
      </c>
      <c r="BF151" s="162">
        <f t="shared" si="65"/>
        <v>3460.3262120499235</v>
      </c>
      <c r="BG151" s="162">
        <f t="shared" si="65"/>
        <v>3235.4050082666781</v>
      </c>
      <c r="BH151" s="162">
        <f t="shared" si="65"/>
        <v>3025.1036827293447</v>
      </c>
      <c r="BI151" s="162">
        <f t="shared" si="65"/>
        <v>2828.4719433519376</v>
      </c>
      <c r="BJ151" s="162">
        <f t="shared" si="65"/>
        <v>2644.6212670340619</v>
      </c>
      <c r="BK151" s="162">
        <f t="shared" si="65"/>
        <v>2472.7208846768481</v>
      </c>
      <c r="BL151" s="162">
        <f t="shared" si="65"/>
        <v>2311.9940271728528</v>
      </c>
      <c r="BM151" s="162">
        <f t="shared" si="65"/>
        <v>2161.7144154066177</v>
      </c>
      <c r="BN151" s="162">
        <f t="shared" si="65"/>
        <v>2021.2029784051874</v>
      </c>
      <c r="BQ151" s="6"/>
    </row>
    <row r="152" spans="1:87" ht="20.100000000000001" customHeight="1">
      <c r="A152" s="633" t="s">
        <v>870</v>
      </c>
      <c r="B152" s="635">
        <f>INDEX($AL$143:$BN$150,1,START!$C$2)</f>
        <v>14588.207846393425</v>
      </c>
      <c r="C152" s="635">
        <f>INDEX($AL$143:$BN$150,2,START!$C$2)</f>
        <v>0</v>
      </c>
      <c r="D152" s="635">
        <f>INDEX($AL$143:$BN$150,3,START!$C$2)</f>
        <v>0</v>
      </c>
      <c r="E152" s="635">
        <f>INDEX($AL$143:$BN$150,4,START!$C$2)</f>
        <v>0</v>
      </c>
      <c r="F152" s="635">
        <f>INDEX($AL$143:$BN$150,5,START!$C$2)</f>
        <v>0</v>
      </c>
      <c r="G152" s="635">
        <f>INDEX($AL$143:$BN$150,6,START!$C$2)</f>
        <v>0</v>
      </c>
      <c r="H152" s="635">
        <f>INDEX($AL$143:$BN$150,7,START!$C$2)</f>
        <v>0</v>
      </c>
      <c r="I152" s="635">
        <f>INDEX($AL$143:$BN$150,8,START!$C$2)</f>
        <v>0</v>
      </c>
      <c r="J152" s="635">
        <f t="shared" si="64"/>
        <v>14588.207846393425</v>
      </c>
      <c r="K152" s="28"/>
      <c r="L152" s="16"/>
      <c r="M152" s="627"/>
      <c r="N152" s="630"/>
      <c r="O152" s="630"/>
      <c r="P152" s="630"/>
      <c r="Q152" s="630"/>
      <c r="R152" s="630"/>
      <c r="S152" s="630"/>
      <c r="T152" s="630"/>
      <c r="U152" s="630"/>
      <c r="V152" s="630"/>
      <c r="W152" s="630"/>
      <c r="X152" s="630"/>
      <c r="Y152" s="630"/>
      <c r="Z152" s="630"/>
      <c r="AA152" s="630"/>
      <c r="AB152" s="630"/>
      <c r="AC152" s="630"/>
      <c r="AD152" s="630"/>
      <c r="AE152" s="630"/>
      <c r="BQ152" s="6"/>
    </row>
    <row r="153" spans="1:87" ht="20.100000000000001" customHeight="1">
      <c r="A153" s="633" t="s">
        <v>871</v>
      </c>
      <c r="B153" s="635">
        <f>INDEX($AL$156:$BN$163,1,START!$C$2)</f>
        <v>4469.224822106301</v>
      </c>
      <c r="C153" s="635">
        <f>INDEX($AL$156:$BN$163,2,START!$C$2)</f>
        <v>207.00390157999999</v>
      </c>
      <c r="D153" s="635">
        <f>INDEX($AL$156:$BN$163,3,START!$C$2)</f>
        <v>228.02579373000003</v>
      </c>
      <c r="E153" s="635">
        <f>INDEX($AL$156:$BN$163,4,START!$C$2)</f>
        <v>0</v>
      </c>
      <c r="F153" s="635">
        <f>INDEX($AL$156:$BN$163,5,START!$C$2)</f>
        <v>30.437714159999999</v>
      </c>
      <c r="G153" s="635">
        <f>INDEX($AL$156:$BN$163,6,START!$C$2)</f>
        <v>38.991918420000005</v>
      </c>
      <c r="H153" s="635">
        <f>INDEX($AL$156:$BN$163,7,START!$C$2)</f>
        <v>0</v>
      </c>
      <c r="I153" s="635">
        <f>INDEX($AL$156:$BN$163,8,START!$C$2)</f>
        <v>0.49761486992618525</v>
      </c>
      <c r="J153" s="635">
        <f>INDEX($AL$156:$BN$163,1,START!$C$2)</f>
        <v>4469.224822106301</v>
      </c>
      <c r="K153" s="28"/>
      <c r="L153" s="16"/>
      <c r="M153" s="627"/>
      <c r="N153" s="630"/>
      <c r="O153" s="630"/>
      <c r="P153" s="630"/>
      <c r="Q153" s="630"/>
      <c r="R153" s="630"/>
      <c r="S153" s="630"/>
      <c r="T153" s="630"/>
      <c r="U153" s="630"/>
      <c r="V153" s="630"/>
      <c r="W153" s="630"/>
      <c r="X153" s="630"/>
      <c r="Y153" s="630"/>
      <c r="Z153" s="630"/>
      <c r="AA153" s="630"/>
      <c r="AB153" s="630"/>
      <c r="AC153" s="630"/>
      <c r="AD153" s="630"/>
      <c r="AE153" s="630"/>
      <c r="BQ153" s="6"/>
      <c r="CH153" s="1610" t="s">
        <v>1393</v>
      </c>
      <c r="CI153" s="225"/>
    </row>
    <row r="154" spans="1:87" ht="20.100000000000001" customHeight="1">
      <c r="A154" s="633" t="s">
        <v>872</v>
      </c>
      <c r="B154" s="635">
        <f>INDEX($AL$169:$BN$176,1,START!$C$2)</f>
        <v>37445.900796624657</v>
      </c>
      <c r="C154" s="635">
        <f>INDEX($AL$169:$BN$176,2,START!$C$2)</f>
        <v>4162.5729051199996</v>
      </c>
      <c r="D154" s="635">
        <f>INDEX($AL$169:$BN$176,3,START!$C$2)</f>
        <v>4585.2951727200007</v>
      </c>
      <c r="E154" s="635">
        <f>INDEX($AL$169:$BN$176,4,START!$C$2)</f>
        <v>0</v>
      </c>
      <c r="F154" s="635">
        <f>INDEX($AL$169:$BN$176,5,START!$C$2)</f>
        <v>612.06191423999996</v>
      </c>
      <c r="G154" s="635">
        <f>INDEX($AL$169:$BN$176,6,START!$C$2)</f>
        <v>784.07557487999998</v>
      </c>
      <c r="H154" s="635">
        <f>INDEX($AL$169:$BN$176,7,START!$C$2)</f>
        <v>0</v>
      </c>
      <c r="I154" s="635">
        <f>INDEX($AL$169:$BN$176,8,START!$C$2)</f>
        <v>3.0342447991647452</v>
      </c>
      <c r="J154" s="635">
        <f>INDEX($AL$169:$BN$176,1,START!$C$2)</f>
        <v>37445.900796624657</v>
      </c>
      <c r="K154" s="28"/>
      <c r="L154" s="16"/>
      <c r="M154" s="627"/>
      <c r="N154" s="630"/>
      <c r="O154" s="630"/>
      <c r="P154" s="630"/>
      <c r="Q154" s="630"/>
      <c r="R154" s="630"/>
      <c r="S154" s="630"/>
      <c r="T154" s="630"/>
      <c r="U154" s="630"/>
      <c r="V154" s="630"/>
      <c r="W154" s="630"/>
      <c r="X154" s="630"/>
      <c r="Y154" s="630"/>
      <c r="Z154" s="630"/>
      <c r="AA154" s="630"/>
      <c r="AB154" s="630"/>
      <c r="AC154" s="630"/>
      <c r="AD154" s="630"/>
      <c r="AE154" s="630"/>
      <c r="AF154" s="122"/>
      <c r="BQ154" s="6"/>
      <c r="CH154" s="1610"/>
      <c r="CI154" s="225"/>
    </row>
    <row r="155" spans="1:87" ht="20.100000000000001" customHeight="1">
      <c r="A155" s="633" t="s">
        <v>873</v>
      </c>
      <c r="B155" s="635">
        <f>INDEX($AL$182:$BN$189,1,START!$C$2)</f>
        <v>5523.404814641096</v>
      </c>
      <c r="C155" s="635">
        <f>INDEX($AL$182:$BN$189,2,START!$C$2)</f>
        <v>1308.7165697999999</v>
      </c>
      <c r="D155" s="635">
        <f>INDEX($AL$182:$BN$189,3,START!$C$2)</f>
        <v>1441.3492773</v>
      </c>
      <c r="E155" s="635">
        <f>INDEX($AL$182:$BN$189,4,START!$C$2)</f>
        <v>0</v>
      </c>
      <c r="F155" s="635">
        <f>INDEX($AL$182:$BN$189,5,START!$C$2)</f>
        <v>192.26579520000001</v>
      </c>
      <c r="G155" s="635">
        <f>INDEX($AL$182:$BN$189,6,START!$C$2)</f>
        <v>246.93002880000003</v>
      </c>
      <c r="H155" s="635">
        <f>INDEX($AL$182:$BN$189,7,START!$C$2)</f>
        <v>0</v>
      </c>
      <c r="I155" s="635">
        <f>INDEX($AL$182:$BN$189,8,START!$C$2)</f>
        <v>0</v>
      </c>
      <c r="J155" s="635">
        <f>INDEX($AL$182:$BN$189,1,START!$C$2)</f>
        <v>5523.404814641096</v>
      </c>
      <c r="K155" s="28"/>
      <c r="L155" s="16"/>
      <c r="M155" s="627"/>
      <c r="N155" s="630"/>
      <c r="O155" s="630"/>
      <c r="P155" s="630"/>
      <c r="Q155" s="630"/>
      <c r="R155" s="630"/>
      <c r="S155" s="630"/>
      <c r="T155" s="630"/>
      <c r="U155" s="630"/>
      <c r="V155" s="630"/>
      <c r="W155" s="630"/>
      <c r="X155" s="630"/>
      <c r="Y155" s="630"/>
      <c r="Z155" s="630"/>
      <c r="AA155" s="630"/>
      <c r="AB155" s="630"/>
      <c r="AC155" s="630"/>
      <c r="AD155" s="630"/>
      <c r="AE155" s="630"/>
      <c r="AF155" s="120" t="s">
        <v>1009</v>
      </c>
      <c r="AG155" s="339" t="s">
        <v>992</v>
      </c>
      <c r="AH155" s="317"/>
      <c r="AI155" s="317"/>
      <c r="AJ155" s="318"/>
      <c r="AK155" s="115">
        <v>2021</v>
      </c>
      <c r="AL155" s="115">
        <f>AK155+1</f>
        <v>2022</v>
      </c>
      <c r="AM155" s="115">
        <f t="shared" ref="AM155:BN155" si="66">AL155+1</f>
        <v>2023</v>
      </c>
      <c r="AN155" s="115">
        <f t="shared" si="66"/>
        <v>2024</v>
      </c>
      <c r="AO155" s="115">
        <f t="shared" si="66"/>
        <v>2025</v>
      </c>
      <c r="AP155" s="115">
        <f t="shared" si="66"/>
        <v>2026</v>
      </c>
      <c r="AQ155" s="115">
        <f t="shared" si="66"/>
        <v>2027</v>
      </c>
      <c r="AR155" s="115">
        <f t="shared" si="66"/>
        <v>2028</v>
      </c>
      <c r="AS155" s="115">
        <f t="shared" si="66"/>
        <v>2029</v>
      </c>
      <c r="AT155" s="115">
        <f t="shared" si="66"/>
        <v>2030</v>
      </c>
      <c r="AU155" s="115">
        <f t="shared" si="66"/>
        <v>2031</v>
      </c>
      <c r="AV155" s="115">
        <f t="shared" si="66"/>
        <v>2032</v>
      </c>
      <c r="AW155" s="115">
        <f t="shared" si="66"/>
        <v>2033</v>
      </c>
      <c r="AX155" s="115">
        <f t="shared" si="66"/>
        <v>2034</v>
      </c>
      <c r="AY155" s="115">
        <f t="shared" si="66"/>
        <v>2035</v>
      </c>
      <c r="AZ155" s="115">
        <f t="shared" si="66"/>
        <v>2036</v>
      </c>
      <c r="BA155" s="115">
        <f t="shared" si="66"/>
        <v>2037</v>
      </c>
      <c r="BB155" s="115">
        <f t="shared" si="66"/>
        <v>2038</v>
      </c>
      <c r="BC155" s="115">
        <f t="shared" si="66"/>
        <v>2039</v>
      </c>
      <c r="BD155" s="115">
        <f t="shared" si="66"/>
        <v>2040</v>
      </c>
      <c r="BE155" s="115">
        <f t="shared" si="66"/>
        <v>2041</v>
      </c>
      <c r="BF155" s="115">
        <f t="shared" si="66"/>
        <v>2042</v>
      </c>
      <c r="BG155" s="115">
        <f t="shared" si="66"/>
        <v>2043</v>
      </c>
      <c r="BH155" s="115">
        <f t="shared" si="66"/>
        <v>2044</v>
      </c>
      <c r="BI155" s="115">
        <f t="shared" si="66"/>
        <v>2045</v>
      </c>
      <c r="BJ155" s="115">
        <f t="shared" si="66"/>
        <v>2046</v>
      </c>
      <c r="BK155" s="115">
        <f t="shared" si="66"/>
        <v>2047</v>
      </c>
      <c r="BL155" s="115">
        <f t="shared" si="66"/>
        <v>2048</v>
      </c>
      <c r="BM155" s="115">
        <f t="shared" si="66"/>
        <v>2049</v>
      </c>
      <c r="BN155" s="115">
        <f t="shared" si="66"/>
        <v>2050</v>
      </c>
      <c r="BP155" s="6" t="s">
        <v>1405</v>
      </c>
      <c r="BQ155" s="6"/>
      <c r="CH155" s="228" t="s">
        <v>1395</v>
      </c>
      <c r="CI155" s="225" t="s">
        <v>1224</v>
      </c>
    </row>
    <row r="156" spans="1:87" ht="20.100000000000001" customHeight="1">
      <c r="A156" s="633" t="s">
        <v>874</v>
      </c>
      <c r="B156" s="635">
        <f>INDEX($AL$195:$BN$202,1,START!$C$2)</f>
        <v>65790.373612767391</v>
      </c>
      <c r="C156" s="635">
        <f>INDEX($AL$195:$BN$202,2,START!$C$2)</f>
        <v>29534.67200106</v>
      </c>
      <c r="D156" s="635">
        <f>INDEX($AL$195:$BN$202,3,START!$C$2)</f>
        <v>32534.016317459998</v>
      </c>
      <c r="E156" s="635">
        <f>INDEX($AL$195:$BN$202,4,START!$C$2)</f>
        <v>0</v>
      </c>
      <c r="F156" s="635">
        <f>INDEX($AL$195:$BN$202,5,START!$C$2)</f>
        <v>4344.6748378800003</v>
      </c>
      <c r="G156" s="635">
        <f>INDEX($AL$195:$BN$202,6,START!$C$2)</f>
        <v>5562.2270164499996</v>
      </c>
      <c r="H156" s="635">
        <f>INDEX($AL$195:$BN$202,7,START!$C$2)</f>
        <v>0</v>
      </c>
      <c r="I156" s="635">
        <f>INDEX($AL$195:$BN$202,8,START!$C$2)</f>
        <v>0</v>
      </c>
      <c r="J156" s="635">
        <f>INDEX($AL$195:$BN$202,1,START!$C$2)</f>
        <v>65790.373612767391</v>
      </c>
      <c r="K156" s="28"/>
      <c r="L156" s="16"/>
      <c r="M156" s="627"/>
      <c r="N156" s="630"/>
      <c r="O156" s="630"/>
      <c r="P156" s="630"/>
      <c r="Q156" s="630"/>
      <c r="R156" s="630"/>
      <c r="S156" s="630"/>
      <c r="T156" s="630"/>
      <c r="U156" s="630"/>
      <c r="V156" s="630"/>
      <c r="W156" s="630"/>
      <c r="X156" s="630"/>
      <c r="Y156" s="630"/>
      <c r="Z156" s="630"/>
      <c r="AA156" s="630"/>
      <c r="AB156" s="630"/>
      <c r="AC156" s="630"/>
      <c r="AD156" s="630"/>
      <c r="AE156" s="630"/>
      <c r="AF156" s="1556" t="s">
        <v>871</v>
      </c>
      <c r="AG156" s="339" t="s">
        <v>578</v>
      </c>
      <c r="AH156" s="317"/>
      <c r="AI156" s="317"/>
      <c r="AJ156" s="318"/>
      <c r="AK156" s="115">
        <v>0</v>
      </c>
      <c r="AL156" s="123">
        <f>AL$133*INDEX('DEFAULT DATA'!$AIF$9:$AIM$41,START!$C$3,1)*BUILDINGS!AL5/1000000</f>
        <v>4469.224822106301</v>
      </c>
      <c r="AM156" s="123">
        <f>AM$133*INDEX('DEFAULT DATA'!$AIF$9:$AIM$41,START!$C$3,1)*BUILDINGS!AM5/1000000</f>
        <v>4129.5637356262232</v>
      </c>
      <c r="AN156" s="123">
        <f>AN$133*INDEX('DEFAULT DATA'!$AIF$9:$AIM$41,START!$C$3,1)*BUILDINGS!AN5/1000000</f>
        <v>3815.7168917186304</v>
      </c>
      <c r="AO156" s="123">
        <f>AO$133*INDEX('DEFAULT DATA'!$AIF$9:$AIM$41,START!$C$3,1)*BUILDINGS!AO5/1000000</f>
        <v>3525.7224079480143</v>
      </c>
      <c r="AP156" s="123">
        <f>AP$133*INDEX('DEFAULT DATA'!$AIF$9:$AIM$41,START!$C$3,1)*BUILDINGS!AP5/1000000</f>
        <v>3257.7675049439654</v>
      </c>
      <c r="AQ156" s="123">
        <f>AQ$133*INDEX('DEFAULT DATA'!$AIF$9:$AIM$41,START!$C$3,1)*BUILDINGS!AQ5/1000000</f>
        <v>3010.1771745682245</v>
      </c>
      <c r="AR156" s="123">
        <f>AR$133*INDEX('DEFAULT DATA'!$AIF$9:$AIM$41,START!$C$3,1)*BUILDINGS!AR5/1000000</f>
        <v>2781.4037093010393</v>
      </c>
      <c r="AS156" s="123">
        <f>AS$133*INDEX('DEFAULT DATA'!$AIF$9:$AIM$41,START!$C$3,1)*BUILDINGS!AS5/1000000</f>
        <v>2570.0170273941603</v>
      </c>
      <c r="AT156" s="123">
        <f>AT$133*INDEX('DEFAULT DATA'!$AIF$9:$AIM$41,START!$C$3,1)*BUILDINGS!AT5/1000000</f>
        <v>2374.6957333122045</v>
      </c>
      <c r="AU156" s="123">
        <f>AU$133*INDEX('DEFAULT DATA'!$AIF$9:$AIM$41,START!$C$3,1)*BUILDINGS!AU5/1000000</f>
        <v>2220.3405106469113</v>
      </c>
      <c r="AV156" s="123">
        <f>AV$133*INDEX('DEFAULT DATA'!$AIF$9:$AIM$41,START!$C$3,1)*BUILDINGS!AV5/1000000</f>
        <v>2076.0183774548623</v>
      </c>
      <c r="AW156" s="123">
        <f>AW$133*INDEX('DEFAULT DATA'!$AIF$9:$AIM$41,START!$C$3,1)*BUILDINGS!AW5/1000000</f>
        <v>1941.0771829202961</v>
      </c>
      <c r="AX156" s="123">
        <f>AX$133*INDEX('DEFAULT DATA'!$AIF$9:$AIM$41,START!$C$3,1)*BUILDINGS!AX5/1000000</f>
        <v>1814.9071660304769</v>
      </c>
      <c r="AY156" s="123">
        <f>AY$133*INDEX('DEFAULT DATA'!$AIF$9:$AIM$41,START!$C$3,1)*BUILDINGS!AY5/1000000</f>
        <v>1696.9382002384962</v>
      </c>
      <c r="AZ156" s="123">
        <f>AZ$133*INDEX('DEFAULT DATA'!$AIF$9:$AIM$41,START!$C$3,1)*BUILDINGS!AZ5/1000000</f>
        <v>1586.6372172229937</v>
      </c>
      <c r="BA156" s="123">
        <f>BA$133*INDEX('DEFAULT DATA'!$AIF$9:$AIM$41,START!$C$3,1)*BUILDINGS!BA5/1000000</f>
        <v>1483.5057981034995</v>
      </c>
      <c r="BB156" s="123">
        <f>BB$133*INDEX('DEFAULT DATA'!$AIF$9:$AIM$41,START!$C$3,1)*BUILDINGS!BB5/1000000</f>
        <v>1387.0779212267721</v>
      </c>
      <c r="BC156" s="123">
        <f>BC$133*INDEX('DEFAULT DATA'!$AIF$9:$AIM$41,START!$C$3,1)*BUILDINGS!BC5/1000000</f>
        <v>1296.9178563470321</v>
      </c>
      <c r="BD156" s="123">
        <f>BD$133*INDEX('DEFAULT DATA'!$AIF$9:$AIM$41,START!$C$3,1)*BUILDINGS!BD5/1000000</f>
        <v>1212.6181956844753</v>
      </c>
      <c r="BE156" s="123">
        <f>BE$133*INDEX('DEFAULT DATA'!$AIF$9:$AIM$41,START!$C$3,1)*BUILDINGS!BE5/1000000</f>
        <v>1133.7980129649843</v>
      </c>
      <c r="BF156" s="123">
        <f>BF$133*INDEX('DEFAULT DATA'!$AIF$9:$AIM$41,START!$C$3,1)*BUILDINGS!BF5/1000000</f>
        <v>1060.1011421222604</v>
      </c>
      <c r="BG156" s="123">
        <f>BG$133*INDEX('DEFAULT DATA'!$AIF$9:$AIM$41,START!$C$3,1)*BUILDINGS!BG5/1000000</f>
        <v>991.19456788431353</v>
      </c>
      <c r="BH156" s="123">
        <f>BH$133*INDEX('DEFAULT DATA'!$AIF$9:$AIM$41,START!$C$3,1)*BUILDINGS!BH5/1000000</f>
        <v>926.76692097183331</v>
      </c>
      <c r="BI156" s="123">
        <f>BI$133*INDEX('DEFAULT DATA'!$AIF$9:$AIM$41,START!$C$3,1)*BUILDINGS!BI5/1000000</f>
        <v>866.52707110866413</v>
      </c>
      <c r="BJ156" s="123">
        <f>BJ$133*INDEX('DEFAULT DATA'!$AIF$9:$AIM$41,START!$C$3,1)*BUILDINGS!BJ5/1000000</f>
        <v>810.20281148660104</v>
      </c>
      <c r="BK156" s="123">
        <f>BK$133*INDEX('DEFAULT DATA'!$AIF$9:$AIM$41,START!$C$3,1)*BUILDINGS!BK5/1000000</f>
        <v>757.53962873997204</v>
      </c>
      <c r="BL156" s="123">
        <f>BL$133*INDEX('DEFAULT DATA'!$AIF$9:$AIM$41,START!$C$3,1)*BUILDINGS!BL5/1000000</f>
        <v>708.29955287187386</v>
      </c>
      <c r="BM156" s="123">
        <f>BM$133*INDEX('DEFAULT DATA'!$AIF$9:$AIM$41,START!$C$3,1)*BUILDINGS!BM5/1000000</f>
        <v>662.26008193520215</v>
      </c>
      <c r="BN156" s="123">
        <f>BN$133*INDEX('DEFAULT DATA'!$AIF$9:$AIM$41,START!$C$3,1)*BUILDINGS!BN5/1000000</f>
        <v>619.21317660941395</v>
      </c>
      <c r="BP156" s="370" t="str">
        <f>AG156</f>
        <v>Electricity</v>
      </c>
      <c r="BQ156" s="371" t="s">
        <v>1493</v>
      </c>
      <c r="BR156" s="372"/>
      <c r="BS156" s="372"/>
      <c r="BT156" s="372"/>
      <c r="BU156" s="372"/>
      <c r="BV156" s="372"/>
      <c r="BW156" s="372"/>
      <c r="BX156" s="372"/>
      <c r="BY156" s="372"/>
      <c r="BZ156" s="372"/>
      <c r="CA156" s="372"/>
      <c r="CB156" s="372" t="s">
        <v>1500</v>
      </c>
      <c r="CC156" s="372"/>
      <c r="CD156" s="372"/>
      <c r="CE156" s="372"/>
      <c r="CF156" s="372"/>
      <c r="CG156" s="373"/>
      <c r="CH156" s="374" t="s">
        <v>1409</v>
      </c>
      <c r="CI156" s="374" t="s">
        <v>1225</v>
      </c>
    </row>
    <row r="157" spans="1:87" ht="20.100000000000001" customHeight="1">
      <c r="A157" s="633" t="s">
        <v>875</v>
      </c>
      <c r="B157" s="635">
        <f>INDEX($AL$208:$BN$215,1,START!$C$2)</f>
        <v>3292.3159618980822</v>
      </c>
      <c r="C157" s="635">
        <f>INDEX($AL$208:$BN$215,2,START!$C$2)</f>
        <v>215.52296069999997</v>
      </c>
      <c r="D157" s="635">
        <f>INDEX($AL$208:$BN$215,3,START!$C$2)</f>
        <v>237.36813173999997</v>
      </c>
      <c r="E157" s="635">
        <f>INDEX($AL$208:$BN$215,4,START!$C$2)</f>
        <v>0</v>
      </c>
      <c r="F157" s="635">
        <f>INDEX($AL$208:$BN$215,5,START!$C$2)</f>
        <v>31.765011360000003</v>
      </c>
      <c r="G157" s="635">
        <f>INDEX($AL$208:$BN$215,6,START!$C$2)</f>
        <v>40.657037850000002</v>
      </c>
      <c r="H157" s="635">
        <f>INDEX($AL$208:$BN$215,7,START!$C$2)</f>
        <v>0</v>
      </c>
      <c r="I157" s="635">
        <f>INDEX($AL$208:$BN$215,8,START!$C$2)</f>
        <v>0.39451925444491109</v>
      </c>
      <c r="J157" s="635">
        <f>INDEX($AL$208:$BN$215,1,START!$C$2)</f>
        <v>3292.3159618980822</v>
      </c>
      <c r="K157" s="28"/>
      <c r="L157" s="16"/>
      <c r="M157" s="627"/>
      <c r="N157" s="630"/>
      <c r="O157" s="630"/>
      <c r="P157" s="630"/>
      <c r="Q157" s="630"/>
      <c r="R157" s="630"/>
      <c r="S157" s="630"/>
      <c r="T157" s="630"/>
      <c r="U157" s="630"/>
      <c r="V157" s="630"/>
      <c r="W157" s="630"/>
      <c r="X157" s="630"/>
      <c r="Y157" s="630"/>
      <c r="Z157" s="630"/>
      <c r="AA157" s="630"/>
      <c r="AB157" s="630"/>
      <c r="AC157" s="630"/>
      <c r="AD157" s="630"/>
      <c r="AE157" s="630"/>
      <c r="AF157" s="1557"/>
      <c r="AG157" s="339" t="s">
        <v>862</v>
      </c>
      <c r="AH157" s="317"/>
      <c r="AI157" s="317"/>
      <c r="AJ157" s="318"/>
      <c r="AK157" s="115">
        <v>0</v>
      </c>
      <c r="AL157" s="123">
        <f>AL$133*INDEX('DEFAULT DATA'!$AIF$9:$AIM$41,START!$C$3,2)*INDEX('DEFAULT DATA'!$WC$9:$WI$41,START!$C$3,2)/1000000</f>
        <v>207.00390157999999</v>
      </c>
      <c r="AM157" s="123">
        <f>AM$133*INDEX('DEFAULT DATA'!$AIF$9:$AIM$41,START!$C$3,2)*INDEX('DEFAULT DATA'!$WC$9:$WI$41,START!$C$3,2)/1000000</f>
        <v>207.00390157999999</v>
      </c>
      <c r="AN157" s="123">
        <f>AN$133*INDEX('DEFAULT DATA'!$AIF$9:$AIM$41,START!$C$3,2)*INDEX('DEFAULT DATA'!$WC$9:$WI$41,START!$C$3,2)/1000000</f>
        <v>207.00390157999999</v>
      </c>
      <c r="AO157" s="123">
        <f>AO$133*INDEX('DEFAULT DATA'!$AIF$9:$AIM$41,START!$C$3,2)*INDEX('DEFAULT DATA'!$WC$9:$WI$41,START!$C$3,2)/1000000</f>
        <v>207.00390157999999</v>
      </c>
      <c r="AP157" s="123">
        <f>AP$133*INDEX('DEFAULT DATA'!$AIF$9:$AIM$41,START!$C$3,2)*INDEX('DEFAULT DATA'!$WC$9:$WI$41,START!$C$3,2)/1000000</f>
        <v>207.00390157999999</v>
      </c>
      <c r="AQ157" s="123">
        <f>AQ$133*INDEX('DEFAULT DATA'!$AIF$9:$AIM$41,START!$C$3,2)*INDEX('DEFAULT DATA'!$WC$9:$WI$41,START!$C$3,2)/1000000</f>
        <v>207.00390157999999</v>
      </c>
      <c r="AR157" s="123">
        <f>AR$133*INDEX('DEFAULT DATA'!$AIF$9:$AIM$41,START!$C$3,2)*INDEX('DEFAULT DATA'!$WC$9:$WI$41,START!$C$3,2)/1000000</f>
        <v>207.00390157999999</v>
      </c>
      <c r="AS157" s="123">
        <f>AS$133*INDEX('DEFAULT DATA'!$AIF$9:$AIM$41,START!$C$3,2)*INDEX('DEFAULT DATA'!$WC$9:$WI$41,START!$C$3,2)/1000000</f>
        <v>207.00390157999999</v>
      </c>
      <c r="AT157" s="123">
        <f>AT$133*INDEX('DEFAULT DATA'!$AIF$9:$AIM$41,START!$C$3,2)*INDEX('DEFAULT DATA'!$WC$9:$WI$41,START!$C$3,2)/1000000</f>
        <v>207.00390157999999</v>
      </c>
      <c r="AU157" s="123">
        <f>AU$133*INDEX('DEFAULT DATA'!$AIF$9:$AIM$41,START!$C$3,2)*INDEX('DEFAULT DATA'!$WC$9:$WI$41,START!$C$3,2)/1000000</f>
        <v>207.00390157999999</v>
      </c>
      <c r="AV157" s="123">
        <f>AV$133*INDEX('DEFAULT DATA'!$AIF$9:$AIM$41,START!$C$3,2)*INDEX('DEFAULT DATA'!$WC$9:$WI$41,START!$C$3,2)/1000000</f>
        <v>207.00390157999999</v>
      </c>
      <c r="AW157" s="123">
        <f>AW$133*INDEX('DEFAULT DATA'!$AIF$9:$AIM$41,START!$C$3,2)*INDEX('DEFAULT DATA'!$WC$9:$WI$41,START!$C$3,2)/1000000</f>
        <v>207.00390157999999</v>
      </c>
      <c r="AX157" s="123">
        <f>AX$133*INDEX('DEFAULT DATA'!$AIF$9:$AIM$41,START!$C$3,2)*INDEX('DEFAULT DATA'!$WC$9:$WI$41,START!$C$3,2)/1000000</f>
        <v>207.00390157999999</v>
      </c>
      <c r="AY157" s="123">
        <f>AY$133*INDEX('DEFAULT DATA'!$AIF$9:$AIM$41,START!$C$3,2)*INDEX('DEFAULT DATA'!$WC$9:$WI$41,START!$C$3,2)/1000000</f>
        <v>207.00390157999999</v>
      </c>
      <c r="AZ157" s="123">
        <f>AZ$133*INDEX('DEFAULT DATA'!$AIF$9:$AIM$41,START!$C$3,2)*INDEX('DEFAULT DATA'!$WC$9:$WI$41,START!$C$3,2)/1000000</f>
        <v>207.00390157999999</v>
      </c>
      <c r="BA157" s="123">
        <f>BA$133*INDEX('DEFAULT DATA'!$AIF$9:$AIM$41,START!$C$3,2)*INDEX('DEFAULT DATA'!$WC$9:$WI$41,START!$C$3,2)/1000000</f>
        <v>207.00390157999999</v>
      </c>
      <c r="BB157" s="123">
        <f>BB$133*INDEX('DEFAULT DATA'!$AIF$9:$AIM$41,START!$C$3,2)*INDEX('DEFAULT DATA'!$WC$9:$WI$41,START!$C$3,2)/1000000</f>
        <v>207.00390157999999</v>
      </c>
      <c r="BC157" s="123">
        <f>BC$133*INDEX('DEFAULT DATA'!$AIF$9:$AIM$41,START!$C$3,2)*INDEX('DEFAULT DATA'!$WC$9:$WI$41,START!$C$3,2)/1000000</f>
        <v>207.00390157999999</v>
      </c>
      <c r="BD157" s="123">
        <f>BD$133*INDEX('DEFAULT DATA'!$AIF$9:$AIM$41,START!$C$3,2)*INDEX('DEFAULT DATA'!$WC$9:$WI$41,START!$C$3,2)/1000000</f>
        <v>207.00390157999999</v>
      </c>
      <c r="BE157" s="123">
        <f>BE$133*INDEX('DEFAULT DATA'!$AIF$9:$AIM$41,START!$C$3,2)*INDEX('DEFAULT DATA'!$WC$9:$WI$41,START!$C$3,2)/1000000</f>
        <v>207.00390157999999</v>
      </c>
      <c r="BF157" s="123">
        <f>BF$133*INDEX('DEFAULT DATA'!$AIF$9:$AIM$41,START!$C$3,2)*INDEX('DEFAULT DATA'!$WC$9:$WI$41,START!$C$3,2)/1000000</f>
        <v>207.00390157999999</v>
      </c>
      <c r="BG157" s="123">
        <f>BG$133*INDEX('DEFAULT DATA'!$AIF$9:$AIM$41,START!$C$3,2)*INDEX('DEFAULT DATA'!$WC$9:$WI$41,START!$C$3,2)/1000000</f>
        <v>207.00390157999999</v>
      </c>
      <c r="BH157" s="123">
        <f>BH$133*INDEX('DEFAULT DATA'!$AIF$9:$AIM$41,START!$C$3,2)*INDEX('DEFAULT DATA'!$WC$9:$WI$41,START!$C$3,2)/1000000</f>
        <v>207.00390157999999</v>
      </c>
      <c r="BI157" s="123">
        <f>BI$133*INDEX('DEFAULT DATA'!$AIF$9:$AIM$41,START!$C$3,2)*INDEX('DEFAULT DATA'!$WC$9:$WI$41,START!$C$3,2)/1000000</f>
        <v>207.00390157999999</v>
      </c>
      <c r="BJ157" s="123">
        <f>BJ$133*INDEX('DEFAULT DATA'!$AIF$9:$AIM$41,START!$C$3,2)*INDEX('DEFAULT DATA'!$WC$9:$WI$41,START!$C$3,2)/1000000</f>
        <v>207.00390157999999</v>
      </c>
      <c r="BK157" s="123">
        <f>BK$133*INDEX('DEFAULT DATA'!$AIF$9:$AIM$41,START!$C$3,2)*INDEX('DEFAULT DATA'!$WC$9:$WI$41,START!$C$3,2)/1000000</f>
        <v>207.00390157999999</v>
      </c>
      <c r="BL157" s="123">
        <f>BL$133*INDEX('DEFAULT DATA'!$AIF$9:$AIM$41,START!$C$3,2)*INDEX('DEFAULT DATA'!$WC$9:$WI$41,START!$C$3,2)/1000000</f>
        <v>207.00390157999999</v>
      </c>
      <c r="BM157" s="123">
        <f>BM$133*INDEX('DEFAULT DATA'!$AIF$9:$AIM$41,START!$C$3,2)*INDEX('DEFAULT DATA'!$WC$9:$WI$41,START!$C$3,2)/1000000</f>
        <v>207.00390157999999</v>
      </c>
      <c r="BN157" s="123">
        <f>BN$133*INDEX('DEFAULT DATA'!$AIF$9:$AIM$41,START!$C$3,2)*INDEX('DEFAULT DATA'!$WC$9:$WI$41,START!$C$3,2)/1000000</f>
        <v>207.00390157999999</v>
      </c>
      <c r="BP157" s="375" t="str">
        <f t="shared" ref="BP157:BP163" si="67">AG157</f>
        <v>Gas</v>
      </c>
      <c r="BQ157" s="376" t="s">
        <v>1456</v>
      </c>
      <c r="BR157" s="377"/>
      <c r="BS157" s="377"/>
      <c r="BT157" s="377"/>
      <c r="BU157" s="377"/>
      <c r="BV157" s="377"/>
      <c r="BW157" s="377"/>
      <c r="BX157" s="377"/>
      <c r="BY157" s="377"/>
      <c r="BZ157" s="377"/>
      <c r="CA157" s="377"/>
      <c r="CB157" s="377"/>
      <c r="CC157" s="377"/>
      <c r="CD157" s="377"/>
      <c r="CE157" s="377"/>
      <c r="CF157" s="377"/>
      <c r="CG157" s="378"/>
      <c r="CH157" s="374" t="s">
        <v>1410</v>
      </c>
      <c r="CI157" s="374" t="s">
        <v>886</v>
      </c>
    </row>
    <row r="158" spans="1:87" ht="20.100000000000001" customHeight="1">
      <c r="A158" s="86" t="s">
        <v>1023</v>
      </c>
      <c r="B158" s="65"/>
      <c r="C158" s="65"/>
      <c r="D158" s="65"/>
      <c r="E158" s="65"/>
      <c r="F158" s="65"/>
      <c r="G158" s="65"/>
      <c r="H158" s="21"/>
      <c r="I158" s="21"/>
      <c r="J158" s="118">
        <f>SUM(J148:J157)</f>
        <v>267807.90718081512</v>
      </c>
      <c r="K158" s="28"/>
      <c r="L158" s="16"/>
      <c r="M158" s="627"/>
      <c r="N158" s="630"/>
      <c r="O158" s="630"/>
      <c r="P158" s="630"/>
      <c r="Q158" s="630"/>
      <c r="R158" s="630"/>
      <c r="S158" s="630"/>
      <c r="T158" s="630"/>
      <c r="U158" s="630"/>
      <c r="V158" s="630"/>
      <c r="W158" s="630"/>
      <c r="X158" s="630"/>
      <c r="Y158" s="630"/>
      <c r="Z158" s="630"/>
      <c r="AA158" s="630"/>
      <c r="AB158" s="630"/>
      <c r="AC158" s="630"/>
      <c r="AD158" s="630"/>
      <c r="AE158" s="630"/>
      <c r="AF158" s="1557"/>
      <c r="AG158" s="339" t="s">
        <v>863</v>
      </c>
      <c r="AH158" s="317"/>
      <c r="AI158" s="317"/>
      <c r="AJ158" s="318"/>
      <c r="AK158" s="115">
        <v>0</v>
      </c>
      <c r="AL158" s="123">
        <f>AL$133*INDEX('DEFAULT DATA'!$AIF$9:$AIM$41,START!$C$3,3)*INDEX('DEFAULT DATA'!$WC$9:$WI$41,START!$C$3,3)/1000000</f>
        <v>228.02579373000003</v>
      </c>
      <c r="AM158" s="123">
        <f>AM$133*INDEX('DEFAULT DATA'!$AIF$9:$AIM$41,START!$C$3,3)*INDEX('DEFAULT DATA'!$WC$9:$WI$41,START!$C$3,3)/1000000</f>
        <v>228.02579373000003</v>
      </c>
      <c r="AN158" s="123">
        <f>AN$133*INDEX('DEFAULT DATA'!$AIF$9:$AIM$41,START!$C$3,3)*INDEX('DEFAULT DATA'!$WC$9:$WI$41,START!$C$3,3)/1000000</f>
        <v>228.02579373000003</v>
      </c>
      <c r="AO158" s="123">
        <f>AO$133*INDEX('DEFAULT DATA'!$AIF$9:$AIM$41,START!$C$3,3)*INDEX('DEFAULT DATA'!$WC$9:$WI$41,START!$C$3,3)/1000000</f>
        <v>228.02579373000003</v>
      </c>
      <c r="AP158" s="123">
        <f>AP$133*INDEX('DEFAULT DATA'!$AIF$9:$AIM$41,START!$C$3,3)*INDEX('DEFAULT DATA'!$WC$9:$WI$41,START!$C$3,3)/1000000</f>
        <v>228.02579373000003</v>
      </c>
      <c r="AQ158" s="123">
        <f>AQ$133*INDEX('DEFAULT DATA'!$AIF$9:$AIM$41,START!$C$3,3)*INDEX('DEFAULT DATA'!$WC$9:$WI$41,START!$C$3,3)/1000000</f>
        <v>228.02579373000003</v>
      </c>
      <c r="AR158" s="123">
        <f>AR$133*INDEX('DEFAULT DATA'!$AIF$9:$AIM$41,START!$C$3,3)*INDEX('DEFAULT DATA'!$WC$9:$WI$41,START!$C$3,3)/1000000</f>
        <v>228.02579373000003</v>
      </c>
      <c r="AS158" s="123">
        <f>AS$133*INDEX('DEFAULT DATA'!$AIF$9:$AIM$41,START!$C$3,3)*INDEX('DEFAULT DATA'!$WC$9:$WI$41,START!$C$3,3)/1000000</f>
        <v>228.02579373000003</v>
      </c>
      <c r="AT158" s="123">
        <f>AT$133*INDEX('DEFAULT DATA'!$AIF$9:$AIM$41,START!$C$3,3)*INDEX('DEFAULT DATA'!$WC$9:$WI$41,START!$C$3,3)/1000000</f>
        <v>228.02579373000003</v>
      </c>
      <c r="AU158" s="123">
        <f>AU$133*INDEX('DEFAULT DATA'!$AIF$9:$AIM$41,START!$C$3,3)*INDEX('DEFAULT DATA'!$WC$9:$WI$41,START!$C$3,3)/1000000</f>
        <v>228.02579373000003</v>
      </c>
      <c r="AV158" s="123">
        <f>AV$133*INDEX('DEFAULT DATA'!$AIF$9:$AIM$41,START!$C$3,3)*INDEX('DEFAULT DATA'!$WC$9:$WI$41,START!$C$3,3)/1000000</f>
        <v>228.02579373000003</v>
      </c>
      <c r="AW158" s="123">
        <f>AW$133*INDEX('DEFAULT DATA'!$AIF$9:$AIM$41,START!$C$3,3)*INDEX('DEFAULT DATA'!$WC$9:$WI$41,START!$C$3,3)/1000000</f>
        <v>228.02579373000003</v>
      </c>
      <c r="AX158" s="123">
        <f>AX$133*INDEX('DEFAULT DATA'!$AIF$9:$AIM$41,START!$C$3,3)*INDEX('DEFAULT DATA'!$WC$9:$WI$41,START!$C$3,3)/1000000</f>
        <v>228.02579373000003</v>
      </c>
      <c r="AY158" s="123">
        <f>AY$133*INDEX('DEFAULT DATA'!$AIF$9:$AIM$41,START!$C$3,3)*INDEX('DEFAULT DATA'!$WC$9:$WI$41,START!$C$3,3)/1000000</f>
        <v>228.02579373000003</v>
      </c>
      <c r="AZ158" s="123">
        <f>AZ$133*INDEX('DEFAULT DATA'!$AIF$9:$AIM$41,START!$C$3,3)*INDEX('DEFAULT DATA'!$WC$9:$WI$41,START!$C$3,3)/1000000</f>
        <v>228.02579373000003</v>
      </c>
      <c r="BA158" s="123">
        <f>BA$133*INDEX('DEFAULT DATA'!$AIF$9:$AIM$41,START!$C$3,3)*INDEX('DEFAULT DATA'!$WC$9:$WI$41,START!$C$3,3)/1000000</f>
        <v>228.02579373000003</v>
      </c>
      <c r="BB158" s="123">
        <f>BB$133*INDEX('DEFAULT DATA'!$AIF$9:$AIM$41,START!$C$3,3)*INDEX('DEFAULT DATA'!$WC$9:$WI$41,START!$C$3,3)/1000000</f>
        <v>228.02579373000003</v>
      </c>
      <c r="BC158" s="123">
        <f>BC$133*INDEX('DEFAULT DATA'!$AIF$9:$AIM$41,START!$C$3,3)*INDEX('DEFAULT DATA'!$WC$9:$WI$41,START!$C$3,3)/1000000</f>
        <v>228.02579373000003</v>
      </c>
      <c r="BD158" s="123">
        <f>BD$133*INDEX('DEFAULT DATA'!$AIF$9:$AIM$41,START!$C$3,3)*INDEX('DEFAULT DATA'!$WC$9:$WI$41,START!$C$3,3)/1000000</f>
        <v>228.02579373000003</v>
      </c>
      <c r="BE158" s="123">
        <f>BE$133*INDEX('DEFAULT DATA'!$AIF$9:$AIM$41,START!$C$3,3)*INDEX('DEFAULT DATA'!$WC$9:$WI$41,START!$C$3,3)/1000000</f>
        <v>228.02579373000003</v>
      </c>
      <c r="BF158" s="123">
        <f>BF$133*INDEX('DEFAULT DATA'!$AIF$9:$AIM$41,START!$C$3,3)*INDEX('DEFAULT DATA'!$WC$9:$WI$41,START!$C$3,3)/1000000</f>
        <v>228.02579373000003</v>
      </c>
      <c r="BG158" s="123">
        <f>BG$133*INDEX('DEFAULT DATA'!$AIF$9:$AIM$41,START!$C$3,3)*INDEX('DEFAULT DATA'!$WC$9:$WI$41,START!$C$3,3)/1000000</f>
        <v>228.02579373000003</v>
      </c>
      <c r="BH158" s="123">
        <f>BH$133*INDEX('DEFAULT DATA'!$AIF$9:$AIM$41,START!$C$3,3)*INDEX('DEFAULT DATA'!$WC$9:$WI$41,START!$C$3,3)/1000000</f>
        <v>228.02579373000003</v>
      </c>
      <c r="BI158" s="123">
        <f>BI$133*INDEX('DEFAULT DATA'!$AIF$9:$AIM$41,START!$C$3,3)*INDEX('DEFAULT DATA'!$WC$9:$WI$41,START!$C$3,3)/1000000</f>
        <v>228.02579373000003</v>
      </c>
      <c r="BJ158" s="123">
        <f>BJ$133*INDEX('DEFAULT DATA'!$AIF$9:$AIM$41,START!$C$3,3)*INDEX('DEFAULT DATA'!$WC$9:$WI$41,START!$C$3,3)/1000000</f>
        <v>228.02579373000003</v>
      </c>
      <c r="BK158" s="123">
        <f>BK$133*INDEX('DEFAULT DATA'!$AIF$9:$AIM$41,START!$C$3,3)*INDEX('DEFAULT DATA'!$WC$9:$WI$41,START!$C$3,3)/1000000</f>
        <v>228.02579373000003</v>
      </c>
      <c r="BL158" s="123">
        <f>BL$133*INDEX('DEFAULT DATA'!$AIF$9:$AIM$41,START!$C$3,3)*INDEX('DEFAULT DATA'!$WC$9:$WI$41,START!$C$3,3)/1000000</f>
        <v>228.02579373000003</v>
      </c>
      <c r="BM158" s="123">
        <f>BM$133*INDEX('DEFAULT DATA'!$AIF$9:$AIM$41,START!$C$3,3)*INDEX('DEFAULT DATA'!$WC$9:$WI$41,START!$C$3,3)/1000000</f>
        <v>228.02579373000003</v>
      </c>
      <c r="BN158" s="123">
        <f>BN$133*INDEX('DEFAULT DATA'!$AIF$9:$AIM$41,START!$C$3,3)*INDEX('DEFAULT DATA'!$WC$9:$WI$41,START!$C$3,3)/1000000</f>
        <v>228.02579373000003</v>
      </c>
      <c r="BP158" s="375" t="str">
        <f t="shared" si="67"/>
        <v>Oil</v>
      </c>
      <c r="BQ158" s="376" t="s">
        <v>1457</v>
      </c>
      <c r="BR158" s="377"/>
      <c r="BS158" s="377"/>
      <c r="BT158" s="377"/>
      <c r="BU158" s="377"/>
      <c r="BV158" s="377"/>
      <c r="BW158" s="377"/>
      <c r="BX158" s="377"/>
      <c r="BY158" s="377"/>
      <c r="BZ158" s="377"/>
      <c r="CA158" s="377"/>
      <c r="CB158" s="377"/>
      <c r="CC158" s="377"/>
      <c r="CD158" s="377"/>
      <c r="CE158" s="377"/>
      <c r="CF158" s="377"/>
      <c r="CG158" s="378"/>
      <c r="CH158" s="374" t="s">
        <v>1411</v>
      </c>
      <c r="CI158" s="374" t="s">
        <v>1247</v>
      </c>
    </row>
    <row r="159" spans="1:87" ht="20.100000000000001" customHeight="1">
      <c r="A159" s="27"/>
      <c r="B159" s="21"/>
      <c r="C159" s="21"/>
      <c r="D159" s="21"/>
      <c r="E159" s="21"/>
      <c r="F159" s="21"/>
      <c r="G159" s="21"/>
      <c r="H159" s="21"/>
      <c r="I159" s="21"/>
      <c r="J159" s="21"/>
      <c r="K159" s="28"/>
      <c r="L159" s="16"/>
      <c r="M159" s="627"/>
      <c r="N159" s="630"/>
      <c r="O159" s="630"/>
      <c r="P159" s="630"/>
      <c r="Q159" s="630"/>
      <c r="R159" s="630"/>
      <c r="S159" s="630"/>
      <c r="T159" s="630"/>
      <c r="U159" s="630"/>
      <c r="V159" s="630"/>
      <c r="W159" s="630"/>
      <c r="X159" s="630"/>
      <c r="Y159" s="630"/>
      <c r="Z159" s="630"/>
      <c r="AA159" s="630"/>
      <c r="AB159" s="630"/>
      <c r="AC159" s="630"/>
      <c r="AD159" s="630"/>
      <c r="AE159" s="630"/>
      <c r="AF159" s="1557"/>
      <c r="AG159" s="339" t="s">
        <v>864</v>
      </c>
      <c r="AH159" s="317"/>
      <c r="AI159" s="317"/>
      <c r="AJ159" s="318"/>
      <c r="AK159" s="115">
        <v>0</v>
      </c>
      <c r="AL159" s="123">
        <f>AL$133*INDEX('DEFAULT DATA'!$AIF$9:$AIM$41,START!$C$3,4)*INDEX('DEFAULT DATA'!$WC$9:$WI$41,START!$C$3,4)/1000000</f>
        <v>0</v>
      </c>
      <c r="AM159" s="123">
        <f>AM$133*INDEX('DEFAULT DATA'!$AIF$9:$AIM$41,START!$C$3,4)*INDEX('DEFAULT DATA'!$WC$9:$WI$41,START!$C$3,4)/1000000</f>
        <v>0</v>
      </c>
      <c r="AN159" s="123">
        <f>AN$133*INDEX('DEFAULT DATA'!$AIF$9:$AIM$41,START!$C$3,4)*INDEX('DEFAULT DATA'!$WC$9:$WI$41,START!$C$3,4)/1000000</f>
        <v>0</v>
      </c>
      <c r="AO159" s="123">
        <f>AO$133*INDEX('DEFAULT DATA'!$AIF$9:$AIM$41,START!$C$3,4)*INDEX('DEFAULT DATA'!$WC$9:$WI$41,START!$C$3,4)/1000000</f>
        <v>0</v>
      </c>
      <c r="AP159" s="123">
        <f>AP$133*INDEX('DEFAULT DATA'!$AIF$9:$AIM$41,START!$C$3,4)*INDEX('DEFAULT DATA'!$WC$9:$WI$41,START!$C$3,4)/1000000</f>
        <v>0</v>
      </c>
      <c r="AQ159" s="123">
        <f>AQ$133*INDEX('DEFAULT DATA'!$AIF$9:$AIM$41,START!$C$3,4)*INDEX('DEFAULT DATA'!$WC$9:$WI$41,START!$C$3,4)/1000000</f>
        <v>0</v>
      </c>
      <c r="AR159" s="123">
        <f>AR$133*INDEX('DEFAULT DATA'!$AIF$9:$AIM$41,START!$C$3,4)*INDEX('DEFAULT DATA'!$WC$9:$WI$41,START!$C$3,4)/1000000</f>
        <v>0</v>
      </c>
      <c r="AS159" s="123">
        <f>AS$133*INDEX('DEFAULT DATA'!$AIF$9:$AIM$41,START!$C$3,4)*INDEX('DEFAULT DATA'!$WC$9:$WI$41,START!$C$3,4)/1000000</f>
        <v>0</v>
      </c>
      <c r="AT159" s="123">
        <f>AT$133*INDEX('DEFAULT DATA'!$AIF$9:$AIM$41,START!$C$3,4)*INDEX('DEFAULT DATA'!$WC$9:$WI$41,START!$C$3,4)/1000000</f>
        <v>0</v>
      </c>
      <c r="AU159" s="123">
        <f>AU$133*INDEX('DEFAULT DATA'!$AIF$9:$AIM$41,START!$C$3,4)*INDEX('DEFAULT DATA'!$WC$9:$WI$41,START!$C$3,4)/1000000</f>
        <v>0</v>
      </c>
      <c r="AV159" s="123">
        <f>AV$133*INDEX('DEFAULT DATA'!$AIF$9:$AIM$41,START!$C$3,4)*INDEX('DEFAULT DATA'!$WC$9:$WI$41,START!$C$3,4)/1000000</f>
        <v>0</v>
      </c>
      <c r="AW159" s="123">
        <f>AW$133*INDEX('DEFAULT DATA'!$AIF$9:$AIM$41,START!$C$3,4)*INDEX('DEFAULT DATA'!$WC$9:$WI$41,START!$C$3,4)/1000000</f>
        <v>0</v>
      </c>
      <c r="AX159" s="123">
        <f>AX$133*INDEX('DEFAULT DATA'!$AIF$9:$AIM$41,START!$C$3,4)*INDEX('DEFAULT DATA'!$WC$9:$WI$41,START!$C$3,4)/1000000</f>
        <v>0</v>
      </c>
      <c r="AY159" s="123">
        <f>AY$133*INDEX('DEFAULT DATA'!$AIF$9:$AIM$41,START!$C$3,4)*INDEX('DEFAULT DATA'!$WC$9:$WI$41,START!$C$3,4)/1000000</f>
        <v>0</v>
      </c>
      <c r="AZ159" s="123">
        <f>AZ$133*INDEX('DEFAULT DATA'!$AIF$9:$AIM$41,START!$C$3,4)*INDEX('DEFAULT DATA'!$WC$9:$WI$41,START!$C$3,4)/1000000</f>
        <v>0</v>
      </c>
      <c r="BA159" s="123">
        <f>BA$133*INDEX('DEFAULT DATA'!$AIF$9:$AIM$41,START!$C$3,4)*INDEX('DEFAULT DATA'!$WC$9:$WI$41,START!$C$3,4)/1000000</f>
        <v>0</v>
      </c>
      <c r="BB159" s="123">
        <f>BB$133*INDEX('DEFAULT DATA'!$AIF$9:$AIM$41,START!$C$3,4)*INDEX('DEFAULT DATA'!$WC$9:$WI$41,START!$C$3,4)/1000000</f>
        <v>0</v>
      </c>
      <c r="BC159" s="123">
        <f>BC$133*INDEX('DEFAULT DATA'!$AIF$9:$AIM$41,START!$C$3,4)*INDEX('DEFAULT DATA'!$WC$9:$WI$41,START!$C$3,4)/1000000</f>
        <v>0</v>
      </c>
      <c r="BD159" s="123">
        <f>BD$133*INDEX('DEFAULT DATA'!$AIF$9:$AIM$41,START!$C$3,4)*INDEX('DEFAULT DATA'!$WC$9:$WI$41,START!$C$3,4)/1000000</f>
        <v>0</v>
      </c>
      <c r="BE159" s="123">
        <f>BE$133*INDEX('DEFAULT DATA'!$AIF$9:$AIM$41,START!$C$3,4)*INDEX('DEFAULT DATA'!$WC$9:$WI$41,START!$C$3,4)/1000000</f>
        <v>0</v>
      </c>
      <c r="BF159" s="123">
        <f>BF$133*INDEX('DEFAULT DATA'!$AIF$9:$AIM$41,START!$C$3,4)*INDEX('DEFAULT DATA'!$WC$9:$WI$41,START!$C$3,4)/1000000</f>
        <v>0</v>
      </c>
      <c r="BG159" s="123">
        <f>BG$133*INDEX('DEFAULT DATA'!$AIF$9:$AIM$41,START!$C$3,4)*INDEX('DEFAULT DATA'!$WC$9:$WI$41,START!$C$3,4)/1000000</f>
        <v>0</v>
      </c>
      <c r="BH159" s="123">
        <f>BH$133*INDEX('DEFAULT DATA'!$AIF$9:$AIM$41,START!$C$3,4)*INDEX('DEFAULT DATA'!$WC$9:$WI$41,START!$C$3,4)/1000000</f>
        <v>0</v>
      </c>
      <c r="BI159" s="123">
        <f>BI$133*INDEX('DEFAULT DATA'!$AIF$9:$AIM$41,START!$C$3,4)*INDEX('DEFAULT DATA'!$WC$9:$WI$41,START!$C$3,4)/1000000</f>
        <v>0</v>
      </c>
      <c r="BJ159" s="123">
        <f>BJ$133*INDEX('DEFAULT DATA'!$AIF$9:$AIM$41,START!$C$3,4)*INDEX('DEFAULT DATA'!$WC$9:$WI$41,START!$C$3,4)/1000000</f>
        <v>0</v>
      </c>
      <c r="BK159" s="123">
        <f>BK$133*INDEX('DEFAULT DATA'!$AIF$9:$AIM$41,START!$C$3,4)*INDEX('DEFAULT DATA'!$WC$9:$WI$41,START!$C$3,4)/1000000</f>
        <v>0</v>
      </c>
      <c r="BL159" s="123">
        <f>BL$133*INDEX('DEFAULT DATA'!$AIF$9:$AIM$41,START!$C$3,4)*INDEX('DEFAULT DATA'!$WC$9:$WI$41,START!$C$3,4)/1000000</f>
        <v>0</v>
      </c>
      <c r="BM159" s="123">
        <f>BM$133*INDEX('DEFAULT DATA'!$AIF$9:$AIM$41,START!$C$3,4)*INDEX('DEFAULT DATA'!$WC$9:$WI$41,START!$C$3,4)/1000000</f>
        <v>0</v>
      </c>
      <c r="BN159" s="123">
        <f>BN$133*INDEX('DEFAULT DATA'!$AIF$9:$AIM$41,START!$C$3,4)*INDEX('DEFAULT DATA'!$WC$9:$WI$41,START!$C$3,4)/1000000</f>
        <v>0</v>
      </c>
      <c r="BP159" s="375" t="str">
        <f t="shared" si="67"/>
        <v>Coal</v>
      </c>
      <c r="BQ159" s="376" t="s">
        <v>1458</v>
      </c>
      <c r="BR159" s="377"/>
      <c r="BS159" s="377"/>
      <c r="BT159" s="377"/>
      <c r="BU159" s="377"/>
      <c r="BV159" s="377"/>
      <c r="BW159" s="377"/>
      <c r="BX159" s="377"/>
      <c r="BY159" s="377"/>
      <c r="BZ159" s="377"/>
      <c r="CA159" s="377"/>
      <c r="CB159" s="377"/>
      <c r="CC159" s="377"/>
      <c r="CD159" s="377"/>
      <c r="CE159" s="377"/>
      <c r="CF159" s="377"/>
      <c r="CG159" s="378"/>
      <c r="CH159" s="374" t="s">
        <v>1412</v>
      </c>
      <c r="CI159" s="374" t="s">
        <v>1248</v>
      </c>
    </row>
    <row r="160" spans="1:87" ht="20.100000000000001" customHeight="1">
      <c r="A160" s="27"/>
      <c r="B160" s="21"/>
      <c r="C160" s="21"/>
      <c r="D160" s="21"/>
      <c r="E160" s="21"/>
      <c r="F160" s="21"/>
      <c r="G160" s="21"/>
      <c r="H160" s="21"/>
      <c r="I160" s="21"/>
      <c r="J160" s="21"/>
      <c r="K160" s="28"/>
      <c r="L160" s="16"/>
      <c r="M160" s="627"/>
      <c r="N160" s="630"/>
      <c r="O160" s="630"/>
      <c r="P160" s="630"/>
      <c r="Q160" s="630"/>
      <c r="R160" s="630"/>
      <c r="S160" s="630"/>
      <c r="T160" s="630"/>
      <c r="U160" s="630"/>
      <c r="V160" s="630"/>
      <c r="W160" s="630"/>
      <c r="X160" s="630"/>
      <c r="Y160" s="630"/>
      <c r="Z160" s="630"/>
      <c r="AA160" s="630"/>
      <c r="AB160" s="630"/>
      <c r="AC160" s="630"/>
      <c r="AD160" s="630"/>
      <c r="AE160" s="630"/>
      <c r="AF160" s="1557"/>
      <c r="AG160" s="339" t="s">
        <v>865</v>
      </c>
      <c r="AH160" s="317"/>
      <c r="AI160" s="317"/>
      <c r="AJ160" s="318"/>
      <c r="AK160" s="115">
        <v>0</v>
      </c>
      <c r="AL160" s="123">
        <f>AL$133*INDEX('DEFAULT DATA'!$AIF$9:$AIM$41,START!$C$3,5)*INDEX('DEFAULT DATA'!$WC$9:$WI$41,START!$C$3,5)/1000000</f>
        <v>30.437714159999999</v>
      </c>
      <c r="AM160" s="123">
        <f>AM$133*INDEX('DEFAULT DATA'!$AIF$9:$AIM$41,START!$C$3,5)*INDEX('DEFAULT DATA'!$WC$9:$WI$41,START!$C$3,5)/1000000</f>
        <v>30.437714159999999</v>
      </c>
      <c r="AN160" s="123">
        <f>AN$133*INDEX('DEFAULT DATA'!$AIF$9:$AIM$41,START!$C$3,5)*INDEX('DEFAULT DATA'!$WC$9:$WI$41,START!$C$3,5)/1000000</f>
        <v>30.437714159999999</v>
      </c>
      <c r="AO160" s="123">
        <f>AO$133*INDEX('DEFAULT DATA'!$AIF$9:$AIM$41,START!$C$3,5)*INDEX('DEFAULT DATA'!$WC$9:$WI$41,START!$C$3,5)/1000000</f>
        <v>30.437714159999999</v>
      </c>
      <c r="AP160" s="123">
        <f>AP$133*INDEX('DEFAULT DATA'!$AIF$9:$AIM$41,START!$C$3,5)*INDEX('DEFAULT DATA'!$WC$9:$WI$41,START!$C$3,5)/1000000</f>
        <v>30.437714159999999</v>
      </c>
      <c r="AQ160" s="123">
        <f>AQ$133*INDEX('DEFAULT DATA'!$AIF$9:$AIM$41,START!$C$3,5)*INDEX('DEFAULT DATA'!$WC$9:$WI$41,START!$C$3,5)/1000000</f>
        <v>30.437714159999999</v>
      </c>
      <c r="AR160" s="123">
        <f>AR$133*INDEX('DEFAULT DATA'!$AIF$9:$AIM$41,START!$C$3,5)*INDEX('DEFAULT DATA'!$WC$9:$WI$41,START!$C$3,5)/1000000</f>
        <v>30.437714159999999</v>
      </c>
      <c r="AS160" s="123">
        <f>AS$133*INDEX('DEFAULT DATA'!$AIF$9:$AIM$41,START!$C$3,5)*INDEX('DEFAULT DATA'!$WC$9:$WI$41,START!$C$3,5)/1000000</f>
        <v>30.437714159999999</v>
      </c>
      <c r="AT160" s="123">
        <f>AT$133*INDEX('DEFAULT DATA'!$AIF$9:$AIM$41,START!$C$3,5)*INDEX('DEFAULT DATA'!$WC$9:$WI$41,START!$C$3,5)/1000000</f>
        <v>30.437714159999999</v>
      </c>
      <c r="AU160" s="123">
        <f>AU$133*INDEX('DEFAULT DATA'!$AIF$9:$AIM$41,START!$C$3,5)*INDEX('DEFAULT DATA'!$WC$9:$WI$41,START!$C$3,5)/1000000</f>
        <v>30.437714159999999</v>
      </c>
      <c r="AV160" s="123">
        <f>AV$133*INDEX('DEFAULT DATA'!$AIF$9:$AIM$41,START!$C$3,5)*INDEX('DEFAULT DATA'!$WC$9:$WI$41,START!$C$3,5)/1000000</f>
        <v>30.437714159999999</v>
      </c>
      <c r="AW160" s="123">
        <f>AW$133*INDEX('DEFAULT DATA'!$AIF$9:$AIM$41,START!$C$3,5)*INDEX('DEFAULT DATA'!$WC$9:$WI$41,START!$C$3,5)/1000000</f>
        <v>30.437714159999999</v>
      </c>
      <c r="AX160" s="123">
        <f>AX$133*INDEX('DEFAULT DATA'!$AIF$9:$AIM$41,START!$C$3,5)*INDEX('DEFAULT DATA'!$WC$9:$WI$41,START!$C$3,5)/1000000</f>
        <v>30.437714159999999</v>
      </c>
      <c r="AY160" s="123">
        <f>AY$133*INDEX('DEFAULT DATA'!$AIF$9:$AIM$41,START!$C$3,5)*INDEX('DEFAULT DATA'!$WC$9:$WI$41,START!$C$3,5)/1000000</f>
        <v>30.437714159999999</v>
      </c>
      <c r="AZ160" s="123">
        <f>AZ$133*INDEX('DEFAULT DATA'!$AIF$9:$AIM$41,START!$C$3,5)*INDEX('DEFAULT DATA'!$WC$9:$WI$41,START!$C$3,5)/1000000</f>
        <v>30.437714159999999</v>
      </c>
      <c r="BA160" s="123">
        <f>BA$133*INDEX('DEFAULT DATA'!$AIF$9:$AIM$41,START!$C$3,5)*INDEX('DEFAULT DATA'!$WC$9:$WI$41,START!$C$3,5)/1000000</f>
        <v>30.437714159999999</v>
      </c>
      <c r="BB160" s="123">
        <f>BB$133*INDEX('DEFAULT DATA'!$AIF$9:$AIM$41,START!$C$3,5)*INDEX('DEFAULT DATA'!$WC$9:$WI$41,START!$C$3,5)/1000000</f>
        <v>30.437714159999999</v>
      </c>
      <c r="BC160" s="123">
        <f>BC$133*INDEX('DEFAULT DATA'!$AIF$9:$AIM$41,START!$C$3,5)*INDEX('DEFAULT DATA'!$WC$9:$WI$41,START!$C$3,5)/1000000</f>
        <v>30.437714159999999</v>
      </c>
      <c r="BD160" s="123">
        <f>BD$133*INDEX('DEFAULT DATA'!$AIF$9:$AIM$41,START!$C$3,5)*INDEX('DEFAULT DATA'!$WC$9:$WI$41,START!$C$3,5)/1000000</f>
        <v>30.437714159999999</v>
      </c>
      <c r="BE160" s="123">
        <f>BE$133*INDEX('DEFAULT DATA'!$AIF$9:$AIM$41,START!$C$3,5)*INDEX('DEFAULT DATA'!$WC$9:$WI$41,START!$C$3,5)/1000000</f>
        <v>30.437714159999999</v>
      </c>
      <c r="BF160" s="123">
        <f>BF$133*INDEX('DEFAULT DATA'!$AIF$9:$AIM$41,START!$C$3,5)*INDEX('DEFAULT DATA'!$WC$9:$WI$41,START!$C$3,5)/1000000</f>
        <v>30.437714159999999</v>
      </c>
      <c r="BG160" s="123">
        <f>BG$133*INDEX('DEFAULT DATA'!$AIF$9:$AIM$41,START!$C$3,5)*INDEX('DEFAULT DATA'!$WC$9:$WI$41,START!$C$3,5)/1000000</f>
        <v>30.437714159999999</v>
      </c>
      <c r="BH160" s="123">
        <f>BH$133*INDEX('DEFAULT DATA'!$AIF$9:$AIM$41,START!$C$3,5)*INDEX('DEFAULT DATA'!$WC$9:$WI$41,START!$C$3,5)/1000000</f>
        <v>30.437714159999999</v>
      </c>
      <c r="BI160" s="123">
        <f>BI$133*INDEX('DEFAULT DATA'!$AIF$9:$AIM$41,START!$C$3,5)*INDEX('DEFAULT DATA'!$WC$9:$WI$41,START!$C$3,5)/1000000</f>
        <v>30.437714159999999</v>
      </c>
      <c r="BJ160" s="123">
        <f>BJ$133*INDEX('DEFAULT DATA'!$AIF$9:$AIM$41,START!$C$3,5)*INDEX('DEFAULT DATA'!$WC$9:$WI$41,START!$C$3,5)/1000000</f>
        <v>30.437714159999999</v>
      </c>
      <c r="BK160" s="123">
        <f>BK$133*INDEX('DEFAULT DATA'!$AIF$9:$AIM$41,START!$C$3,5)*INDEX('DEFAULT DATA'!$WC$9:$WI$41,START!$C$3,5)/1000000</f>
        <v>30.437714159999999</v>
      </c>
      <c r="BL160" s="123">
        <f>BL$133*INDEX('DEFAULT DATA'!$AIF$9:$AIM$41,START!$C$3,5)*INDEX('DEFAULT DATA'!$WC$9:$WI$41,START!$C$3,5)/1000000</f>
        <v>30.437714159999999</v>
      </c>
      <c r="BM160" s="123">
        <f>BM$133*INDEX('DEFAULT DATA'!$AIF$9:$AIM$41,START!$C$3,5)*INDEX('DEFAULT DATA'!$WC$9:$WI$41,START!$C$3,5)/1000000</f>
        <v>30.437714159999999</v>
      </c>
      <c r="BN160" s="123">
        <f>BN$133*INDEX('DEFAULT DATA'!$AIF$9:$AIM$41,START!$C$3,5)*INDEX('DEFAULT DATA'!$WC$9:$WI$41,START!$C$3,5)/1000000</f>
        <v>30.437714159999999</v>
      </c>
      <c r="BP160" s="375" t="str">
        <f t="shared" si="67"/>
        <v>Peat</v>
      </c>
      <c r="BQ160" s="376" t="s">
        <v>1459</v>
      </c>
      <c r="BR160" s="377"/>
      <c r="BS160" s="377"/>
      <c r="BT160" s="377"/>
      <c r="BU160" s="377"/>
      <c r="BV160" s="377"/>
      <c r="BW160" s="377"/>
      <c r="BX160" s="377"/>
      <c r="BY160" s="377"/>
      <c r="BZ160" s="377"/>
      <c r="CA160" s="377"/>
      <c r="CB160" s="377"/>
      <c r="CC160" s="377"/>
      <c r="CD160" s="377"/>
      <c r="CE160" s="377"/>
      <c r="CF160" s="377"/>
      <c r="CG160" s="378"/>
      <c r="CH160" s="374" t="s">
        <v>1413</v>
      </c>
      <c r="CI160" s="374" t="s">
        <v>1249</v>
      </c>
    </row>
    <row r="161" spans="1:87" ht="20.100000000000001" customHeight="1">
      <c r="A161" s="27"/>
      <c r="B161" s="21"/>
      <c r="C161" s="21"/>
      <c r="D161" s="21"/>
      <c r="E161" s="21"/>
      <c r="F161" s="21"/>
      <c r="G161" s="21"/>
      <c r="H161" s="21"/>
      <c r="I161" s="21"/>
      <c r="J161" s="21"/>
      <c r="K161" s="28"/>
      <c r="L161" s="16"/>
      <c r="M161" s="627"/>
      <c r="N161" s="630"/>
      <c r="O161" s="630"/>
      <c r="P161" s="630"/>
      <c r="Q161" s="630"/>
      <c r="R161" s="630"/>
      <c r="S161" s="630"/>
      <c r="T161" s="630"/>
      <c r="U161" s="630"/>
      <c r="V161" s="630"/>
      <c r="W161" s="630"/>
      <c r="X161" s="630"/>
      <c r="Y161" s="630"/>
      <c r="Z161" s="630"/>
      <c r="AA161" s="630"/>
      <c r="AB161" s="630"/>
      <c r="AC161" s="630"/>
      <c r="AD161" s="630"/>
      <c r="AE161" s="630"/>
      <c r="AF161" s="1557"/>
      <c r="AG161" s="339" t="s">
        <v>866</v>
      </c>
      <c r="AH161" s="317"/>
      <c r="AI161" s="317"/>
      <c r="AJ161" s="318"/>
      <c r="AK161" s="115">
        <v>0</v>
      </c>
      <c r="AL161" s="123">
        <f>AL$133*INDEX('DEFAULT DATA'!$AIF$9:$AIM$41,START!$C$3,6)*INDEX('DEFAULT DATA'!$WC$9:$WI$41,START!$C$3,6)/1000000</f>
        <v>38.991918420000005</v>
      </c>
      <c r="AM161" s="123">
        <f>AM$133*INDEX('DEFAULT DATA'!$AIF$9:$AIM$41,START!$C$3,6)*INDEX('DEFAULT DATA'!$WC$9:$WI$41,START!$C$3,6)/1000000</f>
        <v>38.991918420000005</v>
      </c>
      <c r="AN161" s="123">
        <f>AN$133*INDEX('DEFAULT DATA'!$AIF$9:$AIM$41,START!$C$3,6)*INDEX('DEFAULT DATA'!$WC$9:$WI$41,START!$C$3,6)/1000000</f>
        <v>38.991918420000005</v>
      </c>
      <c r="AO161" s="123">
        <f>AO$133*INDEX('DEFAULT DATA'!$AIF$9:$AIM$41,START!$C$3,6)*INDEX('DEFAULT DATA'!$WC$9:$WI$41,START!$C$3,6)/1000000</f>
        <v>38.991918420000005</v>
      </c>
      <c r="AP161" s="123">
        <f>AP$133*INDEX('DEFAULT DATA'!$AIF$9:$AIM$41,START!$C$3,6)*INDEX('DEFAULT DATA'!$WC$9:$WI$41,START!$C$3,6)/1000000</f>
        <v>38.991918420000005</v>
      </c>
      <c r="AQ161" s="123">
        <f>AQ$133*INDEX('DEFAULT DATA'!$AIF$9:$AIM$41,START!$C$3,6)*INDEX('DEFAULT DATA'!$WC$9:$WI$41,START!$C$3,6)/1000000</f>
        <v>38.991918420000005</v>
      </c>
      <c r="AR161" s="123">
        <f>AR$133*INDEX('DEFAULT DATA'!$AIF$9:$AIM$41,START!$C$3,6)*INDEX('DEFAULT DATA'!$WC$9:$WI$41,START!$C$3,6)/1000000</f>
        <v>38.991918420000005</v>
      </c>
      <c r="AS161" s="123">
        <f>AS$133*INDEX('DEFAULT DATA'!$AIF$9:$AIM$41,START!$C$3,6)*INDEX('DEFAULT DATA'!$WC$9:$WI$41,START!$C$3,6)/1000000</f>
        <v>38.991918420000005</v>
      </c>
      <c r="AT161" s="123">
        <f>AT$133*INDEX('DEFAULT DATA'!$AIF$9:$AIM$41,START!$C$3,6)*INDEX('DEFAULT DATA'!$WC$9:$WI$41,START!$C$3,6)/1000000</f>
        <v>38.991918420000005</v>
      </c>
      <c r="AU161" s="123">
        <f>AU$133*INDEX('DEFAULT DATA'!$AIF$9:$AIM$41,START!$C$3,6)*INDEX('DEFAULT DATA'!$WC$9:$WI$41,START!$C$3,6)/1000000</f>
        <v>38.991918420000005</v>
      </c>
      <c r="AV161" s="123">
        <f>AV$133*INDEX('DEFAULT DATA'!$AIF$9:$AIM$41,START!$C$3,6)*INDEX('DEFAULT DATA'!$WC$9:$WI$41,START!$C$3,6)/1000000</f>
        <v>38.991918420000005</v>
      </c>
      <c r="AW161" s="123">
        <f>AW$133*INDEX('DEFAULT DATA'!$AIF$9:$AIM$41,START!$C$3,6)*INDEX('DEFAULT DATA'!$WC$9:$WI$41,START!$C$3,6)/1000000</f>
        <v>38.991918420000005</v>
      </c>
      <c r="AX161" s="123">
        <f>AX$133*INDEX('DEFAULT DATA'!$AIF$9:$AIM$41,START!$C$3,6)*INDEX('DEFAULT DATA'!$WC$9:$WI$41,START!$C$3,6)/1000000</f>
        <v>38.991918420000005</v>
      </c>
      <c r="AY161" s="123">
        <f>AY$133*INDEX('DEFAULT DATA'!$AIF$9:$AIM$41,START!$C$3,6)*INDEX('DEFAULT DATA'!$WC$9:$WI$41,START!$C$3,6)/1000000</f>
        <v>38.991918420000005</v>
      </c>
      <c r="AZ161" s="123">
        <f>AZ$133*INDEX('DEFAULT DATA'!$AIF$9:$AIM$41,START!$C$3,6)*INDEX('DEFAULT DATA'!$WC$9:$WI$41,START!$C$3,6)/1000000</f>
        <v>38.991918420000005</v>
      </c>
      <c r="BA161" s="123">
        <f>BA$133*INDEX('DEFAULT DATA'!$AIF$9:$AIM$41,START!$C$3,6)*INDEX('DEFAULT DATA'!$WC$9:$WI$41,START!$C$3,6)/1000000</f>
        <v>38.991918420000005</v>
      </c>
      <c r="BB161" s="123">
        <f>BB$133*INDEX('DEFAULT DATA'!$AIF$9:$AIM$41,START!$C$3,6)*INDEX('DEFAULT DATA'!$WC$9:$WI$41,START!$C$3,6)/1000000</f>
        <v>38.991918420000005</v>
      </c>
      <c r="BC161" s="123">
        <f>BC$133*INDEX('DEFAULT DATA'!$AIF$9:$AIM$41,START!$C$3,6)*INDEX('DEFAULT DATA'!$WC$9:$WI$41,START!$C$3,6)/1000000</f>
        <v>38.991918420000005</v>
      </c>
      <c r="BD161" s="123">
        <f>BD$133*INDEX('DEFAULT DATA'!$AIF$9:$AIM$41,START!$C$3,6)*INDEX('DEFAULT DATA'!$WC$9:$WI$41,START!$C$3,6)/1000000</f>
        <v>38.991918420000005</v>
      </c>
      <c r="BE161" s="123">
        <f>BE$133*INDEX('DEFAULT DATA'!$AIF$9:$AIM$41,START!$C$3,6)*INDEX('DEFAULT DATA'!$WC$9:$WI$41,START!$C$3,6)/1000000</f>
        <v>38.991918420000005</v>
      </c>
      <c r="BF161" s="123">
        <f>BF$133*INDEX('DEFAULT DATA'!$AIF$9:$AIM$41,START!$C$3,6)*INDEX('DEFAULT DATA'!$WC$9:$WI$41,START!$C$3,6)/1000000</f>
        <v>38.991918420000005</v>
      </c>
      <c r="BG161" s="123">
        <f>BG$133*INDEX('DEFAULT DATA'!$AIF$9:$AIM$41,START!$C$3,6)*INDEX('DEFAULT DATA'!$WC$9:$WI$41,START!$C$3,6)/1000000</f>
        <v>38.991918420000005</v>
      </c>
      <c r="BH161" s="123">
        <f>BH$133*INDEX('DEFAULT DATA'!$AIF$9:$AIM$41,START!$C$3,6)*INDEX('DEFAULT DATA'!$WC$9:$WI$41,START!$C$3,6)/1000000</f>
        <v>38.991918420000005</v>
      </c>
      <c r="BI161" s="123">
        <f>BI$133*INDEX('DEFAULT DATA'!$AIF$9:$AIM$41,START!$C$3,6)*INDEX('DEFAULT DATA'!$WC$9:$WI$41,START!$C$3,6)/1000000</f>
        <v>38.991918420000005</v>
      </c>
      <c r="BJ161" s="123">
        <f>BJ$133*INDEX('DEFAULT DATA'!$AIF$9:$AIM$41,START!$C$3,6)*INDEX('DEFAULT DATA'!$WC$9:$WI$41,START!$C$3,6)/1000000</f>
        <v>38.991918420000005</v>
      </c>
      <c r="BK161" s="123">
        <f>BK$133*INDEX('DEFAULT DATA'!$AIF$9:$AIM$41,START!$C$3,6)*INDEX('DEFAULT DATA'!$WC$9:$WI$41,START!$C$3,6)/1000000</f>
        <v>38.991918420000005</v>
      </c>
      <c r="BL161" s="123">
        <f>BL$133*INDEX('DEFAULT DATA'!$AIF$9:$AIM$41,START!$C$3,6)*INDEX('DEFAULT DATA'!$WC$9:$WI$41,START!$C$3,6)/1000000</f>
        <v>38.991918420000005</v>
      </c>
      <c r="BM161" s="123">
        <f>BM$133*INDEX('DEFAULT DATA'!$AIF$9:$AIM$41,START!$C$3,6)*INDEX('DEFAULT DATA'!$WC$9:$WI$41,START!$C$3,6)/1000000</f>
        <v>38.991918420000005</v>
      </c>
      <c r="BN161" s="123">
        <f>BN$133*INDEX('DEFAULT DATA'!$AIF$9:$AIM$41,START!$C$3,6)*INDEX('DEFAULT DATA'!$WC$9:$WI$41,START!$C$3,6)/1000000</f>
        <v>38.991918420000005</v>
      </c>
      <c r="BP161" s="375" t="str">
        <f t="shared" si="67"/>
        <v>Wood</v>
      </c>
      <c r="BQ161" s="376" t="s">
        <v>1460</v>
      </c>
      <c r="BR161" s="377"/>
      <c r="BS161" s="377"/>
      <c r="BT161" s="377"/>
      <c r="BU161" s="377"/>
      <c r="BV161" s="377"/>
      <c r="BW161" s="377"/>
      <c r="BX161" s="377"/>
      <c r="BY161" s="377"/>
      <c r="BZ161" s="377"/>
      <c r="CA161" s="377"/>
      <c r="CB161" s="377"/>
      <c r="CC161" s="377"/>
      <c r="CD161" s="377"/>
      <c r="CE161" s="377"/>
      <c r="CF161" s="377"/>
      <c r="CG161" s="378"/>
      <c r="CH161" s="374" t="s">
        <v>1414</v>
      </c>
      <c r="CI161" s="374" t="s">
        <v>1250</v>
      </c>
    </row>
    <row r="162" spans="1:87" ht="20.100000000000001" customHeight="1">
      <c r="A162" s="27"/>
      <c r="B162" s="21"/>
      <c r="C162" s="21"/>
      <c r="D162" s="21"/>
      <c r="E162" s="21"/>
      <c r="F162" s="21"/>
      <c r="G162" s="21"/>
      <c r="H162" s="21"/>
      <c r="I162" s="21"/>
      <c r="J162" s="21"/>
      <c r="K162" s="28"/>
      <c r="L162" s="16"/>
      <c r="M162" s="627"/>
      <c r="N162" s="630"/>
      <c r="O162" s="630"/>
      <c r="P162" s="630"/>
      <c r="Q162" s="630"/>
      <c r="R162" s="630"/>
      <c r="S162" s="630"/>
      <c r="T162" s="630"/>
      <c r="U162" s="630"/>
      <c r="V162" s="630"/>
      <c r="W162" s="630"/>
      <c r="X162" s="630"/>
      <c r="Y162" s="630"/>
      <c r="Z162" s="630"/>
      <c r="AA162" s="630"/>
      <c r="AB162" s="630"/>
      <c r="AC162" s="630"/>
      <c r="AD162" s="630"/>
      <c r="AE162" s="630"/>
      <c r="AF162" s="1557"/>
      <c r="AG162" s="339" t="s">
        <v>867</v>
      </c>
      <c r="AH162" s="317"/>
      <c r="AI162" s="317"/>
      <c r="AJ162" s="318"/>
      <c r="AK162" s="115">
        <v>0</v>
      </c>
      <c r="AL162" s="123">
        <f>AL$133*INDEX('DEFAULT DATA'!$AIF$9:$AIM$41,START!$C$3,7)*INDEX('DEFAULT DATA'!$WC$9:$WI$41,START!$C$3,7)/1000000</f>
        <v>0</v>
      </c>
      <c r="AM162" s="123">
        <f>AM$133*INDEX('DEFAULT DATA'!$AIF$9:$AIM$41,START!$C$3,7)*INDEX('DEFAULT DATA'!$WC$9:$WI$41,START!$C$3,7)/1000000</f>
        <v>0</v>
      </c>
      <c r="AN162" s="123">
        <f>AN$133*INDEX('DEFAULT DATA'!$AIF$9:$AIM$41,START!$C$3,7)*INDEX('DEFAULT DATA'!$WC$9:$WI$41,START!$C$3,7)/1000000</f>
        <v>0</v>
      </c>
      <c r="AO162" s="123">
        <f>AO$133*INDEX('DEFAULT DATA'!$AIF$9:$AIM$41,START!$C$3,7)*INDEX('DEFAULT DATA'!$WC$9:$WI$41,START!$C$3,7)/1000000</f>
        <v>0</v>
      </c>
      <c r="AP162" s="123">
        <f>AP$133*INDEX('DEFAULT DATA'!$AIF$9:$AIM$41,START!$C$3,7)*INDEX('DEFAULT DATA'!$WC$9:$WI$41,START!$C$3,7)/1000000</f>
        <v>0</v>
      </c>
      <c r="AQ162" s="123">
        <f>AQ$133*INDEX('DEFAULT DATA'!$AIF$9:$AIM$41,START!$C$3,7)*INDEX('DEFAULT DATA'!$WC$9:$WI$41,START!$C$3,7)/1000000</f>
        <v>0</v>
      </c>
      <c r="AR162" s="123">
        <f>AR$133*INDEX('DEFAULT DATA'!$AIF$9:$AIM$41,START!$C$3,7)*INDEX('DEFAULT DATA'!$WC$9:$WI$41,START!$C$3,7)/1000000</f>
        <v>0</v>
      </c>
      <c r="AS162" s="123">
        <f>AS$133*INDEX('DEFAULT DATA'!$AIF$9:$AIM$41,START!$C$3,7)*INDEX('DEFAULT DATA'!$WC$9:$WI$41,START!$C$3,7)/1000000</f>
        <v>0</v>
      </c>
      <c r="AT162" s="123">
        <f>AT$133*INDEX('DEFAULT DATA'!$AIF$9:$AIM$41,START!$C$3,7)*INDEX('DEFAULT DATA'!$WC$9:$WI$41,START!$C$3,7)/1000000</f>
        <v>0</v>
      </c>
      <c r="AU162" s="123">
        <f>AU$133*INDEX('DEFAULT DATA'!$AIF$9:$AIM$41,START!$C$3,7)*INDEX('DEFAULT DATA'!$WC$9:$WI$41,START!$C$3,7)/1000000</f>
        <v>0</v>
      </c>
      <c r="AV162" s="123">
        <f>AV$133*INDEX('DEFAULT DATA'!$AIF$9:$AIM$41,START!$C$3,7)*INDEX('DEFAULT DATA'!$WC$9:$WI$41,START!$C$3,7)/1000000</f>
        <v>0</v>
      </c>
      <c r="AW162" s="123">
        <f>AW$133*INDEX('DEFAULT DATA'!$AIF$9:$AIM$41,START!$C$3,7)*INDEX('DEFAULT DATA'!$WC$9:$WI$41,START!$C$3,7)/1000000</f>
        <v>0</v>
      </c>
      <c r="AX162" s="123">
        <f>AX$133*INDEX('DEFAULT DATA'!$AIF$9:$AIM$41,START!$C$3,7)*INDEX('DEFAULT DATA'!$WC$9:$WI$41,START!$C$3,7)/1000000</f>
        <v>0</v>
      </c>
      <c r="AY162" s="123">
        <f>AY$133*INDEX('DEFAULT DATA'!$AIF$9:$AIM$41,START!$C$3,7)*INDEX('DEFAULT DATA'!$WC$9:$WI$41,START!$C$3,7)/1000000</f>
        <v>0</v>
      </c>
      <c r="AZ162" s="123">
        <f>AZ$133*INDEX('DEFAULT DATA'!$AIF$9:$AIM$41,START!$C$3,7)*INDEX('DEFAULT DATA'!$WC$9:$WI$41,START!$C$3,7)/1000000</f>
        <v>0</v>
      </c>
      <c r="BA162" s="123">
        <f>BA$133*INDEX('DEFAULT DATA'!$AIF$9:$AIM$41,START!$C$3,7)*INDEX('DEFAULT DATA'!$WC$9:$WI$41,START!$C$3,7)/1000000</f>
        <v>0</v>
      </c>
      <c r="BB162" s="123">
        <f>BB$133*INDEX('DEFAULT DATA'!$AIF$9:$AIM$41,START!$C$3,7)*INDEX('DEFAULT DATA'!$WC$9:$WI$41,START!$C$3,7)/1000000</f>
        <v>0</v>
      </c>
      <c r="BC162" s="123">
        <f>BC$133*INDEX('DEFAULT DATA'!$AIF$9:$AIM$41,START!$C$3,7)*INDEX('DEFAULT DATA'!$WC$9:$WI$41,START!$C$3,7)/1000000</f>
        <v>0</v>
      </c>
      <c r="BD162" s="123">
        <f>BD$133*INDEX('DEFAULT DATA'!$AIF$9:$AIM$41,START!$C$3,7)*INDEX('DEFAULT DATA'!$WC$9:$WI$41,START!$C$3,7)/1000000</f>
        <v>0</v>
      </c>
      <c r="BE162" s="123">
        <f>BE$133*INDEX('DEFAULT DATA'!$AIF$9:$AIM$41,START!$C$3,7)*INDEX('DEFAULT DATA'!$WC$9:$WI$41,START!$C$3,7)/1000000</f>
        <v>0</v>
      </c>
      <c r="BF162" s="123">
        <f>BF$133*INDEX('DEFAULT DATA'!$AIF$9:$AIM$41,START!$C$3,7)*INDEX('DEFAULT DATA'!$WC$9:$WI$41,START!$C$3,7)/1000000</f>
        <v>0</v>
      </c>
      <c r="BG162" s="123">
        <f>BG$133*INDEX('DEFAULT DATA'!$AIF$9:$AIM$41,START!$C$3,7)*INDEX('DEFAULT DATA'!$WC$9:$WI$41,START!$C$3,7)/1000000</f>
        <v>0</v>
      </c>
      <c r="BH162" s="123">
        <f>BH$133*INDEX('DEFAULT DATA'!$AIF$9:$AIM$41,START!$C$3,7)*INDEX('DEFAULT DATA'!$WC$9:$WI$41,START!$C$3,7)/1000000</f>
        <v>0</v>
      </c>
      <c r="BI162" s="123">
        <f>BI$133*INDEX('DEFAULT DATA'!$AIF$9:$AIM$41,START!$C$3,7)*INDEX('DEFAULT DATA'!$WC$9:$WI$41,START!$C$3,7)/1000000</f>
        <v>0</v>
      </c>
      <c r="BJ162" s="123">
        <f>BJ$133*INDEX('DEFAULT DATA'!$AIF$9:$AIM$41,START!$C$3,7)*INDEX('DEFAULT DATA'!$WC$9:$WI$41,START!$C$3,7)/1000000</f>
        <v>0</v>
      </c>
      <c r="BK162" s="123">
        <f>BK$133*INDEX('DEFAULT DATA'!$AIF$9:$AIM$41,START!$C$3,7)*INDEX('DEFAULT DATA'!$WC$9:$WI$41,START!$C$3,7)/1000000</f>
        <v>0</v>
      </c>
      <c r="BL162" s="123">
        <f>BL$133*INDEX('DEFAULT DATA'!$AIF$9:$AIM$41,START!$C$3,7)*INDEX('DEFAULT DATA'!$WC$9:$WI$41,START!$C$3,7)/1000000</f>
        <v>0</v>
      </c>
      <c r="BM162" s="123">
        <f>BM$133*INDEX('DEFAULT DATA'!$AIF$9:$AIM$41,START!$C$3,7)*INDEX('DEFAULT DATA'!$WC$9:$WI$41,START!$C$3,7)/1000000</f>
        <v>0</v>
      </c>
      <c r="BN162" s="123">
        <f>BN$133*INDEX('DEFAULT DATA'!$AIF$9:$AIM$41,START!$C$3,7)*INDEX('DEFAULT DATA'!$WC$9:$WI$41,START!$C$3,7)/1000000</f>
        <v>0</v>
      </c>
      <c r="BP162" s="375" t="str">
        <f t="shared" si="67"/>
        <v>Renewable</v>
      </c>
      <c r="BQ162" s="376" t="s">
        <v>1461</v>
      </c>
      <c r="BR162" s="377"/>
      <c r="BS162" s="377"/>
      <c r="BT162" s="377"/>
      <c r="BU162" s="377"/>
      <c r="BV162" s="377"/>
      <c r="BW162" s="377"/>
      <c r="BX162" s="377"/>
      <c r="BY162" s="377"/>
      <c r="BZ162" s="377"/>
      <c r="CA162" s="377"/>
      <c r="CB162" s="377"/>
      <c r="CC162" s="377"/>
      <c r="CD162" s="377"/>
      <c r="CE162" s="377"/>
      <c r="CF162" s="377"/>
      <c r="CG162" s="378"/>
      <c r="CH162" s="374" t="s">
        <v>1415</v>
      </c>
      <c r="CI162" s="374" t="s">
        <v>1251</v>
      </c>
    </row>
    <row r="163" spans="1:87" ht="20.100000000000001" customHeight="1" thickBot="1">
      <c r="A163" s="27"/>
      <c r="B163" s="21"/>
      <c r="C163" s="21"/>
      <c r="D163" s="21"/>
      <c r="E163" s="21"/>
      <c r="F163" s="21"/>
      <c r="G163" s="21"/>
      <c r="H163" s="21"/>
      <c r="I163" s="21"/>
      <c r="J163" s="21"/>
      <c r="K163" s="28"/>
      <c r="AF163" s="1558"/>
      <c r="AG163" s="329" t="s">
        <v>868</v>
      </c>
      <c r="AH163" s="330"/>
      <c r="AI163" s="330"/>
      <c r="AJ163" s="175"/>
      <c r="AK163" s="170">
        <v>0</v>
      </c>
      <c r="AL163" s="160">
        <f>AL$133*INDEX('DEFAULT DATA'!$AIF$9:$AIM$41,START!$C$3,8)*BUILDINGS!AL6/1000000</f>
        <v>0.49761486992618525</v>
      </c>
      <c r="AM163" s="160">
        <f>AM$133*INDEX('DEFAULT DATA'!$AIF$9:$AIM$41,START!$C$3,8)*BUILDINGS!AM6/1000000</f>
        <v>0.49761486992618525</v>
      </c>
      <c r="AN163" s="160">
        <f>AN$133*INDEX('DEFAULT DATA'!$AIF$9:$AIM$41,START!$C$3,8)*BUILDINGS!AN6/1000000</f>
        <v>0.49761486992618525</v>
      </c>
      <c r="AO163" s="160">
        <f>AO$133*INDEX('DEFAULT DATA'!$AIF$9:$AIM$41,START!$C$3,8)*BUILDINGS!AO6/1000000</f>
        <v>0.49761486992618525</v>
      </c>
      <c r="AP163" s="160">
        <f>AP$133*INDEX('DEFAULT DATA'!$AIF$9:$AIM$41,START!$C$3,8)*BUILDINGS!AP6/1000000</f>
        <v>0.49761486992618525</v>
      </c>
      <c r="AQ163" s="160">
        <f>AQ$133*INDEX('DEFAULT DATA'!$AIF$9:$AIM$41,START!$C$3,8)*BUILDINGS!AQ6/1000000</f>
        <v>0.49761486992618525</v>
      </c>
      <c r="AR163" s="160">
        <f>AR$133*INDEX('DEFAULT DATA'!$AIF$9:$AIM$41,START!$C$3,8)*BUILDINGS!AR6/1000000</f>
        <v>0.49761486992618525</v>
      </c>
      <c r="AS163" s="160">
        <f>AS$133*INDEX('DEFAULT DATA'!$AIF$9:$AIM$41,START!$C$3,8)*BUILDINGS!AS6/1000000</f>
        <v>0.49761486992618525</v>
      </c>
      <c r="AT163" s="160">
        <f>AT$133*INDEX('DEFAULT DATA'!$AIF$9:$AIM$41,START!$C$3,8)*BUILDINGS!AT6/1000000</f>
        <v>0.49761486992618525</v>
      </c>
      <c r="AU163" s="160">
        <f>AU$133*INDEX('DEFAULT DATA'!$AIF$9:$AIM$41,START!$C$3,8)*BUILDINGS!AU6/1000000</f>
        <v>0.49761486992618525</v>
      </c>
      <c r="AV163" s="160">
        <f>AV$133*INDEX('DEFAULT DATA'!$AIF$9:$AIM$41,START!$C$3,8)*BUILDINGS!AV6/1000000</f>
        <v>0.49761486992618525</v>
      </c>
      <c r="AW163" s="160">
        <f>AW$133*INDEX('DEFAULT DATA'!$AIF$9:$AIM$41,START!$C$3,8)*BUILDINGS!AW6/1000000</f>
        <v>0.49761486992618525</v>
      </c>
      <c r="AX163" s="160">
        <f>AX$133*INDEX('DEFAULT DATA'!$AIF$9:$AIM$41,START!$C$3,8)*BUILDINGS!AX6/1000000</f>
        <v>0.49761486992618525</v>
      </c>
      <c r="AY163" s="160">
        <f>AY$133*INDEX('DEFAULT DATA'!$AIF$9:$AIM$41,START!$C$3,8)*BUILDINGS!AY6/1000000</f>
        <v>0.49761486992618525</v>
      </c>
      <c r="AZ163" s="160">
        <f>AZ$133*INDEX('DEFAULT DATA'!$AIF$9:$AIM$41,START!$C$3,8)*BUILDINGS!AZ6/1000000</f>
        <v>0.49761486992618525</v>
      </c>
      <c r="BA163" s="160">
        <f>BA$133*INDEX('DEFAULT DATA'!$AIF$9:$AIM$41,START!$C$3,8)*BUILDINGS!BA6/1000000</f>
        <v>0.49761486992618525</v>
      </c>
      <c r="BB163" s="160">
        <f>BB$133*INDEX('DEFAULT DATA'!$AIF$9:$AIM$41,START!$C$3,8)*BUILDINGS!BB6/1000000</f>
        <v>0.49761486992618525</v>
      </c>
      <c r="BC163" s="160">
        <f>BC$133*INDEX('DEFAULT DATA'!$AIF$9:$AIM$41,START!$C$3,8)*BUILDINGS!BC6/1000000</f>
        <v>0.49761486992618525</v>
      </c>
      <c r="BD163" s="160">
        <f>BD$133*INDEX('DEFAULT DATA'!$AIF$9:$AIM$41,START!$C$3,8)*BUILDINGS!BD6/1000000</f>
        <v>0.49761486992618525</v>
      </c>
      <c r="BE163" s="160">
        <f>BE$133*INDEX('DEFAULT DATA'!$AIF$9:$AIM$41,START!$C$3,8)*BUILDINGS!BE6/1000000</f>
        <v>0.49761486992618525</v>
      </c>
      <c r="BF163" s="160">
        <f>BF$133*INDEX('DEFAULT DATA'!$AIF$9:$AIM$41,START!$C$3,8)*BUILDINGS!BF6/1000000</f>
        <v>0.49761486992618525</v>
      </c>
      <c r="BG163" s="160">
        <f>BG$133*INDEX('DEFAULT DATA'!$AIF$9:$AIM$41,START!$C$3,8)*BUILDINGS!BG6/1000000</f>
        <v>0.49761486992618525</v>
      </c>
      <c r="BH163" s="160">
        <f>BH$133*INDEX('DEFAULT DATA'!$AIF$9:$AIM$41,START!$C$3,8)*BUILDINGS!BH6/1000000</f>
        <v>0.49761486992618525</v>
      </c>
      <c r="BI163" s="160">
        <f>BI$133*INDEX('DEFAULT DATA'!$AIF$9:$AIM$41,START!$C$3,8)*BUILDINGS!BI6/1000000</f>
        <v>0.49761486992618525</v>
      </c>
      <c r="BJ163" s="160">
        <f>BJ$133*INDEX('DEFAULT DATA'!$AIF$9:$AIM$41,START!$C$3,8)*BUILDINGS!BJ6/1000000</f>
        <v>0.49761486992618525</v>
      </c>
      <c r="BK163" s="160">
        <f>BK$133*INDEX('DEFAULT DATA'!$AIF$9:$AIM$41,START!$C$3,8)*BUILDINGS!BK6/1000000</f>
        <v>0.49761486992618525</v>
      </c>
      <c r="BL163" s="160">
        <f>BL$133*INDEX('DEFAULT DATA'!$AIF$9:$AIM$41,START!$C$3,8)*BUILDINGS!BL6/1000000</f>
        <v>0.49761486992618525</v>
      </c>
      <c r="BM163" s="160">
        <f>BM$133*INDEX('DEFAULT DATA'!$AIF$9:$AIM$41,START!$C$3,8)*BUILDINGS!BM6/1000000</f>
        <v>0.49761486992618525</v>
      </c>
      <c r="BN163" s="160">
        <f>BN$133*INDEX('DEFAULT DATA'!$AIF$9:$AIM$41,START!$C$3,8)*BUILDINGS!BN6/1000000</f>
        <v>0.49761486992618525</v>
      </c>
      <c r="BP163" s="379" t="str">
        <f t="shared" si="67"/>
        <v>Heat</v>
      </c>
      <c r="BQ163" s="380" t="s">
        <v>1462</v>
      </c>
      <c r="BR163" s="381"/>
      <c r="BS163" s="381"/>
      <c r="BT163" s="381"/>
      <c r="BU163" s="381"/>
      <c r="BV163" s="381"/>
      <c r="BW163" s="381"/>
      <c r="BX163" s="381"/>
      <c r="BY163" s="381"/>
      <c r="BZ163" s="381"/>
      <c r="CA163" s="381"/>
      <c r="CB163" s="381"/>
      <c r="CC163" s="381"/>
      <c r="CD163" s="381"/>
      <c r="CE163" s="381"/>
      <c r="CF163" s="381"/>
      <c r="CG163" s="382"/>
      <c r="CH163" s="374" t="s">
        <v>1416</v>
      </c>
      <c r="CI163" s="374" t="s">
        <v>1252</v>
      </c>
    </row>
    <row r="164" spans="1:87" ht="20.100000000000001" customHeight="1">
      <c r="A164" s="27"/>
      <c r="B164" s="21"/>
      <c r="C164" s="21"/>
      <c r="D164" s="21"/>
      <c r="E164" s="21"/>
      <c r="F164" s="21"/>
      <c r="G164" s="21"/>
      <c r="H164" s="21"/>
      <c r="I164" s="21"/>
      <c r="J164" s="21"/>
      <c r="K164" s="28"/>
      <c r="L164" s="16"/>
      <c r="M164" s="627"/>
      <c r="N164" s="630"/>
      <c r="O164" s="630"/>
      <c r="P164" s="630"/>
      <c r="Q164" s="630"/>
      <c r="R164" s="630"/>
      <c r="S164" s="630"/>
      <c r="T164" s="630"/>
      <c r="U164" s="630"/>
      <c r="V164" s="630"/>
      <c r="W164" s="630"/>
      <c r="X164" s="630"/>
      <c r="Y164" s="630"/>
      <c r="Z164" s="630"/>
      <c r="AA164" s="630"/>
      <c r="AB164" s="630"/>
      <c r="AC164" s="630"/>
      <c r="AD164" s="630"/>
      <c r="AE164" s="630"/>
      <c r="AF164" s="167"/>
      <c r="AG164" s="336" t="s">
        <v>211</v>
      </c>
      <c r="AH164" s="337"/>
      <c r="AI164" s="337"/>
      <c r="AJ164" s="338"/>
      <c r="AK164" s="328">
        <f>SUM(AK156:AK163)</f>
        <v>0</v>
      </c>
      <c r="AL164" s="162">
        <f t="shared" ref="AL164" si="68">SUM(AL156:AL163)</f>
        <v>4974.1817648662272</v>
      </c>
      <c r="AM164" s="162">
        <f t="shared" ref="AM164:BN164" si="69">SUM(AM156:AM163)</f>
        <v>4634.5206783861495</v>
      </c>
      <c r="AN164" s="162">
        <f t="shared" si="69"/>
        <v>4320.6738344785563</v>
      </c>
      <c r="AO164" s="162">
        <f t="shared" si="69"/>
        <v>4030.6793507079401</v>
      </c>
      <c r="AP164" s="162">
        <f t="shared" si="69"/>
        <v>3762.7244477038912</v>
      </c>
      <c r="AQ164" s="162">
        <f t="shared" si="69"/>
        <v>3515.1341173281498</v>
      </c>
      <c r="AR164" s="162">
        <f t="shared" si="69"/>
        <v>3286.3606520609646</v>
      </c>
      <c r="AS164" s="162">
        <f t="shared" si="69"/>
        <v>3074.9739701540857</v>
      </c>
      <c r="AT164" s="162">
        <f t="shared" si="69"/>
        <v>2879.6526760721299</v>
      </c>
      <c r="AU164" s="162">
        <f t="shared" si="69"/>
        <v>2725.2974534068371</v>
      </c>
      <c r="AV164" s="162">
        <f t="shared" si="69"/>
        <v>2580.9753202147876</v>
      </c>
      <c r="AW164" s="162">
        <f t="shared" si="69"/>
        <v>2446.0341256802221</v>
      </c>
      <c r="AX164" s="162">
        <f t="shared" si="69"/>
        <v>2319.8641087904025</v>
      </c>
      <c r="AY164" s="162">
        <f t="shared" si="69"/>
        <v>2201.8951429984218</v>
      </c>
      <c r="AZ164" s="162">
        <f t="shared" si="69"/>
        <v>2091.5941599829198</v>
      </c>
      <c r="BA164" s="162">
        <f t="shared" si="69"/>
        <v>1988.4627408634258</v>
      </c>
      <c r="BB164" s="162">
        <f t="shared" si="69"/>
        <v>1892.0348639866984</v>
      </c>
      <c r="BC164" s="162">
        <f t="shared" si="69"/>
        <v>1801.8747991069583</v>
      </c>
      <c r="BD164" s="162">
        <f t="shared" si="69"/>
        <v>1717.5751384444015</v>
      </c>
      <c r="BE164" s="162">
        <f t="shared" si="69"/>
        <v>1638.7549557249106</v>
      </c>
      <c r="BF164" s="162">
        <f t="shared" si="69"/>
        <v>1565.0580848821867</v>
      </c>
      <c r="BG164" s="162">
        <f t="shared" si="69"/>
        <v>1496.1515106442398</v>
      </c>
      <c r="BH164" s="162">
        <f t="shared" si="69"/>
        <v>1431.7238637317596</v>
      </c>
      <c r="BI164" s="162">
        <f t="shared" si="69"/>
        <v>1371.4840138685904</v>
      </c>
      <c r="BJ164" s="162">
        <f t="shared" si="69"/>
        <v>1315.1597542465272</v>
      </c>
      <c r="BK164" s="162">
        <f t="shared" si="69"/>
        <v>1262.4965714998982</v>
      </c>
      <c r="BL164" s="162">
        <f t="shared" si="69"/>
        <v>1213.2564956318001</v>
      </c>
      <c r="BM164" s="162">
        <f t="shared" si="69"/>
        <v>1167.2170246951284</v>
      </c>
      <c r="BN164" s="162">
        <f t="shared" si="69"/>
        <v>1124.1701193693402</v>
      </c>
      <c r="BQ164" s="6"/>
    </row>
    <row r="165" spans="1:87" ht="20.100000000000001" customHeight="1">
      <c r="A165" s="27"/>
      <c r="B165" s="21"/>
      <c r="C165" s="21"/>
      <c r="D165" s="21"/>
      <c r="E165" s="21"/>
      <c r="F165" s="21"/>
      <c r="G165" s="21"/>
      <c r="H165" s="21"/>
      <c r="I165" s="21"/>
      <c r="J165" s="21"/>
      <c r="K165" s="28"/>
      <c r="L165" s="16"/>
      <c r="M165" s="627"/>
      <c r="N165" s="630"/>
      <c r="O165" s="630"/>
      <c r="P165" s="630"/>
      <c r="Q165" s="630"/>
      <c r="R165" s="630"/>
      <c r="S165" s="630"/>
      <c r="T165" s="630"/>
      <c r="U165" s="630"/>
      <c r="V165" s="630"/>
      <c r="W165" s="630"/>
      <c r="X165" s="630"/>
      <c r="Y165" s="630"/>
      <c r="Z165" s="630"/>
      <c r="AA165" s="630"/>
      <c r="AB165" s="630"/>
      <c r="AC165" s="630"/>
      <c r="AD165" s="630"/>
      <c r="AE165" s="630"/>
      <c r="BQ165" s="6"/>
    </row>
    <row r="166" spans="1:87" ht="20.100000000000001" customHeight="1">
      <c r="A166" s="15"/>
      <c r="B166" s="21"/>
      <c r="C166" s="21"/>
      <c r="D166" s="21"/>
      <c r="E166" s="21"/>
      <c r="F166" s="21"/>
      <c r="G166" s="65"/>
      <c r="H166" s="65"/>
      <c r="I166" s="65"/>
      <c r="J166" s="65"/>
      <c r="K166" s="28"/>
      <c r="L166" s="16"/>
      <c r="M166" s="627"/>
      <c r="N166" s="630"/>
      <c r="O166" s="630"/>
      <c r="P166" s="630"/>
      <c r="Q166" s="630"/>
      <c r="R166" s="630"/>
      <c r="S166" s="630"/>
      <c r="T166" s="630"/>
      <c r="U166" s="630"/>
      <c r="V166" s="630"/>
      <c r="W166" s="630"/>
      <c r="X166" s="630"/>
      <c r="Y166" s="630"/>
      <c r="Z166" s="630"/>
      <c r="AA166" s="630"/>
      <c r="AB166" s="630"/>
      <c r="AC166" s="630"/>
      <c r="AD166" s="630"/>
      <c r="AE166" s="630"/>
      <c r="BQ166" s="6"/>
      <c r="CH166" s="1610" t="s">
        <v>1393</v>
      </c>
      <c r="CI166" s="225"/>
    </row>
    <row r="167" spans="1:87" ht="20.100000000000001" customHeight="1">
      <c r="A167" s="27"/>
      <c r="B167" s="21"/>
      <c r="C167" s="21"/>
      <c r="D167" s="21"/>
      <c r="E167" s="21"/>
      <c r="F167" s="21"/>
      <c r="G167" s="65"/>
      <c r="H167" s="65"/>
      <c r="I167" s="65"/>
      <c r="J167" s="65"/>
      <c r="K167" s="28"/>
      <c r="L167" s="16"/>
      <c r="M167" s="627"/>
      <c r="N167" s="630"/>
      <c r="O167" s="630"/>
      <c r="P167" s="630"/>
      <c r="Q167" s="630"/>
      <c r="R167" s="630"/>
      <c r="S167" s="630"/>
      <c r="T167" s="630"/>
      <c r="U167" s="630"/>
      <c r="V167" s="630"/>
      <c r="W167" s="630"/>
      <c r="X167" s="630"/>
      <c r="Y167" s="630"/>
      <c r="Z167" s="630"/>
      <c r="AA167" s="630"/>
      <c r="AB167" s="630"/>
      <c r="AC167" s="630"/>
      <c r="AD167" s="630"/>
      <c r="AE167" s="630"/>
      <c r="AF167" s="122" t="s">
        <v>1035</v>
      </c>
      <c r="BQ167" s="6"/>
      <c r="CH167" s="1610"/>
      <c r="CI167" s="225"/>
    </row>
    <row r="168" spans="1:87" ht="20.100000000000001" customHeight="1">
      <c r="A168" s="27"/>
      <c r="B168" s="21"/>
      <c r="C168" s="21"/>
      <c r="D168" s="21"/>
      <c r="E168" s="21"/>
      <c r="F168" s="21"/>
      <c r="G168" s="65"/>
      <c r="H168" s="65"/>
      <c r="I168" s="65"/>
      <c r="J168" s="65"/>
      <c r="K168" s="28"/>
      <c r="L168" s="16"/>
      <c r="M168" s="627"/>
      <c r="N168" s="630"/>
      <c r="O168" s="630"/>
      <c r="P168" s="630"/>
      <c r="Q168" s="630"/>
      <c r="R168" s="630"/>
      <c r="S168" s="630"/>
      <c r="T168" s="630"/>
      <c r="U168" s="630"/>
      <c r="V168" s="630"/>
      <c r="W168" s="630"/>
      <c r="X168" s="630"/>
      <c r="Y168" s="630"/>
      <c r="Z168" s="630"/>
      <c r="AA168" s="630"/>
      <c r="AB168" s="630"/>
      <c r="AC168" s="630"/>
      <c r="AD168" s="630"/>
      <c r="AE168" s="630"/>
      <c r="AF168" s="120" t="s">
        <v>1009</v>
      </c>
      <c r="AG168" s="339" t="s">
        <v>992</v>
      </c>
      <c r="AH168" s="317"/>
      <c r="AI168" s="317"/>
      <c r="AJ168" s="318"/>
      <c r="AK168" s="115">
        <v>2021</v>
      </c>
      <c r="AL168" s="115">
        <f>AK168+1</f>
        <v>2022</v>
      </c>
      <c r="AM168" s="115">
        <f t="shared" ref="AM168:BN168" si="70">AL168+1</f>
        <v>2023</v>
      </c>
      <c r="AN168" s="115">
        <f t="shared" si="70"/>
        <v>2024</v>
      </c>
      <c r="AO168" s="115">
        <f t="shared" si="70"/>
        <v>2025</v>
      </c>
      <c r="AP168" s="115">
        <f t="shared" si="70"/>
        <v>2026</v>
      </c>
      <c r="AQ168" s="115">
        <f t="shared" si="70"/>
        <v>2027</v>
      </c>
      <c r="AR168" s="115">
        <f t="shared" si="70"/>
        <v>2028</v>
      </c>
      <c r="AS168" s="115">
        <f t="shared" si="70"/>
        <v>2029</v>
      </c>
      <c r="AT168" s="115">
        <f t="shared" si="70"/>
        <v>2030</v>
      </c>
      <c r="AU168" s="115">
        <f t="shared" si="70"/>
        <v>2031</v>
      </c>
      <c r="AV168" s="115">
        <f t="shared" si="70"/>
        <v>2032</v>
      </c>
      <c r="AW168" s="115">
        <f t="shared" si="70"/>
        <v>2033</v>
      </c>
      <c r="AX168" s="115">
        <f t="shared" si="70"/>
        <v>2034</v>
      </c>
      <c r="AY168" s="115">
        <f t="shared" si="70"/>
        <v>2035</v>
      </c>
      <c r="AZ168" s="115">
        <f t="shared" si="70"/>
        <v>2036</v>
      </c>
      <c r="BA168" s="115">
        <f t="shared" si="70"/>
        <v>2037</v>
      </c>
      <c r="BB168" s="115">
        <f t="shared" si="70"/>
        <v>2038</v>
      </c>
      <c r="BC168" s="115">
        <f t="shared" si="70"/>
        <v>2039</v>
      </c>
      <c r="BD168" s="115">
        <f t="shared" si="70"/>
        <v>2040</v>
      </c>
      <c r="BE168" s="115">
        <f t="shared" si="70"/>
        <v>2041</v>
      </c>
      <c r="BF168" s="115">
        <f t="shared" si="70"/>
        <v>2042</v>
      </c>
      <c r="BG168" s="115">
        <f t="shared" si="70"/>
        <v>2043</v>
      </c>
      <c r="BH168" s="115">
        <f t="shared" si="70"/>
        <v>2044</v>
      </c>
      <c r="BI168" s="115">
        <f t="shared" si="70"/>
        <v>2045</v>
      </c>
      <c r="BJ168" s="115">
        <f t="shared" si="70"/>
        <v>2046</v>
      </c>
      <c r="BK168" s="115">
        <f t="shared" si="70"/>
        <v>2047</v>
      </c>
      <c r="BL168" s="115">
        <f t="shared" si="70"/>
        <v>2048</v>
      </c>
      <c r="BM168" s="115">
        <f t="shared" si="70"/>
        <v>2049</v>
      </c>
      <c r="BN168" s="115">
        <f t="shared" si="70"/>
        <v>2050</v>
      </c>
      <c r="BP168" s="6" t="s">
        <v>1406</v>
      </c>
      <c r="BQ168" s="6"/>
      <c r="CH168" s="228" t="s">
        <v>1395</v>
      </c>
      <c r="CI168" s="225" t="s">
        <v>1224</v>
      </c>
    </row>
    <row r="169" spans="1:87" ht="20.100000000000001" customHeight="1">
      <c r="A169" s="27"/>
      <c r="B169" s="21"/>
      <c r="C169" s="21"/>
      <c r="D169" s="21"/>
      <c r="E169" s="21"/>
      <c r="F169" s="21"/>
      <c r="G169" s="91"/>
      <c r="H169" s="91"/>
      <c r="I169" s="91"/>
      <c r="J169" s="91"/>
      <c r="K169" s="28"/>
      <c r="L169" s="16"/>
      <c r="M169" s="627"/>
      <c r="N169" s="630"/>
      <c r="O169" s="630"/>
      <c r="P169" s="630"/>
      <c r="Q169" s="630"/>
      <c r="R169" s="630"/>
      <c r="S169" s="630"/>
      <c r="T169" s="630"/>
      <c r="U169" s="630"/>
      <c r="V169" s="630"/>
      <c r="W169" s="630"/>
      <c r="X169" s="630"/>
      <c r="Y169" s="630"/>
      <c r="Z169" s="630"/>
      <c r="AA169" s="630"/>
      <c r="AB169" s="630"/>
      <c r="AC169" s="630"/>
      <c r="AD169" s="630"/>
      <c r="AE169" s="630"/>
      <c r="AF169" s="1556" t="s">
        <v>872</v>
      </c>
      <c r="AG169" s="339" t="s">
        <v>578</v>
      </c>
      <c r="AH169" s="317"/>
      <c r="AI169" s="317"/>
      <c r="AJ169" s="318"/>
      <c r="AK169" s="81">
        <v>0</v>
      </c>
      <c r="AL169" s="123">
        <f>AL$134*INDEX('DEFAULT DATA'!$AIN$9:$AIU$41,START!$C$3,1)*BUILDINGS!AL5/1000000</f>
        <v>37445.900796624657</v>
      </c>
      <c r="AM169" s="123">
        <f>AM$134*INDEX('DEFAULT DATA'!$AIN$9:$AIU$41,START!$C$3,1)*BUILDINGS!AM5/1000000</f>
        <v>34600.012336081192</v>
      </c>
      <c r="AN169" s="123">
        <f>AN$134*INDEX('DEFAULT DATA'!$AIN$9:$AIU$41,START!$C$3,1)*BUILDINGS!AN5/1000000</f>
        <v>31970.411398539021</v>
      </c>
      <c r="AO169" s="123">
        <f>AO$134*INDEX('DEFAULT DATA'!$AIN$9:$AIU$41,START!$C$3,1)*BUILDINGS!AO5/1000000</f>
        <v>29540.660132250054</v>
      </c>
      <c r="AP169" s="123">
        <f>AP$134*INDEX('DEFAULT DATA'!$AIN$9:$AIU$41,START!$C$3,1)*BUILDINGS!AP5/1000000</f>
        <v>27295.569962199053</v>
      </c>
      <c r="AQ169" s="123">
        <f>AQ$134*INDEX('DEFAULT DATA'!$AIN$9:$AIU$41,START!$C$3,1)*BUILDINGS!AQ5/1000000</f>
        <v>25221.106645071926</v>
      </c>
      <c r="AR169" s="123">
        <f>AR$134*INDEX('DEFAULT DATA'!$AIN$9:$AIU$41,START!$C$3,1)*BUILDINGS!AR5/1000000</f>
        <v>23304.302540046458</v>
      </c>
      <c r="AS169" s="123">
        <f>AS$134*INDEX('DEFAULT DATA'!$AIN$9:$AIU$41,START!$C$3,1)*BUILDINGS!AS5/1000000</f>
        <v>21533.175547002931</v>
      </c>
      <c r="AT169" s="123">
        <f>AT$134*INDEX('DEFAULT DATA'!$AIN$9:$AIU$41,START!$C$3,1)*BUILDINGS!AT5/1000000</f>
        <v>19896.654205430706</v>
      </c>
      <c r="AU169" s="123">
        <f>AU$134*INDEX('DEFAULT DATA'!$AIN$9:$AIU$41,START!$C$3,1)*BUILDINGS!AU5/1000000</f>
        <v>18603.371682077712</v>
      </c>
      <c r="AV169" s="123">
        <f>AV$134*INDEX('DEFAULT DATA'!$AIN$9:$AIU$41,START!$C$3,1)*BUILDINGS!AV5/1000000</f>
        <v>17394.152522742665</v>
      </c>
      <c r="AW169" s="123">
        <f>AW$134*INDEX('DEFAULT DATA'!$AIN$9:$AIU$41,START!$C$3,1)*BUILDINGS!AW5/1000000</f>
        <v>16263.532608764392</v>
      </c>
      <c r="AX169" s="123">
        <f>AX$134*INDEX('DEFAULT DATA'!$AIN$9:$AIU$41,START!$C$3,1)*BUILDINGS!AX5/1000000</f>
        <v>15206.402989194705</v>
      </c>
      <c r="AY169" s="123">
        <f>AY$134*INDEX('DEFAULT DATA'!$AIN$9:$AIU$41,START!$C$3,1)*BUILDINGS!AY5/1000000</f>
        <v>14217.986794897051</v>
      </c>
      <c r="AZ169" s="123">
        <f>AZ$134*INDEX('DEFAULT DATA'!$AIN$9:$AIU$41,START!$C$3,1)*BUILDINGS!AZ5/1000000</f>
        <v>13293.817653228743</v>
      </c>
      <c r="BA169" s="123">
        <f>BA$134*INDEX('DEFAULT DATA'!$AIN$9:$AIU$41,START!$C$3,1)*BUILDINGS!BA5/1000000</f>
        <v>12429.719505768875</v>
      </c>
      <c r="BB169" s="123">
        <f>BB$134*INDEX('DEFAULT DATA'!$AIN$9:$AIU$41,START!$C$3,1)*BUILDINGS!BB5/1000000</f>
        <v>11621.787737893899</v>
      </c>
      <c r="BC169" s="123">
        <f>BC$134*INDEX('DEFAULT DATA'!$AIN$9:$AIU$41,START!$C$3,1)*BUILDINGS!BC5/1000000</f>
        <v>10866.371534930797</v>
      </c>
      <c r="BD169" s="123">
        <f>BD$134*INDEX('DEFAULT DATA'!$AIN$9:$AIU$41,START!$C$3,1)*BUILDINGS!BD5/1000000</f>
        <v>10160.057385160297</v>
      </c>
      <c r="BE169" s="123">
        <f>BE$134*INDEX('DEFAULT DATA'!$AIN$9:$AIU$41,START!$C$3,1)*BUILDINGS!BE5/1000000</f>
        <v>9499.6536551248773</v>
      </c>
      <c r="BF169" s="123">
        <f>BF$134*INDEX('DEFAULT DATA'!$AIN$9:$AIU$41,START!$C$3,1)*BUILDINGS!BF5/1000000</f>
        <v>8882.176167541762</v>
      </c>
      <c r="BG169" s="123">
        <f>BG$134*INDEX('DEFAULT DATA'!$AIN$9:$AIU$41,START!$C$3,1)*BUILDINGS!BG5/1000000</f>
        <v>8304.8347166515487</v>
      </c>
      <c r="BH169" s="123">
        <f>BH$134*INDEX('DEFAULT DATA'!$AIN$9:$AIU$41,START!$C$3,1)*BUILDINGS!BH5/1000000</f>
        <v>7765.0204600691986</v>
      </c>
      <c r="BI169" s="123">
        <f>BI$134*INDEX('DEFAULT DATA'!$AIN$9:$AIU$41,START!$C$3,1)*BUILDINGS!BI5/1000000</f>
        <v>7260.2941301647006</v>
      </c>
      <c r="BJ169" s="123">
        <f>BJ$134*INDEX('DEFAULT DATA'!$AIN$9:$AIU$41,START!$C$3,1)*BUILDINGS!BJ5/1000000</f>
        <v>6788.3750117039954</v>
      </c>
      <c r="BK169" s="123">
        <f>BK$134*INDEX('DEFAULT DATA'!$AIN$9:$AIU$41,START!$C$3,1)*BUILDINGS!BK5/1000000</f>
        <v>6347.1306359432365</v>
      </c>
      <c r="BL169" s="123">
        <f>BL$134*INDEX('DEFAULT DATA'!$AIN$9:$AIU$41,START!$C$3,1)*BUILDINGS!BL5/1000000</f>
        <v>5934.5671446069264</v>
      </c>
      <c r="BM169" s="123">
        <f>BM$134*INDEX('DEFAULT DATA'!$AIN$9:$AIU$41,START!$C$3,1)*BUILDINGS!BM5/1000000</f>
        <v>5548.8202802074757</v>
      </c>
      <c r="BN169" s="123">
        <f>BN$134*INDEX('DEFAULT DATA'!$AIN$9:$AIU$41,START!$C$3,1)*BUILDINGS!BN5/1000000</f>
        <v>5188.1469619939899</v>
      </c>
      <c r="BP169" s="370" t="str">
        <f>AG169</f>
        <v>Electricity</v>
      </c>
      <c r="BQ169" s="371" t="s">
        <v>1494</v>
      </c>
      <c r="BR169" s="372"/>
      <c r="BS169" s="372"/>
      <c r="BT169" s="372"/>
      <c r="BU169" s="372"/>
      <c r="BV169" s="372"/>
      <c r="BW169" s="372"/>
      <c r="BX169" s="372"/>
      <c r="BY169" s="372"/>
      <c r="BZ169" s="372"/>
      <c r="CA169" s="372"/>
      <c r="CB169" s="372"/>
      <c r="CC169" s="372"/>
      <c r="CD169" s="372"/>
      <c r="CE169" s="372"/>
      <c r="CF169" s="372"/>
      <c r="CG169" s="373"/>
      <c r="CH169" s="374" t="s">
        <v>1417</v>
      </c>
      <c r="CI169" s="374" t="s">
        <v>1225</v>
      </c>
    </row>
    <row r="170" spans="1:87" ht="20.100000000000001" customHeight="1">
      <c r="A170" s="27"/>
      <c r="B170" s="21"/>
      <c r="C170" s="21"/>
      <c r="D170" s="21"/>
      <c r="E170" s="21"/>
      <c r="F170" s="21"/>
      <c r="G170" s="21"/>
      <c r="H170" s="21"/>
      <c r="I170" s="21"/>
      <c r="J170" s="21"/>
      <c r="K170" s="28"/>
      <c r="L170" s="16"/>
      <c r="M170" s="627"/>
      <c r="N170" s="630"/>
      <c r="O170" s="630"/>
      <c r="P170" s="630"/>
      <c r="Q170" s="630"/>
      <c r="R170" s="630"/>
      <c r="S170" s="630"/>
      <c r="T170" s="630"/>
      <c r="U170" s="630"/>
      <c r="V170" s="630"/>
      <c r="W170" s="630"/>
      <c r="X170" s="630"/>
      <c r="Y170" s="630"/>
      <c r="Z170" s="630"/>
      <c r="AA170" s="630"/>
      <c r="AB170" s="630"/>
      <c r="AC170" s="630"/>
      <c r="AD170" s="630"/>
      <c r="AE170" s="630"/>
      <c r="AF170" s="1557"/>
      <c r="AG170" s="339" t="s">
        <v>862</v>
      </c>
      <c r="AH170" s="317"/>
      <c r="AI170" s="317"/>
      <c r="AJ170" s="318"/>
      <c r="AK170" s="81">
        <v>0</v>
      </c>
      <c r="AL170" s="123">
        <f>AL$134*INDEX('DEFAULT DATA'!$AIN$9:$AIU$41,START!$C$3,2)*INDEX('DEFAULT DATA'!$WC$9:$WI$41,START!$C$3,2)/1000000</f>
        <v>4162.5729051199996</v>
      </c>
      <c r="AM170" s="123">
        <f>AM$134*INDEX('DEFAULT DATA'!$AIN$9:$AIU$41,START!$C$3,2)*INDEX('DEFAULT DATA'!$WC$9:$WI$41,START!$C$3,2)/1000000</f>
        <v>4162.5729051199996</v>
      </c>
      <c r="AN170" s="123">
        <f>AN$134*INDEX('DEFAULT DATA'!$AIN$9:$AIU$41,START!$C$3,2)*INDEX('DEFAULT DATA'!$WC$9:$WI$41,START!$C$3,2)/1000000</f>
        <v>4162.5729051199996</v>
      </c>
      <c r="AO170" s="123">
        <f>AO$134*INDEX('DEFAULT DATA'!$AIN$9:$AIU$41,START!$C$3,2)*INDEX('DEFAULT DATA'!$WC$9:$WI$41,START!$C$3,2)/1000000</f>
        <v>4162.5729051199996</v>
      </c>
      <c r="AP170" s="123">
        <f>AP$134*INDEX('DEFAULT DATA'!$AIN$9:$AIU$41,START!$C$3,2)*INDEX('DEFAULT DATA'!$WC$9:$WI$41,START!$C$3,2)/1000000</f>
        <v>4162.5729051199996</v>
      </c>
      <c r="AQ170" s="123">
        <f>AQ$134*INDEX('DEFAULT DATA'!$AIN$9:$AIU$41,START!$C$3,2)*INDEX('DEFAULT DATA'!$WC$9:$WI$41,START!$C$3,2)/1000000</f>
        <v>4162.5729051199996</v>
      </c>
      <c r="AR170" s="123">
        <f>AR$134*INDEX('DEFAULT DATA'!$AIN$9:$AIU$41,START!$C$3,2)*INDEX('DEFAULT DATA'!$WC$9:$WI$41,START!$C$3,2)/1000000</f>
        <v>4162.5729051199996</v>
      </c>
      <c r="AS170" s="123">
        <f>AS$134*INDEX('DEFAULT DATA'!$AIN$9:$AIU$41,START!$C$3,2)*INDEX('DEFAULT DATA'!$WC$9:$WI$41,START!$C$3,2)/1000000</f>
        <v>4162.5729051199996</v>
      </c>
      <c r="AT170" s="123">
        <f>AT$134*INDEX('DEFAULT DATA'!$AIN$9:$AIU$41,START!$C$3,2)*INDEX('DEFAULT DATA'!$WC$9:$WI$41,START!$C$3,2)/1000000</f>
        <v>4162.5729051199996</v>
      </c>
      <c r="AU170" s="123">
        <f>AU$134*INDEX('DEFAULT DATA'!$AIN$9:$AIU$41,START!$C$3,2)*INDEX('DEFAULT DATA'!$WC$9:$WI$41,START!$C$3,2)/1000000</f>
        <v>4162.5729051199996</v>
      </c>
      <c r="AV170" s="123">
        <f>AV$134*INDEX('DEFAULT DATA'!$AIN$9:$AIU$41,START!$C$3,2)*INDEX('DEFAULT DATA'!$WC$9:$WI$41,START!$C$3,2)/1000000</f>
        <v>4162.5729051199996</v>
      </c>
      <c r="AW170" s="123">
        <f>AW$134*INDEX('DEFAULT DATA'!$AIN$9:$AIU$41,START!$C$3,2)*INDEX('DEFAULT DATA'!$WC$9:$WI$41,START!$C$3,2)/1000000</f>
        <v>4162.5729051199996</v>
      </c>
      <c r="AX170" s="123">
        <f>AX$134*INDEX('DEFAULT DATA'!$AIN$9:$AIU$41,START!$C$3,2)*INDEX('DEFAULT DATA'!$WC$9:$WI$41,START!$C$3,2)/1000000</f>
        <v>4162.5729051199996</v>
      </c>
      <c r="AY170" s="123">
        <f>AY$134*INDEX('DEFAULT DATA'!$AIN$9:$AIU$41,START!$C$3,2)*INDEX('DEFAULT DATA'!$WC$9:$WI$41,START!$C$3,2)/1000000</f>
        <v>4162.5729051199996</v>
      </c>
      <c r="AZ170" s="123">
        <f>AZ$134*INDEX('DEFAULT DATA'!$AIN$9:$AIU$41,START!$C$3,2)*INDEX('DEFAULT DATA'!$WC$9:$WI$41,START!$C$3,2)/1000000</f>
        <v>4162.5729051199996</v>
      </c>
      <c r="BA170" s="123">
        <f>BA$134*INDEX('DEFAULT DATA'!$AIN$9:$AIU$41,START!$C$3,2)*INDEX('DEFAULT DATA'!$WC$9:$WI$41,START!$C$3,2)/1000000</f>
        <v>4162.5729051199996</v>
      </c>
      <c r="BB170" s="123">
        <f>BB$134*INDEX('DEFAULT DATA'!$AIN$9:$AIU$41,START!$C$3,2)*INDEX('DEFAULT DATA'!$WC$9:$WI$41,START!$C$3,2)/1000000</f>
        <v>4162.5729051199996</v>
      </c>
      <c r="BC170" s="123">
        <f>BC$134*INDEX('DEFAULT DATA'!$AIN$9:$AIU$41,START!$C$3,2)*INDEX('DEFAULT DATA'!$WC$9:$WI$41,START!$C$3,2)/1000000</f>
        <v>4162.5729051199996</v>
      </c>
      <c r="BD170" s="123">
        <f>BD$134*INDEX('DEFAULT DATA'!$AIN$9:$AIU$41,START!$C$3,2)*INDEX('DEFAULT DATA'!$WC$9:$WI$41,START!$C$3,2)/1000000</f>
        <v>4162.5729051199996</v>
      </c>
      <c r="BE170" s="123">
        <f>BE$134*INDEX('DEFAULT DATA'!$AIN$9:$AIU$41,START!$C$3,2)*INDEX('DEFAULT DATA'!$WC$9:$WI$41,START!$C$3,2)/1000000</f>
        <v>4162.5729051199996</v>
      </c>
      <c r="BF170" s="123">
        <f>BF$134*INDEX('DEFAULT DATA'!$AIN$9:$AIU$41,START!$C$3,2)*INDEX('DEFAULT DATA'!$WC$9:$WI$41,START!$C$3,2)/1000000</f>
        <v>4162.5729051199996</v>
      </c>
      <c r="BG170" s="123">
        <f>BG$134*INDEX('DEFAULT DATA'!$AIN$9:$AIU$41,START!$C$3,2)*INDEX('DEFAULT DATA'!$WC$9:$WI$41,START!$C$3,2)/1000000</f>
        <v>4162.5729051199996</v>
      </c>
      <c r="BH170" s="123">
        <f>BH$134*INDEX('DEFAULT DATA'!$AIN$9:$AIU$41,START!$C$3,2)*INDEX('DEFAULT DATA'!$WC$9:$WI$41,START!$C$3,2)/1000000</f>
        <v>4162.5729051199996</v>
      </c>
      <c r="BI170" s="123">
        <f>BI$134*INDEX('DEFAULT DATA'!$AIN$9:$AIU$41,START!$C$3,2)*INDEX('DEFAULT DATA'!$WC$9:$WI$41,START!$C$3,2)/1000000</f>
        <v>4162.5729051199996</v>
      </c>
      <c r="BJ170" s="123">
        <f>BJ$134*INDEX('DEFAULT DATA'!$AIN$9:$AIU$41,START!$C$3,2)*INDEX('DEFAULT DATA'!$WC$9:$WI$41,START!$C$3,2)/1000000</f>
        <v>4162.5729051199996</v>
      </c>
      <c r="BK170" s="123">
        <f>BK$134*INDEX('DEFAULT DATA'!$AIN$9:$AIU$41,START!$C$3,2)*INDEX('DEFAULT DATA'!$WC$9:$WI$41,START!$C$3,2)/1000000</f>
        <v>4162.5729051199996</v>
      </c>
      <c r="BL170" s="123">
        <f>BL$134*INDEX('DEFAULT DATA'!$AIN$9:$AIU$41,START!$C$3,2)*INDEX('DEFAULT DATA'!$WC$9:$WI$41,START!$C$3,2)/1000000</f>
        <v>4162.5729051199996</v>
      </c>
      <c r="BM170" s="123">
        <f>BM$134*INDEX('DEFAULT DATA'!$AIN$9:$AIU$41,START!$C$3,2)*INDEX('DEFAULT DATA'!$WC$9:$WI$41,START!$C$3,2)/1000000</f>
        <v>4162.5729051199996</v>
      </c>
      <c r="BN170" s="123">
        <f>BN$134*INDEX('DEFAULT DATA'!$AIN$9:$AIU$41,START!$C$3,2)*INDEX('DEFAULT DATA'!$WC$9:$WI$41,START!$C$3,2)/1000000</f>
        <v>4162.5729051199996</v>
      </c>
      <c r="BP170" s="375" t="str">
        <f t="shared" ref="BP170:BP176" si="71">AG170</f>
        <v>Gas</v>
      </c>
      <c r="BQ170" s="376" t="s">
        <v>1463</v>
      </c>
      <c r="BR170" s="377"/>
      <c r="BS170" s="377"/>
      <c r="BT170" s="377"/>
      <c r="BU170" s="377"/>
      <c r="BV170" s="377"/>
      <c r="BW170" s="377"/>
      <c r="BX170" s="377"/>
      <c r="BY170" s="377"/>
      <c r="BZ170" s="377"/>
      <c r="CA170" s="377"/>
      <c r="CB170" s="377"/>
      <c r="CC170" s="377"/>
      <c r="CD170" s="377"/>
      <c r="CE170" s="377"/>
      <c r="CF170" s="377"/>
      <c r="CG170" s="378"/>
      <c r="CH170" s="374" t="s">
        <v>1418</v>
      </c>
      <c r="CI170" s="374" t="s">
        <v>886</v>
      </c>
    </row>
    <row r="171" spans="1:87" ht="20.100000000000001" customHeight="1">
      <c r="A171" s="27"/>
      <c r="B171" s="21"/>
      <c r="C171" s="21"/>
      <c r="D171" s="21"/>
      <c r="E171" s="21"/>
      <c r="F171" s="21"/>
      <c r="G171" s="21"/>
      <c r="H171" s="21"/>
      <c r="I171" s="21"/>
      <c r="J171" s="21"/>
      <c r="K171" s="28"/>
      <c r="L171" s="16"/>
      <c r="M171" s="627"/>
      <c r="N171" s="630"/>
      <c r="O171" s="630"/>
      <c r="P171" s="630"/>
      <c r="Q171" s="630"/>
      <c r="R171" s="630"/>
      <c r="S171" s="630"/>
      <c r="T171" s="630"/>
      <c r="U171" s="630"/>
      <c r="V171" s="630"/>
      <c r="W171" s="630"/>
      <c r="X171" s="630"/>
      <c r="Y171" s="630"/>
      <c r="Z171" s="630"/>
      <c r="AA171" s="630"/>
      <c r="AB171" s="630"/>
      <c r="AC171" s="630"/>
      <c r="AD171" s="630"/>
      <c r="AE171" s="630"/>
      <c r="AF171" s="1557"/>
      <c r="AG171" s="339" t="s">
        <v>863</v>
      </c>
      <c r="AH171" s="317"/>
      <c r="AI171" s="317"/>
      <c r="AJ171" s="318"/>
      <c r="AK171" s="81">
        <v>0</v>
      </c>
      <c r="AL171" s="123">
        <f>AL$134*INDEX('DEFAULT DATA'!$AIN$9:$AIU$41,START!$C$3,3)*INDEX('DEFAULT DATA'!$WC$9:$WI$41,START!$C$3,3)/1000000</f>
        <v>4585.2951727200007</v>
      </c>
      <c r="AM171" s="123">
        <f>AM$134*INDEX('DEFAULT DATA'!$AIN$9:$AIU$41,START!$C$3,3)*INDEX('DEFAULT DATA'!$WC$9:$WI$41,START!$C$3,3)/1000000</f>
        <v>4585.2951727200007</v>
      </c>
      <c r="AN171" s="123">
        <f>AN$134*INDEX('DEFAULT DATA'!$AIN$9:$AIU$41,START!$C$3,3)*INDEX('DEFAULT DATA'!$WC$9:$WI$41,START!$C$3,3)/1000000</f>
        <v>4585.2951727200007</v>
      </c>
      <c r="AO171" s="123">
        <f>AO$134*INDEX('DEFAULT DATA'!$AIN$9:$AIU$41,START!$C$3,3)*INDEX('DEFAULT DATA'!$WC$9:$WI$41,START!$C$3,3)/1000000</f>
        <v>4585.2951727200007</v>
      </c>
      <c r="AP171" s="123">
        <f>AP$134*INDEX('DEFAULT DATA'!$AIN$9:$AIU$41,START!$C$3,3)*INDEX('DEFAULT DATA'!$WC$9:$WI$41,START!$C$3,3)/1000000</f>
        <v>4585.2951727200007</v>
      </c>
      <c r="AQ171" s="123">
        <f>AQ$134*INDEX('DEFAULT DATA'!$AIN$9:$AIU$41,START!$C$3,3)*INDEX('DEFAULT DATA'!$WC$9:$WI$41,START!$C$3,3)/1000000</f>
        <v>4585.2951727200007</v>
      </c>
      <c r="AR171" s="123">
        <f>AR$134*INDEX('DEFAULT DATA'!$AIN$9:$AIU$41,START!$C$3,3)*INDEX('DEFAULT DATA'!$WC$9:$WI$41,START!$C$3,3)/1000000</f>
        <v>4585.2951727200007</v>
      </c>
      <c r="AS171" s="123">
        <f>AS$134*INDEX('DEFAULT DATA'!$AIN$9:$AIU$41,START!$C$3,3)*INDEX('DEFAULT DATA'!$WC$9:$WI$41,START!$C$3,3)/1000000</f>
        <v>4585.2951727200007</v>
      </c>
      <c r="AT171" s="123">
        <f>AT$134*INDEX('DEFAULT DATA'!$AIN$9:$AIU$41,START!$C$3,3)*INDEX('DEFAULT DATA'!$WC$9:$WI$41,START!$C$3,3)/1000000</f>
        <v>4585.2951727200007</v>
      </c>
      <c r="AU171" s="123">
        <f>AU$134*INDEX('DEFAULT DATA'!$AIN$9:$AIU$41,START!$C$3,3)*INDEX('DEFAULT DATA'!$WC$9:$WI$41,START!$C$3,3)/1000000</f>
        <v>4585.2951727200007</v>
      </c>
      <c r="AV171" s="123">
        <f>AV$134*INDEX('DEFAULT DATA'!$AIN$9:$AIU$41,START!$C$3,3)*INDEX('DEFAULT DATA'!$WC$9:$WI$41,START!$C$3,3)/1000000</f>
        <v>4585.2951727200007</v>
      </c>
      <c r="AW171" s="123">
        <f>AW$134*INDEX('DEFAULT DATA'!$AIN$9:$AIU$41,START!$C$3,3)*INDEX('DEFAULT DATA'!$WC$9:$WI$41,START!$C$3,3)/1000000</f>
        <v>4585.2951727200007</v>
      </c>
      <c r="AX171" s="123">
        <f>AX$134*INDEX('DEFAULT DATA'!$AIN$9:$AIU$41,START!$C$3,3)*INDEX('DEFAULT DATA'!$WC$9:$WI$41,START!$C$3,3)/1000000</f>
        <v>4585.2951727200007</v>
      </c>
      <c r="AY171" s="123">
        <f>AY$134*INDEX('DEFAULT DATA'!$AIN$9:$AIU$41,START!$C$3,3)*INDEX('DEFAULT DATA'!$WC$9:$WI$41,START!$C$3,3)/1000000</f>
        <v>4585.2951727200007</v>
      </c>
      <c r="AZ171" s="123">
        <f>AZ$134*INDEX('DEFAULT DATA'!$AIN$9:$AIU$41,START!$C$3,3)*INDEX('DEFAULT DATA'!$WC$9:$WI$41,START!$C$3,3)/1000000</f>
        <v>4585.2951727200007</v>
      </c>
      <c r="BA171" s="123">
        <f>BA$134*INDEX('DEFAULT DATA'!$AIN$9:$AIU$41,START!$C$3,3)*INDEX('DEFAULT DATA'!$WC$9:$WI$41,START!$C$3,3)/1000000</f>
        <v>4585.2951727200007</v>
      </c>
      <c r="BB171" s="123">
        <f>BB$134*INDEX('DEFAULT DATA'!$AIN$9:$AIU$41,START!$C$3,3)*INDEX('DEFAULT DATA'!$WC$9:$WI$41,START!$C$3,3)/1000000</f>
        <v>4585.2951727200007</v>
      </c>
      <c r="BC171" s="123">
        <f>BC$134*INDEX('DEFAULT DATA'!$AIN$9:$AIU$41,START!$C$3,3)*INDEX('DEFAULT DATA'!$WC$9:$WI$41,START!$C$3,3)/1000000</f>
        <v>4585.2951727200007</v>
      </c>
      <c r="BD171" s="123">
        <f>BD$134*INDEX('DEFAULT DATA'!$AIN$9:$AIU$41,START!$C$3,3)*INDEX('DEFAULT DATA'!$WC$9:$WI$41,START!$C$3,3)/1000000</f>
        <v>4585.2951727200007</v>
      </c>
      <c r="BE171" s="123">
        <f>BE$134*INDEX('DEFAULT DATA'!$AIN$9:$AIU$41,START!$C$3,3)*INDEX('DEFAULT DATA'!$WC$9:$WI$41,START!$C$3,3)/1000000</f>
        <v>4585.2951727200007</v>
      </c>
      <c r="BF171" s="123">
        <f>BF$134*INDEX('DEFAULT DATA'!$AIN$9:$AIU$41,START!$C$3,3)*INDEX('DEFAULT DATA'!$WC$9:$WI$41,START!$C$3,3)/1000000</f>
        <v>4585.2951727200007</v>
      </c>
      <c r="BG171" s="123">
        <f>BG$134*INDEX('DEFAULT DATA'!$AIN$9:$AIU$41,START!$C$3,3)*INDEX('DEFAULT DATA'!$WC$9:$WI$41,START!$C$3,3)/1000000</f>
        <v>4585.2951727200007</v>
      </c>
      <c r="BH171" s="123">
        <f>BH$134*INDEX('DEFAULT DATA'!$AIN$9:$AIU$41,START!$C$3,3)*INDEX('DEFAULT DATA'!$WC$9:$WI$41,START!$C$3,3)/1000000</f>
        <v>4585.2951727200007</v>
      </c>
      <c r="BI171" s="123">
        <f>BI$134*INDEX('DEFAULT DATA'!$AIN$9:$AIU$41,START!$C$3,3)*INDEX('DEFAULT DATA'!$WC$9:$WI$41,START!$C$3,3)/1000000</f>
        <v>4585.2951727200007</v>
      </c>
      <c r="BJ171" s="123">
        <f>BJ$134*INDEX('DEFAULT DATA'!$AIN$9:$AIU$41,START!$C$3,3)*INDEX('DEFAULT DATA'!$WC$9:$WI$41,START!$C$3,3)/1000000</f>
        <v>4585.2951727200007</v>
      </c>
      <c r="BK171" s="123">
        <f>BK$134*INDEX('DEFAULT DATA'!$AIN$9:$AIU$41,START!$C$3,3)*INDEX('DEFAULT DATA'!$WC$9:$WI$41,START!$C$3,3)/1000000</f>
        <v>4585.2951727200007</v>
      </c>
      <c r="BL171" s="123">
        <f>BL$134*INDEX('DEFAULT DATA'!$AIN$9:$AIU$41,START!$C$3,3)*INDEX('DEFAULT DATA'!$WC$9:$WI$41,START!$C$3,3)/1000000</f>
        <v>4585.2951727200007</v>
      </c>
      <c r="BM171" s="123">
        <f>BM$134*INDEX('DEFAULT DATA'!$AIN$9:$AIU$41,START!$C$3,3)*INDEX('DEFAULT DATA'!$WC$9:$WI$41,START!$C$3,3)/1000000</f>
        <v>4585.2951727200007</v>
      </c>
      <c r="BN171" s="123">
        <f>BN$134*INDEX('DEFAULT DATA'!$AIN$9:$AIU$41,START!$C$3,3)*INDEX('DEFAULT DATA'!$WC$9:$WI$41,START!$C$3,3)/1000000</f>
        <v>4585.2951727200007</v>
      </c>
      <c r="BP171" s="375" t="str">
        <f t="shared" si="71"/>
        <v>Oil</v>
      </c>
      <c r="BQ171" s="376" t="s">
        <v>1464</v>
      </c>
      <c r="BR171" s="377"/>
      <c r="BS171" s="377"/>
      <c r="BT171" s="377"/>
      <c r="BU171" s="377"/>
      <c r="BV171" s="377"/>
      <c r="BW171" s="377"/>
      <c r="BX171" s="377"/>
      <c r="BY171" s="377"/>
      <c r="BZ171" s="377"/>
      <c r="CA171" s="377"/>
      <c r="CB171" s="377"/>
      <c r="CC171" s="377"/>
      <c r="CD171" s="377"/>
      <c r="CE171" s="377"/>
      <c r="CF171" s="377"/>
      <c r="CG171" s="378"/>
      <c r="CH171" s="374" t="s">
        <v>1419</v>
      </c>
      <c r="CI171" s="374" t="s">
        <v>1247</v>
      </c>
    </row>
    <row r="172" spans="1:87" ht="20.100000000000001" customHeight="1">
      <c r="A172" s="27"/>
      <c r="B172" s="21"/>
      <c r="C172" s="21"/>
      <c r="D172" s="21"/>
      <c r="E172" s="21"/>
      <c r="F172" s="21"/>
      <c r="G172" s="21"/>
      <c r="H172" s="21"/>
      <c r="I172" s="21"/>
      <c r="J172" s="21"/>
      <c r="K172" s="28"/>
      <c r="L172" s="16"/>
      <c r="M172" s="627"/>
      <c r="N172" s="630"/>
      <c r="O172" s="630"/>
      <c r="P172" s="630"/>
      <c r="Q172" s="630"/>
      <c r="R172" s="630"/>
      <c r="S172" s="630"/>
      <c r="T172" s="630"/>
      <c r="U172" s="630"/>
      <c r="V172" s="630"/>
      <c r="W172" s="630"/>
      <c r="X172" s="630"/>
      <c r="Y172" s="630"/>
      <c r="Z172" s="630"/>
      <c r="AA172" s="630"/>
      <c r="AB172" s="630"/>
      <c r="AC172" s="630"/>
      <c r="AD172" s="630"/>
      <c r="AE172" s="630"/>
      <c r="AF172" s="1557"/>
      <c r="AG172" s="339" t="s">
        <v>864</v>
      </c>
      <c r="AH172" s="317"/>
      <c r="AI172" s="317"/>
      <c r="AJ172" s="318"/>
      <c r="AK172" s="81">
        <v>0</v>
      </c>
      <c r="AL172" s="123">
        <f>AL$134*INDEX('DEFAULT DATA'!$AIN$9:$AIU$41,START!$C$3,4)*INDEX('DEFAULT DATA'!$WC$9:$WI$41,START!$C$3,4)/1000000</f>
        <v>0</v>
      </c>
      <c r="AM172" s="123">
        <f>AM$134*INDEX('DEFAULT DATA'!$AIN$9:$AIU$41,START!$C$3,4)*INDEX('DEFAULT DATA'!$WC$9:$WI$41,START!$C$3,4)/1000000</f>
        <v>0</v>
      </c>
      <c r="AN172" s="123">
        <f>AN$134*INDEX('DEFAULT DATA'!$AIN$9:$AIU$41,START!$C$3,4)*INDEX('DEFAULT DATA'!$WC$9:$WI$41,START!$C$3,4)/1000000</f>
        <v>0</v>
      </c>
      <c r="AO172" s="123">
        <f>AO$134*INDEX('DEFAULT DATA'!$AIN$9:$AIU$41,START!$C$3,4)*INDEX('DEFAULT DATA'!$WC$9:$WI$41,START!$C$3,4)/1000000</f>
        <v>0</v>
      </c>
      <c r="AP172" s="123">
        <f>AP$134*INDEX('DEFAULT DATA'!$AIN$9:$AIU$41,START!$C$3,4)*INDEX('DEFAULT DATA'!$WC$9:$WI$41,START!$C$3,4)/1000000</f>
        <v>0</v>
      </c>
      <c r="AQ172" s="123">
        <f>AQ$134*INDEX('DEFAULT DATA'!$AIN$9:$AIU$41,START!$C$3,4)*INDEX('DEFAULT DATA'!$WC$9:$WI$41,START!$C$3,4)/1000000</f>
        <v>0</v>
      </c>
      <c r="AR172" s="123">
        <f>AR$134*INDEX('DEFAULT DATA'!$AIN$9:$AIU$41,START!$C$3,4)*INDEX('DEFAULT DATA'!$WC$9:$WI$41,START!$C$3,4)/1000000</f>
        <v>0</v>
      </c>
      <c r="AS172" s="123">
        <f>AS$134*INDEX('DEFAULT DATA'!$AIN$9:$AIU$41,START!$C$3,4)*INDEX('DEFAULT DATA'!$WC$9:$WI$41,START!$C$3,4)/1000000</f>
        <v>0</v>
      </c>
      <c r="AT172" s="123">
        <f>AT$134*INDEX('DEFAULT DATA'!$AIN$9:$AIU$41,START!$C$3,4)*INDEX('DEFAULT DATA'!$WC$9:$WI$41,START!$C$3,4)/1000000</f>
        <v>0</v>
      </c>
      <c r="AU172" s="123">
        <f>AU$134*INDEX('DEFAULT DATA'!$AIN$9:$AIU$41,START!$C$3,4)*INDEX('DEFAULT DATA'!$WC$9:$WI$41,START!$C$3,4)/1000000</f>
        <v>0</v>
      </c>
      <c r="AV172" s="123">
        <f>AV$134*INDEX('DEFAULT DATA'!$AIN$9:$AIU$41,START!$C$3,4)*INDEX('DEFAULT DATA'!$WC$9:$WI$41,START!$C$3,4)/1000000</f>
        <v>0</v>
      </c>
      <c r="AW172" s="123">
        <f>AW$134*INDEX('DEFAULT DATA'!$AIN$9:$AIU$41,START!$C$3,4)*INDEX('DEFAULT DATA'!$WC$9:$WI$41,START!$C$3,4)/1000000</f>
        <v>0</v>
      </c>
      <c r="AX172" s="123">
        <f>AX$134*INDEX('DEFAULT DATA'!$AIN$9:$AIU$41,START!$C$3,4)*INDEX('DEFAULT DATA'!$WC$9:$WI$41,START!$C$3,4)/1000000</f>
        <v>0</v>
      </c>
      <c r="AY172" s="123">
        <f>AY$134*INDEX('DEFAULT DATA'!$AIN$9:$AIU$41,START!$C$3,4)*INDEX('DEFAULT DATA'!$WC$9:$WI$41,START!$C$3,4)/1000000</f>
        <v>0</v>
      </c>
      <c r="AZ172" s="123">
        <f>AZ$134*INDEX('DEFAULT DATA'!$AIN$9:$AIU$41,START!$C$3,4)*INDEX('DEFAULT DATA'!$WC$9:$WI$41,START!$C$3,4)/1000000</f>
        <v>0</v>
      </c>
      <c r="BA172" s="123">
        <f>BA$134*INDEX('DEFAULT DATA'!$AIN$9:$AIU$41,START!$C$3,4)*INDEX('DEFAULT DATA'!$WC$9:$WI$41,START!$C$3,4)/1000000</f>
        <v>0</v>
      </c>
      <c r="BB172" s="123">
        <f>BB$134*INDEX('DEFAULT DATA'!$AIN$9:$AIU$41,START!$C$3,4)*INDEX('DEFAULT DATA'!$WC$9:$WI$41,START!$C$3,4)/1000000</f>
        <v>0</v>
      </c>
      <c r="BC172" s="123">
        <f>BC$134*INDEX('DEFAULT DATA'!$AIN$9:$AIU$41,START!$C$3,4)*INDEX('DEFAULT DATA'!$WC$9:$WI$41,START!$C$3,4)/1000000</f>
        <v>0</v>
      </c>
      <c r="BD172" s="123">
        <f>BD$134*INDEX('DEFAULT DATA'!$AIN$9:$AIU$41,START!$C$3,4)*INDEX('DEFAULT DATA'!$WC$9:$WI$41,START!$C$3,4)/1000000</f>
        <v>0</v>
      </c>
      <c r="BE172" s="123">
        <f>BE$134*INDEX('DEFAULT DATA'!$AIN$9:$AIU$41,START!$C$3,4)*INDEX('DEFAULT DATA'!$WC$9:$WI$41,START!$C$3,4)/1000000</f>
        <v>0</v>
      </c>
      <c r="BF172" s="123">
        <f>BF$134*INDEX('DEFAULT DATA'!$AIN$9:$AIU$41,START!$C$3,4)*INDEX('DEFAULT DATA'!$WC$9:$WI$41,START!$C$3,4)/1000000</f>
        <v>0</v>
      </c>
      <c r="BG172" s="123">
        <f>BG$134*INDEX('DEFAULT DATA'!$AIN$9:$AIU$41,START!$C$3,4)*INDEX('DEFAULT DATA'!$WC$9:$WI$41,START!$C$3,4)/1000000</f>
        <v>0</v>
      </c>
      <c r="BH172" s="123">
        <f>BH$134*INDEX('DEFAULT DATA'!$AIN$9:$AIU$41,START!$C$3,4)*INDEX('DEFAULT DATA'!$WC$9:$WI$41,START!$C$3,4)/1000000</f>
        <v>0</v>
      </c>
      <c r="BI172" s="123">
        <f>BI$134*INDEX('DEFAULT DATA'!$AIN$9:$AIU$41,START!$C$3,4)*INDEX('DEFAULT DATA'!$WC$9:$WI$41,START!$C$3,4)/1000000</f>
        <v>0</v>
      </c>
      <c r="BJ172" s="123">
        <f>BJ$134*INDEX('DEFAULT DATA'!$AIN$9:$AIU$41,START!$C$3,4)*INDEX('DEFAULT DATA'!$WC$9:$WI$41,START!$C$3,4)/1000000</f>
        <v>0</v>
      </c>
      <c r="BK172" s="123">
        <f>BK$134*INDEX('DEFAULT DATA'!$AIN$9:$AIU$41,START!$C$3,4)*INDEX('DEFAULT DATA'!$WC$9:$WI$41,START!$C$3,4)/1000000</f>
        <v>0</v>
      </c>
      <c r="BL172" s="123">
        <f>BL$134*INDEX('DEFAULT DATA'!$AIN$9:$AIU$41,START!$C$3,4)*INDEX('DEFAULT DATA'!$WC$9:$WI$41,START!$C$3,4)/1000000</f>
        <v>0</v>
      </c>
      <c r="BM172" s="123">
        <f>BM$134*INDEX('DEFAULT DATA'!$AIN$9:$AIU$41,START!$C$3,4)*INDEX('DEFAULT DATA'!$WC$9:$WI$41,START!$C$3,4)/1000000</f>
        <v>0</v>
      </c>
      <c r="BN172" s="123">
        <f>BN$134*INDEX('DEFAULT DATA'!$AIN$9:$AIU$41,START!$C$3,4)*INDEX('DEFAULT DATA'!$WC$9:$WI$41,START!$C$3,4)/1000000</f>
        <v>0</v>
      </c>
      <c r="BP172" s="375" t="str">
        <f t="shared" si="71"/>
        <v>Coal</v>
      </c>
      <c r="BQ172" s="376" t="s">
        <v>1465</v>
      </c>
      <c r="BR172" s="377"/>
      <c r="BS172" s="377"/>
      <c r="BT172" s="377"/>
      <c r="BU172" s="377"/>
      <c r="BV172" s="377"/>
      <c r="BW172" s="377"/>
      <c r="BX172" s="377"/>
      <c r="BY172" s="377"/>
      <c r="BZ172" s="377"/>
      <c r="CA172" s="377"/>
      <c r="CB172" s="377"/>
      <c r="CC172" s="377"/>
      <c r="CD172" s="377"/>
      <c r="CE172" s="377"/>
      <c r="CF172" s="377"/>
      <c r="CG172" s="378"/>
      <c r="CH172" s="374" t="s">
        <v>1420</v>
      </c>
      <c r="CI172" s="374" t="s">
        <v>1248</v>
      </c>
    </row>
    <row r="173" spans="1:87" ht="20.100000000000001" customHeight="1">
      <c r="A173" s="27"/>
      <c r="B173" s="21"/>
      <c r="C173" s="21"/>
      <c r="D173" s="21"/>
      <c r="E173" s="21"/>
      <c r="F173" s="21"/>
      <c r="G173" s="21"/>
      <c r="H173" s="21"/>
      <c r="I173" s="21"/>
      <c r="J173" s="21"/>
      <c r="K173" s="28"/>
      <c r="L173" s="16"/>
      <c r="M173" s="627"/>
      <c r="N173" s="630"/>
      <c r="O173" s="630"/>
      <c r="P173" s="630"/>
      <c r="Q173" s="630"/>
      <c r="R173" s="630"/>
      <c r="S173" s="630"/>
      <c r="T173" s="630"/>
      <c r="U173" s="630"/>
      <c r="V173" s="630"/>
      <c r="W173" s="630"/>
      <c r="X173" s="630"/>
      <c r="Y173" s="630"/>
      <c r="Z173" s="630"/>
      <c r="AA173" s="630"/>
      <c r="AB173" s="630"/>
      <c r="AC173" s="630"/>
      <c r="AD173" s="630"/>
      <c r="AE173" s="630"/>
      <c r="AF173" s="1557"/>
      <c r="AG173" s="339" t="s">
        <v>865</v>
      </c>
      <c r="AH173" s="317"/>
      <c r="AI173" s="317"/>
      <c r="AJ173" s="318"/>
      <c r="AK173" s="81">
        <v>0</v>
      </c>
      <c r="AL173" s="123">
        <f>AL$134*INDEX('DEFAULT DATA'!$AIN$9:$AIU$41,START!$C$3,5)*INDEX('DEFAULT DATA'!$WC$9:$WI$41,START!$C$3,5)/1000000</f>
        <v>612.06191423999996</v>
      </c>
      <c r="AM173" s="123">
        <f>AM$134*INDEX('DEFAULT DATA'!$AIN$9:$AIU$41,START!$C$3,5)*INDEX('DEFAULT DATA'!$WC$9:$WI$41,START!$C$3,5)/1000000</f>
        <v>612.06191423999996</v>
      </c>
      <c r="AN173" s="123">
        <f>AN$134*INDEX('DEFAULT DATA'!$AIN$9:$AIU$41,START!$C$3,5)*INDEX('DEFAULT DATA'!$WC$9:$WI$41,START!$C$3,5)/1000000</f>
        <v>612.06191423999996</v>
      </c>
      <c r="AO173" s="123">
        <f>AO$134*INDEX('DEFAULT DATA'!$AIN$9:$AIU$41,START!$C$3,5)*INDEX('DEFAULT DATA'!$WC$9:$WI$41,START!$C$3,5)/1000000</f>
        <v>612.06191423999996</v>
      </c>
      <c r="AP173" s="123">
        <f>AP$134*INDEX('DEFAULT DATA'!$AIN$9:$AIU$41,START!$C$3,5)*INDEX('DEFAULT DATA'!$WC$9:$WI$41,START!$C$3,5)/1000000</f>
        <v>612.06191423999996</v>
      </c>
      <c r="AQ173" s="123">
        <f>AQ$134*INDEX('DEFAULT DATA'!$AIN$9:$AIU$41,START!$C$3,5)*INDEX('DEFAULT DATA'!$WC$9:$WI$41,START!$C$3,5)/1000000</f>
        <v>612.06191423999996</v>
      </c>
      <c r="AR173" s="123">
        <f>AR$134*INDEX('DEFAULT DATA'!$AIN$9:$AIU$41,START!$C$3,5)*INDEX('DEFAULT DATA'!$WC$9:$WI$41,START!$C$3,5)/1000000</f>
        <v>612.06191423999996</v>
      </c>
      <c r="AS173" s="123">
        <f>AS$134*INDEX('DEFAULT DATA'!$AIN$9:$AIU$41,START!$C$3,5)*INDEX('DEFAULT DATA'!$WC$9:$WI$41,START!$C$3,5)/1000000</f>
        <v>612.06191423999996</v>
      </c>
      <c r="AT173" s="123">
        <f>AT$134*INDEX('DEFAULT DATA'!$AIN$9:$AIU$41,START!$C$3,5)*INDEX('DEFAULT DATA'!$WC$9:$WI$41,START!$C$3,5)/1000000</f>
        <v>612.06191423999996</v>
      </c>
      <c r="AU173" s="123">
        <f>AU$134*INDEX('DEFAULT DATA'!$AIN$9:$AIU$41,START!$C$3,5)*INDEX('DEFAULT DATA'!$WC$9:$WI$41,START!$C$3,5)/1000000</f>
        <v>612.06191423999996</v>
      </c>
      <c r="AV173" s="123">
        <f>AV$134*INDEX('DEFAULT DATA'!$AIN$9:$AIU$41,START!$C$3,5)*INDEX('DEFAULT DATA'!$WC$9:$WI$41,START!$C$3,5)/1000000</f>
        <v>612.06191423999996</v>
      </c>
      <c r="AW173" s="123">
        <f>AW$134*INDEX('DEFAULT DATA'!$AIN$9:$AIU$41,START!$C$3,5)*INDEX('DEFAULT DATA'!$WC$9:$WI$41,START!$C$3,5)/1000000</f>
        <v>612.06191423999996</v>
      </c>
      <c r="AX173" s="123">
        <f>AX$134*INDEX('DEFAULT DATA'!$AIN$9:$AIU$41,START!$C$3,5)*INDEX('DEFAULT DATA'!$WC$9:$WI$41,START!$C$3,5)/1000000</f>
        <v>612.06191423999996</v>
      </c>
      <c r="AY173" s="123">
        <f>AY$134*INDEX('DEFAULT DATA'!$AIN$9:$AIU$41,START!$C$3,5)*INDEX('DEFAULT DATA'!$WC$9:$WI$41,START!$C$3,5)/1000000</f>
        <v>612.06191423999996</v>
      </c>
      <c r="AZ173" s="123">
        <f>AZ$134*INDEX('DEFAULT DATA'!$AIN$9:$AIU$41,START!$C$3,5)*INDEX('DEFAULT DATA'!$WC$9:$WI$41,START!$C$3,5)/1000000</f>
        <v>612.06191423999996</v>
      </c>
      <c r="BA173" s="123">
        <f>BA$134*INDEX('DEFAULT DATA'!$AIN$9:$AIU$41,START!$C$3,5)*INDEX('DEFAULT DATA'!$WC$9:$WI$41,START!$C$3,5)/1000000</f>
        <v>612.06191423999996</v>
      </c>
      <c r="BB173" s="123">
        <f>BB$134*INDEX('DEFAULT DATA'!$AIN$9:$AIU$41,START!$C$3,5)*INDEX('DEFAULT DATA'!$WC$9:$WI$41,START!$C$3,5)/1000000</f>
        <v>612.06191423999996</v>
      </c>
      <c r="BC173" s="123">
        <f>BC$134*INDEX('DEFAULT DATA'!$AIN$9:$AIU$41,START!$C$3,5)*INDEX('DEFAULT DATA'!$WC$9:$WI$41,START!$C$3,5)/1000000</f>
        <v>612.06191423999996</v>
      </c>
      <c r="BD173" s="123">
        <f>BD$134*INDEX('DEFAULT DATA'!$AIN$9:$AIU$41,START!$C$3,5)*INDEX('DEFAULT DATA'!$WC$9:$WI$41,START!$C$3,5)/1000000</f>
        <v>612.06191423999996</v>
      </c>
      <c r="BE173" s="123">
        <f>BE$134*INDEX('DEFAULT DATA'!$AIN$9:$AIU$41,START!$C$3,5)*INDEX('DEFAULT DATA'!$WC$9:$WI$41,START!$C$3,5)/1000000</f>
        <v>612.06191423999996</v>
      </c>
      <c r="BF173" s="123">
        <f>BF$134*INDEX('DEFAULT DATA'!$AIN$9:$AIU$41,START!$C$3,5)*INDEX('DEFAULT DATA'!$WC$9:$WI$41,START!$C$3,5)/1000000</f>
        <v>612.06191423999996</v>
      </c>
      <c r="BG173" s="123">
        <f>BG$134*INDEX('DEFAULT DATA'!$AIN$9:$AIU$41,START!$C$3,5)*INDEX('DEFAULT DATA'!$WC$9:$WI$41,START!$C$3,5)/1000000</f>
        <v>612.06191423999996</v>
      </c>
      <c r="BH173" s="123">
        <f>BH$134*INDEX('DEFAULT DATA'!$AIN$9:$AIU$41,START!$C$3,5)*INDEX('DEFAULT DATA'!$WC$9:$WI$41,START!$C$3,5)/1000000</f>
        <v>612.06191423999996</v>
      </c>
      <c r="BI173" s="123">
        <f>BI$134*INDEX('DEFAULT DATA'!$AIN$9:$AIU$41,START!$C$3,5)*INDEX('DEFAULT DATA'!$WC$9:$WI$41,START!$C$3,5)/1000000</f>
        <v>612.06191423999996</v>
      </c>
      <c r="BJ173" s="123">
        <f>BJ$134*INDEX('DEFAULT DATA'!$AIN$9:$AIU$41,START!$C$3,5)*INDEX('DEFAULT DATA'!$WC$9:$WI$41,START!$C$3,5)/1000000</f>
        <v>612.06191423999996</v>
      </c>
      <c r="BK173" s="123">
        <f>BK$134*INDEX('DEFAULT DATA'!$AIN$9:$AIU$41,START!$C$3,5)*INDEX('DEFAULT DATA'!$WC$9:$WI$41,START!$C$3,5)/1000000</f>
        <v>612.06191423999996</v>
      </c>
      <c r="BL173" s="123">
        <f>BL$134*INDEX('DEFAULT DATA'!$AIN$9:$AIU$41,START!$C$3,5)*INDEX('DEFAULT DATA'!$WC$9:$WI$41,START!$C$3,5)/1000000</f>
        <v>612.06191423999996</v>
      </c>
      <c r="BM173" s="123">
        <f>BM$134*INDEX('DEFAULT DATA'!$AIN$9:$AIU$41,START!$C$3,5)*INDEX('DEFAULT DATA'!$WC$9:$WI$41,START!$C$3,5)/1000000</f>
        <v>612.06191423999996</v>
      </c>
      <c r="BN173" s="123">
        <f>BN$134*INDEX('DEFAULT DATA'!$AIN$9:$AIU$41,START!$C$3,5)*INDEX('DEFAULT DATA'!$WC$9:$WI$41,START!$C$3,5)/1000000</f>
        <v>612.06191423999996</v>
      </c>
      <c r="BP173" s="375" t="str">
        <f t="shared" si="71"/>
        <v>Peat</v>
      </c>
      <c r="BQ173" s="376" t="s">
        <v>1466</v>
      </c>
      <c r="BR173" s="377"/>
      <c r="BS173" s="377"/>
      <c r="BT173" s="377"/>
      <c r="BU173" s="377"/>
      <c r="BV173" s="377"/>
      <c r="BW173" s="377"/>
      <c r="BX173" s="377"/>
      <c r="BY173" s="377"/>
      <c r="BZ173" s="377"/>
      <c r="CA173" s="377"/>
      <c r="CB173" s="377"/>
      <c r="CC173" s="377"/>
      <c r="CD173" s="377"/>
      <c r="CE173" s="377"/>
      <c r="CF173" s="377"/>
      <c r="CG173" s="378"/>
      <c r="CH173" s="374" t="s">
        <v>1421</v>
      </c>
      <c r="CI173" s="374" t="s">
        <v>1249</v>
      </c>
    </row>
    <row r="174" spans="1:87" ht="20.100000000000001" customHeight="1">
      <c r="A174" s="27"/>
      <c r="B174" s="21"/>
      <c r="C174" s="21"/>
      <c r="D174" s="21"/>
      <c r="E174" s="21"/>
      <c r="F174" s="21"/>
      <c r="G174" s="21"/>
      <c r="H174" s="21"/>
      <c r="I174" s="21"/>
      <c r="J174" s="21"/>
      <c r="K174" s="28"/>
      <c r="L174" s="16"/>
      <c r="M174" s="627"/>
      <c r="N174" s="630"/>
      <c r="O174" s="630"/>
      <c r="P174" s="630"/>
      <c r="Q174" s="630"/>
      <c r="R174" s="630"/>
      <c r="S174" s="630"/>
      <c r="T174" s="630"/>
      <c r="U174" s="630"/>
      <c r="V174" s="630"/>
      <c r="W174" s="630"/>
      <c r="X174" s="630"/>
      <c r="Y174" s="630"/>
      <c r="Z174" s="630"/>
      <c r="AA174" s="630"/>
      <c r="AB174" s="630"/>
      <c r="AC174" s="630"/>
      <c r="AD174" s="630"/>
      <c r="AE174" s="630"/>
      <c r="AF174" s="1557"/>
      <c r="AG174" s="339" t="s">
        <v>866</v>
      </c>
      <c r="AH174" s="317"/>
      <c r="AI174" s="317"/>
      <c r="AJ174" s="318"/>
      <c r="AK174" s="81">
        <v>0</v>
      </c>
      <c r="AL174" s="123">
        <f>AL$134*INDEX('DEFAULT DATA'!$AIN$9:$AIU$41,START!$C$3,6)*INDEX('DEFAULT DATA'!$WC$9:$WI$41,START!$C$3,6)/1000000</f>
        <v>784.07557487999998</v>
      </c>
      <c r="AM174" s="123">
        <f>AM$134*INDEX('DEFAULT DATA'!$AIN$9:$AIU$41,START!$C$3,6)*INDEX('DEFAULT DATA'!$WC$9:$WI$41,START!$C$3,6)/1000000</f>
        <v>784.07557487999998</v>
      </c>
      <c r="AN174" s="123">
        <f>AN$134*INDEX('DEFAULT DATA'!$AIN$9:$AIU$41,START!$C$3,6)*INDEX('DEFAULT DATA'!$WC$9:$WI$41,START!$C$3,6)/1000000</f>
        <v>784.07557487999998</v>
      </c>
      <c r="AO174" s="123">
        <f>AO$134*INDEX('DEFAULT DATA'!$AIN$9:$AIU$41,START!$C$3,6)*INDEX('DEFAULT DATA'!$WC$9:$WI$41,START!$C$3,6)/1000000</f>
        <v>784.07557487999998</v>
      </c>
      <c r="AP174" s="123">
        <f>AP$134*INDEX('DEFAULT DATA'!$AIN$9:$AIU$41,START!$C$3,6)*INDEX('DEFAULT DATA'!$WC$9:$WI$41,START!$C$3,6)/1000000</f>
        <v>784.07557487999998</v>
      </c>
      <c r="AQ174" s="123">
        <f>AQ$134*INDEX('DEFAULT DATA'!$AIN$9:$AIU$41,START!$C$3,6)*INDEX('DEFAULT DATA'!$WC$9:$WI$41,START!$C$3,6)/1000000</f>
        <v>784.07557487999998</v>
      </c>
      <c r="AR174" s="123">
        <f>AR$134*INDEX('DEFAULT DATA'!$AIN$9:$AIU$41,START!$C$3,6)*INDEX('DEFAULT DATA'!$WC$9:$WI$41,START!$C$3,6)/1000000</f>
        <v>784.07557487999998</v>
      </c>
      <c r="AS174" s="123">
        <f>AS$134*INDEX('DEFAULT DATA'!$AIN$9:$AIU$41,START!$C$3,6)*INDEX('DEFAULT DATA'!$WC$9:$WI$41,START!$C$3,6)/1000000</f>
        <v>784.07557487999998</v>
      </c>
      <c r="AT174" s="123">
        <f>AT$134*INDEX('DEFAULT DATA'!$AIN$9:$AIU$41,START!$C$3,6)*INDEX('DEFAULT DATA'!$WC$9:$WI$41,START!$C$3,6)/1000000</f>
        <v>784.07557487999998</v>
      </c>
      <c r="AU174" s="123">
        <f>AU$134*INDEX('DEFAULT DATA'!$AIN$9:$AIU$41,START!$C$3,6)*INDEX('DEFAULT DATA'!$WC$9:$WI$41,START!$C$3,6)/1000000</f>
        <v>784.07557487999998</v>
      </c>
      <c r="AV174" s="123">
        <f>AV$134*INDEX('DEFAULT DATA'!$AIN$9:$AIU$41,START!$C$3,6)*INDEX('DEFAULT DATA'!$WC$9:$WI$41,START!$C$3,6)/1000000</f>
        <v>784.07557487999998</v>
      </c>
      <c r="AW174" s="123">
        <f>AW$134*INDEX('DEFAULT DATA'!$AIN$9:$AIU$41,START!$C$3,6)*INDEX('DEFAULT DATA'!$WC$9:$WI$41,START!$C$3,6)/1000000</f>
        <v>784.07557487999998</v>
      </c>
      <c r="AX174" s="123">
        <f>AX$134*INDEX('DEFAULT DATA'!$AIN$9:$AIU$41,START!$C$3,6)*INDEX('DEFAULT DATA'!$WC$9:$WI$41,START!$C$3,6)/1000000</f>
        <v>784.07557487999998</v>
      </c>
      <c r="AY174" s="123">
        <f>AY$134*INDEX('DEFAULT DATA'!$AIN$9:$AIU$41,START!$C$3,6)*INDEX('DEFAULT DATA'!$WC$9:$WI$41,START!$C$3,6)/1000000</f>
        <v>784.07557487999998</v>
      </c>
      <c r="AZ174" s="123">
        <f>AZ$134*INDEX('DEFAULT DATA'!$AIN$9:$AIU$41,START!$C$3,6)*INDEX('DEFAULT DATA'!$WC$9:$WI$41,START!$C$3,6)/1000000</f>
        <v>784.07557487999998</v>
      </c>
      <c r="BA174" s="123">
        <f>BA$134*INDEX('DEFAULT DATA'!$AIN$9:$AIU$41,START!$C$3,6)*INDEX('DEFAULT DATA'!$WC$9:$WI$41,START!$C$3,6)/1000000</f>
        <v>784.07557487999998</v>
      </c>
      <c r="BB174" s="123">
        <f>BB$134*INDEX('DEFAULT DATA'!$AIN$9:$AIU$41,START!$C$3,6)*INDEX('DEFAULT DATA'!$WC$9:$WI$41,START!$C$3,6)/1000000</f>
        <v>784.07557487999998</v>
      </c>
      <c r="BC174" s="123">
        <f>BC$134*INDEX('DEFAULT DATA'!$AIN$9:$AIU$41,START!$C$3,6)*INDEX('DEFAULT DATA'!$WC$9:$WI$41,START!$C$3,6)/1000000</f>
        <v>784.07557487999998</v>
      </c>
      <c r="BD174" s="123">
        <f>BD$134*INDEX('DEFAULT DATA'!$AIN$9:$AIU$41,START!$C$3,6)*INDEX('DEFAULT DATA'!$WC$9:$WI$41,START!$C$3,6)/1000000</f>
        <v>784.07557487999998</v>
      </c>
      <c r="BE174" s="123">
        <f>BE$134*INDEX('DEFAULT DATA'!$AIN$9:$AIU$41,START!$C$3,6)*INDEX('DEFAULT DATA'!$WC$9:$WI$41,START!$C$3,6)/1000000</f>
        <v>784.07557487999998</v>
      </c>
      <c r="BF174" s="123">
        <f>BF$134*INDEX('DEFAULT DATA'!$AIN$9:$AIU$41,START!$C$3,6)*INDEX('DEFAULT DATA'!$WC$9:$WI$41,START!$C$3,6)/1000000</f>
        <v>784.07557487999998</v>
      </c>
      <c r="BG174" s="123">
        <f>BG$134*INDEX('DEFAULT DATA'!$AIN$9:$AIU$41,START!$C$3,6)*INDEX('DEFAULT DATA'!$WC$9:$WI$41,START!$C$3,6)/1000000</f>
        <v>784.07557487999998</v>
      </c>
      <c r="BH174" s="123">
        <f>BH$134*INDEX('DEFAULT DATA'!$AIN$9:$AIU$41,START!$C$3,6)*INDEX('DEFAULT DATA'!$WC$9:$WI$41,START!$C$3,6)/1000000</f>
        <v>784.07557487999998</v>
      </c>
      <c r="BI174" s="123">
        <f>BI$134*INDEX('DEFAULT DATA'!$AIN$9:$AIU$41,START!$C$3,6)*INDEX('DEFAULT DATA'!$WC$9:$WI$41,START!$C$3,6)/1000000</f>
        <v>784.07557487999998</v>
      </c>
      <c r="BJ174" s="123">
        <f>BJ$134*INDEX('DEFAULT DATA'!$AIN$9:$AIU$41,START!$C$3,6)*INDEX('DEFAULT DATA'!$WC$9:$WI$41,START!$C$3,6)/1000000</f>
        <v>784.07557487999998</v>
      </c>
      <c r="BK174" s="123">
        <f>BK$134*INDEX('DEFAULT DATA'!$AIN$9:$AIU$41,START!$C$3,6)*INDEX('DEFAULT DATA'!$WC$9:$WI$41,START!$C$3,6)/1000000</f>
        <v>784.07557487999998</v>
      </c>
      <c r="BL174" s="123">
        <f>BL$134*INDEX('DEFAULT DATA'!$AIN$9:$AIU$41,START!$C$3,6)*INDEX('DEFAULT DATA'!$WC$9:$WI$41,START!$C$3,6)/1000000</f>
        <v>784.07557487999998</v>
      </c>
      <c r="BM174" s="123">
        <f>BM$134*INDEX('DEFAULT DATA'!$AIN$9:$AIU$41,START!$C$3,6)*INDEX('DEFAULT DATA'!$WC$9:$WI$41,START!$C$3,6)/1000000</f>
        <v>784.07557487999998</v>
      </c>
      <c r="BN174" s="123">
        <f>BN$134*INDEX('DEFAULT DATA'!$AIN$9:$AIU$41,START!$C$3,6)*INDEX('DEFAULT DATA'!$WC$9:$WI$41,START!$C$3,6)/1000000</f>
        <v>784.07557487999998</v>
      </c>
      <c r="BP174" s="375" t="str">
        <f t="shared" si="71"/>
        <v>Wood</v>
      </c>
      <c r="BQ174" s="376" t="s">
        <v>1467</v>
      </c>
      <c r="BR174" s="377"/>
      <c r="BS174" s="377"/>
      <c r="BT174" s="377"/>
      <c r="BU174" s="377"/>
      <c r="BV174" s="377"/>
      <c r="BW174" s="377"/>
      <c r="BX174" s="377"/>
      <c r="BY174" s="377"/>
      <c r="BZ174" s="377"/>
      <c r="CA174" s="377"/>
      <c r="CB174" s="377"/>
      <c r="CC174" s="377"/>
      <c r="CD174" s="377"/>
      <c r="CE174" s="377"/>
      <c r="CF174" s="377"/>
      <c r="CG174" s="378"/>
      <c r="CH174" s="374" t="s">
        <v>1422</v>
      </c>
      <c r="CI174" s="374" t="s">
        <v>1250</v>
      </c>
    </row>
    <row r="175" spans="1:87" ht="20.100000000000001" customHeight="1" thickBot="1">
      <c r="A175" s="27"/>
      <c r="B175" s="21"/>
      <c r="C175" s="21"/>
      <c r="D175" s="21"/>
      <c r="E175" s="21"/>
      <c r="F175" s="21"/>
      <c r="G175" s="21"/>
      <c r="H175" s="21"/>
      <c r="I175" s="21"/>
      <c r="J175" s="21"/>
      <c r="K175" s="28"/>
      <c r="L175" s="16"/>
      <c r="M175" s="627"/>
      <c r="N175" s="630"/>
      <c r="O175" s="630"/>
      <c r="P175" s="630"/>
      <c r="Q175" s="630"/>
      <c r="R175" s="630"/>
      <c r="S175" s="630"/>
      <c r="T175" s="630"/>
      <c r="U175" s="630"/>
      <c r="V175" s="630"/>
      <c r="W175" s="630"/>
      <c r="X175" s="630"/>
      <c r="Y175" s="630"/>
      <c r="Z175" s="630"/>
      <c r="AA175" s="630"/>
      <c r="AB175" s="630"/>
      <c r="AC175" s="630"/>
      <c r="AD175" s="630"/>
      <c r="AE175" s="630"/>
      <c r="AF175" s="1557"/>
      <c r="AG175" s="339" t="s">
        <v>867</v>
      </c>
      <c r="AH175" s="317"/>
      <c r="AI175" s="317"/>
      <c r="AJ175" s="318"/>
      <c r="AK175" s="81">
        <v>0</v>
      </c>
      <c r="AL175" s="123">
        <f>AL$134*INDEX('DEFAULT DATA'!$AIN$9:$AIU$41,START!$C$3,7)*INDEX('DEFAULT DATA'!$WC$9:$WI$41,START!$C$3,7)/1000000</f>
        <v>0</v>
      </c>
      <c r="AM175" s="123">
        <f>AM$134*INDEX('DEFAULT DATA'!$AIN$9:$AIU$41,START!$C$3,7)*INDEX('DEFAULT DATA'!$WC$9:$WI$41,START!$C$3,7)/1000000</f>
        <v>0</v>
      </c>
      <c r="AN175" s="123">
        <f>AN$134*INDEX('DEFAULT DATA'!$AIN$9:$AIU$41,START!$C$3,7)*INDEX('DEFAULT DATA'!$WC$9:$WI$41,START!$C$3,7)/1000000</f>
        <v>0</v>
      </c>
      <c r="AO175" s="123">
        <f>AO$134*INDEX('DEFAULT DATA'!$AIN$9:$AIU$41,START!$C$3,7)*INDEX('DEFAULT DATA'!$WC$9:$WI$41,START!$C$3,7)/1000000</f>
        <v>0</v>
      </c>
      <c r="AP175" s="123">
        <f>AP$134*INDEX('DEFAULT DATA'!$AIN$9:$AIU$41,START!$C$3,7)*INDEX('DEFAULT DATA'!$WC$9:$WI$41,START!$C$3,7)/1000000</f>
        <v>0</v>
      </c>
      <c r="AQ175" s="123">
        <f>AQ$134*INDEX('DEFAULT DATA'!$AIN$9:$AIU$41,START!$C$3,7)*INDEX('DEFAULT DATA'!$WC$9:$WI$41,START!$C$3,7)/1000000</f>
        <v>0</v>
      </c>
      <c r="AR175" s="123">
        <f>AR$134*INDEX('DEFAULT DATA'!$AIN$9:$AIU$41,START!$C$3,7)*INDEX('DEFAULT DATA'!$WC$9:$WI$41,START!$C$3,7)/1000000</f>
        <v>0</v>
      </c>
      <c r="AS175" s="123">
        <f>AS$134*INDEX('DEFAULT DATA'!$AIN$9:$AIU$41,START!$C$3,7)*INDEX('DEFAULT DATA'!$WC$9:$WI$41,START!$C$3,7)/1000000</f>
        <v>0</v>
      </c>
      <c r="AT175" s="123">
        <f>AT$134*INDEX('DEFAULT DATA'!$AIN$9:$AIU$41,START!$C$3,7)*INDEX('DEFAULT DATA'!$WC$9:$WI$41,START!$C$3,7)/1000000</f>
        <v>0</v>
      </c>
      <c r="AU175" s="123">
        <f>AU$134*INDEX('DEFAULT DATA'!$AIN$9:$AIU$41,START!$C$3,7)*INDEX('DEFAULT DATA'!$WC$9:$WI$41,START!$C$3,7)/1000000</f>
        <v>0</v>
      </c>
      <c r="AV175" s="123">
        <f>AV$134*INDEX('DEFAULT DATA'!$AIN$9:$AIU$41,START!$C$3,7)*INDEX('DEFAULT DATA'!$WC$9:$WI$41,START!$C$3,7)/1000000</f>
        <v>0</v>
      </c>
      <c r="AW175" s="123">
        <f>AW$134*INDEX('DEFAULT DATA'!$AIN$9:$AIU$41,START!$C$3,7)*INDEX('DEFAULT DATA'!$WC$9:$WI$41,START!$C$3,7)/1000000</f>
        <v>0</v>
      </c>
      <c r="AX175" s="123">
        <f>AX$134*INDEX('DEFAULT DATA'!$AIN$9:$AIU$41,START!$C$3,7)*INDEX('DEFAULT DATA'!$WC$9:$WI$41,START!$C$3,7)/1000000</f>
        <v>0</v>
      </c>
      <c r="AY175" s="123">
        <f>AY$134*INDEX('DEFAULT DATA'!$AIN$9:$AIU$41,START!$C$3,7)*INDEX('DEFAULT DATA'!$WC$9:$WI$41,START!$C$3,7)/1000000</f>
        <v>0</v>
      </c>
      <c r="AZ175" s="123">
        <f>AZ$134*INDEX('DEFAULT DATA'!$AIN$9:$AIU$41,START!$C$3,7)*INDEX('DEFAULT DATA'!$WC$9:$WI$41,START!$C$3,7)/1000000</f>
        <v>0</v>
      </c>
      <c r="BA175" s="123">
        <f>BA$134*INDEX('DEFAULT DATA'!$AIN$9:$AIU$41,START!$C$3,7)*INDEX('DEFAULT DATA'!$WC$9:$WI$41,START!$C$3,7)/1000000</f>
        <v>0</v>
      </c>
      <c r="BB175" s="123">
        <f>BB$134*INDEX('DEFAULT DATA'!$AIN$9:$AIU$41,START!$C$3,7)*INDEX('DEFAULT DATA'!$WC$9:$WI$41,START!$C$3,7)/1000000</f>
        <v>0</v>
      </c>
      <c r="BC175" s="123">
        <f>BC$134*INDEX('DEFAULT DATA'!$AIN$9:$AIU$41,START!$C$3,7)*INDEX('DEFAULT DATA'!$WC$9:$WI$41,START!$C$3,7)/1000000</f>
        <v>0</v>
      </c>
      <c r="BD175" s="123">
        <f>BD$134*INDEX('DEFAULT DATA'!$AIN$9:$AIU$41,START!$C$3,7)*INDEX('DEFAULT DATA'!$WC$9:$WI$41,START!$C$3,7)/1000000</f>
        <v>0</v>
      </c>
      <c r="BE175" s="123">
        <f>BE$134*INDEX('DEFAULT DATA'!$AIN$9:$AIU$41,START!$C$3,7)*INDEX('DEFAULT DATA'!$WC$9:$WI$41,START!$C$3,7)/1000000</f>
        <v>0</v>
      </c>
      <c r="BF175" s="123">
        <f>BF$134*INDEX('DEFAULT DATA'!$AIN$9:$AIU$41,START!$C$3,7)*INDEX('DEFAULT DATA'!$WC$9:$WI$41,START!$C$3,7)/1000000</f>
        <v>0</v>
      </c>
      <c r="BG175" s="123">
        <f>BG$134*INDEX('DEFAULT DATA'!$AIN$9:$AIU$41,START!$C$3,7)*INDEX('DEFAULT DATA'!$WC$9:$WI$41,START!$C$3,7)/1000000</f>
        <v>0</v>
      </c>
      <c r="BH175" s="123">
        <f>BH$134*INDEX('DEFAULT DATA'!$AIN$9:$AIU$41,START!$C$3,7)*INDEX('DEFAULT DATA'!$WC$9:$WI$41,START!$C$3,7)/1000000</f>
        <v>0</v>
      </c>
      <c r="BI175" s="123">
        <f>BI$134*INDEX('DEFAULT DATA'!$AIN$9:$AIU$41,START!$C$3,7)*INDEX('DEFAULT DATA'!$WC$9:$WI$41,START!$C$3,7)/1000000</f>
        <v>0</v>
      </c>
      <c r="BJ175" s="123">
        <f>BJ$134*INDEX('DEFAULT DATA'!$AIN$9:$AIU$41,START!$C$3,7)*INDEX('DEFAULT DATA'!$WC$9:$WI$41,START!$C$3,7)/1000000</f>
        <v>0</v>
      </c>
      <c r="BK175" s="123">
        <f>BK$134*INDEX('DEFAULT DATA'!$AIN$9:$AIU$41,START!$C$3,7)*INDEX('DEFAULT DATA'!$WC$9:$WI$41,START!$C$3,7)/1000000</f>
        <v>0</v>
      </c>
      <c r="BL175" s="123">
        <f>BL$134*INDEX('DEFAULT DATA'!$AIN$9:$AIU$41,START!$C$3,7)*INDEX('DEFAULT DATA'!$WC$9:$WI$41,START!$C$3,7)/1000000</f>
        <v>0</v>
      </c>
      <c r="BM175" s="123">
        <f>BM$134*INDEX('DEFAULT DATA'!$AIN$9:$AIU$41,START!$C$3,7)*INDEX('DEFAULT DATA'!$WC$9:$WI$41,START!$C$3,7)/1000000</f>
        <v>0</v>
      </c>
      <c r="BN175" s="123">
        <f>BN$134*INDEX('DEFAULT DATA'!$AIN$9:$AIU$41,START!$C$3,7)*INDEX('DEFAULT DATA'!$WC$9:$WI$41,START!$C$3,7)/1000000</f>
        <v>0</v>
      </c>
      <c r="BP175" s="375" t="str">
        <f t="shared" si="71"/>
        <v>Renewable</v>
      </c>
      <c r="BQ175" s="376" t="s">
        <v>1468</v>
      </c>
      <c r="BR175" s="377"/>
      <c r="BS175" s="377"/>
      <c r="BT175" s="377"/>
      <c r="BU175" s="377"/>
      <c r="BV175" s="377"/>
      <c r="BW175" s="377"/>
      <c r="BX175" s="377"/>
      <c r="BY175" s="377"/>
      <c r="BZ175" s="377"/>
      <c r="CA175" s="377"/>
      <c r="CB175" s="377"/>
      <c r="CC175" s="377"/>
      <c r="CD175" s="377"/>
      <c r="CE175" s="377"/>
      <c r="CF175" s="377"/>
      <c r="CG175" s="378"/>
      <c r="CH175" s="374" t="s">
        <v>1423</v>
      </c>
      <c r="CI175" s="374" t="s">
        <v>1251</v>
      </c>
    </row>
    <row r="176" spans="1:87" ht="19.5" customHeight="1" thickBot="1">
      <c r="A176" s="299" t="s">
        <v>1060</v>
      </c>
      <c r="B176" s="857">
        <v>2022</v>
      </c>
      <c r="C176" s="857">
        <f>B176+1</f>
        <v>2023</v>
      </c>
      <c r="D176" s="857">
        <f t="shared" ref="D176:AD176" si="72">C176+1</f>
        <v>2024</v>
      </c>
      <c r="E176" s="857">
        <f t="shared" si="72"/>
        <v>2025</v>
      </c>
      <c r="F176" s="857">
        <f t="shared" si="72"/>
        <v>2026</v>
      </c>
      <c r="G176" s="857">
        <f t="shared" si="72"/>
        <v>2027</v>
      </c>
      <c r="H176" s="857">
        <f t="shared" si="72"/>
        <v>2028</v>
      </c>
      <c r="I176" s="857">
        <f t="shared" si="72"/>
        <v>2029</v>
      </c>
      <c r="J176" s="857">
        <f t="shared" si="72"/>
        <v>2030</v>
      </c>
      <c r="K176" s="857">
        <f t="shared" si="72"/>
        <v>2031</v>
      </c>
      <c r="L176" s="857">
        <f t="shared" si="72"/>
        <v>2032</v>
      </c>
      <c r="M176" s="857">
        <f t="shared" si="72"/>
        <v>2033</v>
      </c>
      <c r="N176" s="857">
        <f t="shared" si="72"/>
        <v>2034</v>
      </c>
      <c r="O176" s="857">
        <f t="shared" si="72"/>
        <v>2035</v>
      </c>
      <c r="P176" s="857">
        <f t="shared" si="72"/>
        <v>2036</v>
      </c>
      <c r="Q176" s="857">
        <f t="shared" si="72"/>
        <v>2037</v>
      </c>
      <c r="R176" s="857">
        <f t="shared" si="72"/>
        <v>2038</v>
      </c>
      <c r="S176" s="857">
        <f t="shared" si="72"/>
        <v>2039</v>
      </c>
      <c r="T176" s="857">
        <f t="shared" si="72"/>
        <v>2040</v>
      </c>
      <c r="U176" s="857">
        <f t="shared" si="72"/>
        <v>2041</v>
      </c>
      <c r="V176" s="857">
        <f t="shared" si="72"/>
        <v>2042</v>
      </c>
      <c r="W176" s="857">
        <f t="shared" si="72"/>
        <v>2043</v>
      </c>
      <c r="X176" s="857">
        <f t="shared" si="72"/>
        <v>2044</v>
      </c>
      <c r="Y176" s="857">
        <f t="shared" si="72"/>
        <v>2045</v>
      </c>
      <c r="Z176" s="857">
        <f t="shared" si="72"/>
        <v>2046</v>
      </c>
      <c r="AA176" s="857">
        <f t="shared" si="72"/>
        <v>2047</v>
      </c>
      <c r="AB176" s="857">
        <f t="shared" si="72"/>
        <v>2048</v>
      </c>
      <c r="AC176" s="857">
        <f t="shared" si="72"/>
        <v>2049</v>
      </c>
      <c r="AD176" s="153">
        <f t="shared" si="72"/>
        <v>2050</v>
      </c>
      <c r="AE176" s="630"/>
      <c r="AF176" s="1558"/>
      <c r="AG176" s="329" t="s">
        <v>868</v>
      </c>
      <c r="AH176" s="330"/>
      <c r="AI176" s="330"/>
      <c r="AJ176" s="175"/>
      <c r="AK176" s="155">
        <v>0</v>
      </c>
      <c r="AL176" s="160">
        <f>AL$134*INDEX('DEFAULT DATA'!$AIN$9:$AIU$41,START!$C$3,8)*BUILDINGS!AL6/1000000</f>
        <v>3.0342447991647452</v>
      </c>
      <c r="AM176" s="160">
        <f>AM$134*INDEX('DEFAULT DATA'!$AIN$9:$AIU$41,START!$C$3,8)*BUILDINGS!AM6/1000000</f>
        <v>3.0342447991647452</v>
      </c>
      <c r="AN176" s="160">
        <f>AN$134*INDEX('DEFAULT DATA'!$AIN$9:$AIU$41,START!$C$3,8)*BUILDINGS!AN6/1000000</f>
        <v>3.0342447991647452</v>
      </c>
      <c r="AO176" s="160">
        <f>AO$134*INDEX('DEFAULT DATA'!$AIN$9:$AIU$41,START!$C$3,8)*BUILDINGS!AO6/1000000</f>
        <v>3.0342447991647452</v>
      </c>
      <c r="AP176" s="160">
        <f>AP$134*INDEX('DEFAULT DATA'!$AIN$9:$AIU$41,START!$C$3,8)*BUILDINGS!AP6/1000000</f>
        <v>3.0342447991647452</v>
      </c>
      <c r="AQ176" s="160">
        <f>AQ$134*INDEX('DEFAULT DATA'!$AIN$9:$AIU$41,START!$C$3,8)*BUILDINGS!AQ6/1000000</f>
        <v>3.0342447991647452</v>
      </c>
      <c r="AR176" s="160">
        <f>AR$134*INDEX('DEFAULT DATA'!$AIN$9:$AIU$41,START!$C$3,8)*BUILDINGS!AR6/1000000</f>
        <v>3.0342447991647452</v>
      </c>
      <c r="AS176" s="160">
        <f>AS$134*INDEX('DEFAULT DATA'!$AIN$9:$AIU$41,START!$C$3,8)*BUILDINGS!AS6/1000000</f>
        <v>3.0342447991647452</v>
      </c>
      <c r="AT176" s="160">
        <f>AT$134*INDEX('DEFAULT DATA'!$AIN$9:$AIU$41,START!$C$3,8)*BUILDINGS!AT6/1000000</f>
        <v>3.0342447991647452</v>
      </c>
      <c r="AU176" s="160">
        <f>AU$134*INDEX('DEFAULT DATA'!$AIN$9:$AIU$41,START!$C$3,8)*BUILDINGS!AU6/1000000</f>
        <v>3.0342447991647452</v>
      </c>
      <c r="AV176" s="160">
        <f>AV$134*INDEX('DEFAULT DATA'!$AIN$9:$AIU$41,START!$C$3,8)*BUILDINGS!AV6/1000000</f>
        <v>3.0342447991647452</v>
      </c>
      <c r="AW176" s="160">
        <f>AW$134*INDEX('DEFAULT DATA'!$AIN$9:$AIU$41,START!$C$3,8)*BUILDINGS!AW6/1000000</f>
        <v>3.0342447991647452</v>
      </c>
      <c r="AX176" s="160">
        <f>AX$134*INDEX('DEFAULT DATA'!$AIN$9:$AIU$41,START!$C$3,8)*BUILDINGS!AX6/1000000</f>
        <v>3.0342447991647452</v>
      </c>
      <c r="AY176" s="160">
        <f>AY$134*INDEX('DEFAULT DATA'!$AIN$9:$AIU$41,START!$C$3,8)*BUILDINGS!AY6/1000000</f>
        <v>3.0342447991647452</v>
      </c>
      <c r="AZ176" s="160">
        <f>AZ$134*INDEX('DEFAULT DATA'!$AIN$9:$AIU$41,START!$C$3,8)*BUILDINGS!AZ6/1000000</f>
        <v>3.0342447991647452</v>
      </c>
      <c r="BA176" s="160">
        <f>BA$134*INDEX('DEFAULT DATA'!$AIN$9:$AIU$41,START!$C$3,8)*BUILDINGS!BA6/1000000</f>
        <v>3.0342447991647452</v>
      </c>
      <c r="BB176" s="160">
        <f>BB$134*INDEX('DEFAULT DATA'!$AIN$9:$AIU$41,START!$C$3,8)*BUILDINGS!BB6/1000000</f>
        <v>3.0342447991647452</v>
      </c>
      <c r="BC176" s="160">
        <f>BC$134*INDEX('DEFAULT DATA'!$AIN$9:$AIU$41,START!$C$3,8)*BUILDINGS!BC6/1000000</f>
        <v>3.0342447991647452</v>
      </c>
      <c r="BD176" s="160">
        <f>BD$134*INDEX('DEFAULT DATA'!$AIN$9:$AIU$41,START!$C$3,8)*BUILDINGS!BD6/1000000</f>
        <v>3.0342447991647452</v>
      </c>
      <c r="BE176" s="160">
        <f>BE$134*INDEX('DEFAULT DATA'!$AIN$9:$AIU$41,START!$C$3,8)*BUILDINGS!BE6/1000000</f>
        <v>3.0342447991647452</v>
      </c>
      <c r="BF176" s="160">
        <f>BF$134*INDEX('DEFAULT DATA'!$AIN$9:$AIU$41,START!$C$3,8)*BUILDINGS!BF6/1000000</f>
        <v>3.0342447991647452</v>
      </c>
      <c r="BG176" s="160">
        <f>BG$134*INDEX('DEFAULT DATA'!$AIN$9:$AIU$41,START!$C$3,8)*BUILDINGS!BG6/1000000</f>
        <v>3.0342447991647452</v>
      </c>
      <c r="BH176" s="160">
        <f>BH$134*INDEX('DEFAULT DATA'!$AIN$9:$AIU$41,START!$C$3,8)*BUILDINGS!BH6/1000000</f>
        <v>3.0342447991647452</v>
      </c>
      <c r="BI176" s="160">
        <f>BI$134*INDEX('DEFAULT DATA'!$AIN$9:$AIU$41,START!$C$3,8)*BUILDINGS!BI6/1000000</f>
        <v>3.0342447991647452</v>
      </c>
      <c r="BJ176" s="160">
        <f>BJ$134*INDEX('DEFAULT DATA'!$AIN$9:$AIU$41,START!$C$3,8)*BUILDINGS!BJ6/1000000</f>
        <v>3.0342447991647452</v>
      </c>
      <c r="BK176" s="160">
        <f>BK$134*INDEX('DEFAULT DATA'!$AIN$9:$AIU$41,START!$C$3,8)*BUILDINGS!BK6/1000000</f>
        <v>3.0342447991647452</v>
      </c>
      <c r="BL176" s="160">
        <f>BL$134*INDEX('DEFAULT DATA'!$AIN$9:$AIU$41,START!$C$3,8)*BUILDINGS!BL6/1000000</f>
        <v>3.0342447991647452</v>
      </c>
      <c r="BM176" s="160">
        <f>BM$134*INDEX('DEFAULT DATA'!$AIN$9:$AIU$41,START!$C$3,8)*BUILDINGS!BM6/1000000</f>
        <v>3.0342447991647452</v>
      </c>
      <c r="BN176" s="160">
        <f>BN$134*INDEX('DEFAULT DATA'!$AIN$9:$AIU$41,START!$C$3,8)*BUILDINGS!BN6/1000000</f>
        <v>3.0342447991647452</v>
      </c>
      <c r="BP176" s="379" t="str">
        <f t="shared" si="71"/>
        <v>Heat</v>
      </c>
      <c r="BQ176" s="380" t="s">
        <v>1469</v>
      </c>
      <c r="BR176" s="381"/>
      <c r="BS176" s="381"/>
      <c r="BT176" s="381"/>
      <c r="BU176" s="381"/>
      <c r="BV176" s="381"/>
      <c r="BW176" s="381"/>
      <c r="BX176" s="381"/>
      <c r="BY176" s="381"/>
      <c r="BZ176" s="381"/>
      <c r="CA176" s="381"/>
      <c r="CB176" s="381"/>
      <c r="CC176" s="381"/>
      <c r="CD176" s="381"/>
      <c r="CE176" s="381"/>
      <c r="CF176" s="381"/>
      <c r="CG176" s="382"/>
      <c r="CH176" s="374" t="s">
        <v>1424</v>
      </c>
      <c r="CI176" s="374" t="s">
        <v>1252</v>
      </c>
    </row>
    <row r="177" spans="1:87" ht="20.100000000000001" customHeight="1">
      <c r="A177" s="101" t="s">
        <v>858</v>
      </c>
      <c r="B177" s="115">
        <f>AL980</f>
        <v>6340.23698561947</v>
      </c>
      <c r="C177" s="115">
        <f t="shared" ref="C177:AD186" si="73">AM980</f>
        <v>6196.0322481723015</v>
      </c>
      <c r="D177" s="115">
        <f t="shared" si="73"/>
        <v>6062.7870707711172</v>
      </c>
      <c r="E177" s="115">
        <f t="shared" si="73"/>
        <v>5939.6685268524234</v>
      </c>
      <c r="F177" s="115">
        <f t="shared" si="73"/>
        <v>5825.9069922715498</v>
      </c>
      <c r="G177" s="115">
        <f t="shared" si="73"/>
        <v>5720.7913343188229</v>
      </c>
      <c r="H177" s="115">
        <f t="shared" si="73"/>
        <v>5623.6644663705029</v>
      </c>
      <c r="I177" s="115">
        <f t="shared" si="73"/>
        <v>5533.9192403862553</v>
      </c>
      <c r="J177" s="115">
        <f t="shared" si="73"/>
        <v>7559.5527711910781</v>
      </c>
      <c r="K177" s="115">
        <f t="shared" si="73"/>
        <v>9545.425942159618</v>
      </c>
      <c r="L177" s="115">
        <f t="shared" si="73"/>
        <v>11482.120933564074</v>
      </c>
      <c r="M177" s="115">
        <f t="shared" si="73"/>
        <v>13372.834327076114</v>
      </c>
      <c r="N177" s="115">
        <f t="shared" si="73"/>
        <v>15220.554926558743</v>
      </c>
      <c r="O177" s="115">
        <f t="shared" si="73"/>
        <v>17028.077263623876</v>
      </c>
      <c r="P177" s="115">
        <f t="shared" si="73"/>
        <v>18798.014225328647</v>
      </c>
      <c r="Q177" s="115">
        <f t="shared" si="73"/>
        <v>20532.808861071484</v>
      </c>
      <c r="R177" s="115">
        <f t="shared" si="73"/>
        <v>22234.745422039905</v>
      </c>
      <c r="S177" s="115">
        <f t="shared" si="73"/>
        <v>23905.959683094257</v>
      </c>
      <c r="T177" s="115">
        <f t="shared" si="73"/>
        <v>25548.448593728943</v>
      </c>
      <c r="U177" s="115">
        <f t="shared" si="73"/>
        <v>25514.985108487257</v>
      </c>
      <c r="V177" s="115">
        <f t="shared" si="73"/>
        <v>25483.696749786279</v>
      </c>
      <c r="W177" s="115">
        <f t="shared" si="73"/>
        <v>25454.442134400862</v>
      </c>
      <c r="X177" s="115">
        <f t="shared" si="73"/>
        <v>25427.089069015499</v>
      </c>
      <c r="Y177" s="115">
        <f t="shared" si="73"/>
        <v>25401.513952880185</v>
      </c>
      <c r="Z177" s="115">
        <f t="shared" si="73"/>
        <v>25377.601219293665</v>
      </c>
      <c r="AA177" s="115">
        <f t="shared" si="73"/>
        <v>25355.242813390269</v>
      </c>
      <c r="AB177" s="115">
        <f t="shared" si="73"/>
        <v>25334.337703870595</v>
      </c>
      <c r="AC177" s="115">
        <f t="shared" si="73"/>
        <v>25314.791426469699</v>
      </c>
      <c r="AD177" s="323">
        <f t="shared" si="73"/>
        <v>25296.515657099859</v>
      </c>
      <c r="AE177" s="630"/>
      <c r="AF177" s="167"/>
      <c r="AG177" s="336" t="s">
        <v>211</v>
      </c>
      <c r="AH177" s="337"/>
      <c r="AI177" s="337"/>
      <c r="AJ177" s="338"/>
      <c r="AK177" s="151">
        <f>SUM(AK169:AK176)</f>
        <v>0</v>
      </c>
      <c r="AL177" s="162">
        <f>SUM(AL169:AL176)</f>
        <v>47592.940608383826</v>
      </c>
      <c r="AM177" s="162">
        <f t="shared" ref="AM177:BN177" si="74">SUM(AM169:AM176)</f>
        <v>44747.052147840353</v>
      </c>
      <c r="AN177" s="162">
        <f t="shared" si="74"/>
        <v>42117.451210298183</v>
      </c>
      <c r="AO177" s="162">
        <f t="shared" si="74"/>
        <v>39687.699944009219</v>
      </c>
      <c r="AP177" s="162">
        <f t="shared" si="74"/>
        <v>37442.609773958218</v>
      </c>
      <c r="AQ177" s="162">
        <f t="shared" si="74"/>
        <v>35368.146456831091</v>
      </c>
      <c r="AR177" s="162">
        <f t="shared" si="74"/>
        <v>33451.342351805622</v>
      </c>
      <c r="AS177" s="162">
        <f t="shared" si="74"/>
        <v>31680.215358762096</v>
      </c>
      <c r="AT177" s="162">
        <f t="shared" si="74"/>
        <v>30043.694017189871</v>
      </c>
      <c r="AU177" s="162">
        <f t="shared" si="74"/>
        <v>28750.411493836877</v>
      </c>
      <c r="AV177" s="162">
        <f t="shared" si="74"/>
        <v>27541.192334501829</v>
      </c>
      <c r="AW177" s="162">
        <f t="shared" si="74"/>
        <v>26410.572420523557</v>
      </c>
      <c r="AX177" s="162">
        <f t="shared" si="74"/>
        <v>25353.442800953868</v>
      </c>
      <c r="AY177" s="162">
        <f t="shared" si="74"/>
        <v>24365.026606656218</v>
      </c>
      <c r="AZ177" s="162">
        <f t="shared" si="74"/>
        <v>23440.857464987908</v>
      </c>
      <c r="BA177" s="162">
        <f t="shared" si="74"/>
        <v>22576.759317528042</v>
      </c>
      <c r="BB177" s="162">
        <f t="shared" si="74"/>
        <v>21768.827549653062</v>
      </c>
      <c r="BC177" s="162">
        <f t="shared" si="74"/>
        <v>21013.411346689962</v>
      </c>
      <c r="BD177" s="162">
        <f t="shared" si="74"/>
        <v>20307.097196919462</v>
      </c>
      <c r="BE177" s="162">
        <f t="shared" si="74"/>
        <v>19646.69346688404</v>
      </c>
      <c r="BF177" s="162">
        <f t="shared" si="74"/>
        <v>19029.215979300927</v>
      </c>
      <c r="BG177" s="162">
        <f t="shared" si="74"/>
        <v>18451.874528410714</v>
      </c>
      <c r="BH177" s="162">
        <f t="shared" si="74"/>
        <v>17912.060271828363</v>
      </c>
      <c r="BI177" s="162">
        <f t="shared" si="74"/>
        <v>17407.333941923865</v>
      </c>
      <c r="BJ177" s="162">
        <f t="shared" si="74"/>
        <v>16935.414823463161</v>
      </c>
      <c r="BK177" s="162">
        <f t="shared" si="74"/>
        <v>16494.1704477024</v>
      </c>
      <c r="BL177" s="162">
        <f t="shared" si="74"/>
        <v>16081.606956366089</v>
      </c>
      <c r="BM177" s="162">
        <f t="shared" si="74"/>
        <v>15695.860091966639</v>
      </c>
      <c r="BN177" s="162">
        <f t="shared" si="74"/>
        <v>15335.186773753154</v>
      </c>
      <c r="BQ177" s="6"/>
    </row>
    <row r="178" spans="1:87" ht="20.100000000000001" customHeight="1">
      <c r="A178" s="101" t="s">
        <v>861</v>
      </c>
      <c r="B178" s="115">
        <f t="shared" ref="B178:B186" si="75">AL981</f>
        <v>9815.7307639400351</v>
      </c>
      <c r="C178" s="115">
        <f t="shared" si="73"/>
        <v>9592.4780872851134</v>
      </c>
      <c r="D178" s="115">
        <f t="shared" si="73"/>
        <v>9386.1926140559663</v>
      </c>
      <c r="E178" s="115">
        <f t="shared" si="73"/>
        <v>9195.5848367922354</v>
      </c>
      <c r="F178" s="115">
        <f t="shared" si="73"/>
        <v>9019.4632506005473</v>
      </c>
      <c r="G178" s="115">
        <f t="shared" si="73"/>
        <v>8856.7269049594288</v>
      </c>
      <c r="H178" s="115">
        <f t="shared" si="73"/>
        <v>8706.3585215870335</v>
      </c>
      <c r="I178" s="115">
        <f t="shared" si="73"/>
        <v>8567.4181353509412</v>
      </c>
      <c r="J178" s="115">
        <f t="shared" si="73"/>
        <v>8439.0372184687913</v>
      </c>
      <c r="K178" s="115">
        <f t="shared" si="73"/>
        <v>8337.5825096800836</v>
      </c>
      <c r="L178" s="115">
        <f t="shared" si="73"/>
        <v>8242.7223569626403</v>
      </c>
      <c r="M178" s="115">
        <f t="shared" si="73"/>
        <v>8154.0281141718306</v>
      </c>
      <c r="N178" s="115">
        <f t="shared" si="73"/>
        <v>8071.0989971624231</v>
      </c>
      <c r="O178" s="115">
        <f t="shared" si="73"/>
        <v>7993.5602727586283</v>
      </c>
      <c r="P178" s="115">
        <f t="shared" si="73"/>
        <v>7921.0615654410794</v>
      </c>
      <c r="Q178" s="115">
        <f t="shared" si="73"/>
        <v>7853.2752740991718</v>
      </c>
      <c r="R178" s="115">
        <f t="shared" si="73"/>
        <v>7789.8950916944877</v>
      </c>
      <c r="S178" s="115">
        <f t="shared" si="73"/>
        <v>7730.6346211461087</v>
      </c>
      <c r="T178" s="115">
        <f t="shared" si="73"/>
        <v>7675.2260811833739</v>
      </c>
      <c r="U178" s="115">
        <f t="shared" si="73"/>
        <v>7623.4190963182164</v>
      </c>
      <c r="V178" s="115">
        <f t="shared" si="73"/>
        <v>7574.9795654692953</v>
      </c>
      <c r="W178" s="115">
        <f t="shared" si="73"/>
        <v>7529.688604125553</v>
      </c>
      <c r="X178" s="115">
        <f t="shared" si="73"/>
        <v>7487.341555269154</v>
      </c>
      <c r="Y178" s="115">
        <f t="shared" si="73"/>
        <v>7447.7470645884214</v>
      </c>
      <c r="Z178" s="115">
        <f t="shared" si="73"/>
        <v>7410.7262158019366</v>
      </c>
      <c r="AA178" s="115">
        <f t="shared" si="73"/>
        <v>7376.1117221865725</v>
      </c>
      <c r="AB178" s="115">
        <f t="shared" si="73"/>
        <v>7343.7471706562083</v>
      </c>
      <c r="AC178" s="115">
        <f t="shared" si="73"/>
        <v>7313.4863149753164</v>
      </c>
      <c r="AD178" s="323">
        <f t="shared" si="73"/>
        <v>7285.192414913683</v>
      </c>
      <c r="AE178" s="630"/>
      <c r="BQ178" s="6"/>
    </row>
    <row r="179" spans="1:87" ht="20.100000000000001" customHeight="1">
      <c r="A179" s="101" t="s">
        <v>860</v>
      </c>
      <c r="B179" s="115">
        <f t="shared" si="75"/>
        <v>41317.689306508546</v>
      </c>
      <c r="C179" s="115">
        <f t="shared" si="73"/>
        <v>40377.944222549886</v>
      </c>
      <c r="D179" s="115">
        <f t="shared" si="73"/>
        <v>39509.619764972085</v>
      </c>
      <c r="E179" s="115">
        <f t="shared" si="73"/>
        <v>38707.287966170195</v>
      </c>
      <c r="F179" s="115">
        <f t="shared" si="73"/>
        <v>37965.933384077252</v>
      </c>
      <c r="G179" s="115">
        <f t="shared" si="73"/>
        <v>37280.921750223373</v>
      </c>
      <c r="H179" s="115">
        <f t="shared" si="73"/>
        <v>36647.971000542384</v>
      </c>
      <c r="I179" s="115">
        <f t="shared" si="73"/>
        <v>36063.124507837158</v>
      </c>
      <c r="J179" s="115">
        <f t="shared" si="73"/>
        <v>35522.726348577518</v>
      </c>
      <c r="K179" s="115">
        <f t="shared" si="73"/>
        <v>35095.6695927205</v>
      </c>
      <c r="L179" s="115">
        <f t="shared" si="73"/>
        <v>34696.371525994189</v>
      </c>
      <c r="M179" s="115">
        <f t="shared" si="73"/>
        <v>34323.027833605083</v>
      </c>
      <c r="N179" s="115">
        <f t="shared" si="73"/>
        <v>33973.951481221273</v>
      </c>
      <c r="O179" s="115">
        <f t="shared" si="73"/>
        <v>33647.565091742406</v>
      </c>
      <c r="P179" s="115">
        <f t="shared" si="73"/>
        <v>33342.393817579665</v>
      </c>
      <c r="Q179" s="115">
        <f t="shared" si="73"/>
        <v>33057.05867623751</v>
      </c>
      <c r="R179" s="115">
        <f t="shared" si="73"/>
        <v>32790.270319082585</v>
      </c>
      <c r="S179" s="115">
        <f t="shared" si="73"/>
        <v>32540.82320514274</v>
      </c>
      <c r="T179" s="115">
        <f t="shared" si="73"/>
        <v>32307.59015360898</v>
      </c>
      <c r="U179" s="115">
        <f t="shared" si="73"/>
        <v>32089.517250424913</v>
      </c>
      <c r="V179" s="115">
        <f t="shared" si="73"/>
        <v>31885.619085947808</v>
      </c>
      <c r="W179" s="115">
        <f t="shared" si="73"/>
        <v>31694.974302161718</v>
      </c>
      <c r="X179" s="115">
        <f t="shared" si="73"/>
        <v>31516.721429321726</v>
      </c>
      <c r="Y179" s="115">
        <f t="shared" si="73"/>
        <v>31350.054993216334</v>
      </c>
      <c r="Z179" s="115">
        <f t="shared" si="73"/>
        <v>31194.221875457792</v>
      </c>
      <c r="AA179" s="115">
        <f t="shared" si="73"/>
        <v>31048.517910353548</v>
      </c>
      <c r="AB179" s="115">
        <f t="shared" si="73"/>
        <v>30912.284702981087</v>
      </c>
      <c r="AC179" s="115">
        <f t="shared" si="73"/>
        <v>30784.906654087834</v>
      </c>
      <c r="AD179" s="323">
        <f t="shared" si="73"/>
        <v>30665.808178372645</v>
      </c>
      <c r="AE179" s="630"/>
      <c r="BQ179" s="6"/>
      <c r="CH179" s="1610" t="s">
        <v>1393</v>
      </c>
      <c r="CI179" s="225"/>
    </row>
    <row r="180" spans="1:87" ht="20.100000000000001" customHeight="1">
      <c r="A180" s="101" t="s">
        <v>859</v>
      </c>
      <c r="B180" s="115">
        <f t="shared" si="75"/>
        <v>79224.822270316072</v>
      </c>
      <c r="C180" s="115">
        <f t="shared" si="73"/>
        <v>77228.58022352065</v>
      </c>
      <c r="D180" s="115">
        <f t="shared" si="73"/>
        <v>75384.052572281667</v>
      </c>
      <c r="E180" s="115">
        <f t="shared" si="73"/>
        <v>73679.709022536845</v>
      </c>
      <c r="F180" s="115">
        <f t="shared" si="73"/>
        <v>72104.895582572644</v>
      </c>
      <c r="G180" s="115">
        <f t="shared" si="73"/>
        <v>70649.767964045706</v>
      </c>
      <c r="H180" s="115">
        <f t="shared" si="73"/>
        <v>69305.230044526834</v>
      </c>
      <c r="I180" s="115">
        <f t="shared" si="73"/>
        <v>68062.877006891373</v>
      </c>
      <c r="J180" s="115">
        <f t="shared" si="73"/>
        <v>66914.942800116216</v>
      </c>
      <c r="K180" s="115">
        <f t="shared" si="73"/>
        <v>66007.772688814701</v>
      </c>
      <c r="L180" s="115">
        <f t="shared" si="73"/>
        <v>65159.568634747775</v>
      </c>
      <c r="M180" s="115">
        <f t="shared" si="73"/>
        <v>64366.497844195197</v>
      </c>
      <c r="N180" s="115">
        <f t="shared" si="73"/>
        <v>63624.976655028542</v>
      </c>
      <c r="O180" s="115">
        <f t="shared" si="73"/>
        <v>62931.654343157716</v>
      </c>
      <c r="P180" s="115">
        <f t="shared" si="73"/>
        <v>62283.397981558504</v>
      </c>
      <c r="Q180" s="115">
        <f t="shared" si="73"/>
        <v>61677.278283463223</v>
      </c>
      <c r="R180" s="115">
        <f t="shared" si="73"/>
        <v>61110.556365744153</v>
      </c>
      <c r="S180" s="115">
        <f t="shared" si="73"/>
        <v>60580.671372676807</v>
      </c>
      <c r="T180" s="115">
        <f t="shared" si="73"/>
        <v>60085.228904158852</v>
      </c>
      <c r="U180" s="115">
        <f t="shared" si="73"/>
        <v>59621.990196094557</v>
      </c>
      <c r="V180" s="115">
        <f t="shared" si="73"/>
        <v>59188.862004054434</v>
      </c>
      <c r="W180" s="115">
        <f t="shared" si="73"/>
        <v>58783.887144496926</v>
      </c>
      <c r="X180" s="115">
        <f t="shared" si="73"/>
        <v>58405.23565081066</v>
      </c>
      <c r="Y180" s="115">
        <f t="shared" si="73"/>
        <v>58051.196504214007</v>
      </c>
      <c r="Z180" s="115">
        <f t="shared" si="73"/>
        <v>57720.169902146125</v>
      </c>
      <c r="AA180" s="115">
        <f t="shared" si="73"/>
        <v>57410.660029212653</v>
      </c>
      <c r="AB180" s="115">
        <f t="shared" si="73"/>
        <v>57121.268298019859</v>
      </c>
      <c r="AC180" s="115">
        <f t="shared" si="73"/>
        <v>56850.687029354609</v>
      </c>
      <c r="AD180" s="323">
        <f t="shared" si="73"/>
        <v>56597.693543152578</v>
      </c>
      <c r="AE180" s="630"/>
      <c r="AF180" s="122" t="s">
        <v>1036</v>
      </c>
      <c r="BQ180" s="6"/>
      <c r="CH180" s="1610"/>
      <c r="CI180" s="225"/>
    </row>
    <row r="181" spans="1:87" ht="20.100000000000001" customHeight="1">
      <c r="A181" s="101" t="s">
        <v>870</v>
      </c>
      <c r="B181" s="115">
        <f t="shared" si="75"/>
        <v>14588.207846393425</v>
      </c>
      <c r="C181" s="115">
        <f t="shared" si="73"/>
        <v>13479.504050067526</v>
      </c>
      <c r="D181" s="115">
        <f t="shared" si="73"/>
        <v>12455.061742262396</v>
      </c>
      <c r="E181" s="115">
        <f t="shared" si="73"/>
        <v>11508.477049850453</v>
      </c>
      <c r="F181" s="115">
        <f t="shared" si="73"/>
        <v>10633.832794061818</v>
      </c>
      <c r="G181" s="115">
        <f t="shared" si="73"/>
        <v>9825.6615017131207</v>
      </c>
      <c r="H181" s="115">
        <f t="shared" si="73"/>
        <v>9078.9112275829248</v>
      </c>
      <c r="I181" s="115">
        <f t="shared" si="73"/>
        <v>8388.9139742866228</v>
      </c>
      <c r="J181" s="115">
        <f t="shared" si="73"/>
        <v>7751.3565122408399</v>
      </c>
      <c r="K181" s="115">
        <f t="shared" si="73"/>
        <v>7247.5183389451859</v>
      </c>
      <c r="L181" s="115">
        <f t="shared" si="73"/>
        <v>6776.4296469137489</v>
      </c>
      <c r="M181" s="115">
        <f t="shared" si="73"/>
        <v>6335.9617198643555</v>
      </c>
      <c r="N181" s="115">
        <f t="shared" si="73"/>
        <v>5924.1242080731727</v>
      </c>
      <c r="O181" s="115">
        <f t="shared" si="73"/>
        <v>5539.0561345484175</v>
      </c>
      <c r="P181" s="115">
        <f t="shared" si="73"/>
        <v>5179.0174858027694</v>
      </c>
      <c r="Q181" s="115">
        <f t="shared" si="73"/>
        <v>4842.3813492255904</v>
      </c>
      <c r="R181" s="115">
        <f t="shared" si="73"/>
        <v>4527.6265615259272</v>
      </c>
      <c r="S181" s="115">
        <f t="shared" si="73"/>
        <v>4233.3308350267425</v>
      </c>
      <c r="T181" s="115">
        <f t="shared" si="73"/>
        <v>3958.1643307500049</v>
      </c>
      <c r="U181" s="115">
        <f t="shared" si="73"/>
        <v>3700.8836492512546</v>
      </c>
      <c r="V181" s="115">
        <f t="shared" si="73"/>
        <v>3460.3262120499235</v>
      </c>
      <c r="W181" s="115">
        <f t="shared" si="73"/>
        <v>3235.4050082666781</v>
      </c>
      <c r="X181" s="115">
        <f t="shared" si="73"/>
        <v>3025.1036827293447</v>
      </c>
      <c r="Y181" s="115">
        <f t="shared" si="73"/>
        <v>2828.4719433519376</v>
      </c>
      <c r="Z181" s="115">
        <f t="shared" si="73"/>
        <v>2644.6212670340619</v>
      </c>
      <c r="AA181" s="115">
        <f t="shared" si="73"/>
        <v>2472.7208846768481</v>
      </c>
      <c r="AB181" s="115">
        <f t="shared" si="73"/>
        <v>2311.9940271728528</v>
      </c>
      <c r="AC181" s="115">
        <f t="shared" si="73"/>
        <v>2161.7144154066177</v>
      </c>
      <c r="AD181" s="323">
        <f t="shared" si="73"/>
        <v>2021.2029784051874</v>
      </c>
      <c r="AE181" s="630"/>
      <c r="AF181" s="120" t="s">
        <v>1009</v>
      </c>
      <c r="AG181" s="339" t="s">
        <v>992</v>
      </c>
      <c r="AH181" s="317"/>
      <c r="AI181" s="317"/>
      <c r="AJ181" s="318"/>
      <c r="AK181" s="115">
        <v>2021</v>
      </c>
      <c r="AL181" s="115">
        <f>AK181+1</f>
        <v>2022</v>
      </c>
      <c r="AM181" s="115">
        <f t="shared" ref="AM181:BN181" si="76">AL181+1</f>
        <v>2023</v>
      </c>
      <c r="AN181" s="115">
        <f t="shared" si="76"/>
        <v>2024</v>
      </c>
      <c r="AO181" s="115">
        <f t="shared" si="76"/>
        <v>2025</v>
      </c>
      <c r="AP181" s="115">
        <f t="shared" si="76"/>
        <v>2026</v>
      </c>
      <c r="AQ181" s="115">
        <f t="shared" si="76"/>
        <v>2027</v>
      </c>
      <c r="AR181" s="115">
        <f t="shared" si="76"/>
        <v>2028</v>
      </c>
      <c r="AS181" s="115">
        <f t="shared" si="76"/>
        <v>2029</v>
      </c>
      <c r="AT181" s="115">
        <f t="shared" si="76"/>
        <v>2030</v>
      </c>
      <c r="AU181" s="115">
        <f t="shared" si="76"/>
        <v>2031</v>
      </c>
      <c r="AV181" s="115">
        <f t="shared" si="76"/>
        <v>2032</v>
      </c>
      <c r="AW181" s="115">
        <f t="shared" si="76"/>
        <v>2033</v>
      </c>
      <c r="AX181" s="115">
        <f t="shared" si="76"/>
        <v>2034</v>
      </c>
      <c r="AY181" s="115">
        <f t="shared" si="76"/>
        <v>2035</v>
      </c>
      <c r="AZ181" s="115">
        <f t="shared" si="76"/>
        <v>2036</v>
      </c>
      <c r="BA181" s="115">
        <f t="shared" si="76"/>
        <v>2037</v>
      </c>
      <c r="BB181" s="115">
        <f t="shared" si="76"/>
        <v>2038</v>
      </c>
      <c r="BC181" s="115">
        <f t="shared" si="76"/>
        <v>2039</v>
      </c>
      <c r="BD181" s="115">
        <f t="shared" si="76"/>
        <v>2040</v>
      </c>
      <c r="BE181" s="115">
        <f t="shared" si="76"/>
        <v>2041</v>
      </c>
      <c r="BF181" s="115">
        <f t="shared" si="76"/>
        <v>2042</v>
      </c>
      <c r="BG181" s="115">
        <f t="shared" si="76"/>
        <v>2043</v>
      </c>
      <c r="BH181" s="115">
        <f t="shared" si="76"/>
        <v>2044</v>
      </c>
      <c r="BI181" s="115">
        <f t="shared" si="76"/>
        <v>2045</v>
      </c>
      <c r="BJ181" s="115">
        <f t="shared" si="76"/>
        <v>2046</v>
      </c>
      <c r="BK181" s="115">
        <f t="shared" si="76"/>
        <v>2047</v>
      </c>
      <c r="BL181" s="115">
        <f t="shared" si="76"/>
        <v>2048</v>
      </c>
      <c r="BM181" s="115">
        <f t="shared" si="76"/>
        <v>2049</v>
      </c>
      <c r="BN181" s="115">
        <f t="shared" si="76"/>
        <v>2050</v>
      </c>
      <c r="BP181" s="6" t="s">
        <v>1407</v>
      </c>
      <c r="BQ181" s="6"/>
      <c r="CH181" s="228" t="s">
        <v>1395</v>
      </c>
      <c r="CI181" s="225" t="s">
        <v>1224</v>
      </c>
    </row>
    <row r="182" spans="1:87" ht="20.100000000000001" customHeight="1">
      <c r="A182" s="101" t="s">
        <v>871</v>
      </c>
      <c r="B182" s="115">
        <f t="shared" si="75"/>
        <v>4974.1817648662272</v>
      </c>
      <c r="C182" s="115">
        <f t="shared" si="73"/>
        <v>4634.5206783861495</v>
      </c>
      <c r="D182" s="115">
        <f t="shared" si="73"/>
        <v>4320.6738344785563</v>
      </c>
      <c r="E182" s="115">
        <f t="shared" si="73"/>
        <v>4030.6793507079401</v>
      </c>
      <c r="F182" s="115">
        <f t="shared" si="73"/>
        <v>3762.7244477038912</v>
      </c>
      <c r="G182" s="115">
        <f t="shared" si="73"/>
        <v>3515.1341173281498</v>
      </c>
      <c r="H182" s="115">
        <f t="shared" si="73"/>
        <v>3286.3606520609646</v>
      </c>
      <c r="I182" s="115">
        <f t="shared" si="73"/>
        <v>3074.9739701540857</v>
      </c>
      <c r="J182" s="115">
        <f t="shared" si="73"/>
        <v>2879.6526760721299</v>
      </c>
      <c r="K182" s="115">
        <f t="shared" si="73"/>
        <v>2725.2974534068371</v>
      </c>
      <c r="L182" s="115">
        <f t="shared" si="73"/>
        <v>2580.9753202147876</v>
      </c>
      <c r="M182" s="115">
        <f t="shared" si="73"/>
        <v>2446.0341256802221</v>
      </c>
      <c r="N182" s="115">
        <f t="shared" si="73"/>
        <v>2319.8641087904025</v>
      </c>
      <c r="O182" s="115">
        <f t="shared" si="73"/>
        <v>2201.8951429984218</v>
      </c>
      <c r="P182" s="115">
        <f t="shared" si="73"/>
        <v>2091.5941599829198</v>
      </c>
      <c r="Q182" s="115">
        <f t="shared" si="73"/>
        <v>1988.4627408634258</v>
      </c>
      <c r="R182" s="115">
        <f t="shared" si="73"/>
        <v>1892.0348639866984</v>
      </c>
      <c r="S182" s="115">
        <f t="shared" si="73"/>
        <v>1801.8747991069583</v>
      </c>
      <c r="T182" s="115">
        <f t="shared" si="73"/>
        <v>1717.5751384444015</v>
      </c>
      <c r="U182" s="115">
        <f t="shared" si="73"/>
        <v>1638.7549557249106</v>
      </c>
      <c r="V182" s="115">
        <f t="shared" si="73"/>
        <v>1565.0580848821867</v>
      </c>
      <c r="W182" s="115">
        <f t="shared" si="73"/>
        <v>1496.1515106442398</v>
      </c>
      <c r="X182" s="115">
        <f t="shared" si="73"/>
        <v>1431.7238637317596</v>
      </c>
      <c r="Y182" s="115">
        <f t="shared" si="73"/>
        <v>1371.4840138685904</v>
      </c>
      <c r="Z182" s="115">
        <f t="shared" si="73"/>
        <v>1315.1597542465272</v>
      </c>
      <c r="AA182" s="115">
        <f t="shared" si="73"/>
        <v>1262.4965714998982</v>
      </c>
      <c r="AB182" s="115">
        <f t="shared" si="73"/>
        <v>1213.2564956318001</v>
      </c>
      <c r="AC182" s="115">
        <f t="shared" si="73"/>
        <v>1167.2170246951284</v>
      </c>
      <c r="AD182" s="323">
        <f t="shared" si="73"/>
        <v>1124.1701193693402</v>
      </c>
      <c r="AE182" s="630"/>
      <c r="AF182" s="1556" t="s">
        <v>873</v>
      </c>
      <c r="AG182" s="339" t="s">
        <v>578</v>
      </c>
      <c r="AH182" s="317"/>
      <c r="AI182" s="317"/>
      <c r="AJ182" s="318"/>
      <c r="AK182" s="81">
        <v>0</v>
      </c>
      <c r="AL182" s="123">
        <f>AL$135*INDEX('DEFAULT DATA'!$AIV$9:$AJC$41,START!$C$3,1)*BUILDINGS!AL5/1000000</f>
        <v>5523.404814641096</v>
      </c>
      <c r="AM182" s="123">
        <f>AM$135*INDEX('DEFAULT DATA'!$AIV$9:$AJC$41,START!$C$3,1)*BUILDINGS!AM5/1000000</f>
        <v>5103.6260487283735</v>
      </c>
      <c r="AN182" s="123">
        <f>AN$135*INDEX('DEFAULT DATA'!$AIV$9:$AJC$41,START!$C$3,1)*BUILDINGS!AN5/1000000</f>
        <v>4715.750469025018</v>
      </c>
      <c r="AO182" s="123">
        <f>AO$135*INDEX('DEFAULT DATA'!$AIV$9:$AJC$41,START!$C$3,1)*BUILDINGS!AO5/1000000</f>
        <v>4357.3534333791158</v>
      </c>
      <c r="AP182" s="123">
        <f>AP$135*INDEX('DEFAULT DATA'!$AIV$9:$AJC$41,START!$C$3,1)*BUILDINGS!AP5/1000000</f>
        <v>4026.1945724423035</v>
      </c>
      <c r="AQ182" s="123">
        <f>AQ$135*INDEX('DEFAULT DATA'!$AIV$9:$AJC$41,START!$C$3,1)*BUILDINGS!AQ5/1000000</f>
        <v>3720.2037849366889</v>
      </c>
      <c r="AR182" s="123">
        <f>AR$135*INDEX('DEFAULT DATA'!$AIV$9:$AJC$41,START!$C$3,1)*BUILDINGS!AR5/1000000</f>
        <v>3437.4682972815003</v>
      </c>
      <c r="AS182" s="123">
        <f>AS$135*INDEX('DEFAULT DATA'!$AIV$9:$AJC$41,START!$C$3,1)*BUILDINGS!AS5/1000000</f>
        <v>3176.2207066881065</v>
      </c>
      <c r="AT182" s="123">
        <f>AT$135*INDEX('DEFAULT DATA'!$AIV$9:$AJC$41,START!$C$3,1)*BUILDINGS!AT5/1000000</f>
        <v>2934.8279329798102</v>
      </c>
      <c r="AU182" s="123">
        <f>AU$135*INDEX('DEFAULT DATA'!$AIV$9:$AJC$41,START!$C$3,1)*BUILDINGS!AU5/1000000</f>
        <v>2744.0641173361228</v>
      </c>
      <c r="AV182" s="123">
        <f>AV$135*INDEX('DEFAULT DATA'!$AIV$9:$AJC$41,START!$C$3,1)*BUILDINGS!AV5/1000000</f>
        <v>2565.6999497092752</v>
      </c>
      <c r="AW182" s="123">
        <f>AW$135*INDEX('DEFAULT DATA'!$AIV$9:$AJC$41,START!$C$3,1)*BUILDINGS!AW5/1000000</f>
        <v>2398.9294529781723</v>
      </c>
      <c r="AX182" s="123">
        <f>AX$135*INDEX('DEFAULT DATA'!$AIV$9:$AJC$41,START!$C$3,1)*BUILDINGS!AX5/1000000</f>
        <v>2242.9990385345914</v>
      </c>
      <c r="AY182" s="123">
        <f>AY$135*INDEX('DEFAULT DATA'!$AIV$9:$AJC$41,START!$C$3,1)*BUILDINGS!AY5/1000000</f>
        <v>2097.2041010298431</v>
      </c>
      <c r="AZ182" s="123">
        <f>AZ$135*INDEX('DEFAULT DATA'!$AIV$9:$AJC$41,START!$C$3,1)*BUILDINGS!AZ5/1000000</f>
        <v>1960.8858344629032</v>
      </c>
      <c r="BA182" s="123">
        <f>BA$135*INDEX('DEFAULT DATA'!$AIV$9:$AJC$41,START!$C$3,1)*BUILDINGS!BA5/1000000</f>
        <v>1833.4282552228149</v>
      </c>
      <c r="BB182" s="123">
        <f>BB$135*INDEX('DEFAULT DATA'!$AIV$9:$AJC$41,START!$C$3,1)*BUILDINGS!BB5/1000000</f>
        <v>1714.2554186333321</v>
      </c>
      <c r="BC182" s="123">
        <f>BC$135*INDEX('DEFAULT DATA'!$AIV$9:$AJC$41,START!$C$3,1)*BUILDINGS!BC5/1000000</f>
        <v>1602.8288164221653</v>
      </c>
      <c r="BD182" s="123">
        <f>BD$135*INDEX('DEFAULT DATA'!$AIV$9:$AJC$41,START!$C$3,1)*BUILDINGS!BD5/1000000</f>
        <v>1498.6449433547248</v>
      </c>
      <c r="BE182" s="123">
        <f>BE$135*INDEX('DEFAULT DATA'!$AIV$9:$AJC$41,START!$C$3,1)*BUILDINGS!BE5/1000000</f>
        <v>1401.2330220366678</v>
      </c>
      <c r="BF182" s="123">
        <f>BF$135*INDEX('DEFAULT DATA'!$AIV$9:$AJC$41,START!$C$3,1)*BUILDINGS!BF5/1000000</f>
        <v>1310.1528756042844</v>
      </c>
      <c r="BG182" s="123">
        <f>BG$135*INDEX('DEFAULT DATA'!$AIV$9:$AJC$41,START!$C$3,1)*BUILDINGS!BG5/1000000</f>
        <v>1224.9929386900062</v>
      </c>
      <c r="BH182" s="123">
        <f>BH$135*INDEX('DEFAULT DATA'!$AIV$9:$AJC$41,START!$C$3,1)*BUILDINGS!BH5/1000000</f>
        <v>1145.3683976751558</v>
      </c>
      <c r="BI182" s="123">
        <f>BI$135*INDEX('DEFAULT DATA'!$AIV$9:$AJC$41,START!$C$3,1)*BUILDINGS!BI5/1000000</f>
        <v>1070.9194518262709</v>
      </c>
      <c r="BJ182" s="123">
        <f>BJ$135*INDEX('DEFAULT DATA'!$AIV$9:$AJC$41,START!$C$3,1)*BUILDINGS!BJ5/1000000</f>
        <v>1001.3096874575633</v>
      </c>
      <c r="BK182" s="123">
        <f>BK$135*INDEX('DEFAULT DATA'!$AIV$9:$AJC$41,START!$C$3,1)*BUILDINGS!BK5/1000000</f>
        <v>936.22455777282164</v>
      </c>
      <c r="BL182" s="123">
        <f>BL$135*INDEX('DEFAULT DATA'!$AIV$9:$AJC$41,START!$C$3,1)*BUILDINGS!BL5/1000000</f>
        <v>875.36996151758842</v>
      </c>
      <c r="BM182" s="123">
        <f>BM$135*INDEX('DEFAULT DATA'!$AIV$9:$AJC$41,START!$C$3,1)*BUILDINGS!BM5/1000000</f>
        <v>818.47091401894511</v>
      </c>
      <c r="BN182" s="123">
        <f>BN$135*INDEX('DEFAULT DATA'!$AIV$9:$AJC$41,START!$C$3,1)*BUILDINGS!BN5/1000000</f>
        <v>765.27030460771368</v>
      </c>
      <c r="BP182" s="370" t="str">
        <f>AG182</f>
        <v>Electricity</v>
      </c>
      <c r="BQ182" s="371" t="s">
        <v>1495</v>
      </c>
      <c r="BR182" s="372"/>
      <c r="BS182" s="372"/>
      <c r="BT182" s="372"/>
      <c r="BU182" s="372"/>
      <c r="BV182" s="372"/>
      <c r="BW182" s="372"/>
      <c r="BX182" s="372"/>
      <c r="BY182" s="372"/>
      <c r="BZ182" s="372"/>
      <c r="CA182" s="372"/>
      <c r="CB182" s="372"/>
      <c r="CC182" s="372"/>
      <c r="CD182" s="372"/>
      <c r="CE182" s="372"/>
      <c r="CF182" s="372"/>
      <c r="CG182" s="373"/>
      <c r="CH182" s="374" t="s">
        <v>1425</v>
      </c>
      <c r="CI182" s="374" t="s">
        <v>1225</v>
      </c>
    </row>
    <row r="183" spans="1:87" ht="20.100000000000001" customHeight="1">
      <c r="A183" s="101" t="s">
        <v>872</v>
      </c>
      <c r="B183" s="115">
        <f t="shared" si="75"/>
        <v>47592.940608383826</v>
      </c>
      <c r="C183" s="115">
        <f t="shared" si="73"/>
        <v>44747.052147840353</v>
      </c>
      <c r="D183" s="115">
        <f t="shared" si="73"/>
        <v>42117.451210298183</v>
      </c>
      <c r="E183" s="115">
        <f t="shared" si="73"/>
        <v>39687.699944009219</v>
      </c>
      <c r="F183" s="115">
        <f t="shared" si="73"/>
        <v>37442.609773958218</v>
      </c>
      <c r="G183" s="115">
        <f t="shared" si="73"/>
        <v>35368.146456831091</v>
      </c>
      <c r="H183" s="115">
        <f t="shared" si="73"/>
        <v>33451.342351805622</v>
      </c>
      <c r="I183" s="115">
        <f t="shared" si="73"/>
        <v>31680.215358762096</v>
      </c>
      <c r="J183" s="115">
        <f t="shared" si="73"/>
        <v>30043.694017189871</v>
      </c>
      <c r="K183" s="115">
        <f t="shared" si="73"/>
        <v>28750.411493836877</v>
      </c>
      <c r="L183" s="115">
        <f t="shared" si="73"/>
        <v>27541.192334501829</v>
      </c>
      <c r="M183" s="115">
        <f t="shared" si="73"/>
        <v>26410.572420523557</v>
      </c>
      <c r="N183" s="115">
        <f t="shared" si="73"/>
        <v>25353.442800953868</v>
      </c>
      <c r="O183" s="115">
        <f t="shared" si="73"/>
        <v>24365.026606656218</v>
      </c>
      <c r="P183" s="115">
        <f t="shared" si="73"/>
        <v>23440.857464987908</v>
      </c>
      <c r="Q183" s="115">
        <f t="shared" si="73"/>
        <v>22576.759317528042</v>
      </c>
      <c r="R183" s="115">
        <f t="shared" si="73"/>
        <v>21768.827549653062</v>
      </c>
      <c r="S183" s="115">
        <f t="shared" si="73"/>
        <v>21013.411346689962</v>
      </c>
      <c r="T183" s="115">
        <f t="shared" si="73"/>
        <v>20307.097196919462</v>
      </c>
      <c r="U183" s="115">
        <f t="shared" si="73"/>
        <v>19646.69346688404</v>
      </c>
      <c r="V183" s="115">
        <f t="shared" si="73"/>
        <v>19029.215979300927</v>
      </c>
      <c r="W183" s="115">
        <f t="shared" si="73"/>
        <v>18451.874528410714</v>
      </c>
      <c r="X183" s="115">
        <f t="shared" si="73"/>
        <v>17912.060271828363</v>
      </c>
      <c r="Y183" s="115">
        <f t="shared" si="73"/>
        <v>17407.333941923865</v>
      </c>
      <c r="Z183" s="115">
        <f t="shared" si="73"/>
        <v>16935.414823463161</v>
      </c>
      <c r="AA183" s="115">
        <f t="shared" si="73"/>
        <v>16494.1704477024</v>
      </c>
      <c r="AB183" s="115">
        <f t="shared" si="73"/>
        <v>16081.606956366089</v>
      </c>
      <c r="AC183" s="115">
        <f t="shared" si="73"/>
        <v>15695.860091966639</v>
      </c>
      <c r="AD183" s="323">
        <f t="shared" si="73"/>
        <v>15335.186773753154</v>
      </c>
      <c r="AE183" s="630"/>
      <c r="AF183" s="1557"/>
      <c r="AG183" s="339" t="s">
        <v>862</v>
      </c>
      <c r="AH183" s="317"/>
      <c r="AI183" s="317"/>
      <c r="AJ183" s="318"/>
      <c r="AK183" s="81">
        <v>0</v>
      </c>
      <c r="AL183" s="123">
        <f>AL$135*INDEX('DEFAULT DATA'!$AIV$9:$AJC$41,START!$C$3,2)*INDEX('DEFAULT DATA'!$WC$9:$WI$41,START!$C$3,2)/1000000</f>
        <v>1308.7165697999999</v>
      </c>
      <c r="AM183" s="123">
        <f>AM$135*INDEX('DEFAULT DATA'!$AIV$9:$AJC$41,START!$C$3,2)*INDEX('DEFAULT DATA'!$WC$9:$WI$41,START!$C$3,2)/1000000</f>
        <v>1308.7165697999999</v>
      </c>
      <c r="AN183" s="123">
        <f>AN$135*INDEX('DEFAULT DATA'!$AIV$9:$AJC$41,START!$C$3,2)*INDEX('DEFAULT DATA'!$WC$9:$WI$41,START!$C$3,2)/1000000</f>
        <v>1308.7165697999999</v>
      </c>
      <c r="AO183" s="123">
        <f>AO$135*INDEX('DEFAULT DATA'!$AIV$9:$AJC$41,START!$C$3,2)*INDEX('DEFAULT DATA'!$WC$9:$WI$41,START!$C$3,2)/1000000</f>
        <v>1308.7165697999999</v>
      </c>
      <c r="AP183" s="123">
        <f>AP$135*INDEX('DEFAULT DATA'!$AIV$9:$AJC$41,START!$C$3,2)*INDEX('DEFAULT DATA'!$WC$9:$WI$41,START!$C$3,2)/1000000</f>
        <v>1308.7165697999999</v>
      </c>
      <c r="AQ183" s="123">
        <f>AQ$135*INDEX('DEFAULT DATA'!$AIV$9:$AJC$41,START!$C$3,2)*INDEX('DEFAULT DATA'!$WC$9:$WI$41,START!$C$3,2)/1000000</f>
        <v>1308.7165697999999</v>
      </c>
      <c r="AR183" s="123">
        <f>AR$135*INDEX('DEFAULT DATA'!$AIV$9:$AJC$41,START!$C$3,2)*INDEX('DEFAULT DATA'!$WC$9:$WI$41,START!$C$3,2)/1000000</f>
        <v>1308.7165697999999</v>
      </c>
      <c r="AS183" s="123">
        <f>AS$135*INDEX('DEFAULT DATA'!$AIV$9:$AJC$41,START!$C$3,2)*INDEX('DEFAULT DATA'!$WC$9:$WI$41,START!$C$3,2)/1000000</f>
        <v>1308.7165697999999</v>
      </c>
      <c r="AT183" s="123">
        <f>AT$135*INDEX('DEFAULT DATA'!$AIV$9:$AJC$41,START!$C$3,2)*INDEX('DEFAULT DATA'!$WC$9:$WI$41,START!$C$3,2)/1000000</f>
        <v>1308.7165697999999</v>
      </c>
      <c r="AU183" s="123">
        <f>AU$135*INDEX('DEFAULT DATA'!$AIV$9:$AJC$41,START!$C$3,2)*INDEX('DEFAULT DATA'!$WC$9:$WI$41,START!$C$3,2)/1000000</f>
        <v>1308.7165697999999</v>
      </c>
      <c r="AV183" s="123">
        <f>AV$135*INDEX('DEFAULT DATA'!$AIV$9:$AJC$41,START!$C$3,2)*INDEX('DEFAULT DATA'!$WC$9:$WI$41,START!$C$3,2)/1000000</f>
        <v>1308.7165697999999</v>
      </c>
      <c r="AW183" s="123">
        <f>AW$135*INDEX('DEFAULT DATA'!$AIV$9:$AJC$41,START!$C$3,2)*INDEX('DEFAULT DATA'!$WC$9:$WI$41,START!$C$3,2)/1000000</f>
        <v>1308.7165697999999</v>
      </c>
      <c r="AX183" s="123">
        <f>AX$135*INDEX('DEFAULT DATA'!$AIV$9:$AJC$41,START!$C$3,2)*INDEX('DEFAULT DATA'!$WC$9:$WI$41,START!$C$3,2)/1000000</f>
        <v>1308.7165697999999</v>
      </c>
      <c r="AY183" s="123">
        <f>AY$135*INDEX('DEFAULT DATA'!$AIV$9:$AJC$41,START!$C$3,2)*INDEX('DEFAULT DATA'!$WC$9:$WI$41,START!$C$3,2)/1000000</f>
        <v>1308.7165697999999</v>
      </c>
      <c r="AZ183" s="123">
        <f>AZ$135*INDEX('DEFAULT DATA'!$AIV$9:$AJC$41,START!$C$3,2)*INDEX('DEFAULT DATA'!$WC$9:$WI$41,START!$C$3,2)/1000000</f>
        <v>1308.7165697999999</v>
      </c>
      <c r="BA183" s="123">
        <f>BA$135*INDEX('DEFAULT DATA'!$AIV$9:$AJC$41,START!$C$3,2)*INDEX('DEFAULT DATA'!$WC$9:$WI$41,START!$C$3,2)/1000000</f>
        <v>1308.7165697999999</v>
      </c>
      <c r="BB183" s="123">
        <f>BB$135*INDEX('DEFAULT DATA'!$AIV$9:$AJC$41,START!$C$3,2)*INDEX('DEFAULT DATA'!$WC$9:$WI$41,START!$C$3,2)/1000000</f>
        <v>1308.7165697999999</v>
      </c>
      <c r="BC183" s="123">
        <f>BC$135*INDEX('DEFAULT DATA'!$AIV$9:$AJC$41,START!$C$3,2)*INDEX('DEFAULT DATA'!$WC$9:$WI$41,START!$C$3,2)/1000000</f>
        <v>1308.7165697999999</v>
      </c>
      <c r="BD183" s="123">
        <f>BD$135*INDEX('DEFAULT DATA'!$AIV$9:$AJC$41,START!$C$3,2)*INDEX('DEFAULT DATA'!$WC$9:$WI$41,START!$C$3,2)/1000000</f>
        <v>1308.7165697999999</v>
      </c>
      <c r="BE183" s="123">
        <f>BE$135*INDEX('DEFAULT DATA'!$AIV$9:$AJC$41,START!$C$3,2)*INDEX('DEFAULT DATA'!$WC$9:$WI$41,START!$C$3,2)/1000000</f>
        <v>1308.7165697999999</v>
      </c>
      <c r="BF183" s="123">
        <f>BF$135*INDEX('DEFAULT DATA'!$AIV$9:$AJC$41,START!$C$3,2)*INDEX('DEFAULT DATA'!$WC$9:$WI$41,START!$C$3,2)/1000000</f>
        <v>1308.7165697999999</v>
      </c>
      <c r="BG183" s="123">
        <f>BG$135*INDEX('DEFAULT DATA'!$AIV$9:$AJC$41,START!$C$3,2)*INDEX('DEFAULT DATA'!$WC$9:$WI$41,START!$C$3,2)/1000000</f>
        <v>1308.7165697999999</v>
      </c>
      <c r="BH183" s="123">
        <f>BH$135*INDEX('DEFAULT DATA'!$AIV$9:$AJC$41,START!$C$3,2)*INDEX('DEFAULT DATA'!$WC$9:$WI$41,START!$C$3,2)/1000000</f>
        <v>1308.7165697999999</v>
      </c>
      <c r="BI183" s="123">
        <f>BI$135*INDEX('DEFAULT DATA'!$AIV$9:$AJC$41,START!$C$3,2)*INDEX('DEFAULT DATA'!$WC$9:$WI$41,START!$C$3,2)/1000000</f>
        <v>1308.7165697999999</v>
      </c>
      <c r="BJ183" s="123">
        <f>BJ$135*INDEX('DEFAULT DATA'!$AIV$9:$AJC$41,START!$C$3,2)*INDEX('DEFAULT DATA'!$WC$9:$WI$41,START!$C$3,2)/1000000</f>
        <v>1308.7165697999999</v>
      </c>
      <c r="BK183" s="123">
        <f>BK$135*INDEX('DEFAULT DATA'!$AIV$9:$AJC$41,START!$C$3,2)*INDEX('DEFAULT DATA'!$WC$9:$WI$41,START!$C$3,2)/1000000</f>
        <v>1308.7165697999999</v>
      </c>
      <c r="BL183" s="123">
        <f>BL$135*INDEX('DEFAULT DATA'!$AIV$9:$AJC$41,START!$C$3,2)*INDEX('DEFAULT DATA'!$WC$9:$WI$41,START!$C$3,2)/1000000</f>
        <v>1308.7165697999999</v>
      </c>
      <c r="BM183" s="123">
        <f>BM$135*INDEX('DEFAULT DATA'!$AIV$9:$AJC$41,START!$C$3,2)*INDEX('DEFAULT DATA'!$WC$9:$WI$41,START!$C$3,2)/1000000</f>
        <v>1308.7165697999999</v>
      </c>
      <c r="BN183" s="123">
        <f>BN$135*INDEX('DEFAULT DATA'!$AIV$9:$AJC$41,START!$C$3,2)*INDEX('DEFAULT DATA'!$WC$9:$WI$41,START!$C$3,2)/1000000</f>
        <v>1308.7165697999999</v>
      </c>
      <c r="BP183" s="375" t="str">
        <f t="shared" ref="BP183:BP189" si="77">AG183</f>
        <v>Gas</v>
      </c>
      <c r="BQ183" s="376" t="s">
        <v>1470</v>
      </c>
      <c r="BR183" s="377"/>
      <c r="BS183" s="377"/>
      <c r="BT183" s="377"/>
      <c r="BU183" s="377"/>
      <c r="BV183" s="377"/>
      <c r="BW183" s="377"/>
      <c r="BX183" s="377"/>
      <c r="BY183" s="377"/>
      <c r="BZ183" s="377"/>
      <c r="CA183" s="377"/>
      <c r="CB183" s="377"/>
      <c r="CC183" s="377"/>
      <c r="CD183" s="377"/>
      <c r="CE183" s="377"/>
      <c r="CF183" s="377"/>
      <c r="CG183" s="378"/>
      <c r="CH183" s="374" t="s">
        <v>1426</v>
      </c>
      <c r="CI183" s="374" t="s">
        <v>886</v>
      </c>
    </row>
    <row r="184" spans="1:87" ht="20.100000000000001" customHeight="1">
      <c r="A184" s="101" t="s">
        <v>873</v>
      </c>
      <c r="B184" s="115">
        <f t="shared" si="75"/>
        <v>8712.666485741096</v>
      </c>
      <c r="C184" s="115">
        <f t="shared" si="73"/>
        <v>8292.8877198283735</v>
      </c>
      <c r="D184" s="115">
        <f t="shared" si="73"/>
        <v>7905.012140125018</v>
      </c>
      <c r="E184" s="115">
        <f t="shared" si="73"/>
        <v>7546.6151044791159</v>
      </c>
      <c r="F184" s="115">
        <f t="shared" si="73"/>
        <v>7215.4562435423031</v>
      </c>
      <c r="G184" s="115">
        <f t="shared" si="73"/>
        <v>6909.4654560366889</v>
      </c>
      <c r="H184" s="115">
        <f t="shared" si="73"/>
        <v>6626.7299683814999</v>
      </c>
      <c r="I184" s="115">
        <f t="shared" si="73"/>
        <v>6365.4823777881065</v>
      </c>
      <c r="J184" s="115">
        <f t="shared" si="73"/>
        <v>6124.0896040798107</v>
      </c>
      <c r="K184" s="115">
        <f t="shared" si="73"/>
        <v>5933.3257884361228</v>
      </c>
      <c r="L184" s="115">
        <f t="shared" si="73"/>
        <v>5754.9616208092757</v>
      </c>
      <c r="M184" s="115">
        <f t="shared" si="73"/>
        <v>5588.1911240781728</v>
      </c>
      <c r="N184" s="115">
        <f t="shared" si="73"/>
        <v>5432.2607096345919</v>
      </c>
      <c r="O184" s="115">
        <f t="shared" si="73"/>
        <v>5286.4657721298436</v>
      </c>
      <c r="P184" s="115">
        <f t="shared" si="73"/>
        <v>5150.1475055629035</v>
      </c>
      <c r="Q184" s="115">
        <f t="shared" si="73"/>
        <v>5022.6899263228152</v>
      </c>
      <c r="R184" s="115">
        <f t="shared" si="73"/>
        <v>4903.5170897333319</v>
      </c>
      <c r="S184" s="115">
        <f t="shared" si="73"/>
        <v>4792.0904875221659</v>
      </c>
      <c r="T184" s="115">
        <f t="shared" si="73"/>
        <v>4687.9066144547251</v>
      </c>
      <c r="U184" s="115">
        <f t="shared" si="73"/>
        <v>4590.4946931366676</v>
      </c>
      <c r="V184" s="115">
        <f t="shared" si="73"/>
        <v>4499.4145467042845</v>
      </c>
      <c r="W184" s="115">
        <f t="shared" si="73"/>
        <v>4414.2546097900067</v>
      </c>
      <c r="X184" s="115">
        <f t="shared" si="73"/>
        <v>4334.6300687751564</v>
      </c>
      <c r="Y184" s="115">
        <f t="shared" si="73"/>
        <v>4260.1811229262712</v>
      </c>
      <c r="Z184" s="115">
        <f t="shared" si="73"/>
        <v>4190.5713585575631</v>
      </c>
      <c r="AA184" s="115">
        <f t="shared" si="73"/>
        <v>4125.4862288728218</v>
      </c>
      <c r="AB184" s="115">
        <f t="shared" si="73"/>
        <v>4064.6316326175879</v>
      </c>
      <c r="AC184" s="115">
        <f t="shared" si="73"/>
        <v>4007.7325851189448</v>
      </c>
      <c r="AD184" s="323">
        <f t="shared" si="73"/>
        <v>3954.5319757077136</v>
      </c>
      <c r="AE184" s="630"/>
      <c r="AF184" s="1557"/>
      <c r="AG184" s="339" t="s">
        <v>863</v>
      </c>
      <c r="AH184" s="317"/>
      <c r="AI184" s="317"/>
      <c r="AJ184" s="318"/>
      <c r="AK184" s="81">
        <v>0</v>
      </c>
      <c r="AL184" s="123">
        <f>AL$135*INDEX('DEFAULT DATA'!$AIV$9:$AJC$41,START!$C$3,3)*INDEX('DEFAULT DATA'!$WC$9:$WI$41,START!$C$3,3)/1000000</f>
        <v>1441.3492773</v>
      </c>
      <c r="AM184" s="123">
        <f>AM$135*INDEX('DEFAULT DATA'!$AIV$9:$AJC$41,START!$C$3,3)*INDEX('DEFAULT DATA'!$WC$9:$WI$41,START!$C$3,3)/1000000</f>
        <v>1441.3492773</v>
      </c>
      <c r="AN184" s="123">
        <f>AN$135*INDEX('DEFAULT DATA'!$AIV$9:$AJC$41,START!$C$3,3)*INDEX('DEFAULT DATA'!$WC$9:$WI$41,START!$C$3,3)/1000000</f>
        <v>1441.3492773</v>
      </c>
      <c r="AO184" s="123">
        <f>AO$135*INDEX('DEFAULT DATA'!$AIV$9:$AJC$41,START!$C$3,3)*INDEX('DEFAULT DATA'!$WC$9:$WI$41,START!$C$3,3)/1000000</f>
        <v>1441.3492773</v>
      </c>
      <c r="AP184" s="123">
        <f>AP$135*INDEX('DEFAULT DATA'!$AIV$9:$AJC$41,START!$C$3,3)*INDEX('DEFAULT DATA'!$WC$9:$WI$41,START!$C$3,3)/1000000</f>
        <v>1441.3492773</v>
      </c>
      <c r="AQ184" s="123">
        <f>AQ$135*INDEX('DEFAULT DATA'!$AIV$9:$AJC$41,START!$C$3,3)*INDEX('DEFAULT DATA'!$WC$9:$WI$41,START!$C$3,3)/1000000</f>
        <v>1441.3492773</v>
      </c>
      <c r="AR184" s="123">
        <f>AR$135*INDEX('DEFAULT DATA'!$AIV$9:$AJC$41,START!$C$3,3)*INDEX('DEFAULT DATA'!$WC$9:$WI$41,START!$C$3,3)/1000000</f>
        <v>1441.3492773</v>
      </c>
      <c r="AS184" s="123">
        <f>AS$135*INDEX('DEFAULT DATA'!$AIV$9:$AJC$41,START!$C$3,3)*INDEX('DEFAULT DATA'!$WC$9:$WI$41,START!$C$3,3)/1000000</f>
        <v>1441.3492773</v>
      </c>
      <c r="AT184" s="123">
        <f>AT$135*INDEX('DEFAULT DATA'!$AIV$9:$AJC$41,START!$C$3,3)*INDEX('DEFAULT DATA'!$WC$9:$WI$41,START!$C$3,3)/1000000</f>
        <v>1441.3492773</v>
      </c>
      <c r="AU184" s="123">
        <f>AU$135*INDEX('DEFAULT DATA'!$AIV$9:$AJC$41,START!$C$3,3)*INDEX('DEFAULT DATA'!$WC$9:$WI$41,START!$C$3,3)/1000000</f>
        <v>1441.3492773</v>
      </c>
      <c r="AV184" s="123">
        <f>AV$135*INDEX('DEFAULT DATA'!$AIV$9:$AJC$41,START!$C$3,3)*INDEX('DEFAULT DATA'!$WC$9:$WI$41,START!$C$3,3)/1000000</f>
        <v>1441.3492773</v>
      </c>
      <c r="AW184" s="123">
        <f>AW$135*INDEX('DEFAULT DATA'!$AIV$9:$AJC$41,START!$C$3,3)*INDEX('DEFAULT DATA'!$WC$9:$WI$41,START!$C$3,3)/1000000</f>
        <v>1441.3492773</v>
      </c>
      <c r="AX184" s="123">
        <f>AX$135*INDEX('DEFAULT DATA'!$AIV$9:$AJC$41,START!$C$3,3)*INDEX('DEFAULT DATA'!$WC$9:$WI$41,START!$C$3,3)/1000000</f>
        <v>1441.3492773</v>
      </c>
      <c r="AY184" s="123">
        <f>AY$135*INDEX('DEFAULT DATA'!$AIV$9:$AJC$41,START!$C$3,3)*INDEX('DEFAULT DATA'!$WC$9:$WI$41,START!$C$3,3)/1000000</f>
        <v>1441.3492773</v>
      </c>
      <c r="AZ184" s="123">
        <f>AZ$135*INDEX('DEFAULT DATA'!$AIV$9:$AJC$41,START!$C$3,3)*INDEX('DEFAULT DATA'!$WC$9:$WI$41,START!$C$3,3)/1000000</f>
        <v>1441.3492773</v>
      </c>
      <c r="BA184" s="123">
        <f>BA$135*INDEX('DEFAULT DATA'!$AIV$9:$AJC$41,START!$C$3,3)*INDEX('DEFAULT DATA'!$WC$9:$WI$41,START!$C$3,3)/1000000</f>
        <v>1441.3492773</v>
      </c>
      <c r="BB184" s="123">
        <f>BB$135*INDEX('DEFAULT DATA'!$AIV$9:$AJC$41,START!$C$3,3)*INDEX('DEFAULT DATA'!$WC$9:$WI$41,START!$C$3,3)/1000000</f>
        <v>1441.3492773</v>
      </c>
      <c r="BC184" s="123">
        <f>BC$135*INDEX('DEFAULT DATA'!$AIV$9:$AJC$41,START!$C$3,3)*INDEX('DEFAULT DATA'!$WC$9:$WI$41,START!$C$3,3)/1000000</f>
        <v>1441.3492773</v>
      </c>
      <c r="BD184" s="123">
        <f>BD$135*INDEX('DEFAULT DATA'!$AIV$9:$AJC$41,START!$C$3,3)*INDEX('DEFAULT DATA'!$WC$9:$WI$41,START!$C$3,3)/1000000</f>
        <v>1441.3492773</v>
      </c>
      <c r="BE184" s="123">
        <f>BE$135*INDEX('DEFAULT DATA'!$AIV$9:$AJC$41,START!$C$3,3)*INDEX('DEFAULT DATA'!$WC$9:$WI$41,START!$C$3,3)/1000000</f>
        <v>1441.3492773</v>
      </c>
      <c r="BF184" s="123">
        <f>BF$135*INDEX('DEFAULT DATA'!$AIV$9:$AJC$41,START!$C$3,3)*INDEX('DEFAULT DATA'!$WC$9:$WI$41,START!$C$3,3)/1000000</f>
        <v>1441.3492773</v>
      </c>
      <c r="BG184" s="123">
        <f>BG$135*INDEX('DEFAULT DATA'!$AIV$9:$AJC$41,START!$C$3,3)*INDEX('DEFAULT DATA'!$WC$9:$WI$41,START!$C$3,3)/1000000</f>
        <v>1441.3492773</v>
      </c>
      <c r="BH184" s="123">
        <f>BH$135*INDEX('DEFAULT DATA'!$AIV$9:$AJC$41,START!$C$3,3)*INDEX('DEFAULT DATA'!$WC$9:$WI$41,START!$C$3,3)/1000000</f>
        <v>1441.3492773</v>
      </c>
      <c r="BI184" s="123">
        <f>BI$135*INDEX('DEFAULT DATA'!$AIV$9:$AJC$41,START!$C$3,3)*INDEX('DEFAULT DATA'!$WC$9:$WI$41,START!$C$3,3)/1000000</f>
        <v>1441.3492773</v>
      </c>
      <c r="BJ184" s="123">
        <f>BJ$135*INDEX('DEFAULT DATA'!$AIV$9:$AJC$41,START!$C$3,3)*INDEX('DEFAULT DATA'!$WC$9:$WI$41,START!$C$3,3)/1000000</f>
        <v>1441.3492773</v>
      </c>
      <c r="BK184" s="123">
        <f>BK$135*INDEX('DEFAULT DATA'!$AIV$9:$AJC$41,START!$C$3,3)*INDEX('DEFAULT DATA'!$WC$9:$WI$41,START!$C$3,3)/1000000</f>
        <v>1441.3492773</v>
      </c>
      <c r="BL184" s="123">
        <f>BL$135*INDEX('DEFAULT DATA'!$AIV$9:$AJC$41,START!$C$3,3)*INDEX('DEFAULT DATA'!$WC$9:$WI$41,START!$C$3,3)/1000000</f>
        <v>1441.3492773</v>
      </c>
      <c r="BM184" s="123">
        <f>BM$135*INDEX('DEFAULT DATA'!$AIV$9:$AJC$41,START!$C$3,3)*INDEX('DEFAULT DATA'!$WC$9:$WI$41,START!$C$3,3)/1000000</f>
        <v>1441.3492773</v>
      </c>
      <c r="BN184" s="123">
        <f>BN$135*INDEX('DEFAULT DATA'!$AIV$9:$AJC$41,START!$C$3,3)*INDEX('DEFAULT DATA'!$WC$9:$WI$41,START!$C$3,3)/1000000</f>
        <v>1441.3492773</v>
      </c>
      <c r="BP184" s="375" t="str">
        <f t="shared" si="77"/>
        <v>Oil</v>
      </c>
      <c r="BQ184" s="376" t="s">
        <v>1471</v>
      </c>
      <c r="BR184" s="377"/>
      <c r="BS184" s="377"/>
      <c r="BT184" s="377"/>
      <c r="BU184" s="377"/>
      <c r="BV184" s="377"/>
      <c r="BW184" s="377"/>
      <c r="BX184" s="377"/>
      <c r="BY184" s="377"/>
      <c r="BZ184" s="377"/>
      <c r="CA184" s="377"/>
      <c r="CB184" s="377"/>
      <c r="CC184" s="377"/>
      <c r="CD184" s="377"/>
      <c r="CE184" s="377"/>
      <c r="CF184" s="377"/>
      <c r="CG184" s="378"/>
      <c r="CH184" s="374" t="s">
        <v>1427</v>
      </c>
      <c r="CI184" s="374" t="s">
        <v>1247</v>
      </c>
    </row>
    <row r="185" spans="1:87" ht="20.100000000000001" customHeight="1">
      <c r="A185" s="101" t="s">
        <v>874</v>
      </c>
      <c r="B185" s="115">
        <f t="shared" si="75"/>
        <v>137765.96378561738</v>
      </c>
      <c r="C185" s="115">
        <f t="shared" si="73"/>
        <v>132765.89539104709</v>
      </c>
      <c r="D185" s="115">
        <f t="shared" si="73"/>
        <v>128145.83219446409</v>
      </c>
      <c r="E185" s="115">
        <f t="shared" si="73"/>
        <v>123876.89380082142</v>
      </c>
      <c r="F185" s="115">
        <f t="shared" si="73"/>
        <v>119932.3947250956</v>
      </c>
      <c r="G185" s="115">
        <f t="shared" si="73"/>
        <v>116287.67757912494</v>
      </c>
      <c r="H185" s="115">
        <f t="shared" si="73"/>
        <v>112919.95893624803</v>
      </c>
      <c r="I185" s="115">
        <f t="shared" si="73"/>
        <v>109808.18691022978</v>
      </c>
      <c r="J185" s="115">
        <f t="shared" si="73"/>
        <v>106932.90955818893</v>
      </c>
      <c r="K185" s="115">
        <f t="shared" si="73"/>
        <v>104660.68379814189</v>
      </c>
      <c r="L185" s="115">
        <f t="shared" si="73"/>
        <v>102536.15271249792</v>
      </c>
      <c r="M185" s="115">
        <f t="shared" si="73"/>
        <v>100549.71614742081</v>
      </c>
      <c r="N185" s="115">
        <f t="shared" si="73"/>
        <v>98692.3979590737</v>
      </c>
      <c r="O185" s="115">
        <f t="shared" si="73"/>
        <v>96955.805452969158</v>
      </c>
      <c r="P185" s="115">
        <f t="shared" si="73"/>
        <v>95332.091459761417</v>
      </c>
      <c r="Q185" s="115">
        <f t="shared" si="73"/>
        <v>93813.918876112177</v>
      </c>
      <c r="R185" s="115">
        <f t="shared" si="73"/>
        <v>92394.427510400143</v>
      </c>
      <c r="S185" s="115">
        <f t="shared" si="73"/>
        <v>91067.203083459375</v>
      </c>
      <c r="T185" s="115">
        <f t="shared" si="73"/>
        <v>89826.248244269766</v>
      </c>
      <c r="U185" s="115">
        <f t="shared" si="73"/>
        <v>88665.955469627486</v>
      </c>
      <c r="V185" s="115">
        <f t="shared" si="73"/>
        <v>87581.081725336946</v>
      </c>
      <c r="W185" s="115">
        <f t="shared" si="73"/>
        <v>86566.724774425296</v>
      </c>
      <c r="X185" s="115">
        <f t="shared" si="73"/>
        <v>85618.3010253229</v>
      </c>
      <c r="Y185" s="115">
        <f t="shared" si="73"/>
        <v>84731.524819912171</v>
      </c>
      <c r="Z185" s="115">
        <f t="shared" si="73"/>
        <v>83902.389067853132</v>
      </c>
      <c r="AA185" s="115">
        <f t="shared" si="73"/>
        <v>83127.147139677923</v>
      </c>
      <c r="AB185" s="115">
        <f t="shared" si="73"/>
        <v>82402.295936834111</v>
      </c>
      <c r="AC185" s="115">
        <f t="shared" si="73"/>
        <v>81724.560062175136</v>
      </c>
      <c r="AD185" s="323">
        <f t="shared" si="73"/>
        <v>81090.877019369</v>
      </c>
      <c r="AE185" s="630"/>
      <c r="AF185" s="1557"/>
      <c r="AG185" s="339" t="s">
        <v>864</v>
      </c>
      <c r="AH185" s="317"/>
      <c r="AI185" s="317"/>
      <c r="AJ185" s="318"/>
      <c r="AK185" s="81">
        <v>0</v>
      </c>
      <c r="AL185" s="123">
        <f>AL$135*INDEX('DEFAULT DATA'!$AIV$9:$AJC$41,START!$C$3,4)*INDEX('DEFAULT DATA'!$WC$9:$WI$41,START!$C$3,4)/1000000</f>
        <v>0</v>
      </c>
      <c r="AM185" s="123">
        <f>AM$135*INDEX('DEFAULT DATA'!$AIV$9:$AJC$41,START!$C$3,4)*INDEX('DEFAULT DATA'!$WC$9:$WI$41,START!$C$3,4)/1000000</f>
        <v>0</v>
      </c>
      <c r="AN185" s="123">
        <f>AN$135*INDEX('DEFAULT DATA'!$AIV$9:$AJC$41,START!$C$3,4)*INDEX('DEFAULT DATA'!$WC$9:$WI$41,START!$C$3,4)/1000000</f>
        <v>0</v>
      </c>
      <c r="AO185" s="123">
        <f>AO$135*INDEX('DEFAULT DATA'!$AIV$9:$AJC$41,START!$C$3,4)*INDEX('DEFAULT DATA'!$WC$9:$WI$41,START!$C$3,4)/1000000</f>
        <v>0</v>
      </c>
      <c r="AP185" s="123">
        <f>AP$135*INDEX('DEFAULT DATA'!$AIV$9:$AJC$41,START!$C$3,4)*INDEX('DEFAULT DATA'!$WC$9:$WI$41,START!$C$3,4)/1000000</f>
        <v>0</v>
      </c>
      <c r="AQ185" s="123">
        <f>AQ$135*INDEX('DEFAULT DATA'!$AIV$9:$AJC$41,START!$C$3,4)*INDEX('DEFAULT DATA'!$WC$9:$WI$41,START!$C$3,4)/1000000</f>
        <v>0</v>
      </c>
      <c r="AR185" s="123">
        <f>AR$135*INDEX('DEFAULT DATA'!$AIV$9:$AJC$41,START!$C$3,4)*INDEX('DEFAULT DATA'!$WC$9:$WI$41,START!$C$3,4)/1000000</f>
        <v>0</v>
      </c>
      <c r="AS185" s="123">
        <f>AS$135*INDEX('DEFAULT DATA'!$AIV$9:$AJC$41,START!$C$3,4)*INDEX('DEFAULT DATA'!$WC$9:$WI$41,START!$C$3,4)/1000000</f>
        <v>0</v>
      </c>
      <c r="AT185" s="123">
        <f>AT$135*INDEX('DEFAULT DATA'!$AIV$9:$AJC$41,START!$C$3,4)*INDEX('DEFAULT DATA'!$WC$9:$WI$41,START!$C$3,4)/1000000</f>
        <v>0</v>
      </c>
      <c r="AU185" s="123">
        <f>AU$135*INDEX('DEFAULT DATA'!$AIV$9:$AJC$41,START!$C$3,4)*INDEX('DEFAULT DATA'!$WC$9:$WI$41,START!$C$3,4)/1000000</f>
        <v>0</v>
      </c>
      <c r="AV185" s="123">
        <f>AV$135*INDEX('DEFAULT DATA'!$AIV$9:$AJC$41,START!$C$3,4)*INDEX('DEFAULT DATA'!$WC$9:$WI$41,START!$C$3,4)/1000000</f>
        <v>0</v>
      </c>
      <c r="AW185" s="123">
        <f>AW$135*INDEX('DEFAULT DATA'!$AIV$9:$AJC$41,START!$C$3,4)*INDEX('DEFAULT DATA'!$WC$9:$WI$41,START!$C$3,4)/1000000</f>
        <v>0</v>
      </c>
      <c r="AX185" s="123">
        <f>AX$135*INDEX('DEFAULT DATA'!$AIV$9:$AJC$41,START!$C$3,4)*INDEX('DEFAULT DATA'!$WC$9:$WI$41,START!$C$3,4)/1000000</f>
        <v>0</v>
      </c>
      <c r="AY185" s="123">
        <f>AY$135*INDEX('DEFAULT DATA'!$AIV$9:$AJC$41,START!$C$3,4)*INDEX('DEFAULT DATA'!$WC$9:$WI$41,START!$C$3,4)/1000000</f>
        <v>0</v>
      </c>
      <c r="AZ185" s="123">
        <f>AZ$135*INDEX('DEFAULT DATA'!$AIV$9:$AJC$41,START!$C$3,4)*INDEX('DEFAULT DATA'!$WC$9:$WI$41,START!$C$3,4)/1000000</f>
        <v>0</v>
      </c>
      <c r="BA185" s="123">
        <f>BA$135*INDEX('DEFAULT DATA'!$AIV$9:$AJC$41,START!$C$3,4)*INDEX('DEFAULT DATA'!$WC$9:$WI$41,START!$C$3,4)/1000000</f>
        <v>0</v>
      </c>
      <c r="BB185" s="123">
        <f>BB$135*INDEX('DEFAULT DATA'!$AIV$9:$AJC$41,START!$C$3,4)*INDEX('DEFAULT DATA'!$WC$9:$WI$41,START!$C$3,4)/1000000</f>
        <v>0</v>
      </c>
      <c r="BC185" s="123">
        <f>BC$135*INDEX('DEFAULT DATA'!$AIV$9:$AJC$41,START!$C$3,4)*INDEX('DEFAULT DATA'!$WC$9:$WI$41,START!$C$3,4)/1000000</f>
        <v>0</v>
      </c>
      <c r="BD185" s="123">
        <f>BD$135*INDEX('DEFAULT DATA'!$AIV$9:$AJC$41,START!$C$3,4)*INDEX('DEFAULT DATA'!$WC$9:$WI$41,START!$C$3,4)/1000000</f>
        <v>0</v>
      </c>
      <c r="BE185" s="123">
        <f>BE$135*INDEX('DEFAULT DATA'!$AIV$9:$AJC$41,START!$C$3,4)*INDEX('DEFAULT DATA'!$WC$9:$WI$41,START!$C$3,4)/1000000</f>
        <v>0</v>
      </c>
      <c r="BF185" s="123">
        <f>BF$135*INDEX('DEFAULT DATA'!$AIV$9:$AJC$41,START!$C$3,4)*INDEX('DEFAULT DATA'!$WC$9:$WI$41,START!$C$3,4)/1000000</f>
        <v>0</v>
      </c>
      <c r="BG185" s="123">
        <f>BG$135*INDEX('DEFAULT DATA'!$AIV$9:$AJC$41,START!$C$3,4)*INDEX('DEFAULT DATA'!$WC$9:$WI$41,START!$C$3,4)/1000000</f>
        <v>0</v>
      </c>
      <c r="BH185" s="123">
        <f>BH$135*INDEX('DEFAULT DATA'!$AIV$9:$AJC$41,START!$C$3,4)*INDEX('DEFAULT DATA'!$WC$9:$WI$41,START!$C$3,4)/1000000</f>
        <v>0</v>
      </c>
      <c r="BI185" s="123">
        <f>BI$135*INDEX('DEFAULT DATA'!$AIV$9:$AJC$41,START!$C$3,4)*INDEX('DEFAULT DATA'!$WC$9:$WI$41,START!$C$3,4)/1000000</f>
        <v>0</v>
      </c>
      <c r="BJ185" s="123">
        <f>BJ$135*INDEX('DEFAULT DATA'!$AIV$9:$AJC$41,START!$C$3,4)*INDEX('DEFAULT DATA'!$WC$9:$WI$41,START!$C$3,4)/1000000</f>
        <v>0</v>
      </c>
      <c r="BK185" s="123">
        <f>BK$135*INDEX('DEFAULT DATA'!$AIV$9:$AJC$41,START!$C$3,4)*INDEX('DEFAULT DATA'!$WC$9:$WI$41,START!$C$3,4)/1000000</f>
        <v>0</v>
      </c>
      <c r="BL185" s="123">
        <f>BL$135*INDEX('DEFAULT DATA'!$AIV$9:$AJC$41,START!$C$3,4)*INDEX('DEFAULT DATA'!$WC$9:$WI$41,START!$C$3,4)/1000000</f>
        <v>0</v>
      </c>
      <c r="BM185" s="123">
        <f>BM$135*INDEX('DEFAULT DATA'!$AIV$9:$AJC$41,START!$C$3,4)*INDEX('DEFAULT DATA'!$WC$9:$WI$41,START!$C$3,4)/1000000</f>
        <v>0</v>
      </c>
      <c r="BN185" s="123">
        <f>BN$135*INDEX('DEFAULT DATA'!$AIV$9:$AJC$41,START!$C$3,4)*INDEX('DEFAULT DATA'!$WC$9:$WI$41,START!$C$3,4)/1000000</f>
        <v>0</v>
      </c>
      <c r="BP185" s="375" t="str">
        <f t="shared" si="77"/>
        <v>Coal</v>
      </c>
      <c r="BQ185" s="376" t="s">
        <v>1472</v>
      </c>
      <c r="BR185" s="377"/>
      <c r="BS185" s="377"/>
      <c r="BT185" s="377"/>
      <c r="BU185" s="377"/>
      <c r="BV185" s="377"/>
      <c r="BW185" s="377"/>
      <c r="BX185" s="377"/>
      <c r="BY185" s="377"/>
      <c r="BZ185" s="377"/>
      <c r="CA185" s="377"/>
      <c r="CB185" s="377"/>
      <c r="CC185" s="377"/>
      <c r="CD185" s="377"/>
      <c r="CE185" s="377"/>
      <c r="CF185" s="377"/>
      <c r="CG185" s="378"/>
      <c r="CH185" s="374" t="s">
        <v>1428</v>
      </c>
      <c r="CI185" s="374" t="s">
        <v>1248</v>
      </c>
    </row>
    <row r="186" spans="1:87" ht="20.100000000000001" customHeight="1" thickBot="1">
      <c r="A186" s="301" t="s">
        <v>875</v>
      </c>
      <c r="B186" s="170">
        <f t="shared" si="75"/>
        <v>3818.0236228025269</v>
      </c>
      <c r="C186" s="170">
        <f t="shared" si="73"/>
        <v>3567.8076096982732</v>
      </c>
      <c r="D186" s="170">
        <f t="shared" si="73"/>
        <v>3336.6080135899424</v>
      </c>
      <c r="E186" s="170">
        <f t="shared" si="73"/>
        <v>3122.9795867858443</v>
      </c>
      <c r="F186" s="170">
        <f t="shared" ref="F186" si="78">AP989</f>
        <v>2925.5869204188584</v>
      </c>
      <c r="G186" s="170">
        <f t="shared" ref="G186" si="79">AQ989</f>
        <v>2743.1960966957631</v>
      </c>
      <c r="H186" s="170">
        <f t="shared" ref="H186" si="80">AR989</f>
        <v>2574.6669755756229</v>
      </c>
      <c r="I186" s="170">
        <f t="shared" ref="I186" si="81">AS989</f>
        <v>2418.9460676606132</v>
      </c>
      <c r="J186" s="170">
        <f t="shared" ref="J186" si="82">AT989</f>
        <v>2275.0599487471441</v>
      </c>
      <c r="K186" s="170">
        <f t="shared" ref="K186" si="83">AU989</f>
        <v>2161.3520500373688</v>
      </c>
      <c r="L186" s="170">
        <f t="shared" ref="L186" si="84">AV989</f>
        <v>2055.0351647437292</v>
      </c>
      <c r="M186" s="170">
        <f t="shared" ref="M186" si="85">AW989</f>
        <v>1955.6288769941757</v>
      </c>
      <c r="N186" s="170">
        <f t="shared" ref="N186" si="86">AX989</f>
        <v>1862.6839979483434</v>
      </c>
      <c r="O186" s="170">
        <f t="shared" ref="O186" si="87">AY989</f>
        <v>1775.78053604049</v>
      </c>
      <c r="P186" s="170">
        <f t="shared" ref="P186" si="88">AZ989</f>
        <v>1694.5257991566473</v>
      </c>
      <c r="Q186" s="170">
        <f t="shared" ref="Q186" si="89">BA989</f>
        <v>1618.5526201702542</v>
      </c>
      <c r="R186" s="170">
        <f t="shared" ref="R186" si="90">BB989</f>
        <v>1547.517697817977</v>
      </c>
      <c r="S186" s="170">
        <f t="shared" ref="S186" si="91">BC989</f>
        <v>1481.1000454185973</v>
      </c>
      <c r="T186" s="170">
        <f t="shared" ref="T186" si="92">BD989</f>
        <v>1418.9995404251777</v>
      </c>
      <c r="U186" s="170">
        <f t="shared" ref="U186" si="93">BE989</f>
        <v>1360.93556825633</v>
      </c>
      <c r="V186" s="170">
        <f t="shared" ref="V186" si="94">BF989</f>
        <v>1306.6457542784574</v>
      </c>
      <c r="W186" s="170">
        <f t="shared" ref="W186" si="95">BG989</f>
        <v>1255.8847782091468</v>
      </c>
      <c r="X186" s="170">
        <f t="shared" ref="X186" si="96">BH989</f>
        <v>1208.4232655843412</v>
      </c>
      <c r="Y186" s="170">
        <f t="shared" ref="Y186" si="97">BI989</f>
        <v>1164.0467512801479</v>
      </c>
      <c r="Z186" s="170">
        <f t="shared" ref="Z186" si="98">BJ989</f>
        <v>1122.5547104057273</v>
      </c>
      <c r="AA186" s="170">
        <f t="shared" ref="AA186" si="99">BK989</f>
        <v>1083.7596521881439</v>
      </c>
      <c r="AB186" s="170">
        <f t="shared" ref="AB186" si="100">BL989</f>
        <v>1047.4862727547036</v>
      </c>
      <c r="AC186" s="170">
        <f t="shared" ref="AC186" si="101">BM989</f>
        <v>1013.5706629844368</v>
      </c>
      <c r="AD186" s="325">
        <f t="shared" ref="AD186" si="102">BN989</f>
        <v>981.85956784923735</v>
      </c>
      <c r="AE186" s="630"/>
      <c r="AF186" s="1557"/>
      <c r="AG186" s="339" t="s">
        <v>865</v>
      </c>
      <c r="AH186" s="317"/>
      <c r="AI186" s="317"/>
      <c r="AJ186" s="318"/>
      <c r="AK186" s="81">
        <v>0</v>
      </c>
      <c r="AL186" s="123">
        <f>AL$135*INDEX('DEFAULT DATA'!$AIV$9:$AJC$41,START!$C$3,5)*INDEX('DEFAULT DATA'!$WC$9:$WI$41,START!$C$3,5)/1000000</f>
        <v>192.26579520000001</v>
      </c>
      <c r="AM186" s="123">
        <f>AM$135*INDEX('DEFAULT DATA'!$AIV$9:$AJC$41,START!$C$3,5)*INDEX('DEFAULT DATA'!$WC$9:$WI$41,START!$C$3,5)/1000000</f>
        <v>192.26579520000001</v>
      </c>
      <c r="AN186" s="123">
        <f>AN$135*INDEX('DEFAULT DATA'!$AIV$9:$AJC$41,START!$C$3,5)*INDEX('DEFAULT DATA'!$WC$9:$WI$41,START!$C$3,5)/1000000</f>
        <v>192.26579520000001</v>
      </c>
      <c r="AO186" s="123">
        <f>AO$135*INDEX('DEFAULT DATA'!$AIV$9:$AJC$41,START!$C$3,5)*INDEX('DEFAULT DATA'!$WC$9:$WI$41,START!$C$3,5)/1000000</f>
        <v>192.26579520000001</v>
      </c>
      <c r="AP186" s="123">
        <f>AP$135*INDEX('DEFAULT DATA'!$AIV$9:$AJC$41,START!$C$3,5)*INDEX('DEFAULT DATA'!$WC$9:$WI$41,START!$C$3,5)/1000000</f>
        <v>192.26579520000001</v>
      </c>
      <c r="AQ186" s="123">
        <f>AQ$135*INDEX('DEFAULT DATA'!$AIV$9:$AJC$41,START!$C$3,5)*INDEX('DEFAULT DATA'!$WC$9:$WI$41,START!$C$3,5)/1000000</f>
        <v>192.26579520000001</v>
      </c>
      <c r="AR186" s="123">
        <f>AR$135*INDEX('DEFAULT DATA'!$AIV$9:$AJC$41,START!$C$3,5)*INDEX('DEFAULT DATA'!$WC$9:$WI$41,START!$C$3,5)/1000000</f>
        <v>192.26579520000001</v>
      </c>
      <c r="AS186" s="123">
        <f>AS$135*INDEX('DEFAULT DATA'!$AIV$9:$AJC$41,START!$C$3,5)*INDEX('DEFAULT DATA'!$WC$9:$WI$41,START!$C$3,5)/1000000</f>
        <v>192.26579520000001</v>
      </c>
      <c r="AT186" s="123">
        <f>AT$135*INDEX('DEFAULT DATA'!$AIV$9:$AJC$41,START!$C$3,5)*INDEX('DEFAULT DATA'!$WC$9:$WI$41,START!$C$3,5)/1000000</f>
        <v>192.26579520000001</v>
      </c>
      <c r="AU186" s="123">
        <f>AU$135*INDEX('DEFAULT DATA'!$AIV$9:$AJC$41,START!$C$3,5)*INDEX('DEFAULT DATA'!$WC$9:$WI$41,START!$C$3,5)/1000000</f>
        <v>192.26579520000001</v>
      </c>
      <c r="AV186" s="123">
        <f>AV$135*INDEX('DEFAULT DATA'!$AIV$9:$AJC$41,START!$C$3,5)*INDEX('DEFAULT DATA'!$WC$9:$WI$41,START!$C$3,5)/1000000</f>
        <v>192.26579520000001</v>
      </c>
      <c r="AW186" s="123">
        <f>AW$135*INDEX('DEFAULT DATA'!$AIV$9:$AJC$41,START!$C$3,5)*INDEX('DEFAULT DATA'!$WC$9:$WI$41,START!$C$3,5)/1000000</f>
        <v>192.26579520000001</v>
      </c>
      <c r="AX186" s="123">
        <f>AX$135*INDEX('DEFAULT DATA'!$AIV$9:$AJC$41,START!$C$3,5)*INDEX('DEFAULT DATA'!$WC$9:$WI$41,START!$C$3,5)/1000000</f>
        <v>192.26579520000001</v>
      </c>
      <c r="AY186" s="123">
        <f>AY$135*INDEX('DEFAULT DATA'!$AIV$9:$AJC$41,START!$C$3,5)*INDEX('DEFAULT DATA'!$WC$9:$WI$41,START!$C$3,5)/1000000</f>
        <v>192.26579520000001</v>
      </c>
      <c r="AZ186" s="123">
        <f>AZ$135*INDEX('DEFAULT DATA'!$AIV$9:$AJC$41,START!$C$3,5)*INDEX('DEFAULT DATA'!$WC$9:$WI$41,START!$C$3,5)/1000000</f>
        <v>192.26579520000001</v>
      </c>
      <c r="BA186" s="123">
        <f>BA$135*INDEX('DEFAULT DATA'!$AIV$9:$AJC$41,START!$C$3,5)*INDEX('DEFAULT DATA'!$WC$9:$WI$41,START!$C$3,5)/1000000</f>
        <v>192.26579520000001</v>
      </c>
      <c r="BB186" s="123">
        <f>BB$135*INDEX('DEFAULT DATA'!$AIV$9:$AJC$41,START!$C$3,5)*INDEX('DEFAULT DATA'!$WC$9:$WI$41,START!$C$3,5)/1000000</f>
        <v>192.26579520000001</v>
      </c>
      <c r="BC186" s="123">
        <f>BC$135*INDEX('DEFAULT DATA'!$AIV$9:$AJC$41,START!$C$3,5)*INDEX('DEFAULT DATA'!$WC$9:$WI$41,START!$C$3,5)/1000000</f>
        <v>192.26579520000001</v>
      </c>
      <c r="BD186" s="123">
        <f>BD$135*INDEX('DEFAULT DATA'!$AIV$9:$AJC$41,START!$C$3,5)*INDEX('DEFAULT DATA'!$WC$9:$WI$41,START!$C$3,5)/1000000</f>
        <v>192.26579520000001</v>
      </c>
      <c r="BE186" s="123">
        <f>BE$135*INDEX('DEFAULT DATA'!$AIV$9:$AJC$41,START!$C$3,5)*INDEX('DEFAULT DATA'!$WC$9:$WI$41,START!$C$3,5)/1000000</f>
        <v>192.26579520000001</v>
      </c>
      <c r="BF186" s="123">
        <f>BF$135*INDEX('DEFAULT DATA'!$AIV$9:$AJC$41,START!$C$3,5)*INDEX('DEFAULT DATA'!$WC$9:$WI$41,START!$C$3,5)/1000000</f>
        <v>192.26579520000001</v>
      </c>
      <c r="BG186" s="123">
        <f>BG$135*INDEX('DEFAULT DATA'!$AIV$9:$AJC$41,START!$C$3,5)*INDEX('DEFAULT DATA'!$WC$9:$WI$41,START!$C$3,5)/1000000</f>
        <v>192.26579520000001</v>
      </c>
      <c r="BH186" s="123">
        <f>BH$135*INDEX('DEFAULT DATA'!$AIV$9:$AJC$41,START!$C$3,5)*INDEX('DEFAULT DATA'!$WC$9:$WI$41,START!$C$3,5)/1000000</f>
        <v>192.26579520000001</v>
      </c>
      <c r="BI186" s="123">
        <f>BI$135*INDEX('DEFAULT DATA'!$AIV$9:$AJC$41,START!$C$3,5)*INDEX('DEFAULT DATA'!$WC$9:$WI$41,START!$C$3,5)/1000000</f>
        <v>192.26579520000001</v>
      </c>
      <c r="BJ186" s="123">
        <f>BJ$135*INDEX('DEFAULT DATA'!$AIV$9:$AJC$41,START!$C$3,5)*INDEX('DEFAULT DATA'!$WC$9:$WI$41,START!$C$3,5)/1000000</f>
        <v>192.26579520000001</v>
      </c>
      <c r="BK186" s="123">
        <f>BK$135*INDEX('DEFAULT DATA'!$AIV$9:$AJC$41,START!$C$3,5)*INDEX('DEFAULT DATA'!$WC$9:$WI$41,START!$C$3,5)/1000000</f>
        <v>192.26579520000001</v>
      </c>
      <c r="BL186" s="123">
        <f>BL$135*INDEX('DEFAULT DATA'!$AIV$9:$AJC$41,START!$C$3,5)*INDEX('DEFAULT DATA'!$WC$9:$WI$41,START!$C$3,5)/1000000</f>
        <v>192.26579520000001</v>
      </c>
      <c r="BM186" s="123">
        <f>BM$135*INDEX('DEFAULT DATA'!$AIV$9:$AJC$41,START!$C$3,5)*INDEX('DEFAULT DATA'!$WC$9:$WI$41,START!$C$3,5)/1000000</f>
        <v>192.26579520000001</v>
      </c>
      <c r="BN186" s="123">
        <f>BN$135*INDEX('DEFAULT DATA'!$AIV$9:$AJC$41,START!$C$3,5)*INDEX('DEFAULT DATA'!$WC$9:$WI$41,START!$C$3,5)/1000000</f>
        <v>192.26579520000001</v>
      </c>
      <c r="BP186" s="375" t="str">
        <f t="shared" si="77"/>
        <v>Peat</v>
      </c>
      <c r="BQ186" s="376" t="s">
        <v>1473</v>
      </c>
      <c r="BR186" s="377"/>
      <c r="BS186" s="377"/>
      <c r="BT186" s="377"/>
      <c r="BU186" s="377"/>
      <c r="BV186" s="377"/>
      <c r="BW186" s="377"/>
      <c r="BX186" s="377"/>
      <c r="BY186" s="377"/>
      <c r="BZ186" s="377"/>
      <c r="CA186" s="377"/>
      <c r="CB186" s="377"/>
      <c r="CC186" s="377"/>
      <c r="CD186" s="377"/>
      <c r="CE186" s="377"/>
      <c r="CF186" s="377"/>
      <c r="CG186" s="378"/>
      <c r="CH186" s="374" t="s">
        <v>1429</v>
      </c>
      <c r="CI186" s="374" t="s">
        <v>1249</v>
      </c>
    </row>
    <row r="187" spans="1:87" ht="20.100000000000001" customHeight="1">
      <c r="A187" s="545" t="s">
        <v>2267</v>
      </c>
      <c r="B187" s="162">
        <f>AL991</f>
        <v>354150.46344018861</v>
      </c>
      <c r="C187" s="162">
        <f t="shared" ref="C187:AD187" si="103">AM991</f>
        <v>340882.70237839571</v>
      </c>
      <c r="D187" s="162">
        <f t="shared" si="103"/>
        <v>328623.29115729901</v>
      </c>
      <c r="E187" s="162">
        <f t="shared" si="103"/>
        <v>317295.59518900566</v>
      </c>
      <c r="F187" s="162">
        <f t="shared" si="103"/>
        <v>306828.80411430268</v>
      </c>
      <c r="G187" s="162">
        <f t="shared" si="103"/>
        <v>297157.48916127707</v>
      </c>
      <c r="H187" s="162">
        <f t="shared" si="103"/>
        <v>288221.19414468145</v>
      </c>
      <c r="I187" s="162">
        <f t="shared" si="103"/>
        <v>279964.05754934705</v>
      </c>
      <c r="J187" s="162">
        <f t="shared" si="103"/>
        <v>274443.02145487233</v>
      </c>
      <c r="K187" s="162">
        <f t="shared" si="103"/>
        <v>270465.0396561792</v>
      </c>
      <c r="L187" s="162">
        <f t="shared" si="103"/>
        <v>266825.53025094996</v>
      </c>
      <c r="M187" s="162">
        <f t="shared" si="103"/>
        <v>263502.4925336095</v>
      </c>
      <c r="N187" s="162">
        <f t="shared" si="103"/>
        <v>260475.35584444503</v>
      </c>
      <c r="O187" s="162">
        <f t="shared" si="103"/>
        <v>257724.88661662518</v>
      </c>
      <c r="P187" s="162">
        <f t="shared" si="103"/>
        <v>255233.1014651625</v>
      </c>
      <c r="Q187" s="162">
        <f t="shared" si="103"/>
        <v>252983.18592509368</v>
      </c>
      <c r="R187" s="162">
        <f t="shared" si="103"/>
        <v>250959.41847167825</v>
      </c>
      <c r="S187" s="162">
        <f t="shared" si="103"/>
        <v>249147.0994792837</v>
      </c>
      <c r="T187" s="162">
        <f t="shared" si="103"/>
        <v>247532.4847979437</v>
      </c>
      <c r="U187" s="162">
        <f t="shared" si="103"/>
        <v>244453.62945420563</v>
      </c>
      <c r="V187" s="162">
        <f t="shared" si="103"/>
        <v>241574.89970781055</v>
      </c>
      <c r="W187" s="162">
        <f t="shared" si="103"/>
        <v>238883.28739493113</v>
      </c>
      <c r="X187" s="162">
        <f t="shared" si="103"/>
        <v>236366.62988238889</v>
      </c>
      <c r="Y187" s="162">
        <f t="shared" si="103"/>
        <v>234013.55510816193</v>
      </c>
      <c r="Z187" s="162">
        <f t="shared" si="103"/>
        <v>231813.43019425971</v>
      </c>
      <c r="AA187" s="162">
        <f t="shared" si="103"/>
        <v>229756.31339976107</v>
      </c>
      <c r="AB187" s="162">
        <f t="shared" si="103"/>
        <v>227832.90919690489</v>
      </c>
      <c r="AC187" s="162">
        <f t="shared" si="103"/>
        <v>226034.52626723435</v>
      </c>
      <c r="AD187" s="546">
        <f t="shared" si="103"/>
        <v>224353.03822799239</v>
      </c>
      <c r="AE187" s="630"/>
      <c r="AF187" s="1557"/>
      <c r="AG187" s="339" t="s">
        <v>866</v>
      </c>
      <c r="AH187" s="317"/>
      <c r="AI187" s="317"/>
      <c r="AJ187" s="318"/>
      <c r="AK187" s="81">
        <v>0</v>
      </c>
      <c r="AL187" s="123">
        <f>AL$135*INDEX('DEFAULT DATA'!$AIV$9:$AJC$41,START!$C$3,6)*INDEX('DEFAULT DATA'!$WC$9:$WI$41,START!$C$3,6)/1000000</f>
        <v>246.93002880000003</v>
      </c>
      <c r="AM187" s="123">
        <f>AM$135*INDEX('DEFAULT DATA'!$AIV$9:$AJC$41,START!$C$3,6)*INDEX('DEFAULT DATA'!$WC$9:$WI$41,START!$C$3,6)/1000000</f>
        <v>246.93002880000003</v>
      </c>
      <c r="AN187" s="123">
        <f>AN$135*INDEX('DEFAULT DATA'!$AIV$9:$AJC$41,START!$C$3,6)*INDEX('DEFAULT DATA'!$WC$9:$WI$41,START!$C$3,6)/1000000</f>
        <v>246.93002880000003</v>
      </c>
      <c r="AO187" s="123">
        <f>AO$135*INDEX('DEFAULT DATA'!$AIV$9:$AJC$41,START!$C$3,6)*INDEX('DEFAULT DATA'!$WC$9:$WI$41,START!$C$3,6)/1000000</f>
        <v>246.93002880000003</v>
      </c>
      <c r="AP187" s="123">
        <f>AP$135*INDEX('DEFAULT DATA'!$AIV$9:$AJC$41,START!$C$3,6)*INDEX('DEFAULT DATA'!$WC$9:$WI$41,START!$C$3,6)/1000000</f>
        <v>246.93002880000003</v>
      </c>
      <c r="AQ187" s="123">
        <f>AQ$135*INDEX('DEFAULT DATA'!$AIV$9:$AJC$41,START!$C$3,6)*INDEX('DEFAULT DATA'!$WC$9:$WI$41,START!$C$3,6)/1000000</f>
        <v>246.93002880000003</v>
      </c>
      <c r="AR187" s="123">
        <f>AR$135*INDEX('DEFAULT DATA'!$AIV$9:$AJC$41,START!$C$3,6)*INDEX('DEFAULT DATA'!$WC$9:$WI$41,START!$C$3,6)/1000000</f>
        <v>246.93002880000003</v>
      </c>
      <c r="AS187" s="123">
        <f>AS$135*INDEX('DEFAULT DATA'!$AIV$9:$AJC$41,START!$C$3,6)*INDEX('DEFAULT DATA'!$WC$9:$WI$41,START!$C$3,6)/1000000</f>
        <v>246.93002880000003</v>
      </c>
      <c r="AT187" s="123">
        <f>AT$135*INDEX('DEFAULT DATA'!$AIV$9:$AJC$41,START!$C$3,6)*INDEX('DEFAULT DATA'!$WC$9:$WI$41,START!$C$3,6)/1000000</f>
        <v>246.93002880000003</v>
      </c>
      <c r="AU187" s="123">
        <f>AU$135*INDEX('DEFAULT DATA'!$AIV$9:$AJC$41,START!$C$3,6)*INDEX('DEFAULT DATA'!$WC$9:$WI$41,START!$C$3,6)/1000000</f>
        <v>246.93002880000003</v>
      </c>
      <c r="AV187" s="123">
        <f>AV$135*INDEX('DEFAULT DATA'!$AIV$9:$AJC$41,START!$C$3,6)*INDEX('DEFAULT DATA'!$WC$9:$WI$41,START!$C$3,6)/1000000</f>
        <v>246.93002880000003</v>
      </c>
      <c r="AW187" s="123">
        <f>AW$135*INDEX('DEFAULT DATA'!$AIV$9:$AJC$41,START!$C$3,6)*INDEX('DEFAULT DATA'!$WC$9:$WI$41,START!$C$3,6)/1000000</f>
        <v>246.93002880000003</v>
      </c>
      <c r="AX187" s="123">
        <f>AX$135*INDEX('DEFAULT DATA'!$AIV$9:$AJC$41,START!$C$3,6)*INDEX('DEFAULT DATA'!$WC$9:$WI$41,START!$C$3,6)/1000000</f>
        <v>246.93002880000003</v>
      </c>
      <c r="AY187" s="123">
        <f>AY$135*INDEX('DEFAULT DATA'!$AIV$9:$AJC$41,START!$C$3,6)*INDEX('DEFAULT DATA'!$WC$9:$WI$41,START!$C$3,6)/1000000</f>
        <v>246.93002880000003</v>
      </c>
      <c r="AZ187" s="123">
        <f>AZ$135*INDEX('DEFAULT DATA'!$AIV$9:$AJC$41,START!$C$3,6)*INDEX('DEFAULT DATA'!$WC$9:$WI$41,START!$C$3,6)/1000000</f>
        <v>246.93002880000003</v>
      </c>
      <c r="BA187" s="123">
        <f>BA$135*INDEX('DEFAULT DATA'!$AIV$9:$AJC$41,START!$C$3,6)*INDEX('DEFAULT DATA'!$WC$9:$WI$41,START!$C$3,6)/1000000</f>
        <v>246.93002880000003</v>
      </c>
      <c r="BB187" s="123">
        <f>BB$135*INDEX('DEFAULT DATA'!$AIV$9:$AJC$41,START!$C$3,6)*INDEX('DEFAULT DATA'!$WC$9:$WI$41,START!$C$3,6)/1000000</f>
        <v>246.93002880000003</v>
      </c>
      <c r="BC187" s="123">
        <f>BC$135*INDEX('DEFAULT DATA'!$AIV$9:$AJC$41,START!$C$3,6)*INDEX('DEFAULT DATA'!$WC$9:$WI$41,START!$C$3,6)/1000000</f>
        <v>246.93002880000003</v>
      </c>
      <c r="BD187" s="123">
        <f>BD$135*INDEX('DEFAULT DATA'!$AIV$9:$AJC$41,START!$C$3,6)*INDEX('DEFAULT DATA'!$WC$9:$WI$41,START!$C$3,6)/1000000</f>
        <v>246.93002880000003</v>
      </c>
      <c r="BE187" s="123">
        <f>BE$135*INDEX('DEFAULT DATA'!$AIV$9:$AJC$41,START!$C$3,6)*INDEX('DEFAULT DATA'!$WC$9:$WI$41,START!$C$3,6)/1000000</f>
        <v>246.93002880000003</v>
      </c>
      <c r="BF187" s="123">
        <f>BF$135*INDEX('DEFAULT DATA'!$AIV$9:$AJC$41,START!$C$3,6)*INDEX('DEFAULT DATA'!$WC$9:$WI$41,START!$C$3,6)/1000000</f>
        <v>246.93002880000003</v>
      </c>
      <c r="BG187" s="123">
        <f>BG$135*INDEX('DEFAULT DATA'!$AIV$9:$AJC$41,START!$C$3,6)*INDEX('DEFAULT DATA'!$WC$9:$WI$41,START!$C$3,6)/1000000</f>
        <v>246.93002880000003</v>
      </c>
      <c r="BH187" s="123">
        <f>BH$135*INDEX('DEFAULT DATA'!$AIV$9:$AJC$41,START!$C$3,6)*INDEX('DEFAULT DATA'!$WC$9:$WI$41,START!$C$3,6)/1000000</f>
        <v>246.93002880000003</v>
      </c>
      <c r="BI187" s="123">
        <f>BI$135*INDEX('DEFAULT DATA'!$AIV$9:$AJC$41,START!$C$3,6)*INDEX('DEFAULT DATA'!$WC$9:$WI$41,START!$C$3,6)/1000000</f>
        <v>246.93002880000003</v>
      </c>
      <c r="BJ187" s="123">
        <f>BJ$135*INDEX('DEFAULT DATA'!$AIV$9:$AJC$41,START!$C$3,6)*INDEX('DEFAULT DATA'!$WC$9:$WI$41,START!$C$3,6)/1000000</f>
        <v>246.93002880000003</v>
      </c>
      <c r="BK187" s="123">
        <f>BK$135*INDEX('DEFAULT DATA'!$AIV$9:$AJC$41,START!$C$3,6)*INDEX('DEFAULT DATA'!$WC$9:$WI$41,START!$C$3,6)/1000000</f>
        <v>246.93002880000003</v>
      </c>
      <c r="BL187" s="123">
        <f>BL$135*INDEX('DEFAULT DATA'!$AIV$9:$AJC$41,START!$C$3,6)*INDEX('DEFAULT DATA'!$WC$9:$WI$41,START!$C$3,6)/1000000</f>
        <v>246.93002880000003</v>
      </c>
      <c r="BM187" s="123">
        <f>BM$135*INDEX('DEFAULT DATA'!$AIV$9:$AJC$41,START!$C$3,6)*INDEX('DEFAULT DATA'!$WC$9:$WI$41,START!$C$3,6)/1000000</f>
        <v>246.93002880000003</v>
      </c>
      <c r="BN187" s="123">
        <f>BN$135*INDEX('DEFAULT DATA'!$AIV$9:$AJC$41,START!$C$3,6)*INDEX('DEFAULT DATA'!$WC$9:$WI$41,START!$C$3,6)/1000000</f>
        <v>246.93002880000003</v>
      </c>
      <c r="BP187" s="375" t="str">
        <f t="shared" si="77"/>
        <v>Wood</v>
      </c>
      <c r="BQ187" s="376" t="s">
        <v>1474</v>
      </c>
      <c r="BR187" s="377"/>
      <c r="BS187" s="377"/>
      <c r="BT187" s="377"/>
      <c r="BU187" s="377"/>
      <c r="BV187" s="377"/>
      <c r="BW187" s="377"/>
      <c r="BX187" s="377"/>
      <c r="BY187" s="377"/>
      <c r="BZ187" s="377"/>
      <c r="CA187" s="377"/>
      <c r="CB187" s="377"/>
      <c r="CC187" s="377"/>
      <c r="CD187" s="377"/>
      <c r="CE187" s="377"/>
      <c r="CF187" s="377"/>
      <c r="CG187" s="378"/>
      <c r="CH187" s="374" t="s">
        <v>1430</v>
      </c>
      <c r="CI187" s="374" t="s">
        <v>1250</v>
      </c>
    </row>
    <row r="188" spans="1:87" ht="20.100000000000001" customHeight="1" thickBot="1">
      <c r="A188" s="301" t="s">
        <v>1142</v>
      </c>
      <c r="B188" s="160">
        <f>AL990</f>
        <v>354150.46344018861</v>
      </c>
      <c r="C188" s="160">
        <f t="shared" ref="C188:AD188" si="104">AM990</f>
        <v>340882.70237839571</v>
      </c>
      <c r="D188" s="160">
        <f t="shared" si="104"/>
        <v>328623.29115729901</v>
      </c>
      <c r="E188" s="160">
        <f t="shared" si="104"/>
        <v>317295.59518900566</v>
      </c>
      <c r="F188" s="160">
        <f t="shared" si="104"/>
        <v>306828.80411430268</v>
      </c>
      <c r="G188" s="160">
        <f t="shared" si="104"/>
        <v>297157.48916127707</v>
      </c>
      <c r="H188" s="160">
        <f t="shared" si="104"/>
        <v>288221.19414468145</v>
      </c>
      <c r="I188" s="160">
        <f t="shared" si="104"/>
        <v>279964.05754934705</v>
      </c>
      <c r="J188" s="160">
        <f t="shared" si="104"/>
        <v>272334.46333525807</v>
      </c>
      <c r="K188" s="160">
        <f t="shared" si="104"/>
        <v>266305.07611817669</v>
      </c>
      <c r="L188" s="160">
        <f t="shared" si="104"/>
        <v>260667.59907020562</v>
      </c>
      <c r="M188" s="160">
        <f t="shared" si="104"/>
        <v>255396.55803035269</v>
      </c>
      <c r="N188" s="160">
        <f t="shared" si="104"/>
        <v>250468.13465809016</v>
      </c>
      <c r="O188" s="160">
        <f t="shared" si="104"/>
        <v>245860.05880502472</v>
      </c>
      <c r="P188" s="160">
        <f t="shared" si="104"/>
        <v>241551.50788240854</v>
      </c>
      <c r="Q188" s="160">
        <f t="shared" si="104"/>
        <v>237523.01276976237</v>
      </c>
      <c r="R188" s="160">
        <f t="shared" si="104"/>
        <v>233756.36983943827</v>
      </c>
      <c r="S188" s="160">
        <f t="shared" si="104"/>
        <v>230234.55869958515</v>
      </c>
      <c r="T188" s="160">
        <f t="shared" si="104"/>
        <v>226941.66528382254</v>
      </c>
      <c r="U188" s="160">
        <f t="shared" si="104"/>
        <v>223862.80994008449</v>
      </c>
      <c r="V188" s="160">
        <f t="shared" si="104"/>
        <v>220984.08019368944</v>
      </c>
      <c r="W188" s="160">
        <f t="shared" si="104"/>
        <v>218292.46788081</v>
      </c>
      <c r="X188" s="160">
        <f t="shared" si="104"/>
        <v>215775.81036826776</v>
      </c>
      <c r="Y188" s="160">
        <f t="shared" si="104"/>
        <v>213422.73559404077</v>
      </c>
      <c r="Z188" s="160">
        <f t="shared" si="104"/>
        <v>211222.61068013855</v>
      </c>
      <c r="AA188" s="160">
        <f t="shared" si="104"/>
        <v>209165.49388563991</v>
      </c>
      <c r="AB188" s="160">
        <f t="shared" si="104"/>
        <v>207242.08968278373</v>
      </c>
      <c r="AC188" s="160">
        <f t="shared" si="104"/>
        <v>205443.70675311322</v>
      </c>
      <c r="AD188" s="161">
        <f t="shared" si="104"/>
        <v>203762.21871387123</v>
      </c>
      <c r="AE188" s="630"/>
      <c r="AF188" s="1557"/>
      <c r="AG188" s="339" t="s">
        <v>867</v>
      </c>
      <c r="AH188" s="317"/>
      <c r="AI188" s="317"/>
      <c r="AJ188" s="318"/>
      <c r="AK188" s="81">
        <v>0</v>
      </c>
      <c r="AL188" s="123">
        <f>AL$135*INDEX('DEFAULT DATA'!$AIV$9:$AJC$41,START!$C$3,7)*INDEX('DEFAULT DATA'!$WC$9:$WI$41,START!$C$3,7)/1000000</f>
        <v>0</v>
      </c>
      <c r="AM188" s="123">
        <f>AM$135*INDEX('DEFAULT DATA'!$AIV$9:$AJC$41,START!$C$3,7)*INDEX('DEFAULT DATA'!$WC$9:$WI$41,START!$C$3,7)/1000000</f>
        <v>0</v>
      </c>
      <c r="AN188" s="123">
        <f>AN$135*INDEX('DEFAULT DATA'!$AIV$9:$AJC$41,START!$C$3,7)*INDEX('DEFAULT DATA'!$WC$9:$WI$41,START!$C$3,7)/1000000</f>
        <v>0</v>
      </c>
      <c r="AO188" s="123">
        <f>AO$135*INDEX('DEFAULT DATA'!$AIV$9:$AJC$41,START!$C$3,7)*INDEX('DEFAULT DATA'!$WC$9:$WI$41,START!$C$3,7)/1000000</f>
        <v>0</v>
      </c>
      <c r="AP188" s="123">
        <f>AP$135*INDEX('DEFAULT DATA'!$AIV$9:$AJC$41,START!$C$3,7)*INDEX('DEFAULT DATA'!$WC$9:$WI$41,START!$C$3,7)/1000000</f>
        <v>0</v>
      </c>
      <c r="AQ188" s="123">
        <f>AQ$135*INDEX('DEFAULT DATA'!$AIV$9:$AJC$41,START!$C$3,7)*INDEX('DEFAULT DATA'!$WC$9:$WI$41,START!$C$3,7)/1000000</f>
        <v>0</v>
      </c>
      <c r="AR188" s="123">
        <f>AR$135*INDEX('DEFAULT DATA'!$AIV$9:$AJC$41,START!$C$3,7)*INDEX('DEFAULT DATA'!$WC$9:$WI$41,START!$C$3,7)/1000000</f>
        <v>0</v>
      </c>
      <c r="AS188" s="123">
        <f>AS$135*INDEX('DEFAULT DATA'!$AIV$9:$AJC$41,START!$C$3,7)*INDEX('DEFAULT DATA'!$WC$9:$WI$41,START!$C$3,7)/1000000</f>
        <v>0</v>
      </c>
      <c r="AT188" s="123">
        <f>AT$135*INDEX('DEFAULT DATA'!$AIV$9:$AJC$41,START!$C$3,7)*INDEX('DEFAULT DATA'!$WC$9:$WI$41,START!$C$3,7)/1000000</f>
        <v>0</v>
      </c>
      <c r="AU188" s="123">
        <f>AU$135*INDEX('DEFAULT DATA'!$AIV$9:$AJC$41,START!$C$3,7)*INDEX('DEFAULT DATA'!$WC$9:$WI$41,START!$C$3,7)/1000000</f>
        <v>0</v>
      </c>
      <c r="AV188" s="123">
        <f>AV$135*INDEX('DEFAULT DATA'!$AIV$9:$AJC$41,START!$C$3,7)*INDEX('DEFAULT DATA'!$WC$9:$WI$41,START!$C$3,7)/1000000</f>
        <v>0</v>
      </c>
      <c r="AW188" s="123">
        <f>AW$135*INDEX('DEFAULT DATA'!$AIV$9:$AJC$41,START!$C$3,7)*INDEX('DEFAULT DATA'!$WC$9:$WI$41,START!$C$3,7)/1000000</f>
        <v>0</v>
      </c>
      <c r="AX188" s="123">
        <f>AX$135*INDEX('DEFAULT DATA'!$AIV$9:$AJC$41,START!$C$3,7)*INDEX('DEFAULT DATA'!$WC$9:$WI$41,START!$C$3,7)/1000000</f>
        <v>0</v>
      </c>
      <c r="AY188" s="123">
        <f>AY$135*INDEX('DEFAULT DATA'!$AIV$9:$AJC$41,START!$C$3,7)*INDEX('DEFAULT DATA'!$WC$9:$WI$41,START!$C$3,7)/1000000</f>
        <v>0</v>
      </c>
      <c r="AZ188" s="123">
        <f>AZ$135*INDEX('DEFAULT DATA'!$AIV$9:$AJC$41,START!$C$3,7)*INDEX('DEFAULT DATA'!$WC$9:$WI$41,START!$C$3,7)/1000000</f>
        <v>0</v>
      </c>
      <c r="BA188" s="123">
        <f>BA$135*INDEX('DEFAULT DATA'!$AIV$9:$AJC$41,START!$C$3,7)*INDEX('DEFAULT DATA'!$WC$9:$WI$41,START!$C$3,7)/1000000</f>
        <v>0</v>
      </c>
      <c r="BB188" s="123">
        <f>BB$135*INDEX('DEFAULT DATA'!$AIV$9:$AJC$41,START!$C$3,7)*INDEX('DEFAULT DATA'!$WC$9:$WI$41,START!$C$3,7)/1000000</f>
        <v>0</v>
      </c>
      <c r="BC188" s="123">
        <f>BC$135*INDEX('DEFAULT DATA'!$AIV$9:$AJC$41,START!$C$3,7)*INDEX('DEFAULT DATA'!$WC$9:$WI$41,START!$C$3,7)/1000000</f>
        <v>0</v>
      </c>
      <c r="BD188" s="123">
        <f>BD$135*INDEX('DEFAULT DATA'!$AIV$9:$AJC$41,START!$C$3,7)*INDEX('DEFAULT DATA'!$WC$9:$WI$41,START!$C$3,7)/1000000</f>
        <v>0</v>
      </c>
      <c r="BE188" s="123">
        <f>BE$135*INDEX('DEFAULT DATA'!$AIV$9:$AJC$41,START!$C$3,7)*INDEX('DEFAULT DATA'!$WC$9:$WI$41,START!$C$3,7)/1000000</f>
        <v>0</v>
      </c>
      <c r="BF188" s="123">
        <f>BF$135*INDEX('DEFAULT DATA'!$AIV$9:$AJC$41,START!$C$3,7)*INDEX('DEFAULT DATA'!$WC$9:$WI$41,START!$C$3,7)/1000000</f>
        <v>0</v>
      </c>
      <c r="BG188" s="123">
        <f>BG$135*INDEX('DEFAULT DATA'!$AIV$9:$AJC$41,START!$C$3,7)*INDEX('DEFAULT DATA'!$WC$9:$WI$41,START!$C$3,7)/1000000</f>
        <v>0</v>
      </c>
      <c r="BH188" s="123">
        <f>BH$135*INDEX('DEFAULT DATA'!$AIV$9:$AJC$41,START!$C$3,7)*INDEX('DEFAULT DATA'!$WC$9:$WI$41,START!$C$3,7)/1000000</f>
        <v>0</v>
      </c>
      <c r="BI188" s="123">
        <f>BI$135*INDEX('DEFAULT DATA'!$AIV$9:$AJC$41,START!$C$3,7)*INDEX('DEFAULT DATA'!$WC$9:$WI$41,START!$C$3,7)/1000000</f>
        <v>0</v>
      </c>
      <c r="BJ188" s="123">
        <f>BJ$135*INDEX('DEFAULT DATA'!$AIV$9:$AJC$41,START!$C$3,7)*INDEX('DEFAULT DATA'!$WC$9:$WI$41,START!$C$3,7)/1000000</f>
        <v>0</v>
      </c>
      <c r="BK188" s="123">
        <f>BK$135*INDEX('DEFAULT DATA'!$AIV$9:$AJC$41,START!$C$3,7)*INDEX('DEFAULT DATA'!$WC$9:$WI$41,START!$C$3,7)/1000000</f>
        <v>0</v>
      </c>
      <c r="BL188" s="123">
        <f>BL$135*INDEX('DEFAULT DATA'!$AIV$9:$AJC$41,START!$C$3,7)*INDEX('DEFAULT DATA'!$WC$9:$WI$41,START!$C$3,7)/1000000</f>
        <v>0</v>
      </c>
      <c r="BM188" s="123">
        <f>BM$135*INDEX('DEFAULT DATA'!$AIV$9:$AJC$41,START!$C$3,7)*INDEX('DEFAULT DATA'!$WC$9:$WI$41,START!$C$3,7)/1000000</f>
        <v>0</v>
      </c>
      <c r="BN188" s="123">
        <f>BN$135*INDEX('DEFAULT DATA'!$AIV$9:$AJC$41,START!$C$3,7)*INDEX('DEFAULT DATA'!$WC$9:$WI$41,START!$C$3,7)/1000000</f>
        <v>0</v>
      </c>
      <c r="BP188" s="375" t="str">
        <f t="shared" si="77"/>
        <v>Renewable</v>
      </c>
      <c r="BQ188" s="376" t="s">
        <v>1475</v>
      </c>
      <c r="BR188" s="377"/>
      <c r="BS188" s="377"/>
      <c r="BT188" s="377"/>
      <c r="BU188" s="377"/>
      <c r="BV188" s="377"/>
      <c r="BW188" s="377"/>
      <c r="BX188" s="377"/>
      <c r="BY188" s="377"/>
      <c r="BZ188" s="377"/>
      <c r="CA188" s="377"/>
      <c r="CB188" s="377"/>
      <c r="CC188" s="377"/>
      <c r="CD188" s="377"/>
      <c r="CE188" s="377"/>
      <c r="CF188" s="377"/>
      <c r="CG188" s="378"/>
      <c r="CH188" s="374" t="s">
        <v>1431</v>
      </c>
      <c r="CI188" s="374" t="s">
        <v>1251</v>
      </c>
    </row>
    <row r="189" spans="1:87" ht="20.100000000000001" customHeight="1" thickBot="1">
      <c r="A189" s="15"/>
      <c r="B189" s="630"/>
      <c r="C189" s="630"/>
      <c r="D189" s="630"/>
      <c r="E189" s="630"/>
      <c r="F189" s="630"/>
      <c r="G189" s="630"/>
      <c r="H189" s="630"/>
      <c r="I189" s="630"/>
      <c r="J189" s="630"/>
      <c r="K189" s="630"/>
      <c r="L189" s="630"/>
      <c r="M189" s="627"/>
      <c r="N189" s="630"/>
      <c r="O189" s="630"/>
      <c r="P189" s="630"/>
      <c r="Q189" s="630"/>
      <c r="R189" s="630"/>
      <c r="S189" s="630"/>
      <c r="T189" s="630"/>
      <c r="U189" s="630"/>
      <c r="V189" s="630"/>
      <c r="W189" s="630"/>
      <c r="X189" s="630"/>
      <c r="Y189" s="630"/>
      <c r="Z189" s="630"/>
      <c r="AA189" s="630"/>
      <c r="AB189" s="630"/>
      <c r="AC189" s="630"/>
      <c r="AD189" s="630"/>
      <c r="AE189" s="630"/>
      <c r="AF189" s="1558"/>
      <c r="AG189" s="329" t="s">
        <v>868</v>
      </c>
      <c r="AH189" s="330"/>
      <c r="AI189" s="330"/>
      <c r="AJ189" s="175"/>
      <c r="AK189" s="155">
        <v>0</v>
      </c>
      <c r="AL189" s="160">
        <f>AL$135*INDEX('DEFAULT DATA'!$AIV$9:$AJC$41,START!$C$3,8)*BUILDINGS!AL6/1000000</f>
        <v>0</v>
      </c>
      <c r="AM189" s="160">
        <f>AM$135*INDEX('DEFAULT DATA'!$AIV$9:$AJC$41,START!$C$3,8)*BUILDINGS!AM6/1000000</f>
        <v>0</v>
      </c>
      <c r="AN189" s="160">
        <f>AN$135*INDEX('DEFAULT DATA'!$AIV$9:$AJC$41,START!$C$3,8)*BUILDINGS!AN6/1000000</f>
        <v>0</v>
      </c>
      <c r="AO189" s="160">
        <f>AO$135*INDEX('DEFAULT DATA'!$AIV$9:$AJC$41,START!$C$3,8)*BUILDINGS!AO6/1000000</f>
        <v>0</v>
      </c>
      <c r="AP189" s="160">
        <f>AP$135*INDEX('DEFAULT DATA'!$AIV$9:$AJC$41,START!$C$3,8)*BUILDINGS!AP6/1000000</f>
        <v>0</v>
      </c>
      <c r="AQ189" s="160">
        <f>AQ$135*INDEX('DEFAULT DATA'!$AIV$9:$AJC$41,START!$C$3,8)*BUILDINGS!AQ6/1000000</f>
        <v>0</v>
      </c>
      <c r="AR189" s="160">
        <f>AR$135*INDEX('DEFAULT DATA'!$AIV$9:$AJC$41,START!$C$3,8)*BUILDINGS!AR6/1000000</f>
        <v>0</v>
      </c>
      <c r="AS189" s="160">
        <f>AS$135*INDEX('DEFAULT DATA'!$AIV$9:$AJC$41,START!$C$3,8)*BUILDINGS!AS6/1000000</f>
        <v>0</v>
      </c>
      <c r="AT189" s="160">
        <f>AT$135*INDEX('DEFAULT DATA'!$AIV$9:$AJC$41,START!$C$3,8)*BUILDINGS!AT6/1000000</f>
        <v>0</v>
      </c>
      <c r="AU189" s="160">
        <f>AU$135*INDEX('DEFAULT DATA'!$AIV$9:$AJC$41,START!$C$3,8)*BUILDINGS!AU6/1000000</f>
        <v>0</v>
      </c>
      <c r="AV189" s="160">
        <f>AV$135*INDEX('DEFAULT DATA'!$AIV$9:$AJC$41,START!$C$3,8)*BUILDINGS!AV6/1000000</f>
        <v>0</v>
      </c>
      <c r="AW189" s="160">
        <f>AW$135*INDEX('DEFAULT DATA'!$AIV$9:$AJC$41,START!$C$3,8)*BUILDINGS!AW6/1000000</f>
        <v>0</v>
      </c>
      <c r="AX189" s="160">
        <f>AX$135*INDEX('DEFAULT DATA'!$AIV$9:$AJC$41,START!$C$3,8)*BUILDINGS!AX6/1000000</f>
        <v>0</v>
      </c>
      <c r="AY189" s="160">
        <f>AY$135*INDEX('DEFAULT DATA'!$AIV$9:$AJC$41,START!$C$3,8)*BUILDINGS!AY6/1000000</f>
        <v>0</v>
      </c>
      <c r="AZ189" s="160">
        <f>AZ$135*INDEX('DEFAULT DATA'!$AIV$9:$AJC$41,START!$C$3,8)*BUILDINGS!AZ6/1000000</f>
        <v>0</v>
      </c>
      <c r="BA189" s="160">
        <f>BA$135*INDEX('DEFAULT DATA'!$AIV$9:$AJC$41,START!$C$3,8)*BUILDINGS!BA6/1000000</f>
        <v>0</v>
      </c>
      <c r="BB189" s="160">
        <f>BB$135*INDEX('DEFAULT DATA'!$AIV$9:$AJC$41,START!$C$3,8)*BUILDINGS!BB6/1000000</f>
        <v>0</v>
      </c>
      <c r="BC189" s="160">
        <f>BC$135*INDEX('DEFAULT DATA'!$AIV$9:$AJC$41,START!$C$3,8)*BUILDINGS!BC6/1000000</f>
        <v>0</v>
      </c>
      <c r="BD189" s="160">
        <f>BD$135*INDEX('DEFAULT DATA'!$AIV$9:$AJC$41,START!$C$3,8)*BUILDINGS!BD6/1000000</f>
        <v>0</v>
      </c>
      <c r="BE189" s="160">
        <f>BE$135*INDEX('DEFAULT DATA'!$AIV$9:$AJC$41,START!$C$3,8)*BUILDINGS!BE6/1000000</f>
        <v>0</v>
      </c>
      <c r="BF189" s="160">
        <f>BF$135*INDEX('DEFAULT DATA'!$AIV$9:$AJC$41,START!$C$3,8)*BUILDINGS!BF6/1000000</f>
        <v>0</v>
      </c>
      <c r="BG189" s="160">
        <f>BG$135*INDEX('DEFAULT DATA'!$AIV$9:$AJC$41,START!$C$3,8)*BUILDINGS!BG6/1000000</f>
        <v>0</v>
      </c>
      <c r="BH189" s="160">
        <f>BH$135*INDEX('DEFAULT DATA'!$AIV$9:$AJC$41,START!$C$3,8)*BUILDINGS!BH6/1000000</f>
        <v>0</v>
      </c>
      <c r="BI189" s="160">
        <f>BI$135*INDEX('DEFAULT DATA'!$AIV$9:$AJC$41,START!$C$3,8)*BUILDINGS!BI6/1000000</f>
        <v>0</v>
      </c>
      <c r="BJ189" s="160">
        <f>BJ$135*INDEX('DEFAULT DATA'!$AIV$9:$AJC$41,START!$C$3,8)*BUILDINGS!BJ6/1000000</f>
        <v>0</v>
      </c>
      <c r="BK189" s="160">
        <f>BK$135*INDEX('DEFAULT DATA'!$AIV$9:$AJC$41,START!$C$3,8)*BUILDINGS!BK6/1000000</f>
        <v>0</v>
      </c>
      <c r="BL189" s="160">
        <f>BL$135*INDEX('DEFAULT DATA'!$AIV$9:$AJC$41,START!$C$3,8)*BUILDINGS!BL6/1000000</f>
        <v>0</v>
      </c>
      <c r="BM189" s="160">
        <f>BM$135*INDEX('DEFAULT DATA'!$AIV$9:$AJC$41,START!$C$3,8)*BUILDINGS!BM6/1000000</f>
        <v>0</v>
      </c>
      <c r="BN189" s="160">
        <f>BN$135*INDEX('DEFAULT DATA'!$AIV$9:$AJC$41,START!$C$3,8)*BUILDINGS!BN6/1000000</f>
        <v>0</v>
      </c>
      <c r="BP189" s="379" t="str">
        <f t="shared" si="77"/>
        <v>Heat</v>
      </c>
      <c r="BQ189" s="380" t="s">
        <v>1476</v>
      </c>
      <c r="BR189" s="381"/>
      <c r="BS189" s="381"/>
      <c r="BT189" s="381"/>
      <c r="BU189" s="381"/>
      <c r="BV189" s="381"/>
      <c r="BW189" s="381"/>
      <c r="BX189" s="381"/>
      <c r="BY189" s="381"/>
      <c r="BZ189" s="381"/>
      <c r="CA189" s="381"/>
      <c r="CB189" s="381"/>
      <c r="CC189" s="381"/>
      <c r="CD189" s="381"/>
      <c r="CE189" s="381"/>
      <c r="CF189" s="381"/>
      <c r="CG189" s="382"/>
      <c r="CH189" s="374" t="s">
        <v>1432</v>
      </c>
      <c r="CI189" s="374" t="s">
        <v>1252</v>
      </c>
    </row>
    <row r="190" spans="1:87" ht="20.100000000000001" customHeight="1">
      <c r="A190" s="15"/>
      <c r="B190" s="630"/>
      <c r="C190" s="630"/>
      <c r="D190" s="630"/>
      <c r="E190" s="630"/>
      <c r="F190" s="630"/>
      <c r="G190" s="630"/>
      <c r="H190" s="630"/>
      <c r="I190" s="630"/>
      <c r="J190" s="630"/>
      <c r="K190" s="630"/>
      <c r="L190" s="630"/>
      <c r="M190" s="627"/>
      <c r="N190" s="630"/>
      <c r="O190" s="630"/>
      <c r="P190" s="630"/>
      <c r="Q190" s="630"/>
      <c r="R190" s="630"/>
      <c r="S190" s="630"/>
      <c r="T190" s="630"/>
      <c r="U190" s="630"/>
      <c r="V190" s="630"/>
      <c r="W190" s="630"/>
      <c r="X190" s="630"/>
      <c r="Y190" s="630"/>
      <c r="Z190" s="630"/>
      <c r="AA190" s="630"/>
      <c r="AB190" s="630"/>
      <c r="AC190" s="630"/>
      <c r="AD190" s="630"/>
      <c r="AE190" s="630"/>
      <c r="AF190" s="167"/>
      <c r="AG190" s="336" t="s">
        <v>211</v>
      </c>
      <c r="AH190" s="337"/>
      <c r="AI190" s="337"/>
      <c r="AJ190" s="338"/>
      <c r="AK190" s="151">
        <f>SUM(AK182:AK189)</f>
        <v>0</v>
      </c>
      <c r="AL190" s="162">
        <f t="shared" ref="AL190" si="105">SUM(AL182:AL189)</f>
        <v>8712.666485741096</v>
      </c>
      <c r="AM190" s="162">
        <f t="shared" ref="AM190:BN190" si="106">SUM(AM182:AM189)</f>
        <v>8292.8877198283735</v>
      </c>
      <c r="AN190" s="162">
        <f t="shared" si="106"/>
        <v>7905.012140125018</v>
      </c>
      <c r="AO190" s="162">
        <f t="shared" si="106"/>
        <v>7546.6151044791159</v>
      </c>
      <c r="AP190" s="162">
        <f t="shared" si="106"/>
        <v>7215.4562435423031</v>
      </c>
      <c r="AQ190" s="162">
        <f t="shared" si="106"/>
        <v>6909.4654560366889</v>
      </c>
      <c r="AR190" s="162">
        <f t="shared" si="106"/>
        <v>6626.7299683814999</v>
      </c>
      <c r="AS190" s="162">
        <f t="shared" si="106"/>
        <v>6365.4823777881065</v>
      </c>
      <c r="AT190" s="162">
        <f t="shared" si="106"/>
        <v>6124.0896040798107</v>
      </c>
      <c r="AU190" s="162">
        <f t="shared" si="106"/>
        <v>5933.3257884361228</v>
      </c>
      <c r="AV190" s="162">
        <f t="shared" si="106"/>
        <v>5754.9616208092757</v>
      </c>
      <c r="AW190" s="162">
        <f t="shared" si="106"/>
        <v>5588.1911240781728</v>
      </c>
      <c r="AX190" s="162">
        <f t="shared" si="106"/>
        <v>5432.2607096345919</v>
      </c>
      <c r="AY190" s="162">
        <f t="shared" si="106"/>
        <v>5286.4657721298436</v>
      </c>
      <c r="AZ190" s="162">
        <f t="shared" si="106"/>
        <v>5150.1475055629035</v>
      </c>
      <c r="BA190" s="162">
        <f t="shared" si="106"/>
        <v>5022.6899263228152</v>
      </c>
      <c r="BB190" s="162">
        <f t="shared" si="106"/>
        <v>4903.5170897333319</v>
      </c>
      <c r="BC190" s="162">
        <f t="shared" si="106"/>
        <v>4792.0904875221659</v>
      </c>
      <c r="BD190" s="162">
        <f t="shared" si="106"/>
        <v>4687.9066144547251</v>
      </c>
      <c r="BE190" s="162">
        <f t="shared" si="106"/>
        <v>4590.4946931366676</v>
      </c>
      <c r="BF190" s="162">
        <f t="shared" si="106"/>
        <v>4499.4145467042845</v>
      </c>
      <c r="BG190" s="162">
        <f t="shared" si="106"/>
        <v>4414.2546097900067</v>
      </c>
      <c r="BH190" s="162">
        <f t="shared" si="106"/>
        <v>4334.6300687751564</v>
      </c>
      <c r="BI190" s="162">
        <f t="shared" si="106"/>
        <v>4260.1811229262712</v>
      </c>
      <c r="BJ190" s="162">
        <f t="shared" si="106"/>
        <v>4190.5713585575631</v>
      </c>
      <c r="BK190" s="162">
        <f t="shared" si="106"/>
        <v>4125.4862288728218</v>
      </c>
      <c r="BL190" s="162">
        <f t="shared" si="106"/>
        <v>4064.6316326175879</v>
      </c>
      <c r="BM190" s="162">
        <f t="shared" si="106"/>
        <v>4007.7325851189448</v>
      </c>
      <c r="BN190" s="162">
        <f t="shared" si="106"/>
        <v>3954.5319757077136</v>
      </c>
      <c r="BQ190" s="6"/>
    </row>
    <row r="191" spans="1:87" ht="20.100000000000001" customHeight="1">
      <c r="A191" s="15"/>
      <c r="B191" s="630"/>
      <c r="C191" s="630"/>
      <c r="D191" s="630"/>
      <c r="E191" s="630"/>
      <c r="F191" s="630"/>
      <c r="G191" s="630"/>
      <c r="H191" s="630"/>
      <c r="I191" s="630"/>
      <c r="J191" s="630"/>
      <c r="K191" s="630"/>
      <c r="L191" s="630"/>
      <c r="M191" s="627"/>
      <c r="N191" s="630"/>
      <c r="O191" s="630"/>
      <c r="P191" s="630"/>
      <c r="Q191" s="630"/>
      <c r="R191" s="630"/>
      <c r="S191" s="630"/>
      <c r="T191" s="630"/>
      <c r="U191" s="630"/>
      <c r="V191" s="630"/>
      <c r="W191" s="630"/>
      <c r="X191" s="630"/>
      <c r="Y191" s="630"/>
      <c r="Z191" s="630"/>
      <c r="AA191" s="630"/>
      <c r="AB191" s="630"/>
      <c r="AC191" s="630"/>
      <c r="AD191" s="630"/>
      <c r="AE191" s="630"/>
      <c r="BQ191" s="6"/>
    </row>
    <row r="192" spans="1:87" ht="20.100000000000001" customHeight="1">
      <c r="A192" s="15"/>
      <c r="B192" s="630"/>
      <c r="C192" s="630"/>
      <c r="D192" s="630"/>
      <c r="E192" s="630"/>
      <c r="F192" s="630"/>
      <c r="G192" s="630"/>
      <c r="H192" s="630"/>
      <c r="I192" s="630"/>
      <c r="J192" s="630"/>
      <c r="K192" s="630"/>
      <c r="L192" s="630"/>
      <c r="M192" s="627"/>
      <c r="N192" s="630"/>
      <c r="O192" s="630"/>
      <c r="P192" s="630"/>
      <c r="Q192" s="630"/>
      <c r="R192" s="630"/>
      <c r="S192" s="630"/>
      <c r="T192" s="630"/>
      <c r="U192" s="630"/>
      <c r="V192" s="630"/>
      <c r="W192" s="630"/>
      <c r="X192" s="630"/>
      <c r="Y192" s="630"/>
      <c r="Z192" s="630"/>
      <c r="AA192" s="630"/>
      <c r="AB192" s="630"/>
      <c r="AC192" s="630"/>
      <c r="AD192" s="630"/>
      <c r="AE192" s="630"/>
      <c r="BQ192" s="6"/>
      <c r="CH192" s="1610" t="s">
        <v>1393</v>
      </c>
      <c r="CI192" s="225"/>
    </row>
    <row r="193" spans="1:87" ht="20.100000000000001" customHeight="1">
      <c r="A193" s="15"/>
      <c r="B193" s="630"/>
      <c r="C193" s="630"/>
      <c r="D193" s="630"/>
      <c r="E193" s="630"/>
      <c r="F193" s="630"/>
      <c r="G193" s="630"/>
      <c r="H193" s="630"/>
      <c r="I193" s="630"/>
      <c r="J193" s="630"/>
      <c r="K193" s="630"/>
      <c r="L193" s="630"/>
      <c r="M193" s="627"/>
      <c r="N193" s="630"/>
      <c r="O193" s="630"/>
      <c r="P193" s="630"/>
      <c r="Q193" s="630"/>
      <c r="R193" s="630"/>
      <c r="S193" s="630"/>
      <c r="T193" s="630"/>
      <c r="U193" s="630"/>
      <c r="V193" s="630"/>
      <c r="W193" s="630"/>
      <c r="X193" s="630"/>
      <c r="Y193" s="630"/>
      <c r="Z193" s="630"/>
      <c r="AA193" s="630"/>
      <c r="AB193" s="630"/>
      <c r="AC193" s="630"/>
      <c r="AD193" s="630"/>
      <c r="AE193" s="630"/>
      <c r="AF193" s="122" t="s">
        <v>1037</v>
      </c>
      <c r="BQ193" s="6"/>
      <c r="CH193" s="1610"/>
      <c r="CI193" s="225"/>
    </row>
    <row r="194" spans="1:87" ht="20.100000000000001" customHeight="1">
      <c r="A194" s="15"/>
      <c r="B194" s="630"/>
      <c r="C194" s="630"/>
      <c r="D194" s="630"/>
      <c r="E194" s="630"/>
      <c r="F194" s="630"/>
      <c r="G194" s="630"/>
      <c r="H194" s="630"/>
      <c r="I194" s="630"/>
      <c r="J194" s="630"/>
      <c r="K194" s="630"/>
      <c r="L194" s="630"/>
      <c r="M194" s="627"/>
      <c r="N194" s="630"/>
      <c r="O194" s="630"/>
      <c r="P194" s="630"/>
      <c r="Q194" s="630"/>
      <c r="R194" s="630"/>
      <c r="S194" s="630"/>
      <c r="T194" s="630"/>
      <c r="U194" s="630"/>
      <c r="V194" s="630"/>
      <c r="W194" s="630"/>
      <c r="X194" s="630"/>
      <c r="Y194" s="630"/>
      <c r="Z194" s="630"/>
      <c r="AA194" s="630"/>
      <c r="AB194" s="630"/>
      <c r="AC194" s="630"/>
      <c r="AD194" s="630"/>
      <c r="AE194" s="630"/>
      <c r="AF194" s="120" t="s">
        <v>1009</v>
      </c>
      <c r="AG194" s="339" t="s">
        <v>992</v>
      </c>
      <c r="AH194" s="317"/>
      <c r="AI194" s="317"/>
      <c r="AJ194" s="318"/>
      <c r="AK194" s="115">
        <v>2021</v>
      </c>
      <c r="AL194" s="115">
        <f>AK194+1</f>
        <v>2022</v>
      </c>
      <c r="AM194" s="115">
        <f t="shared" ref="AM194:BN194" si="107">AL194+1</f>
        <v>2023</v>
      </c>
      <c r="AN194" s="115">
        <f t="shared" si="107"/>
        <v>2024</v>
      </c>
      <c r="AO194" s="115">
        <f t="shared" si="107"/>
        <v>2025</v>
      </c>
      <c r="AP194" s="115">
        <f t="shared" si="107"/>
        <v>2026</v>
      </c>
      <c r="AQ194" s="115">
        <f t="shared" si="107"/>
        <v>2027</v>
      </c>
      <c r="AR194" s="115">
        <f t="shared" si="107"/>
        <v>2028</v>
      </c>
      <c r="AS194" s="115">
        <f t="shared" si="107"/>
        <v>2029</v>
      </c>
      <c r="AT194" s="115">
        <f t="shared" si="107"/>
        <v>2030</v>
      </c>
      <c r="AU194" s="115">
        <f t="shared" si="107"/>
        <v>2031</v>
      </c>
      <c r="AV194" s="115">
        <f t="shared" si="107"/>
        <v>2032</v>
      </c>
      <c r="AW194" s="115">
        <f t="shared" si="107"/>
        <v>2033</v>
      </c>
      <c r="AX194" s="115">
        <f t="shared" si="107"/>
        <v>2034</v>
      </c>
      <c r="AY194" s="115">
        <f t="shared" si="107"/>
        <v>2035</v>
      </c>
      <c r="AZ194" s="115">
        <f t="shared" si="107"/>
        <v>2036</v>
      </c>
      <c r="BA194" s="115">
        <f t="shared" si="107"/>
        <v>2037</v>
      </c>
      <c r="BB194" s="115">
        <f t="shared" si="107"/>
        <v>2038</v>
      </c>
      <c r="BC194" s="115">
        <f t="shared" si="107"/>
        <v>2039</v>
      </c>
      <c r="BD194" s="115">
        <f t="shared" si="107"/>
        <v>2040</v>
      </c>
      <c r="BE194" s="115">
        <f t="shared" si="107"/>
        <v>2041</v>
      </c>
      <c r="BF194" s="115">
        <f t="shared" si="107"/>
        <v>2042</v>
      </c>
      <c r="BG194" s="115">
        <f t="shared" si="107"/>
        <v>2043</v>
      </c>
      <c r="BH194" s="115">
        <f t="shared" si="107"/>
        <v>2044</v>
      </c>
      <c r="BI194" s="115">
        <f t="shared" si="107"/>
        <v>2045</v>
      </c>
      <c r="BJ194" s="115">
        <f t="shared" si="107"/>
        <v>2046</v>
      </c>
      <c r="BK194" s="115">
        <f t="shared" si="107"/>
        <v>2047</v>
      </c>
      <c r="BL194" s="115">
        <f t="shared" si="107"/>
        <v>2048</v>
      </c>
      <c r="BM194" s="115">
        <f t="shared" si="107"/>
        <v>2049</v>
      </c>
      <c r="BN194" s="115">
        <f t="shared" si="107"/>
        <v>2050</v>
      </c>
      <c r="BP194" s="6" t="s">
        <v>1408</v>
      </c>
      <c r="BQ194" s="6"/>
      <c r="CH194" s="228" t="s">
        <v>1395</v>
      </c>
      <c r="CI194" s="225" t="s">
        <v>1224</v>
      </c>
    </row>
    <row r="195" spans="1:87" ht="20.100000000000001" customHeight="1">
      <c r="A195" s="15"/>
      <c r="B195" s="630"/>
      <c r="C195" s="630"/>
      <c r="D195" s="630"/>
      <c r="E195" s="630"/>
      <c r="F195" s="630"/>
      <c r="G195" s="630"/>
      <c r="H195" s="630"/>
      <c r="I195" s="630"/>
      <c r="J195" s="630"/>
      <c r="K195" s="630"/>
      <c r="L195" s="630"/>
      <c r="M195" s="627"/>
      <c r="N195" s="630"/>
      <c r="O195" s="630"/>
      <c r="P195" s="630"/>
      <c r="Q195" s="630"/>
      <c r="R195" s="630"/>
      <c r="S195" s="630"/>
      <c r="T195" s="630"/>
      <c r="U195" s="630"/>
      <c r="V195" s="630"/>
      <c r="W195" s="630"/>
      <c r="X195" s="630"/>
      <c r="Y195" s="630"/>
      <c r="Z195" s="630"/>
      <c r="AA195" s="630"/>
      <c r="AB195" s="630"/>
      <c r="AC195" s="630"/>
      <c r="AD195" s="630"/>
      <c r="AE195" s="630"/>
      <c r="AF195" s="1556" t="s">
        <v>874</v>
      </c>
      <c r="AG195" s="339" t="s">
        <v>578</v>
      </c>
      <c r="AH195" s="317"/>
      <c r="AI195" s="317"/>
      <c r="AJ195" s="318"/>
      <c r="AK195" s="81">
        <v>0</v>
      </c>
      <c r="AL195" s="123">
        <f>AL$136*INDEX('DEFAULT DATA'!$AJD$9:$AJK$41,START!$C$3,1)*BUILDINGS!AL5/1000000</f>
        <v>65790.373612767391</v>
      </c>
      <c r="AM195" s="123">
        <f>AM$136*INDEX('DEFAULT DATA'!$AJD$9:$AJK$41,START!$C$3,1)*BUILDINGS!AM5/1000000</f>
        <v>60790.305218197078</v>
      </c>
      <c r="AN195" s="123">
        <f>AN$136*INDEX('DEFAULT DATA'!$AJD$9:$AJK$41,START!$C$3,1)*BUILDINGS!AN5/1000000</f>
        <v>56170.242021614096</v>
      </c>
      <c r="AO195" s="123">
        <f>AO$136*INDEX('DEFAULT DATA'!$AJD$9:$AJK$41,START!$C$3,1)*BUILDINGS!AO5/1000000</f>
        <v>51901.303627971429</v>
      </c>
      <c r="AP195" s="123">
        <f>AP$136*INDEX('DEFAULT DATA'!$AJD$9:$AJK$41,START!$C$3,1)*BUILDINGS!AP5/1000000</f>
        <v>47956.804552245609</v>
      </c>
      <c r="AQ195" s="123">
        <f>AQ$136*INDEX('DEFAULT DATA'!$AJD$9:$AJK$41,START!$C$3,1)*BUILDINGS!AQ5/1000000</f>
        <v>44312.087406274943</v>
      </c>
      <c r="AR195" s="123">
        <f>AR$136*INDEX('DEFAULT DATA'!$AJD$9:$AJK$41,START!$C$3,1)*BUILDINGS!AR5/1000000</f>
        <v>40944.368763398044</v>
      </c>
      <c r="AS195" s="123">
        <f>AS$136*INDEX('DEFAULT DATA'!$AJD$9:$AJK$41,START!$C$3,1)*BUILDINGS!AS5/1000000</f>
        <v>37832.59673737979</v>
      </c>
      <c r="AT195" s="123">
        <f>AT$136*INDEX('DEFAULT DATA'!$AJD$9:$AJK$41,START!$C$3,1)*BUILDINGS!AT5/1000000</f>
        <v>34957.319385338931</v>
      </c>
      <c r="AU195" s="123">
        <f>AU$136*INDEX('DEFAULT DATA'!$AJD$9:$AJK$41,START!$C$3,1)*BUILDINGS!AU5/1000000</f>
        <v>32685.093625291902</v>
      </c>
      <c r="AV195" s="123">
        <f>AV$136*INDEX('DEFAULT DATA'!$AJD$9:$AJK$41,START!$C$3,1)*BUILDINGS!AV5/1000000</f>
        <v>30560.56253964793</v>
      </c>
      <c r="AW195" s="123">
        <f>AW$136*INDEX('DEFAULT DATA'!$AJD$9:$AJK$41,START!$C$3,1)*BUILDINGS!AW5/1000000</f>
        <v>28574.125974570816</v>
      </c>
      <c r="AX195" s="123">
        <f>AX$136*INDEX('DEFAULT DATA'!$AJD$9:$AJK$41,START!$C$3,1)*BUILDINGS!AX5/1000000</f>
        <v>26716.807786223711</v>
      </c>
      <c r="AY195" s="123">
        <f>AY$136*INDEX('DEFAULT DATA'!$AJD$9:$AJK$41,START!$C$3,1)*BUILDINGS!AY5/1000000</f>
        <v>24980.215280119173</v>
      </c>
      <c r="AZ195" s="123">
        <f>AZ$136*INDEX('DEFAULT DATA'!$AJD$9:$AJK$41,START!$C$3,1)*BUILDINGS!AZ5/1000000</f>
        <v>23356.501286911429</v>
      </c>
      <c r="BA195" s="123">
        <f>BA$136*INDEX('DEFAULT DATA'!$AJD$9:$AJK$41,START!$C$3,1)*BUILDINGS!BA5/1000000</f>
        <v>21838.328703262188</v>
      </c>
      <c r="BB195" s="123">
        <f>BB$136*INDEX('DEFAULT DATA'!$AJD$9:$AJK$41,START!$C$3,1)*BUILDINGS!BB5/1000000</f>
        <v>20418.837337550147</v>
      </c>
      <c r="BC195" s="123">
        <f>BC$136*INDEX('DEFAULT DATA'!$AJD$9:$AJK$41,START!$C$3,1)*BUILDINGS!BC5/1000000</f>
        <v>19091.61291060939</v>
      </c>
      <c r="BD195" s="123">
        <f>BD$136*INDEX('DEFAULT DATA'!$AJD$9:$AJK$41,START!$C$3,1)*BUILDINGS!BD5/1000000</f>
        <v>17850.658071419781</v>
      </c>
      <c r="BE195" s="123">
        <f>BE$136*INDEX('DEFAULT DATA'!$AJD$9:$AJK$41,START!$C$3,1)*BUILDINGS!BE5/1000000</f>
        <v>16690.365296777498</v>
      </c>
      <c r="BF195" s="123">
        <f>BF$136*INDEX('DEFAULT DATA'!$AJD$9:$AJK$41,START!$C$3,1)*BUILDINGS!BF5/1000000</f>
        <v>15605.491552486961</v>
      </c>
      <c r="BG195" s="123">
        <f>BG$136*INDEX('DEFAULT DATA'!$AJD$9:$AJK$41,START!$C$3,1)*BUILDINGS!BG5/1000000</f>
        <v>14591.13460157531</v>
      </c>
      <c r="BH195" s="123">
        <f>BH$136*INDEX('DEFAULT DATA'!$AJD$9:$AJK$41,START!$C$3,1)*BUILDINGS!BH5/1000000</f>
        <v>13642.710852472916</v>
      </c>
      <c r="BI195" s="123">
        <f>BI$136*INDEX('DEFAULT DATA'!$AJD$9:$AJK$41,START!$C$3,1)*BUILDINGS!BI5/1000000</f>
        <v>12755.934647062179</v>
      </c>
      <c r="BJ195" s="123">
        <f>BJ$136*INDEX('DEFAULT DATA'!$AJD$9:$AJK$41,START!$C$3,1)*BUILDINGS!BJ5/1000000</f>
        <v>11926.798895003136</v>
      </c>
      <c r="BK195" s="123">
        <f>BK$136*INDEX('DEFAULT DATA'!$AJD$9:$AJK$41,START!$C$3,1)*BUILDINGS!BK5/1000000</f>
        <v>11151.556966827933</v>
      </c>
      <c r="BL195" s="123">
        <f>BL$136*INDEX('DEFAULT DATA'!$AJD$9:$AJK$41,START!$C$3,1)*BUILDINGS!BL5/1000000</f>
        <v>10426.705763984117</v>
      </c>
      <c r="BM195" s="123">
        <f>BM$136*INDEX('DEFAULT DATA'!$AJD$9:$AJK$41,START!$C$3,1)*BUILDINGS!BM5/1000000</f>
        <v>9748.9698893251498</v>
      </c>
      <c r="BN195" s="123">
        <f>BN$136*INDEX('DEFAULT DATA'!$AJD$9:$AJK$41,START!$C$3,1)*BUILDINGS!BN5/1000000</f>
        <v>9115.2868465190168</v>
      </c>
      <c r="BP195" s="370" t="str">
        <f>AG195</f>
        <v>Electricity</v>
      </c>
      <c r="BQ195" s="371" t="s">
        <v>1496</v>
      </c>
      <c r="BR195" s="372"/>
      <c r="BS195" s="372"/>
      <c r="BT195" s="372"/>
      <c r="BU195" s="372"/>
      <c r="BV195" s="372"/>
      <c r="BW195" s="372"/>
      <c r="BX195" s="372"/>
      <c r="BY195" s="372"/>
      <c r="BZ195" s="372"/>
      <c r="CA195" s="372"/>
      <c r="CB195" s="372"/>
      <c r="CC195" s="372"/>
      <c r="CD195" s="372"/>
      <c r="CE195" s="372"/>
      <c r="CF195" s="372"/>
      <c r="CG195" s="373"/>
      <c r="CH195" s="374" t="s">
        <v>1433</v>
      </c>
      <c r="CI195" s="374" t="s">
        <v>1225</v>
      </c>
    </row>
    <row r="196" spans="1:87" ht="20.100000000000001" customHeight="1">
      <c r="A196" s="15"/>
      <c r="B196" s="630"/>
      <c r="C196" s="630"/>
      <c r="D196" s="630"/>
      <c r="E196" s="630"/>
      <c r="F196" s="630"/>
      <c r="G196" s="630"/>
      <c r="H196" s="630"/>
      <c r="I196" s="630"/>
      <c r="J196" s="630"/>
      <c r="K196" s="630"/>
      <c r="L196" s="630"/>
      <c r="M196" s="627"/>
      <c r="N196" s="630"/>
      <c r="O196" s="630"/>
      <c r="P196" s="630"/>
      <c r="Q196" s="630"/>
      <c r="R196" s="630"/>
      <c r="S196" s="630"/>
      <c r="T196" s="630"/>
      <c r="U196" s="630"/>
      <c r="V196" s="630"/>
      <c r="W196" s="630"/>
      <c r="X196" s="630"/>
      <c r="Y196" s="630"/>
      <c r="Z196" s="630"/>
      <c r="AA196" s="630"/>
      <c r="AB196" s="630"/>
      <c r="AC196" s="630"/>
      <c r="AD196" s="630"/>
      <c r="AE196" s="630"/>
      <c r="AF196" s="1557"/>
      <c r="AG196" s="339" t="s">
        <v>862</v>
      </c>
      <c r="AH196" s="317"/>
      <c r="AI196" s="317"/>
      <c r="AJ196" s="318"/>
      <c r="AK196" s="81">
        <v>0</v>
      </c>
      <c r="AL196" s="123">
        <f>AL$136*INDEX('DEFAULT DATA'!$AJD$9:$AJK$41,START!$C$3,2)*INDEX('DEFAULT DATA'!$WC$9:$WI$41,START!$C$3,2)/1000000</f>
        <v>29534.67200106</v>
      </c>
      <c r="AM196" s="123">
        <f>AM$136*INDEX('DEFAULT DATA'!$AJD$9:$AJK$41,START!$C$3,2)*INDEX('DEFAULT DATA'!$WC$9:$WI$41,START!$C$3,2)/1000000</f>
        <v>29534.67200106</v>
      </c>
      <c r="AN196" s="123">
        <f>AN$136*INDEX('DEFAULT DATA'!$AJD$9:$AJK$41,START!$C$3,2)*INDEX('DEFAULT DATA'!$WC$9:$WI$41,START!$C$3,2)/1000000</f>
        <v>29534.67200106</v>
      </c>
      <c r="AO196" s="123">
        <f>AO$136*INDEX('DEFAULT DATA'!$AJD$9:$AJK$41,START!$C$3,2)*INDEX('DEFAULT DATA'!$WC$9:$WI$41,START!$C$3,2)/1000000</f>
        <v>29534.67200106</v>
      </c>
      <c r="AP196" s="123">
        <f>AP$136*INDEX('DEFAULT DATA'!$AJD$9:$AJK$41,START!$C$3,2)*INDEX('DEFAULT DATA'!$WC$9:$WI$41,START!$C$3,2)/1000000</f>
        <v>29534.67200106</v>
      </c>
      <c r="AQ196" s="123">
        <f>AQ$136*INDEX('DEFAULT DATA'!$AJD$9:$AJK$41,START!$C$3,2)*INDEX('DEFAULT DATA'!$WC$9:$WI$41,START!$C$3,2)/1000000</f>
        <v>29534.67200106</v>
      </c>
      <c r="AR196" s="123">
        <f>AR$136*INDEX('DEFAULT DATA'!$AJD$9:$AJK$41,START!$C$3,2)*INDEX('DEFAULT DATA'!$WC$9:$WI$41,START!$C$3,2)/1000000</f>
        <v>29534.67200106</v>
      </c>
      <c r="AS196" s="123">
        <f>AS$136*INDEX('DEFAULT DATA'!$AJD$9:$AJK$41,START!$C$3,2)*INDEX('DEFAULT DATA'!$WC$9:$WI$41,START!$C$3,2)/1000000</f>
        <v>29534.67200106</v>
      </c>
      <c r="AT196" s="123">
        <f>AT$136*INDEX('DEFAULT DATA'!$AJD$9:$AJK$41,START!$C$3,2)*INDEX('DEFAULT DATA'!$WC$9:$WI$41,START!$C$3,2)/1000000</f>
        <v>29534.67200106</v>
      </c>
      <c r="AU196" s="123">
        <f>AU$136*INDEX('DEFAULT DATA'!$AJD$9:$AJK$41,START!$C$3,2)*INDEX('DEFAULT DATA'!$WC$9:$WI$41,START!$C$3,2)/1000000</f>
        <v>29534.67200106</v>
      </c>
      <c r="AV196" s="123">
        <f>AV$136*INDEX('DEFAULT DATA'!$AJD$9:$AJK$41,START!$C$3,2)*INDEX('DEFAULT DATA'!$WC$9:$WI$41,START!$C$3,2)/1000000</f>
        <v>29534.67200106</v>
      </c>
      <c r="AW196" s="123">
        <f>AW$136*INDEX('DEFAULT DATA'!$AJD$9:$AJK$41,START!$C$3,2)*INDEX('DEFAULT DATA'!$WC$9:$WI$41,START!$C$3,2)/1000000</f>
        <v>29534.67200106</v>
      </c>
      <c r="AX196" s="123">
        <f>AX$136*INDEX('DEFAULT DATA'!$AJD$9:$AJK$41,START!$C$3,2)*INDEX('DEFAULT DATA'!$WC$9:$WI$41,START!$C$3,2)/1000000</f>
        <v>29534.67200106</v>
      </c>
      <c r="AY196" s="123">
        <f>AY$136*INDEX('DEFAULT DATA'!$AJD$9:$AJK$41,START!$C$3,2)*INDEX('DEFAULT DATA'!$WC$9:$WI$41,START!$C$3,2)/1000000</f>
        <v>29534.67200106</v>
      </c>
      <c r="AZ196" s="123">
        <f>AZ$136*INDEX('DEFAULT DATA'!$AJD$9:$AJK$41,START!$C$3,2)*INDEX('DEFAULT DATA'!$WC$9:$WI$41,START!$C$3,2)/1000000</f>
        <v>29534.67200106</v>
      </c>
      <c r="BA196" s="123">
        <f>BA$136*INDEX('DEFAULT DATA'!$AJD$9:$AJK$41,START!$C$3,2)*INDEX('DEFAULT DATA'!$WC$9:$WI$41,START!$C$3,2)/1000000</f>
        <v>29534.67200106</v>
      </c>
      <c r="BB196" s="123">
        <f>BB$136*INDEX('DEFAULT DATA'!$AJD$9:$AJK$41,START!$C$3,2)*INDEX('DEFAULT DATA'!$WC$9:$WI$41,START!$C$3,2)/1000000</f>
        <v>29534.67200106</v>
      </c>
      <c r="BC196" s="123">
        <f>BC$136*INDEX('DEFAULT DATA'!$AJD$9:$AJK$41,START!$C$3,2)*INDEX('DEFAULT DATA'!$WC$9:$WI$41,START!$C$3,2)/1000000</f>
        <v>29534.67200106</v>
      </c>
      <c r="BD196" s="123">
        <f>BD$136*INDEX('DEFAULT DATA'!$AJD$9:$AJK$41,START!$C$3,2)*INDEX('DEFAULT DATA'!$WC$9:$WI$41,START!$C$3,2)/1000000</f>
        <v>29534.67200106</v>
      </c>
      <c r="BE196" s="123">
        <f>BE$136*INDEX('DEFAULT DATA'!$AJD$9:$AJK$41,START!$C$3,2)*INDEX('DEFAULT DATA'!$WC$9:$WI$41,START!$C$3,2)/1000000</f>
        <v>29534.67200106</v>
      </c>
      <c r="BF196" s="123">
        <f>BF$136*INDEX('DEFAULT DATA'!$AJD$9:$AJK$41,START!$C$3,2)*INDEX('DEFAULT DATA'!$WC$9:$WI$41,START!$C$3,2)/1000000</f>
        <v>29534.67200106</v>
      </c>
      <c r="BG196" s="123">
        <f>BG$136*INDEX('DEFAULT DATA'!$AJD$9:$AJK$41,START!$C$3,2)*INDEX('DEFAULT DATA'!$WC$9:$WI$41,START!$C$3,2)/1000000</f>
        <v>29534.67200106</v>
      </c>
      <c r="BH196" s="123">
        <f>BH$136*INDEX('DEFAULT DATA'!$AJD$9:$AJK$41,START!$C$3,2)*INDEX('DEFAULT DATA'!$WC$9:$WI$41,START!$C$3,2)/1000000</f>
        <v>29534.67200106</v>
      </c>
      <c r="BI196" s="123">
        <f>BI$136*INDEX('DEFAULT DATA'!$AJD$9:$AJK$41,START!$C$3,2)*INDEX('DEFAULT DATA'!$WC$9:$WI$41,START!$C$3,2)/1000000</f>
        <v>29534.67200106</v>
      </c>
      <c r="BJ196" s="123">
        <f>BJ$136*INDEX('DEFAULT DATA'!$AJD$9:$AJK$41,START!$C$3,2)*INDEX('DEFAULT DATA'!$WC$9:$WI$41,START!$C$3,2)/1000000</f>
        <v>29534.67200106</v>
      </c>
      <c r="BK196" s="123">
        <f>BK$136*INDEX('DEFAULT DATA'!$AJD$9:$AJK$41,START!$C$3,2)*INDEX('DEFAULT DATA'!$WC$9:$WI$41,START!$C$3,2)/1000000</f>
        <v>29534.67200106</v>
      </c>
      <c r="BL196" s="123">
        <f>BL$136*INDEX('DEFAULT DATA'!$AJD$9:$AJK$41,START!$C$3,2)*INDEX('DEFAULT DATA'!$WC$9:$WI$41,START!$C$3,2)/1000000</f>
        <v>29534.67200106</v>
      </c>
      <c r="BM196" s="123">
        <f>BM$136*INDEX('DEFAULT DATA'!$AJD$9:$AJK$41,START!$C$3,2)*INDEX('DEFAULT DATA'!$WC$9:$WI$41,START!$C$3,2)/1000000</f>
        <v>29534.67200106</v>
      </c>
      <c r="BN196" s="123">
        <f>BN$136*INDEX('DEFAULT DATA'!$AJD$9:$AJK$41,START!$C$3,2)*INDEX('DEFAULT DATA'!$WC$9:$WI$41,START!$C$3,2)/1000000</f>
        <v>29534.67200106</v>
      </c>
      <c r="BP196" s="375" t="str">
        <f t="shared" ref="BP196:BP202" si="108">AG196</f>
        <v>Gas</v>
      </c>
      <c r="BQ196" s="376" t="s">
        <v>1477</v>
      </c>
      <c r="BR196" s="377"/>
      <c r="BS196" s="377"/>
      <c r="BT196" s="377"/>
      <c r="BU196" s="377"/>
      <c r="BV196" s="377"/>
      <c r="BW196" s="377"/>
      <c r="BX196" s="377"/>
      <c r="BY196" s="377"/>
      <c r="BZ196" s="377"/>
      <c r="CA196" s="377"/>
      <c r="CB196" s="377"/>
      <c r="CC196" s="377"/>
      <c r="CD196" s="377"/>
      <c r="CE196" s="377"/>
      <c r="CF196" s="377"/>
      <c r="CG196" s="378"/>
      <c r="CH196" s="374" t="s">
        <v>1434</v>
      </c>
      <c r="CI196" s="374" t="s">
        <v>886</v>
      </c>
    </row>
    <row r="197" spans="1:87" ht="20.100000000000001" customHeight="1">
      <c r="A197" s="15"/>
      <c r="B197" s="630"/>
      <c r="C197" s="630"/>
      <c r="D197" s="630"/>
      <c r="E197" s="630"/>
      <c r="F197" s="630"/>
      <c r="G197" s="630"/>
      <c r="H197" s="630"/>
      <c r="I197" s="630"/>
      <c r="J197" s="630"/>
      <c r="K197" s="630"/>
      <c r="L197" s="630"/>
      <c r="M197" s="627"/>
      <c r="N197" s="630"/>
      <c r="O197" s="630"/>
      <c r="P197" s="630"/>
      <c r="Q197" s="630"/>
      <c r="R197" s="630"/>
      <c r="S197" s="630"/>
      <c r="T197" s="630"/>
      <c r="U197" s="630"/>
      <c r="V197" s="630"/>
      <c r="W197" s="630"/>
      <c r="X197" s="630"/>
      <c r="Y197" s="630"/>
      <c r="Z197" s="630"/>
      <c r="AA197" s="630"/>
      <c r="AB197" s="630"/>
      <c r="AC197" s="630"/>
      <c r="AD197" s="630"/>
      <c r="AE197" s="630"/>
      <c r="AF197" s="1557"/>
      <c r="AG197" s="339" t="s">
        <v>863</v>
      </c>
      <c r="AH197" s="317"/>
      <c r="AI197" s="317"/>
      <c r="AJ197" s="318"/>
      <c r="AK197" s="81">
        <v>0</v>
      </c>
      <c r="AL197" s="123">
        <f>AL$136*INDEX('DEFAULT DATA'!$AJD$9:$AJK$41,START!$C$3,3)*INDEX('DEFAULT DATA'!$WC$9:$WI$41,START!$C$3,3)/1000000</f>
        <v>32534.016317459998</v>
      </c>
      <c r="AM197" s="123">
        <f>AM$136*INDEX('DEFAULT DATA'!$AJD$9:$AJK$41,START!$C$3,3)*INDEX('DEFAULT DATA'!$WC$9:$WI$41,START!$C$3,3)/1000000</f>
        <v>32534.016317459998</v>
      </c>
      <c r="AN197" s="123">
        <f>AN$136*INDEX('DEFAULT DATA'!$AJD$9:$AJK$41,START!$C$3,3)*INDEX('DEFAULT DATA'!$WC$9:$WI$41,START!$C$3,3)/1000000</f>
        <v>32534.016317459998</v>
      </c>
      <c r="AO197" s="123">
        <f>AO$136*INDEX('DEFAULT DATA'!$AJD$9:$AJK$41,START!$C$3,3)*INDEX('DEFAULT DATA'!$WC$9:$WI$41,START!$C$3,3)/1000000</f>
        <v>32534.016317459998</v>
      </c>
      <c r="AP197" s="123">
        <f>AP$136*INDEX('DEFAULT DATA'!$AJD$9:$AJK$41,START!$C$3,3)*INDEX('DEFAULT DATA'!$WC$9:$WI$41,START!$C$3,3)/1000000</f>
        <v>32534.016317459998</v>
      </c>
      <c r="AQ197" s="123">
        <f>AQ$136*INDEX('DEFAULT DATA'!$AJD$9:$AJK$41,START!$C$3,3)*INDEX('DEFAULT DATA'!$WC$9:$WI$41,START!$C$3,3)/1000000</f>
        <v>32534.016317459998</v>
      </c>
      <c r="AR197" s="123">
        <f>AR$136*INDEX('DEFAULT DATA'!$AJD$9:$AJK$41,START!$C$3,3)*INDEX('DEFAULT DATA'!$WC$9:$WI$41,START!$C$3,3)/1000000</f>
        <v>32534.016317459998</v>
      </c>
      <c r="AS197" s="123">
        <f>AS$136*INDEX('DEFAULT DATA'!$AJD$9:$AJK$41,START!$C$3,3)*INDEX('DEFAULT DATA'!$WC$9:$WI$41,START!$C$3,3)/1000000</f>
        <v>32534.016317459998</v>
      </c>
      <c r="AT197" s="123">
        <f>AT$136*INDEX('DEFAULT DATA'!$AJD$9:$AJK$41,START!$C$3,3)*INDEX('DEFAULT DATA'!$WC$9:$WI$41,START!$C$3,3)/1000000</f>
        <v>32534.016317459998</v>
      </c>
      <c r="AU197" s="123">
        <f>AU$136*INDEX('DEFAULT DATA'!$AJD$9:$AJK$41,START!$C$3,3)*INDEX('DEFAULT DATA'!$WC$9:$WI$41,START!$C$3,3)/1000000</f>
        <v>32534.016317459998</v>
      </c>
      <c r="AV197" s="123">
        <f>AV$136*INDEX('DEFAULT DATA'!$AJD$9:$AJK$41,START!$C$3,3)*INDEX('DEFAULT DATA'!$WC$9:$WI$41,START!$C$3,3)/1000000</f>
        <v>32534.016317459998</v>
      </c>
      <c r="AW197" s="123">
        <f>AW$136*INDEX('DEFAULT DATA'!$AJD$9:$AJK$41,START!$C$3,3)*INDEX('DEFAULT DATA'!$WC$9:$WI$41,START!$C$3,3)/1000000</f>
        <v>32534.016317459998</v>
      </c>
      <c r="AX197" s="123">
        <f>AX$136*INDEX('DEFAULT DATA'!$AJD$9:$AJK$41,START!$C$3,3)*INDEX('DEFAULT DATA'!$WC$9:$WI$41,START!$C$3,3)/1000000</f>
        <v>32534.016317459998</v>
      </c>
      <c r="AY197" s="123">
        <f>AY$136*INDEX('DEFAULT DATA'!$AJD$9:$AJK$41,START!$C$3,3)*INDEX('DEFAULT DATA'!$WC$9:$WI$41,START!$C$3,3)/1000000</f>
        <v>32534.016317459998</v>
      </c>
      <c r="AZ197" s="123">
        <f>AZ$136*INDEX('DEFAULT DATA'!$AJD$9:$AJK$41,START!$C$3,3)*INDEX('DEFAULT DATA'!$WC$9:$WI$41,START!$C$3,3)/1000000</f>
        <v>32534.016317459998</v>
      </c>
      <c r="BA197" s="123">
        <f>BA$136*INDEX('DEFAULT DATA'!$AJD$9:$AJK$41,START!$C$3,3)*INDEX('DEFAULT DATA'!$WC$9:$WI$41,START!$C$3,3)/1000000</f>
        <v>32534.016317459998</v>
      </c>
      <c r="BB197" s="123">
        <f>BB$136*INDEX('DEFAULT DATA'!$AJD$9:$AJK$41,START!$C$3,3)*INDEX('DEFAULT DATA'!$WC$9:$WI$41,START!$C$3,3)/1000000</f>
        <v>32534.016317459998</v>
      </c>
      <c r="BC197" s="123">
        <f>BC$136*INDEX('DEFAULT DATA'!$AJD$9:$AJK$41,START!$C$3,3)*INDEX('DEFAULT DATA'!$WC$9:$WI$41,START!$C$3,3)/1000000</f>
        <v>32534.016317459998</v>
      </c>
      <c r="BD197" s="123">
        <f>BD$136*INDEX('DEFAULT DATA'!$AJD$9:$AJK$41,START!$C$3,3)*INDEX('DEFAULT DATA'!$WC$9:$WI$41,START!$C$3,3)/1000000</f>
        <v>32534.016317459998</v>
      </c>
      <c r="BE197" s="123">
        <f>BE$136*INDEX('DEFAULT DATA'!$AJD$9:$AJK$41,START!$C$3,3)*INDEX('DEFAULT DATA'!$WC$9:$WI$41,START!$C$3,3)/1000000</f>
        <v>32534.016317459998</v>
      </c>
      <c r="BF197" s="123">
        <f>BF$136*INDEX('DEFAULT DATA'!$AJD$9:$AJK$41,START!$C$3,3)*INDEX('DEFAULT DATA'!$WC$9:$WI$41,START!$C$3,3)/1000000</f>
        <v>32534.016317459998</v>
      </c>
      <c r="BG197" s="123">
        <f>BG$136*INDEX('DEFAULT DATA'!$AJD$9:$AJK$41,START!$C$3,3)*INDEX('DEFAULT DATA'!$WC$9:$WI$41,START!$C$3,3)/1000000</f>
        <v>32534.016317459998</v>
      </c>
      <c r="BH197" s="123">
        <f>BH$136*INDEX('DEFAULT DATA'!$AJD$9:$AJK$41,START!$C$3,3)*INDEX('DEFAULT DATA'!$WC$9:$WI$41,START!$C$3,3)/1000000</f>
        <v>32534.016317459998</v>
      </c>
      <c r="BI197" s="123">
        <f>BI$136*INDEX('DEFAULT DATA'!$AJD$9:$AJK$41,START!$C$3,3)*INDEX('DEFAULT DATA'!$WC$9:$WI$41,START!$C$3,3)/1000000</f>
        <v>32534.016317459998</v>
      </c>
      <c r="BJ197" s="123">
        <f>BJ$136*INDEX('DEFAULT DATA'!$AJD$9:$AJK$41,START!$C$3,3)*INDEX('DEFAULT DATA'!$WC$9:$WI$41,START!$C$3,3)/1000000</f>
        <v>32534.016317459998</v>
      </c>
      <c r="BK197" s="123">
        <f>BK$136*INDEX('DEFAULT DATA'!$AJD$9:$AJK$41,START!$C$3,3)*INDEX('DEFAULT DATA'!$WC$9:$WI$41,START!$C$3,3)/1000000</f>
        <v>32534.016317459998</v>
      </c>
      <c r="BL197" s="123">
        <f>BL$136*INDEX('DEFAULT DATA'!$AJD$9:$AJK$41,START!$C$3,3)*INDEX('DEFAULT DATA'!$WC$9:$WI$41,START!$C$3,3)/1000000</f>
        <v>32534.016317459998</v>
      </c>
      <c r="BM197" s="123">
        <f>BM$136*INDEX('DEFAULT DATA'!$AJD$9:$AJK$41,START!$C$3,3)*INDEX('DEFAULT DATA'!$WC$9:$WI$41,START!$C$3,3)/1000000</f>
        <v>32534.016317459998</v>
      </c>
      <c r="BN197" s="123">
        <f>BN$136*INDEX('DEFAULT DATA'!$AJD$9:$AJK$41,START!$C$3,3)*INDEX('DEFAULT DATA'!$WC$9:$WI$41,START!$C$3,3)/1000000</f>
        <v>32534.016317459998</v>
      </c>
      <c r="BP197" s="375" t="str">
        <f t="shared" si="108"/>
        <v>Oil</v>
      </c>
      <c r="BQ197" s="376" t="s">
        <v>1478</v>
      </c>
      <c r="BR197" s="377"/>
      <c r="BS197" s="377"/>
      <c r="BT197" s="377"/>
      <c r="BU197" s="377"/>
      <c r="BV197" s="377"/>
      <c r="BW197" s="377"/>
      <c r="BX197" s="377"/>
      <c r="BY197" s="377"/>
      <c r="BZ197" s="377"/>
      <c r="CA197" s="377"/>
      <c r="CB197" s="377"/>
      <c r="CC197" s="377"/>
      <c r="CD197" s="377"/>
      <c r="CE197" s="377"/>
      <c r="CF197" s="377"/>
      <c r="CG197" s="378"/>
      <c r="CH197" s="374" t="s">
        <v>1435</v>
      </c>
      <c r="CI197" s="374" t="s">
        <v>1247</v>
      </c>
    </row>
    <row r="198" spans="1:87" ht="20.100000000000001" customHeight="1">
      <c r="A198" s="15"/>
      <c r="B198" s="630"/>
      <c r="C198" s="630"/>
      <c r="D198" s="630"/>
      <c r="E198" s="630"/>
      <c r="F198" s="630"/>
      <c r="G198" s="630"/>
      <c r="H198" s="630"/>
      <c r="I198" s="630"/>
      <c r="J198" s="630"/>
      <c r="K198" s="630"/>
      <c r="L198" s="630"/>
      <c r="M198" s="627"/>
      <c r="N198" s="630"/>
      <c r="O198" s="630"/>
      <c r="P198" s="630"/>
      <c r="Q198" s="630"/>
      <c r="R198" s="630"/>
      <c r="S198" s="630"/>
      <c r="T198" s="630"/>
      <c r="U198" s="630"/>
      <c r="V198" s="630"/>
      <c r="W198" s="630"/>
      <c r="X198" s="630"/>
      <c r="Y198" s="630"/>
      <c r="Z198" s="630"/>
      <c r="AA198" s="630"/>
      <c r="AB198" s="630"/>
      <c r="AC198" s="630"/>
      <c r="AD198" s="630"/>
      <c r="AE198" s="630"/>
      <c r="AF198" s="1557"/>
      <c r="AG198" s="339" t="s">
        <v>864</v>
      </c>
      <c r="AH198" s="317"/>
      <c r="AI198" s="317"/>
      <c r="AJ198" s="318"/>
      <c r="AK198" s="81">
        <v>0</v>
      </c>
      <c r="AL198" s="123">
        <f>AL$136*INDEX('DEFAULT DATA'!$AJD$9:$AJK$41,START!$C$3,4)*INDEX('DEFAULT DATA'!$WC$9:$WI$41,START!$C$3,4)/1000000</f>
        <v>0</v>
      </c>
      <c r="AM198" s="123">
        <f>AM$136*INDEX('DEFAULT DATA'!$AJD$9:$AJK$41,START!$C$3,4)*INDEX('DEFAULT DATA'!$WC$9:$WI$41,START!$C$3,4)/1000000</f>
        <v>0</v>
      </c>
      <c r="AN198" s="123">
        <f>AN$136*INDEX('DEFAULT DATA'!$AJD$9:$AJK$41,START!$C$3,4)*INDEX('DEFAULT DATA'!$WC$9:$WI$41,START!$C$3,4)/1000000</f>
        <v>0</v>
      </c>
      <c r="AO198" s="123">
        <f>AO$136*INDEX('DEFAULT DATA'!$AJD$9:$AJK$41,START!$C$3,4)*INDEX('DEFAULT DATA'!$WC$9:$WI$41,START!$C$3,4)/1000000</f>
        <v>0</v>
      </c>
      <c r="AP198" s="123">
        <f>AP$136*INDEX('DEFAULT DATA'!$AJD$9:$AJK$41,START!$C$3,4)*INDEX('DEFAULT DATA'!$WC$9:$WI$41,START!$C$3,4)/1000000</f>
        <v>0</v>
      </c>
      <c r="AQ198" s="123">
        <f>AQ$136*INDEX('DEFAULT DATA'!$AJD$9:$AJK$41,START!$C$3,4)*INDEX('DEFAULT DATA'!$WC$9:$WI$41,START!$C$3,4)/1000000</f>
        <v>0</v>
      </c>
      <c r="AR198" s="123">
        <f>AR$136*INDEX('DEFAULT DATA'!$AJD$9:$AJK$41,START!$C$3,4)*INDEX('DEFAULT DATA'!$WC$9:$WI$41,START!$C$3,4)/1000000</f>
        <v>0</v>
      </c>
      <c r="AS198" s="123">
        <f>AS$136*INDEX('DEFAULT DATA'!$AJD$9:$AJK$41,START!$C$3,4)*INDEX('DEFAULT DATA'!$WC$9:$WI$41,START!$C$3,4)/1000000</f>
        <v>0</v>
      </c>
      <c r="AT198" s="123">
        <f>AT$136*INDEX('DEFAULT DATA'!$AJD$9:$AJK$41,START!$C$3,4)*INDEX('DEFAULT DATA'!$WC$9:$WI$41,START!$C$3,4)/1000000</f>
        <v>0</v>
      </c>
      <c r="AU198" s="123">
        <f>AU$136*INDEX('DEFAULT DATA'!$AJD$9:$AJK$41,START!$C$3,4)*INDEX('DEFAULT DATA'!$WC$9:$WI$41,START!$C$3,4)/1000000</f>
        <v>0</v>
      </c>
      <c r="AV198" s="123">
        <f>AV$136*INDEX('DEFAULT DATA'!$AJD$9:$AJK$41,START!$C$3,4)*INDEX('DEFAULT DATA'!$WC$9:$WI$41,START!$C$3,4)/1000000</f>
        <v>0</v>
      </c>
      <c r="AW198" s="123">
        <f>AW$136*INDEX('DEFAULT DATA'!$AJD$9:$AJK$41,START!$C$3,4)*INDEX('DEFAULT DATA'!$WC$9:$WI$41,START!$C$3,4)/1000000</f>
        <v>0</v>
      </c>
      <c r="AX198" s="123">
        <f>AX$136*INDEX('DEFAULT DATA'!$AJD$9:$AJK$41,START!$C$3,4)*INDEX('DEFAULT DATA'!$WC$9:$WI$41,START!$C$3,4)/1000000</f>
        <v>0</v>
      </c>
      <c r="AY198" s="123">
        <f>AY$136*INDEX('DEFAULT DATA'!$AJD$9:$AJK$41,START!$C$3,4)*INDEX('DEFAULT DATA'!$WC$9:$WI$41,START!$C$3,4)/1000000</f>
        <v>0</v>
      </c>
      <c r="AZ198" s="123">
        <f>AZ$136*INDEX('DEFAULT DATA'!$AJD$9:$AJK$41,START!$C$3,4)*INDEX('DEFAULT DATA'!$WC$9:$WI$41,START!$C$3,4)/1000000</f>
        <v>0</v>
      </c>
      <c r="BA198" s="123">
        <f>BA$136*INDEX('DEFAULT DATA'!$AJD$9:$AJK$41,START!$C$3,4)*INDEX('DEFAULT DATA'!$WC$9:$WI$41,START!$C$3,4)/1000000</f>
        <v>0</v>
      </c>
      <c r="BB198" s="123">
        <f>BB$136*INDEX('DEFAULT DATA'!$AJD$9:$AJK$41,START!$C$3,4)*INDEX('DEFAULT DATA'!$WC$9:$WI$41,START!$C$3,4)/1000000</f>
        <v>0</v>
      </c>
      <c r="BC198" s="123">
        <f>BC$136*INDEX('DEFAULT DATA'!$AJD$9:$AJK$41,START!$C$3,4)*INDEX('DEFAULT DATA'!$WC$9:$WI$41,START!$C$3,4)/1000000</f>
        <v>0</v>
      </c>
      <c r="BD198" s="123">
        <f>BD$136*INDEX('DEFAULT DATA'!$AJD$9:$AJK$41,START!$C$3,4)*INDEX('DEFAULT DATA'!$WC$9:$WI$41,START!$C$3,4)/1000000</f>
        <v>0</v>
      </c>
      <c r="BE198" s="123">
        <f>BE$136*INDEX('DEFAULT DATA'!$AJD$9:$AJK$41,START!$C$3,4)*INDEX('DEFAULT DATA'!$WC$9:$WI$41,START!$C$3,4)/1000000</f>
        <v>0</v>
      </c>
      <c r="BF198" s="123">
        <f>BF$136*INDEX('DEFAULT DATA'!$AJD$9:$AJK$41,START!$C$3,4)*INDEX('DEFAULT DATA'!$WC$9:$WI$41,START!$C$3,4)/1000000</f>
        <v>0</v>
      </c>
      <c r="BG198" s="123">
        <f>BG$136*INDEX('DEFAULT DATA'!$AJD$9:$AJK$41,START!$C$3,4)*INDEX('DEFAULT DATA'!$WC$9:$WI$41,START!$C$3,4)/1000000</f>
        <v>0</v>
      </c>
      <c r="BH198" s="123">
        <f>BH$136*INDEX('DEFAULT DATA'!$AJD$9:$AJK$41,START!$C$3,4)*INDEX('DEFAULT DATA'!$WC$9:$WI$41,START!$C$3,4)/1000000</f>
        <v>0</v>
      </c>
      <c r="BI198" s="123">
        <f>BI$136*INDEX('DEFAULT DATA'!$AJD$9:$AJK$41,START!$C$3,4)*INDEX('DEFAULT DATA'!$WC$9:$WI$41,START!$C$3,4)/1000000</f>
        <v>0</v>
      </c>
      <c r="BJ198" s="123">
        <f>BJ$136*INDEX('DEFAULT DATA'!$AJD$9:$AJK$41,START!$C$3,4)*INDEX('DEFAULT DATA'!$WC$9:$WI$41,START!$C$3,4)/1000000</f>
        <v>0</v>
      </c>
      <c r="BK198" s="123">
        <f>BK$136*INDEX('DEFAULT DATA'!$AJD$9:$AJK$41,START!$C$3,4)*INDEX('DEFAULT DATA'!$WC$9:$WI$41,START!$C$3,4)/1000000</f>
        <v>0</v>
      </c>
      <c r="BL198" s="123">
        <f>BL$136*INDEX('DEFAULT DATA'!$AJD$9:$AJK$41,START!$C$3,4)*INDEX('DEFAULT DATA'!$WC$9:$WI$41,START!$C$3,4)/1000000</f>
        <v>0</v>
      </c>
      <c r="BM198" s="123">
        <f>BM$136*INDEX('DEFAULT DATA'!$AJD$9:$AJK$41,START!$C$3,4)*INDEX('DEFAULT DATA'!$WC$9:$WI$41,START!$C$3,4)/1000000</f>
        <v>0</v>
      </c>
      <c r="BN198" s="123">
        <f>BN$136*INDEX('DEFAULT DATA'!$AJD$9:$AJK$41,START!$C$3,4)*INDEX('DEFAULT DATA'!$WC$9:$WI$41,START!$C$3,4)/1000000</f>
        <v>0</v>
      </c>
      <c r="BP198" s="375" t="str">
        <f t="shared" si="108"/>
        <v>Coal</v>
      </c>
      <c r="BQ198" s="376" t="s">
        <v>1479</v>
      </c>
      <c r="BR198" s="377"/>
      <c r="BS198" s="377"/>
      <c r="BT198" s="377"/>
      <c r="BU198" s="377"/>
      <c r="BV198" s="377"/>
      <c r="BW198" s="377"/>
      <c r="BX198" s="377"/>
      <c r="BY198" s="377"/>
      <c r="BZ198" s="377"/>
      <c r="CA198" s="377"/>
      <c r="CB198" s="377"/>
      <c r="CC198" s="377"/>
      <c r="CD198" s="377"/>
      <c r="CE198" s="377"/>
      <c r="CF198" s="377"/>
      <c r="CG198" s="378"/>
      <c r="CH198" s="374" t="s">
        <v>1436</v>
      </c>
      <c r="CI198" s="374" t="s">
        <v>1248</v>
      </c>
    </row>
    <row r="199" spans="1:87" ht="20.100000000000001" customHeight="1">
      <c r="A199" s="15"/>
      <c r="B199" s="630"/>
      <c r="C199" s="630"/>
      <c r="D199" s="630"/>
      <c r="E199" s="630"/>
      <c r="F199" s="630"/>
      <c r="G199" s="630"/>
      <c r="H199" s="630"/>
      <c r="I199" s="630"/>
      <c r="J199" s="630"/>
      <c r="K199" s="630"/>
      <c r="L199" s="630"/>
      <c r="M199" s="627"/>
      <c r="N199" s="630"/>
      <c r="O199" s="630"/>
      <c r="P199" s="630"/>
      <c r="Q199" s="630"/>
      <c r="R199" s="630"/>
      <c r="S199" s="630"/>
      <c r="T199" s="630"/>
      <c r="U199" s="630"/>
      <c r="V199" s="630"/>
      <c r="W199" s="630"/>
      <c r="X199" s="630"/>
      <c r="Y199" s="630"/>
      <c r="Z199" s="630"/>
      <c r="AA199" s="630"/>
      <c r="AB199" s="630"/>
      <c r="AC199" s="630"/>
      <c r="AD199" s="630"/>
      <c r="AE199" s="630"/>
      <c r="AF199" s="1557"/>
      <c r="AG199" s="339" t="s">
        <v>865</v>
      </c>
      <c r="AH199" s="317"/>
      <c r="AI199" s="317"/>
      <c r="AJ199" s="318"/>
      <c r="AK199" s="81">
        <v>0</v>
      </c>
      <c r="AL199" s="123">
        <f>AL$136*INDEX('DEFAULT DATA'!$AJD$9:$AJK$41,START!$C$3,5)*INDEX('DEFAULT DATA'!$WC$9:$WI$41,START!$C$3,5)/1000000</f>
        <v>4344.6748378800003</v>
      </c>
      <c r="AM199" s="123">
        <f>AM$136*INDEX('DEFAULT DATA'!$AJD$9:$AJK$41,START!$C$3,5)*INDEX('DEFAULT DATA'!$WC$9:$WI$41,START!$C$3,5)/1000000</f>
        <v>4344.6748378800003</v>
      </c>
      <c r="AN199" s="123">
        <f>AN$136*INDEX('DEFAULT DATA'!$AJD$9:$AJK$41,START!$C$3,5)*INDEX('DEFAULT DATA'!$WC$9:$WI$41,START!$C$3,5)/1000000</f>
        <v>4344.6748378800003</v>
      </c>
      <c r="AO199" s="123">
        <f>AO$136*INDEX('DEFAULT DATA'!$AJD$9:$AJK$41,START!$C$3,5)*INDEX('DEFAULT DATA'!$WC$9:$WI$41,START!$C$3,5)/1000000</f>
        <v>4344.6748378800003</v>
      </c>
      <c r="AP199" s="123">
        <f>AP$136*INDEX('DEFAULT DATA'!$AJD$9:$AJK$41,START!$C$3,5)*INDEX('DEFAULT DATA'!$WC$9:$WI$41,START!$C$3,5)/1000000</f>
        <v>4344.6748378800003</v>
      </c>
      <c r="AQ199" s="123">
        <f>AQ$136*INDEX('DEFAULT DATA'!$AJD$9:$AJK$41,START!$C$3,5)*INDEX('DEFAULT DATA'!$WC$9:$WI$41,START!$C$3,5)/1000000</f>
        <v>4344.6748378800003</v>
      </c>
      <c r="AR199" s="123">
        <f>AR$136*INDEX('DEFAULT DATA'!$AJD$9:$AJK$41,START!$C$3,5)*INDEX('DEFAULT DATA'!$WC$9:$WI$41,START!$C$3,5)/1000000</f>
        <v>4344.6748378800003</v>
      </c>
      <c r="AS199" s="123">
        <f>AS$136*INDEX('DEFAULT DATA'!$AJD$9:$AJK$41,START!$C$3,5)*INDEX('DEFAULT DATA'!$WC$9:$WI$41,START!$C$3,5)/1000000</f>
        <v>4344.6748378800003</v>
      </c>
      <c r="AT199" s="123">
        <f>AT$136*INDEX('DEFAULT DATA'!$AJD$9:$AJK$41,START!$C$3,5)*INDEX('DEFAULT DATA'!$WC$9:$WI$41,START!$C$3,5)/1000000</f>
        <v>4344.6748378800003</v>
      </c>
      <c r="AU199" s="123">
        <f>AU$136*INDEX('DEFAULT DATA'!$AJD$9:$AJK$41,START!$C$3,5)*INDEX('DEFAULT DATA'!$WC$9:$WI$41,START!$C$3,5)/1000000</f>
        <v>4344.6748378800003</v>
      </c>
      <c r="AV199" s="123">
        <f>AV$136*INDEX('DEFAULT DATA'!$AJD$9:$AJK$41,START!$C$3,5)*INDEX('DEFAULT DATA'!$WC$9:$WI$41,START!$C$3,5)/1000000</f>
        <v>4344.6748378800003</v>
      </c>
      <c r="AW199" s="123">
        <f>AW$136*INDEX('DEFAULT DATA'!$AJD$9:$AJK$41,START!$C$3,5)*INDEX('DEFAULT DATA'!$WC$9:$WI$41,START!$C$3,5)/1000000</f>
        <v>4344.6748378800003</v>
      </c>
      <c r="AX199" s="123">
        <f>AX$136*INDEX('DEFAULT DATA'!$AJD$9:$AJK$41,START!$C$3,5)*INDEX('DEFAULT DATA'!$WC$9:$WI$41,START!$C$3,5)/1000000</f>
        <v>4344.6748378800003</v>
      </c>
      <c r="AY199" s="123">
        <f>AY$136*INDEX('DEFAULT DATA'!$AJD$9:$AJK$41,START!$C$3,5)*INDEX('DEFAULT DATA'!$WC$9:$WI$41,START!$C$3,5)/1000000</f>
        <v>4344.6748378800003</v>
      </c>
      <c r="AZ199" s="123">
        <f>AZ$136*INDEX('DEFAULT DATA'!$AJD$9:$AJK$41,START!$C$3,5)*INDEX('DEFAULT DATA'!$WC$9:$WI$41,START!$C$3,5)/1000000</f>
        <v>4344.6748378800003</v>
      </c>
      <c r="BA199" s="123">
        <f>BA$136*INDEX('DEFAULT DATA'!$AJD$9:$AJK$41,START!$C$3,5)*INDEX('DEFAULT DATA'!$WC$9:$WI$41,START!$C$3,5)/1000000</f>
        <v>4344.6748378800003</v>
      </c>
      <c r="BB199" s="123">
        <f>BB$136*INDEX('DEFAULT DATA'!$AJD$9:$AJK$41,START!$C$3,5)*INDEX('DEFAULT DATA'!$WC$9:$WI$41,START!$C$3,5)/1000000</f>
        <v>4344.6748378800003</v>
      </c>
      <c r="BC199" s="123">
        <f>BC$136*INDEX('DEFAULT DATA'!$AJD$9:$AJK$41,START!$C$3,5)*INDEX('DEFAULT DATA'!$WC$9:$WI$41,START!$C$3,5)/1000000</f>
        <v>4344.6748378800003</v>
      </c>
      <c r="BD199" s="123">
        <f>BD$136*INDEX('DEFAULT DATA'!$AJD$9:$AJK$41,START!$C$3,5)*INDEX('DEFAULT DATA'!$WC$9:$WI$41,START!$C$3,5)/1000000</f>
        <v>4344.6748378800003</v>
      </c>
      <c r="BE199" s="123">
        <f>BE$136*INDEX('DEFAULT DATA'!$AJD$9:$AJK$41,START!$C$3,5)*INDEX('DEFAULT DATA'!$WC$9:$WI$41,START!$C$3,5)/1000000</f>
        <v>4344.6748378800003</v>
      </c>
      <c r="BF199" s="123">
        <f>BF$136*INDEX('DEFAULT DATA'!$AJD$9:$AJK$41,START!$C$3,5)*INDEX('DEFAULT DATA'!$WC$9:$WI$41,START!$C$3,5)/1000000</f>
        <v>4344.6748378800003</v>
      </c>
      <c r="BG199" s="123">
        <f>BG$136*INDEX('DEFAULT DATA'!$AJD$9:$AJK$41,START!$C$3,5)*INDEX('DEFAULT DATA'!$WC$9:$WI$41,START!$C$3,5)/1000000</f>
        <v>4344.6748378800003</v>
      </c>
      <c r="BH199" s="123">
        <f>BH$136*INDEX('DEFAULT DATA'!$AJD$9:$AJK$41,START!$C$3,5)*INDEX('DEFAULT DATA'!$WC$9:$WI$41,START!$C$3,5)/1000000</f>
        <v>4344.6748378800003</v>
      </c>
      <c r="BI199" s="123">
        <f>BI$136*INDEX('DEFAULT DATA'!$AJD$9:$AJK$41,START!$C$3,5)*INDEX('DEFAULT DATA'!$WC$9:$WI$41,START!$C$3,5)/1000000</f>
        <v>4344.6748378800003</v>
      </c>
      <c r="BJ199" s="123">
        <f>BJ$136*INDEX('DEFAULT DATA'!$AJD$9:$AJK$41,START!$C$3,5)*INDEX('DEFAULT DATA'!$WC$9:$WI$41,START!$C$3,5)/1000000</f>
        <v>4344.6748378800003</v>
      </c>
      <c r="BK199" s="123">
        <f>BK$136*INDEX('DEFAULT DATA'!$AJD$9:$AJK$41,START!$C$3,5)*INDEX('DEFAULT DATA'!$WC$9:$WI$41,START!$C$3,5)/1000000</f>
        <v>4344.6748378800003</v>
      </c>
      <c r="BL199" s="123">
        <f>BL$136*INDEX('DEFAULT DATA'!$AJD$9:$AJK$41,START!$C$3,5)*INDEX('DEFAULT DATA'!$WC$9:$WI$41,START!$C$3,5)/1000000</f>
        <v>4344.6748378800003</v>
      </c>
      <c r="BM199" s="123">
        <f>BM$136*INDEX('DEFAULT DATA'!$AJD$9:$AJK$41,START!$C$3,5)*INDEX('DEFAULT DATA'!$WC$9:$WI$41,START!$C$3,5)/1000000</f>
        <v>4344.6748378800003</v>
      </c>
      <c r="BN199" s="123">
        <f>BN$136*INDEX('DEFAULT DATA'!$AJD$9:$AJK$41,START!$C$3,5)*INDEX('DEFAULT DATA'!$WC$9:$WI$41,START!$C$3,5)/1000000</f>
        <v>4344.6748378800003</v>
      </c>
      <c r="BP199" s="375" t="str">
        <f t="shared" si="108"/>
        <v>Peat</v>
      </c>
      <c r="BQ199" s="376" t="s">
        <v>1480</v>
      </c>
      <c r="BR199" s="377"/>
      <c r="BS199" s="377"/>
      <c r="BT199" s="377"/>
      <c r="BU199" s="377"/>
      <c r="BV199" s="377"/>
      <c r="BW199" s="377"/>
      <c r="BX199" s="377"/>
      <c r="BY199" s="377"/>
      <c r="BZ199" s="377"/>
      <c r="CA199" s="377"/>
      <c r="CB199" s="377"/>
      <c r="CC199" s="377"/>
      <c r="CD199" s="377"/>
      <c r="CE199" s="377"/>
      <c r="CF199" s="377"/>
      <c r="CG199" s="378"/>
      <c r="CH199" s="374" t="s">
        <v>1437</v>
      </c>
      <c r="CI199" s="374" t="s">
        <v>1249</v>
      </c>
    </row>
    <row r="200" spans="1:87" ht="20.100000000000001" customHeight="1">
      <c r="A200" s="15"/>
      <c r="B200" s="630"/>
      <c r="C200" s="630"/>
      <c r="D200" s="630"/>
      <c r="E200" s="630"/>
      <c r="F200" s="630"/>
      <c r="G200" s="630"/>
      <c r="H200" s="630"/>
      <c r="I200" s="630"/>
      <c r="J200" s="630"/>
      <c r="K200" s="630"/>
      <c r="L200" s="630"/>
      <c r="M200" s="627"/>
      <c r="N200" s="630"/>
      <c r="O200" s="630"/>
      <c r="P200" s="630"/>
      <c r="Q200" s="630"/>
      <c r="R200" s="630"/>
      <c r="S200" s="630"/>
      <c r="T200" s="630"/>
      <c r="U200" s="630"/>
      <c r="V200" s="630"/>
      <c r="W200" s="630"/>
      <c r="X200" s="630"/>
      <c r="Y200" s="630"/>
      <c r="Z200" s="630"/>
      <c r="AA200" s="630"/>
      <c r="AB200" s="630"/>
      <c r="AC200" s="630"/>
      <c r="AD200" s="630"/>
      <c r="AE200" s="630"/>
      <c r="AF200" s="1557"/>
      <c r="AG200" s="339" t="s">
        <v>866</v>
      </c>
      <c r="AH200" s="317"/>
      <c r="AI200" s="317"/>
      <c r="AJ200" s="318"/>
      <c r="AK200" s="81">
        <v>0</v>
      </c>
      <c r="AL200" s="123">
        <f>AL$136*INDEX('DEFAULT DATA'!$AJD$9:$AJK$41,START!$C$3,6)*INDEX('DEFAULT DATA'!$WC$9:$WI$41,START!$C$3,6)/1000000</f>
        <v>5562.2270164499996</v>
      </c>
      <c r="AM200" s="123">
        <f>AM$136*INDEX('DEFAULT DATA'!$AJD$9:$AJK$41,START!$C$3,6)*INDEX('DEFAULT DATA'!$WC$9:$WI$41,START!$C$3,6)/1000000</f>
        <v>5562.2270164499996</v>
      </c>
      <c r="AN200" s="123">
        <f>AN$136*INDEX('DEFAULT DATA'!$AJD$9:$AJK$41,START!$C$3,6)*INDEX('DEFAULT DATA'!$WC$9:$WI$41,START!$C$3,6)/1000000</f>
        <v>5562.2270164499996</v>
      </c>
      <c r="AO200" s="123">
        <f>AO$136*INDEX('DEFAULT DATA'!$AJD$9:$AJK$41,START!$C$3,6)*INDEX('DEFAULT DATA'!$WC$9:$WI$41,START!$C$3,6)/1000000</f>
        <v>5562.2270164499996</v>
      </c>
      <c r="AP200" s="123">
        <f>AP$136*INDEX('DEFAULT DATA'!$AJD$9:$AJK$41,START!$C$3,6)*INDEX('DEFAULT DATA'!$WC$9:$WI$41,START!$C$3,6)/1000000</f>
        <v>5562.2270164499996</v>
      </c>
      <c r="AQ200" s="123">
        <f>AQ$136*INDEX('DEFAULT DATA'!$AJD$9:$AJK$41,START!$C$3,6)*INDEX('DEFAULT DATA'!$WC$9:$WI$41,START!$C$3,6)/1000000</f>
        <v>5562.2270164499996</v>
      </c>
      <c r="AR200" s="123">
        <f>AR$136*INDEX('DEFAULT DATA'!$AJD$9:$AJK$41,START!$C$3,6)*INDEX('DEFAULT DATA'!$WC$9:$WI$41,START!$C$3,6)/1000000</f>
        <v>5562.2270164499996</v>
      </c>
      <c r="AS200" s="123">
        <f>AS$136*INDEX('DEFAULT DATA'!$AJD$9:$AJK$41,START!$C$3,6)*INDEX('DEFAULT DATA'!$WC$9:$WI$41,START!$C$3,6)/1000000</f>
        <v>5562.2270164499996</v>
      </c>
      <c r="AT200" s="123">
        <f>AT$136*INDEX('DEFAULT DATA'!$AJD$9:$AJK$41,START!$C$3,6)*INDEX('DEFAULT DATA'!$WC$9:$WI$41,START!$C$3,6)/1000000</f>
        <v>5562.2270164499996</v>
      </c>
      <c r="AU200" s="123">
        <f>AU$136*INDEX('DEFAULT DATA'!$AJD$9:$AJK$41,START!$C$3,6)*INDEX('DEFAULT DATA'!$WC$9:$WI$41,START!$C$3,6)/1000000</f>
        <v>5562.2270164499996</v>
      </c>
      <c r="AV200" s="123">
        <f>AV$136*INDEX('DEFAULT DATA'!$AJD$9:$AJK$41,START!$C$3,6)*INDEX('DEFAULT DATA'!$WC$9:$WI$41,START!$C$3,6)/1000000</f>
        <v>5562.2270164499996</v>
      </c>
      <c r="AW200" s="123">
        <f>AW$136*INDEX('DEFAULT DATA'!$AJD$9:$AJK$41,START!$C$3,6)*INDEX('DEFAULT DATA'!$WC$9:$WI$41,START!$C$3,6)/1000000</f>
        <v>5562.2270164499996</v>
      </c>
      <c r="AX200" s="123">
        <f>AX$136*INDEX('DEFAULT DATA'!$AJD$9:$AJK$41,START!$C$3,6)*INDEX('DEFAULT DATA'!$WC$9:$WI$41,START!$C$3,6)/1000000</f>
        <v>5562.2270164499996</v>
      </c>
      <c r="AY200" s="123">
        <f>AY$136*INDEX('DEFAULT DATA'!$AJD$9:$AJK$41,START!$C$3,6)*INDEX('DEFAULT DATA'!$WC$9:$WI$41,START!$C$3,6)/1000000</f>
        <v>5562.2270164499996</v>
      </c>
      <c r="AZ200" s="123">
        <f>AZ$136*INDEX('DEFAULT DATA'!$AJD$9:$AJK$41,START!$C$3,6)*INDEX('DEFAULT DATA'!$WC$9:$WI$41,START!$C$3,6)/1000000</f>
        <v>5562.2270164499996</v>
      </c>
      <c r="BA200" s="123">
        <f>BA$136*INDEX('DEFAULT DATA'!$AJD$9:$AJK$41,START!$C$3,6)*INDEX('DEFAULT DATA'!$WC$9:$WI$41,START!$C$3,6)/1000000</f>
        <v>5562.2270164499996</v>
      </c>
      <c r="BB200" s="123">
        <f>BB$136*INDEX('DEFAULT DATA'!$AJD$9:$AJK$41,START!$C$3,6)*INDEX('DEFAULT DATA'!$WC$9:$WI$41,START!$C$3,6)/1000000</f>
        <v>5562.2270164499996</v>
      </c>
      <c r="BC200" s="123">
        <f>BC$136*INDEX('DEFAULT DATA'!$AJD$9:$AJK$41,START!$C$3,6)*INDEX('DEFAULT DATA'!$WC$9:$WI$41,START!$C$3,6)/1000000</f>
        <v>5562.2270164499996</v>
      </c>
      <c r="BD200" s="123">
        <f>BD$136*INDEX('DEFAULT DATA'!$AJD$9:$AJK$41,START!$C$3,6)*INDEX('DEFAULT DATA'!$WC$9:$WI$41,START!$C$3,6)/1000000</f>
        <v>5562.2270164499996</v>
      </c>
      <c r="BE200" s="123">
        <f>BE$136*INDEX('DEFAULT DATA'!$AJD$9:$AJK$41,START!$C$3,6)*INDEX('DEFAULT DATA'!$WC$9:$WI$41,START!$C$3,6)/1000000</f>
        <v>5562.2270164499996</v>
      </c>
      <c r="BF200" s="123">
        <f>BF$136*INDEX('DEFAULT DATA'!$AJD$9:$AJK$41,START!$C$3,6)*INDEX('DEFAULT DATA'!$WC$9:$WI$41,START!$C$3,6)/1000000</f>
        <v>5562.2270164499996</v>
      </c>
      <c r="BG200" s="123">
        <f>BG$136*INDEX('DEFAULT DATA'!$AJD$9:$AJK$41,START!$C$3,6)*INDEX('DEFAULT DATA'!$WC$9:$WI$41,START!$C$3,6)/1000000</f>
        <v>5562.2270164499996</v>
      </c>
      <c r="BH200" s="123">
        <f>BH$136*INDEX('DEFAULT DATA'!$AJD$9:$AJK$41,START!$C$3,6)*INDEX('DEFAULT DATA'!$WC$9:$WI$41,START!$C$3,6)/1000000</f>
        <v>5562.2270164499996</v>
      </c>
      <c r="BI200" s="123">
        <f>BI$136*INDEX('DEFAULT DATA'!$AJD$9:$AJK$41,START!$C$3,6)*INDEX('DEFAULT DATA'!$WC$9:$WI$41,START!$C$3,6)/1000000</f>
        <v>5562.2270164499996</v>
      </c>
      <c r="BJ200" s="123">
        <f>BJ$136*INDEX('DEFAULT DATA'!$AJD$9:$AJK$41,START!$C$3,6)*INDEX('DEFAULT DATA'!$WC$9:$WI$41,START!$C$3,6)/1000000</f>
        <v>5562.2270164499996</v>
      </c>
      <c r="BK200" s="123">
        <f>BK$136*INDEX('DEFAULT DATA'!$AJD$9:$AJK$41,START!$C$3,6)*INDEX('DEFAULT DATA'!$WC$9:$WI$41,START!$C$3,6)/1000000</f>
        <v>5562.2270164499996</v>
      </c>
      <c r="BL200" s="123">
        <f>BL$136*INDEX('DEFAULT DATA'!$AJD$9:$AJK$41,START!$C$3,6)*INDEX('DEFAULT DATA'!$WC$9:$WI$41,START!$C$3,6)/1000000</f>
        <v>5562.2270164499996</v>
      </c>
      <c r="BM200" s="123">
        <f>BM$136*INDEX('DEFAULT DATA'!$AJD$9:$AJK$41,START!$C$3,6)*INDEX('DEFAULT DATA'!$WC$9:$WI$41,START!$C$3,6)/1000000</f>
        <v>5562.2270164499996</v>
      </c>
      <c r="BN200" s="123">
        <f>BN$136*INDEX('DEFAULT DATA'!$AJD$9:$AJK$41,START!$C$3,6)*INDEX('DEFAULT DATA'!$WC$9:$WI$41,START!$C$3,6)/1000000</f>
        <v>5562.2270164499996</v>
      </c>
      <c r="BP200" s="375" t="str">
        <f t="shared" si="108"/>
        <v>Wood</v>
      </c>
      <c r="BQ200" s="376" t="s">
        <v>1481</v>
      </c>
      <c r="BR200" s="377"/>
      <c r="BS200" s="377"/>
      <c r="BT200" s="377"/>
      <c r="BU200" s="377"/>
      <c r="BV200" s="377"/>
      <c r="BW200" s="377"/>
      <c r="BX200" s="377"/>
      <c r="BY200" s="377"/>
      <c r="BZ200" s="377"/>
      <c r="CA200" s="377"/>
      <c r="CB200" s="377"/>
      <c r="CC200" s="377"/>
      <c r="CD200" s="377"/>
      <c r="CE200" s="377"/>
      <c r="CF200" s="377"/>
      <c r="CG200" s="378"/>
      <c r="CH200" s="374" t="s">
        <v>1438</v>
      </c>
      <c r="CI200" s="374" t="s">
        <v>1250</v>
      </c>
    </row>
    <row r="201" spans="1:87" ht="20.100000000000001" customHeight="1">
      <c r="A201" s="15"/>
      <c r="B201" s="630"/>
      <c r="C201" s="630"/>
      <c r="D201" s="630"/>
      <c r="E201" s="630"/>
      <c r="F201" s="630"/>
      <c r="G201" s="630"/>
      <c r="H201" s="630"/>
      <c r="I201" s="630"/>
      <c r="J201" s="630"/>
      <c r="K201" s="630"/>
      <c r="L201" s="630"/>
      <c r="M201" s="627"/>
      <c r="N201" s="630"/>
      <c r="O201" s="630"/>
      <c r="P201" s="630"/>
      <c r="Q201" s="630"/>
      <c r="R201" s="630"/>
      <c r="S201" s="630"/>
      <c r="T201" s="630"/>
      <c r="U201" s="630"/>
      <c r="V201" s="630"/>
      <c r="W201" s="630"/>
      <c r="X201" s="630"/>
      <c r="Y201" s="630"/>
      <c r="Z201" s="630"/>
      <c r="AA201" s="630"/>
      <c r="AB201" s="630"/>
      <c r="AC201" s="630"/>
      <c r="AD201" s="630"/>
      <c r="AE201" s="630"/>
      <c r="AF201" s="1557"/>
      <c r="AG201" s="339" t="s">
        <v>867</v>
      </c>
      <c r="AH201" s="317"/>
      <c r="AI201" s="317"/>
      <c r="AJ201" s="318"/>
      <c r="AK201" s="81">
        <v>0</v>
      </c>
      <c r="AL201" s="123">
        <f>AL$136*INDEX('DEFAULT DATA'!$AJD$9:$AJK$41,START!$C$3,7)*INDEX('DEFAULT DATA'!$WC$9:$WI$41,START!$C$3,7)/1000000</f>
        <v>0</v>
      </c>
      <c r="AM201" s="123">
        <f>AM$136*INDEX('DEFAULT DATA'!$AJD$9:$AJK$41,START!$C$3,7)*INDEX('DEFAULT DATA'!$WC$9:$WI$41,START!$C$3,7)/1000000</f>
        <v>0</v>
      </c>
      <c r="AN201" s="123">
        <f>AN$136*INDEX('DEFAULT DATA'!$AJD$9:$AJK$41,START!$C$3,7)*INDEX('DEFAULT DATA'!$WC$9:$WI$41,START!$C$3,7)/1000000</f>
        <v>0</v>
      </c>
      <c r="AO201" s="123">
        <f>AO$136*INDEX('DEFAULT DATA'!$AJD$9:$AJK$41,START!$C$3,7)*INDEX('DEFAULT DATA'!$WC$9:$WI$41,START!$C$3,7)/1000000</f>
        <v>0</v>
      </c>
      <c r="AP201" s="123">
        <f>AP$136*INDEX('DEFAULT DATA'!$AJD$9:$AJK$41,START!$C$3,7)*INDEX('DEFAULT DATA'!$WC$9:$WI$41,START!$C$3,7)/1000000</f>
        <v>0</v>
      </c>
      <c r="AQ201" s="123">
        <f>AQ$136*INDEX('DEFAULT DATA'!$AJD$9:$AJK$41,START!$C$3,7)*INDEX('DEFAULT DATA'!$WC$9:$WI$41,START!$C$3,7)/1000000</f>
        <v>0</v>
      </c>
      <c r="AR201" s="123">
        <f>AR$136*INDEX('DEFAULT DATA'!$AJD$9:$AJK$41,START!$C$3,7)*INDEX('DEFAULT DATA'!$WC$9:$WI$41,START!$C$3,7)/1000000</f>
        <v>0</v>
      </c>
      <c r="AS201" s="123">
        <f>AS$136*INDEX('DEFAULT DATA'!$AJD$9:$AJK$41,START!$C$3,7)*INDEX('DEFAULT DATA'!$WC$9:$WI$41,START!$C$3,7)/1000000</f>
        <v>0</v>
      </c>
      <c r="AT201" s="123">
        <f>AT$136*INDEX('DEFAULT DATA'!$AJD$9:$AJK$41,START!$C$3,7)*INDEX('DEFAULT DATA'!$WC$9:$WI$41,START!$C$3,7)/1000000</f>
        <v>0</v>
      </c>
      <c r="AU201" s="123">
        <f>AU$136*INDEX('DEFAULT DATA'!$AJD$9:$AJK$41,START!$C$3,7)*INDEX('DEFAULT DATA'!$WC$9:$WI$41,START!$C$3,7)/1000000</f>
        <v>0</v>
      </c>
      <c r="AV201" s="123">
        <f>AV$136*INDEX('DEFAULT DATA'!$AJD$9:$AJK$41,START!$C$3,7)*INDEX('DEFAULT DATA'!$WC$9:$WI$41,START!$C$3,7)/1000000</f>
        <v>0</v>
      </c>
      <c r="AW201" s="123">
        <f>AW$136*INDEX('DEFAULT DATA'!$AJD$9:$AJK$41,START!$C$3,7)*INDEX('DEFAULT DATA'!$WC$9:$WI$41,START!$C$3,7)/1000000</f>
        <v>0</v>
      </c>
      <c r="AX201" s="123">
        <f>AX$136*INDEX('DEFAULT DATA'!$AJD$9:$AJK$41,START!$C$3,7)*INDEX('DEFAULT DATA'!$WC$9:$WI$41,START!$C$3,7)/1000000</f>
        <v>0</v>
      </c>
      <c r="AY201" s="123">
        <f>AY$136*INDEX('DEFAULT DATA'!$AJD$9:$AJK$41,START!$C$3,7)*INDEX('DEFAULT DATA'!$WC$9:$WI$41,START!$C$3,7)/1000000</f>
        <v>0</v>
      </c>
      <c r="AZ201" s="123">
        <f>AZ$136*INDEX('DEFAULT DATA'!$AJD$9:$AJK$41,START!$C$3,7)*INDEX('DEFAULT DATA'!$WC$9:$WI$41,START!$C$3,7)/1000000</f>
        <v>0</v>
      </c>
      <c r="BA201" s="123">
        <f>BA$136*INDEX('DEFAULT DATA'!$AJD$9:$AJK$41,START!$C$3,7)*INDEX('DEFAULT DATA'!$WC$9:$WI$41,START!$C$3,7)/1000000</f>
        <v>0</v>
      </c>
      <c r="BB201" s="123">
        <f>BB$136*INDEX('DEFAULT DATA'!$AJD$9:$AJK$41,START!$C$3,7)*INDEX('DEFAULT DATA'!$WC$9:$WI$41,START!$C$3,7)/1000000</f>
        <v>0</v>
      </c>
      <c r="BC201" s="123">
        <f>BC$136*INDEX('DEFAULT DATA'!$AJD$9:$AJK$41,START!$C$3,7)*INDEX('DEFAULT DATA'!$WC$9:$WI$41,START!$C$3,7)/1000000</f>
        <v>0</v>
      </c>
      <c r="BD201" s="123">
        <f>BD$136*INDEX('DEFAULT DATA'!$AJD$9:$AJK$41,START!$C$3,7)*INDEX('DEFAULT DATA'!$WC$9:$WI$41,START!$C$3,7)/1000000</f>
        <v>0</v>
      </c>
      <c r="BE201" s="123">
        <f>BE$136*INDEX('DEFAULT DATA'!$AJD$9:$AJK$41,START!$C$3,7)*INDEX('DEFAULT DATA'!$WC$9:$WI$41,START!$C$3,7)/1000000</f>
        <v>0</v>
      </c>
      <c r="BF201" s="123">
        <f>BF$136*INDEX('DEFAULT DATA'!$AJD$9:$AJK$41,START!$C$3,7)*INDEX('DEFAULT DATA'!$WC$9:$WI$41,START!$C$3,7)/1000000</f>
        <v>0</v>
      </c>
      <c r="BG201" s="123">
        <f>BG$136*INDEX('DEFAULT DATA'!$AJD$9:$AJK$41,START!$C$3,7)*INDEX('DEFAULT DATA'!$WC$9:$WI$41,START!$C$3,7)/1000000</f>
        <v>0</v>
      </c>
      <c r="BH201" s="123">
        <f>BH$136*INDEX('DEFAULT DATA'!$AJD$9:$AJK$41,START!$C$3,7)*INDEX('DEFAULT DATA'!$WC$9:$WI$41,START!$C$3,7)/1000000</f>
        <v>0</v>
      </c>
      <c r="BI201" s="123">
        <f>BI$136*INDEX('DEFAULT DATA'!$AJD$9:$AJK$41,START!$C$3,7)*INDEX('DEFAULT DATA'!$WC$9:$WI$41,START!$C$3,7)/1000000</f>
        <v>0</v>
      </c>
      <c r="BJ201" s="123">
        <f>BJ$136*INDEX('DEFAULT DATA'!$AJD$9:$AJK$41,START!$C$3,7)*INDEX('DEFAULT DATA'!$WC$9:$WI$41,START!$C$3,7)/1000000</f>
        <v>0</v>
      </c>
      <c r="BK201" s="123">
        <f>BK$136*INDEX('DEFAULT DATA'!$AJD$9:$AJK$41,START!$C$3,7)*INDEX('DEFAULT DATA'!$WC$9:$WI$41,START!$C$3,7)/1000000</f>
        <v>0</v>
      </c>
      <c r="BL201" s="123">
        <f>BL$136*INDEX('DEFAULT DATA'!$AJD$9:$AJK$41,START!$C$3,7)*INDEX('DEFAULT DATA'!$WC$9:$WI$41,START!$C$3,7)/1000000</f>
        <v>0</v>
      </c>
      <c r="BM201" s="123">
        <f>BM$136*INDEX('DEFAULT DATA'!$AJD$9:$AJK$41,START!$C$3,7)*INDEX('DEFAULT DATA'!$WC$9:$WI$41,START!$C$3,7)/1000000</f>
        <v>0</v>
      </c>
      <c r="BN201" s="123">
        <f>BN$136*INDEX('DEFAULT DATA'!$AJD$9:$AJK$41,START!$C$3,7)*INDEX('DEFAULT DATA'!$WC$9:$WI$41,START!$C$3,7)/1000000</f>
        <v>0</v>
      </c>
      <c r="BP201" s="375" t="str">
        <f t="shared" si="108"/>
        <v>Renewable</v>
      </c>
      <c r="BQ201" s="376" t="s">
        <v>1482</v>
      </c>
      <c r="BR201" s="377"/>
      <c r="BS201" s="377"/>
      <c r="BT201" s="377"/>
      <c r="BU201" s="377"/>
      <c r="BV201" s="377"/>
      <c r="BW201" s="377"/>
      <c r="BX201" s="377"/>
      <c r="BY201" s="377"/>
      <c r="BZ201" s="377"/>
      <c r="CA201" s="377"/>
      <c r="CB201" s="377"/>
      <c r="CC201" s="377"/>
      <c r="CD201" s="377"/>
      <c r="CE201" s="377"/>
      <c r="CF201" s="377"/>
      <c r="CG201" s="378"/>
      <c r="CH201" s="374" t="s">
        <v>1439</v>
      </c>
      <c r="CI201" s="374" t="s">
        <v>1251</v>
      </c>
    </row>
    <row r="202" spans="1:87" ht="20.100000000000001" customHeight="1" thickBot="1">
      <c r="A202" s="15"/>
      <c r="B202" s="630"/>
      <c r="C202" s="630"/>
      <c r="D202" s="630"/>
      <c r="E202" s="630"/>
      <c r="F202" s="630"/>
      <c r="G202" s="630"/>
      <c r="H202" s="630"/>
      <c r="I202" s="630"/>
      <c r="J202" s="630"/>
      <c r="K202" s="630"/>
      <c r="L202" s="630"/>
      <c r="M202" s="627"/>
      <c r="N202" s="630"/>
      <c r="O202" s="630"/>
      <c r="P202" s="630"/>
      <c r="Q202" s="630"/>
      <c r="R202" s="630"/>
      <c r="S202" s="630"/>
      <c r="T202" s="630"/>
      <c r="U202" s="630"/>
      <c r="V202" s="630"/>
      <c r="W202" s="630"/>
      <c r="X202" s="630"/>
      <c r="Y202" s="630"/>
      <c r="Z202" s="630"/>
      <c r="AA202" s="630"/>
      <c r="AB202" s="630"/>
      <c r="AC202" s="630"/>
      <c r="AD202" s="630"/>
      <c r="AE202" s="630"/>
      <c r="AF202" s="1558"/>
      <c r="AG202" s="329" t="s">
        <v>868</v>
      </c>
      <c r="AH202" s="330"/>
      <c r="AI202" s="330"/>
      <c r="AJ202" s="175"/>
      <c r="AK202" s="155">
        <v>0</v>
      </c>
      <c r="AL202" s="160">
        <f>AL$136*INDEX('DEFAULT DATA'!$AJD$9:$AJK$41,START!$C$3,8)*BUILDINGS!AL6/1000000</f>
        <v>0</v>
      </c>
      <c r="AM202" s="160">
        <f>AM$136*INDEX('DEFAULT DATA'!$AJD$9:$AJK$41,START!$C$3,8)*BUILDINGS!AM6/1000000</f>
        <v>0</v>
      </c>
      <c r="AN202" s="160">
        <f>AN$136*INDEX('DEFAULT DATA'!$AJD$9:$AJK$41,START!$C$3,8)*BUILDINGS!AN6/1000000</f>
        <v>0</v>
      </c>
      <c r="AO202" s="160">
        <f>AO$136*INDEX('DEFAULT DATA'!$AJD$9:$AJK$41,START!$C$3,8)*BUILDINGS!AO6/1000000</f>
        <v>0</v>
      </c>
      <c r="AP202" s="160">
        <f>AP$136*INDEX('DEFAULT DATA'!$AJD$9:$AJK$41,START!$C$3,8)*BUILDINGS!AP6/1000000</f>
        <v>0</v>
      </c>
      <c r="AQ202" s="160">
        <f>AQ$136*INDEX('DEFAULT DATA'!$AJD$9:$AJK$41,START!$C$3,8)*BUILDINGS!AQ6/1000000</f>
        <v>0</v>
      </c>
      <c r="AR202" s="160">
        <f>AR$136*INDEX('DEFAULT DATA'!$AJD$9:$AJK$41,START!$C$3,8)*BUILDINGS!AR6/1000000</f>
        <v>0</v>
      </c>
      <c r="AS202" s="160">
        <f>AS$136*INDEX('DEFAULT DATA'!$AJD$9:$AJK$41,START!$C$3,8)*BUILDINGS!AS6/1000000</f>
        <v>0</v>
      </c>
      <c r="AT202" s="160">
        <f>AT$136*INDEX('DEFAULT DATA'!$AJD$9:$AJK$41,START!$C$3,8)*BUILDINGS!AT6/1000000</f>
        <v>0</v>
      </c>
      <c r="AU202" s="160">
        <f>AU$136*INDEX('DEFAULT DATA'!$AJD$9:$AJK$41,START!$C$3,8)*BUILDINGS!AU6/1000000</f>
        <v>0</v>
      </c>
      <c r="AV202" s="160">
        <f>AV$136*INDEX('DEFAULT DATA'!$AJD$9:$AJK$41,START!$C$3,8)*BUILDINGS!AV6/1000000</f>
        <v>0</v>
      </c>
      <c r="AW202" s="160">
        <f>AW$136*INDEX('DEFAULT DATA'!$AJD$9:$AJK$41,START!$C$3,8)*BUILDINGS!AW6/1000000</f>
        <v>0</v>
      </c>
      <c r="AX202" s="160">
        <f>AX$136*INDEX('DEFAULT DATA'!$AJD$9:$AJK$41,START!$C$3,8)*BUILDINGS!AX6/1000000</f>
        <v>0</v>
      </c>
      <c r="AY202" s="160">
        <f>AY$136*INDEX('DEFAULT DATA'!$AJD$9:$AJK$41,START!$C$3,8)*BUILDINGS!AY6/1000000</f>
        <v>0</v>
      </c>
      <c r="AZ202" s="160">
        <f>AZ$136*INDEX('DEFAULT DATA'!$AJD$9:$AJK$41,START!$C$3,8)*BUILDINGS!AZ6/1000000</f>
        <v>0</v>
      </c>
      <c r="BA202" s="160">
        <f>BA$136*INDEX('DEFAULT DATA'!$AJD$9:$AJK$41,START!$C$3,8)*BUILDINGS!BA6/1000000</f>
        <v>0</v>
      </c>
      <c r="BB202" s="160">
        <f>BB$136*INDEX('DEFAULT DATA'!$AJD$9:$AJK$41,START!$C$3,8)*BUILDINGS!BB6/1000000</f>
        <v>0</v>
      </c>
      <c r="BC202" s="160">
        <f>BC$136*INDEX('DEFAULT DATA'!$AJD$9:$AJK$41,START!$C$3,8)*BUILDINGS!BC6/1000000</f>
        <v>0</v>
      </c>
      <c r="BD202" s="160">
        <f>BD$136*INDEX('DEFAULT DATA'!$AJD$9:$AJK$41,START!$C$3,8)*BUILDINGS!BD6/1000000</f>
        <v>0</v>
      </c>
      <c r="BE202" s="160">
        <f>BE$136*INDEX('DEFAULT DATA'!$AJD$9:$AJK$41,START!$C$3,8)*BUILDINGS!BE6/1000000</f>
        <v>0</v>
      </c>
      <c r="BF202" s="160">
        <f>BF$136*INDEX('DEFAULT DATA'!$AJD$9:$AJK$41,START!$C$3,8)*BUILDINGS!BF6/1000000</f>
        <v>0</v>
      </c>
      <c r="BG202" s="160">
        <f>BG$136*INDEX('DEFAULT DATA'!$AJD$9:$AJK$41,START!$C$3,8)*BUILDINGS!BG6/1000000</f>
        <v>0</v>
      </c>
      <c r="BH202" s="160">
        <f>BH$136*INDEX('DEFAULT DATA'!$AJD$9:$AJK$41,START!$C$3,8)*BUILDINGS!BH6/1000000</f>
        <v>0</v>
      </c>
      <c r="BI202" s="160">
        <f>BI$136*INDEX('DEFAULT DATA'!$AJD$9:$AJK$41,START!$C$3,8)*BUILDINGS!BI6/1000000</f>
        <v>0</v>
      </c>
      <c r="BJ202" s="160">
        <f>BJ$136*INDEX('DEFAULT DATA'!$AJD$9:$AJK$41,START!$C$3,8)*BUILDINGS!BJ6/1000000</f>
        <v>0</v>
      </c>
      <c r="BK202" s="160">
        <f>BK$136*INDEX('DEFAULT DATA'!$AJD$9:$AJK$41,START!$C$3,8)*BUILDINGS!BK6/1000000</f>
        <v>0</v>
      </c>
      <c r="BL202" s="160">
        <f>BL$136*INDEX('DEFAULT DATA'!$AJD$9:$AJK$41,START!$C$3,8)*BUILDINGS!BL6/1000000</f>
        <v>0</v>
      </c>
      <c r="BM202" s="160">
        <f>BM$136*INDEX('DEFAULT DATA'!$AJD$9:$AJK$41,START!$C$3,8)*BUILDINGS!BM6/1000000</f>
        <v>0</v>
      </c>
      <c r="BN202" s="160">
        <f>BN$136*INDEX('DEFAULT DATA'!$AJD$9:$AJK$41,START!$C$3,8)*BUILDINGS!BN6/1000000</f>
        <v>0</v>
      </c>
      <c r="BP202" s="379" t="str">
        <f t="shared" si="108"/>
        <v>Heat</v>
      </c>
      <c r="BQ202" s="380" t="s">
        <v>1483</v>
      </c>
      <c r="BR202" s="381"/>
      <c r="BS202" s="381"/>
      <c r="BT202" s="381"/>
      <c r="BU202" s="381"/>
      <c r="BV202" s="381"/>
      <c r="BW202" s="381"/>
      <c r="BX202" s="381"/>
      <c r="BY202" s="381"/>
      <c r="BZ202" s="381"/>
      <c r="CA202" s="381"/>
      <c r="CB202" s="381"/>
      <c r="CC202" s="381"/>
      <c r="CD202" s="381"/>
      <c r="CE202" s="381"/>
      <c r="CF202" s="381"/>
      <c r="CG202" s="382"/>
      <c r="CH202" s="374" t="s">
        <v>1440</v>
      </c>
      <c r="CI202" s="374" t="s">
        <v>1252</v>
      </c>
    </row>
    <row r="203" spans="1:87" ht="20.100000000000001" customHeight="1">
      <c r="A203" s="15"/>
      <c r="B203" s="630"/>
      <c r="C203" s="630"/>
      <c r="D203" s="630"/>
      <c r="E203" s="630"/>
      <c r="F203" s="630"/>
      <c r="G203" s="630"/>
      <c r="H203" s="630"/>
      <c r="I203" s="630"/>
      <c r="J203" s="630"/>
      <c r="K203" s="630"/>
      <c r="L203" s="630"/>
      <c r="M203" s="627"/>
      <c r="N203" s="630"/>
      <c r="O203" s="630"/>
      <c r="P203" s="630"/>
      <c r="Q203" s="630"/>
      <c r="R203" s="630"/>
      <c r="S203" s="630"/>
      <c r="T203" s="630"/>
      <c r="U203" s="630"/>
      <c r="V203" s="630"/>
      <c r="W203" s="630"/>
      <c r="X203" s="630"/>
      <c r="Y203" s="630"/>
      <c r="Z203" s="630"/>
      <c r="AA203" s="630"/>
      <c r="AB203" s="630"/>
      <c r="AC203" s="630"/>
      <c r="AD203" s="630"/>
      <c r="AE203" s="630"/>
      <c r="AF203" s="167"/>
      <c r="AG203" s="336" t="s">
        <v>211</v>
      </c>
      <c r="AH203" s="337"/>
      <c r="AI203" s="337"/>
      <c r="AJ203" s="338"/>
      <c r="AK203" s="151">
        <f>SUM(AK195:AK202)</f>
        <v>0</v>
      </c>
      <c r="AL203" s="162">
        <f t="shared" ref="AL203" si="109">SUM(AL195:AL202)</f>
        <v>137765.96378561738</v>
      </c>
      <c r="AM203" s="162">
        <f t="shared" ref="AM203:BN203" si="110">SUM(AM195:AM202)</f>
        <v>132765.89539104709</v>
      </c>
      <c r="AN203" s="162">
        <f t="shared" si="110"/>
        <v>128145.83219446409</v>
      </c>
      <c r="AO203" s="162">
        <f t="shared" si="110"/>
        <v>123876.89380082142</v>
      </c>
      <c r="AP203" s="162">
        <f t="shared" si="110"/>
        <v>119932.3947250956</v>
      </c>
      <c r="AQ203" s="162">
        <f t="shared" si="110"/>
        <v>116287.67757912494</v>
      </c>
      <c r="AR203" s="162">
        <f t="shared" si="110"/>
        <v>112919.95893624803</v>
      </c>
      <c r="AS203" s="162">
        <f t="shared" si="110"/>
        <v>109808.18691022978</v>
      </c>
      <c r="AT203" s="162">
        <f t="shared" si="110"/>
        <v>106932.90955818893</v>
      </c>
      <c r="AU203" s="162">
        <f t="shared" si="110"/>
        <v>104660.68379814189</v>
      </c>
      <c r="AV203" s="162">
        <f t="shared" si="110"/>
        <v>102536.15271249792</v>
      </c>
      <c r="AW203" s="162">
        <f t="shared" si="110"/>
        <v>100549.71614742081</v>
      </c>
      <c r="AX203" s="162">
        <f t="shared" si="110"/>
        <v>98692.3979590737</v>
      </c>
      <c r="AY203" s="162">
        <f t="shared" si="110"/>
        <v>96955.805452969158</v>
      </c>
      <c r="AZ203" s="162">
        <f t="shared" si="110"/>
        <v>95332.091459761417</v>
      </c>
      <c r="BA203" s="162">
        <f t="shared" si="110"/>
        <v>93813.918876112177</v>
      </c>
      <c r="BB203" s="162">
        <f t="shared" si="110"/>
        <v>92394.427510400143</v>
      </c>
      <c r="BC203" s="162">
        <f t="shared" si="110"/>
        <v>91067.203083459375</v>
      </c>
      <c r="BD203" s="162">
        <f t="shared" si="110"/>
        <v>89826.248244269766</v>
      </c>
      <c r="BE203" s="162">
        <f t="shared" si="110"/>
        <v>88665.955469627486</v>
      </c>
      <c r="BF203" s="162">
        <f t="shared" si="110"/>
        <v>87581.081725336946</v>
      </c>
      <c r="BG203" s="162">
        <f t="shared" si="110"/>
        <v>86566.724774425296</v>
      </c>
      <c r="BH203" s="162">
        <f t="shared" si="110"/>
        <v>85618.3010253229</v>
      </c>
      <c r="BI203" s="162">
        <f t="shared" si="110"/>
        <v>84731.524819912171</v>
      </c>
      <c r="BJ203" s="162">
        <f t="shared" si="110"/>
        <v>83902.389067853132</v>
      </c>
      <c r="BK203" s="162">
        <f t="shared" si="110"/>
        <v>83127.147139677923</v>
      </c>
      <c r="BL203" s="162">
        <f t="shared" si="110"/>
        <v>82402.295936834111</v>
      </c>
      <c r="BM203" s="162">
        <f t="shared" si="110"/>
        <v>81724.560062175136</v>
      </c>
      <c r="BN203" s="162">
        <f t="shared" si="110"/>
        <v>81090.877019369</v>
      </c>
      <c r="BQ203" s="6"/>
    </row>
    <row r="204" spans="1:87" ht="20.100000000000001" customHeight="1">
      <c r="A204" s="15"/>
      <c r="B204" s="630"/>
      <c r="C204" s="630"/>
      <c r="D204" s="630"/>
      <c r="E204" s="630"/>
      <c r="F204" s="630"/>
      <c r="G204" s="630"/>
      <c r="H204" s="630"/>
      <c r="I204" s="630"/>
      <c r="J204" s="630"/>
      <c r="K204" s="630"/>
      <c r="L204" s="630"/>
      <c r="M204" s="627"/>
      <c r="N204" s="630"/>
      <c r="O204" s="630"/>
      <c r="P204" s="630"/>
      <c r="Q204" s="630"/>
      <c r="R204" s="630"/>
      <c r="S204" s="630"/>
      <c r="T204" s="630"/>
      <c r="U204" s="630"/>
      <c r="V204" s="630"/>
      <c r="W204" s="630"/>
      <c r="X204" s="630"/>
      <c r="Y204" s="630"/>
      <c r="Z204" s="630"/>
      <c r="AA204" s="630"/>
      <c r="AB204" s="630"/>
      <c r="AC204" s="630"/>
      <c r="AD204" s="630"/>
      <c r="AE204" s="630"/>
      <c r="BQ204" s="6"/>
    </row>
    <row r="205" spans="1:87" ht="20.100000000000001" customHeight="1">
      <c r="A205" s="15"/>
      <c r="B205" s="630"/>
      <c r="C205" s="630"/>
      <c r="D205" s="630"/>
      <c r="E205" s="630"/>
      <c r="F205" s="630"/>
      <c r="G205" s="630"/>
      <c r="H205" s="630"/>
      <c r="I205" s="630"/>
      <c r="J205" s="630"/>
      <c r="K205" s="630"/>
      <c r="L205" s="630"/>
      <c r="M205" s="627"/>
      <c r="N205" s="630"/>
      <c r="O205" s="630"/>
      <c r="P205" s="630"/>
      <c r="Q205" s="630"/>
      <c r="R205" s="630"/>
      <c r="S205" s="630"/>
      <c r="T205" s="630"/>
      <c r="U205" s="630"/>
      <c r="V205" s="630"/>
      <c r="W205" s="630"/>
      <c r="X205" s="630"/>
      <c r="Y205" s="630"/>
      <c r="Z205" s="630"/>
      <c r="AA205" s="630"/>
      <c r="AB205" s="630"/>
      <c r="AC205" s="630"/>
      <c r="AD205" s="630"/>
      <c r="AE205" s="630"/>
      <c r="BQ205" s="6"/>
      <c r="CH205" s="1610" t="s">
        <v>1393</v>
      </c>
      <c r="CI205" s="225"/>
    </row>
    <row r="206" spans="1:87" ht="20.100000000000001" customHeight="1">
      <c r="A206" s="15"/>
      <c r="B206" s="630"/>
      <c r="C206" s="630"/>
      <c r="D206" s="630"/>
      <c r="E206" s="630"/>
      <c r="F206" s="630"/>
      <c r="G206" s="630"/>
      <c r="H206" s="630"/>
      <c r="I206" s="630"/>
      <c r="J206" s="630"/>
      <c r="K206" s="630"/>
      <c r="L206" s="630"/>
      <c r="M206" s="627"/>
      <c r="N206" s="630"/>
      <c r="O206" s="630"/>
      <c r="P206" s="630"/>
      <c r="Q206" s="630"/>
      <c r="R206" s="630"/>
      <c r="S206" s="630"/>
      <c r="T206" s="630"/>
      <c r="U206" s="630"/>
      <c r="V206" s="630"/>
      <c r="W206" s="630"/>
      <c r="X206" s="630"/>
      <c r="Y206" s="630"/>
      <c r="Z206" s="630"/>
      <c r="AA206" s="630"/>
      <c r="AB206" s="630"/>
      <c r="AC206" s="630"/>
      <c r="AD206" s="630"/>
      <c r="AE206" s="630"/>
      <c r="AF206" s="122" t="s">
        <v>1038</v>
      </c>
      <c r="BQ206" s="6"/>
      <c r="CH206" s="1610"/>
      <c r="CI206" s="225"/>
    </row>
    <row r="207" spans="1:87" ht="20.100000000000001" customHeight="1">
      <c r="A207" s="15"/>
      <c r="B207" s="630"/>
      <c r="C207" s="630"/>
      <c r="D207" s="630"/>
      <c r="E207" s="630"/>
      <c r="F207" s="630"/>
      <c r="G207" s="630"/>
      <c r="H207" s="630"/>
      <c r="I207" s="630"/>
      <c r="J207" s="630"/>
      <c r="K207" s="630"/>
      <c r="L207" s="630"/>
      <c r="M207" s="627"/>
      <c r="N207" s="630"/>
      <c r="O207" s="630"/>
      <c r="P207" s="630"/>
      <c r="Q207" s="630"/>
      <c r="R207" s="630"/>
      <c r="S207" s="630"/>
      <c r="T207" s="630"/>
      <c r="U207" s="630"/>
      <c r="V207" s="630"/>
      <c r="W207" s="630"/>
      <c r="X207" s="630"/>
      <c r="Y207" s="630"/>
      <c r="Z207" s="630"/>
      <c r="AA207" s="630"/>
      <c r="AB207" s="630"/>
      <c r="AC207" s="630"/>
      <c r="AD207" s="630"/>
      <c r="AE207" s="630"/>
      <c r="AF207" s="120" t="s">
        <v>1009</v>
      </c>
      <c r="AG207" s="339" t="s">
        <v>992</v>
      </c>
      <c r="AH207" s="317"/>
      <c r="AI207" s="317"/>
      <c r="AJ207" s="318"/>
      <c r="AK207" s="115">
        <v>2021</v>
      </c>
      <c r="AL207" s="115">
        <f>AK207+1</f>
        <v>2022</v>
      </c>
      <c r="AM207" s="115">
        <f t="shared" ref="AM207:BN207" si="111">AL207+1</f>
        <v>2023</v>
      </c>
      <c r="AN207" s="115">
        <f t="shared" si="111"/>
        <v>2024</v>
      </c>
      <c r="AO207" s="115">
        <f t="shared" si="111"/>
        <v>2025</v>
      </c>
      <c r="AP207" s="115">
        <f t="shared" si="111"/>
        <v>2026</v>
      </c>
      <c r="AQ207" s="115">
        <f t="shared" si="111"/>
        <v>2027</v>
      </c>
      <c r="AR207" s="115">
        <f t="shared" si="111"/>
        <v>2028</v>
      </c>
      <c r="AS207" s="115">
        <f t="shared" si="111"/>
        <v>2029</v>
      </c>
      <c r="AT207" s="115">
        <f t="shared" si="111"/>
        <v>2030</v>
      </c>
      <c r="AU207" s="115">
        <f t="shared" si="111"/>
        <v>2031</v>
      </c>
      <c r="AV207" s="115">
        <f t="shared" si="111"/>
        <v>2032</v>
      </c>
      <c r="AW207" s="115">
        <f t="shared" si="111"/>
        <v>2033</v>
      </c>
      <c r="AX207" s="115">
        <f t="shared" si="111"/>
        <v>2034</v>
      </c>
      <c r="AY207" s="115">
        <f t="shared" si="111"/>
        <v>2035</v>
      </c>
      <c r="AZ207" s="115">
        <f t="shared" si="111"/>
        <v>2036</v>
      </c>
      <c r="BA207" s="115">
        <f t="shared" si="111"/>
        <v>2037</v>
      </c>
      <c r="BB207" s="115">
        <f t="shared" si="111"/>
        <v>2038</v>
      </c>
      <c r="BC207" s="115">
        <f t="shared" si="111"/>
        <v>2039</v>
      </c>
      <c r="BD207" s="115">
        <f t="shared" si="111"/>
        <v>2040</v>
      </c>
      <c r="BE207" s="115">
        <f t="shared" si="111"/>
        <v>2041</v>
      </c>
      <c r="BF207" s="115">
        <f t="shared" si="111"/>
        <v>2042</v>
      </c>
      <c r="BG207" s="115">
        <f t="shared" si="111"/>
        <v>2043</v>
      </c>
      <c r="BH207" s="115">
        <f t="shared" si="111"/>
        <v>2044</v>
      </c>
      <c r="BI207" s="115">
        <f t="shared" si="111"/>
        <v>2045</v>
      </c>
      <c r="BJ207" s="115">
        <f t="shared" si="111"/>
        <v>2046</v>
      </c>
      <c r="BK207" s="115">
        <f t="shared" si="111"/>
        <v>2047</v>
      </c>
      <c r="BL207" s="115">
        <f t="shared" si="111"/>
        <v>2048</v>
      </c>
      <c r="BM207" s="115">
        <f t="shared" si="111"/>
        <v>2049</v>
      </c>
      <c r="BN207" s="115">
        <f t="shared" si="111"/>
        <v>2050</v>
      </c>
      <c r="BP207" s="6" t="s">
        <v>1404</v>
      </c>
      <c r="BQ207" s="6"/>
      <c r="CH207" s="228" t="s">
        <v>1395</v>
      </c>
      <c r="CI207" s="225" t="s">
        <v>1224</v>
      </c>
    </row>
    <row r="208" spans="1:87" ht="20.100000000000001" customHeight="1">
      <c r="A208" s="15"/>
      <c r="B208" s="630"/>
      <c r="C208" s="630"/>
      <c r="D208" s="630"/>
      <c r="E208" s="630"/>
      <c r="F208" s="630"/>
      <c r="G208" s="630"/>
      <c r="H208" s="630"/>
      <c r="I208" s="630"/>
      <c r="J208" s="630"/>
      <c r="K208" s="630"/>
      <c r="L208" s="630"/>
      <c r="M208" s="627"/>
      <c r="N208" s="630"/>
      <c r="O208" s="630"/>
      <c r="P208" s="630"/>
      <c r="Q208" s="630"/>
      <c r="R208" s="630"/>
      <c r="S208" s="630"/>
      <c r="T208" s="630"/>
      <c r="U208" s="630"/>
      <c r="V208" s="630"/>
      <c r="W208" s="630"/>
      <c r="X208" s="630"/>
      <c r="Y208" s="630"/>
      <c r="Z208" s="630"/>
      <c r="AA208" s="630"/>
      <c r="AB208" s="630"/>
      <c r="AC208" s="630"/>
      <c r="AD208" s="630"/>
      <c r="AE208" s="630"/>
      <c r="AF208" s="1556" t="s">
        <v>875</v>
      </c>
      <c r="AG208" s="339" t="s">
        <v>578</v>
      </c>
      <c r="AH208" s="317"/>
      <c r="AI208" s="317"/>
      <c r="AJ208" s="318"/>
      <c r="AK208" s="81">
        <v>0</v>
      </c>
      <c r="AL208" s="123">
        <f>AL$137*INDEX('DEFAULT DATA'!$AJL$9:$AJS$41,START!$C$3,1)*BUILDINGS!AL5/1000000</f>
        <v>3292.3159618980822</v>
      </c>
      <c r="AM208" s="123">
        <f>AM$137*INDEX('DEFAULT DATA'!$AJL$9:$AJS$41,START!$C$3,1)*BUILDINGS!AM5/1000000</f>
        <v>3042.0999487938284</v>
      </c>
      <c r="AN208" s="123">
        <f>AN$137*INDEX('DEFAULT DATA'!$AJL$9:$AJS$41,START!$C$3,1)*BUILDINGS!AN5/1000000</f>
        <v>2810.9003526854976</v>
      </c>
      <c r="AO208" s="123">
        <f>AO$137*INDEX('DEFAULT DATA'!$AJL$9:$AJS$41,START!$C$3,1)*BUILDINGS!AO5/1000000</f>
        <v>2597.2719258813995</v>
      </c>
      <c r="AP208" s="123">
        <f>AP$137*INDEX('DEFAULT DATA'!$AJL$9:$AJS$41,START!$C$3,1)*BUILDINGS!AP5/1000000</f>
        <v>2399.8792595144137</v>
      </c>
      <c r="AQ208" s="123">
        <f>AQ$137*INDEX('DEFAULT DATA'!$AJL$9:$AJS$41,START!$C$3,1)*BUILDINGS!AQ5/1000000</f>
        <v>2217.4884357913184</v>
      </c>
      <c r="AR208" s="123">
        <f>AR$137*INDEX('DEFAULT DATA'!$AJL$9:$AJS$41,START!$C$3,1)*BUILDINGS!AR5/1000000</f>
        <v>2048.9593146711782</v>
      </c>
      <c r="AS208" s="123">
        <f>AS$137*INDEX('DEFAULT DATA'!$AJL$9:$AJS$41,START!$C$3,1)*BUILDINGS!AS5/1000000</f>
        <v>1893.2384067561686</v>
      </c>
      <c r="AT208" s="123">
        <f>AT$137*INDEX('DEFAULT DATA'!$AJL$9:$AJS$41,START!$C$3,1)*BUILDINGS!AT5/1000000</f>
        <v>1749.3522878426998</v>
      </c>
      <c r="AU208" s="123">
        <f>AU$137*INDEX('DEFAULT DATA'!$AJL$9:$AJS$41,START!$C$3,1)*BUILDINGS!AU5/1000000</f>
        <v>1635.6443891329245</v>
      </c>
      <c r="AV208" s="123">
        <f>AV$137*INDEX('DEFAULT DATA'!$AJL$9:$AJS$41,START!$C$3,1)*BUILDINGS!AV5/1000000</f>
        <v>1529.3275038392846</v>
      </c>
      <c r="AW208" s="123">
        <f>AW$137*INDEX('DEFAULT DATA'!$AJL$9:$AJS$41,START!$C$3,1)*BUILDINGS!AW5/1000000</f>
        <v>1429.9212160897309</v>
      </c>
      <c r="AX208" s="123">
        <f>AX$137*INDEX('DEFAULT DATA'!$AJL$9:$AJS$41,START!$C$3,1)*BUILDINGS!AX5/1000000</f>
        <v>1336.9763370438986</v>
      </c>
      <c r="AY208" s="123">
        <f>AY$137*INDEX('DEFAULT DATA'!$AJL$9:$AJS$41,START!$C$3,1)*BUILDINGS!AY5/1000000</f>
        <v>1250.0728751360452</v>
      </c>
      <c r="AZ208" s="123">
        <f>AZ$137*INDEX('DEFAULT DATA'!$AJL$9:$AJS$41,START!$C$3,1)*BUILDINGS!AZ5/1000000</f>
        <v>1168.8181382522023</v>
      </c>
      <c r="BA208" s="123">
        <f>BA$137*INDEX('DEFAULT DATA'!$AJL$9:$AJS$41,START!$C$3,1)*BUILDINGS!BA5/1000000</f>
        <v>1092.8449592658094</v>
      </c>
      <c r="BB208" s="123">
        <f>BB$137*INDEX('DEFAULT DATA'!$AJL$9:$AJS$41,START!$C$3,1)*BUILDINGS!BB5/1000000</f>
        <v>1021.8100369135319</v>
      </c>
      <c r="BC208" s="123">
        <f>BC$137*INDEX('DEFAULT DATA'!$AJL$9:$AJS$41,START!$C$3,1)*BUILDINGS!BC5/1000000</f>
        <v>955.39238451415235</v>
      </c>
      <c r="BD208" s="123">
        <f>BD$137*INDEX('DEFAULT DATA'!$AJL$9:$AJS$41,START!$C$3,1)*BUILDINGS!BD5/1000000</f>
        <v>893.29187952073255</v>
      </c>
      <c r="BE208" s="123">
        <f>BE$137*INDEX('DEFAULT DATA'!$AJL$9:$AJS$41,START!$C$3,1)*BUILDINGS!BE5/1000000</f>
        <v>835.22790735188494</v>
      </c>
      <c r="BF208" s="123">
        <f>BF$137*INDEX('DEFAULT DATA'!$AJL$9:$AJS$41,START!$C$3,1)*BUILDINGS!BF5/1000000</f>
        <v>780.93809337401251</v>
      </c>
      <c r="BG208" s="123">
        <f>BG$137*INDEX('DEFAULT DATA'!$AJL$9:$AJS$41,START!$C$3,1)*BUILDINGS!BG5/1000000</f>
        <v>730.17711730470182</v>
      </c>
      <c r="BH208" s="123">
        <f>BH$137*INDEX('DEFAULT DATA'!$AJL$9:$AJS$41,START!$C$3,1)*BUILDINGS!BH5/1000000</f>
        <v>682.71560467989627</v>
      </c>
      <c r="BI208" s="123">
        <f>BI$137*INDEX('DEFAULT DATA'!$AJL$9:$AJS$41,START!$C$3,1)*BUILDINGS!BI5/1000000</f>
        <v>638.33909037570299</v>
      </c>
      <c r="BJ208" s="123">
        <f>BJ$137*INDEX('DEFAULT DATA'!$AJL$9:$AJS$41,START!$C$3,1)*BUILDINGS!BJ5/1000000</f>
        <v>596.8470495012823</v>
      </c>
      <c r="BK208" s="123">
        <f>BK$137*INDEX('DEFAULT DATA'!$AJL$9:$AJS$41,START!$C$3,1)*BUILDINGS!BK5/1000000</f>
        <v>558.05199128369907</v>
      </c>
      <c r="BL208" s="123">
        <f>BL$137*INDEX('DEFAULT DATA'!$AJL$9:$AJS$41,START!$C$3,1)*BUILDINGS!BL5/1000000</f>
        <v>521.77861185025859</v>
      </c>
      <c r="BM208" s="123">
        <f>BM$137*INDEX('DEFAULT DATA'!$AJL$9:$AJS$41,START!$C$3,1)*BUILDINGS!BM5/1000000</f>
        <v>487.86300207999182</v>
      </c>
      <c r="BN208" s="123">
        <f>BN$137*INDEX('DEFAULT DATA'!$AJL$9:$AJS$41,START!$C$3,1)*BUILDINGS!BN5/1000000</f>
        <v>456.15190694479236</v>
      </c>
      <c r="BP208" s="370" t="str">
        <f>AG208</f>
        <v>Electricity</v>
      </c>
      <c r="BQ208" s="371" t="s">
        <v>1497</v>
      </c>
      <c r="BR208" s="372"/>
      <c r="BS208" s="372"/>
      <c r="BT208" s="372"/>
      <c r="BU208" s="372"/>
      <c r="BV208" s="372"/>
      <c r="BW208" s="372"/>
      <c r="BX208" s="372"/>
      <c r="BY208" s="372"/>
      <c r="BZ208" s="372"/>
      <c r="CA208" s="372"/>
      <c r="CB208" s="372"/>
      <c r="CC208" s="372"/>
      <c r="CD208" s="372"/>
      <c r="CE208" s="372"/>
      <c r="CF208" s="372"/>
      <c r="CG208" s="373"/>
      <c r="CH208" s="374" t="s">
        <v>1441</v>
      </c>
      <c r="CI208" s="374" t="s">
        <v>1225</v>
      </c>
    </row>
    <row r="209" spans="1:87" ht="20.100000000000001" customHeight="1">
      <c r="A209" s="15"/>
      <c r="B209" s="630"/>
      <c r="C209" s="630"/>
      <c r="D209" s="630"/>
      <c r="E209" s="630"/>
      <c r="F209" s="630"/>
      <c r="G209" s="630"/>
      <c r="H209" s="630"/>
      <c r="I209" s="630"/>
      <c r="J209" s="630"/>
      <c r="K209" s="630"/>
      <c r="L209" s="630"/>
      <c r="M209" s="627"/>
      <c r="N209" s="630"/>
      <c r="O209" s="630"/>
      <c r="P209" s="630"/>
      <c r="Q209" s="630"/>
      <c r="R209" s="630"/>
      <c r="S209" s="630"/>
      <c r="T209" s="630"/>
      <c r="U209" s="630"/>
      <c r="V209" s="630"/>
      <c r="W209" s="630"/>
      <c r="X209" s="630"/>
      <c r="Y209" s="630"/>
      <c r="Z209" s="630"/>
      <c r="AA209" s="630"/>
      <c r="AB209" s="630"/>
      <c r="AC209" s="630"/>
      <c r="AD209" s="630"/>
      <c r="AE209" s="630"/>
      <c r="AF209" s="1557"/>
      <c r="AG209" s="339" t="s">
        <v>862</v>
      </c>
      <c r="AH209" s="317"/>
      <c r="AI209" s="317"/>
      <c r="AJ209" s="318"/>
      <c r="AK209" s="81">
        <v>0</v>
      </c>
      <c r="AL209" s="123">
        <f>AL$137*INDEX('DEFAULT DATA'!$AJL$9:$AJS$41,START!$C$3,2)*INDEX('DEFAULT DATA'!$WC$9:$WI$41,START!$C$3,2)/1000000</f>
        <v>215.52296069999997</v>
      </c>
      <c r="AM209" s="123">
        <f>AM$137*INDEX('DEFAULT DATA'!$AJL$9:$AJS$41,START!$C$3,2)*INDEX('DEFAULT DATA'!$WC$9:$WI$41,START!$C$3,2)/1000000</f>
        <v>215.52296069999997</v>
      </c>
      <c r="AN209" s="123">
        <f>AN$137*INDEX('DEFAULT DATA'!$AJL$9:$AJS$41,START!$C$3,2)*INDEX('DEFAULT DATA'!$WC$9:$WI$41,START!$C$3,2)/1000000</f>
        <v>215.52296069999997</v>
      </c>
      <c r="AO209" s="123">
        <f>AO$137*INDEX('DEFAULT DATA'!$AJL$9:$AJS$41,START!$C$3,2)*INDEX('DEFAULT DATA'!$WC$9:$WI$41,START!$C$3,2)/1000000</f>
        <v>215.52296069999997</v>
      </c>
      <c r="AP209" s="123">
        <f>AP$137*INDEX('DEFAULT DATA'!$AJL$9:$AJS$41,START!$C$3,2)*INDEX('DEFAULT DATA'!$WC$9:$WI$41,START!$C$3,2)/1000000</f>
        <v>215.52296069999997</v>
      </c>
      <c r="AQ209" s="123">
        <f>AQ$137*INDEX('DEFAULT DATA'!$AJL$9:$AJS$41,START!$C$3,2)*INDEX('DEFAULT DATA'!$WC$9:$WI$41,START!$C$3,2)/1000000</f>
        <v>215.52296069999997</v>
      </c>
      <c r="AR209" s="123">
        <f>AR$137*INDEX('DEFAULT DATA'!$AJL$9:$AJS$41,START!$C$3,2)*INDEX('DEFAULT DATA'!$WC$9:$WI$41,START!$C$3,2)/1000000</f>
        <v>215.52296069999997</v>
      </c>
      <c r="AS209" s="123">
        <f>AS$137*INDEX('DEFAULT DATA'!$AJL$9:$AJS$41,START!$C$3,2)*INDEX('DEFAULT DATA'!$WC$9:$WI$41,START!$C$3,2)/1000000</f>
        <v>215.52296069999997</v>
      </c>
      <c r="AT209" s="123">
        <f>AT$137*INDEX('DEFAULT DATA'!$AJL$9:$AJS$41,START!$C$3,2)*INDEX('DEFAULT DATA'!$WC$9:$WI$41,START!$C$3,2)/1000000</f>
        <v>215.52296069999997</v>
      </c>
      <c r="AU209" s="123">
        <f>AU$137*INDEX('DEFAULT DATA'!$AJL$9:$AJS$41,START!$C$3,2)*INDEX('DEFAULT DATA'!$WC$9:$WI$41,START!$C$3,2)/1000000</f>
        <v>215.52296069999997</v>
      </c>
      <c r="AV209" s="123">
        <f>AV$137*INDEX('DEFAULT DATA'!$AJL$9:$AJS$41,START!$C$3,2)*INDEX('DEFAULT DATA'!$WC$9:$WI$41,START!$C$3,2)/1000000</f>
        <v>215.52296069999997</v>
      </c>
      <c r="AW209" s="123">
        <f>AW$137*INDEX('DEFAULT DATA'!$AJL$9:$AJS$41,START!$C$3,2)*INDEX('DEFAULT DATA'!$WC$9:$WI$41,START!$C$3,2)/1000000</f>
        <v>215.52296069999997</v>
      </c>
      <c r="AX209" s="123">
        <f>AX$137*INDEX('DEFAULT DATA'!$AJL$9:$AJS$41,START!$C$3,2)*INDEX('DEFAULT DATA'!$WC$9:$WI$41,START!$C$3,2)/1000000</f>
        <v>215.52296069999997</v>
      </c>
      <c r="AY209" s="123">
        <f>AY$137*INDEX('DEFAULT DATA'!$AJL$9:$AJS$41,START!$C$3,2)*INDEX('DEFAULT DATA'!$WC$9:$WI$41,START!$C$3,2)/1000000</f>
        <v>215.52296069999997</v>
      </c>
      <c r="AZ209" s="123">
        <f>AZ$137*INDEX('DEFAULT DATA'!$AJL$9:$AJS$41,START!$C$3,2)*INDEX('DEFAULT DATA'!$WC$9:$WI$41,START!$C$3,2)/1000000</f>
        <v>215.52296069999997</v>
      </c>
      <c r="BA209" s="123">
        <f>BA$137*INDEX('DEFAULT DATA'!$AJL$9:$AJS$41,START!$C$3,2)*INDEX('DEFAULT DATA'!$WC$9:$WI$41,START!$C$3,2)/1000000</f>
        <v>215.52296069999997</v>
      </c>
      <c r="BB209" s="123">
        <f>BB$137*INDEX('DEFAULT DATA'!$AJL$9:$AJS$41,START!$C$3,2)*INDEX('DEFAULT DATA'!$WC$9:$WI$41,START!$C$3,2)/1000000</f>
        <v>215.52296069999997</v>
      </c>
      <c r="BC209" s="123">
        <f>BC$137*INDEX('DEFAULT DATA'!$AJL$9:$AJS$41,START!$C$3,2)*INDEX('DEFAULT DATA'!$WC$9:$WI$41,START!$C$3,2)/1000000</f>
        <v>215.52296069999997</v>
      </c>
      <c r="BD209" s="123">
        <f>BD$137*INDEX('DEFAULT DATA'!$AJL$9:$AJS$41,START!$C$3,2)*INDEX('DEFAULT DATA'!$WC$9:$WI$41,START!$C$3,2)/1000000</f>
        <v>215.52296069999997</v>
      </c>
      <c r="BE209" s="123">
        <f>BE$137*INDEX('DEFAULT DATA'!$AJL$9:$AJS$41,START!$C$3,2)*INDEX('DEFAULT DATA'!$WC$9:$WI$41,START!$C$3,2)/1000000</f>
        <v>215.52296069999997</v>
      </c>
      <c r="BF209" s="123">
        <f>BF$137*INDEX('DEFAULT DATA'!$AJL$9:$AJS$41,START!$C$3,2)*INDEX('DEFAULT DATA'!$WC$9:$WI$41,START!$C$3,2)/1000000</f>
        <v>215.52296069999997</v>
      </c>
      <c r="BG209" s="123">
        <f>BG$137*INDEX('DEFAULT DATA'!$AJL$9:$AJS$41,START!$C$3,2)*INDEX('DEFAULT DATA'!$WC$9:$WI$41,START!$C$3,2)/1000000</f>
        <v>215.52296069999997</v>
      </c>
      <c r="BH209" s="123">
        <f>BH$137*INDEX('DEFAULT DATA'!$AJL$9:$AJS$41,START!$C$3,2)*INDEX('DEFAULT DATA'!$WC$9:$WI$41,START!$C$3,2)/1000000</f>
        <v>215.52296069999997</v>
      </c>
      <c r="BI209" s="123">
        <f>BI$137*INDEX('DEFAULT DATA'!$AJL$9:$AJS$41,START!$C$3,2)*INDEX('DEFAULT DATA'!$WC$9:$WI$41,START!$C$3,2)/1000000</f>
        <v>215.52296069999997</v>
      </c>
      <c r="BJ209" s="123">
        <f>BJ$137*INDEX('DEFAULT DATA'!$AJL$9:$AJS$41,START!$C$3,2)*INDEX('DEFAULT DATA'!$WC$9:$WI$41,START!$C$3,2)/1000000</f>
        <v>215.52296069999997</v>
      </c>
      <c r="BK209" s="123">
        <f>BK$137*INDEX('DEFAULT DATA'!$AJL$9:$AJS$41,START!$C$3,2)*INDEX('DEFAULT DATA'!$WC$9:$WI$41,START!$C$3,2)/1000000</f>
        <v>215.52296069999997</v>
      </c>
      <c r="BL209" s="123">
        <f>BL$137*INDEX('DEFAULT DATA'!$AJL$9:$AJS$41,START!$C$3,2)*INDEX('DEFAULT DATA'!$WC$9:$WI$41,START!$C$3,2)/1000000</f>
        <v>215.52296069999997</v>
      </c>
      <c r="BM209" s="123">
        <f>BM$137*INDEX('DEFAULT DATA'!$AJL$9:$AJS$41,START!$C$3,2)*INDEX('DEFAULT DATA'!$WC$9:$WI$41,START!$C$3,2)/1000000</f>
        <v>215.52296069999997</v>
      </c>
      <c r="BN209" s="123">
        <f>BN$137*INDEX('DEFAULT DATA'!$AJL$9:$AJS$41,START!$C$3,2)*INDEX('DEFAULT DATA'!$WC$9:$WI$41,START!$C$3,2)/1000000</f>
        <v>215.52296069999997</v>
      </c>
      <c r="BP209" s="375" t="str">
        <f t="shared" ref="BP209:BP215" si="112">AG209</f>
        <v>Gas</v>
      </c>
      <c r="BQ209" s="376" t="s">
        <v>1484</v>
      </c>
      <c r="BR209" s="377"/>
      <c r="BS209" s="377"/>
      <c r="BT209" s="377"/>
      <c r="BU209" s="377"/>
      <c r="BV209" s="377"/>
      <c r="BW209" s="377"/>
      <c r="BX209" s="377"/>
      <c r="BY209" s="377"/>
      <c r="BZ209" s="377"/>
      <c r="CA209" s="377"/>
      <c r="CB209" s="377"/>
      <c r="CC209" s="377"/>
      <c r="CD209" s="377"/>
      <c r="CE209" s="377"/>
      <c r="CF209" s="377"/>
      <c r="CG209" s="378"/>
      <c r="CH209" s="374" t="s">
        <v>1442</v>
      </c>
      <c r="CI209" s="374" t="s">
        <v>886</v>
      </c>
    </row>
    <row r="210" spans="1:87" ht="20.100000000000001" customHeight="1">
      <c r="A210" s="15"/>
      <c r="B210" s="630"/>
      <c r="C210" s="630"/>
      <c r="D210" s="630"/>
      <c r="E210" s="630"/>
      <c r="F210" s="630"/>
      <c r="G210" s="630"/>
      <c r="H210" s="630"/>
      <c r="I210" s="630"/>
      <c r="J210" s="630"/>
      <c r="K210" s="630"/>
      <c r="L210" s="630"/>
      <c r="M210" s="627"/>
      <c r="N210" s="630"/>
      <c r="O210" s="630"/>
      <c r="P210" s="630"/>
      <c r="Q210" s="630"/>
      <c r="R210" s="630"/>
      <c r="S210" s="630"/>
      <c r="T210" s="630"/>
      <c r="U210" s="630"/>
      <c r="V210" s="630"/>
      <c r="W210" s="630"/>
      <c r="X210" s="630"/>
      <c r="Y210" s="630"/>
      <c r="Z210" s="630"/>
      <c r="AA210" s="630"/>
      <c r="AB210" s="630"/>
      <c r="AC210" s="630"/>
      <c r="AD210" s="630"/>
      <c r="AE210" s="630"/>
      <c r="AF210" s="1557"/>
      <c r="AG210" s="339" t="s">
        <v>863</v>
      </c>
      <c r="AH210" s="317"/>
      <c r="AI210" s="317"/>
      <c r="AJ210" s="318"/>
      <c r="AK210" s="81">
        <v>0</v>
      </c>
      <c r="AL210" s="123">
        <f>AL$137*INDEX('DEFAULT DATA'!$AJL$9:$AJS$41,START!$C$3,3)*INDEX('DEFAULT DATA'!$WC$9:$WI$41,START!$C$3,3)/1000000</f>
        <v>237.36813173999997</v>
      </c>
      <c r="AM210" s="123">
        <f>AM$137*INDEX('DEFAULT DATA'!$AJL$9:$AJS$41,START!$C$3,3)*INDEX('DEFAULT DATA'!$WC$9:$WI$41,START!$C$3,3)/1000000</f>
        <v>237.36813173999997</v>
      </c>
      <c r="AN210" s="123">
        <f>AN$137*INDEX('DEFAULT DATA'!$AJL$9:$AJS$41,START!$C$3,3)*INDEX('DEFAULT DATA'!$WC$9:$WI$41,START!$C$3,3)/1000000</f>
        <v>237.36813173999997</v>
      </c>
      <c r="AO210" s="123">
        <f>AO$137*INDEX('DEFAULT DATA'!$AJL$9:$AJS$41,START!$C$3,3)*INDEX('DEFAULT DATA'!$WC$9:$WI$41,START!$C$3,3)/1000000</f>
        <v>237.36813173999997</v>
      </c>
      <c r="AP210" s="123">
        <f>AP$137*INDEX('DEFAULT DATA'!$AJL$9:$AJS$41,START!$C$3,3)*INDEX('DEFAULT DATA'!$WC$9:$WI$41,START!$C$3,3)/1000000</f>
        <v>237.36813173999997</v>
      </c>
      <c r="AQ210" s="123">
        <f>AQ$137*INDEX('DEFAULT DATA'!$AJL$9:$AJS$41,START!$C$3,3)*INDEX('DEFAULT DATA'!$WC$9:$WI$41,START!$C$3,3)/1000000</f>
        <v>237.36813173999997</v>
      </c>
      <c r="AR210" s="123">
        <f>AR$137*INDEX('DEFAULT DATA'!$AJL$9:$AJS$41,START!$C$3,3)*INDEX('DEFAULT DATA'!$WC$9:$WI$41,START!$C$3,3)/1000000</f>
        <v>237.36813173999997</v>
      </c>
      <c r="AS210" s="123">
        <f>AS$137*INDEX('DEFAULT DATA'!$AJL$9:$AJS$41,START!$C$3,3)*INDEX('DEFAULT DATA'!$WC$9:$WI$41,START!$C$3,3)/1000000</f>
        <v>237.36813173999997</v>
      </c>
      <c r="AT210" s="123">
        <f>AT$137*INDEX('DEFAULT DATA'!$AJL$9:$AJS$41,START!$C$3,3)*INDEX('DEFAULT DATA'!$WC$9:$WI$41,START!$C$3,3)/1000000</f>
        <v>237.36813173999997</v>
      </c>
      <c r="AU210" s="123">
        <f>AU$137*INDEX('DEFAULT DATA'!$AJL$9:$AJS$41,START!$C$3,3)*INDEX('DEFAULT DATA'!$WC$9:$WI$41,START!$C$3,3)/1000000</f>
        <v>237.36813173999997</v>
      </c>
      <c r="AV210" s="123">
        <f>AV$137*INDEX('DEFAULT DATA'!$AJL$9:$AJS$41,START!$C$3,3)*INDEX('DEFAULT DATA'!$WC$9:$WI$41,START!$C$3,3)/1000000</f>
        <v>237.36813173999997</v>
      </c>
      <c r="AW210" s="123">
        <f>AW$137*INDEX('DEFAULT DATA'!$AJL$9:$AJS$41,START!$C$3,3)*INDEX('DEFAULT DATA'!$WC$9:$WI$41,START!$C$3,3)/1000000</f>
        <v>237.36813173999997</v>
      </c>
      <c r="AX210" s="123">
        <f>AX$137*INDEX('DEFAULT DATA'!$AJL$9:$AJS$41,START!$C$3,3)*INDEX('DEFAULT DATA'!$WC$9:$WI$41,START!$C$3,3)/1000000</f>
        <v>237.36813173999997</v>
      </c>
      <c r="AY210" s="123">
        <f>AY$137*INDEX('DEFAULT DATA'!$AJL$9:$AJS$41,START!$C$3,3)*INDEX('DEFAULT DATA'!$WC$9:$WI$41,START!$C$3,3)/1000000</f>
        <v>237.36813173999997</v>
      </c>
      <c r="AZ210" s="123">
        <f>AZ$137*INDEX('DEFAULT DATA'!$AJL$9:$AJS$41,START!$C$3,3)*INDEX('DEFAULT DATA'!$WC$9:$WI$41,START!$C$3,3)/1000000</f>
        <v>237.36813173999997</v>
      </c>
      <c r="BA210" s="123">
        <f>BA$137*INDEX('DEFAULT DATA'!$AJL$9:$AJS$41,START!$C$3,3)*INDEX('DEFAULT DATA'!$WC$9:$WI$41,START!$C$3,3)/1000000</f>
        <v>237.36813173999997</v>
      </c>
      <c r="BB210" s="123">
        <f>BB$137*INDEX('DEFAULT DATA'!$AJL$9:$AJS$41,START!$C$3,3)*INDEX('DEFAULT DATA'!$WC$9:$WI$41,START!$C$3,3)/1000000</f>
        <v>237.36813173999997</v>
      </c>
      <c r="BC210" s="123">
        <f>BC$137*INDEX('DEFAULT DATA'!$AJL$9:$AJS$41,START!$C$3,3)*INDEX('DEFAULT DATA'!$WC$9:$WI$41,START!$C$3,3)/1000000</f>
        <v>237.36813173999997</v>
      </c>
      <c r="BD210" s="123">
        <f>BD$137*INDEX('DEFAULT DATA'!$AJL$9:$AJS$41,START!$C$3,3)*INDEX('DEFAULT DATA'!$WC$9:$WI$41,START!$C$3,3)/1000000</f>
        <v>237.36813173999997</v>
      </c>
      <c r="BE210" s="123">
        <f>BE$137*INDEX('DEFAULT DATA'!$AJL$9:$AJS$41,START!$C$3,3)*INDEX('DEFAULT DATA'!$WC$9:$WI$41,START!$C$3,3)/1000000</f>
        <v>237.36813173999997</v>
      </c>
      <c r="BF210" s="123">
        <f>BF$137*INDEX('DEFAULT DATA'!$AJL$9:$AJS$41,START!$C$3,3)*INDEX('DEFAULT DATA'!$WC$9:$WI$41,START!$C$3,3)/1000000</f>
        <v>237.36813173999997</v>
      </c>
      <c r="BG210" s="123">
        <f>BG$137*INDEX('DEFAULT DATA'!$AJL$9:$AJS$41,START!$C$3,3)*INDEX('DEFAULT DATA'!$WC$9:$WI$41,START!$C$3,3)/1000000</f>
        <v>237.36813173999997</v>
      </c>
      <c r="BH210" s="123">
        <f>BH$137*INDEX('DEFAULT DATA'!$AJL$9:$AJS$41,START!$C$3,3)*INDEX('DEFAULT DATA'!$WC$9:$WI$41,START!$C$3,3)/1000000</f>
        <v>237.36813173999997</v>
      </c>
      <c r="BI210" s="123">
        <f>BI$137*INDEX('DEFAULT DATA'!$AJL$9:$AJS$41,START!$C$3,3)*INDEX('DEFAULT DATA'!$WC$9:$WI$41,START!$C$3,3)/1000000</f>
        <v>237.36813173999997</v>
      </c>
      <c r="BJ210" s="123">
        <f>BJ$137*INDEX('DEFAULT DATA'!$AJL$9:$AJS$41,START!$C$3,3)*INDEX('DEFAULT DATA'!$WC$9:$WI$41,START!$C$3,3)/1000000</f>
        <v>237.36813173999997</v>
      </c>
      <c r="BK210" s="123">
        <f>BK$137*INDEX('DEFAULT DATA'!$AJL$9:$AJS$41,START!$C$3,3)*INDEX('DEFAULT DATA'!$WC$9:$WI$41,START!$C$3,3)/1000000</f>
        <v>237.36813173999997</v>
      </c>
      <c r="BL210" s="123">
        <f>BL$137*INDEX('DEFAULT DATA'!$AJL$9:$AJS$41,START!$C$3,3)*INDEX('DEFAULT DATA'!$WC$9:$WI$41,START!$C$3,3)/1000000</f>
        <v>237.36813173999997</v>
      </c>
      <c r="BM210" s="123">
        <f>BM$137*INDEX('DEFAULT DATA'!$AJL$9:$AJS$41,START!$C$3,3)*INDEX('DEFAULT DATA'!$WC$9:$WI$41,START!$C$3,3)/1000000</f>
        <v>237.36813173999997</v>
      </c>
      <c r="BN210" s="123">
        <f>BN$137*INDEX('DEFAULT DATA'!$AJL$9:$AJS$41,START!$C$3,3)*INDEX('DEFAULT DATA'!$WC$9:$WI$41,START!$C$3,3)/1000000</f>
        <v>237.36813173999997</v>
      </c>
      <c r="BP210" s="375" t="str">
        <f t="shared" si="112"/>
        <v>Oil</v>
      </c>
      <c r="BQ210" s="376" t="s">
        <v>1485</v>
      </c>
      <c r="BR210" s="377"/>
      <c r="BS210" s="377"/>
      <c r="BT210" s="377"/>
      <c r="BU210" s="377"/>
      <c r="BV210" s="377"/>
      <c r="BW210" s="377"/>
      <c r="BX210" s="377"/>
      <c r="BY210" s="377"/>
      <c r="BZ210" s="377"/>
      <c r="CA210" s="377"/>
      <c r="CB210" s="377"/>
      <c r="CC210" s="377"/>
      <c r="CD210" s="377"/>
      <c r="CE210" s="377"/>
      <c r="CF210" s="377"/>
      <c r="CG210" s="378"/>
      <c r="CH210" s="374" t="s">
        <v>1443</v>
      </c>
      <c r="CI210" s="374" t="s">
        <v>1247</v>
      </c>
    </row>
    <row r="211" spans="1:87" ht="20.100000000000001" customHeight="1">
      <c r="A211" s="15"/>
      <c r="B211" s="630"/>
      <c r="C211" s="630"/>
      <c r="D211" s="630"/>
      <c r="E211" s="630"/>
      <c r="F211" s="630"/>
      <c r="G211" s="630"/>
      <c r="H211" s="630"/>
      <c r="I211" s="630"/>
      <c r="J211" s="630"/>
      <c r="K211" s="630"/>
      <c r="L211" s="630"/>
      <c r="M211" s="627"/>
      <c r="N211" s="630"/>
      <c r="O211" s="630"/>
      <c r="P211" s="630"/>
      <c r="Q211" s="630"/>
      <c r="R211" s="630"/>
      <c r="S211" s="630"/>
      <c r="T211" s="630"/>
      <c r="U211" s="630"/>
      <c r="V211" s="630"/>
      <c r="W211" s="630"/>
      <c r="X211" s="630"/>
      <c r="Y211" s="630"/>
      <c r="Z211" s="630"/>
      <c r="AA211" s="630"/>
      <c r="AB211" s="630"/>
      <c r="AC211" s="630"/>
      <c r="AD211" s="630"/>
      <c r="AE211" s="630"/>
      <c r="AF211" s="1557"/>
      <c r="AG211" s="339" t="s">
        <v>864</v>
      </c>
      <c r="AH211" s="317"/>
      <c r="AI211" s="317"/>
      <c r="AJ211" s="318"/>
      <c r="AK211" s="81">
        <v>0</v>
      </c>
      <c r="AL211" s="123">
        <f>AL$137*INDEX('DEFAULT DATA'!$AJL$9:$AJS$41,START!$C$3,4)*INDEX('DEFAULT DATA'!$WC$9:$WI$41,START!$C$3,4)/1000000</f>
        <v>0</v>
      </c>
      <c r="AM211" s="123">
        <f>AM$137*INDEX('DEFAULT DATA'!$AJL$9:$AJS$41,START!$C$3,4)*INDEX('DEFAULT DATA'!$WC$9:$WI$41,START!$C$3,4)/1000000</f>
        <v>0</v>
      </c>
      <c r="AN211" s="123">
        <f>AN$137*INDEX('DEFAULT DATA'!$AJL$9:$AJS$41,START!$C$3,4)*INDEX('DEFAULT DATA'!$WC$9:$WI$41,START!$C$3,4)/1000000</f>
        <v>0</v>
      </c>
      <c r="AO211" s="123">
        <f>AO$137*INDEX('DEFAULT DATA'!$AJL$9:$AJS$41,START!$C$3,4)*INDEX('DEFAULT DATA'!$WC$9:$WI$41,START!$C$3,4)/1000000</f>
        <v>0</v>
      </c>
      <c r="AP211" s="123">
        <f>AP$137*INDEX('DEFAULT DATA'!$AJL$9:$AJS$41,START!$C$3,4)*INDEX('DEFAULT DATA'!$WC$9:$WI$41,START!$C$3,4)/1000000</f>
        <v>0</v>
      </c>
      <c r="AQ211" s="123">
        <f>AQ$137*INDEX('DEFAULT DATA'!$AJL$9:$AJS$41,START!$C$3,4)*INDEX('DEFAULT DATA'!$WC$9:$WI$41,START!$C$3,4)/1000000</f>
        <v>0</v>
      </c>
      <c r="AR211" s="123">
        <f>AR$137*INDEX('DEFAULT DATA'!$AJL$9:$AJS$41,START!$C$3,4)*INDEX('DEFAULT DATA'!$WC$9:$WI$41,START!$C$3,4)/1000000</f>
        <v>0</v>
      </c>
      <c r="AS211" s="123">
        <f>AS$137*INDEX('DEFAULT DATA'!$AJL$9:$AJS$41,START!$C$3,4)*INDEX('DEFAULT DATA'!$WC$9:$WI$41,START!$C$3,4)/1000000</f>
        <v>0</v>
      </c>
      <c r="AT211" s="123">
        <f>AT$137*INDEX('DEFAULT DATA'!$AJL$9:$AJS$41,START!$C$3,4)*INDEX('DEFAULT DATA'!$WC$9:$WI$41,START!$C$3,4)/1000000</f>
        <v>0</v>
      </c>
      <c r="AU211" s="123">
        <f>AU$137*INDEX('DEFAULT DATA'!$AJL$9:$AJS$41,START!$C$3,4)*INDEX('DEFAULT DATA'!$WC$9:$WI$41,START!$C$3,4)/1000000</f>
        <v>0</v>
      </c>
      <c r="AV211" s="123">
        <f>AV$137*INDEX('DEFAULT DATA'!$AJL$9:$AJS$41,START!$C$3,4)*INDEX('DEFAULT DATA'!$WC$9:$WI$41,START!$C$3,4)/1000000</f>
        <v>0</v>
      </c>
      <c r="AW211" s="123">
        <f>AW$137*INDEX('DEFAULT DATA'!$AJL$9:$AJS$41,START!$C$3,4)*INDEX('DEFAULT DATA'!$WC$9:$WI$41,START!$C$3,4)/1000000</f>
        <v>0</v>
      </c>
      <c r="AX211" s="123">
        <f>AX$137*INDEX('DEFAULT DATA'!$AJL$9:$AJS$41,START!$C$3,4)*INDEX('DEFAULT DATA'!$WC$9:$WI$41,START!$C$3,4)/1000000</f>
        <v>0</v>
      </c>
      <c r="AY211" s="123">
        <f>AY$137*INDEX('DEFAULT DATA'!$AJL$9:$AJS$41,START!$C$3,4)*INDEX('DEFAULT DATA'!$WC$9:$WI$41,START!$C$3,4)/1000000</f>
        <v>0</v>
      </c>
      <c r="AZ211" s="123">
        <f>AZ$137*INDEX('DEFAULT DATA'!$AJL$9:$AJS$41,START!$C$3,4)*INDEX('DEFAULT DATA'!$WC$9:$WI$41,START!$C$3,4)/1000000</f>
        <v>0</v>
      </c>
      <c r="BA211" s="123">
        <f>BA$137*INDEX('DEFAULT DATA'!$AJL$9:$AJS$41,START!$C$3,4)*INDEX('DEFAULT DATA'!$WC$9:$WI$41,START!$C$3,4)/1000000</f>
        <v>0</v>
      </c>
      <c r="BB211" s="123">
        <f>BB$137*INDEX('DEFAULT DATA'!$AJL$9:$AJS$41,START!$C$3,4)*INDEX('DEFAULT DATA'!$WC$9:$WI$41,START!$C$3,4)/1000000</f>
        <v>0</v>
      </c>
      <c r="BC211" s="123">
        <f>BC$137*INDEX('DEFAULT DATA'!$AJL$9:$AJS$41,START!$C$3,4)*INDEX('DEFAULT DATA'!$WC$9:$WI$41,START!$C$3,4)/1000000</f>
        <v>0</v>
      </c>
      <c r="BD211" s="123">
        <f>BD$137*INDEX('DEFAULT DATA'!$AJL$9:$AJS$41,START!$C$3,4)*INDEX('DEFAULT DATA'!$WC$9:$WI$41,START!$C$3,4)/1000000</f>
        <v>0</v>
      </c>
      <c r="BE211" s="123">
        <f>BE$137*INDEX('DEFAULT DATA'!$AJL$9:$AJS$41,START!$C$3,4)*INDEX('DEFAULT DATA'!$WC$9:$WI$41,START!$C$3,4)/1000000</f>
        <v>0</v>
      </c>
      <c r="BF211" s="123">
        <f>BF$137*INDEX('DEFAULT DATA'!$AJL$9:$AJS$41,START!$C$3,4)*INDEX('DEFAULT DATA'!$WC$9:$WI$41,START!$C$3,4)/1000000</f>
        <v>0</v>
      </c>
      <c r="BG211" s="123">
        <f>BG$137*INDEX('DEFAULT DATA'!$AJL$9:$AJS$41,START!$C$3,4)*INDEX('DEFAULT DATA'!$WC$9:$WI$41,START!$C$3,4)/1000000</f>
        <v>0</v>
      </c>
      <c r="BH211" s="123">
        <f>BH$137*INDEX('DEFAULT DATA'!$AJL$9:$AJS$41,START!$C$3,4)*INDEX('DEFAULT DATA'!$WC$9:$WI$41,START!$C$3,4)/1000000</f>
        <v>0</v>
      </c>
      <c r="BI211" s="123">
        <f>BI$137*INDEX('DEFAULT DATA'!$AJL$9:$AJS$41,START!$C$3,4)*INDEX('DEFAULT DATA'!$WC$9:$WI$41,START!$C$3,4)/1000000</f>
        <v>0</v>
      </c>
      <c r="BJ211" s="123">
        <f>BJ$137*INDEX('DEFAULT DATA'!$AJL$9:$AJS$41,START!$C$3,4)*INDEX('DEFAULT DATA'!$WC$9:$WI$41,START!$C$3,4)/1000000</f>
        <v>0</v>
      </c>
      <c r="BK211" s="123">
        <f>BK$137*INDEX('DEFAULT DATA'!$AJL$9:$AJS$41,START!$C$3,4)*INDEX('DEFAULT DATA'!$WC$9:$WI$41,START!$C$3,4)/1000000</f>
        <v>0</v>
      </c>
      <c r="BL211" s="123">
        <f>BL$137*INDEX('DEFAULT DATA'!$AJL$9:$AJS$41,START!$C$3,4)*INDEX('DEFAULT DATA'!$WC$9:$WI$41,START!$C$3,4)/1000000</f>
        <v>0</v>
      </c>
      <c r="BM211" s="123">
        <f>BM$137*INDEX('DEFAULT DATA'!$AJL$9:$AJS$41,START!$C$3,4)*INDEX('DEFAULT DATA'!$WC$9:$WI$41,START!$C$3,4)/1000000</f>
        <v>0</v>
      </c>
      <c r="BN211" s="123">
        <f>BN$137*INDEX('DEFAULT DATA'!$AJL$9:$AJS$41,START!$C$3,4)*INDEX('DEFAULT DATA'!$WC$9:$WI$41,START!$C$3,4)/1000000</f>
        <v>0</v>
      </c>
      <c r="BP211" s="375" t="str">
        <f t="shared" si="112"/>
        <v>Coal</v>
      </c>
      <c r="BQ211" s="376" t="s">
        <v>1486</v>
      </c>
      <c r="BR211" s="377"/>
      <c r="BS211" s="377"/>
      <c r="BT211" s="377"/>
      <c r="BU211" s="377"/>
      <c r="BV211" s="377"/>
      <c r="BW211" s="377"/>
      <c r="BX211" s="377"/>
      <c r="BY211" s="377"/>
      <c r="BZ211" s="377"/>
      <c r="CA211" s="377"/>
      <c r="CB211" s="377"/>
      <c r="CC211" s="377"/>
      <c r="CD211" s="377"/>
      <c r="CE211" s="377"/>
      <c r="CF211" s="377"/>
      <c r="CG211" s="378"/>
      <c r="CH211" s="374" t="s">
        <v>1444</v>
      </c>
      <c r="CI211" s="374" t="s">
        <v>1248</v>
      </c>
    </row>
    <row r="212" spans="1:87" ht="20.100000000000001" customHeight="1">
      <c r="A212" s="15"/>
      <c r="B212" s="630"/>
      <c r="C212" s="630"/>
      <c r="D212" s="630"/>
      <c r="E212" s="630"/>
      <c r="F212" s="630"/>
      <c r="G212" s="630"/>
      <c r="H212" s="630"/>
      <c r="I212" s="630"/>
      <c r="J212" s="630"/>
      <c r="K212" s="630"/>
      <c r="L212" s="630"/>
      <c r="M212" s="627"/>
      <c r="N212" s="630"/>
      <c r="O212" s="630"/>
      <c r="P212" s="630"/>
      <c r="Q212" s="630"/>
      <c r="R212" s="630"/>
      <c r="S212" s="630"/>
      <c r="T212" s="630"/>
      <c r="U212" s="630"/>
      <c r="V212" s="630"/>
      <c r="W212" s="630"/>
      <c r="X212" s="630"/>
      <c r="Y212" s="630"/>
      <c r="Z212" s="630"/>
      <c r="AA212" s="630"/>
      <c r="AB212" s="630"/>
      <c r="AC212" s="630"/>
      <c r="AD212" s="630"/>
      <c r="AE212" s="630"/>
      <c r="AF212" s="1557"/>
      <c r="AG212" s="339" t="s">
        <v>865</v>
      </c>
      <c r="AH212" s="317"/>
      <c r="AI212" s="317"/>
      <c r="AJ212" s="318"/>
      <c r="AK212" s="81">
        <v>0</v>
      </c>
      <c r="AL212" s="123">
        <f>AL$137*INDEX('DEFAULT DATA'!$AJL$9:$AJS$41,START!$C$3,5)*INDEX('DEFAULT DATA'!$WC$9:$WI$41,START!$C$3,5)/1000000</f>
        <v>31.765011360000003</v>
      </c>
      <c r="AM212" s="123">
        <f>AM$137*INDEX('DEFAULT DATA'!$AJL$9:$AJS$41,START!$C$3,5)*INDEX('DEFAULT DATA'!$WC$9:$WI$41,START!$C$3,5)/1000000</f>
        <v>31.765011360000003</v>
      </c>
      <c r="AN212" s="123">
        <f>AN$137*INDEX('DEFAULT DATA'!$AJL$9:$AJS$41,START!$C$3,5)*INDEX('DEFAULT DATA'!$WC$9:$WI$41,START!$C$3,5)/1000000</f>
        <v>31.765011360000003</v>
      </c>
      <c r="AO212" s="123">
        <f>AO$137*INDEX('DEFAULT DATA'!$AJL$9:$AJS$41,START!$C$3,5)*INDEX('DEFAULT DATA'!$WC$9:$WI$41,START!$C$3,5)/1000000</f>
        <v>31.765011360000003</v>
      </c>
      <c r="AP212" s="123">
        <f>AP$137*INDEX('DEFAULT DATA'!$AJL$9:$AJS$41,START!$C$3,5)*INDEX('DEFAULT DATA'!$WC$9:$WI$41,START!$C$3,5)/1000000</f>
        <v>31.765011360000003</v>
      </c>
      <c r="AQ212" s="123">
        <f>AQ$137*INDEX('DEFAULT DATA'!$AJL$9:$AJS$41,START!$C$3,5)*INDEX('DEFAULT DATA'!$WC$9:$WI$41,START!$C$3,5)/1000000</f>
        <v>31.765011360000003</v>
      </c>
      <c r="AR212" s="123">
        <f>AR$137*INDEX('DEFAULT DATA'!$AJL$9:$AJS$41,START!$C$3,5)*INDEX('DEFAULT DATA'!$WC$9:$WI$41,START!$C$3,5)/1000000</f>
        <v>31.765011360000003</v>
      </c>
      <c r="AS212" s="123">
        <f>AS$137*INDEX('DEFAULT DATA'!$AJL$9:$AJS$41,START!$C$3,5)*INDEX('DEFAULT DATA'!$WC$9:$WI$41,START!$C$3,5)/1000000</f>
        <v>31.765011360000003</v>
      </c>
      <c r="AT212" s="123">
        <f>AT$137*INDEX('DEFAULT DATA'!$AJL$9:$AJS$41,START!$C$3,5)*INDEX('DEFAULT DATA'!$WC$9:$WI$41,START!$C$3,5)/1000000</f>
        <v>31.765011360000003</v>
      </c>
      <c r="AU212" s="123">
        <f>AU$137*INDEX('DEFAULT DATA'!$AJL$9:$AJS$41,START!$C$3,5)*INDEX('DEFAULT DATA'!$WC$9:$WI$41,START!$C$3,5)/1000000</f>
        <v>31.765011360000003</v>
      </c>
      <c r="AV212" s="123">
        <f>AV$137*INDEX('DEFAULT DATA'!$AJL$9:$AJS$41,START!$C$3,5)*INDEX('DEFAULT DATA'!$WC$9:$WI$41,START!$C$3,5)/1000000</f>
        <v>31.765011360000003</v>
      </c>
      <c r="AW212" s="123">
        <f>AW$137*INDEX('DEFAULT DATA'!$AJL$9:$AJS$41,START!$C$3,5)*INDEX('DEFAULT DATA'!$WC$9:$WI$41,START!$C$3,5)/1000000</f>
        <v>31.765011360000003</v>
      </c>
      <c r="AX212" s="123">
        <f>AX$137*INDEX('DEFAULT DATA'!$AJL$9:$AJS$41,START!$C$3,5)*INDEX('DEFAULT DATA'!$WC$9:$WI$41,START!$C$3,5)/1000000</f>
        <v>31.765011360000003</v>
      </c>
      <c r="AY212" s="123">
        <f>AY$137*INDEX('DEFAULT DATA'!$AJL$9:$AJS$41,START!$C$3,5)*INDEX('DEFAULT DATA'!$WC$9:$WI$41,START!$C$3,5)/1000000</f>
        <v>31.765011360000003</v>
      </c>
      <c r="AZ212" s="123">
        <f>AZ$137*INDEX('DEFAULT DATA'!$AJL$9:$AJS$41,START!$C$3,5)*INDEX('DEFAULT DATA'!$WC$9:$WI$41,START!$C$3,5)/1000000</f>
        <v>31.765011360000003</v>
      </c>
      <c r="BA212" s="123">
        <f>BA$137*INDEX('DEFAULT DATA'!$AJL$9:$AJS$41,START!$C$3,5)*INDEX('DEFAULT DATA'!$WC$9:$WI$41,START!$C$3,5)/1000000</f>
        <v>31.765011360000003</v>
      </c>
      <c r="BB212" s="123">
        <f>BB$137*INDEX('DEFAULT DATA'!$AJL$9:$AJS$41,START!$C$3,5)*INDEX('DEFAULT DATA'!$WC$9:$WI$41,START!$C$3,5)/1000000</f>
        <v>31.765011360000003</v>
      </c>
      <c r="BC212" s="123">
        <f>BC$137*INDEX('DEFAULT DATA'!$AJL$9:$AJS$41,START!$C$3,5)*INDEX('DEFAULT DATA'!$WC$9:$WI$41,START!$C$3,5)/1000000</f>
        <v>31.765011360000003</v>
      </c>
      <c r="BD212" s="123">
        <f>BD$137*INDEX('DEFAULT DATA'!$AJL$9:$AJS$41,START!$C$3,5)*INDEX('DEFAULT DATA'!$WC$9:$WI$41,START!$C$3,5)/1000000</f>
        <v>31.765011360000003</v>
      </c>
      <c r="BE212" s="123">
        <f>BE$137*INDEX('DEFAULT DATA'!$AJL$9:$AJS$41,START!$C$3,5)*INDEX('DEFAULT DATA'!$WC$9:$WI$41,START!$C$3,5)/1000000</f>
        <v>31.765011360000003</v>
      </c>
      <c r="BF212" s="123">
        <f>BF$137*INDEX('DEFAULT DATA'!$AJL$9:$AJS$41,START!$C$3,5)*INDEX('DEFAULT DATA'!$WC$9:$WI$41,START!$C$3,5)/1000000</f>
        <v>31.765011360000003</v>
      </c>
      <c r="BG212" s="123">
        <f>BG$137*INDEX('DEFAULT DATA'!$AJL$9:$AJS$41,START!$C$3,5)*INDEX('DEFAULT DATA'!$WC$9:$WI$41,START!$C$3,5)/1000000</f>
        <v>31.765011360000003</v>
      </c>
      <c r="BH212" s="123">
        <f>BH$137*INDEX('DEFAULT DATA'!$AJL$9:$AJS$41,START!$C$3,5)*INDEX('DEFAULT DATA'!$WC$9:$WI$41,START!$C$3,5)/1000000</f>
        <v>31.765011360000003</v>
      </c>
      <c r="BI212" s="123">
        <f>BI$137*INDEX('DEFAULT DATA'!$AJL$9:$AJS$41,START!$C$3,5)*INDEX('DEFAULT DATA'!$WC$9:$WI$41,START!$C$3,5)/1000000</f>
        <v>31.765011360000003</v>
      </c>
      <c r="BJ212" s="123">
        <f>BJ$137*INDEX('DEFAULT DATA'!$AJL$9:$AJS$41,START!$C$3,5)*INDEX('DEFAULT DATA'!$WC$9:$WI$41,START!$C$3,5)/1000000</f>
        <v>31.765011360000003</v>
      </c>
      <c r="BK212" s="123">
        <f>BK$137*INDEX('DEFAULT DATA'!$AJL$9:$AJS$41,START!$C$3,5)*INDEX('DEFAULT DATA'!$WC$9:$WI$41,START!$C$3,5)/1000000</f>
        <v>31.765011360000003</v>
      </c>
      <c r="BL212" s="123">
        <f>BL$137*INDEX('DEFAULT DATA'!$AJL$9:$AJS$41,START!$C$3,5)*INDEX('DEFAULT DATA'!$WC$9:$WI$41,START!$C$3,5)/1000000</f>
        <v>31.765011360000003</v>
      </c>
      <c r="BM212" s="123">
        <f>BM$137*INDEX('DEFAULT DATA'!$AJL$9:$AJS$41,START!$C$3,5)*INDEX('DEFAULT DATA'!$WC$9:$WI$41,START!$C$3,5)/1000000</f>
        <v>31.765011360000003</v>
      </c>
      <c r="BN212" s="123">
        <f>BN$137*INDEX('DEFAULT DATA'!$AJL$9:$AJS$41,START!$C$3,5)*INDEX('DEFAULT DATA'!$WC$9:$WI$41,START!$C$3,5)/1000000</f>
        <v>31.765011360000003</v>
      </c>
      <c r="BP212" s="375" t="str">
        <f t="shared" si="112"/>
        <v>Peat</v>
      </c>
      <c r="BQ212" s="376" t="s">
        <v>1487</v>
      </c>
      <c r="BR212" s="377"/>
      <c r="BS212" s="377"/>
      <c r="BT212" s="377"/>
      <c r="BU212" s="377"/>
      <c r="BV212" s="377"/>
      <c r="BW212" s="377"/>
      <c r="BX212" s="377"/>
      <c r="BY212" s="377"/>
      <c r="BZ212" s="377"/>
      <c r="CA212" s="377"/>
      <c r="CB212" s="377"/>
      <c r="CC212" s="377"/>
      <c r="CD212" s="377"/>
      <c r="CE212" s="377"/>
      <c r="CF212" s="377"/>
      <c r="CG212" s="378"/>
      <c r="CH212" s="374" t="s">
        <v>1445</v>
      </c>
      <c r="CI212" s="374" t="s">
        <v>1249</v>
      </c>
    </row>
    <row r="213" spans="1:87" ht="20.100000000000001" customHeight="1">
      <c r="A213" s="15"/>
      <c r="B213" s="630"/>
      <c r="C213" s="630"/>
      <c r="D213" s="630"/>
      <c r="E213" s="630"/>
      <c r="F213" s="630"/>
      <c r="G213" s="630"/>
      <c r="H213" s="630"/>
      <c r="I213" s="630"/>
      <c r="J213" s="630"/>
      <c r="K213" s="630"/>
      <c r="L213" s="630"/>
      <c r="M213" s="627"/>
      <c r="N213" s="630"/>
      <c r="O213" s="630"/>
      <c r="P213" s="630"/>
      <c r="Q213" s="630"/>
      <c r="R213" s="630"/>
      <c r="S213" s="630"/>
      <c r="T213" s="630"/>
      <c r="U213" s="630"/>
      <c r="V213" s="630"/>
      <c r="W213" s="630"/>
      <c r="X213" s="630"/>
      <c r="Y213" s="630"/>
      <c r="Z213" s="630"/>
      <c r="AA213" s="630"/>
      <c r="AB213" s="630"/>
      <c r="AC213" s="630"/>
      <c r="AD213" s="630"/>
      <c r="AE213" s="630"/>
      <c r="AF213" s="1557"/>
      <c r="AG213" s="339" t="s">
        <v>866</v>
      </c>
      <c r="AH213" s="317"/>
      <c r="AI213" s="317"/>
      <c r="AJ213" s="318"/>
      <c r="AK213" s="81">
        <v>0</v>
      </c>
      <c r="AL213" s="123">
        <f>AL$137*INDEX('DEFAULT DATA'!$AJL$9:$AJS$41,START!$C$3,6)*INDEX('DEFAULT DATA'!$WC$9:$WI$41,START!$C$3,6)/1000000</f>
        <v>40.657037850000002</v>
      </c>
      <c r="AM213" s="123">
        <f>AM$137*INDEX('DEFAULT DATA'!$AJL$9:$AJS$41,START!$C$3,6)*INDEX('DEFAULT DATA'!$WC$9:$WI$41,START!$C$3,6)/1000000</f>
        <v>40.657037850000002</v>
      </c>
      <c r="AN213" s="123">
        <f>AN$137*INDEX('DEFAULT DATA'!$AJL$9:$AJS$41,START!$C$3,6)*INDEX('DEFAULT DATA'!$WC$9:$WI$41,START!$C$3,6)/1000000</f>
        <v>40.657037850000002</v>
      </c>
      <c r="AO213" s="123">
        <f>AO$137*INDEX('DEFAULT DATA'!$AJL$9:$AJS$41,START!$C$3,6)*INDEX('DEFAULT DATA'!$WC$9:$WI$41,START!$C$3,6)/1000000</f>
        <v>40.657037850000002</v>
      </c>
      <c r="AP213" s="123">
        <f>AP$137*INDEX('DEFAULT DATA'!$AJL$9:$AJS$41,START!$C$3,6)*INDEX('DEFAULT DATA'!$WC$9:$WI$41,START!$C$3,6)/1000000</f>
        <v>40.657037850000002</v>
      </c>
      <c r="AQ213" s="123">
        <f>AQ$137*INDEX('DEFAULT DATA'!$AJL$9:$AJS$41,START!$C$3,6)*INDEX('DEFAULT DATA'!$WC$9:$WI$41,START!$C$3,6)/1000000</f>
        <v>40.657037850000002</v>
      </c>
      <c r="AR213" s="123">
        <f>AR$137*INDEX('DEFAULT DATA'!$AJL$9:$AJS$41,START!$C$3,6)*INDEX('DEFAULT DATA'!$WC$9:$WI$41,START!$C$3,6)/1000000</f>
        <v>40.657037850000002</v>
      </c>
      <c r="AS213" s="123">
        <f>AS$137*INDEX('DEFAULT DATA'!$AJL$9:$AJS$41,START!$C$3,6)*INDEX('DEFAULT DATA'!$WC$9:$WI$41,START!$C$3,6)/1000000</f>
        <v>40.657037850000002</v>
      </c>
      <c r="AT213" s="123">
        <f>AT$137*INDEX('DEFAULT DATA'!$AJL$9:$AJS$41,START!$C$3,6)*INDEX('DEFAULT DATA'!$WC$9:$WI$41,START!$C$3,6)/1000000</f>
        <v>40.657037850000002</v>
      </c>
      <c r="AU213" s="123">
        <f>AU$137*INDEX('DEFAULT DATA'!$AJL$9:$AJS$41,START!$C$3,6)*INDEX('DEFAULT DATA'!$WC$9:$WI$41,START!$C$3,6)/1000000</f>
        <v>40.657037850000002</v>
      </c>
      <c r="AV213" s="123">
        <f>AV$137*INDEX('DEFAULT DATA'!$AJL$9:$AJS$41,START!$C$3,6)*INDEX('DEFAULT DATA'!$WC$9:$WI$41,START!$C$3,6)/1000000</f>
        <v>40.657037850000002</v>
      </c>
      <c r="AW213" s="123">
        <f>AW$137*INDEX('DEFAULT DATA'!$AJL$9:$AJS$41,START!$C$3,6)*INDEX('DEFAULT DATA'!$WC$9:$WI$41,START!$C$3,6)/1000000</f>
        <v>40.657037850000002</v>
      </c>
      <c r="AX213" s="123">
        <f>AX$137*INDEX('DEFAULT DATA'!$AJL$9:$AJS$41,START!$C$3,6)*INDEX('DEFAULT DATA'!$WC$9:$WI$41,START!$C$3,6)/1000000</f>
        <v>40.657037850000002</v>
      </c>
      <c r="AY213" s="123">
        <f>AY$137*INDEX('DEFAULT DATA'!$AJL$9:$AJS$41,START!$C$3,6)*INDEX('DEFAULT DATA'!$WC$9:$WI$41,START!$C$3,6)/1000000</f>
        <v>40.657037850000002</v>
      </c>
      <c r="AZ213" s="123">
        <f>AZ$137*INDEX('DEFAULT DATA'!$AJL$9:$AJS$41,START!$C$3,6)*INDEX('DEFAULT DATA'!$WC$9:$WI$41,START!$C$3,6)/1000000</f>
        <v>40.657037850000002</v>
      </c>
      <c r="BA213" s="123">
        <f>BA$137*INDEX('DEFAULT DATA'!$AJL$9:$AJS$41,START!$C$3,6)*INDEX('DEFAULT DATA'!$WC$9:$WI$41,START!$C$3,6)/1000000</f>
        <v>40.657037850000002</v>
      </c>
      <c r="BB213" s="123">
        <f>BB$137*INDEX('DEFAULT DATA'!$AJL$9:$AJS$41,START!$C$3,6)*INDEX('DEFAULT DATA'!$WC$9:$WI$41,START!$C$3,6)/1000000</f>
        <v>40.657037850000002</v>
      </c>
      <c r="BC213" s="123">
        <f>BC$137*INDEX('DEFAULT DATA'!$AJL$9:$AJS$41,START!$C$3,6)*INDEX('DEFAULT DATA'!$WC$9:$WI$41,START!$C$3,6)/1000000</f>
        <v>40.657037850000002</v>
      </c>
      <c r="BD213" s="123">
        <f>BD$137*INDEX('DEFAULT DATA'!$AJL$9:$AJS$41,START!$C$3,6)*INDEX('DEFAULT DATA'!$WC$9:$WI$41,START!$C$3,6)/1000000</f>
        <v>40.657037850000002</v>
      </c>
      <c r="BE213" s="123">
        <f>BE$137*INDEX('DEFAULT DATA'!$AJL$9:$AJS$41,START!$C$3,6)*INDEX('DEFAULT DATA'!$WC$9:$WI$41,START!$C$3,6)/1000000</f>
        <v>40.657037850000002</v>
      </c>
      <c r="BF213" s="123">
        <f>BF$137*INDEX('DEFAULT DATA'!$AJL$9:$AJS$41,START!$C$3,6)*INDEX('DEFAULT DATA'!$WC$9:$WI$41,START!$C$3,6)/1000000</f>
        <v>40.657037850000002</v>
      </c>
      <c r="BG213" s="123">
        <f>BG$137*INDEX('DEFAULT DATA'!$AJL$9:$AJS$41,START!$C$3,6)*INDEX('DEFAULT DATA'!$WC$9:$WI$41,START!$C$3,6)/1000000</f>
        <v>40.657037850000002</v>
      </c>
      <c r="BH213" s="123">
        <f>BH$137*INDEX('DEFAULT DATA'!$AJL$9:$AJS$41,START!$C$3,6)*INDEX('DEFAULT DATA'!$WC$9:$WI$41,START!$C$3,6)/1000000</f>
        <v>40.657037850000002</v>
      </c>
      <c r="BI213" s="123">
        <f>BI$137*INDEX('DEFAULT DATA'!$AJL$9:$AJS$41,START!$C$3,6)*INDEX('DEFAULT DATA'!$WC$9:$WI$41,START!$C$3,6)/1000000</f>
        <v>40.657037850000002</v>
      </c>
      <c r="BJ213" s="123">
        <f>BJ$137*INDEX('DEFAULT DATA'!$AJL$9:$AJS$41,START!$C$3,6)*INDEX('DEFAULT DATA'!$WC$9:$WI$41,START!$C$3,6)/1000000</f>
        <v>40.657037850000002</v>
      </c>
      <c r="BK213" s="123">
        <f>BK$137*INDEX('DEFAULT DATA'!$AJL$9:$AJS$41,START!$C$3,6)*INDEX('DEFAULT DATA'!$WC$9:$WI$41,START!$C$3,6)/1000000</f>
        <v>40.657037850000002</v>
      </c>
      <c r="BL213" s="123">
        <f>BL$137*INDEX('DEFAULT DATA'!$AJL$9:$AJS$41,START!$C$3,6)*INDEX('DEFAULT DATA'!$WC$9:$WI$41,START!$C$3,6)/1000000</f>
        <v>40.657037850000002</v>
      </c>
      <c r="BM213" s="123">
        <f>BM$137*INDEX('DEFAULT DATA'!$AJL$9:$AJS$41,START!$C$3,6)*INDEX('DEFAULT DATA'!$WC$9:$WI$41,START!$C$3,6)/1000000</f>
        <v>40.657037850000002</v>
      </c>
      <c r="BN213" s="123">
        <f>BN$137*INDEX('DEFAULT DATA'!$AJL$9:$AJS$41,START!$C$3,6)*INDEX('DEFAULT DATA'!$WC$9:$WI$41,START!$C$3,6)/1000000</f>
        <v>40.657037850000002</v>
      </c>
      <c r="BP213" s="375" t="str">
        <f t="shared" si="112"/>
        <v>Wood</v>
      </c>
      <c r="BQ213" s="376" t="s">
        <v>1488</v>
      </c>
      <c r="BR213" s="377"/>
      <c r="BS213" s="377"/>
      <c r="BT213" s="377"/>
      <c r="BU213" s="377"/>
      <c r="BV213" s="377"/>
      <c r="BW213" s="377"/>
      <c r="BX213" s="377"/>
      <c r="BY213" s="377"/>
      <c r="BZ213" s="377"/>
      <c r="CA213" s="377"/>
      <c r="CB213" s="377"/>
      <c r="CC213" s="377"/>
      <c r="CD213" s="377"/>
      <c r="CE213" s="377"/>
      <c r="CF213" s="377"/>
      <c r="CG213" s="378"/>
      <c r="CH213" s="374" t="s">
        <v>1446</v>
      </c>
      <c r="CI213" s="374" t="s">
        <v>1250</v>
      </c>
    </row>
    <row r="214" spans="1:87" ht="20.100000000000001" customHeight="1">
      <c r="A214" s="15"/>
      <c r="B214" s="630"/>
      <c r="C214" s="630"/>
      <c r="D214" s="630"/>
      <c r="E214" s="630"/>
      <c r="F214" s="630"/>
      <c r="G214" s="630"/>
      <c r="H214" s="630"/>
      <c r="I214" s="630"/>
      <c r="J214" s="630"/>
      <c r="K214" s="630"/>
      <c r="L214" s="630"/>
      <c r="M214" s="627"/>
      <c r="N214" s="630"/>
      <c r="O214" s="630"/>
      <c r="P214" s="630"/>
      <c r="Q214" s="630"/>
      <c r="R214" s="630"/>
      <c r="S214" s="630"/>
      <c r="T214" s="630"/>
      <c r="U214" s="630"/>
      <c r="V214" s="630"/>
      <c r="W214" s="630"/>
      <c r="X214" s="630"/>
      <c r="Y214" s="630"/>
      <c r="Z214" s="630"/>
      <c r="AA214" s="630"/>
      <c r="AB214" s="630"/>
      <c r="AC214" s="630"/>
      <c r="AD214" s="630"/>
      <c r="AE214" s="630"/>
      <c r="AF214" s="1557"/>
      <c r="AG214" s="339" t="s">
        <v>867</v>
      </c>
      <c r="AH214" s="317"/>
      <c r="AI214" s="317"/>
      <c r="AJ214" s="318"/>
      <c r="AK214" s="81">
        <v>0</v>
      </c>
      <c r="AL214" s="123">
        <f>AL$137*INDEX('DEFAULT DATA'!$AJL$9:$AJS$41,START!$C$3,7)*INDEX('DEFAULT DATA'!$WC$9:$WI$41,START!$C$3,7)/1000000</f>
        <v>0</v>
      </c>
      <c r="AM214" s="123">
        <f>AM$137*INDEX('DEFAULT DATA'!$AJL$9:$AJS$41,START!$C$3,7)*INDEX('DEFAULT DATA'!$WC$9:$WI$41,START!$C$3,7)/1000000</f>
        <v>0</v>
      </c>
      <c r="AN214" s="123">
        <f>AN$137*INDEX('DEFAULT DATA'!$AJL$9:$AJS$41,START!$C$3,7)*INDEX('DEFAULT DATA'!$WC$9:$WI$41,START!$C$3,7)/1000000</f>
        <v>0</v>
      </c>
      <c r="AO214" s="123">
        <f>AO$137*INDEX('DEFAULT DATA'!$AJL$9:$AJS$41,START!$C$3,7)*INDEX('DEFAULT DATA'!$WC$9:$WI$41,START!$C$3,7)/1000000</f>
        <v>0</v>
      </c>
      <c r="AP214" s="123">
        <f>AP$137*INDEX('DEFAULT DATA'!$AJL$9:$AJS$41,START!$C$3,7)*INDEX('DEFAULT DATA'!$WC$9:$WI$41,START!$C$3,7)/1000000</f>
        <v>0</v>
      </c>
      <c r="AQ214" s="123">
        <f>AQ$137*INDEX('DEFAULT DATA'!$AJL$9:$AJS$41,START!$C$3,7)*INDEX('DEFAULT DATA'!$WC$9:$WI$41,START!$C$3,7)/1000000</f>
        <v>0</v>
      </c>
      <c r="AR214" s="123">
        <f>AR$137*INDEX('DEFAULT DATA'!$AJL$9:$AJS$41,START!$C$3,7)*INDEX('DEFAULT DATA'!$WC$9:$WI$41,START!$C$3,7)/1000000</f>
        <v>0</v>
      </c>
      <c r="AS214" s="123">
        <f>AS$137*INDEX('DEFAULT DATA'!$AJL$9:$AJS$41,START!$C$3,7)*INDEX('DEFAULT DATA'!$WC$9:$WI$41,START!$C$3,7)/1000000</f>
        <v>0</v>
      </c>
      <c r="AT214" s="123">
        <f>AT$137*INDEX('DEFAULT DATA'!$AJL$9:$AJS$41,START!$C$3,7)*INDEX('DEFAULT DATA'!$WC$9:$WI$41,START!$C$3,7)/1000000</f>
        <v>0</v>
      </c>
      <c r="AU214" s="123">
        <f>AU$137*INDEX('DEFAULT DATA'!$AJL$9:$AJS$41,START!$C$3,7)*INDEX('DEFAULT DATA'!$WC$9:$WI$41,START!$C$3,7)/1000000</f>
        <v>0</v>
      </c>
      <c r="AV214" s="123">
        <f>AV$137*INDEX('DEFAULT DATA'!$AJL$9:$AJS$41,START!$C$3,7)*INDEX('DEFAULT DATA'!$WC$9:$WI$41,START!$C$3,7)/1000000</f>
        <v>0</v>
      </c>
      <c r="AW214" s="123">
        <f>AW$137*INDEX('DEFAULT DATA'!$AJL$9:$AJS$41,START!$C$3,7)*INDEX('DEFAULT DATA'!$WC$9:$WI$41,START!$C$3,7)/1000000</f>
        <v>0</v>
      </c>
      <c r="AX214" s="123">
        <f>AX$137*INDEX('DEFAULT DATA'!$AJL$9:$AJS$41,START!$C$3,7)*INDEX('DEFAULT DATA'!$WC$9:$WI$41,START!$C$3,7)/1000000</f>
        <v>0</v>
      </c>
      <c r="AY214" s="123">
        <f>AY$137*INDEX('DEFAULT DATA'!$AJL$9:$AJS$41,START!$C$3,7)*INDEX('DEFAULT DATA'!$WC$9:$WI$41,START!$C$3,7)/1000000</f>
        <v>0</v>
      </c>
      <c r="AZ214" s="123">
        <f>AZ$137*INDEX('DEFAULT DATA'!$AJL$9:$AJS$41,START!$C$3,7)*INDEX('DEFAULT DATA'!$WC$9:$WI$41,START!$C$3,7)/1000000</f>
        <v>0</v>
      </c>
      <c r="BA214" s="123">
        <f>BA$137*INDEX('DEFAULT DATA'!$AJL$9:$AJS$41,START!$C$3,7)*INDEX('DEFAULT DATA'!$WC$9:$WI$41,START!$C$3,7)/1000000</f>
        <v>0</v>
      </c>
      <c r="BB214" s="123">
        <f>BB$137*INDEX('DEFAULT DATA'!$AJL$9:$AJS$41,START!$C$3,7)*INDEX('DEFAULT DATA'!$WC$9:$WI$41,START!$C$3,7)/1000000</f>
        <v>0</v>
      </c>
      <c r="BC214" s="123">
        <f>BC$137*INDEX('DEFAULT DATA'!$AJL$9:$AJS$41,START!$C$3,7)*INDEX('DEFAULT DATA'!$WC$9:$WI$41,START!$C$3,7)/1000000</f>
        <v>0</v>
      </c>
      <c r="BD214" s="123">
        <f>BD$137*INDEX('DEFAULT DATA'!$AJL$9:$AJS$41,START!$C$3,7)*INDEX('DEFAULT DATA'!$WC$9:$WI$41,START!$C$3,7)/1000000</f>
        <v>0</v>
      </c>
      <c r="BE214" s="123">
        <f>BE$137*INDEX('DEFAULT DATA'!$AJL$9:$AJS$41,START!$C$3,7)*INDEX('DEFAULT DATA'!$WC$9:$WI$41,START!$C$3,7)/1000000</f>
        <v>0</v>
      </c>
      <c r="BF214" s="123">
        <f>BF$137*INDEX('DEFAULT DATA'!$AJL$9:$AJS$41,START!$C$3,7)*INDEX('DEFAULT DATA'!$WC$9:$WI$41,START!$C$3,7)/1000000</f>
        <v>0</v>
      </c>
      <c r="BG214" s="123">
        <f>BG$137*INDEX('DEFAULT DATA'!$AJL$9:$AJS$41,START!$C$3,7)*INDEX('DEFAULT DATA'!$WC$9:$WI$41,START!$C$3,7)/1000000</f>
        <v>0</v>
      </c>
      <c r="BH214" s="123">
        <f>BH$137*INDEX('DEFAULT DATA'!$AJL$9:$AJS$41,START!$C$3,7)*INDEX('DEFAULT DATA'!$WC$9:$WI$41,START!$C$3,7)/1000000</f>
        <v>0</v>
      </c>
      <c r="BI214" s="123">
        <f>BI$137*INDEX('DEFAULT DATA'!$AJL$9:$AJS$41,START!$C$3,7)*INDEX('DEFAULT DATA'!$WC$9:$WI$41,START!$C$3,7)/1000000</f>
        <v>0</v>
      </c>
      <c r="BJ214" s="123">
        <f>BJ$137*INDEX('DEFAULT DATA'!$AJL$9:$AJS$41,START!$C$3,7)*INDEX('DEFAULT DATA'!$WC$9:$WI$41,START!$C$3,7)/1000000</f>
        <v>0</v>
      </c>
      <c r="BK214" s="123">
        <f>BK$137*INDEX('DEFAULT DATA'!$AJL$9:$AJS$41,START!$C$3,7)*INDEX('DEFAULT DATA'!$WC$9:$WI$41,START!$C$3,7)/1000000</f>
        <v>0</v>
      </c>
      <c r="BL214" s="123">
        <f>BL$137*INDEX('DEFAULT DATA'!$AJL$9:$AJS$41,START!$C$3,7)*INDEX('DEFAULT DATA'!$WC$9:$WI$41,START!$C$3,7)/1000000</f>
        <v>0</v>
      </c>
      <c r="BM214" s="123">
        <f>BM$137*INDEX('DEFAULT DATA'!$AJL$9:$AJS$41,START!$C$3,7)*INDEX('DEFAULT DATA'!$WC$9:$WI$41,START!$C$3,7)/1000000</f>
        <v>0</v>
      </c>
      <c r="BN214" s="123">
        <f>BN$137*INDEX('DEFAULT DATA'!$AJL$9:$AJS$41,START!$C$3,7)*INDEX('DEFAULT DATA'!$WC$9:$WI$41,START!$C$3,7)/1000000</f>
        <v>0</v>
      </c>
      <c r="BP214" s="375" t="str">
        <f t="shared" si="112"/>
        <v>Renewable</v>
      </c>
      <c r="BQ214" s="376" t="s">
        <v>1489</v>
      </c>
      <c r="BR214" s="377"/>
      <c r="BS214" s="377"/>
      <c r="BT214" s="377"/>
      <c r="BU214" s="377"/>
      <c r="BV214" s="377"/>
      <c r="BW214" s="377"/>
      <c r="BX214" s="377"/>
      <c r="BY214" s="377"/>
      <c r="BZ214" s="377"/>
      <c r="CA214" s="377"/>
      <c r="CB214" s="377"/>
      <c r="CC214" s="377"/>
      <c r="CD214" s="377"/>
      <c r="CE214" s="377"/>
      <c r="CF214" s="377"/>
      <c r="CG214" s="378"/>
      <c r="CH214" s="374" t="s">
        <v>1447</v>
      </c>
      <c r="CI214" s="374" t="s">
        <v>1251</v>
      </c>
    </row>
    <row r="215" spans="1:87" ht="20.100000000000001" customHeight="1" thickBot="1">
      <c r="A215" s="15"/>
      <c r="B215" s="630"/>
      <c r="C215" s="630"/>
      <c r="D215" s="630"/>
      <c r="E215" s="630"/>
      <c r="F215" s="630"/>
      <c r="G215" s="630"/>
      <c r="H215" s="630"/>
      <c r="I215" s="630"/>
      <c r="J215" s="630"/>
      <c r="K215" s="630"/>
      <c r="L215" s="630"/>
      <c r="M215" s="627"/>
      <c r="N215" s="630"/>
      <c r="O215" s="630"/>
      <c r="P215" s="630"/>
      <c r="Q215" s="630"/>
      <c r="R215" s="630"/>
      <c r="S215" s="630"/>
      <c r="T215" s="630"/>
      <c r="U215" s="630"/>
      <c r="V215" s="630"/>
      <c r="W215" s="630"/>
      <c r="X215" s="630"/>
      <c r="Y215" s="630"/>
      <c r="Z215" s="630"/>
      <c r="AA215" s="630"/>
      <c r="AB215" s="630"/>
      <c r="AC215" s="630"/>
      <c r="AD215" s="630"/>
      <c r="AE215" s="630"/>
      <c r="AF215" s="1558"/>
      <c r="AG215" s="329" t="s">
        <v>868</v>
      </c>
      <c r="AH215" s="330"/>
      <c r="AI215" s="330"/>
      <c r="AJ215" s="175"/>
      <c r="AK215" s="155">
        <v>0</v>
      </c>
      <c r="AL215" s="160">
        <f>AL$137*INDEX('DEFAULT DATA'!$AJL$9:$AJS$41,START!$C$3,8)*BUILDINGS!AL6/1000000</f>
        <v>0.39451925444491109</v>
      </c>
      <c r="AM215" s="160">
        <f>AM$137*INDEX('DEFAULT DATA'!$AJL$9:$AJS$41,START!$C$3,8)*BUILDINGS!AM6/1000000</f>
        <v>0.39451925444491109</v>
      </c>
      <c r="AN215" s="160">
        <f>AN$137*INDEX('DEFAULT DATA'!$AJL$9:$AJS$41,START!$C$3,8)*BUILDINGS!AN6/1000000</f>
        <v>0.39451925444491109</v>
      </c>
      <c r="AO215" s="160">
        <f>AO$137*INDEX('DEFAULT DATA'!$AJL$9:$AJS$41,START!$C$3,8)*BUILDINGS!AO6/1000000</f>
        <v>0.39451925444491109</v>
      </c>
      <c r="AP215" s="160">
        <f>AP$137*INDEX('DEFAULT DATA'!$AJL$9:$AJS$41,START!$C$3,8)*BUILDINGS!AP6/1000000</f>
        <v>0.39451925444491109</v>
      </c>
      <c r="AQ215" s="160">
        <f>AQ$137*INDEX('DEFAULT DATA'!$AJL$9:$AJS$41,START!$C$3,8)*BUILDINGS!AQ6/1000000</f>
        <v>0.39451925444491109</v>
      </c>
      <c r="AR215" s="160">
        <f>AR$137*INDEX('DEFAULT DATA'!$AJL$9:$AJS$41,START!$C$3,8)*BUILDINGS!AR6/1000000</f>
        <v>0.39451925444491109</v>
      </c>
      <c r="AS215" s="160">
        <f>AS$137*INDEX('DEFAULT DATA'!$AJL$9:$AJS$41,START!$C$3,8)*BUILDINGS!AS6/1000000</f>
        <v>0.39451925444491109</v>
      </c>
      <c r="AT215" s="160">
        <f>AT$137*INDEX('DEFAULT DATA'!$AJL$9:$AJS$41,START!$C$3,8)*BUILDINGS!AT6/1000000</f>
        <v>0.39451925444491109</v>
      </c>
      <c r="AU215" s="160">
        <f>AU$137*INDEX('DEFAULT DATA'!$AJL$9:$AJS$41,START!$C$3,8)*BUILDINGS!AU6/1000000</f>
        <v>0.39451925444491109</v>
      </c>
      <c r="AV215" s="160">
        <f>AV$137*INDEX('DEFAULT DATA'!$AJL$9:$AJS$41,START!$C$3,8)*BUILDINGS!AV6/1000000</f>
        <v>0.39451925444491109</v>
      </c>
      <c r="AW215" s="160">
        <f>AW$137*INDEX('DEFAULT DATA'!$AJL$9:$AJS$41,START!$C$3,8)*BUILDINGS!AW6/1000000</f>
        <v>0.39451925444491109</v>
      </c>
      <c r="AX215" s="160">
        <f>AX$137*INDEX('DEFAULT DATA'!$AJL$9:$AJS$41,START!$C$3,8)*BUILDINGS!AX6/1000000</f>
        <v>0.39451925444491109</v>
      </c>
      <c r="AY215" s="160">
        <f>AY$137*INDEX('DEFAULT DATA'!$AJL$9:$AJS$41,START!$C$3,8)*BUILDINGS!AY6/1000000</f>
        <v>0.39451925444491109</v>
      </c>
      <c r="AZ215" s="160">
        <f>AZ$137*INDEX('DEFAULT DATA'!$AJL$9:$AJS$41,START!$C$3,8)*BUILDINGS!AZ6/1000000</f>
        <v>0.39451925444491109</v>
      </c>
      <c r="BA215" s="160">
        <f>BA$137*INDEX('DEFAULT DATA'!$AJL$9:$AJS$41,START!$C$3,8)*BUILDINGS!BA6/1000000</f>
        <v>0.39451925444491109</v>
      </c>
      <c r="BB215" s="160">
        <f>BB$137*INDEX('DEFAULT DATA'!$AJL$9:$AJS$41,START!$C$3,8)*BUILDINGS!BB6/1000000</f>
        <v>0.39451925444491109</v>
      </c>
      <c r="BC215" s="160">
        <f>BC$137*INDEX('DEFAULT DATA'!$AJL$9:$AJS$41,START!$C$3,8)*BUILDINGS!BC6/1000000</f>
        <v>0.39451925444491109</v>
      </c>
      <c r="BD215" s="160">
        <f>BD$137*INDEX('DEFAULT DATA'!$AJL$9:$AJS$41,START!$C$3,8)*BUILDINGS!BD6/1000000</f>
        <v>0.39451925444491109</v>
      </c>
      <c r="BE215" s="160">
        <f>BE$137*INDEX('DEFAULT DATA'!$AJL$9:$AJS$41,START!$C$3,8)*BUILDINGS!BE6/1000000</f>
        <v>0.39451925444491109</v>
      </c>
      <c r="BF215" s="160">
        <f>BF$137*INDEX('DEFAULT DATA'!$AJL$9:$AJS$41,START!$C$3,8)*BUILDINGS!BF6/1000000</f>
        <v>0.39451925444491109</v>
      </c>
      <c r="BG215" s="160">
        <f>BG$137*INDEX('DEFAULT DATA'!$AJL$9:$AJS$41,START!$C$3,8)*BUILDINGS!BG6/1000000</f>
        <v>0.39451925444491109</v>
      </c>
      <c r="BH215" s="160">
        <f>BH$137*INDEX('DEFAULT DATA'!$AJL$9:$AJS$41,START!$C$3,8)*BUILDINGS!BH6/1000000</f>
        <v>0.39451925444491109</v>
      </c>
      <c r="BI215" s="160">
        <f>BI$137*INDEX('DEFAULT DATA'!$AJL$9:$AJS$41,START!$C$3,8)*BUILDINGS!BI6/1000000</f>
        <v>0.39451925444491109</v>
      </c>
      <c r="BJ215" s="160">
        <f>BJ$137*INDEX('DEFAULT DATA'!$AJL$9:$AJS$41,START!$C$3,8)*BUILDINGS!BJ6/1000000</f>
        <v>0.39451925444491109</v>
      </c>
      <c r="BK215" s="160">
        <f>BK$137*INDEX('DEFAULT DATA'!$AJL$9:$AJS$41,START!$C$3,8)*BUILDINGS!BK6/1000000</f>
        <v>0.39451925444491109</v>
      </c>
      <c r="BL215" s="160">
        <f>BL$137*INDEX('DEFAULT DATA'!$AJL$9:$AJS$41,START!$C$3,8)*BUILDINGS!BL6/1000000</f>
        <v>0.39451925444491109</v>
      </c>
      <c r="BM215" s="160">
        <f>BM$137*INDEX('DEFAULT DATA'!$AJL$9:$AJS$41,START!$C$3,8)*BUILDINGS!BM6/1000000</f>
        <v>0.39451925444491109</v>
      </c>
      <c r="BN215" s="160">
        <f>BN$137*INDEX('DEFAULT DATA'!$AJL$9:$AJS$41,START!$C$3,8)*BUILDINGS!BN6/1000000</f>
        <v>0.39451925444491109</v>
      </c>
      <c r="BP215" s="379" t="str">
        <f t="shared" si="112"/>
        <v>Heat</v>
      </c>
      <c r="BQ215" s="380" t="s">
        <v>1490</v>
      </c>
      <c r="BR215" s="381"/>
      <c r="BS215" s="381"/>
      <c r="BT215" s="381"/>
      <c r="BU215" s="381"/>
      <c r="BV215" s="381"/>
      <c r="BW215" s="381"/>
      <c r="BX215" s="381"/>
      <c r="BY215" s="381"/>
      <c r="BZ215" s="381"/>
      <c r="CA215" s="381"/>
      <c r="CB215" s="381"/>
      <c r="CC215" s="381"/>
      <c r="CD215" s="381"/>
      <c r="CE215" s="381"/>
      <c r="CF215" s="381"/>
      <c r="CG215" s="382"/>
      <c r="CH215" s="374" t="s">
        <v>1448</v>
      </c>
      <c r="CI215" s="374" t="s">
        <v>1252</v>
      </c>
    </row>
    <row r="216" spans="1:87" ht="20.100000000000001" customHeight="1">
      <c r="L216" s="16"/>
      <c r="M216" s="627"/>
      <c r="N216" s="630"/>
      <c r="O216" s="630"/>
      <c r="P216" s="630"/>
      <c r="Q216" s="630"/>
      <c r="R216" s="630"/>
      <c r="S216" s="630"/>
      <c r="T216" s="630"/>
      <c r="U216" s="630"/>
      <c r="V216" s="630"/>
      <c r="W216" s="630"/>
      <c r="X216" s="630"/>
      <c r="Y216" s="630"/>
      <c r="Z216" s="630"/>
      <c r="AA216" s="630"/>
      <c r="AB216" s="630"/>
      <c r="AC216" s="630"/>
      <c r="AD216" s="630"/>
      <c r="AE216" s="630"/>
      <c r="AF216" s="167"/>
      <c r="AG216" s="336" t="s">
        <v>211</v>
      </c>
      <c r="AH216" s="337"/>
      <c r="AI216" s="337"/>
      <c r="AJ216" s="338"/>
      <c r="AK216" s="151">
        <f>SUM(AK208:AK215)</f>
        <v>0</v>
      </c>
      <c r="AL216" s="162">
        <f t="shared" ref="AL216:BN216" si="113">SUM(AL208:AL215)</f>
        <v>3818.0236228025269</v>
      </c>
      <c r="AM216" s="162">
        <f t="shared" si="113"/>
        <v>3567.8076096982732</v>
      </c>
      <c r="AN216" s="162">
        <f t="shared" si="113"/>
        <v>3336.6080135899424</v>
      </c>
      <c r="AO216" s="162">
        <f t="shared" si="113"/>
        <v>3122.9795867858443</v>
      </c>
      <c r="AP216" s="162">
        <f t="shared" si="113"/>
        <v>2925.5869204188584</v>
      </c>
      <c r="AQ216" s="162">
        <f t="shared" si="113"/>
        <v>2743.1960966957631</v>
      </c>
      <c r="AR216" s="162">
        <f t="shared" si="113"/>
        <v>2574.6669755756229</v>
      </c>
      <c r="AS216" s="162">
        <f t="shared" si="113"/>
        <v>2418.9460676606132</v>
      </c>
      <c r="AT216" s="162">
        <f t="shared" si="113"/>
        <v>2275.0599487471441</v>
      </c>
      <c r="AU216" s="162">
        <f t="shared" si="113"/>
        <v>2161.3520500373688</v>
      </c>
      <c r="AV216" s="162">
        <f t="shared" si="113"/>
        <v>2055.0351647437292</v>
      </c>
      <c r="AW216" s="162">
        <f t="shared" si="113"/>
        <v>1955.6288769941757</v>
      </c>
      <c r="AX216" s="162">
        <f t="shared" si="113"/>
        <v>1862.6839979483434</v>
      </c>
      <c r="AY216" s="162">
        <f t="shared" si="113"/>
        <v>1775.78053604049</v>
      </c>
      <c r="AZ216" s="162">
        <f t="shared" si="113"/>
        <v>1694.5257991566473</v>
      </c>
      <c r="BA216" s="162">
        <f t="shared" si="113"/>
        <v>1618.5526201702542</v>
      </c>
      <c r="BB216" s="162">
        <f t="shared" si="113"/>
        <v>1547.517697817977</v>
      </c>
      <c r="BC216" s="162">
        <f t="shared" si="113"/>
        <v>1481.1000454185973</v>
      </c>
      <c r="BD216" s="162">
        <f t="shared" si="113"/>
        <v>1418.9995404251777</v>
      </c>
      <c r="BE216" s="162">
        <f t="shared" si="113"/>
        <v>1360.93556825633</v>
      </c>
      <c r="BF216" s="162">
        <f t="shared" si="113"/>
        <v>1306.6457542784574</v>
      </c>
      <c r="BG216" s="162">
        <f t="shared" si="113"/>
        <v>1255.8847782091468</v>
      </c>
      <c r="BH216" s="162">
        <f t="shared" si="113"/>
        <v>1208.4232655843412</v>
      </c>
      <c r="BI216" s="162">
        <f t="shared" si="113"/>
        <v>1164.0467512801479</v>
      </c>
      <c r="BJ216" s="162">
        <f t="shared" si="113"/>
        <v>1122.5547104057273</v>
      </c>
      <c r="BK216" s="162">
        <f t="shared" si="113"/>
        <v>1083.7596521881439</v>
      </c>
      <c r="BL216" s="162">
        <f t="shared" si="113"/>
        <v>1047.4862727547036</v>
      </c>
      <c r="BM216" s="162">
        <f t="shared" si="113"/>
        <v>1013.5706629844368</v>
      </c>
      <c r="BN216" s="162">
        <f t="shared" si="113"/>
        <v>981.85956784923735</v>
      </c>
      <c r="BQ216" s="6"/>
    </row>
    <row r="217" spans="1:87" ht="20.100000000000001" customHeight="1">
      <c r="BQ217" s="6"/>
    </row>
    <row r="218" spans="1:87" ht="20.100000000000001" customHeight="1">
      <c r="AF218" s="122" t="s">
        <v>1030</v>
      </c>
      <c r="BQ218" s="6"/>
    </row>
    <row r="219" spans="1:87" ht="20.100000000000001" customHeight="1" thickBot="1">
      <c r="AF219" s="168" t="s">
        <v>1024</v>
      </c>
      <c r="AG219" s="135"/>
      <c r="AH219" s="207"/>
      <c r="AI219" s="135"/>
      <c r="AJ219" s="135"/>
      <c r="AK219" s="135"/>
      <c r="AL219" s="135">
        <v>2022</v>
      </c>
      <c r="AM219" s="135">
        <f t="shared" ref="AM219:BN219" si="114">AL219+1</f>
        <v>2023</v>
      </c>
      <c r="AN219" s="135">
        <f t="shared" si="114"/>
        <v>2024</v>
      </c>
      <c r="AO219" s="135">
        <f t="shared" si="114"/>
        <v>2025</v>
      </c>
      <c r="AP219" s="135">
        <f t="shared" si="114"/>
        <v>2026</v>
      </c>
      <c r="AQ219" s="135">
        <f t="shared" si="114"/>
        <v>2027</v>
      </c>
      <c r="AR219" s="135">
        <f t="shared" si="114"/>
        <v>2028</v>
      </c>
      <c r="AS219" s="135">
        <f t="shared" si="114"/>
        <v>2029</v>
      </c>
      <c r="AT219" s="135">
        <f t="shared" si="114"/>
        <v>2030</v>
      </c>
      <c r="AU219" s="135">
        <f t="shared" si="114"/>
        <v>2031</v>
      </c>
      <c r="AV219" s="135">
        <f t="shared" si="114"/>
        <v>2032</v>
      </c>
      <c r="AW219" s="135">
        <f t="shared" si="114"/>
        <v>2033</v>
      </c>
      <c r="AX219" s="135">
        <f t="shared" si="114"/>
        <v>2034</v>
      </c>
      <c r="AY219" s="135">
        <f t="shared" si="114"/>
        <v>2035</v>
      </c>
      <c r="AZ219" s="135">
        <f t="shared" si="114"/>
        <v>2036</v>
      </c>
      <c r="BA219" s="135">
        <f t="shared" si="114"/>
        <v>2037</v>
      </c>
      <c r="BB219" s="135">
        <f t="shared" si="114"/>
        <v>2038</v>
      </c>
      <c r="BC219" s="135">
        <f t="shared" si="114"/>
        <v>2039</v>
      </c>
      <c r="BD219" s="135">
        <f t="shared" si="114"/>
        <v>2040</v>
      </c>
      <c r="BE219" s="135">
        <f t="shared" si="114"/>
        <v>2041</v>
      </c>
      <c r="BF219" s="135">
        <f t="shared" si="114"/>
        <v>2042</v>
      </c>
      <c r="BG219" s="135">
        <f t="shared" si="114"/>
        <v>2043</v>
      </c>
      <c r="BH219" s="135">
        <f t="shared" si="114"/>
        <v>2044</v>
      </c>
      <c r="BI219" s="135">
        <f t="shared" si="114"/>
        <v>2045</v>
      </c>
      <c r="BJ219" s="135">
        <f t="shared" si="114"/>
        <v>2046</v>
      </c>
      <c r="BK219" s="135">
        <f t="shared" si="114"/>
        <v>2047</v>
      </c>
      <c r="BL219" s="135">
        <f t="shared" si="114"/>
        <v>2048</v>
      </c>
      <c r="BM219" s="135">
        <f t="shared" si="114"/>
        <v>2049</v>
      </c>
      <c r="BN219" s="135">
        <f t="shared" si="114"/>
        <v>2050</v>
      </c>
    </row>
    <row r="220" spans="1:87" ht="20.100000000000001" customHeight="1">
      <c r="AF220" s="209" t="s">
        <v>858</v>
      </c>
      <c r="AG220" s="574"/>
      <c r="AH220" s="575"/>
      <c r="AI220" s="574"/>
      <c r="AJ220" s="574"/>
      <c r="AK220" s="574"/>
      <c r="AL220" s="157">
        <f t="shared" ref="AL220:BN220" si="115">AL51</f>
        <v>6340.23698561947</v>
      </c>
      <c r="AM220" s="157">
        <f t="shared" si="115"/>
        <v>6196.0322481723015</v>
      </c>
      <c r="AN220" s="157">
        <f t="shared" si="115"/>
        <v>6062.7870707711172</v>
      </c>
      <c r="AO220" s="157">
        <f t="shared" si="115"/>
        <v>5939.6685268524234</v>
      </c>
      <c r="AP220" s="157">
        <f t="shared" si="115"/>
        <v>5825.9069922715498</v>
      </c>
      <c r="AQ220" s="157">
        <f t="shared" si="115"/>
        <v>5720.7913343188229</v>
      </c>
      <c r="AR220" s="157">
        <f t="shared" si="115"/>
        <v>5623.6644663705029</v>
      </c>
      <c r="AS220" s="157">
        <f t="shared" si="115"/>
        <v>5533.9192403862553</v>
      </c>
      <c r="AT220" s="157">
        <f t="shared" si="115"/>
        <v>5450.9946515768106</v>
      </c>
      <c r="AU220" s="157">
        <f t="shared" si="115"/>
        <v>5385.4624041571369</v>
      </c>
      <c r="AV220" s="157">
        <f t="shared" si="115"/>
        <v>5324.1897528197414</v>
      </c>
      <c r="AW220" s="157">
        <f t="shared" si="115"/>
        <v>5266.8998238192762</v>
      </c>
      <c r="AX220" s="157">
        <f t="shared" si="115"/>
        <v>5213.3337402038414</v>
      </c>
      <c r="AY220" s="157">
        <f t="shared" si="115"/>
        <v>5163.2494520234104</v>
      </c>
      <c r="AZ220" s="157">
        <f t="shared" si="115"/>
        <v>5116.420642574707</v>
      </c>
      <c r="BA220" s="157">
        <f t="shared" si="115"/>
        <v>5072.6357057401701</v>
      </c>
      <c r="BB220" s="157">
        <f t="shared" si="115"/>
        <v>5031.6967897998775</v>
      </c>
      <c r="BC220" s="157">
        <f t="shared" si="115"/>
        <v>4993.4189033957036</v>
      </c>
      <c r="BD220" s="157">
        <f t="shared" si="115"/>
        <v>4957.629079607801</v>
      </c>
      <c r="BE220" s="157">
        <f t="shared" si="115"/>
        <v>4924.1655943661126</v>
      </c>
      <c r="BF220" s="157">
        <f t="shared" si="115"/>
        <v>4892.8772356651334</v>
      </c>
      <c r="BG220" s="157">
        <f t="shared" si="115"/>
        <v>4863.6226202797188</v>
      </c>
      <c r="BH220" s="157">
        <f t="shared" si="115"/>
        <v>4836.2695548943548</v>
      </c>
      <c r="BI220" s="157">
        <f t="shared" si="115"/>
        <v>4810.6944387590402</v>
      </c>
      <c r="BJ220" s="157">
        <f t="shared" si="115"/>
        <v>4786.7817051725215</v>
      </c>
      <c r="BK220" s="157">
        <f t="shared" si="115"/>
        <v>4764.4232992691259</v>
      </c>
      <c r="BL220" s="157">
        <f t="shared" si="115"/>
        <v>4743.5181897494513</v>
      </c>
      <c r="BM220" s="157">
        <f t="shared" si="115"/>
        <v>4723.9719123485547</v>
      </c>
      <c r="BN220" s="158">
        <f t="shared" si="115"/>
        <v>4705.696142978717</v>
      </c>
    </row>
    <row r="221" spans="1:87" ht="20.100000000000001" customHeight="1">
      <c r="AF221" s="211" t="s">
        <v>861</v>
      </c>
      <c r="AG221" s="445"/>
      <c r="AH221" s="121"/>
      <c r="AI221" s="445"/>
      <c r="AJ221" s="445"/>
      <c r="AK221" s="445"/>
      <c r="AL221" s="123">
        <f t="shared" ref="AL221:BN221" si="116">AL69</f>
        <v>9815.7307639400351</v>
      </c>
      <c r="AM221" s="123">
        <f t="shared" si="116"/>
        <v>9592.4780872851134</v>
      </c>
      <c r="AN221" s="123">
        <f t="shared" si="116"/>
        <v>9386.1926140559663</v>
      </c>
      <c r="AO221" s="123">
        <f t="shared" si="116"/>
        <v>9195.5848367922354</v>
      </c>
      <c r="AP221" s="123">
        <f t="shared" si="116"/>
        <v>9019.4632506005473</v>
      </c>
      <c r="AQ221" s="123">
        <f t="shared" si="116"/>
        <v>8856.7269049594288</v>
      </c>
      <c r="AR221" s="123">
        <f t="shared" si="116"/>
        <v>8706.3585215870335</v>
      </c>
      <c r="AS221" s="123">
        <f t="shared" si="116"/>
        <v>8567.4181353509412</v>
      </c>
      <c r="AT221" s="123">
        <f t="shared" si="116"/>
        <v>8439.0372184687913</v>
      </c>
      <c r="AU221" s="123">
        <f t="shared" si="116"/>
        <v>8337.5825096800836</v>
      </c>
      <c r="AV221" s="123">
        <f t="shared" si="116"/>
        <v>8242.7223569626403</v>
      </c>
      <c r="AW221" s="123">
        <f t="shared" si="116"/>
        <v>8154.0281141718306</v>
      </c>
      <c r="AX221" s="123">
        <f t="shared" si="116"/>
        <v>8071.0989971624231</v>
      </c>
      <c r="AY221" s="123">
        <f t="shared" si="116"/>
        <v>7993.5602727586283</v>
      </c>
      <c r="AZ221" s="123">
        <f t="shared" si="116"/>
        <v>7921.0615654410794</v>
      </c>
      <c r="BA221" s="123">
        <f t="shared" si="116"/>
        <v>7853.2752740991718</v>
      </c>
      <c r="BB221" s="123">
        <f t="shared" si="116"/>
        <v>7789.8950916944877</v>
      </c>
      <c r="BC221" s="123">
        <f t="shared" si="116"/>
        <v>7730.6346211461087</v>
      </c>
      <c r="BD221" s="123">
        <f t="shared" si="116"/>
        <v>7675.2260811833739</v>
      </c>
      <c r="BE221" s="123">
        <f t="shared" si="116"/>
        <v>7623.4190963182164</v>
      </c>
      <c r="BF221" s="123">
        <f t="shared" si="116"/>
        <v>7574.9795654692953</v>
      </c>
      <c r="BG221" s="123">
        <f t="shared" si="116"/>
        <v>7529.688604125553</v>
      </c>
      <c r="BH221" s="123">
        <f t="shared" si="116"/>
        <v>7487.341555269154</v>
      </c>
      <c r="BI221" s="123">
        <f t="shared" si="116"/>
        <v>7447.7470645884214</v>
      </c>
      <c r="BJ221" s="123">
        <f t="shared" si="116"/>
        <v>7410.7262158019366</v>
      </c>
      <c r="BK221" s="123">
        <f t="shared" si="116"/>
        <v>7376.1117221865725</v>
      </c>
      <c r="BL221" s="123">
        <f t="shared" si="116"/>
        <v>7343.7471706562083</v>
      </c>
      <c r="BM221" s="123">
        <f t="shared" si="116"/>
        <v>7313.4863149753164</v>
      </c>
      <c r="BN221" s="159">
        <f t="shared" si="116"/>
        <v>7285.192414913683</v>
      </c>
    </row>
    <row r="222" spans="1:87" ht="20.100000000000001" customHeight="1">
      <c r="AF222" s="211" t="s">
        <v>860</v>
      </c>
      <c r="AG222" s="445"/>
      <c r="AH222" s="121"/>
      <c r="AI222" s="445"/>
      <c r="AJ222" s="445"/>
      <c r="AK222" s="445"/>
      <c r="AL222" s="123">
        <f t="shared" ref="AL222:BN222" si="117">AL87</f>
        <v>41317.689306508546</v>
      </c>
      <c r="AM222" s="123">
        <f t="shared" si="117"/>
        <v>40377.944222549886</v>
      </c>
      <c r="AN222" s="123">
        <f t="shared" si="117"/>
        <v>39509.619764972085</v>
      </c>
      <c r="AO222" s="123">
        <f t="shared" si="117"/>
        <v>38707.287966170195</v>
      </c>
      <c r="AP222" s="123">
        <f t="shared" si="117"/>
        <v>37965.933384077252</v>
      </c>
      <c r="AQ222" s="123">
        <f t="shared" si="117"/>
        <v>37280.921750223373</v>
      </c>
      <c r="AR222" s="123">
        <f t="shared" si="117"/>
        <v>36647.971000542384</v>
      </c>
      <c r="AS222" s="123">
        <f t="shared" si="117"/>
        <v>36063.124507837158</v>
      </c>
      <c r="AT222" s="123">
        <f t="shared" si="117"/>
        <v>35522.726348577518</v>
      </c>
      <c r="AU222" s="123">
        <f t="shared" si="117"/>
        <v>35095.6695927205</v>
      </c>
      <c r="AV222" s="123">
        <f t="shared" si="117"/>
        <v>34696.371525994189</v>
      </c>
      <c r="AW222" s="123">
        <f t="shared" si="117"/>
        <v>34323.027833605083</v>
      </c>
      <c r="AX222" s="123">
        <f t="shared" si="117"/>
        <v>33973.951481221273</v>
      </c>
      <c r="AY222" s="123">
        <f t="shared" si="117"/>
        <v>33647.565091742406</v>
      </c>
      <c r="AZ222" s="123">
        <f t="shared" si="117"/>
        <v>33342.393817579665</v>
      </c>
      <c r="BA222" s="123">
        <f t="shared" si="117"/>
        <v>33057.05867623751</v>
      </c>
      <c r="BB222" s="123">
        <f t="shared" si="117"/>
        <v>32790.270319082585</v>
      </c>
      <c r="BC222" s="123">
        <f t="shared" si="117"/>
        <v>32540.82320514274</v>
      </c>
      <c r="BD222" s="123">
        <f t="shared" si="117"/>
        <v>32307.59015360898</v>
      </c>
      <c r="BE222" s="123">
        <f t="shared" si="117"/>
        <v>32089.517250424913</v>
      </c>
      <c r="BF222" s="123">
        <f t="shared" si="117"/>
        <v>31885.619085947808</v>
      </c>
      <c r="BG222" s="123">
        <f t="shared" si="117"/>
        <v>31694.974302161718</v>
      </c>
      <c r="BH222" s="123">
        <f t="shared" si="117"/>
        <v>31516.721429321726</v>
      </c>
      <c r="BI222" s="123">
        <f t="shared" si="117"/>
        <v>31350.054993216334</v>
      </c>
      <c r="BJ222" s="123">
        <f t="shared" si="117"/>
        <v>31194.221875457792</v>
      </c>
      <c r="BK222" s="123">
        <f t="shared" si="117"/>
        <v>31048.517910353548</v>
      </c>
      <c r="BL222" s="123">
        <f t="shared" si="117"/>
        <v>30912.284702981087</v>
      </c>
      <c r="BM222" s="123">
        <f t="shared" si="117"/>
        <v>30784.906654087834</v>
      </c>
      <c r="BN222" s="159">
        <f t="shared" si="117"/>
        <v>30665.808178372645</v>
      </c>
    </row>
    <row r="223" spans="1:87" ht="20.100000000000001" customHeight="1">
      <c r="AF223" s="211" t="s">
        <v>859</v>
      </c>
      <c r="AG223" s="445"/>
      <c r="AH223" s="121"/>
      <c r="AI223" s="445"/>
      <c r="AJ223" s="445"/>
      <c r="AK223" s="445"/>
      <c r="AL223" s="123">
        <f t="shared" ref="AL223:BN223" si="118">AL107</f>
        <v>79224.822270316072</v>
      </c>
      <c r="AM223" s="123">
        <f t="shared" si="118"/>
        <v>77228.58022352065</v>
      </c>
      <c r="AN223" s="123">
        <f t="shared" si="118"/>
        <v>75384.052572281667</v>
      </c>
      <c r="AO223" s="123">
        <f t="shared" si="118"/>
        <v>73679.709022536845</v>
      </c>
      <c r="AP223" s="123">
        <f t="shared" si="118"/>
        <v>72104.895582572644</v>
      </c>
      <c r="AQ223" s="123">
        <f t="shared" si="118"/>
        <v>70649.767964045706</v>
      </c>
      <c r="AR223" s="123">
        <f t="shared" si="118"/>
        <v>69305.230044526834</v>
      </c>
      <c r="AS223" s="123">
        <f t="shared" si="118"/>
        <v>68062.877006891373</v>
      </c>
      <c r="AT223" s="123">
        <f t="shared" si="118"/>
        <v>66914.942800116216</v>
      </c>
      <c r="AU223" s="123">
        <f t="shared" si="118"/>
        <v>66007.772688814701</v>
      </c>
      <c r="AV223" s="123">
        <f t="shared" si="118"/>
        <v>65159.568634747775</v>
      </c>
      <c r="AW223" s="123">
        <f t="shared" si="118"/>
        <v>64366.497844195197</v>
      </c>
      <c r="AX223" s="123">
        <f t="shared" si="118"/>
        <v>63624.976655028542</v>
      </c>
      <c r="AY223" s="123">
        <f t="shared" si="118"/>
        <v>62931.654343157716</v>
      </c>
      <c r="AZ223" s="123">
        <f t="shared" si="118"/>
        <v>62283.397981558504</v>
      </c>
      <c r="BA223" s="123">
        <f t="shared" si="118"/>
        <v>61677.278283463223</v>
      </c>
      <c r="BB223" s="123">
        <f t="shared" si="118"/>
        <v>61110.556365744153</v>
      </c>
      <c r="BC223" s="123">
        <f t="shared" si="118"/>
        <v>60580.671372676807</v>
      </c>
      <c r="BD223" s="123">
        <f t="shared" si="118"/>
        <v>60085.228904158852</v>
      </c>
      <c r="BE223" s="123">
        <f t="shared" si="118"/>
        <v>59621.990196094557</v>
      </c>
      <c r="BF223" s="123">
        <f t="shared" si="118"/>
        <v>59188.862004054434</v>
      </c>
      <c r="BG223" s="123">
        <f t="shared" si="118"/>
        <v>58783.887144496926</v>
      </c>
      <c r="BH223" s="123">
        <f t="shared" si="118"/>
        <v>58405.23565081066</v>
      </c>
      <c r="BI223" s="123">
        <f t="shared" si="118"/>
        <v>58051.196504214007</v>
      </c>
      <c r="BJ223" s="123">
        <f t="shared" si="118"/>
        <v>57720.169902146125</v>
      </c>
      <c r="BK223" s="123">
        <f t="shared" si="118"/>
        <v>57410.660029212653</v>
      </c>
      <c r="BL223" s="123">
        <f t="shared" si="118"/>
        <v>57121.268298019859</v>
      </c>
      <c r="BM223" s="123">
        <f t="shared" si="118"/>
        <v>56850.687029354609</v>
      </c>
      <c r="BN223" s="159">
        <f t="shared" si="118"/>
        <v>56597.693543152578</v>
      </c>
    </row>
    <row r="224" spans="1:87" ht="20.100000000000001" customHeight="1">
      <c r="AF224" s="211" t="s">
        <v>870</v>
      </c>
      <c r="AG224" s="445"/>
      <c r="AH224" s="121"/>
      <c r="AI224" s="445"/>
      <c r="AJ224" s="445"/>
      <c r="AK224" s="445"/>
      <c r="AL224" s="123">
        <f t="shared" ref="AL224:BN224" si="119">AL151</f>
        <v>14588.207846393425</v>
      </c>
      <c r="AM224" s="123">
        <f t="shared" si="119"/>
        <v>13479.504050067526</v>
      </c>
      <c r="AN224" s="123">
        <f t="shared" si="119"/>
        <v>12455.061742262396</v>
      </c>
      <c r="AO224" s="123">
        <f t="shared" si="119"/>
        <v>11508.477049850453</v>
      </c>
      <c r="AP224" s="123">
        <f t="shared" si="119"/>
        <v>10633.832794061818</v>
      </c>
      <c r="AQ224" s="123">
        <f t="shared" si="119"/>
        <v>9825.6615017131207</v>
      </c>
      <c r="AR224" s="123">
        <f t="shared" si="119"/>
        <v>9078.9112275829248</v>
      </c>
      <c r="AS224" s="123">
        <f t="shared" si="119"/>
        <v>8388.9139742866228</v>
      </c>
      <c r="AT224" s="123">
        <f t="shared" si="119"/>
        <v>7751.3565122408399</v>
      </c>
      <c r="AU224" s="123">
        <f t="shared" si="119"/>
        <v>7247.5183389451859</v>
      </c>
      <c r="AV224" s="123">
        <f t="shared" si="119"/>
        <v>6776.4296469137489</v>
      </c>
      <c r="AW224" s="123">
        <f t="shared" si="119"/>
        <v>6335.9617198643555</v>
      </c>
      <c r="AX224" s="123">
        <f t="shared" si="119"/>
        <v>5924.1242080731727</v>
      </c>
      <c r="AY224" s="123">
        <f t="shared" si="119"/>
        <v>5539.0561345484175</v>
      </c>
      <c r="AZ224" s="123">
        <f t="shared" si="119"/>
        <v>5179.0174858027694</v>
      </c>
      <c r="BA224" s="123">
        <f t="shared" si="119"/>
        <v>4842.3813492255904</v>
      </c>
      <c r="BB224" s="123">
        <f t="shared" si="119"/>
        <v>4527.6265615259272</v>
      </c>
      <c r="BC224" s="123">
        <f t="shared" si="119"/>
        <v>4233.3308350267425</v>
      </c>
      <c r="BD224" s="123">
        <f t="shared" si="119"/>
        <v>3958.1643307500049</v>
      </c>
      <c r="BE224" s="123">
        <f t="shared" si="119"/>
        <v>3700.8836492512546</v>
      </c>
      <c r="BF224" s="123">
        <f t="shared" si="119"/>
        <v>3460.3262120499235</v>
      </c>
      <c r="BG224" s="123">
        <f t="shared" si="119"/>
        <v>3235.4050082666781</v>
      </c>
      <c r="BH224" s="123">
        <f t="shared" si="119"/>
        <v>3025.1036827293447</v>
      </c>
      <c r="BI224" s="123">
        <f t="shared" si="119"/>
        <v>2828.4719433519376</v>
      </c>
      <c r="BJ224" s="123">
        <f t="shared" si="119"/>
        <v>2644.6212670340619</v>
      </c>
      <c r="BK224" s="123">
        <f t="shared" si="119"/>
        <v>2472.7208846768481</v>
      </c>
      <c r="BL224" s="123">
        <f t="shared" si="119"/>
        <v>2311.9940271728528</v>
      </c>
      <c r="BM224" s="123">
        <f t="shared" si="119"/>
        <v>2161.7144154066177</v>
      </c>
      <c r="BN224" s="159">
        <f t="shared" si="119"/>
        <v>2021.2029784051874</v>
      </c>
    </row>
    <row r="225" spans="32:66" ht="20.100000000000001" customHeight="1">
      <c r="AF225" s="211" t="s">
        <v>871</v>
      </c>
      <c r="AG225" s="445"/>
      <c r="AH225" s="121"/>
      <c r="AI225" s="445"/>
      <c r="AJ225" s="445"/>
      <c r="AK225" s="445"/>
      <c r="AL225" s="123">
        <f t="shared" ref="AL225:BN225" si="120">AL164</f>
        <v>4974.1817648662272</v>
      </c>
      <c r="AM225" s="123">
        <f t="shared" si="120"/>
        <v>4634.5206783861495</v>
      </c>
      <c r="AN225" s="123">
        <f t="shared" si="120"/>
        <v>4320.6738344785563</v>
      </c>
      <c r="AO225" s="123">
        <f t="shared" si="120"/>
        <v>4030.6793507079401</v>
      </c>
      <c r="AP225" s="123">
        <f t="shared" si="120"/>
        <v>3762.7244477038912</v>
      </c>
      <c r="AQ225" s="123">
        <f t="shared" si="120"/>
        <v>3515.1341173281498</v>
      </c>
      <c r="AR225" s="123">
        <f t="shared" si="120"/>
        <v>3286.3606520609646</v>
      </c>
      <c r="AS225" s="123">
        <f t="shared" si="120"/>
        <v>3074.9739701540857</v>
      </c>
      <c r="AT225" s="123">
        <f t="shared" si="120"/>
        <v>2879.6526760721299</v>
      </c>
      <c r="AU225" s="123">
        <f t="shared" si="120"/>
        <v>2725.2974534068371</v>
      </c>
      <c r="AV225" s="123">
        <f t="shared" si="120"/>
        <v>2580.9753202147876</v>
      </c>
      <c r="AW225" s="123">
        <f t="shared" si="120"/>
        <v>2446.0341256802221</v>
      </c>
      <c r="AX225" s="123">
        <f t="shared" si="120"/>
        <v>2319.8641087904025</v>
      </c>
      <c r="AY225" s="123">
        <f t="shared" si="120"/>
        <v>2201.8951429984218</v>
      </c>
      <c r="AZ225" s="123">
        <f t="shared" si="120"/>
        <v>2091.5941599829198</v>
      </c>
      <c r="BA225" s="123">
        <f t="shared" si="120"/>
        <v>1988.4627408634258</v>
      </c>
      <c r="BB225" s="123">
        <f t="shared" si="120"/>
        <v>1892.0348639866984</v>
      </c>
      <c r="BC225" s="123">
        <f t="shared" si="120"/>
        <v>1801.8747991069583</v>
      </c>
      <c r="BD225" s="123">
        <f t="shared" si="120"/>
        <v>1717.5751384444015</v>
      </c>
      <c r="BE225" s="123">
        <f t="shared" si="120"/>
        <v>1638.7549557249106</v>
      </c>
      <c r="BF225" s="123">
        <f t="shared" si="120"/>
        <v>1565.0580848821867</v>
      </c>
      <c r="BG225" s="123">
        <f t="shared" si="120"/>
        <v>1496.1515106442398</v>
      </c>
      <c r="BH225" s="123">
        <f t="shared" si="120"/>
        <v>1431.7238637317596</v>
      </c>
      <c r="BI225" s="123">
        <f t="shared" si="120"/>
        <v>1371.4840138685904</v>
      </c>
      <c r="BJ225" s="123">
        <f t="shared" si="120"/>
        <v>1315.1597542465272</v>
      </c>
      <c r="BK225" s="123">
        <f t="shared" si="120"/>
        <v>1262.4965714998982</v>
      </c>
      <c r="BL225" s="123">
        <f t="shared" si="120"/>
        <v>1213.2564956318001</v>
      </c>
      <c r="BM225" s="123">
        <f t="shared" si="120"/>
        <v>1167.2170246951284</v>
      </c>
      <c r="BN225" s="159">
        <f t="shared" si="120"/>
        <v>1124.1701193693402</v>
      </c>
    </row>
    <row r="226" spans="32:66" ht="20.100000000000001" customHeight="1">
      <c r="AF226" s="211" t="s">
        <v>872</v>
      </c>
      <c r="AG226" s="445"/>
      <c r="AH226" s="121"/>
      <c r="AI226" s="445"/>
      <c r="AJ226" s="445"/>
      <c r="AK226" s="445"/>
      <c r="AL226" s="123">
        <f t="shared" ref="AL226:BN226" si="121">AL177</f>
        <v>47592.940608383826</v>
      </c>
      <c r="AM226" s="123">
        <f t="shared" si="121"/>
        <v>44747.052147840353</v>
      </c>
      <c r="AN226" s="123">
        <f t="shared" si="121"/>
        <v>42117.451210298183</v>
      </c>
      <c r="AO226" s="123">
        <f t="shared" si="121"/>
        <v>39687.699944009219</v>
      </c>
      <c r="AP226" s="123">
        <f t="shared" si="121"/>
        <v>37442.609773958218</v>
      </c>
      <c r="AQ226" s="123">
        <f t="shared" si="121"/>
        <v>35368.146456831091</v>
      </c>
      <c r="AR226" s="123">
        <f t="shared" si="121"/>
        <v>33451.342351805622</v>
      </c>
      <c r="AS226" s="123">
        <f t="shared" si="121"/>
        <v>31680.215358762096</v>
      </c>
      <c r="AT226" s="123">
        <f t="shared" si="121"/>
        <v>30043.694017189871</v>
      </c>
      <c r="AU226" s="123">
        <f t="shared" si="121"/>
        <v>28750.411493836877</v>
      </c>
      <c r="AV226" s="123">
        <f t="shared" si="121"/>
        <v>27541.192334501829</v>
      </c>
      <c r="AW226" s="123">
        <f t="shared" si="121"/>
        <v>26410.572420523557</v>
      </c>
      <c r="AX226" s="123">
        <f t="shared" si="121"/>
        <v>25353.442800953868</v>
      </c>
      <c r="AY226" s="123">
        <f t="shared" si="121"/>
        <v>24365.026606656218</v>
      </c>
      <c r="AZ226" s="123">
        <f t="shared" si="121"/>
        <v>23440.857464987908</v>
      </c>
      <c r="BA226" s="123">
        <f t="shared" si="121"/>
        <v>22576.759317528042</v>
      </c>
      <c r="BB226" s="123">
        <f t="shared" si="121"/>
        <v>21768.827549653062</v>
      </c>
      <c r="BC226" s="123">
        <f t="shared" si="121"/>
        <v>21013.411346689962</v>
      </c>
      <c r="BD226" s="123">
        <f t="shared" si="121"/>
        <v>20307.097196919462</v>
      </c>
      <c r="BE226" s="123">
        <f t="shared" si="121"/>
        <v>19646.69346688404</v>
      </c>
      <c r="BF226" s="123">
        <f t="shared" si="121"/>
        <v>19029.215979300927</v>
      </c>
      <c r="BG226" s="123">
        <f t="shared" si="121"/>
        <v>18451.874528410714</v>
      </c>
      <c r="BH226" s="123">
        <f t="shared" si="121"/>
        <v>17912.060271828363</v>
      </c>
      <c r="BI226" s="123">
        <f t="shared" si="121"/>
        <v>17407.333941923865</v>
      </c>
      <c r="BJ226" s="123">
        <f t="shared" si="121"/>
        <v>16935.414823463161</v>
      </c>
      <c r="BK226" s="123">
        <f t="shared" si="121"/>
        <v>16494.1704477024</v>
      </c>
      <c r="BL226" s="123">
        <f t="shared" si="121"/>
        <v>16081.606956366089</v>
      </c>
      <c r="BM226" s="123">
        <f t="shared" si="121"/>
        <v>15695.860091966639</v>
      </c>
      <c r="BN226" s="159">
        <f t="shared" si="121"/>
        <v>15335.186773753154</v>
      </c>
    </row>
    <row r="227" spans="32:66" ht="20.100000000000001" customHeight="1">
      <c r="AF227" s="211" t="s">
        <v>873</v>
      </c>
      <c r="AG227" s="445"/>
      <c r="AH227" s="121"/>
      <c r="AI227" s="445"/>
      <c r="AJ227" s="445"/>
      <c r="AK227" s="445"/>
      <c r="AL227" s="123">
        <f t="shared" ref="AL227:BN227" si="122">AL190</f>
        <v>8712.666485741096</v>
      </c>
      <c r="AM227" s="123">
        <f t="shared" si="122"/>
        <v>8292.8877198283735</v>
      </c>
      <c r="AN227" s="123">
        <f t="shared" si="122"/>
        <v>7905.012140125018</v>
      </c>
      <c r="AO227" s="123">
        <f t="shared" si="122"/>
        <v>7546.6151044791159</v>
      </c>
      <c r="AP227" s="123">
        <f t="shared" si="122"/>
        <v>7215.4562435423031</v>
      </c>
      <c r="AQ227" s="123">
        <f t="shared" si="122"/>
        <v>6909.4654560366889</v>
      </c>
      <c r="AR227" s="123">
        <f t="shared" si="122"/>
        <v>6626.7299683814999</v>
      </c>
      <c r="AS227" s="123">
        <f t="shared" si="122"/>
        <v>6365.4823777881065</v>
      </c>
      <c r="AT227" s="123">
        <f t="shared" si="122"/>
        <v>6124.0896040798107</v>
      </c>
      <c r="AU227" s="123">
        <f t="shared" si="122"/>
        <v>5933.3257884361228</v>
      </c>
      <c r="AV227" s="123">
        <f t="shared" si="122"/>
        <v>5754.9616208092757</v>
      </c>
      <c r="AW227" s="123">
        <f t="shared" si="122"/>
        <v>5588.1911240781728</v>
      </c>
      <c r="AX227" s="123">
        <f t="shared" si="122"/>
        <v>5432.2607096345919</v>
      </c>
      <c r="AY227" s="123">
        <f t="shared" si="122"/>
        <v>5286.4657721298436</v>
      </c>
      <c r="AZ227" s="123">
        <f t="shared" si="122"/>
        <v>5150.1475055629035</v>
      </c>
      <c r="BA227" s="123">
        <f t="shared" si="122"/>
        <v>5022.6899263228152</v>
      </c>
      <c r="BB227" s="123">
        <f t="shared" si="122"/>
        <v>4903.5170897333319</v>
      </c>
      <c r="BC227" s="123">
        <f t="shared" si="122"/>
        <v>4792.0904875221659</v>
      </c>
      <c r="BD227" s="123">
        <f t="shared" si="122"/>
        <v>4687.9066144547251</v>
      </c>
      <c r="BE227" s="123">
        <f t="shared" si="122"/>
        <v>4590.4946931366676</v>
      </c>
      <c r="BF227" s="123">
        <f t="shared" si="122"/>
        <v>4499.4145467042845</v>
      </c>
      <c r="BG227" s="123">
        <f t="shared" si="122"/>
        <v>4414.2546097900067</v>
      </c>
      <c r="BH227" s="123">
        <f t="shared" si="122"/>
        <v>4334.6300687751564</v>
      </c>
      <c r="BI227" s="123">
        <f t="shared" si="122"/>
        <v>4260.1811229262712</v>
      </c>
      <c r="BJ227" s="123">
        <f t="shared" si="122"/>
        <v>4190.5713585575631</v>
      </c>
      <c r="BK227" s="123">
        <f t="shared" si="122"/>
        <v>4125.4862288728218</v>
      </c>
      <c r="BL227" s="123">
        <f t="shared" si="122"/>
        <v>4064.6316326175879</v>
      </c>
      <c r="BM227" s="123">
        <f t="shared" si="122"/>
        <v>4007.7325851189448</v>
      </c>
      <c r="BN227" s="159">
        <f t="shared" si="122"/>
        <v>3954.5319757077136</v>
      </c>
    </row>
    <row r="228" spans="32:66" ht="20.100000000000001" customHeight="1">
      <c r="AF228" s="211" t="s">
        <v>874</v>
      </c>
      <c r="AG228" s="445"/>
      <c r="AH228" s="121"/>
      <c r="AI228" s="445"/>
      <c r="AJ228" s="445"/>
      <c r="AK228" s="445"/>
      <c r="AL228" s="123">
        <f t="shared" ref="AL228:BN228" si="123">AL203</f>
        <v>137765.96378561738</v>
      </c>
      <c r="AM228" s="123">
        <f t="shared" si="123"/>
        <v>132765.89539104709</v>
      </c>
      <c r="AN228" s="123">
        <f t="shared" si="123"/>
        <v>128145.83219446409</v>
      </c>
      <c r="AO228" s="123">
        <f t="shared" si="123"/>
        <v>123876.89380082142</v>
      </c>
      <c r="AP228" s="123">
        <f t="shared" si="123"/>
        <v>119932.3947250956</v>
      </c>
      <c r="AQ228" s="123">
        <f t="shared" si="123"/>
        <v>116287.67757912494</v>
      </c>
      <c r="AR228" s="123">
        <f t="shared" si="123"/>
        <v>112919.95893624803</v>
      </c>
      <c r="AS228" s="123">
        <f t="shared" si="123"/>
        <v>109808.18691022978</v>
      </c>
      <c r="AT228" s="123">
        <f t="shared" si="123"/>
        <v>106932.90955818893</v>
      </c>
      <c r="AU228" s="123">
        <f t="shared" si="123"/>
        <v>104660.68379814189</v>
      </c>
      <c r="AV228" s="123">
        <f t="shared" si="123"/>
        <v>102536.15271249792</v>
      </c>
      <c r="AW228" s="123">
        <f t="shared" si="123"/>
        <v>100549.71614742081</v>
      </c>
      <c r="AX228" s="123">
        <f t="shared" si="123"/>
        <v>98692.3979590737</v>
      </c>
      <c r="AY228" s="123">
        <f t="shared" si="123"/>
        <v>96955.805452969158</v>
      </c>
      <c r="AZ228" s="123">
        <f t="shared" si="123"/>
        <v>95332.091459761417</v>
      </c>
      <c r="BA228" s="123">
        <f t="shared" si="123"/>
        <v>93813.918876112177</v>
      </c>
      <c r="BB228" s="123">
        <f t="shared" si="123"/>
        <v>92394.427510400143</v>
      </c>
      <c r="BC228" s="123">
        <f t="shared" si="123"/>
        <v>91067.203083459375</v>
      </c>
      <c r="BD228" s="123">
        <f t="shared" si="123"/>
        <v>89826.248244269766</v>
      </c>
      <c r="BE228" s="123">
        <f t="shared" si="123"/>
        <v>88665.955469627486</v>
      </c>
      <c r="BF228" s="123">
        <f t="shared" si="123"/>
        <v>87581.081725336946</v>
      </c>
      <c r="BG228" s="123">
        <f t="shared" si="123"/>
        <v>86566.724774425296</v>
      </c>
      <c r="BH228" s="123">
        <f t="shared" si="123"/>
        <v>85618.3010253229</v>
      </c>
      <c r="BI228" s="123">
        <f t="shared" si="123"/>
        <v>84731.524819912171</v>
      </c>
      <c r="BJ228" s="123">
        <f t="shared" si="123"/>
        <v>83902.389067853132</v>
      </c>
      <c r="BK228" s="123">
        <f t="shared" si="123"/>
        <v>83127.147139677923</v>
      </c>
      <c r="BL228" s="123">
        <f t="shared" si="123"/>
        <v>82402.295936834111</v>
      </c>
      <c r="BM228" s="123">
        <f t="shared" si="123"/>
        <v>81724.560062175136</v>
      </c>
      <c r="BN228" s="159">
        <f t="shared" si="123"/>
        <v>81090.877019369</v>
      </c>
    </row>
    <row r="229" spans="32:66" ht="20.100000000000001" customHeight="1" thickBot="1">
      <c r="AF229" s="212" t="s">
        <v>875</v>
      </c>
      <c r="AG229" s="155"/>
      <c r="AH229" s="155"/>
      <c r="AI229" s="155"/>
      <c r="AJ229" s="155"/>
      <c r="AK229" s="155"/>
      <c r="AL229" s="160">
        <f t="shared" ref="AL229:BN229" si="124">AL216</f>
        <v>3818.0236228025269</v>
      </c>
      <c r="AM229" s="160">
        <f t="shared" si="124"/>
        <v>3567.8076096982732</v>
      </c>
      <c r="AN229" s="160">
        <f t="shared" si="124"/>
        <v>3336.6080135899424</v>
      </c>
      <c r="AO229" s="160">
        <f t="shared" si="124"/>
        <v>3122.9795867858443</v>
      </c>
      <c r="AP229" s="160">
        <f t="shared" si="124"/>
        <v>2925.5869204188584</v>
      </c>
      <c r="AQ229" s="160">
        <f t="shared" si="124"/>
        <v>2743.1960966957631</v>
      </c>
      <c r="AR229" s="160">
        <f t="shared" si="124"/>
        <v>2574.6669755756229</v>
      </c>
      <c r="AS229" s="160">
        <f t="shared" si="124"/>
        <v>2418.9460676606132</v>
      </c>
      <c r="AT229" s="160">
        <f t="shared" si="124"/>
        <v>2275.0599487471441</v>
      </c>
      <c r="AU229" s="160">
        <f t="shared" si="124"/>
        <v>2161.3520500373688</v>
      </c>
      <c r="AV229" s="160">
        <f t="shared" si="124"/>
        <v>2055.0351647437292</v>
      </c>
      <c r="AW229" s="160">
        <f t="shared" si="124"/>
        <v>1955.6288769941757</v>
      </c>
      <c r="AX229" s="160">
        <f t="shared" si="124"/>
        <v>1862.6839979483434</v>
      </c>
      <c r="AY229" s="160">
        <f t="shared" si="124"/>
        <v>1775.78053604049</v>
      </c>
      <c r="AZ229" s="160">
        <f t="shared" si="124"/>
        <v>1694.5257991566473</v>
      </c>
      <c r="BA229" s="160">
        <f t="shared" si="124"/>
        <v>1618.5526201702542</v>
      </c>
      <c r="BB229" s="160">
        <f t="shared" si="124"/>
        <v>1547.517697817977</v>
      </c>
      <c r="BC229" s="160">
        <f t="shared" si="124"/>
        <v>1481.1000454185973</v>
      </c>
      <c r="BD229" s="160">
        <f t="shared" si="124"/>
        <v>1418.9995404251777</v>
      </c>
      <c r="BE229" s="160">
        <f t="shared" si="124"/>
        <v>1360.93556825633</v>
      </c>
      <c r="BF229" s="160">
        <f t="shared" si="124"/>
        <v>1306.6457542784574</v>
      </c>
      <c r="BG229" s="160">
        <f t="shared" si="124"/>
        <v>1255.8847782091468</v>
      </c>
      <c r="BH229" s="160">
        <f t="shared" si="124"/>
        <v>1208.4232655843412</v>
      </c>
      <c r="BI229" s="160">
        <f t="shared" si="124"/>
        <v>1164.0467512801479</v>
      </c>
      <c r="BJ229" s="160">
        <f t="shared" si="124"/>
        <v>1122.5547104057273</v>
      </c>
      <c r="BK229" s="160">
        <f t="shared" si="124"/>
        <v>1083.7596521881439</v>
      </c>
      <c r="BL229" s="160">
        <f t="shared" si="124"/>
        <v>1047.4862727547036</v>
      </c>
      <c r="BM229" s="160">
        <f t="shared" si="124"/>
        <v>1013.5706629844368</v>
      </c>
      <c r="BN229" s="161">
        <f t="shared" si="124"/>
        <v>981.85956784923735</v>
      </c>
    </row>
    <row r="230" spans="32:66" ht="20.100000000000001" customHeight="1">
      <c r="AF230" s="208" t="s">
        <v>1023</v>
      </c>
      <c r="AG230" s="136"/>
      <c r="AH230" s="136"/>
      <c r="AI230" s="136"/>
      <c r="AJ230" s="136"/>
      <c r="AK230" s="136"/>
      <c r="AL230" s="162">
        <f>IF(SUM(AL220:AL229)=0,"",SUM(AL220:AL229))</f>
        <v>354150.46344018861</v>
      </c>
      <c r="AM230" s="162">
        <f t="shared" ref="AM230:BN230" si="125">IF(SUM(AM220:AM229)=0,"",SUM(AM220:AM229))</f>
        <v>340882.70237839571</v>
      </c>
      <c r="AN230" s="162">
        <f t="shared" si="125"/>
        <v>328623.29115729901</v>
      </c>
      <c r="AO230" s="162">
        <f t="shared" si="125"/>
        <v>317295.59518900566</v>
      </c>
      <c r="AP230" s="162">
        <f t="shared" si="125"/>
        <v>306828.80411430268</v>
      </c>
      <c r="AQ230" s="162">
        <f t="shared" si="125"/>
        <v>297157.48916127707</v>
      </c>
      <c r="AR230" s="162">
        <f t="shared" si="125"/>
        <v>288221.19414468145</v>
      </c>
      <c r="AS230" s="162">
        <f t="shared" si="125"/>
        <v>279964.05754934705</v>
      </c>
      <c r="AT230" s="162">
        <f t="shared" si="125"/>
        <v>272334.46333525807</v>
      </c>
      <c r="AU230" s="162">
        <f t="shared" si="125"/>
        <v>266305.07611817669</v>
      </c>
      <c r="AV230" s="162">
        <f t="shared" si="125"/>
        <v>260667.59907020562</v>
      </c>
      <c r="AW230" s="162">
        <f t="shared" si="125"/>
        <v>255396.55803035269</v>
      </c>
      <c r="AX230" s="162">
        <f t="shared" si="125"/>
        <v>250468.13465809016</v>
      </c>
      <c r="AY230" s="162">
        <f t="shared" si="125"/>
        <v>245860.05880502472</v>
      </c>
      <c r="AZ230" s="162">
        <f t="shared" si="125"/>
        <v>241551.50788240854</v>
      </c>
      <c r="BA230" s="162">
        <f t="shared" si="125"/>
        <v>237523.01276976237</v>
      </c>
      <c r="BB230" s="162">
        <f t="shared" si="125"/>
        <v>233756.36983943827</v>
      </c>
      <c r="BC230" s="162">
        <f t="shared" si="125"/>
        <v>230234.55869958515</v>
      </c>
      <c r="BD230" s="162">
        <f t="shared" si="125"/>
        <v>226941.66528382254</v>
      </c>
      <c r="BE230" s="162">
        <f t="shared" si="125"/>
        <v>223862.80994008449</v>
      </c>
      <c r="BF230" s="162">
        <f t="shared" si="125"/>
        <v>220984.08019368944</v>
      </c>
      <c r="BG230" s="162">
        <f t="shared" si="125"/>
        <v>218292.46788081</v>
      </c>
      <c r="BH230" s="162">
        <f t="shared" si="125"/>
        <v>215775.81036826776</v>
      </c>
      <c r="BI230" s="162">
        <f t="shared" si="125"/>
        <v>213422.73559404077</v>
      </c>
      <c r="BJ230" s="162">
        <f t="shared" si="125"/>
        <v>211222.61068013855</v>
      </c>
      <c r="BK230" s="162">
        <f t="shared" si="125"/>
        <v>209165.49388563991</v>
      </c>
      <c r="BL230" s="162">
        <f t="shared" si="125"/>
        <v>207242.08968278373</v>
      </c>
      <c r="BM230" s="162">
        <f t="shared" si="125"/>
        <v>205443.70675311322</v>
      </c>
      <c r="BN230" s="162">
        <f t="shared" si="125"/>
        <v>203762.21871387123</v>
      </c>
    </row>
    <row r="239" spans="32:66" ht="20.100000000000001" customHeight="1">
      <c r="AF239" s="141" t="s">
        <v>1126</v>
      </c>
    </row>
    <row r="240" spans="32:66" ht="20.100000000000001" customHeight="1">
      <c r="AF240" s="1078" t="s">
        <v>1092</v>
      </c>
      <c r="AG240" s="1079" t="s">
        <v>1110</v>
      </c>
      <c r="AH240" s="1079"/>
      <c r="AI240" s="372"/>
      <c r="AJ240" s="372"/>
      <c r="AK240" s="372"/>
      <c r="AL240" s="372"/>
      <c r="AM240" s="372"/>
      <c r="AN240" s="372"/>
      <c r="AO240" s="372"/>
      <c r="AP240" s="372"/>
      <c r="AQ240" s="372"/>
      <c r="AR240" s="372"/>
      <c r="AS240" s="372"/>
      <c r="AT240" s="372"/>
      <c r="AU240" s="372"/>
      <c r="AV240" s="372"/>
      <c r="AW240" s="372"/>
      <c r="AX240" s="372"/>
      <c r="AY240" s="372"/>
      <c r="AZ240" s="372"/>
      <c r="BA240" s="372"/>
      <c r="BB240" s="372"/>
      <c r="BC240" s="372"/>
      <c r="BD240" s="372"/>
      <c r="BE240" s="372"/>
      <c r="BF240" s="372"/>
      <c r="BG240" s="372"/>
      <c r="BH240" s="372"/>
      <c r="BI240" s="372"/>
      <c r="BJ240" s="372"/>
      <c r="BK240" s="372"/>
      <c r="BL240" s="372"/>
      <c r="BM240" s="372"/>
      <c r="BN240" s="373"/>
    </row>
    <row r="241" spans="11:87" ht="20.100000000000001" customHeight="1">
      <c r="K241" s="132"/>
      <c r="L241" s="132"/>
      <c r="M241" s="132"/>
      <c r="N241" s="132"/>
      <c r="O241" s="132"/>
      <c r="P241" s="132"/>
      <c r="Q241" s="132"/>
      <c r="R241" s="132"/>
      <c r="S241" s="132"/>
      <c r="T241" s="132"/>
      <c r="U241" s="132"/>
      <c r="V241" s="132"/>
      <c r="W241" s="132"/>
      <c r="X241" s="132"/>
      <c r="Y241" s="132"/>
      <c r="Z241" s="132"/>
      <c r="AA241" s="132"/>
      <c r="AB241" s="132"/>
      <c r="AC241" s="132"/>
      <c r="AD241" s="132"/>
      <c r="AE241" s="132"/>
      <c r="AF241" s="1080" t="s">
        <v>1103</v>
      </c>
      <c r="AG241" s="961" t="s">
        <v>1112</v>
      </c>
      <c r="AH241" s="1081"/>
      <c r="AI241" s="961"/>
      <c r="AJ241" s="377"/>
      <c r="AK241" s="377"/>
      <c r="AL241" s="377"/>
      <c r="AM241" s="377"/>
      <c r="AN241" s="377"/>
      <c r="AO241" s="377"/>
      <c r="AP241" s="377"/>
      <c r="AQ241" s="377"/>
      <c r="AR241" s="377"/>
      <c r="AS241" s="377"/>
      <c r="AT241" s="377"/>
      <c r="AU241" s="377"/>
      <c r="AV241" s="377"/>
      <c r="AW241" s="377"/>
      <c r="AX241" s="377"/>
      <c r="AY241" s="377"/>
      <c r="AZ241" s="377"/>
      <c r="BA241" s="377"/>
      <c r="BB241" s="377"/>
      <c r="BC241" s="377"/>
      <c r="BD241" s="377"/>
      <c r="BE241" s="377"/>
      <c r="BF241" s="377"/>
      <c r="BG241" s="377"/>
      <c r="BH241" s="377"/>
      <c r="BI241" s="377"/>
      <c r="BJ241" s="377"/>
      <c r="BK241" s="377"/>
      <c r="BL241" s="377"/>
      <c r="BM241" s="377"/>
      <c r="BN241" s="378"/>
    </row>
    <row r="242" spans="11:87" ht="20.100000000000001" customHeight="1">
      <c r="K242" s="132"/>
      <c r="L242" s="132"/>
      <c r="M242" s="132"/>
      <c r="N242" s="132"/>
      <c r="O242" s="132"/>
      <c r="P242" s="132"/>
      <c r="Q242" s="132"/>
      <c r="R242" s="132"/>
      <c r="S242" s="132"/>
      <c r="T242" s="132"/>
      <c r="U242" s="132"/>
      <c r="V242" s="132"/>
      <c r="W242" s="132"/>
      <c r="X242" s="132"/>
      <c r="Y242" s="132"/>
      <c r="Z242" s="132"/>
      <c r="AA242" s="132"/>
      <c r="AB242" s="132"/>
      <c r="AC242" s="132"/>
      <c r="AD242" s="132"/>
      <c r="AE242" s="132"/>
      <c r="AF242" s="1080" t="s">
        <v>1113</v>
      </c>
      <c r="AG242" s="961" t="s">
        <v>1102</v>
      </c>
      <c r="AH242" s="1081"/>
      <c r="AI242" s="961"/>
      <c r="AJ242" s="377"/>
      <c r="AK242" s="377"/>
      <c r="AL242" s="377"/>
      <c r="AM242" s="377"/>
      <c r="AN242" s="377"/>
      <c r="AO242" s="377"/>
      <c r="AP242" s="377"/>
      <c r="AQ242" s="377"/>
      <c r="AR242" s="377"/>
      <c r="AS242" s="377"/>
      <c r="AT242" s="377"/>
      <c r="AU242" s="377"/>
      <c r="AV242" s="377"/>
      <c r="AW242" s="377"/>
      <c r="AX242" s="377"/>
      <c r="AY242" s="377"/>
      <c r="AZ242" s="377"/>
      <c r="BA242" s="377"/>
      <c r="BB242" s="377"/>
      <c r="BC242" s="377"/>
      <c r="BD242" s="377"/>
      <c r="BE242" s="377"/>
      <c r="BF242" s="377"/>
      <c r="BG242" s="377"/>
      <c r="BH242" s="377"/>
      <c r="BI242" s="377"/>
      <c r="BJ242" s="377"/>
      <c r="BK242" s="377"/>
      <c r="BL242" s="377"/>
      <c r="BM242" s="377"/>
      <c r="BN242" s="378"/>
    </row>
    <row r="243" spans="11:87" ht="20.100000000000001" customHeight="1">
      <c r="AF243" s="1080" t="s">
        <v>1094</v>
      </c>
      <c r="AG243" s="1082" t="s">
        <v>1106</v>
      </c>
      <c r="AH243" s="1081"/>
      <c r="AI243" s="961"/>
      <c r="AJ243" s="377"/>
      <c r="AK243" s="377"/>
      <c r="AL243" s="377"/>
      <c r="AM243" s="377"/>
      <c r="AN243" s="377"/>
      <c r="AO243" s="377"/>
      <c r="AP243" s="377"/>
      <c r="AQ243" s="377"/>
      <c r="AR243" s="377"/>
      <c r="AS243" s="377"/>
      <c r="AT243" s="377"/>
      <c r="AU243" s="377"/>
      <c r="AV243" s="377"/>
      <c r="AW243" s="377"/>
      <c r="AX243" s="377"/>
      <c r="AY243" s="377"/>
      <c r="AZ243" s="377"/>
      <c r="BA243" s="377"/>
      <c r="BB243" s="377"/>
      <c r="BC243" s="377"/>
      <c r="BD243" s="377"/>
      <c r="BE243" s="377"/>
      <c r="BF243" s="377"/>
      <c r="BG243" s="377"/>
      <c r="BH243" s="377"/>
      <c r="BI243" s="377"/>
      <c r="BJ243" s="377"/>
      <c r="BK243" s="377"/>
      <c r="BL243" s="377"/>
      <c r="BM243" s="377"/>
      <c r="BN243" s="378"/>
      <c r="BP243" s="130" t="s">
        <v>1504</v>
      </c>
      <c r="BQ243" s="130"/>
      <c r="BR243" s="6"/>
      <c r="BS243" s="6"/>
      <c r="BT243" s="6"/>
    </row>
    <row r="244" spans="11:87" ht="20.100000000000001" customHeight="1">
      <c r="AF244" s="1080" t="s">
        <v>1095</v>
      </c>
      <c r="AG244" s="1082" t="s">
        <v>1114</v>
      </c>
      <c r="AH244" s="1081"/>
      <c r="AI244" s="961"/>
      <c r="AJ244" s="377"/>
      <c r="AK244" s="377"/>
      <c r="AL244" s="377"/>
      <c r="AM244" s="377"/>
      <c r="AN244" s="377"/>
      <c r="AO244" s="377"/>
      <c r="AP244" s="377"/>
      <c r="AQ244" s="377"/>
      <c r="AR244" s="377"/>
      <c r="AS244" s="377"/>
      <c r="AT244" s="377"/>
      <c r="AU244" s="377"/>
      <c r="AV244" s="377"/>
      <c r="AW244" s="377"/>
      <c r="AX244" s="377"/>
      <c r="AY244" s="377"/>
      <c r="AZ244" s="377"/>
      <c r="BA244" s="377"/>
      <c r="BB244" s="377"/>
      <c r="BC244" s="377"/>
      <c r="BD244" s="377"/>
      <c r="BE244" s="377"/>
      <c r="BF244" s="377"/>
      <c r="BG244" s="377"/>
      <c r="BH244" s="377"/>
      <c r="BI244" s="377"/>
      <c r="BJ244" s="377"/>
      <c r="BK244" s="377"/>
      <c r="BL244" s="377"/>
      <c r="BM244" s="377"/>
      <c r="BN244" s="378"/>
      <c r="BP244" s="130" t="s">
        <v>1505</v>
      </c>
      <c r="BQ244" s="130"/>
      <c r="BR244" s="6"/>
      <c r="BS244" s="6"/>
      <c r="BT244" s="6"/>
    </row>
    <row r="245" spans="11:87" ht="20.100000000000001" customHeight="1">
      <c r="AF245" s="1083" t="s">
        <v>1096</v>
      </c>
      <c r="AG245" s="1082" t="s">
        <v>1116</v>
      </c>
      <c r="AH245" s="1081"/>
      <c r="AI245" s="377"/>
      <c r="AJ245" s="377"/>
      <c r="AK245" s="377"/>
      <c r="AL245" s="377"/>
      <c r="AM245" s="377"/>
      <c r="AN245" s="377"/>
      <c r="AO245" s="377"/>
      <c r="AP245" s="377"/>
      <c r="AQ245" s="377"/>
      <c r="AR245" s="377"/>
      <c r="AS245" s="377"/>
      <c r="AT245" s="377"/>
      <c r="AU245" s="377"/>
      <c r="AV245" s="377"/>
      <c r="AW245" s="377"/>
      <c r="AX245" s="377"/>
      <c r="AY245" s="377"/>
      <c r="AZ245" s="377"/>
      <c r="BA245" s="377"/>
      <c r="BB245" s="377"/>
      <c r="BC245" s="377"/>
      <c r="BD245" s="377"/>
      <c r="BE245" s="377"/>
      <c r="BF245" s="377"/>
      <c r="BG245" s="377"/>
      <c r="BH245" s="377"/>
      <c r="BI245" s="377"/>
      <c r="BJ245" s="377"/>
      <c r="BK245" s="377"/>
      <c r="BL245" s="377"/>
      <c r="BM245" s="377"/>
      <c r="BN245" s="378"/>
      <c r="BP245" s="130" t="s">
        <v>1509</v>
      </c>
      <c r="BQ245" s="130"/>
      <c r="BR245" s="6"/>
      <c r="BS245" s="6"/>
      <c r="BT245" s="6"/>
    </row>
    <row r="246" spans="11:87" ht="20.100000000000001" customHeight="1">
      <c r="AF246" s="1083" t="s">
        <v>1115</v>
      </c>
      <c r="AG246" s="1082" t="s">
        <v>1117</v>
      </c>
      <c r="AH246" s="961"/>
      <c r="AI246" s="961"/>
      <c r="AJ246" s="377"/>
      <c r="AK246" s="377"/>
      <c r="AL246" s="377"/>
      <c r="AM246" s="377"/>
      <c r="AN246" s="377"/>
      <c r="AO246" s="377"/>
      <c r="AP246" s="377"/>
      <c r="AQ246" s="377"/>
      <c r="AR246" s="377"/>
      <c r="AS246" s="377"/>
      <c r="AT246" s="377"/>
      <c r="AU246" s="377"/>
      <c r="AV246" s="377"/>
      <c r="AW246" s="377"/>
      <c r="AX246" s="377"/>
      <c r="AY246" s="377"/>
      <c r="AZ246" s="377"/>
      <c r="BA246" s="377"/>
      <c r="BB246" s="377"/>
      <c r="BC246" s="377"/>
      <c r="BD246" s="377"/>
      <c r="BE246" s="377"/>
      <c r="BF246" s="377"/>
      <c r="BG246" s="377"/>
      <c r="BH246" s="377"/>
      <c r="BI246" s="377"/>
      <c r="BJ246" s="377"/>
      <c r="BK246" s="377"/>
      <c r="BL246" s="377"/>
      <c r="BM246" s="377"/>
      <c r="BN246" s="378"/>
      <c r="BQ246" s="384">
        <v>2022</v>
      </c>
      <c r="BR246" s="384">
        <v>2023</v>
      </c>
      <c r="BS246" s="384">
        <v>2024</v>
      </c>
      <c r="BT246" s="384">
        <v>2025</v>
      </c>
      <c r="BU246" s="384">
        <v>2026</v>
      </c>
      <c r="BV246" s="384">
        <v>2027</v>
      </c>
      <c r="BW246" s="384">
        <v>2028</v>
      </c>
      <c r="BX246" s="384">
        <v>2029</v>
      </c>
      <c r="BY246" s="387">
        <v>2030</v>
      </c>
      <c r="BZ246" s="387">
        <v>2031</v>
      </c>
      <c r="CA246" s="387">
        <v>2032</v>
      </c>
      <c r="CB246" s="384">
        <v>2033</v>
      </c>
      <c r="CC246" s="384">
        <v>2034</v>
      </c>
      <c r="CD246" s="384">
        <v>2035</v>
      </c>
      <c r="CE246" s="384">
        <v>2036</v>
      </c>
    </row>
    <row r="247" spans="11:87" ht="20.100000000000001" customHeight="1">
      <c r="AF247" s="1080" t="s">
        <v>1118</v>
      </c>
      <c r="AG247" s="961" t="s">
        <v>1119</v>
      </c>
      <c r="AH247" s="1081"/>
      <c r="AI247" s="961"/>
      <c r="AJ247" s="377"/>
      <c r="AK247" s="377"/>
      <c r="AL247" s="377"/>
      <c r="AM247" s="377"/>
      <c r="AN247" s="377"/>
      <c r="AO247" s="377"/>
      <c r="AP247" s="377"/>
      <c r="AQ247" s="377"/>
      <c r="AR247" s="377"/>
      <c r="AS247" s="377"/>
      <c r="AT247" s="377"/>
      <c r="AU247" s="377"/>
      <c r="AV247" s="377"/>
      <c r="AW247" s="377"/>
      <c r="AX247" s="377"/>
      <c r="AY247" s="377"/>
      <c r="AZ247" s="377"/>
      <c r="BA247" s="377"/>
      <c r="BB247" s="377"/>
      <c r="BC247" s="377"/>
      <c r="BD247" s="377"/>
      <c r="BE247" s="377"/>
      <c r="BF247" s="377"/>
      <c r="BG247" s="377"/>
      <c r="BH247" s="377"/>
      <c r="BI247" s="377"/>
      <c r="BJ247" s="377"/>
      <c r="BK247" s="377"/>
      <c r="BL247" s="377"/>
      <c r="BM247" s="377"/>
      <c r="BN247" s="378"/>
      <c r="BQ247" s="384">
        <v>0</v>
      </c>
      <c r="BR247" s="384">
        <v>0</v>
      </c>
      <c r="BS247" s="384">
        <v>0</v>
      </c>
      <c r="BT247" s="384">
        <v>0</v>
      </c>
      <c r="BU247" s="384">
        <v>0</v>
      </c>
      <c r="BV247" s="384">
        <v>0</v>
      </c>
      <c r="BW247" s="384">
        <v>0</v>
      </c>
      <c r="BX247" s="384">
        <v>0</v>
      </c>
      <c r="BY247" s="387">
        <v>4</v>
      </c>
      <c r="BZ247" s="387">
        <v>8</v>
      </c>
      <c r="CA247" s="387">
        <v>12</v>
      </c>
      <c r="CB247" s="384">
        <v>12</v>
      </c>
      <c r="CC247" s="384">
        <v>12</v>
      </c>
      <c r="CD247" s="384">
        <v>12</v>
      </c>
      <c r="CE247" s="384">
        <v>12</v>
      </c>
    </row>
    <row r="248" spans="11:87" ht="20.100000000000001" customHeight="1">
      <c r="AF248" s="1080" t="s">
        <v>1097</v>
      </c>
      <c r="AG248" s="1082" t="s">
        <v>1098</v>
      </c>
      <c r="AH248" s="961"/>
      <c r="AI248" s="377"/>
      <c r="AJ248" s="377"/>
      <c r="AK248" s="377"/>
      <c r="AL248" s="377"/>
      <c r="AM248" s="377"/>
      <c r="AN248" s="377"/>
      <c r="AO248" s="377"/>
      <c r="AP248" s="377"/>
      <c r="AQ248" s="377"/>
      <c r="AR248" s="377"/>
      <c r="AS248" s="377"/>
      <c r="AT248" s="377"/>
      <c r="AU248" s="377"/>
      <c r="AV248" s="377"/>
      <c r="AW248" s="377"/>
      <c r="AX248" s="377"/>
      <c r="AY248" s="377"/>
      <c r="AZ248" s="377"/>
      <c r="BA248" s="377"/>
      <c r="BB248" s="377"/>
      <c r="BC248" s="377"/>
      <c r="BD248" s="377"/>
      <c r="BE248" s="377"/>
      <c r="BF248" s="377"/>
      <c r="BG248" s="377"/>
      <c r="BH248" s="377"/>
      <c r="BI248" s="377"/>
      <c r="BJ248" s="377"/>
      <c r="BK248" s="377"/>
      <c r="BL248" s="377"/>
      <c r="BM248" s="377"/>
      <c r="BN248" s="378"/>
    </row>
    <row r="249" spans="11:87" ht="20.100000000000001" customHeight="1">
      <c r="AF249" s="1083" t="s">
        <v>1120</v>
      </c>
      <c r="AG249" s="961"/>
      <c r="AH249" s="961"/>
      <c r="AI249" s="377"/>
      <c r="AJ249" s="377"/>
      <c r="AK249" s="377"/>
      <c r="AL249" s="377"/>
      <c r="AM249" s="377"/>
      <c r="AN249" s="377"/>
      <c r="AO249" s="377"/>
      <c r="AP249" s="377"/>
      <c r="AQ249" s="377"/>
      <c r="AR249" s="377"/>
      <c r="AS249" s="377"/>
      <c r="AT249" s="377"/>
      <c r="AU249" s="377"/>
      <c r="AV249" s="377"/>
      <c r="AW249" s="377"/>
      <c r="AX249" s="377"/>
      <c r="AY249" s="377"/>
      <c r="AZ249" s="377"/>
      <c r="BA249" s="377"/>
      <c r="BB249" s="377"/>
      <c r="BC249" s="377"/>
      <c r="BD249" s="377"/>
      <c r="BE249" s="377"/>
      <c r="BF249" s="377"/>
      <c r="BG249" s="377"/>
      <c r="BH249" s="377"/>
      <c r="BI249" s="377"/>
      <c r="BJ249" s="377"/>
      <c r="BK249" s="377"/>
      <c r="BL249" s="377"/>
      <c r="BM249" s="377"/>
      <c r="BN249" s="378"/>
      <c r="BX249" s="16"/>
      <c r="BY249" s="13"/>
      <c r="BZ249" s="388" t="s">
        <v>1518</v>
      </c>
      <c r="CA249" s="396" t="s">
        <v>1525</v>
      </c>
      <c r="CB249" s="396" t="s">
        <v>1256</v>
      </c>
      <c r="CC249" s="396" t="s">
        <v>1526</v>
      </c>
      <c r="CD249" s="396" t="s">
        <v>1371</v>
      </c>
      <c r="CE249" s="16"/>
    </row>
    <row r="250" spans="11:87" ht="20.100000000000001" customHeight="1">
      <c r="AF250" s="1083" t="s">
        <v>1101</v>
      </c>
      <c r="AG250" s="961"/>
      <c r="AH250" s="961"/>
      <c r="AI250" s="377"/>
      <c r="AJ250" s="377"/>
      <c r="AK250" s="377"/>
      <c r="AL250" s="377"/>
      <c r="AM250" s="377"/>
      <c r="AN250" s="377"/>
      <c r="AO250" s="377"/>
      <c r="AP250" s="377"/>
      <c r="AQ250" s="377"/>
      <c r="AR250" s="377"/>
      <c r="AS250" s="377"/>
      <c r="AT250" s="377"/>
      <c r="AU250" s="377"/>
      <c r="AV250" s="377"/>
      <c r="AW250" s="377"/>
      <c r="AX250" s="377"/>
      <c r="AY250" s="377"/>
      <c r="AZ250" s="377"/>
      <c r="BA250" s="377"/>
      <c r="BB250" s="377"/>
      <c r="BC250" s="377"/>
      <c r="BD250" s="377"/>
      <c r="BE250" s="377"/>
      <c r="BF250" s="377"/>
      <c r="BG250" s="377"/>
      <c r="BH250" s="377"/>
      <c r="BI250" s="377"/>
      <c r="BJ250" s="377"/>
      <c r="BK250" s="377"/>
      <c r="BL250" s="377"/>
      <c r="BM250" s="377"/>
      <c r="BN250" s="378"/>
      <c r="BX250" s="16"/>
      <c r="BY250" s="13"/>
      <c r="BZ250" s="388" t="s">
        <v>1519</v>
      </c>
      <c r="CA250" s="384" t="s">
        <v>1113</v>
      </c>
      <c r="CB250" s="384" t="s">
        <v>1527</v>
      </c>
      <c r="CC250" s="384" t="s">
        <v>1531</v>
      </c>
      <c r="CD250" s="384" t="s">
        <v>1532</v>
      </c>
      <c r="CE250" s="16"/>
    </row>
    <row r="251" spans="11:87" ht="20.100000000000001" customHeight="1">
      <c r="AF251" s="1084" t="s">
        <v>1130</v>
      </c>
      <c r="AG251" s="1085"/>
      <c r="AH251" s="1085"/>
      <c r="AI251" s="381"/>
      <c r="AJ251" s="381"/>
      <c r="AK251" s="381"/>
      <c r="AL251" s="381"/>
      <c r="AM251" s="381"/>
      <c r="AN251" s="381"/>
      <c r="AO251" s="381"/>
      <c r="AP251" s="381"/>
      <c r="AQ251" s="381"/>
      <c r="AR251" s="381"/>
      <c r="AS251" s="381"/>
      <c r="AT251" s="381"/>
      <c r="AU251" s="381"/>
      <c r="AV251" s="381"/>
      <c r="AW251" s="381"/>
      <c r="AX251" s="381"/>
      <c r="AY251" s="381"/>
      <c r="AZ251" s="381"/>
      <c r="BA251" s="381"/>
      <c r="BB251" s="381"/>
      <c r="BC251" s="381"/>
      <c r="BD251" s="381"/>
      <c r="BE251" s="381"/>
      <c r="BF251" s="381"/>
      <c r="BG251" s="381"/>
      <c r="BH251" s="381"/>
      <c r="BI251" s="381"/>
      <c r="BJ251" s="381"/>
      <c r="BK251" s="381"/>
      <c r="BL251" s="381"/>
      <c r="BM251" s="381"/>
      <c r="BN251" s="382"/>
      <c r="BX251" s="16"/>
      <c r="BY251" s="13"/>
      <c r="BZ251" s="388" t="s">
        <v>1521</v>
      </c>
      <c r="CA251" s="384" t="s">
        <v>1520</v>
      </c>
      <c r="CB251" s="384" t="s">
        <v>1528</v>
      </c>
      <c r="CC251" s="384" t="s">
        <v>1533</v>
      </c>
      <c r="CD251" s="384" t="s">
        <v>1534</v>
      </c>
      <c r="CE251" s="16"/>
    </row>
    <row r="252" spans="11:87" ht="20.100000000000001" customHeight="1">
      <c r="BX252" s="16"/>
      <c r="BY252" s="13"/>
      <c r="BZ252" s="388" t="s">
        <v>1523</v>
      </c>
      <c r="CA252" s="384" t="s">
        <v>1522</v>
      </c>
      <c r="CB252" s="384" t="s">
        <v>1529</v>
      </c>
      <c r="CC252" s="384" t="s">
        <v>1535</v>
      </c>
      <c r="CD252" s="384" t="s">
        <v>1536</v>
      </c>
      <c r="CE252" s="16"/>
      <c r="CH252" s="1610" t="s">
        <v>1393</v>
      </c>
      <c r="CI252" s="6"/>
    </row>
    <row r="253" spans="11:87" ht="20.100000000000001" customHeight="1">
      <c r="AF253" s="141" t="s">
        <v>1124</v>
      </c>
      <c r="AG253" s="130"/>
      <c r="AH253" s="130"/>
      <c r="AI253" s="130"/>
      <c r="AJ253" s="130"/>
      <c r="AK253" s="130"/>
      <c r="AL253" s="130"/>
      <c r="AM253" s="130"/>
      <c r="BQ253" s="235" t="s">
        <v>2190</v>
      </c>
      <c r="BX253" s="16"/>
      <c r="BY253" s="13"/>
      <c r="BZ253" s="388" t="s">
        <v>1074</v>
      </c>
      <c r="CA253" s="384" t="s">
        <v>1524</v>
      </c>
      <c r="CB253" s="384" t="s">
        <v>1530</v>
      </c>
      <c r="CC253" s="384" t="s">
        <v>1537</v>
      </c>
      <c r="CD253" s="384" t="s">
        <v>1538</v>
      </c>
      <c r="CE253" s="16"/>
      <c r="CH253" s="1610"/>
      <c r="CI253" s="6"/>
    </row>
    <row r="254" spans="11:87" ht="20.100000000000001" customHeight="1" thickBot="1">
      <c r="AF254" s="142" t="s">
        <v>1093</v>
      </c>
      <c r="AG254" s="143"/>
      <c r="AH254" s="143"/>
      <c r="AI254" s="149" t="s">
        <v>620</v>
      </c>
      <c r="AJ254" s="143" t="s">
        <v>1121</v>
      </c>
      <c r="AK254" s="172">
        <v>2021</v>
      </c>
      <c r="AL254" s="135">
        <v>2022</v>
      </c>
      <c r="AM254" s="135">
        <f>AL254+1</f>
        <v>2023</v>
      </c>
      <c r="AN254" s="135">
        <f t="shared" ref="AN254:BN254" si="126">AM254+1</f>
        <v>2024</v>
      </c>
      <c r="AO254" s="135">
        <f t="shared" si="126"/>
        <v>2025</v>
      </c>
      <c r="AP254" s="135">
        <f t="shared" si="126"/>
        <v>2026</v>
      </c>
      <c r="AQ254" s="135">
        <f t="shared" si="126"/>
        <v>2027</v>
      </c>
      <c r="AR254" s="135">
        <f t="shared" si="126"/>
        <v>2028</v>
      </c>
      <c r="AS254" s="135">
        <f t="shared" si="126"/>
        <v>2029</v>
      </c>
      <c r="AT254" s="135">
        <f t="shared" si="126"/>
        <v>2030</v>
      </c>
      <c r="AU254" s="135">
        <f t="shared" si="126"/>
        <v>2031</v>
      </c>
      <c r="AV254" s="135">
        <f t="shared" si="126"/>
        <v>2032</v>
      </c>
      <c r="AW254" s="135">
        <f t="shared" si="126"/>
        <v>2033</v>
      </c>
      <c r="AX254" s="135">
        <f t="shared" si="126"/>
        <v>2034</v>
      </c>
      <c r="AY254" s="135">
        <f t="shared" si="126"/>
        <v>2035</v>
      </c>
      <c r="AZ254" s="135">
        <f t="shared" si="126"/>
        <v>2036</v>
      </c>
      <c r="BA254" s="135">
        <f t="shared" si="126"/>
        <v>2037</v>
      </c>
      <c r="BB254" s="135">
        <f t="shared" si="126"/>
        <v>2038</v>
      </c>
      <c r="BC254" s="135">
        <f t="shared" si="126"/>
        <v>2039</v>
      </c>
      <c r="BD254" s="135">
        <f t="shared" si="126"/>
        <v>2040</v>
      </c>
      <c r="BE254" s="135">
        <f t="shared" si="126"/>
        <v>2041</v>
      </c>
      <c r="BF254" s="135">
        <f t="shared" si="126"/>
        <v>2042</v>
      </c>
      <c r="BG254" s="135">
        <f t="shared" si="126"/>
        <v>2043</v>
      </c>
      <c r="BH254" s="135">
        <f t="shared" si="126"/>
        <v>2044</v>
      </c>
      <c r="BI254" s="135">
        <f t="shared" si="126"/>
        <v>2045</v>
      </c>
      <c r="BJ254" s="135">
        <f t="shared" si="126"/>
        <v>2046</v>
      </c>
      <c r="BK254" s="135">
        <f t="shared" si="126"/>
        <v>2047</v>
      </c>
      <c r="BL254" s="135">
        <f t="shared" si="126"/>
        <v>2048</v>
      </c>
      <c r="BM254" s="135">
        <f t="shared" si="126"/>
        <v>2049</v>
      </c>
      <c r="BN254" s="135">
        <f t="shared" si="126"/>
        <v>2050</v>
      </c>
      <c r="BP254" s="3" t="s">
        <v>1525</v>
      </c>
      <c r="CH254" s="386" t="s">
        <v>1218</v>
      </c>
      <c r="CI254" s="6" t="s">
        <v>1224</v>
      </c>
    </row>
    <row r="255" spans="11:87" ht="20.100000000000001" customHeight="1">
      <c r="AF255" s="1550" t="str">
        <f>AF220</f>
        <v>Apartment</v>
      </c>
      <c r="AG255" s="137" t="s">
        <v>578</v>
      </c>
      <c r="AH255" s="137"/>
      <c r="AI255" s="137" t="s">
        <v>1122</v>
      </c>
      <c r="AJ255" s="148">
        <f>INDEX('DEFAULT DATA'!$YB$9:$YI$41,START!$C$3,1)</f>
        <v>540.88034014281652</v>
      </c>
      <c r="AK255" s="173">
        <v>0</v>
      </c>
      <c r="AL255" s="157">
        <f>IF(AND(AL$254&gt;($D$75+2020),AL$254&lt;($E$75+2022)),AK255+(AL$5*$AJ$255*((100-$F$75)/100)*ROUND($B$75/($E$75-$D$75+1),0)/1000000),AK255*((100+INDEX('DEFAULT DATA'!$WQ$9:$WS$41,START!$C$3,1))/100))</f>
        <v>0</v>
      </c>
      <c r="AM255" s="157">
        <f>IF(AND(AM$254&gt;($D$75+2020),AM$254&lt;($E$75+2022)),AL255+(AM$5*$AJ$255*((100-$F$75)/100)*ROUND($B$75/($E$75-$D$75+1),0)/1000000),AL255*((100+INDEX('DEFAULT DATA'!$WQ$9:$WS$41,START!$C$3,1))/100))</f>
        <v>0</v>
      </c>
      <c r="AN255" s="157">
        <f>IF(AND(AN$254&gt;($D$75+2020),AN$254&lt;($E$75+2022)),AM255+(AN$5*$AJ$255*((100-$F$75)/100)*ROUND($B$75/($E$75-$D$75+1),0)/1000000),AM255*((100+INDEX('DEFAULT DATA'!$WQ$9:$WS$41,START!$C$3,1))/100))</f>
        <v>0</v>
      </c>
      <c r="AO255" s="157">
        <f>IF(AND(AO$254&gt;($D$75+2020),AO$254&lt;($E$75+2022)),AN255+(AO$5*$AJ$255*((100-$F$75)/100)*ROUND($B$75/($E$75-$D$75+1),0)/1000000),AN255*((100+INDEX('DEFAULT DATA'!$WQ$9:$WS$41,START!$C$3,1))/100))</f>
        <v>0</v>
      </c>
      <c r="AP255" s="157">
        <f>IF(AND(AP$254&gt;($D$75+2020),AP$254&lt;($E$75+2022)),AO255+(AP$5*$AJ$255*((100-$F$75)/100)*ROUND($B$75/($E$75-$D$75+1),0)/1000000),AO255*((100+INDEX('DEFAULT DATA'!$WQ$9:$WS$41,START!$C$3,1))/100))</f>
        <v>0</v>
      </c>
      <c r="AQ255" s="157">
        <f>IF(AND(AQ$254&gt;($D$75+2020),AQ$254&lt;($E$75+2022)),AP255+(AQ$5*$AJ$255*((100-$F$75)/100)*ROUND($B$75/($E$75-$D$75+1),0)/1000000),AP255*((100+INDEX('DEFAULT DATA'!$WQ$9:$WS$41,START!$C$3,1))/100))</f>
        <v>0</v>
      </c>
      <c r="AR255" s="157">
        <f>IF(AND(AR$254&gt;($D$75+2020),AR$254&lt;($E$75+2022)),AQ255+(AR$5*$AJ$255*((100-$F$75)/100)*ROUND($B$75/($E$75-$D$75+1),0)/1000000),AQ255*((100+INDEX('DEFAULT DATA'!$WQ$9:$WS$41,START!$C$3,1))/100))</f>
        <v>0</v>
      </c>
      <c r="AS255" s="157">
        <f>IF(AND(AS$254&gt;($D$75+2020),AS$254&lt;($E$75+2022)),AR255+(AS$5*$AJ$255*((100-$F$75)/100)*ROUND($B$75/($E$75-$D$75+1),0)/1000000),AR255*((100+INDEX('DEFAULT DATA'!$WQ$9:$WS$41,START!$C$3,1))/100))</f>
        <v>0</v>
      </c>
      <c r="AT255" s="157">
        <f>IF(AND(AT$254&gt;($D$75+2020),AT$254&lt;($E$75+2022)),AS255+(AT$5*$AJ$255*((100-$F$75)/100)*ROUND($B$75/($E$75-$D$75+1),0)/1000000),AS255*((100+INDEX('DEFAULT DATA'!$WQ$9:$WS$41,START!$C$3,1))/100))</f>
        <v>879.27232655468117</v>
      </c>
      <c r="AU255" s="157">
        <f>IF(AND(AU$254&gt;($D$75+2020),AU$254&lt;($E$75+2022)),AT255+(AU$5*$AJ$255*((100-$F$75)/100)*ROUND($B$75/($E$75-$D$75+1),0)/1000000),AT255*((100+INDEX('DEFAULT DATA'!$WQ$9:$WS$41,START!$C$3,2))/100))</f>
        <v>1701.3919518833081</v>
      </c>
      <c r="AV255" s="157">
        <f>IF(AND(AV$254&gt;($D$75+2020),AV$254&lt;($E$75+2022)),AU255+(AV$5*$AJ$255*((100-$F$75)/100)*ROUND($B$75/($E$75-$D$75+1),0)/1000000),AU255*((100+INDEX('DEFAULT DATA'!$WQ$9:$WS$41,START!$C$3,2))/100))</f>
        <v>2470.0738015655743</v>
      </c>
      <c r="AW255" s="157">
        <f>IF(AND(AW$254&gt;($D$75+2020),AW$254&lt;($E$75+2022)),AV255+(AW$5*$AJ$255*((100-$F$75)/100)*ROUND($B$75/($E$75-$D$75+1),0)/1000000),AV255*((100+INDEX('DEFAULT DATA'!$WQ$9:$WS$41,START!$C$3,2))/100))</f>
        <v>3188.7913310184931</v>
      </c>
      <c r="AX255" s="157">
        <f>IF(AND(AX$254&gt;($D$75+2020),AX$254&lt;($E$75+2022)),AW255+(AX$5*$AJ$255*((100-$F$75)/100)*ROUND($B$75/($E$75-$D$75+1),0)/1000000),AW255*((100+INDEX('DEFAULT DATA'!$WQ$9:$WS$41,START!$C$3,2))/100))</f>
        <v>3860.7922210569723</v>
      </c>
      <c r="AY255" s="157">
        <f>IF(AND(AY$254&gt;($D$75+2020),AY$254&lt;($E$75+2022)),AX255+(AY$5*$AJ$255*((100-$F$75)/100)*ROUND($B$75/($E$75-$D$75+1),0)/1000000),AX255*((100+INDEX('DEFAULT DATA'!$WQ$9:$WS$41,START!$C$3,2))/100))</f>
        <v>4489.1130532429506</v>
      </c>
      <c r="AZ255" s="157">
        <f>IF(AND(AZ$254&gt;($D$75+2020),AZ$254&lt;($E$75+2022)),AY255+(AZ$5*$AJ$255*((100-$F$75)/100)*ROUND($B$75/($E$75-$D$75+1),0)/1000000),AY255*((100+INDEX('DEFAULT DATA'!$WQ$9:$WS$41,START!$C$3,2))/100))</f>
        <v>5076.5930313368399</v>
      </c>
      <c r="BA255" s="157">
        <f>IF(AND(BA$254&gt;($D$75+2020),BA$254&lt;($E$75+2022)),AZ255+(BA$5*$AJ$255*((100-$F$75)/100)*ROUND($B$75/($E$75-$D$75+1),0)/1000000),AZ255*((100+INDEX('DEFAULT DATA'!$WQ$9:$WS$41,START!$C$3,2))/100))</f>
        <v>5625.8868108546267</v>
      </c>
      <c r="BB255" s="157">
        <f>IF(AND(BB$254&gt;($D$75+2020),BB$254&lt;($E$75+2022)),BA255+(BB$5*$AJ$255*((100-$F$75)/100)*ROUND($B$75/($E$75-$D$75+1),0)/1000000),BA255*((100+INDEX('DEFAULT DATA'!$WQ$9:$WS$41,START!$C$3,2))/100))</f>
        <v>6139.4764947037575</v>
      </c>
      <c r="BC255" s="157">
        <f>IF(AND(BC$254&gt;($D$75+2020),BC$254&lt;($E$75+2022)),BB255+(BC$5*$AJ$255*((100-$F$75)/100)*ROUND($B$75/($E$75-$D$75+1),0)/1000000),BB255*((100+INDEX('DEFAULT DATA'!$WQ$9:$WS$41,START!$C$3,2))/100))</f>
        <v>6619.6828491026945</v>
      </c>
      <c r="BD255" s="157">
        <f>IF(AND(BD$254&gt;($D$75+2020),BD$254&lt;($E$75+2022)),BC255+(BD$5*$AJ$255*((100-$F$75)/100)*ROUND($B$75/($E$75-$D$75+1),0)/1000000),BC255*((100+INDEX('DEFAULT DATA'!$WQ$9:$WS$41,START!$C$3,2))/100))</f>
        <v>7068.6757904657006</v>
      </c>
      <c r="BE255" s="157">
        <f>IF(AND(BE$254&gt;($D$75+2020),BE$254&lt;($E$75+2022)),BD255+(BE$5*$AJ$255*((100-$F$75)/100)*ROUND($B$75/($E$75-$D$75+1),0)/1000000),BD255*((100+INDEX('DEFAULT DATA'!$WQ$9:$WS$41,START!$C$3,3))/100))</f>
        <v>7068.6757904657006</v>
      </c>
      <c r="BF255" s="157">
        <f>IF(AND(BF$254&gt;($D$75+2020),BF$254&lt;($E$75+2022)),BE255+(BF$5*$AJ$255*((100-$F$75)/100)*ROUND($B$75/($E$75-$D$75+1),0)/1000000),BE255*((100+INDEX('DEFAULT DATA'!$WQ$9:$WS$41,START!$C$3,3))/100))</f>
        <v>7068.6757904657006</v>
      </c>
      <c r="BG255" s="157">
        <f>IF(AND(BG$254&gt;($D$75+2020),BG$254&lt;($E$75+2022)),BF255+(BG$5*$AJ$255*((100-$F$75)/100)*ROUND($B$75/($E$75-$D$75+1),0)/1000000),BF255*((100+INDEX('DEFAULT DATA'!$WQ$9:$WS$41,START!$C$3,3))/100))</f>
        <v>7068.6757904657006</v>
      </c>
      <c r="BH255" s="157">
        <f>IF(AND(BH$254&gt;($D$75+2020),BH$254&lt;($E$75+2022)),BG255+(BH$5*$AJ$255*((100-$F$75)/100)*ROUND($B$75/($E$75-$D$75+1),0)/1000000),BG255*((100+INDEX('DEFAULT DATA'!$WQ$9:$WS$41,START!$C$3,3))/100))</f>
        <v>7068.6757904657006</v>
      </c>
      <c r="BI255" s="157">
        <f>IF(AND(BI$254&gt;($D$75+2020),BI$254&lt;($E$75+2022)),BH255+(BI$5*$AJ$255*((100-$F$75)/100)*ROUND($B$75/($E$75-$D$75+1),0)/1000000),BH255*((100+INDEX('DEFAULT DATA'!$WQ$9:$WS$41,START!$C$3,3))/100))</f>
        <v>7068.6757904657006</v>
      </c>
      <c r="BJ255" s="157">
        <f>IF(AND(BJ$254&gt;($D$75+2020),BJ$254&lt;($E$75+2022)),BI255+(BJ$5*$AJ$255*((100-$F$75)/100)*ROUND($B$75/($E$75-$D$75+1),0)/1000000),BI255*((100+INDEX('DEFAULT DATA'!$WQ$9:$WS$41,START!$C$3,3))/100))</f>
        <v>7068.6757904657006</v>
      </c>
      <c r="BK255" s="157">
        <f>IF(AND(BK$254&gt;($D$75+2020),BK$254&lt;($E$75+2022)),BJ255+(BK$5*$AJ$255*((100-$F$75)/100)*ROUND($B$75/($E$75-$D$75+1),0)/1000000),BJ255*((100+INDEX('DEFAULT DATA'!$WQ$9:$WS$41,START!$C$3,3))/100))</f>
        <v>7068.6757904657006</v>
      </c>
      <c r="BL255" s="157">
        <f>IF(AND(BL$254&gt;($D$75+2020),BL$254&lt;($E$75+2022)),BK255+(BL$5*$AJ$255*((100-$F$75)/100)*ROUND($B$75/($E$75-$D$75+1),0)/1000000),BK255*((100+INDEX('DEFAULT DATA'!$WQ$9:$WS$41,START!$C$3,3))/100))</f>
        <v>7068.6757904657006</v>
      </c>
      <c r="BM255" s="157">
        <f>IF(AND(BM$254&gt;($D$75+2020),BM$254&lt;($E$75+2022)),BL255+(BM$5*$AJ$255*((100-$F$75)/100)*ROUND($B$75/($E$75-$D$75+1),0)/1000000),BL255*((100+INDEX('DEFAULT DATA'!$WQ$9:$WS$41,START!$C$3,3))/100))</f>
        <v>7068.6757904657006</v>
      </c>
      <c r="BN255" s="157">
        <f>IF(AND(BN$254&gt;($D$75+2020),BN$254&lt;($E$75+2022)),BM255+(BN$5*$AJ$255*((100-$F$75)/100)*ROUND($B$75/($E$75-$D$75+1),0)/1000000),BM255*((100+INDEX('DEFAULT DATA'!$WQ$9:$WS$41,START!$C$3,3))/100))</f>
        <v>7068.6757904657006</v>
      </c>
      <c r="BP255" s="383" t="s">
        <v>578</v>
      </c>
      <c r="BQ255" s="1463" t="s">
        <v>1510</v>
      </c>
      <c r="BR255" s="1464"/>
      <c r="BS255" s="1464"/>
      <c r="BT255" s="1464"/>
      <c r="BU255" s="1464"/>
      <c r="BV255" s="1464"/>
      <c r="BW255" s="1464"/>
      <c r="BX255" s="1464"/>
      <c r="BY255" s="1464"/>
      <c r="BZ255" s="1464"/>
      <c r="CA255" s="1464"/>
      <c r="CB255" s="1464"/>
      <c r="CC255" s="1464"/>
      <c r="CD255" s="1464"/>
      <c r="CE255" s="1464"/>
      <c r="CF255" s="1464"/>
      <c r="CG255" s="1465"/>
      <c r="CH255" s="385" t="s">
        <v>1222</v>
      </c>
      <c r="CI255" s="385" t="s">
        <v>1507</v>
      </c>
    </row>
    <row r="256" spans="11:87" ht="20.100000000000001" customHeight="1">
      <c r="AF256" s="1551"/>
      <c r="AG256" s="107" t="s">
        <v>862</v>
      </c>
      <c r="AH256" s="107"/>
      <c r="AI256" s="107">
        <f>INDEX('DEFAULT DATA'!$WD$9:$WJ$41,START!$C$3,1)</f>
        <v>202</v>
      </c>
      <c r="AJ256" s="63">
        <f>INDEX('DEFAULT DATA'!$YB$9:$YI$41,START!$C$3,2)</f>
        <v>0</v>
      </c>
      <c r="AK256" s="53">
        <v>0</v>
      </c>
      <c r="AL256" s="123">
        <f>IF(AND(AL$254&gt;($D$75+2020),AL$254&lt;($E$75+2022)),AK256+($AI$256*$AJ$256*((100-$F$75)/100)*ROUND($B$75/($E$75-$D$75+1),0)/1000000),AK256*((100+INDEX('DEFAULT DATA'!$WQ$9:$WS$41,START!$C$3,1))/100))</f>
        <v>0</v>
      </c>
      <c r="AM256" s="123">
        <f>IF(AND(AM$254&gt;($D$75+2020),AM$254&lt;($E$75+2022)),AL256+($AI$256*$AJ$256*((100-$F$75)/100)*ROUND($B$75/($E$75-$D$75+1),0)/1000000),AL256*((100+INDEX('DEFAULT DATA'!$WQ$9:$WS$41,START!$C$3,1))/100))</f>
        <v>0</v>
      </c>
      <c r="AN256" s="123">
        <f>IF(AND(AN$254&gt;($D$75+2020),AN$254&lt;($E$75+2022)),AM256+($AI$256*$AJ$256*((100-$F$75)/100)*ROUND($B$75/($E$75-$D$75+1),0)/1000000),AM256*((100+INDEX('DEFAULT DATA'!$WQ$9:$WS$41,START!$C$3,1))/100))</f>
        <v>0</v>
      </c>
      <c r="AO256" s="123">
        <f>IF(AND(AO$254&gt;($D$75+2020),AO$254&lt;($E$75+2022)),AN256+($AI$256*$AJ$256*((100-$F$75)/100)*ROUND($B$75/($E$75-$D$75+1),0)/1000000),AN256*((100+INDEX('DEFAULT DATA'!$WQ$9:$WS$41,START!$C$3,1))/100))</f>
        <v>0</v>
      </c>
      <c r="AP256" s="123">
        <f>IF(AND(AP$254&gt;($D$75+2020),AP$254&lt;($E$75+2022)),AO256+($AI$256*$AJ$256*((100-$F$75)/100)*ROUND($B$75/($E$75-$D$75+1),0)/1000000),AO256*((100+INDEX('DEFAULT DATA'!$WQ$9:$WS$41,START!$C$3,1))/100))</f>
        <v>0</v>
      </c>
      <c r="AQ256" s="123">
        <f>IF(AND(AQ$254&gt;($D$75+2020),AQ$254&lt;($E$75+2022)),AP256+($AI$256*$AJ$256*((100-$F$75)/100)*ROUND($B$75/($E$75-$D$75+1),0)/1000000),AP256*((100+INDEX('DEFAULT DATA'!$WQ$9:$WS$41,START!$C$3,1))/100))</f>
        <v>0</v>
      </c>
      <c r="AR256" s="123">
        <f>IF(AND(AR$254&gt;($D$75+2020),AR$254&lt;($E$75+2022)),AQ256+($AI$256*$AJ$256*((100-$F$75)/100)*ROUND($B$75/($E$75-$D$75+1),0)/1000000),AQ256*((100+INDEX('DEFAULT DATA'!$WQ$9:$WS$41,START!$C$3,1))/100))</f>
        <v>0</v>
      </c>
      <c r="AS256" s="123">
        <f>IF(AND(AS$254&gt;($D$75+2020),AS$254&lt;($E$75+2022)),AR256+($AI$256*$AJ$256*((100-$F$75)/100)*ROUND($B$75/($E$75-$D$75+1),0)/1000000),AR256*((100+INDEX('DEFAULT DATA'!$WQ$9:$WS$41,START!$C$3,1))/100))</f>
        <v>0</v>
      </c>
      <c r="AT256" s="123">
        <f>IF(AND(AT$254&gt;($D$75+2020),AT$254&lt;($E$75+2022)),AS256+($AI$256*$AJ$256*((100-$F$75)/100)*ROUND($B$75/($E$75-$D$75+1),0)/1000000),AS256*((100+INDEX('DEFAULT DATA'!$WQ$9:$WS$41,START!$C$3,1))/100))</f>
        <v>0</v>
      </c>
      <c r="AU256" s="123">
        <f>IF(AND(AU$254&gt;($D$75+2020),AU$254&lt;($E$75+2022)),AT256+($AI$256*$AJ$256*((100-$F$75)/100)*ROUND($B$75/($E$75-$D$75+1),0)/1000000),AT256*((100+INDEX('DEFAULT DATA'!$WQ$9:$WS$41,START!$C$3,2))/100))</f>
        <v>0</v>
      </c>
      <c r="AV256" s="123">
        <f>IF(AND(AV$254&gt;($D$75+2020),AV$254&lt;($E$75+2022)),AU256+($AI$256*$AJ$256*((100-$F$75)/100)*ROUND($B$75/($E$75-$D$75+1),0)/1000000),AU256*((100+INDEX('DEFAULT DATA'!$WQ$9:$WS$41,START!$C$3,2))/100))</f>
        <v>0</v>
      </c>
      <c r="AW256" s="123">
        <f>IF(AND(AW$254&gt;($D$75+2020),AW$254&lt;($E$75+2022)),AV256+($AI$256*$AJ$256*((100-$F$75)/100)*ROUND($B$75/($E$75-$D$75+1),0)/1000000),AV256*((100+INDEX('DEFAULT DATA'!$WQ$9:$WS$41,START!$C$3,2))/100))</f>
        <v>0</v>
      </c>
      <c r="AX256" s="123">
        <f>IF(AND(AX$254&gt;($D$75+2020),AX$254&lt;($E$75+2022)),AW256+($AI$256*$AJ$256*((100-$F$75)/100)*ROUND($B$75/($E$75-$D$75+1),0)/1000000),AW256*((100+INDEX('DEFAULT DATA'!$WQ$9:$WS$41,START!$C$3,2))/100))</f>
        <v>0</v>
      </c>
      <c r="AY256" s="123">
        <f>IF(AND(AY$254&gt;($D$75+2020),AY$254&lt;($E$75+2022)),AX256+($AI$256*$AJ$256*((100-$F$75)/100)*ROUND($B$75/($E$75-$D$75+1),0)/1000000),AX256*((100+INDEX('DEFAULT DATA'!$WQ$9:$WS$41,START!$C$3,2))/100))</f>
        <v>0</v>
      </c>
      <c r="AZ256" s="123">
        <f>IF(AND(AZ$254&gt;($D$75+2020),AZ$254&lt;($E$75+2022)),AY256+($AI$256*$AJ$256*((100-$F$75)/100)*ROUND($B$75/($E$75-$D$75+1),0)/1000000),AY256*((100+INDEX('DEFAULT DATA'!$WQ$9:$WS$41,START!$C$3,2))/100))</f>
        <v>0</v>
      </c>
      <c r="BA256" s="123">
        <f>IF(AND(BA$254&gt;($D$75+2020),BA$254&lt;($E$75+2022)),AZ256+($AI$256*$AJ$256*((100-$F$75)/100)*ROUND($B$75/($E$75-$D$75+1),0)/1000000),AZ256*((100+INDEX('DEFAULT DATA'!$WQ$9:$WS$41,START!$C$3,2))/100))</f>
        <v>0</v>
      </c>
      <c r="BB256" s="123">
        <f>IF(AND(BB$254&gt;($D$75+2020),BB$254&lt;($E$75+2022)),BA256+($AI$256*$AJ$256*((100-$F$75)/100)*ROUND($B$75/($E$75-$D$75+1),0)/1000000),BA256*((100+INDEX('DEFAULT DATA'!$WQ$9:$WS$41,START!$C$3,2))/100))</f>
        <v>0</v>
      </c>
      <c r="BC256" s="123">
        <f>IF(AND(BC$254&gt;($D$75+2020),BC$254&lt;($E$75+2022)),BB256+($AI$256*$AJ$256*((100-$F$75)/100)*ROUND($B$75/($E$75-$D$75+1),0)/1000000),BB256*((100+INDEX('DEFAULT DATA'!$WQ$9:$WS$41,START!$C$3,2))/100))</f>
        <v>0</v>
      </c>
      <c r="BD256" s="123">
        <f>IF(AND(BD$254&gt;($D$75+2020),BD$254&lt;($E$75+2022)),BC256+($AI$256*$AJ$256*((100-$F$75)/100)*ROUND($B$75/($E$75-$D$75+1),0)/1000000),BC256*((100+INDEX('DEFAULT DATA'!$WQ$9:$WS$41,START!$C$3,2))/100))</f>
        <v>0</v>
      </c>
      <c r="BE256" s="123">
        <f>IF(AND(BE$254&gt;($D$75+2020),BE$254&lt;($E$75+2022)),BD256+($AI$256*$AJ$256*((100-$F$75)/100)*ROUND($B$75/($E$75-$D$75+1),0)/1000000),BD256*((100+INDEX('DEFAULT DATA'!$WQ$9:$WS$41,START!$C$3,3))/100))</f>
        <v>0</v>
      </c>
      <c r="BF256" s="123">
        <f>IF(AND(BF$254&gt;($D$75+2020),BF$254&lt;($E$75+2022)),BE256+($AI$256*$AJ$256*((100-$F$75)/100)*ROUND($B$75/($E$75-$D$75+1),0)/1000000),BE256*((100+INDEX('DEFAULT DATA'!$WQ$9:$WS$41,START!$C$3,3))/100))</f>
        <v>0</v>
      </c>
      <c r="BG256" s="123">
        <f>IF(AND(BG$254&gt;($D$75+2020),BG$254&lt;($E$75+2022)),BF256+($AI$256*$AJ$256*((100-$F$75)/100)*ROUND($B$75/($E$75-$D$75+1),0)/1000000),BF256*((100+INDEX('DEFAULT DATA'!$WQ$9:$WS$41,START!$C$3,3))/100))</f>
        <v>0</v>
      </c>
      <c r="BH256" s="123">
        <f>IF(AND(BH$254&gt;($D$75+2020),BH$254&lt;($E$75+2022)),BG256+($AI$256*$AJ$256*((100-$F$75)/100)*ROUND($B$75/($E$75-$D$75+1),0)/1000000),BG256*((100+INDEX('DEFAULT DATA'!$WQ$9:$WS$41,START!$C$3,3))/100))</f>
        <v>0</v>
      </c>
      <c r="BI256" s="123">
        <f>IF(AND(BI$254&gt;($D$75+2020),BI$254&lt;($E$75+2022)),BH256+($AI$256*$AJ$256*((100-$F$75)/100)*ROUND($B$75/($E$75-$D$75+1),0)/1000000),BH256*((100+INDEX('DEFAULT DATA'!$WQ$9:$WS$41,START!$C$3,3))/100))</f>
        <v>0</v>
      </c>
      <c r="BJ256" s="123">
        <f>IF(AND(BJ$254&gt;($D$75+2020),BJ$254&lt;($E$75+2022)),BI256+($AI$256*$AJ$256*((100-$F$75)/100)*ROUND($B$75/($E$75-$D$75+1),0)/1000000),BI256*((100+INDEX('DEFAULT DATA'!$WQ$9:$WS$41,START!$C$3,3))/100))</f>
        <v>0</v>
      </c>
      <c r="BK256" s="123">
        <f>IF(AND(BK$254&gt;($D$75+2020),BK$254&lt;($E$75+2022)),BJ256+($AI$256*$AJ$256*((100-$F$75)/100)*ROUND($B$75/($E$75-$D$75+1),0)/1000000),BJ256*((100+INDEX('DEFAULT DATA'!$WQ$9:$WS$41,START!$C$3,3))/100))</f>
        <v>0</v>
      </c>
      <c r="BL256" s="123">
        <f>IF(AND(BL$254&gt;($D$75+2020),BL$254&lt;($E$75+2022)),BK256+($AI$256*$AJ$256*((100-$F$75)/100)*ROUND($B$75/($E$75-$D$75+1),0)/1000000),BK256*((100+INDEX('DEFAULT DATA'!$WQ$9:$WS$41,START!$C$3,3))/100))</f>
        <v>0</v>
      </c>
      <c r="BM256" s="123">
        <f>IF(AND(BM$254&gt;($D$75+2020),BM$254&lt;($E$75+2022)),BL256+($AI$256*$AJ$256*((100-$F$75)/100)*ROUND($B$75/($E$75-$D$75+1),0)/1000000),BL256*((100+INDEX('DEFAULT DATA'!$WQ$9:$WS$41,START!$C$3,3))/100))</f>
        <v>0</v>
      </c>
      <c r="BN256" s="123">
        <f>IF(AND(BN$254&gt;($D$75+2020),BN$254&lt;($E$75+2022)),BM256+($AI$256*$AJ$256*((100-$F$75)/100)*ROUND($B$75/($E$75-$D$75+1),0)/1000000),BM256*((100+INDEX('DEFAULT DATA'!$WQ$9:$WS$41,START!$C$3,3))/100))</f>
        <v>0</v>
      </c>
      <c r="BP256" s="383" t="s">
        <v>862</v>
      </c>
      <c r="BQ256" s="1463" t="s">
        <v>1511</v>
      </c>
      <c r="BR256" s="1464"/>
      <c r="BS256" s="1464"/>
      <c r="BT256" s="1464"/>
      <c r="BU256" s="1464"/>
      <c r="BV256" s="1464"/>
      <c r="BW256" s="1464"/>
      <c r="BX256" s="1464"/>
      <c r="BY256" s="1464"/>
      <c r="BZ256" s="1464"/>
      <c r="CA256" s="1464"/>
      <c r="CB256" s="1464"/>
      <c r="CC256" s="1464"/>
      <c r="CD256" s="1464"/>
      <c r="CE256" s="1464"/>
      <c r="CF256" s="1464"/>
      <c r="CG256" s="1465"/>
      <c r="CH256" s="385" t="s">
        <v>1233</v>
      </c>
      <c r="CI256" s="385" t="s">
        <v>886</v>
      </c>
    </row>
    <row r="257" spans="32:87" ht="20.100000000000001" customHeight="1">
      <c r="AF257" s="1551"/>
      <c r="AG257" s="107" t="s">
        <v>863</v>
      </c>
      <c r="AH257" s="107"/>
      <c r="AI257" s="107">
        <f>INDEX('DEFAULT DATA'!$WD$9:$WJ$41,START!$C$3,2)</f>
        <v>267</v>
      </c>
      <c r="AJ257" s="63">
        <f>INDEX('DEFAULT DATA'!$YB$9:$YI$41,START!$C$3,3)</f>
        <v>0</v>
      </c>
      <c r="AK257" s="53">
        <v>0</v>
      </c>
      <c r="AL257" s="123">
        <f>IF(AND(AL$254&gt;($D$75+2020),AL$254&lt;($E$75+2022)),AK257+($AI$257*$AJ$257*((100-$F$75)/100)*ROUND($B$75/($E$75-$D$75+1),0)/1000000),AK257*((100+INDEX('DEFAULT DATA'!$WQ$9:$WS$41,START!$C$3,1))/100))</f>
        <v>0</v>
      </c>
      <c r="AM257" s="123">
        <f>IF(AND(AM$254&gt;($D$75+2020),AM$254&lt;($E$75+2022)),AL257+($AI$257*$AJ$257*((100-$F$75)/100)*ROUND($B$75/($E$75-$D$75+1),0)/1000000),AL257*((100+INDEX('DEFAULT DATA'!$WQ$9:$WS$41,START!$C$3,1))/100))</f>
        <v>0</v>
      </c>
      <c r="AN257" s="123">
        <f>IF(AND(AN$254&gt;($D$75+2020),AN$254&lt;($E$75+2022)),AM257+($AI$257*$AJ$257*((100-$F$75)/100)*ROUND($B$75/($E$75-$D$75+1),0)/1000000),AM257*((100+INDEX('DEFAULT DATA'!$WQ$9:$WS$41,START!$C$3,1))/100))</f>
        <v>0</v>
      </c>
      <c r="AO257" s="123">
        <f>IF(AND(AO$254&gt;($D$75+2020),AO$254&lt;($E$75+2022)),AN257+($AI$257*$AJ$257*((100-$F$75)/100)*ROUND($B$75/($E$75-$D$75+1),0)/1000000),AN257*((100+INDEX('DEFAULT DATA'!$WQ$9:$WS$41,START!$C$3,1))/100))</f>
        <v>0</v>
      </c>
      <c r="AP257" s="123">
        <f>IF(AND(AP$254&gt;($D$75+2020),AP$254&lt;($E$75+2022)),AO257+($AI$257*$AJ$257*((100-$F$75)/100)*ROUND($B$75/($E$75-$D$75+1),0)/1000000),AO257*((100+INDEX('DEFAULT DATA'!$WQ$9:$WS$41,START!$C$3,1))/100))</f>
        <v>0</v>
      </c>
      <c r="AQ257" s="123">
        <f>IF(AND(AQ$254&gt;($D$75+2020),AQ$254&lt;($E$75+2022)),AP257+($AI$257*$AJ$257*((100-$F$75)/100)*ROUND($B$75/($E$75-$D$75+1),0)/1000000),AP257*((100+INDEX('DEFAULT DATA'!$WQ$9:$WS$41,START!$C$3,1))/100))</f>
        <v>0</v>
      </c>
      <c r="AR257" s="123">
        <f>IF(AND(AR$254&gt;($D$75+2020),AR$254&lt;($E$75+2022)),AQ257+($AI$257*$AJ$257*((100-$F$75)/100)*ROUND($B$75/($E$75-$D$75+1),0)/1000000),AQ257*((100+INDEX('DEFAULT DATA'!$WQ$9:$WS$41,START!$C$3,1))/100))</f>
        <v>0</v>
      </c>
      <c r="AS257" s="123">
        <f>IF(AND(AS$254&gt;($D$75+2020),AS$254&lt;($E$75+2022)),AR257+($AI$257*$AJ$257*((100-$F$75)/100)*ROUND($B$75/($E$75-$D$75+1),0)/1000000),AR257*((100+INDEX('DEFAULT DATA'!$WQ$9:$WS$41,START!$C$3,1))/100))</f>
        <v>0</v>
      </c>
      <c r="AT257" s="123">
        <f>IF(AND(AT$254&gt;($D$75+2020),AT$254&lt;($E$75+2022)),AS257+($AI$257*$AJ$257*((100-$F$75)/100)*ROUND($B$75/($E$75-$D$75+1),0)/1000000),AS257*((100+INDEX('DEFAULT DATA'!$WQ$9:$WS$41,START!$C$3,1))/100))</f>
        <v>0</v>
      </c>
      <c r="AU257" s="123">
        <f>IF(AND(AU$254&gt;($D$75+2020),AU$254&lt;($E$75+2022)),AT257+($AI$257*$AJ$257*((100-$F$75)/100)*ROUND($B$75/($E$75-$D$75+1),0)/1000000),AT257*((100+INDEX('DEFAULT DATA'!$WQ$9:$WS$41,START!$C$3,2))/100))</f>
        <v>0</v>
      </c>
      <c r="AV257" s="123">
        <f>IF(AND(AV$254&gt;($D$75+2020),AV$254&lt;($E$75+2022)),AU257+($AI$257*$AJ$257*((100-$F$75)/100)*ROUND($B$75/($E$75-$D$75+1),0)/1000000),AU257*((100+INDEX('DEFAULT DATA'!$WQ$9:$WS$41,START!$C$3,2))/100))</f>
        <v>0</v>
      </c>
      <c r="AW257" s="123">
        <f>IF(AND(AW$254&gt;($D$75+2020),AW$254&lt;($E$75+2022)),AV257+($AI$257*$AJ$257*((100-$F$75)/100)*ROUND($B$75/($E$75-$D$75+1),0)/1000000),AV257*((100+INDEX('DEFAULT DATA'!$WQ$9:$WS$41,START!$C$3,2))/100))</f>
        <v>0</v>
      </c>
      <c r="AX257" s="123">
        <f>IF(AND(AX$254&gt;($D$75+2020),AX$254&lt;($E$75+2022)),AW257+($AI$257*$AJ$257*((100-$F$75)/100)*ROUND($B$75/($E$75-$D$75+1),0)/1000000),AW257*((100+INDEX('DEFAULT DATA'!$WQ$9:$WS$41,START!$C$3,2))/100))</f>
        <v>0</v>
      </c>
      <c r="AY257" s="123">
        <f>IF(AND(AY$254&gt;($D$75+2020),AY$254&lt;($E$75+2022)),AX257+($AI$257*$AJ$257*((100-$F$75)/100)*ROUND($B$75/($E$75-$D$75+1),0)/1000000),AX257*((100+INDEX('DEFAULT DATA'!$WQ$9:$WS$41,START!$C$3,2))/100))</f>
        <v>0</v>
      </c>
      <c r="AZ257" s="123">
        <f>IF(AND(AZ$254&gt;($D$75+2020),AZ$254&lt;($E$75+2022)),AY257+($AI$257*$AJ$257*((100-$F$75)/100)*ROUND($B$75/($E$75-$D$75+1),0)/1000000),AY257*((100+INDEX('DEFAULT DATA'!$WQ$9:$WS$41,START!$C$3,2))/100))</f>
        <v>0</v>
      </c>
      <c r="BA257" s="123">
        <f>IF(AND(BA$254&gt;($D$75+2020),BA$254&lt;($E$75+2022)),AZ257+($AI$257*$AJ$257*((100-$F$75)/100)*ROUND($B$75/($E$75-$D$75+1),0)/1000000),AZ257*((100+INDEX('DEFAULT DATA'!$WQ$9:$WS$41,START!$C$3,2))/100))</f>
        <v>0</v>
      </c>
      <c r="BB257" s="123">
        <f>IF(AND(BB$254&gt;($D$75+2020),BB$254&lt;($E$75+2022)),BA257+($AI$257*$AJ$257*((100-$F$75)/100)*ROUND($B$75/($E$75-$D$75+1),0)/1000000),BA257*((100+INDEX('DEFAULT DATA'!$WQ$9:$WS$41,START!$C$3,2))/100))</f>
        <v>0</v>
      </c>
      <c r="BC257" s="123">
        <f>IF(AND(BC$254&gt;($D$75+2020),BC$254&lt;($E$75+2022)),BB257+($AI$257*$AJ$257*((100-$F$75)/100)*ROUND($B$75/($E$75-$D$75+1),0)/1000000),BB257*((100+INDEX('DEFAULT DATA'!$WQ$9:$WS$41,START!$C$3,2))/100))</f>
        <v>0</v>
      </c>
      <c r="BD257" s="123">
        <f>IF(AND(BD$254&gt;($D$75+2020),BD$254&lt;($E$75+2022)),BC257+($AI$257*$AJ$257*((100-$F$75)/100)*ROUND($B$75/($E$75-$D$75+1),0)/1000000),BC257*((100+INDEX('DEFAULT DATA'!$WQ$9:$WS$41,START!$C$3,2))/100))</f>
        <v>0</v>
      </c>
      <c r="BE257" s="123">
        <f>IF(AND(BE$254&gt;($D$75+2020),BE$254&lt;($E$75+2022)),BD257+($AI$257*$AJ$257*((100-$F$75)/100)*ROUND($B$75/($E$75-$D$75+1),0)/1000000),BD257*((100+INDEX('DEFAULT DATA'!$WQ$9:$WS$41,START!$C$3,3))/100))</f>
        <v>0</v>
      </c>
      <c r="BF257" s="123">
        <f>IF(AND(BF$254&gt;($D$75+2020),BF$254&lt;($E$75+2022)),BE257+($AI$257*$AJ$257*((100-$F$75)/100)*ROUND($B$75/($E$75-$D$75+1),0)/1000000),BE257*((100+INDEX('DEFAULT DATA'!$WQ$9:$WS$41,START!$C$3,3))/100))</f>
        <v>0</v>
      </c>
      <c r="BG257" s="123">
        <f>IF(AND(BG$254&gt;($D$75+2020),BG$254&lt;($E$75+2022)),BF257+($AI$257*$AJ$257*((100-$F$75)/100)*ROUND($B$75/($E$75-$D$75+1),0)/1000000),BF257*((100+INDEX('DEFAULT DATA'!$WQ$9:$WS$41,START!$C$3,3))/100))</f>
        <v>0</v>
      </c>
      <c r="BH257" s="123">
        <f>IF(AND(BH$254&gt;($D$75+2020),BH$254&lt;($E$75+2022)),BG257+($AI$257*$AJ$257*((100-$F$75)/100)*ROUND($B$75/($E$75-$D$75+1),0)/1000000),BG257*((100+INDEX('DEFAULT DATA'!$WQ$9:$WS$41,START!$C$3,3))/100))</f>
        <v>0</v>
      </c>
      <c r="BI257" s="123">
        <f>IF(AND(BI$254&gt;($D$75+2020),BI$254&lt;($E$75+2022)),BH257+($AI$257*$AJ$257*((100-$F$75)/100)*ROUND($B$75/($E$75-$D$75+1),0)/1000000),BH257*((100+INDEX('DEFAULT DATA'!$WQ$9:$WS$41,START!$C$3,3))/100))</f>
        <v>0</v>
      </c>
      <c r="BJ257" s="123">
        <f>IF(AND(BJ$254&gt;($D$75+2020),BJ$254&lt;($E$75+2022)),BI257+($AI$257*$AJ$257*((100-$F$75)/100)*ROUND($B$75/($E$75-$D$75+1),0)/1000000),BI257*((100+INDEX('DEFAULT DATA'!$WQ$9:$WS$41,START!$C$3,3))/100))</f>
        <v>0</v>
      </c>
      <c r="BK257" s="123">
        <f>IF(AND(BK$254&gt;($D$75+2020),BK$254&lt;($E$75+2022)),BJ257+($AI$257*$AJ$257*((100-$F$75)/100)*ROUND($B$75/($E$75-$D$75+1),0)/1000000),BJ257*((100+INDEX('DEFAULT DATA'!$WQ$9:$WS$41,START!$C$3,3))/100))</f>
        <v>0</v>
      </c>
      <c r="BL257" s="123">
        <f>IF(AND(BL$254&gt;($D$75+2020),BL$254&lt;($E$75+2022)),BK257+($AI$257*$AJ$257*((100-$F$75)/100)*ROUND($B$75/($E$75-$D$75+1),0)/1000000),BK257*((100+INDEX('DEFAULT DATA'!$WQ$9:$WS$41,START!$C$3,3))/100))</f>
        <v>0</v>
      </c>
      <c r="BM257" s="123">
        <f>IF(AND(BM$254&gt;($D$75+2020),BM$254&lt;($E$75+2022)),BL257+($AI$257*$AJ$257*((100-$F$75)/100)*ROUND($B$75/($E$75-$D$75+1),0)/1000000),BL257*((100+INDEX('DEFAULT DATA'!$WQ$9:$WS$41,START!$C$3,3))/100))</f>
        <v>0</v>
      </c>
      <c r="BN257" s="123">
        <f>IF(AND(BN$254&gt;($D$75+2020),BN$254&lt;($E$75+2022)),BM257+($AI$257*$AJ$257*((100-$F$75)/100)*ROUND($B$75/($E$75-$D$75+1),0)/1000000),BM257*((100+INDEX('DEFAULT DATA'!$WQ$9:$WS$41,START!$C$3,3))/100))</f>
        <v>0</v>
      </c>
      <c r="BP257" s="383" t="s">
        <v>863</v>
      </c>
      <c r="BQ257" s="1463" t="s">
        <v>1513</v>
      </c>
      <c r="BR257" s="1464"/>
      <c r="BS257" s="1464"/>
      <c r="BT257" s="1464"/>
      <c r="BU257" s="1464"/>
      <c r="BV257" s="1464"/>
      <c r="BW257" s="1464"/>
      <c r="BX257" s="1464"/>
      <c r="BY257" s="1464"/>
      <c r="BZ257" s="1464"/>
      <c r="CA257" s="1464"/>
      <c r="CB257" s="1464"/>
      <c r="CC257" s="1464"/>
      <c r="CD257" s="1464"/>
      <c r="CE257" s="1464"/>
      <c r="CF257" s="1464"/>
      <c r="CG257" s="1465"/>
      <c r="CH257" s="385" t="s">
        <v>1234</v>
      </c>
      <c r="CI257" s="385" t="s">
        <v>1247</v>
      </c>
    </row>
    <row r="258" spans="32:87" ht="20.100000000000001" customHeight="1">
      <c r="AF258" s="1551"/>
      <c r="AG258" s="107" t="s">
        <v>864</v>
      </c>
      <c r="AH258" s="107"/>
      <c r="AI258" s="107">
        <f>INDEX('DEFAULT DATA'!$WD$9:$WJ$41,START!$C$3,3)</f>
        <v>354</v>
      </c>
      <c r="AJ258" s="63">
        <f>INDEX('DEFAULT DATA'!$YB$9:$YI$41,START!$C$3,4)</f>
        <v>0</v>
      </c>
      <c r="AK258" s="53">
        <v>0</v>
      </c>
      <c r="AL258" s="123">
        <f>IF(AND(AL$254&gt;($D$75+2020),AL$254&lt;($E$75+2022)),AK258+($AI$258*$AJ$258*((100-$F$75)/100)*ROUND($B$75/($E$75-$D$75+1),0)/1000000),AK258*((100+INDEX('DEFAULT DATA'!$WQ$9:$WS$41,START!$C$3,1))/100))</f>
        <v>0</v>
      </c>
      <c r="AM258" s="123">
        <f>IF(AND(AM$254&gt;($D$75+2020),AM$254&lt;($E$75+2022)),AL258+($AI$258*$AJ$258*((100-$F$75)/100)*ROUND($B$75/($E$75-$D$75+1),0)/1000000),AL258*((100+INDEX('DEFAULT DATA'!$WQ$9:$WS$41,START!$C$3,1))/100))</f>
        <v>0</v>
      </c>
      <c r="AN258" s="123">
        <f>IF(AND(AN$254&gt;($D$75+2020),AN$254&lt;($E$75+2022)),AM258+($AI$258*$AJ$258*((100-$F$75)/100)*ROUND($B$75/($E$75-$D$75+1),0)/1000000),AM258*((100+INDEX('DEFAULT DATA'!$WQ$9:$WS$41,START!$C$3,1))/100))</f>
        <v>0</v>
      </c>
      <c r="AO258" s="123">
        <f>IF(AND(AO$254&gt;($D$75+2020),AO$254&lt;($E$75+2022)),AN258+($AI$258*$AJ$258*((100-$F$75)/100)*ROUND($B$75/($E$75-$D$75+1),0)/1000000),AN258*((100+INDEX('DEFAULT DATA'!$WQ$9:$WS$41,START!$C$3,1))/100))</f>
        <v>0</v>
      </c>
      <c r="AP258" s="123">
        <f>IF(AND(AP$254&gt;($D$75+2020),AP$254&lt;($E$75+2022)),AO258+($AI$258*$AJ$258*((100-$F$75)/100)*ROUND($B$75/($E$75-$D$75+1),0)/1000000),AO258*((100+INDEX('DEFAULT DATA'!$WQ$9:$WS$41,START!$C$3,1))/100))</f>
        <v>0</v>
      </c>
      <c r="AQ258" s="123">
        <f>IF(AND(AQ$254&gt;($D$75+2020),AQ$254&lt;($E$75+2022)),AP258+($AI$258*$AJ$258*((100-$F$75)/100)*ROUND($B$75/($E$75-$D$75+1),0)/1000000),AP258*((100+INDEX('DEFAULT DATA'!$WQ$9:$WS$41,START!$C$3,1))/100))</f>
        <v>0</v>
      </c>
      <c r="AR258" s="123">
        <f>IF(AND(AR$254&gt;($D$75+2020),AR$254&lt;($E$75+2022)),AQ258+($AI$258*$AJ$258*((100-$F$75)/100)*ROUND($B$75/($E$75-$D$75+1),0)/1000000),AQ258*((100+INDEX('DEFAULT DATA'!$WQ$9:$WS$41,START!$C$3,1))/100))</f>
        <v>0</v>
      </c>
      <c r="AS258" s="123">
        <f>IF(AND(AS$254&gt;($D$75+2020),AS$254&lt;($E$75+2022)),AR258+($AI$258*$AJ$258*((100-$F$75)/100)*ROUND($B$75/($E$75-$D$75+1),0)/1000000),AR258*((100+INDEX('DEFAULT DATA'!$WQ$9:$WS$41,START!$C$3,1))/100))</f>
        <v>0</v>
      </c>
      <c r="AT258" s="123">
        <f>IF(AND(AT$254&gt;($D$75+2020),AT$254&lt;($E$75+2022)),AS258+($AI$258*$AJ$258*((100-$F$75)/100)*ROUND($B$75/($E$75-$D$75+1),0)/1000000),AS258*((100+INDEX('DEFAULT DATA'!$WQ$9:$WS$41,START!$C$3,1))/100))</f>
        <v>0</v>
      </c>
      <c r="AU258" s="123">
        <f>IF(AND(AU$254&gt;($D$75+2020),AU$254&lt;($E$75+2022)),AT258+($AI$258*$AJ$258*((100-$F$75)/100)*ROUND($B$75/($E$75-$D$75+1),0)/1000000),AT258*((100+INDEX('DEFAULT DATA'!$WQ$9:$WS$41,START!$C$3,2))/100))</f>
        <v>0</v>
      </c>
      <c r="AV258" s="123">
        <f>IF(AND(AV$254&gt;($D$75+2020),AV$254&lt;($E$75+2022)),AU258+($AI$258*$AJ$258*((100-$F$75)/100)*ROUND($B$75/($E$75-$D$75+1),0)/1000000),AU258*((100+INDEX('DEFAULT DATA'!$WQ$9:$WS$41,START!$C$3,2))/100))</f>
        <v>0</v>
      </c>
      <c r="AW258" s="123">
        <f>IF(AND(AW$254&gt;($D$75+2020),AW$254&lt;($E$75+2022)),AV258+($AI$258*$AJ$258*((100-$F$75)/100)*ROUND($B$75/($E$75-$D$75+1),0)/1000000),AV258*((100+INDEX('DEFAULT DATA'!$WQ$9:$WS$41,START!$C$3,2))/100))</f>
        <v>0</v>
      </c>
      <c r="AX258" s="123">
        <f>IF(AND(AX$254&gt;($D$75+2020),AX$254&lt;($E$75+2022)),AW258+($AI$258*$AJ$258*((100-$F$75)/100)*ROUND($B$75/($E$75-$D$75+1),0)/1000000),AW258*((100+INDEX('DEFAULT DATA'!$WQ$9:$WS$41,START!$C$3,2))/100))</f>
        <v>0</v>
      </c>
      <c r="AY258" s="123">
        <f>IF(AND(AY$254&gt;($D$75+2020),AY$254&lt;($E$75+2022)),AX258+($AI$258*$AJ$258*((100-$F$75)/100)*ROUND($B$75/($E$75-$D$75+1),0)/1000000),AX258*((100+INDEX('DEFAULT DATA'!$WQ$9:$WS$41,START!$C$3,2))/100))</f>
        <v>0</v>
      </c>
      <c r="AZ258" s="123">
        <f>IF(AND(AZ$254&gt;($D$75+2020),AZ$254&lt;($E$75+2022)),AY258+($AI$258*$AJ$258*((100-$F$75)/100)*ROUND($B$75/($E$75-$D$75+1),0)/1000000),AY258*((100+INDEX('DEFAULT DATA'!$WQ$9:$WS$41,START!$C$3,2))/100))</f>
        <v>0</v>
      </c>
      <c r="BA258" s="123">
        <f>IF(AND(BA$254&gt;($D$75+2020),BA$254&lt;($E$75+2022)),AZ258+($AI$258*$AJ$258*((100-$F$75)/100)*ROUND($B$75/($E$75-$D$75+1),0)/1000000),AZ258*((100+INDEX('DEFAULT DATA'!$WQ$9:$WS$41,START!$C$3,2))/100))</f>
        <v>0</v>
      </c>
      <c r="BB258" s="123">
        <f>IF(AND(BB$254&gt;($D$75+2020),BB$254&lt;($E$75+2022)),BA258+($AI$258*$AJ$258*((100-$F$75)/100)*ROUND($B$75/($E$75-$D$75+1),0)/1000000),BA258*((100+INDEX('DEFAULT DATA'!$WQ$9:$WS$41,START!$C$3,2))/100))</f>
        <v>0</v>
      </c>
      <c r="BC258" s="123">
        <f>IF(AND(BC$254&gt;($D$75+2020),BC$254&lt;($E$75+2022)),BB258+($AI$258*$AJ$258*((100-$F$75)/100)*ROUND($B$75/($E$75-$D$75+1),0)/1000000),BB258*((100+INDEX('DEFAULT DATA'!$WQ$9:$WS$41,START!$C$3,2))/100))</f>
        <v>0</v>
      </c>
      <c r="BD258" s="123">
        <f>IF(AND(BD$254&gt;($D$75+2020),BD$254&lt;($E$75+2022)),BC258+($AI$258*$AJ$258*((100-$F$75)/100)*ROUND($B$75/($E$75-$D$75+1),0)/1000000),BC258*((100+INDEX('DEFAULT DATA'!$WQ$9:$WS$41,START!$C$3,2))/100))</f>
        <v>0</v>
      </c>
      <c r="BE258" s="123">
        <f>IF(AND(BE$254&gt;($D$75+2020),BE$254&lt;($E$75+2022)),BD258+($AI$258*$AJ$258*((100-$F$75)/100)*ROUND($B$75/($E$75-$D$75+1),0)/1000000),BD258*((100+INDEX('DEFAULT DATA'!$WQ$9:$WS$41,START!$C$3,3))/100))</f>
        <v>0</v>
      </c>
      <c r="BF258" s="123">
        <f>IF(AND(BF$254&gt;($D$75+2020),BF$254&lt;($E$75+2022)),BE258+($AI$258*$AJ$258*((100-$F$75)/100)*ROUND($B$75/($E$75-$D$75+1),0)/1000000),BE258*((100+INDEX('DEFAULT DATA'!$WQ$9:$WS$41,START!$C$3,3))/100))</f>
        <v>0</v>
      </c>
      <c r="BG258" s="123">
        <f>IF(AND(BG$254&gt;($D$75+2020),BG$254&lt;($E$75+2022)),BF258+($AI$258*$AJ$258*((100-$F$75)/100)*ROUND($B$75/($E$75-$D$75+1),0)/1000000),BF258*((100+INDEX('DEFAULT DATA'!$WQ$9:$WS$41,START!$C$3,3))/100))</f>
        <v>0</v>
      </c>
      <c r="BH258" s="123">
        <f>IF(AND(BH$254&gt;($D$75+2020),BH$254&lt;($E$75+2022)),BG258+($AI$258*$AJ$258*((100-$F$75)/100)*ROUND($B$75/($E$75-$D$75+1),0)/1000000),BG258*((100+INDEX('DEFAULT DATA'!$WQ$9:$WS$41,START!$C$3,3))/100))</f>
        <v>0</v>
      </c>
      <c r="BI258" s="123">
        <f>IF(AND(BI$254&gt;($D$75+2020),BI$254&lt;($E$75+2022)),BH258+($AI$258*$AJ$258*((100-$F$75)/100)*ROUND($B$75/($E$75-$D$75+1),0)/1000000),BH258*((100+INDEX('DEFAULT DATA'!$WQ$9:$WS$41,START!$C$3,3))/100))</f>
        <v>0</v>
      </c>
      <c r="BJ258" s="123">
        <f>IF(AND(BJ$254&gt;($D$75+2020),BJ$254&lt;($E$75+2022)),BI258+($AI$258*$AJ$258*((100-$F$75)/100)*ROUND($B$75/($E$75-$D$75+1),0)/1000000),BI258*((100+INDEX('DEFAULT DATA'!$WQ$9:$WS$41,START!$C$3,3))/100))</f>
        <v>0</v>
      </c>
      <c r="BK258" s="123">
        <f>IF(AND(BK$254&gt;($D$75+2020),BK$254&lt;($E$75+2022)),BJ258+($AI$258*$AJ$258*((100-$F$75)/100)*ROUND($B$75/($E$75-$D$75+1),0)/1000000),BJ258*((100+INDEX('DEFAULT DATA'!$WQ$9:$WS$41,START!$C$3,3))/100))</f>
        <v>0</v>
      </c>
      <c r="BL258" s="123">
        <f>IF(AND(BL$254&gt;($D$75+2020),BL$254&lt;($E$75+2022)),BK258+($AI$258*$AJ$258*((100-$F$75)/100)*ROUND($B$75/($E$75-$D$75+1),0)/1000000),BK258*((100+INDEX('DEFAULT DATA'!$WQ$9:$WS$41,START!$C$3,3))/100))</f>
        <v>0</v>
      </c>
      <c r="BM258" s="123">
        <f>IF(AND(BM$254&gt;($D$75+2020),BM$254&lt;($E$75+2022)),BL258+($AI$258*$AJ$258*((100-$F$75)/100)*ROUND($B$75/($E$75-$D$75+1),0)/1000000),BL258*((100+INDEX('DEFAULT DATA'!$WQ$9:$WS$41,START!$C$3,3))/100))</f>
        <v>0</v>
      </c>
      <c r="BN258" s="123">
        <f>IF(AND(BN$254&gt;($D$75+2020),BN$254&lt;($E$75+2022)),BM258+($AI$258*$AJ$258*((100-$F$75)/100)*ROUND($B$75/($E$75-$D$75+1),0)/1000000),BM258*((100+INDEX('DEFAULT DATA'!$WQ$9:$WS$41,START!$C$3,3))/100))</f>
        <v>0</v>
      </c>
      <c r="BP258" s="383" t="s">
        <v>864</v>
      </c>
      <c r="BQ258" s="1463" t="s">
        <v>1514</v>
      </c>
      <c r="BR258" s="1464"/>
      <c r="BS258" s="1464"/>
      <c r="BT258" s="1464"/>
      <c r="BU258" s="1464"/>
      <c r="BV258" s="1464"/>
      <c r="BW258" s="1464"/>
      <c r="BX258" s="1464"/>
      <c r="BY258" s="1464"/>
      <c r="BZ258" s="1464"/>
      <c r="CA258" s="1464"/>
      <c r="CB258" s="1464"/>
      <c r="CC258" s="1464"/>
      <c r="CD258" s="1464"/>
      <c r="CE258" s="1464"/>
      <c r="CF258" s="1464"/>
      <c r="CG258" s="1465"/>
      <c r="CH258" s="385" t="s">
        <v>1235</v>
      </c>
      <c r="CI258" s="385" t="s">
        <v>1248</v>
      </c>
    </row>
    <row r="259" spans="32:87" ht="20.100000000000001" customHeight="1">
      <c r="AF259" s="1551"/>
      <c r="AG259" s="107" t="s">
        <v>865</v>
      </c>
      <c r="AH259" s="107"/>
      <c r="AI259" s="107">
        <f>INDEX('DEFAULT DATA'!$WD$9:$WJ$41,START!$C$3,4)</f>
        <v>382</v>
      </c>
      <c r="AJ259" s="63">
        <f>INDEX('DEFAULT DATA'!$YB$9:$YI$41,START!$C$3,5)</f>
        <v>0</v>
      </c>
      <c r="AK259" s="53">
        <v>0</v>
      </c>
      <c r="AL259" s="123">
        <f>IF(AND(AL$254&gt;($D$75+2020),AL$254&lt;($E$75+2022)),AK259+($AI$259*$AJ$259*((100-$F$75)/100)*ROUND($B$75/($E$75-$D$75+1),0)/1000000),AK259*((100+INDEX('DEFAULT DATA'!$WQ$9:$WS$41,START!$C$3,1))/100))</f>
        <v>0</v>
      </c>
      <c r="AM259" s="123">
        <f>IF(AND(AM$254&gt;($D$75+2020),AM$254&lt;($E$75+2022)),AL259+($AI$259*$AJ$259*((100-$F$75)/100)*ROUND($B$75/($E$75-$D$75+1),0)/1000000),AL259*((100+INDEX('DEFAULT DATA'!$WQ$9:$WS$41,START!$C$3,1))/100))</f>
        <v>0</v>
      </c>
      <c r="AN259" s="123">
        <f>IF(AND(AN$254&gt;($D$75+2020),AN$254&lt;($E$75+2022)),AM259+($AI$259*$AJ$259*((100-$F$75)/100)*ROUND($B$75/($E$75-$D$75+1),0)/1000000),AM259*((100+INDEX('DEFAULT DATA'!$WQ$9:$WS$41,START!$C$3,1))/100))</f>
        <v>0</v>
      </c>
      <c r="AO259" s="123">
        <f>IF(AND(AO$254&gt;($D$75+2020),AO$254&lt;($E$75+2022)),AN259+($AI$259*$AJ$259*((100-$F$75)/100)*ROUND($B$75/($E$75-$D$75+1),0)/1000000),AN259*((100+INDEX('DEFAULT DATA'!$WQ$9:$WS$41,START!$C$3,1))/100))</f>
        <v>0</v>
      </c>
      <c r="AP259" s="123">
        <f>IF(AND(AP$254&gt;($D$75+2020),AP$254&lt;($E$75+2022)),AO259+($AI$259*$AJ$259*((100-$F$75)/100)*ROUND($B$75/($E$75-$D$75+1),0)/1000000),AO259*((100+INDEX('DEFAULT DATA'!$WQ$9:$WS$41,START!$C$3,1))/100))</f>
        <v>0</v>
      </c>
      <c r="AQ259" s="123">
        <f>IF(AND(AQ$254&gt;($D$75+2020),AQ$254&lt;($E$75+2022)),AP259+($AI$259*$AJ$259*((100-$F$75)/100)*ROUND($B$75/($E$75-$D$75+1),0)/1000000),AP259*((100+INDEX('DEFAULT DATA'!$WQ$9:$WS$41,START!$C$3,1))/100))</f>
        <v>0</v>
      </c>
      <c r="AR259" s="123">
        <f>IF(AND(AR$254&gt;($D$75+2020),AR$254&lt;($E$75+2022)),AQ259+($AI$259*$AJ$259*((100-$F$75)/100)*ROUND($B$75/($E$75-$D$75+1),0)/1000000),AQ259*((100+INDEX('DEFAULT DATA'!$WQ$9:$WS$41,START!$C$3,1))/100))</f>
        <v>0</v>
      </c>
      <c r="AS259" s="123">
        <f>IF(AND(AS$254&gt;($D$75+2020),AS$254&lt;($E$75+2022)),AR259+($AI$259*$AJ$259*((100-$F$75)/100)*ROUND($B$75/($E$75-$D$75+1),0)/1000000),AR259*((100+INDEX('DEFAULT DATA'!$WQ$9:$WS$41,START!$C$3,1))/100))</f>
        <v>0</v>
      </c>
      <c r="AT259" s="123">
        <f>IF(AND(AT$254&gt;($D$75+2020),AT$254&lt;($E$75+2022)),AS259+($AI$259*$AJ$259*((100-$F$75)/100)*ROUND($B$75/($E$75-$D$75+1),0)/1000000),AS259*((100+INDEX('DEFAULT DATA'!$WQ$9:$WS$41,START!$C$3,1))/100))</f>
        <v>0</v>
      </c>
      <c r="AU259" s="123">
        <f>IF(AND(AU$254&gt;($D$75+2020),AU$254&lt;($E$75+2022)),AT259+($AI$259*$AJ$259*((100-$F$75)/100)*ROUND($B$75/($E$75-$D$75+1),0)/1000000),AT259*((100+INDEX('DEFAULT DATA'!$WQ$9:$WS$41,START!$C$3,2))/100))</f>
        <v>0</v>
      </c>
      <c r="AV259" s="123">
        <f>IF(AND(AV$254&gt;($D$75+2020),AV$254&lt;($E$75+2022)),AU259+($AI$259*$AJ$259*((100-$F$75)/100)*ROUND($B$75/($E$75-$D$75+1),0)/1000000),AU259*((100+INDEX('DEFAULT DATA'!$WQ$9:$WS$41,START!$C$3,2))/100))</f>
        <v>0</v>
      </c>
      <c r="AW259" s="123">
        <f>IF(AND(AW$254&gt;($D$75+2020),AW$254&lt;($E$75+2022)),AV259+($AI$259*$AJ$259*((100-$F$75)/100)*ROUND($B$75/($E$75-$D$75+1),0)/1000000),AV259*((100+INDEX('DEFAULT DATA'!$WQ$9:$WS$41,START!$C$3,2))/100))</f>
        <v>0</v>
      </c>
      <c r="AX259" s="123">
        <f>IF(AND(AX$254&gt;($D$75+2020),AX$254&lt;($E$75+2022)),AW259+($AI$259*$AJ$259*((100-$F$75)/100)*ROUND($B$75/($E$75-$D$75+1),0)/1000000),AW259*((100+INDEX('DEFAULT DATA'!$WQ$9:$WS$41,START!$C$3,2))/100))</f>
        <v>0</v>
      </c>
      <c r="AY259" s="123">
        <f>IF(AND(AY$254&gt;($D$75+2020),AY$254&lt;($E$75+2022)),AX259+($AI$259*$AJ$259*((100-$F$75)/100)*ROUND($B$75/($E$75-$D$75+1),0)/1000000),AX259*((100+INDEX('DEFAULT DATA'!$WQ$9:$WS$41,START!$C$3,2))/100))</f>
        <v>0</v>
      </c>
      <c r="AZ259" s="123">
        <f>IF(AND(AZ$254&gt;($D$75+2020),AZ$254&lt;($E$75+2022)),AY259+($AI$259*$AJ$259*((100-$F$75)/100)*ROUND($B$75/($E$75-$D$75+1),0)/1000000),AY259*((100+INDEX('DEFAULT DATA'!$WQ$9:$WS$41,START!$C$3,2))/100))</f>
        <v>0</v>
      </c>
      <c r="BA259" s="123">
        <f>IF(AND(BA$254&gt;($D$75+2020),BA$254&lt;($E$75+2022)),AZ259+($AI$259*$AJ$259*((100-$F$75)/100)*ROUND($B$75/($E$75-$D$75+1),0)/1000000),AZ259*((100+INDEX('DEFAULT DATA'!$WQ$9:$WS$41,START!$C$3,2))/100))</f>
        <v>0</v>
      </c>
      <c r="BB259" s="123">
        <f>IF(AND(BB$254&gt;($D$75+2020),BB$254&lt;($E$75+2022)),BA259+($AI$259*$AJ$259*((100-$F$75)/100)*ROUND($B$75/($E$75-$D$75+1),0)/1000000),BA259*((100+INDEX('DEFAULT DATA'!$WQ$9:$WS$41,START!$C$3,2))/100))</f>
        <v>0</v>
      </c>
      <c r="BC259" s="123">
        <f>IF(AND(BC$254&gt;($D$75+2020),BC$254&lt;($E$75+2022)),BB259+($AI$259*$AJ$259*((100-$F$75)/100)*ROUND($B$75/($E$75-$D$75+1),0)/1000000),BB259*((100+INDEX('DEFAULT DATA'!$WQ$9:$WS$41,START!$C$3,2))/100))</f>
        <v>0</v>
      </c>
      <c r="BD259" s="123">
        <f>IF(AND(BD$254&gt;($D$75+2020),BD$254&lt;($E$75+2022)),BC259+($AI$259*$AJ$259*((100-$F$75)/100)*ROUND($B$75/($E$75-$D$75+1),0)/1000000),BC259*((100+INDEX('DEFAULT DATA'!$WQ$9:$WS$41,START!$C$3,2))/100))</f>
        <v>0</v>
      </c>
      <c r="BE259" s="123">
        <f>IF(AND(BE$254&gt;($D$75+2020),BE$254&lt;($E$75+2022)),BD259+($AI$259*$AJ$259*((100-$F$75)/100)*ROUND($B$75/($E$75-$D$75+1),0)/1000000),BD259*((100+INDEX('DEFAULT DATA'!$WQ$9:$WS$41,START!$C$3,3))/100))</f>
        <v>0</v>
      </c>
      <c r="BF259" s="123">
        <f>IF(AND(BF$254&gt;($D$75+2020),BF$254&lt;($E$75+2022)),BE259+($AI$259*$AJ$259*((100-$F$75)/100)*ROUND($B$75/($E$75-$D$75+1),0)/1000000),BE259*((100+INDEX('DEFAULT DATA'!$WQ$9:$WS$41,START!$C$3,3))/100))</f>
        <v>0</v>
      </c>
      <c r="BG259" s="123">
        <f>IF(AND(BG$254&gt;($D$75+2020),BG$254&lt;($E$75+2022)),BF259+($AI$259*$AJ$259*((100-$F$75)/100)*ROUND($B$75/($E$75-$D$75+1),0)/1000000),BF259*((100+INDEX('DEFAULT DATA'!$WQ$9:$WS$41,START!$C$3,3))/100))</f>
        <v>0</v>
      </c>
      <c r="BH259" s="123">
        <f>IF(AND(BH$254&gt;($D$75+2020),BH$254&lt;($E$75+2022)),BG259+($AI$259*$AJ$259*((100-$F$75)/100)*ROUND($B$75/($E$75-$D$75+1),0)/1000000),BG259*((100+INDEX('DEFAULT DATA'!$WQ$9:$WS$41,START!$C$3,3))/100))</f>
        <v>0</v>
      </c>
      <c r="BI259" s="123">
        <f>IF(AND(BI$254&gt;($D$75+2020),BI$254&lt;($E$75+2022)),BH259+($AI$259*$AJ$259*((100-$F$75)/100)*ROUND($B$75/($E$75-$D$75+1),0)/1000000),BH259*((100+INDEX('DEFAULT DATA'!$WQ$9:$WS$41,START!$C$3,3))/100))</f>
        <v>0</v>
      </c>
      <c r="BJ259" s="123">
        <f>IF(AND(BJ$254&gt;($D$75+2020),BJ$254&lt;($E$75+2022)),BI259+($AI$259*$AJ$259*((100-$F$75)/100)*ROUND($B$75/($E$75-$D$75+1),0)/1000000),BI259*((100+INDEX('DEFAULT DATA'!$WQ$9:$WS$41,START!$C$3,3))/100))</f>
        <v>0</v>
      </c>
      <c r="BK259" s="123">
        <f>IF(AND(BK$254&gt;($D$75+2020),BK$254&lt;($E$75+2022)),BJ259+($AI$259*$AJ$259*((100-$F$75)/100)*ROUND($B$75/($E$75-$D$75+1),0)/1000000),BJ259*((100+INDEX('DEFAULT DATA'!$WQ$9:$WS$41,START!$C$3,3))/100))</f>
        <v>0</v>
      </c>
      <c r="BL259" s="123">
        <f>IF(AND(BL$254&gt;($D$75+2020),BL$254&lt;($E$75+2022)),BK259+($AI$259*$AJ$259*((100-$F$75)/100)*ROUND($B$75/($E$75-$D$75+1),0)/1000000),BK259*((100+INDEX('DEFAULT DATA'!$WQ$9:$WS$41,START!$C$3,3))/100))</f>
        <v>0</v>
      </c>
      <c r="BM259" s="123">
        <f>IF(AND(BM$254&gt;($D$75+2020),BM$254&lt;($E$75+2022)),BL259+($AI$259*$AJ$259*((100-$F$75)/100)*ROUND($B$75/($E$75-$D$75+1),0)/1000000),BL259*((100+INDEX('DEFAULT DATA'!$WQ$9:$WS$41,START!$C$3,3))/100))</f>
        <v>0</v>
      </c>
      <c r="BN259" s="123">
        <f>IF(AND(BN$254&gt;($D$75+2020),BN$254&lt;($E$75+2022)),BM259+($AI$259*$AJ$259*((100-$F$75)/100)*ROUND($B$75/($E$75-$D$75+1),0)/1000000),BM259*((100+INDEX('DEFAULT DATA'!$WQ$9:$WS$41,START!$C$3,3))/100))</f>
        <v>0</v>
      </c>
      <c r="BP259" s="383" t="s">
        <v>865</v>
      </c>
      <c r="BQ259" s="1463" t="s">
        <v>1515</v>
      </c>
      <c r="BR259" s="1464"/>
      <c r="BS259" s="1464"/>
      <c r="BT259" s="1464"/>
      <c r="BU259" s="1464"/>
      <c r="BV259" s="1464"/>
      <c r="BW259" s="1464"/>
      <c r="BX259" s="1464"/>
      <c r="BY259" s="1464"/>
      <c r="BZ259" s="1464"/>
      <c r="CA259" s="1464"/>
      <c r="CB259" s="1464"/>
      <c r="CC259" s="1464"/>
      <c r="CD259" s="1464"/>
      <c r="CE259" s="1464"/>
      <c r="CF259" s="1464"/>
      <c r="CG259" s="1465"/>
      <c r="CH259" s="385" t="s">
        <v>1236</v>
      </c>
      <c r="CI259" s="385" t="s">
        <v>1249</v>
      </c>
    </row>
    <row r="260" spans="32:87" ht="20.100000000000001" customHeight="1">
      <c r="AF260" s="1551"/>
      <c r="AG260" s="107" t="s">
        <v>866</v>
      </c>
      <c r="AH260" s="107"/>
      <c r="AI260" s="107">
        <f>INDEX('DEFAULT DATA'!$WD$9:$WJ$41,START!$C$3,5)</f>
        <v>403</v>
      </c>
      <c r="AJ260" s="63">
        <f>INDEX('DEFAULT DATA'!$YB$9:$YI$41,START!$C$3,6)</f>
        <v>0</v>
      </c>
      <c r="AK260" s="53">
        <v>0</v>
      </c>
      <c r="AL260" s="123">
        <f>IF(AND(AL$254&gt;($D$75+2020),AL$254&lt;($E$75+2022)),AK260+($AI$260*$AJ$260*((100-$F$75)/100)*ROUND($B$75/($E$75-$D$75+1),0)/1000000),AK260*((100+INDEX('DEFAULT DATA'!$WQ$9:$WS$41,START!$C$3,1))/100))</f>
        <v>0</v>
      </c>
      <c r="AM260" s="123">
        <f>IF(AND(AM$254&gt;($D$75+2020),AM$254&lt;($E$75+2022)),AL260+($AI$260*$AJ$260*((100-$F$75)/100)*ROUND($B$75/($E$75-$D$75+1),0)/1000000),AL260*((100+INDEX('DEFAULT DATA'!$WQ$9:$WS$41,START!$C$3,1))/100))</f>
        <v>0</v>
      </c>
      <c r="AN260" s="123">
        <f>IF(AND(AN$254&gt;($D$75+2020),AN$254&lt;($E$75+2022)),AM260+($AI$260*$AJ$260*((100-$F$75)/100)*ROUND($B$75/($E$75-$D$75+1),0)/1000000),AM260*((100+INDEX('DEFAULT DATA'!$WQ$9:$WS$41,START!$C$3,1))/100))</f>
        <v>0</v>
      </c>
      <c r="AO260" s="123">
        <f>IF(AND(AO$254&gt;($D$75+2020),AO$254&lt;($E$75+2022)),AN260+($AI$260*$AJ$260*((100-$F$75)/100)*ROUND($B$75/($E$75-$D$75+1),0)/1000000),AN260*((100+INDEX('DEFAULT DATA'!$WQ$9:$WS$41,START!$C$3,1))/100))</f>
        <v>0</v>
      </c>
      <c r="AP260" s="123">
        <f>IF(AND(AP$254&gt;($D$75+2020),AP$254&lt;($E$75+2022)),AO260+($AI$260*$AJ$260*((100-$F$75)/100)*ROUND($B$75/($E$75-$D$75+1),0)/1000000),AO260*((100+INDEX('DEFAULT DATA'!$WQ$9:$WS$41,START!$C$3,1))/100))</f>
        <v>0</v>
      </c>
      <c r="AQ260" s="123">
        <f>IF(AND(AQ$254&gt;($D$75+2020),AQ$254&lt;($E$75+2022)),AP260+($AI$260*$AJ$260*((100-$F$75)/100)*ROUND($B$75/($E$75-$D$75+1),0)/1000000),AP260*((100+INDEX('DEFAULT DATA'!$WQ$9:$WS$41,START!$C$3,1))/100))</f>
        <v>0</v>
      </c>
      <c r="AR260" s="123">
        <f>IF(AND(AR$254&gt;($D$75+2020),AR$254&lt;($E$75+2022)),AQ260+($AI$260*$AJ$260*((100-$F$75)/100)*ROUND($B$75/($E$75-$D$75+1),0)/1000000),AQ260*((100+INDEX('DEFAULT DATA'!$WQ$9:$WS$41,START!$C$3,1))/100))</f>
        <v>0</v>
      </c>
      <c r="AS260" s="123">
        <f>IF(AND(AS$254&gt;($D$75+2020),AS$254&lt;($E$75+2022)),AR260+($AI$260*$AJ$260*((100-$F$75)/100)*ROUND($B$75/($E$75-$D$75+1),0)/1000000),AR260*((100+INDEX('DEFAULT DATA'!$WQ$9:$WS$41,START!$C$3,1))/100))</f>
        <v>0</v>
      </c>
      <c r="AT260" s="123">
        <f>IF(AND(AT$254&gt;($D$75+2020),AT$254&lt;($E$75+2022)),AS260+($AI$260*$AJ$260*((100-$F$75)/100)*ROUND($B$75/($E$75-$D$75+1),0)/1000000),AS260*((100+INDEX('DEFAULT DATA'!$WQ$9:$WS$41,START!$C$3,1))/100))</f>
        <v>0</v>
      </c>
      <c r="AU260" s="123">
        <f>IF(AND(AU$254&gt;($D$75+2020),AU$254&lt;($E$75+2022)),AT260+($AI$260*$AJ$260*((100-$F$75)/100)*ROUND($B$75/($E$75-$D$75+1),0)/1000000),AT260*((100+INDEX('DEFAULT DATA'!$WQ$9:$WS$41,START!$C$3,2))/100))</f>
        <v>0</v>
      </c>
      <c r="AV260" s="123">
        <f>IF(AND(AV$254&gt;($D$75+2020),AV$254&lt;($E$75+2022)),AU260+($AI$260*$AJ$260*((100-$F$75)/100)*ROUND($B$75/($E$75-$D$75+1),0)/1000000),AU260*((100+INDEX('DEFAULT DATA'!$WQ$9:$WS$41,START!$C$3,2))/100))</f>
        <v>0</v>
      </c>
      <c r="AW260" s="123">
        <f>IF(AND(AW$254&gt;($D$75+2020),AW$254&lt;($E$75+2022)),AV260+($AI$260*$AJ$260*((100-$F$75)/100)*ROUND($B$75/($E$75-$D$75+1),0)/1000000),AV260*((100+INDEX('DEFAULT DATA'!$WQ$9:$WS$41,START!$C$3,2))/100))</f>
        <v>0</v>
      </c>
      <c r="AX260" s="123">
        <f>IF(AND(AX$254&gt;($D$75+2020),AX$254&lt;($E$75+2022)),AW260+($AI$260*$AJ$260*((100-$F$75)/100)*ROUND($B$75/($E$75-$D$75+1),0)/1000000),AW260*((100+INDEX('DEFAULT DATA'!$WQ$9:$WS$41,START!$C$3,2))/100))</f>
        <v>0</v>
      </c>
      <c r="AY260" s="123">
        <f>IF(AND(AY$254&gt;($D$75+2020),AY$254&lt;($E$75+2022)),AX260+($AI$260*$AJ$260*((100-$F$75)/100)*ROUND($B$75/($E$75-$D$75+1),0)/1000000),AX260*((100+INDEX('DEFAULT DATA'!$WQ$9:$WS$41,START!$C$3,2))/100))</f>
        <v>0</v>
      </c>
      <c r="AZ260" s="123">
        <f>IF(AND(AZ$254&gt;($D$75+2020),AZ$254&lt;($E$75+2022)),AY260+($AI$260*$AJ$260*((100-$F$75)/100)*ROUND($B$75/($E$75-$D$75+1),0)/1000000),AY260*((100+INDEX('DEFAULT DATA'!$WQ$9:$WS$41,START!$C$3,2))/100))</f>
        <v>0</v>
      </c>
      <c r="BA260" s="123">
        <f>IF(AND(BA$254&gt;($D$75+2020),BA$254&lt;($E$75+2022)),AZ260+($AI$260*$AJ$260*((100-$F$75)/100)*ROUND($B$75/($E$75-$D$75+1),0)/1000000),AZ260*((100+INDEX('DEFAULT DATA'!$WQ$9:$WS$41,START!$C$3,2))/100))</f>
        <v>0</v>
      </c>
      <c r="BB260" s="123">
        <f>IF(AND(BB$254&gt;($D$75+2020),BB$254&lt;($E$75+2022)),BA260+($AI$260*$AJ$260*((100-$F$75)/100)*ROUND($B$75/($E$75-$D$75+1),0)/1000000),BA260*((100+INDEX('DEFAULT DATA'!$WQ$9:$WS$41,START!$C$3,2))/100))</f>
        <v>0</v>
      </c>
      <c r="BC260" s="123">
        <f>IF(AND(BC$254&gt;($D$75+2020),BC$254&lt;($E$75+2022)),BB260+($AI$260*$AJ$260*((100-$F$75)/100)*ROUND($B$75/($E$75-$D$75+1),0)/1000000),BB260*((100+INDEX('DEFAULT DATA'!$WQ$9:$WS$41,START!$C$3,2))/100))</f>
        <v>0</v>
      </c>
      <c r="BD260" s="123">
        <f>IF(AND(BD$254&gt;($D$75+2020),BD$254&lt;($E$75+2022)),BC260+($AI$260*$AJ$260*((100-$F$75)/100)*ROUND($B$75/($E$75-$D$75+1),0)/1000000),BC260*((100+INDEX('DEFAULT DATA'!$WQ$9:$WS$41,START!$C$3,2))/100))</f>
        <v>0</v>
      </c>
      <c r="BE260" s="123">
        <f>IF(AND(BE$254&gt;($D$75+2020),BE$254&lt;($E$75+2022)),BD260+($AI$260*$AJ$260*((100-$F$75)/100)*ROUND($B$75/($E$75-$D$75+1),0)/1000000),BD260*((100+INDEX('DEFAULT DATA'!$WQ$9:$WS$41,START!$C$3,3))/100))</f>
        <v>0</v>
      </c>
      <c r="BF260" s="123">
        <f>IF(AND(BF$254&gt;($D$75+2020),BF$254&lt;($E$75+2022)),BE260+($AI$260*$AJ$260*((100-$F$75)/100)*ROUND($B$75/($E$75-$D$75+1),0)/1000000),BE260*((100+INDEX('DEFAULT DATA'!$WQ$9:$WS$41,START!$C$3,3))/100))</f>
        <v>0</v>
      </c>
      <c r="BG260" s="123">
        <f>IF(AND(BG$254&gt;($D$75+2020),BG$254&lt;($E$75+2022)),BF260+($AI$260*$AJ$260*((100-$F$75)/100)*ROUND($B$75/($E$75-$D$75+1),0)/1000000),BF260*((100+INDEX('DEFAULT DATA'!$WQ$9:$WS$41,START!$C$3,3))/100))</f>
        <v>0</v>
      </c>
      <c r="BH260" s="123">
        <f>IF(AND(BH$254&gt;($D$75+2020),BH$254&lt;($E$75+2022)),BG260+($AI$260*$AJ$260*((100-$F$75)/100)*ROUND($B$75/($E$75-$D$75+1),0)/1000000),BG260*((100+INDEX('DEFAULT DATA'!$WQ$9:$WS$41,START!$C$3,3))/100))</f>
        <v>0</v>
      </c>
      <c r="BI260" s="123">
        <f>IF(AND(BI$254&gt;($D$75+2020),BI$254&lt;($E$75+2022)),BH260+($AI$260*$AJ$260*((100-$F$75)/100)*ROUND($B$75/($E$75-$D$75+1),0)/1000000),BH260*((100+INDEX('DEFAULT DATA'!$WQ$9:$WS$41,START!$C$3,3))/100))</f>
        <v>0</v>
      </c>
      <c r="BJ260" s="123">
        <f>IF(AND(BJ$254&gt;($D$75+2020),BJ$254&lt;($E$75+2022)),BI260+($AI$260*$AJ$260*((100-$F$75)/100)*ROUND($B$75/($E$75-$D$75+1),0)/1000000),BI260*((100+INDEX('DEFAULT DATA'!$WQ$9:$WS$41,START!$C$3,3))/100))</f>
        <v>0</v>
      </c>
      <c r="BK260" s="123">
        <f>IF(AND(BK$254&gt;($D$75+2020),BK$254&lt;($E$75+2022)),BJ260+($AI$260*$AJ$260*((100-$F$75)/100)*ROUND($B$75/($E$75-$D$75+1),0)/1000000),BJ260*((100+INDEX('DEFAULT DATA'!$WQ$9:$WS$41,START!$C$3,3))/100))</f>
        <v>0</v>
      </c>
      <c r="BL260" s="123">
        <f>IF(AND(BL$254&gt;($D$75+2020),BL$254&lt;($E$75+2022)),BK260+($AI$260*$AJ$260*((100-$F$75)/100)*ROUND($B$75/($E$75-$D$75+1),0)/1000000),BK260*((100+INDEX('DEFAULT DATA'!$WQ$9:$WS$41,START!$C$3,3))/100))</f>
        <v>0</v>
      </c>
      <c r="BM260" s="123">
        <f>IF(AND(BM$254&gt;($D$75+2020),BM$254&lt;($E$75+2022)),BL260+($AI$260*$AJ$260*((100-$F$75)/100)*ROUND($B$75/($E$75-$D$75+1),0)/1000000),BL260*((100+INDEX('DEFAULT DATA'!$WQ$9:$WS$41,START!$C$3,3))/100))</f>
        <v>0</v>
      </c>
      <c r="BN260" s="123">
        <f>IF(AND(BN$254&gt;($D$75+2020),BN$254&lt;($E$75+2022)),BM260+($AI$260*$AJ$260*((100-$F$75)/100)*ROUND($B$75/($E$75-$D$75+1),0)/1000000),BM260*((100+INDEX('DEFAULT DATA'!$WQ$9:$WS$41,START!$C$3,3))/100))</f>
        <v>0</v>
      </c>
      <c r="BP260" s="383" t="s">
        <v>866</v>
      </c>
      <c r="BQ260" s="1463" t="s">
        <v>1516</v>
      </c>
      <c r="BR260" s="1464"/>
      <c r="BS260" s="1464"/>
      <c r="BT260" s="1464"/>
      <c r="BU260" s="1464"/>
      <c r="BV260" s="1464"/>
      <c r="BW260" s="1464"/>
      <c r="BX260" s="1464"/>
      <c r="BY260" s="1464"/>
      <c r="BZ260" s="1464"/>
      <c r="CA260" s="1464"/>
      <c r="CB260" s="1464"/>
      <c r="CC260" s="1464"/>
      <c r="CD260" s="1464"/>
      <c r="CE260" s="1464"/>
      <c r="CF260" s="1464"/>
      <c r="CG260" s="1465"/>
      <c r="CH260" s="385" t="s">
        <v>1237</v>
      </c>
      <c r="CI260" s="385" t="s">
        <v>1250</v>
      </c>
    </row>
    <row r="261" spans="32:87" ht="20.100000000000001" customHeight="1">
      <c r="AF261" s="1551"/>
      <c r="AG261" s="107" t="s">
        <v>867</v>
      </c>
      <c r="AH261" s="107"/>
      <c r="AI261" s="107">
        <f>INDEX('DEFAULT DATA'!$WD$9:$WJ$41,START!$C$3,6)</f>
        <v>0</v>
      </c>
      <c r="AJ261" s="63">
        <f>INDEX('DEFAULT DATA'!$YB$9:$YI$41,START!$C$3,7)</f>
        <v>1545.372400408047</v>
      </c>
      <c r="AK261" s="53">
        <v>0</v>
      </c>
      <c r="AL261" s="123">
        <f>IF(AND(AL$254&gt;($D$75+2020),AL$254&lt;($E$75+2022)),AK261+($AI$261*$AJ$261*((100-$F$75)/100)*ROUND($B$75/($E$75-$D$75+1),0)/1000000),AK261*((100+INDEX('DEFAULT DATA'!$WQ$9:$WS$41,START!$C$3,1))/100))</f>
        <v>0</v>
      </c>
      <c r="AM261" s="123">
        <f>IF(AND(AM$254&gt;($D$75+2020),AM$254&lt;($E$75+2022)),AL261+($AI$261*$AJ$261*((100-$F$75)/100)*ROUND($B$75/($E$75-$D$75+1),0)/1000000),AL261*((100+INDEX('DEFAULT DATA'!$WQ$9:$WS$41,START!$C$3,1))/100))</f>
        <v>0</v>
      </c>
      <c r="AN261" s="123">
        <f>IF(AND(AN$254&gt;($D$75+2020),AN$254&lt;($E$75+2022)),AM261+($AI$261*$AJ$261*((100-$F$75)/100)*ROUND($B$75/($E$75-$D$75+1),0)/1000000),AM261*((100+INDEX('DEFAULT DATA'!$WQ$9:$WS$41,START!$C$3,1))/100))</f>
        <v>0</v>
      </c>
      <c r="AO261" s="123">
        <f>IF(AND(AO$254&gt;($D$75+2020),AO$254&lt;($E$75+2022)),AN261+($AI$261*$AJ$261*((100-$F$75)/100)*ROUND($B$75/($E$75-$D$75+1),0)/1000000),AN261*((100+INDEX('DEFAULT DATA'!$WQ$9:$WS$41,START!$C$3,1))/100))</f>
        <v>0</v>
      </c>
      <c r="AP261" s="123">
        <f>IF(AND(AP$254&gt;($D$75+2020),AP$254&lt;($E$75+2022)),AO261+($AI$261*$AJ$261*((100-$F$75)/100)*ROUND($B$75/($E$75-$D$75+1),0)/1000000),AO261*((100+INDEX('DEFAULT DATA'!$WQ$9:$WS$41,START!$C$3,1))/100))</f>
        <v>0</v>
      </c>
      <c r="AQ261" s="123">
        <f>IF(AND(AQ$254&gt;($D$75+2020),AQ$254&lt;($E$75+2022)),AP261+($AI$261*$AJ$261*((100-$F$75)/100)*ROUND($B$75/($E$75-$D$75+1),0)/1000000),AP261*((100+INDEX('DEFAULT DATA'!$WQ$9:$WS$41,START!$C$3,1))/100))</f>
        <v>0</v>
      </c>
      <c r="AR261" s="123">
        <f>IF(AND(AR$254&gt;($D$75+2020),AR$254&lt;($E$75+2022)),AQ261+($AI$261*$AJ$261*((100-$F$75)/100)*ROUND($B$75/($E$75-$D$75+1),0)/1000000),AQ261*((100+INDEX('DEFAULT DATA'!$WQ$9:$WS$41,START!$C$3,1))/100))</f>
        <v>0</v>
      </c>
      <c r="AS261" s="123">
        <f>IF(AND(AS$254&gt;($D$75+2020),AS$254&lt;($E$75+2022)),AR261+($AI$261*$AJ$261*((100-$F$75)/100)*ROUND($B$75/($E$75-$D$75+1),0)/1000000),AR261*((100+INDEX('DEFAULT DATA'!$WQ$9:$WS$41,START!$C$3,1))/100))</f>
        <v>0</v>
      </c>
      <c r="AT261" s="123">
        <f>IF(AND(AT$254&gt;($D$75+2020),AT$254&lt;($E$75+2022)),AS261+($AI$261*$AJ$261*((100-$F$75)/100)*ROUND($B$75/($E$75-$D$75+1),0)/1000000),AS261*((100+INDEX('DEFAULT DATA'!$WQ$9:$WS$41,START!$C$3,1))/100))</f>
        <v>0</v>
      </c>
      <c r="AU261" s="123">
        <f>IF(AND(AU$254&gt;($D$75+2020),AU$254&lt;($E$75+2022)),AT261+($AI$261*$AJ$261*((100-$F$75)/100)*ROUND($B$75/($E$75-$D$75+1),0)/1000000),AT261*((100+INDEX('DEFAULT DATA'!$WQ$9:$WS$41,START!$C$3,2))/100))</f>
        <v>0</v>
      </c>
      <c r="AV261" s="123">
        <f>IF(AND(AV$254&gt;($D$75+2020),AV$254&lt;($E$75+2022)),AU261+($AI$261*$AJ$261*((100-$F$75)/100)*ROUND($B$75/($E$75-$D$75+1),0)/1000000),AU261*((100+INDEX('DEFAULT DATA'!$WQ$9:$WS$41,START!$C$3,2))/100))</f>
        <v>0</v>
      </c>
      <c r="AW261" s="123">
        <f>IF(AND(AW$254&gt;($D$75+2020),AW$254&lt;($E$75+2022)),AV261+($AI$261*$AJ$261*((100-$F$75)/100)*ROUND($B$75/($E$75-$D$75+1),0)/1000000),AV261*((100+INDEX('DEFAULT DATA'!$WQ$9:$WS$41,START!$C$3,2))/100))</f>
        <v>0</v>
      </c>
      <c r="AX261" s="123">
        <f>IF(AND(AX$254&gt;($D$75+2020),AX$254&lt;($E$75+2022)),AW261+($AI$261*$AJ$261*((100-$F$75)/100)*ROUND($B$75/($E$75-$D$75+1),0)/1000000),AW261*((100+INDEX('DEFAULT DATA'!$WQ$9:$WS$41,START!$C$3,2))/100))</f>
        <v>0</v>
      </c>
      <c r="AY261" s="123">
        <f>IF(AND(AY$254&gt;($D$75+2020),AY$254&lt;($E$75+2022)),AX261+($AI$261*$AJ$261*((100-$F$75)/100)*ROUND($B$75/($E$75-$D$75+1),0)/1000000),AX261*((100+INDEX('DEFAULT DATA'!$WQ$9:$WS$41,START!$C$3,2))/100))</f>
        <v>0</v>
      </c>
      <c r="AZ261" s="123">
        <f>IF(AND(AZ$254&gt;($D$75+2020),AZ$254&lt;($E$75+2022)),AY261+($AI$261*$AJ$261*((100-$F$75)/100)*ROUND($B$75/($E$75-$D$75+1),0)/1000000),AY261*((100+INDEX('DEFAULT DATA'!$WQ$9:$WS$41,START!$C$3,2))/100))</f>
        <v>0</v>
      </c>
      <c r="BA261" s="123">
        <f>IF(AND(BA$254&gt;($D$75+2020),BA$254&lt;($E$75+2022)),AZ261+($AI$261*$AJ$261*((100-$F$75)/100)*ROUND($B$75/($E$75-$D$75+1),0)/1000000),AZ261*((100+INDEX('DEFAULT DATA'!$WQ$9:$WS$41,START!$C$3,2))/100))</f>
        <v>0</v>
      </c>
      <c r="BB261" s="123">
        <f>IF(AND(BB$254&gt;($D$75+2020),BB$254&lt;($E$75+2022)),BA261+($AI$261*$AJ$261*((100-$F$75)/100)*ROUND($B$75/($E$75-$D$75+1),0)/1000000),BA261*((100+INDEX('DEFAULT DATA'!$WQ$9:$WS$41,START!$C$3,2))/100))</f>
        <v>0</v>
      </c>
      <c r="BC261" s="123">
        <f>IF(AND(BC$254&gt;($D$75+2020),BC$254&lt;($E$75+2022)),BB261+($AI$261*$AJ$261*((100-$F$75)/100)*ROUND($B$75/($E$75-$D$75+1),0)/1000000),BB261*((100+INDEX('DEFAULT DATA'!$WQ$9:$WS$41,START!$C$3,2))/100))</f>
        <v>0</v>
      </c>
      <c r="BD261" s="123">
        <f>IF(AND(BD$254&gt;($D$75+2020),BD$254&lt;($E$75+2022)),BC261+($AI$261*$AJ$261*((100-$F$75)/100)*ROUND($B$75/($E$75-$D$75+1),0)/1000000),BC261*((100+INDEX('DEFAULT DATA'!$WQ$9:$WS$41,START!$C$3,2))/100))</f>
        <v>0</v>
      </c>
      <c r="BE261" s="123">
        <f>IF(AND(BE$254&gt;($D$75+2020),BE$254&lt;($E$75+2022)),BD261+($AI$261*$AJ$261*((100-$F$75)/100)*ROUND($B$75/($E$75-$D$75+1),0)/1000000),BD261*((100+INDEX('DEFAULT DATA'!$WQ$9:$WS$41,START!$C$3,3))/100))</f>
        <v>0</v>
      </c>
      <c r="BF261" s="123">
        <f>IF(AND(BF$254&gt;($D$75+2020),BF$254&lt;($E$75+2022)),BE261+($AI$261*$AJ$261*((100-$F$75)/100)*ROUND($B$75/($E$75-$D$75+1),0)/1000000),BE261*((100+INDEX('DEFAULT DATA'!$WQ$9:$WS$41,START!$C$3,3))/100))</f>
        <v>0</v>
      </c>
      <c r="BG261" s="123">
        <f>IF(AND(BG$254&gt;($D$75+2020),BG$254&lt;($E$75+2022)),BF261+($AI$261*$AJ$261*((100-$F$75)/100)*ROUND($B$75/($E$75-$D$75+1),0)/1000000),BF261*((100+INDEX('DEFAULT DATA'!$WQ$9:$WS$41,START!$C$3,3))/100))</f>
        <v>0</v>
      </c>
      <c r="BH261" s="123">
        <f>IF(AND(BH$254&gt;($D$75+2020),BH$254&lt;($E$75+2022)),BG261+($AI$261*$AJ$261*((100-$F$75)/100)*ROUND($B$75/($E$75-$D$75+1),0)/1000000),BG261*((100+INDEX('DEFAULT DATA'!$WQ$9:$WS$41,START!$C$3,3))/100))</f>
        <v>0</v>
      </c>
      <c r="BI261" s="123">
        <f>IF(AND(BI$254&gt;($D$75+2020),BI$254&lt;($E$75+2022)),BH261+($AI$261*$AJ$261*((100-$F$75)/100)*ROUND($B$75/($E$75-$D$75+1),0)/1000000),BH261*((100+INDEX('DEFAULT DATA'!$WQ$9:$WS$41,START!$C$3,3))/100))</f>
        <v>0</v>
      </c>
      <c r="BJ261" s="123">
        <f>IF(AND(BJ$254&gt;($D$75+2020),BJ$254&lt;($E$75+2022)),BI261+($AI$261*$AJ$261*((100-$F$75)/100)*ROUND($B$75/($E$75-$D$75+1),0)/1000000),BI261*((100+INDEX('DEFAULT DATA'!$WQ$9:$WS$41,START!$C$3,3))/100))</f>
        <v>0</v>
      </c>
      <c r="BK261" s="123">
        <f>IF(AND(BK$254&gt;($D$75+2020),BK$254&lt;($E$75+2022)),BJ261+($AI$261*$AJ$261*((100-$F$75)/100)*ROUND($B$75/($E$75-$D$75+1),0)/1000000),BJ261*((100+INDEX('DEFAULT DATA'!$WQ$9:$WS$41,START!$C$3,3))/100))</f>
        <v>0</v>
      </c>
      <c r="BL261" s="123">
        <f>IF(AND(BL$254&gt;($D$75+2020),BL$254&lt;($E$75+2022)),BK261+($AI$261*$AJ$261*((100-$F$75)/100)*ROUND($B$75/($E$75-$D$75+1),0)/1000000),BK261*((100+INDEX('DEFAULT DATA'!$WQ$9:$WS$41,START!$C$3,3))/100))</f>
        <v>0</v>
      </c>
      <c r="BM261" s="123">
        <f>IF(AND(BM$254&gt;($D$75+2020),BM$254&lt;($E$75+2022)),BL261+($AI$261*$AJ$261*((100-$F$75)/100)*ROUND($B$75/($E$75-$D$75+1),0)/1000000),BL261*((100+INDEX('DEFAULT DATA'!$WQ$9:$WS$41,START!$C$3,3))/100))</f>
        <v>0</v>
      </c>
      <c r="BN261" s="123">
        <f>IF(AND(BN$254&gt;($D$75+2020),BN$254&lt;($E$75+2022)),BM261+($AI$261*$AJ$261*((100-$F$75)/100)*ROUND($B$75/($E$75-$D$75+1),0)/1000000),BM261*((100+INDEX('DEFAULT DATA'!$WQ$9:$WS$41,START!$C$3,3))/100))</f>
        <v>0</v>
      </c>
      <c r="BP261" s="383" t="s">
        <v>867</v>
      </c>
      <c r="BQ261" s="1463" t="s">
        <v>1517</v>
      </c>
      <c r="BR261" s="1464"/>
      <c r="BS261" s="1464"/>
      <c r="BT261" s="1464"/>
      <c r="BU261" s="1464"/>
      <c r="BV261" s="1464"/>
      <c r="BW261" s="1464"/>
      <c r="BX261" s="1464"/>
      <c r="BY261" s="1464"/>
      <c r="BZ261" s="1464"/>
      <c r="CA261" s="1464"/>
      <c r="CB261" s="1464"/>
      <c r="CC261" s="1464"/>
      <c r="CD261" s="1464"/>
      <c r="CE261" s="1464"/>
      <c r="CF261" s="1464"/>
      <c r="CG261" s="1465"/>
      <c r="CH261" s="385" t="s">
        <v>1238</v>
      </c>
      <c r="CI261" s="385" t="s">
        <v>1251</v>
      </c>
    </row>
    <row r="262" spans="32:87" ht="20.100000000000001" customHeight="1" thickBot="1">
      <c r="AF262" s="1552"/>
      <c r="AG262" s="146" t="s">
        <v>868</v>
      </c>
      <c r="AH262" s="146"/>
      <c r="AI262" s="146" t="s">
        <v>1123</v>
      </c>
      <c r="AJ262" s="113">
        <f>INDEX('DEFAULT DATA'!$YB$9:$YI$41,START!$C$3,8)</f>
        <v>386.34310010201176</v>
      </c>
      <c r="AK262" s="54">
        <v>0</v>
      </c>
      <c r="AL262" s="160">
        <f>IF(AND(AL$254&gt;($D$75+2020),AL$254&lt;($E$75+2022)),AK262+(AL$6*$AJ$262*((100-$F$75)/100)*ROUND($B$75/($E$75-$D$75+1),0)/1000000),AK262*((100+INDEX('DEFAULT DATA'!$WQ$9:$WS$41,START!$C$3,1))/100))</f>
        <v>0</v>
      </c>
      <c r="AM262" s="160">
        <f>IF(AND(AM$254&gt;($D$75+2020),AM$254&lt;($E$75+2022)),AL262+(AM$6*$AJ$262*((100-$F$75)/100)*ROUND($B$75/($E$75-$D$75+1),0)/1000000),AL262*((100+INDEX('DEFAULT DATA'!$WQ$9:$WS$41,START!$C$3,1))/100))</f>
        <v>0</v>
      </c>
      <c r="AN262" s="160">
        <f>IF(AND(AN$254&gt;($D$75+2020),AN$254&lt;($E$75+2022)),AM262+(AN$6*$AJ$262*((100-$F$75)/100)*ROUND($B$75/($E$75-$D$75+1),0)/1000000),AM262*((100+INDEX('DEFAULT DATA'!$WQ$9:$WS$41,START!$C$3,1))/100))</f>
        <v>0</v>
      </c>
      <c r="AO262" s="160">
        <f>IF(AND(AO$254&gt;($D$75+2020),AO$254&lt;($E$75+2022)),AN262+(AO$6*$AJ$262*((100-$F$75)/100)*ROUND($B$75/($E$75-$D$75+1),0)/1000000),AN262*((100+INDEX('DEFAULT DATA'!$WQ$9:$WS$41,START!$C$3,1))/100))</f>
        <v>0</v>
      </c>
      <c r="AP262" s="160">
        <f>IF(AND(AP$254&gt;($D$75+2020),AP$254&lt;($E$75+2022)),AO262+(AP$6*$AJ$262*((100-$F$75)/100)*ROUND($B$75/($E$75-$D$75+1),0)/1000000),AO262*((100+INDEX('DEFAULT DATA'!$WQ$9:$WS$41,START!$C$3,1))/100))</f>
        <v>0</v>
      </c>
      <c r="AQ262" s="160">
        <f>IF(AND(AQ$254&gt;($D$75+2020),AQ$254&lt;($E$75+2022)),AP262+(AQ$6*$AJ$262*((100-$F$75)/100)*ROUND($B$75/($E$75-$D$75+1),0)/1000000),AP262*((100+INDEX('DEFAULT DATA'!$WQ$9:$WS$41,START!$C$3,1))/100))</f>
        <v>0</v>
      </c>
      <c r="AR262" s="160">
        <f>IF(AND(AR$254&gt;($D$75+2020),AR$254&lt;($E$75+2022)),AQ262+(AR$6*$AJ$262*((100-$F$75)/100)*ROUND($B$75/($E$75-$D$75+1),0)/1000000),AQ262*((100+INDEX('DEFAULT DATA'!$WQ$9:$WS$41,START!$C$3,1))/100))</f>
        <v>0</v>
      </c>
      <c r="AS262" s="160">
        <f>IF(AND(AS$254&gt;($D$75+2020),AS$254&lt;($E$75+2022)),AR262+(AS$6*$AJ$262*((100-$F$75)/100)*ROUND($B$75/($E$75-$D$75+1),0)/1000000),AR262*((100+INDEX('DEFAULT DATA'!$WQ$9:$WS$41,START!$C$3,1))/100))</f>
        <v>0</v>
      </c>
      <c r="AT262" s="160">
        <f>IF(AND(AT$254&gt;($D$75+2020),AT$254&lt;($E$75+2022)),AS262+(AT$6*$AJ$262*((100-$F$75)/100)*ROUND($B$75/($E$75-$D$75+1),0)/1000000),AS262*((100+INDEX('DEFAULT DATA'!$WQ$9:$WS$41,START!$C$3,1))/100))</f>
        <v>1229.285793059586</v>
      </c>
      <c r="AU262" s="160">
        <f>IF(AND(AU$254&gt;($D$75+2020),AU$254&lt;($E$75+2022)),AT262+(AU$6*$AJ$262*((100-$F$75)/100)*ROUND($B$75/($E$75-$D$75+1),0)/1000000),AT262*((100+INDEX('DEFAULT DATA'!$WQ$9:$WS$41,START!$C$3,2))/100))</f>
        <v>2458.571586119172</v>
      </c>
      <c r="AV262" s="160">
        <f>IF(AND(AV$254&gt;($D$75+2020),AV$254&lt;($E$75+2022)),AU262+(AV$6*$AJ$262*((100-$F$75)/100)*ROUND($B$75/($E$75-$D$75+1),0)/1000000),AU262*((100+INDEX('DEFAULT DATA'!$WQ$9:$WS$41,START!$C$3,2))/100))</f>
        <v>3687.857379178758</v>
      </c>
      <c r="AW262" s="160">
        <f>IF(AND(AW$254&gt;($D$75+2020),AW$254&lt;($E$75+2022)),AV262+(AW$6*$AJ$262*((100-$F$75)/100)*ROUND($B$75/($E$75-$D$75+1),0)/1000000),AV262*((100+INDEX('DEFAULT DATA'!$WQ$9:$WS$41,START!$C$3,2))/100))</f>
        <v>4917.1431722383441</v>
      </c>
      <c r="AX262" s="160">
        <f>IF(AND(AX$254&gt;($D$75+2020),AX$254&lt;($E$75+2022)),AW262+(AX$6*$AJ$262*((100-$F$75)/100)*ROUND($B$75/($E$75-$D$75+1),0)/1000000),AW262*((100+INDEX('DEFAULT DATA'!$WQ$9:$WS$41,START!$C$3,2))/100))</f>
        <v>6146.4289652979296</v>
      </c>
      <c r="AY262" s="160">
        <f>IF(AND(AY$254&gt;($D$75+2020),AY$254&lt;($E$75+2022)),AX262+(AY$6*$AJ$262*((100-$F$75)/100)*ROUND($B$75/($E$75-$D$75+1),0)/1000000),AX262*((100+INDEX('DEFAULT DATA'!$WQ$9:$WS$41,START!$C$3,2))/100))</f>
        <v>7375.7147583575152</v>
      </c>
      <c r="AZ262" s="160">
        <f>IF(AND(AZ$254&gt;($D$75+2020),AZ$254&lt;($E$75+2022)),AY262+(AZ$6*$AJ$262*((100-$F$75)/100)*ROUND($B$75/($E$75-$D$75+1),0)/1000000),AY262*((100+INDEX('DEFAULT DATA'!$WQ$9:$WS$41,START!$C$3,2))/100))</f>
        <v>8605.0005514171007</v>
      </c>
      <c r="BA262" s="160">
        <f>IF(AND(BA$254&gt;($D$75+2020),BA$254&lt;($E$75+2022)),AZ262+(BA$6*$AJ$262*((100-$F$75)/100)*ROUND($B$75/($E$75-$D$75+1),0)/1000000),AZ262*((100+INDEX('DEFAULT DATA'!$WQ$9:$WS$41,START!$C$3,2))/100))</f>
        <v>9834.2863444766863</v>
      </c>
      <c r="BB262" s="160">
        <f>IF(AND(BB$254&gt;($D$75+2020),BB$254&lt;($E$75+2022)),BA262+(BB$6*$AJ$262*((100-$F$75)/100)*ROUND($B$75/($E$75-$D$75+1),0)/1000000),BA262*((100+INDEX('DEFAULT DATA'!$WQ$9:$WS$41,START!$C$3,2))/100))</f>
        <v>11063.572137536272</v>
      </c>
      <c r="BC262" s="160">
        <f>IF(AND(BC$254&gt;($D$75+2020),BC$254&lt;($E$75+2022)),BB262+(BC$6*$AJ$262*((100-$F$75)/100)*ROUND($B$75/($E$75-$D$75+1),0)/1000000),BB262*((100+INDEX('DEFAULT DATA'!$WQ$9:$WS$41,START!$C$3,2))/100))</f>
        <v>12292.857930595857</v>
      </c>
      <c r="BD262" s="160">
        <f>IF(AND(BD$254&gt;($D$75+2020),BD$254&lt;($E$75+2022)),BC262+(BD$6*$AJ$262*((100-$F$75)/100)*ROUND($B$75/($E$75-$D$75+1),0)/1000000),BC262*((100+INDEX('DEFAULT DATA'!$WQ$9:$WS$41,START!$C$3,2))/100))</f>
        <v>13522.143723655443</v>
      </c>
      <c r="BE262" s="160">
        <f>IF(AND(BE$254&gt;($D$75+2020),BE$254&lt;($E$75+2022)),BD262+(BE$6*$AJ$262*((100-$F$75)/100)*ROUND($B$75/($E$75-$D$75+1),0)/1000000),BD262*((100+INDEX('DEFAULT DATA'!$WQ$9:$WS$41,START!$C$3,3))/100))</f>
        <v>13522.143723655443</v>
      </c>
      <c r="BF262" s="160">
        <f>IF(AND(BF$254&gt;($D$75+2020),BF$254&lt;($E$75+2022)),BE262+(BF$6*$AJ$262*((100-$F$75)/100)*ROUND($B$75/($E$75-$D$75+1),0)/1000000),BE262*((100+INDEX('DEFAULT DATA'!$WQ$9:$WS$41,START!$C$3,3))/100))</f>
        <v>13522.143723655443</v>
      </c>
      <c r="BG262" s="160">
        <f>IF(AND(BG$254&gt;($D$75+2020),BG$254&lt;($E$75+2022)),BF262+(BG$6*$AJ$262*((100-$F$75)/100)*ROUND($B$75/($E$75-$D$75+1),0)/1000000),BF262*((100+INDEX('DEFAULT DATA'!$WQ$9:$WS$41,START!$C$3,3))/100))</f>
        <v>13522.143723655443</v>
      </c>
      <c r="BH262" s="160">
        <f>IF(AND(BH$254&gt;($D$75+2020),BH$254&lt;($E$75+2022)),BG262+(BH$6*$AJ$262*((100-$F$75)/100)*ROUND($B$75/($E$75-$D$75+1),0)/1000000),BG262*((100+INDEX('DEFAULT DATA'!$WQ$9:$WS$41,START!$C$3,3))/100))</f>
        <v>13522.143723655443</v>
      </c>
      <c r="BI262" s="160">
        <f>IF(AND(BI$254&gt;($D$75+2020),BI$254&lt;($E$75+2022)),BH262+(BI$6*$AJ$262*((100-$F$75)/100)*ROUND($B$75/($E$75-$D$75+1),0)/1000000),BH262*((100+INDEX('DEFAULT DATA'!$WQ$9:$WS$41,START!$C$3,3))/100))</f>
        <v>13522.143723655443</v>
      </c>
      <c r="BJ262" s="160">
        <f>IF(AND(BJ$254&gt;($D$75+2020),BJ$254&lt;($E$75+2022)),BI262+(BJ$6*$AJ$262*((100-$F$75)/100)*ROUND($B$75/($E$75-$D$75+1),0)/1000000),BI262*((100+INDEX('DEFAULT DATA'!$WQ$9:$WS$41,START!$C$3,3))/100))</f>
        <v>13522.143723655443</v>
      </c>
      <c r="BK262" s="160">
        <f>IF(AND(BK$254&gt;($D$75+2020),BK$254&lt;($E$75+2022)),BJ262+(BK$6*$AJ$262*((100-$F$75)/100)*ROUND($B$75/($E$75-$D$75+1),0)/1000000),BJ262*((100+INDEX('DEFAULT DATA'!$WQ$9:$WS$41,START!$C$3,3))/100))</f>
        <v>13522.143723655443</v>
      </c>
      <c r="BL262" s="160">
        <f>IF(AND(BL$254&gt;($D$75+2020),BL$254&lt;($E$75+2022)),BK262+(BL$6*$AJ$262*((100-$F$75)/100)*ROUND($B$75/($E$75-$D$75+1),0)/1000000),BK262*((100+INDEX('DEFAULT DATA'!$WQ$9:$WS$41,START!$C$3,3))/100))</f>
        <v>13522.143723655443</v>
      </c>
      <c r="BM262" s="160">
        <f>IF(AND(BM$254&gt;($D$75+2020),BM$254&lt;($E$75+2022)),BL262+(BM$6*$AJ$262*((100-$F$75)/100)*ROUND($B$75/($E$75-$D$75+1),0)/1000000),BL262*((100+INDEX('DEFAULT DATA'!$WQ$9:$WS$41,START!$C$3,3))/100))</f>
        <v>13522.143723655443</v>
      </c>
      <c r="BN262" s="160">
        <f>IF(AND(BN$254&gt;($D$75+2020),BN$254&lt;($E$75+2022)),BM262+(BN$6*$AJ$262*((100-$F$75)/100)*ROUND($B$75/($E$75-$D$75+1),0)/1000000),BM262*((100+INDEX('DEFAULT DATA'!$WQ$9:$WS$41,START!$C$3,3))/100))</f>
        <v>13522.143723655443</v>
      </c>
      <c r="BP262" s="383" t="s">
        <v>868</v>
      </c>
      <c r="BQ262" s="1463" t="s">
        <v>1512</v>
      </c>
      <c r="BR262" s="1464"/>
      <c r="BS262" s="1464"/>
      <c r="BT262" s="1464"/>
      <c r="BU262" s="1464"/>
      <c r="BV262" s="1464"/>
      <c r="BW262" s="1464"/>
      <c r="BX262" s="1464"/>
      <c r="BY262" s="1464"/>
      <c r="BZ262" s="1464"/>
      <c r="CA262" s="1464"/>
      <c r="CB262" s="1464"/>
      <c r="CC262" s="1464"/>
      <c r="CD262" s="1464"/>
      <c r="CE262" s="1464"/>
      <c r="CF262" s="1464"/>
      <c r="CG262" s="1465"/>
      <c r="CH262" s="385" t="s">
        <v>1239</v>
      </c>
      <c r="CI262" s="385" t="s">
        <v>1508</v>
      </c>
    </row>
    <row r="263" spans="32:87" ht="20.100000000000001" customHeight="1">
      <c r="AF263" s="140"/>
      <c r="AG263" s="144" t="s">
        <v>1080</v>
      </c>
      <c r="AH263" s="144"/>
      <c r="AI263" s="145"/>
      <c r="AJ263" s="145"/>
      <c r="AK263" s="173">
        <f>SUM(AK255:AK262)</f>
        <v>0</v>
      </c>
      <c r="AL263" s="162">
        <f>SUM(AL255:AL262)</f>
        <v>0</v>
      </c>
      <c r="AM263" s="162">
        <f t="shared" ref="AM263:BN263" si="127">SUM(AM255:AM262)</f>
        <v>0</v>
      </c>
      <c r="AN263" s="162">
        <f t="shared" si="127"/>
        <v>0</v>
      </c>
      <c r="AO263" s="162">
        <f t="shared" si="127"/>
        <v>0</v>
      </c>
      <c r="AP263" s="162">
        <f t="shared" si="127"/>
        <v>0</v>
      </c>
      <c r="AQ263" s="162">
        <f t="shared" si="127"/>
        <v>0</v>
      </c>
      <c r="AR263" s="162">
        <f t="shared" si="127"/>
        <v>0</v>
      </c>
      <c r="AS263" s="162">
        <f t="shared" si="127"/>
        <v>0</v>
      </c>
      <c r="AT263" s="162">
        <f t="shared" si="127"/>
        <v>2108.5581196142671</v>
      </c>
      <c r="AU263" s="162">
        <f t="shared" si="127"/>
        <v>4159.9635380024802</v>
      </c>
      <c r="AV263" s="162">
        <f t="shared" si="127"/>
        <v>6157.9311807443319</v>
      </c>
      <c r="AW263" s="162">
        <f t="shared" si="127"/>
        <v>8105.9345032568372</v>
      </c>
      <c r="AX263" s="162">
        <f t="shared" si="127"/>
        <v>10007.221186354902</v>
      </c>
      <c r="AY263" s="162">
        <f t="shared" si="127"/>
        <v>11864.827811600466</v>
      </c>
      <c r="AZ263" s="162">
        <f t="shared" si="127"/>
        <v>13681.59358275394</v>
      </c>
      <c r="BA263" s="162">
        <f t="shared" si="127"/>
        <v>15460.173155331313</v>
      </c>
      <c r="BB263" s="162">
        <f t="shared" si="127"/>
        <v>17203.048632240028</v>
      </c>
      <c r="BC263" s="162">
        <f t="shared" si="127"/>
        <v>18912.540779698553</v>
      </c>
      <c r="BD263" s="162">
        <f t="shared" si="127"/>
        <v>20590.819514121144</v>
      </c>
      <c r="BE263" s="162">
        <f t="shared" si="127"/>
        <v>20590.819514121144</v>
      </c>
      <c r="BF263" s="162">
        <f t="shared" si="127"/>
        <v>20590.819514121144</v>
      </c>
      <c r="BG263" s="162">
        <f t="shared" si="127"/>
        <v>20590.819514121144</v>
      </c>
      <c r="BH263" s="162">
        <f t="shared" si="127"/>
        <v>20590.819514121144</v>
      </c>
      <c r="BI263" s="162">
        <f t="shared" si="127"/>
        <v>20590.819514121144</v>
      </c>
      <c r="BJ263" s="162">
        <f t="shared" si="127"/>
        <v>20590.819514121144</v>
      </c>
      <c r="BK263" s="162">
        <f t="shared" si="127"/>
        <v>20590.819514121144</v>
      </c>
      <c r="BL263" s="162">
        <f t="shared" si="127"/>
        <v>20590.819514121144</v>
      </c>
      <c r="BM263" s="162">
        <f t="shared" si="127"/>
        <v>20590.819514121144</v>
      </c>
      <c r="BN263" s="162">
        <f t="shared" si="127"/>
        <v>20590.819514121144</v>
      </c>
    </row>
    <row r="264" spans="32:87" ht="20.100000000000001" customHeight="1" thickBot="1">
      <c r="AK264" s="171"/>
      <c r="BP264" s="3" t="s">
        <v>1256</v>
      </c>
      <c r="CH264" s="386" t="s">
        <v>1218</v>
      </c>
      <c r="CI264" s="6" t="s">
        <v>1224</v>
      </c>
    </row>
    <row r="265" spans="32:87" ht="20.100000000000001" customHeight="1">
      <c r="AF265" s="1550" t="str">
        <f>AF221</f>
        <v>Terraced</v>
      </c>
      <c r="AG265" s="137" t="s">
        <v>578</v>
      </c>
      <c r="AH265" s="137"/>
      <c r="AI265" s="137" t="s">
        <v>1122</v>
      </c>
      <c r="AJ265" s="148">
        <f>INDEX('DEFAULT DATA'!$YJ$9:$YQ$41,START!$C$3,1)</f>
        <v>580.23231535444563</v>
      </c>
      <c r="AK265" s="173">
        <v>0</v>
      </c>
      <c r="AL265" s="157">
        <f t="shared" ref="AL265:BN265" si="128">IF(AND(AL$254&gt;($D$76+2020),AL$254&lt;($E$76+2022)),AK265+(AL$5*$AJ$265*((100-$F$76)/100)*ROUND($B$76/($E$76-$D$76+1),0)/1000000),AK265)</f>
        <v>0</v>
      </c>
      <c r="AM265" s="157">
        <f t="shared" si="128"/>
        <v>0</v>
      </c>
      <c r="AN265" s="157">
        <f t="shared" si="128"/>
        <v>0</v>
      </c>
      <c r="AO265" s="157">
        <f t="shared" si="128"/>
        <v>0</v>
      </c>
      <c r="AP265" s="157">
        <f t="shared" si="128"/>
        <v>0</v>
      </c>
      <c r="AQ265" s="157">
        <f t="shared" si="128"/>
        <v>0</v>
      </c>
      <c r="AR265" s="157">
        <f t="shared" si="128"/>
        <v>0</v>
      </c>
      <c r="AS265" s="157">
        <f t="shared" si="128"/>
        <v>0</v>
      </c>
      <c r="AT265" s="157">
        <f t="shared" si="128"/>
        <v>0</v>
      </c>
      <c r="AU265" s="157">
        <f t="shared" si="128"/>
        <v>0</v>
      </c>
      <c r="AV265" s="157">
        <f t="shared" si="128"/>
        <v>0</v>
      </c>
      <c r="AW265" s="157">
        <f t="shared" si="128"/>
        <v>0</v>
      </c>
      <c r="AX265" s="157">
        <f t="shared" si="128"/>
        <v>0</v>
      </c>
      <c r="AY265" s="157">
        <f t="shared" si="128"/>
        <v>0</v>
      </c>
      <c r="AZ265" s="157">
        <f t="shared" si="128"/>
        <v>0</v>
      </c>
      <c r="BA265" s="157">
        <f t="shared" si="128"/>
        <v>0</v>
      </c>
      <c r="BB265" s="157">
        <f t="shared" si="128"/>
        <v>0</v>
      </c>
      <c r="BC265" s="157">
        <f t="shared" si="128"/>
        <v>0</v>
      </c>
      <c r="BD265" s="157">
        <f t="shared" si="128"/>
        <v>0</v>
      </c>
      <c r="BE265" s="157">
        <f t="shared" si="128"/>
        <v>0</v>
      </c>
      <c r="BF265" s="157">
        <f t="shared" si="128"/>
        <v>0</v>
      </c>
      <c r="BG265" s="157">
        <f t="shared" si="128"/>
        <v>0</v>
      </c>
      <c r="BH265" s="157">
        <f t="shared" si="128"/>
        <v>0</v>
      </c>
      <c r="BI265" s="157">
        <f t="shared" si="128"/>
        <v>0</v>
      </c>
      <c r="BJ265" s="157">
        <f t="shared" si="128"/>
        <v>0</v>
      </c>
      <c r="BK265" s="157">
        <f t="shared" si="128"/>
        <v>0</v>
      </c>
      <c r="BL265" s="157">
        <f t="shared" si="128"/>
        <v>0</v>
      </c>
      <c r="BM265" s="157">
        <f t="shared" si="128"/>
        <v>0</v>
      </c>
      <c r="BN265" s="158">
        <f t="shared" si="128"/>
        <v>0</v>
      </c>
      <c r="BP265" s="383" t="s">
        <v>578</v>
      </c>
      <c r="BQ265" s="1463" t="s">
        <v>1539</v>
      </c>
      <c r="BR265" s="1464"/>
      <c r="BS265" s="1464"/>
      <c r="BT265" s="1464"/>
      <c r="BU265" s="1464"/>
      <c r="BV265" s="1464"/>
      <c r="BW265" s="1464"/>
      <c r="BX265" s="1464"/>
      <c r="BY265" s="1464"/>
      <c r="BZ265" s="1464"/>
      <c r="CA265" s="1464"/>
      <c r="CB265" s="1464"/>
      <c r="CC265" s="1464"/>
      <c r="CD265" s="1464"/>
      <c r="CE265" s="1464"/>
      <c r="CF265" s="1464"/>
      <c r="CG265" s="1465"/>
      <c r="CH265" s="385" t="s">
        <v>1265</v>
      </c>
      <c r="CI265" s="385" t="s">
        <v>1507</v>
      </c>
    </row>
    <row r="266" spans="32:87" ht="20.100000000000001" customHeight="1">
      <c r="AF266" s="1551"/>
      <c r="AG266" s="107" t="s">
        <v>862</v>
      </c>
      <c r="AH266" s="107"/>
      <c r="AI266" s="107">
        <f>INDEX('DEFAULT DATA'!$WD$9:$WJ$41,START!$C$3,1)</f>
        <v>202</v>
      </c>
      <c r="AJ266" s="63">
        <f>INDEX('DEFAULT DATA'!$YJ$9:$YQ$41,START!$C$3,2)</f>
        <v>0</v>
      </c>
      <c r="AK266" s="53">
        <v>0</v>
      </c>
      <c r="AL266" s="123">
        <f t="shared" ref="AL266:BN266" si="129">IF(AND(AL$254&gt;($D$76+2020),AL$254&lt;($E$76+2022)),AK266+($AI$266*$AJ$266*((100-$F$76)/100)*ROUND($B$76/($E$76-$D$76+1),0)/1000000),AK266)</f>
        <v>0</v>
      </c>
      <c r="AM266" s="123">
        <f t="shared" si="129"/>
        <v>0</v>
      </c>
      <c r="AN266" s="123">
        <f t="shared" si="129"/>
        <v>0</v>
      </c>
      <c r="AO266" s="123">
        <f t="shared" si="129"/>
        <v>0</v>
      </c>
      <c r="AP266" s="123">
        <f t="shared" si="129"/>
        <v>0</v>
      </c>
      <c r="AQ266" s="123">
        <f t="shared" si="129"/>
        <v>0</v>
      </c>
      <c r="AR266" s="123">
        <f t="shared" si="129"/>
        <v>0</v>
      </c>
      <c r="AS266" s="123">
        <f t="shared" si="129"/>
        <v>0</v>
      </c>
      <c r="AT266" s="123">
        <f t="shared" si="129"/>
        <v>0</v>
      </c>
      <c r="AU266" s="123">
        <f t="shared" si="129"/>
        <v>0</v>
      </c>
      <c r="AV266" s="123">
        <f t="shared" si="129"/>
        <v>0</v>
      </c>
      <c r="AW266" s="123">
        <f t="shared" si="129"/>
        <v>0</v>
      </c>
      <c r="AX266" s="123">
        <f t="shared" si="129"/>
        <v>0</v>
      </c>
      <c r="AY266" s="123">
        <f t="shared" si="129"/>
        <v>0</v>
      </c>
      <c r="AZ266" s="123">
        <f t="shared" si="129"/>
        <v>0</v>
      </c>
      <c r="BA266" s="123">
        <f t="shared" si="129"/>
        <v>0</v>
      </c>
      <c r="BB266" s="123">
        <f t="shared" si="129"/>
        <v>0</v>
      </c>
      <c r="BC266" s="123">
        <f t="shared" si="129"/>
        <v>0</v>
      </c>
      <c r="BD266" s="123">
        <f t="shared" si="129"/>
        <v>0</v>
      </c>
      <c r="BE266" s="123">
        <f t="shared" si="129"/>
        <v>0</v>
      </c>
      <c r="BF266" s="123">
        <f t="shared" si="129"/>
        <v>0</v>
      </c>
      <c r="BG266" s="123">
        <f t="shared" si="129"/>
        <v>0</v>
      </c>
      <c r="BH266" s="123">
        <f t="shared" si="129"/>
        <v>0</v>
      </c>
      <c r="BI266" s="123">
        <f t="shared" si="129"/>
        <v>0</v>
      </c>
      <c r="BJ266" s="123">
        <f t="shared" si="129"/>
        <v>0</v>
      </c>
      <c r="BK266" s="123">
        <f t="shared" si="129"/>
        <v>0</v>
      </c>
      <c r="BL266" s="123">
        <f t="shared" si="129"/>
        <v>0</v>
      </c>
      <c r="BM266" s="123">
        <f t="shared" si="129"/>
        <v>0</v>
      </c>
      <c r="BN266" s="159">
        <f t="shared" si="129"/>
        <v>0</v>
      </c>
      <c r="BP266" s="383" t="s">
        <v>862</v>
      </c>
      <c r="BQ266" s="1463" t="s">
        <v>1540</v>
      </c>
      <c r="BR266" s="1464"/>
      <c r="BS266" s="1464"/>
      <c r="BT266" s="1464"/>
      <c r="BU266" s="1464"/>
      <c r="BV266" s="1464"/>
      <c r="BW266" s="1464"/>
      <c r="BX266" s="1464"/>
      <c r="BY266" s="1464"/>
      <c r="BZ266" s="1464"/>
      <c r="CA266" s="1464"/>
      <c r="CB266" s="1464"/>
      <c r="CC266" s="1464"/>
      <c r="CD266" s="1464"/>
      <c r="CE266" s="1464"/>
      <c r="CF266" s="1464"/>
      <c r="CG266" s="1465"/>
      <c r="CH266" s="385" t="s">
        <v>1266</v>
      </c>
      <c r="CI266" s="385" t="s">
        <v>886</v>
      </c>
    </row>
    <row r="267" spans="32:87" ht="20.100000000000001" customHeight="1">
      <c r="AF267" s="1551"/>
      <c r="AG267" s="107" t="s">
        <v>863</v>
      </c>
      <c r="AH267" s="107"/>
      <c r="AI267" s="107">
        <f>INDEX('DEFAULT DATA'!$WD$9:$WJ$41,START!$C$3,2)</f>
        <v>267</v>
      </c>
      <c r="AJ267" s="63">
        <f>INDEX('DEFAULT DATA'!$YJ$9:$YQ$41,START!$C$3,3)</f>
        <v>0</v>
      </c>
      <c r="AK267" s="53">
        <v>0</v>
      </c>
      <c r="AL267" s="123">
        <f t="shared" ref="AL267:BN267" si="130">IF(AND(AL$254&gt;($D$76+2020),AL$254&lt;($E$76+2022)),AK267+($AI$267*$AJ$267*((100-$F$76)/100)*ROUND($B$76/($E$76-$D$76+1),0)/1000000),AK267)</f>
        <v>0</v>
      </c>
      <c r="AM267" s="123">
        <f t="shared" si="130"/>
        <v>0</v>
      </c>
      <c r="AN267" s="123">
        <f t="shared" si="130"/>
        <v>0</v>
      </c>
      <c r="AO267" s="123">
        <f t="shared" si="130"/>
        <v>0</v>
      </c>
      <c r="AP267" s="123">
        <f t="shared" si="130"/>
        <v>0</v>
      </c>
      <c r="AQ267" s="123">
        <f t="shared" si="130"/>
        <v>0</v>
      </c>
      <c r="AR267" s="123">
        <f t="shared" si="130"/>
        <v>0</v>
      </c>
      <c r="AS267" s="123">
        <f t="shared" si="130"/>
        <v>0</v>
      </c>
      <c r="AT267" s="123">
        <f t="shared" si="130"/>
        <v>0</v>
      </c>
      <c r="AU267" s="123">
        <f t="shared" si="130"/>
        <v>0</v>
      </c>
      <c r="AV267" s="123">
        <f t="shared" si="130"/>
        <v>0</v>
      </c>
      <c r="AW267" s="123">
        <f t="shared" si="130"/>
        <v>0</v>
      </c>
      <c r="AX267" s="123">
        <f t="shared" si="130"/>
        <v>0</v>
      </c>
      <c r="AY267" s="123">
        <f t="shared" si="130"/>
        <v>0</v>
      </c>
      <c r="AZ267" s="123">
        <f t="shared" si="130"/>
        <v>0</v>
      </c>
      <c r="BA267" s="123">
        <f t="shared" si="130"/>
        <v>0</v>
      </c>
      <c r="BB267" s="123">
        <f t="shared" si="130"/>
        <v>0</v>
      </c>
      <c r="BC267" s="123">
        <f t="shared" si="130"/>
        <v>0</v>
      </c>
      <c r="BD267" s="123">
        <f t="shared" si="130"/>
        <v>0</v>
      </c>
      <c r="BE267" s="123">
        <f t="shared" si="130"/>
        <v>0</v>
      </c>
      <c r="BF267" s="123">
        <f t="shared" si="130"/>
        <v>0</v>
      </c>
      <c r="BG267" s="123">
        <f t="shared" si="130"/>
        <v>0</v>
      </c>
      <c r="BH267" s="123">
        <f t="shared" si="130"/>
        <v>0</v>
      </c>
      <c r="BI267" s="123">
        <f t="shared" si="130"/>
        <v>0</v>
      </c>
      <c r="BJ267" s="123">
        <f t="shared" si="130"/>
        <v>0</v>
      </c>
      <c r="BK267" s="123">
        <f t="shared" si="130"/>
        <v>0</v>
      </c>
      <c r="BL267" s="123">
        <f t="shared" si="130"/>
        <v>0</v>
      </c>
      <c r="BM267" s="123">
        <f t="shared" si="130"/>
        <v>0</v>
      </c>
      <c r="BN267" s="159">
        <f t="shared" si="130"/>
        <v>0</v>
      </c>
      <c r="BP267" s="383" t="s">
        <v>863</v>
      </c>
      <c r="BQ267" s="1463" t="s">
        <v>1541</v>
      </c>
      <c r="BR267" s="1464"/>
      <c r="BS267" s="1464"/>
      <c r="BT267" s="1464"/>
      <c r="BU267" s="1464"/>
      <c r="BV267" s="1464"/>
      <c r="BW267" s="1464"/>
      <c r="BX267" s="1464"/>
      <c r="BY267" s="1464"/>
      <c r="BZ267" s="1464"/>
      <c r="CA267" s="1464"/>
      <c r="CB267" s="1464"/>
      <c r="CC267" s="1464"/>
      <c r="CD267" s="1464"/>
      <c r="CE267" s="1464"/>
      <c r="CF267" s="1464"/>
      <c r="CG267" s="1465"/>
      <c r="CH267" s="385" t="s">
        <v>1267</v>
      </c>
      <c r="CI267" s="385" t="s">
        <v>1247</v>
      </c>
    </row>
    <row r="268" spans="32:87" ht="20.100000000000001" customHeight="1">
      <c r="AF268" s="1551"/>
      <c r="AG268" s="107" t="s">
        <v>864</v>
      </c>
      <c r="AH268" s="107"/>
      <c r="AI268" s="107">
        <f>INDEX('DEFAULT DATA'!$WD$9:$WJ$41,START!$C$3,3)</f>
        <v>354</v>
      </c>
      <c r="AJ268" s="63">
        <f>INDEX('DEFAULT DATA'!$YJ$9:$YQ$41,START!$C$3,4)</f>
        <v>0</v>
      </c>
      <c r="AK268" s="53">
        <v>0</v>
      </c>
      <c r="AL268" s="123">
        <f t="shared" ref="AL268:BN268" si="131">IF(AND(AL$254&gt;($D$76+2020),AL$254&lt;($E$76+2022)),AK268+($AI$268*$AJ$268*((100-$F$76)/100)*ROUND($B$76/($E$76-$D$76+1),0)/1000000),AK268)</f>
        <v>0</v>
      </c>
      <c r="AM268" s="123">
        <f t="shared" si="131"/>
        <v>0</v>
      </c>
      <c r="AN268" s="123">
        <f t="shared" si="131"/>
        <v>0</v>
      </c>
      <c r="AO268" s="123">
        <f t="shared" si="131"/>
        <v>0</v>
      </c>
      <c r="AP268" s="123">
        <f t="shared" si="131"/>
        <v>0</v>
      </c>
      <c r="AQ268" s="123">
        <f t="shared" si="131"/>
        <v>0</v>
      </c>
      <c r="AR268" s="123">
        <f t="shared" si="131"/>
        <v>0</v>
      </c>
      <c r="AS268" s="123">
        <f t="shared" si="131"/>
        <v>0</v>
      </c>
      <c r="AT268" s="123">
        <f t="shared" si="131"/>
        <v>0</v>
      </c>
      <c r="AU268" s="123">
        <f t="shared" si="131"/>
        <v>0</v>
      </c>
      <c r="AV268" s="123">
        <f t="shared" si="131"/>
        <v>0</v>
      </c>
      <c r="AW268" s="123">
        <f t="shared" si="131"/>
        <v>0</v>
      </c>
      <c r="AX268" s="123">
        <f t="shared" si="131"/>
        <v>0</v>
      </c>
      <c r="AY268" s="123">
        <f t="shared" si="131"/>
        <v>0</v>
      </c>
      <c r="AZ268" s="123">
        <f t="shared" si="131"/>
        <v>0</v>
      </c>
      <c r="BA268" s="123">
        <f t="shared" si="131"/>
        <v>0</v>
      </c>
      <c r="BB268" s="123">
        <f t="shared" si="131"/>
        <v>0</v>
      </c>
      <c r="BC268" s="123">
        <f t="shared" si="131"/>
        <v>0</v>
      </c>
      <c r="BD268" s="123">
        <f t="shared" si="131"/>
        <v>0</v>
      </c>
      <c r="BE268" s="123">
        <f t="shared" si="131"/>
        <v>0</v>
      </c>
      <c r="BF268" s="123">
        <f t="shared" si="131"/>
        <v>0</v>
      </c>
      <c r="BG268" s="123">
        <f t="shared" si="131"/>
        <v>0</v>
      </c>
      <c r="BH268" s="123">
        <f t="shared" si="131"/>
        <v>0</v>
      </c>
      <c r="BI268" s="123">
        <f t="shared" si="131"/>
        <v>0</v>
      </c>
      <c r="BJ268" s="123">
        <f t="shared" si="131"/>
        <v>0</v>
      </c>
      <c r="BK268" s="123">
        <f t="shared" si="131"/>
        <v>0</v>
      </c>
      <c r="BL268" s="123">
        <f t="shared" si="131"/>
        <v>0</v>
      </c>
      <c r="BM268" s="123">
        <f t="shared" si="131"/>
        <v>0</v>
      </c>
      <c r="BN268" s="159">
        <f t="shared" si="131"/>
        <v>0</v>
      </c>
      <c r="BP268" s="383" t="s">
        <v>864</v>
      </c>
      <c r="BQ268" s="1463" t="s">
        <v>1542</v>
      </c>
      <c r="BR268" s="1464"/>
      <c r="BS268" s="1464"/>
      <c r="BT268" s="1464"/>
      <c r="BU268" s="1464"/>
      <c r="BV268" s="1464"/>
      <c r="BW268" s="1464"/>
      <c r="BX268" s="1464"/>
      <c r="BY268" s="1464"/>
      <c r="BZ268" s="1464"/>
      <c r="CA268" s="1464"/>
      <c r="CB268" s="1464"/>
      <c r="CC268" s="1464"/>
      <c r="CD268" s="1464"/>
      <c r="CE268" s="1464"/>
      <c r="CF268" s="1464"/>
      <c r="CG268" s="1465"/>
      <c r="CH268" s="385" t="s">
        <v>1268</v>
      </c>
      <c r="CI268" s="385" t="s">
        <v>1248</v>
      </c>
    </row>
    <row r="269" spans="32:87" ht="20.100000000000001" customHeight="1">
      <c r="AF269" s="1551"/>
      <c r="AG269" s="107" t="s">
        <v>865</v>
      </c>
      <c r="AH269" s="107"/>
      <c r="AI269" s="107">
        <f>INDEX('DEFAULT DATA'!$WD$9:$WJ$41,START!$C$3,4)</f>
        <v>382</v>
      </c>
      <c r="AJ269" s="63">
        <f>INDEX('DEFAULT DATA'!$YJ$9:$YQ$41,START!$C$3,5)</f>
        <v>0</v>
      </c>
      <c r="AK269" s="53">
        <v>0</v>
      </c>
      <c r="AL269" s="123">
        <f t="shared" ref="AL269:BN269" si="132">IF(AND(AL$254&gt;($D$76+2020),AL$254&lt;($E$76+2022)),AK269+($AI$269*$AJ$269*((100-$F$76)/100)*ROUND($B$76/($E$76-$D$76+1),0)/1000000),AK269)</f>
        <v>0</v>
      </c>
      <c r="AM269" s="123">
        <f t="shared" si="132"/>
        <v>0</v>
      </c>
      <c r="AN269" s="123">
        <f t="shared" si="132"/>
        <v>0</v>
      </c>
      <c r="AO269" s="123">
        <f t="shared" si="132"/>
        <v>0</v>
      </c>
      <c r="AP269" s="123">
        <f t="shared" si="132"/>
        <v>0</v>
      </c>
      <c r="AQ269" s="123">
        <f t="shared" si="132"/>
        <v>0</v>
      </c>
      <c r="AR269" s="123">
        <f t="shared" si="132"/>
        <v>0</v>
      </c>
      <c r="AS269" s="123">
        <f t="shared" si="132"/>
        <v>0</v>
      </c>
      <c r="AT269" s="123">
        <f t="shared" si="132"/>
        <v>0</v>
      </c>
      <c r="AU269" s="123">
        <f t="shared" si="132"/>
        <v>0</v>
      </c>
      <c r="AV269" s="123">
        <f t="shared" si="132"/>
        <v>0</v>
      </c>
      <c r="AW269" s="123">
        <f t="shared" si="132"/>
        <v>0</v>
      </c>
      <c r="AX269" s="123">
        <f t="shared" si="132"/>
        <v>0</v>
      </c>
      <c r="AY269" s="123">
        <f t="shared" si="132"/>
        <v>0</v>
      </c>
      <c r="AZ269" s="123">
        <f t="shared" si="132"/>
        <v>0</v>
      </c>
      <c r="BA269" s="123">
        <f t="shared" si="132"/>
        <v>0</v>
      </c>
      <c r="BB269" s="123">
        <f t="shared" si="132"/>
        <v>0</v>
      </c>
      <c r="BC269" s="123">
        <f t="shared" si="132"/>
        <v>0</v>
      </c>
      <c r="BD269" s="123">
        <f t="shared" si="132"/>
        <v>0</v>
      </c>
      <c r="BE269" s="123">
        <f t="shared" si="132"/>
        <v>0</v>
      </c>
      <c r="BF269" s="123">
        <f t="shared" si="132"/>
        <v>0</v>
      </c>
      <c r="BG269" s="123">
        <f t="shared" si="132"/>
        <v>0</v>
      </c>
      <c r="BH269" s="123">
        <f t="shared" si="132"/>
        <v>0</v>
      </c>
      <c r="BI269" s="123">
        <f t="shared" si="132"/>
        <v>0</v>
      </c>
      <c r="BJ269" s="123">
        <f t="shared" si="132"/>
        <v>0</v>
      </c>
      <c r="BK269" s="123">
        <f t="shared" si="132"/>
        <v>0</v>
      </c>
      <c r="BL269" s="123">
        <f t="shared" si="132"/>
        <v>0</v>
      </c>
      <c r="BM269" s="123">
        <f t="shared" si="132"/>
        <v>0</v>
      </c>
      <c r="BN269" s="159">
        <f t="shared" si="132"/>
        <v>0</v>
      </c>
      <c r="BP269" s="383" t="s">
        <v>865</v>
      </c>
      <c r="BQ269" s="1463" t="s">
        <v>1543</v>
      </c>
      <c r="BR269" s="1464"/>
      <c r="BS269" s="1464"/>
      <c r="BT269" s="1464"/>
      <c r="BU269" s="1464"/>
      <c r="BV269" s="1464"/>
      <c r="BW269" s="1464"/>
      <c r="BX269" s="1464"/>
      <c r="BY269" s="1464"/>
      <c r="BZ269" s="1464"/>
      <c r="CA269" s="1464"/>
      <c r="CB269" s="1464"/>
      <c r="CC269" s="1464"/>
      <c r="CD269" s="1464"/>
      <c r="CE269" s="1464"/>
      <c r="CF269" s="1464"/>
      <c r="CG269" s="1465"/>
      <c r="CH269" s="385" t="s">
        <v>1269</v>
      </c>
      <c r="CI269" s="385" t="s">
        <v>1249</v>
      </c>
    </row>
    <row r="270" spans="32:87" ht="20.100000000000001" customHeight="1">
      <c r="AF270" s="1551"/>
      <c r="AG270" s="107" t="s">
        <v>866</v>
      </c>
      <c r="AH270" s="107"/>
      <c r="AI270" s="107">
        <f>INDEX('DEFAULT DATA'!$WD$9:$WJ$41,START!$C$3,5)</f>
        <v>403</v>
      </c>
      <c r="AJ270" s="63">
        <f>INDEX('DEFAULT DATA'!$YJ$9:$YQ$41,START!$C$3,6)</f>
        <v>0</v>
      </c>
      <c r="AK270" s="53">
        <v>0</v>
      </c>
      <c r="AL270" s="123">
        <f t="shared" ref="AL270:BN270" si="133">IF(AND(AL$254&gt;($D$76+2020),AL$254&lt;($E$76+2022)),AK270+($AI$270*$AJ$270*((100-$F$76)/100)*ROUND($B$76/($E$76-$D$76+1),0)/1000000),AK270)</f>
        <v>0</v>
      </c>
      <c r="AM270" s="123">
        <f t="shared" si="133"/>
        <v>0</v>
      </c>
      <c r="AN270" s="123">
        <f t="shared" si="133"/>
        <v>0</v>
      </c>
      <c r="AO270" s="123">
        <f t="shared" si="133"/>
        <v>0</v>
      </c>
      <c r="AP270" s="123">
        <f t="shared" si="133"/>
        <v>0</v>
      </c>
      <c r="AQ270" s="123">
        <f t="shared" si="133"/>
        <v>0</v>
      </c>
      <c r="AR270" s="123">
        <f t="shared" si="133"/>
        <v>0</v>
      </c>
      <c r="AS270" s="123">
        <f t="shared" si="133"/>
        <v>0</v>
      </c>
      <c r="AT270" s="123">
        <f t="shared" si="133"/>
        <v>0</v>
      </c>
      <c r="AU270" s="123">
        <f t="shared" si="133"/>
        <v>0</v>
      </c>
      <c r="AV270" s="123">
        <f t="shared" si="133"/>
        <v>0</v>
      </c>
      <c r="AW270" s="123">
        <f t="shared" si="133"/>
        <v>0</v>
      </c>
      <c r="AX270" s="123">
        <f t="shared" si="133"/>
        <v>0</v>
      </c>
      <c r="AY270" s="123">
        <f t="shared" si="133"/>
        <v>0</v>
      </c>
      <c r="AZ270" s="123">
        <f t="shared" si="133"/>
        <v>0</v>
      </c>
      <c r="BA270" s="123">
        <f t="shared" si="133"/>
        <v>0</v>
      </c>
      <c r="BB270" s="123">
        <f t="shared" si="133"/>
        <v>0</v>
      </c>
      <c r="BC270" s="123">
        <f t="shared" si="133"/>
        <v>0</v>
      </c>
      <c r="BD270" s="123">
        <f t="shared" si="133"/>
        <v>0</v>
      </c>
      <c r="BE270" s="123">
        <f t="shared" si="133"/>
        <v>0</v>
      </c>
      <c r="BF270" s="123">
        <f t="shared" si="133"/>
        <v>0</v>
      </c>
      <c r="BG270" s="123">
        <f t="shared" si="133"/>
        <v>0</v>
      </c>
      <c r="BH270" s="123">
        <f t="shared" si="133"/>
        <v>0</v>
      </c>
      <c r="BI270" s="123">
        <f t="shared" si="133"/>
        <v>0</v>
      </c>
      <c r="BJ270" s="123">
        <f t="shared" si="133"/>
        <v>0</v>
      </c>
      <c r="BK270" s="123">
        <f t="shared" si="133"/>
        <v>0</v>
      </c>
      <c r="BL270" s="123">
        <f t="shared" si="133"/>
        <v>0</v>
      </c>
      <c r="BM270" s="123">
        <f t="shared" si="133"/>
        <v>0</v>
      </c>
      <c r="BN270" s="159">
        <f t="shared" si="133"/>
        <v>0</v>
      </c>
      <c r="BP270" s="383" t="s">
        <v>866</v>
      </c>
      <c r="BQ270" s="1463" t="s">
        <v>1544</v>
      </c>
      <c r="BR270" s="1464"/>
      <c r="BS270" s="1464"/>
      <c r="BT270" s="1464"/>
      <c r="BU270" s="1464"/>
      <c r="BV270" s="1464"/>
      <c r="BW270" s="1464"/>
      <c r="BX270" s="1464"/>
      <c r="BY270" s="1464"/>
      <c r="BZ270" s="1464"/>
      <c r="CA270" s="1464"/>
      <c r="CB270" s="1464"/>
      <c r="CC270" s="1464"/>
      <c r="CD270" s="1464"/>
      <c r="CE270" s="1464"/>
      <c r="CF270" s="1464"/>
      <c r="CG270" s="1465"/>
      <c r="CH270" s="385" t="s">
        <v>1270</v>
      </c>
      <c r="CI270" s="385" t="s">
        <v>1250</v>
      </c>
    </row>
    <row r="271" spans="32:87" ht="20.100000000000001" customHeight="1">
      <c r="AF271" s="1551"/>
      <c r="AG271" s="107" t="s">
        <v>867</v>
      </c>
      <c r="AH271" s="107"/>
      <c r="AI271" s="107">
        <f>INDEX('DEFAULT DATA'!$WD$9:$WJ$41,START!$C$3,6)</f>
        <v>0</v>
      </c>
      <c r="AJ271" s="63">
        <f>INDEX('DEFAULT DATA'!$YJ$9:$YQ$41,START!$C$3,7)</f>
        <v>1657.8066152984159</v>
      </c>
      <c r="AK271" s="53">
        <v>0</v>
      </c>
      <c r="AL271" s="123">
        <f t="shared" ref="AL271:BN271" si="134">IF(AND(AL$254&gt;($D$76+2020),AL$254&lt;($E$76+2022)),AK271+($AI$271*$AJ$271*((100-$F$76)/100)*ROUND($B$76/($E$76-$D$76+1),0)/1000000),AK271)</f>
        <v>0</v>
      </c>
      <c r="AM271" s="123">
        <f t="shared" si="134"/>
        <v>0</v>
      </c>
      <c r="AN271" s="123">
        <f t="shared" si="134"/>
        <v>0</v>
      </c>
      <c r="AO271" s="123">
        <f t="shared" si="134"/>
        <v>0</v>
      </c>
      <c r="AP271" s="123">
        <f t="shared" si="134"/>
        <v>0</v>
      </c>
      <c r="AQ271" s="123">
        <f t="shared" si="134"/>
        <v>0</v>
      </c>
      <c r="AR271" s="123">
        <f t="shared" si="134"/>
        <v>0</v>
      </c>
      <c r="AS271" s="123">
        <f t="shared" si="134"/>
        <v>0</v>
      </c>
      <c r="AT271" s="123">
        <f t="shared" si="134"/>
        <v>0</v>
      </c>
      <c r="AU271" s="123">
        <f t="shared" si="134"/>
        <v>0</v>
      </c>
      <c r="AV271" s="123">
        <f t="shared" si="134"/>
        <v>0</v>
      </c>
      <c r="AW271" s="123">
        <f t="shared" si="134"/>
        <v>0</v>
      </c>
      <c r="AX271" s="123">
        <f t="shared" si="134"/>
        <v>0</v>
      </c>
      <c r="AY271" s="123">
        <f t="shared" si="134"/>
        <v>0</v>
      </c>
      <c r="AZ271" s="123">
        <f t="shared" si="134"/>
        <v>0</v>
      </c>
      <c r="BA271" s="123">
        <f t="shared" si="134"/>
        <v>0</v>
      </c>
      <c r="BB271" s="123">
        <f t="shared" si="134"/>
        <v>0</v>
      </c>
      <c r="BC271" s="123">
        <f t="shared" si="134"/>
        <v>0</v>
      </c>
      <c r="BD271" s="123">
        <f t="shared" si="134"/>
        <v>0</v>
      </c>
      <c r="BE271" s="123">
        <f t="shared" si="134"/>
        <v>0</v>
      </c>
      <c r="BF271" s="123">
        <f t="shared" si="134"/>
        <v>0</v>
      </c>
      <c r="BG271" s="123">
        <f t="shared" si="134"/>
        <v>0</v>
      </c>
      <c r="BH271" s="123">
        <f t="shared" si="134"/>
        <v>0</v>
      </c>
      <c r="BI271" s="123">
        <f t="shared" si="134"/>
        <v>0</v>
      </c>
      <c r="BJ271" s="123">
        <f t="shared" si="134"/>
        <v>0</v>
      </c>
      <c r="BK271" s="123">
        <f t="shared" si="134"/>
        <v>0</v>
      </c>
      <c r="BL271" s="123">
        <f t="shared" si="134"/>
        <v>0</v>
      </c>
      <c r="BM271" s="123">
        <f t="shared" si="134"/>
        <v>0</v>
      </c>
      <c r="BN271" s="159">
        <f t="shared" si="134"/>
        <v>0</v>
      </c>
      <c r="BP271" s="383" t="s">
        <v>867</v>
      </c>
      <c r="BQ271" s="1463" t="s">
        <v>1545</v>
      </c>
      <c r="BR271" s="1464"/>
      <c r="BS271" s="1464"/>
      <c r="BT271" s="1464"/>
      <c r="BU271" s="1464"/>
      <c r="BV271" s="1464"/>
      <c r="BW271" s="1464"/>
      <c r="BX271" s="1464"/>
      <c r="BY271" s="1464"/>
      <c r="BZ271" s="1464"/>
      <c r="CA271" s="1464"/>
      <c r="CB271" s="1464"/>
      <c r="CC271" s="1464"/>
      <c r="CD271" s="1464"/>
      <c r="CE271" s="1464"/>
      <c r="CF271" s="1464"/>
      <c r="CG271" s="1465"/>
      <c r="CH271" s="385" t="s">
        <v>1271</v>
      </c>
      <c r="CI271" s="385" t="s">
        <v>1251</v>
      </c>
    </row>
    <row r="272" spans="32:87" ht="20.100000000000001" customHeight="1" thickBot="1">
      <c r="AF272" s="1552"/>
      <c r="AG272" s="146" t="s">
        <v>868</v>
      </c>
      <c r="AH272" s="146"/>
      <c r="AI272" s="146" t="s">
        <v>1123</v>
      </c>
      <c r="AJ272" s="113">
        <f>INDEX('DEFAULT DATA'!$YJ$9:$YQ$41,START!$C$3,8)</f>
        <v>414.45165382460397</v>
      </c>
      <c r="AK272" s="54">
        <v>0</v>
      </c>
      <c r="AL272" s="160">
        <f t="shared" ref="AL272:BN272" si="135">IF(AND(AL$254&gt;($D$76+2020),AL$254&lt;($E$76+2022)),AK272+(AL$6*$AJ$272*((100-$F$76)/100)*ROUND($B$76/($E$76-$D$76+1),0)/1000000),AK272)</f>
        <v>0</v>
      </c>
      <c r="AM272" s="160">
        <f t="shared" si="135"/>
        <v>0</v>
      </c>
      <c r="AN272" s="160">
        <f t="shared" si="135"/>
        <v>0</v>
      </c>
      <c r="AO272" s="160">
        <f t="shared" si="135"/>
        <v>0</v>
      </c>
      <c r="AP272" s="160">
        <f t="shared" si="135"/>
        <v>0</v>
      </c>
      <c r="AQ272" s="160">
        <f t="shared" si="135"/>
        <v>0</v>
      </c>
      <c r="AR272" s="160">
        <f t="shared" si="135"/>
        <v>0</v>
      </c>
      <c r="AS272" s="160">
        <f t="shared" si="135"/>
        <v>0</v>
      </c>
      <c r="AT272" s="160">
        <f t="shared" si="135"/>
        <v>0</v>
      </c>
      <c r="AU272" s="160">
        <f t="shared" si="135"/>
        <v>0</v>
      </c>
      <c r="AV272" s="160">
        <f t="shared" si="135"/>
        <v>0</v>
      </c>
      <c r="AW272" s="160">
        <f t="shared" si="135"/>
        <v>0</v>
      </c>
      <c r="AX272" s="160">
        <f t="shared" si="135"/>
        <v>0</v>
      </c>
      <c r="AY272" s="160">
        <f t="shared" si="135"/>
        <v>0</v>
      </c>
      <c r="AZ272" s="160">
        <f t="shared" si="135"/>
        <v>0</v>
      </c>
      <c r="BA272" s="160">
        <f t="shared" si="135"/>
        <v>0</v>
      </c>
      <c r="BB272" s="160">
        <f t="shared" si="135"/>
        <v>0</v>
      </c>
      <c r="BC272" s="160">
        <f t="shared" si="135"/>
        <v>0</v>
      </c>
      <c r="BD272" s="160">
        <f t="shared" si="135"/>
        <v>0</v>
      </c>
      <c r="BE272" s="160">
        <f t="shared" si="135"/>
        <v>0</v>
      </c>
      <c r="BF272" s="160">
        <f t="shared" si="135"/>
        <v>0</v>
      </c>
      <c r="BG272" s="160">
        <f t="shared" si="135"/>
        <v>0</v>
      </c>
      <c r="BH272" s="160">
        <f t="shared" si="135"/>
        <v>0</v>
      </c>
      <c r="BI272" s="160">
        <f t="shared" si="135"/>
        <v>0</v>
      </c>
      <c r="BJ272" s="160">
        <f t="shared" si="135"/>
        <v>0</v>
      </c>
      <c r="BK272" s="160">
        <f t="shared" si="135"/>
        <v>0</v>
      </c>
      <c r="BL272" s="160">
        <f t="shared" si="135"/>
        <v>0</v>
      </c>
      <c r="BM272" s="160">
        <f t="shared" si="135"/>
        <v>0</v>
      </c>
      <c r="BN272" s="161">
        <f t="shared" si="135"/>
        <v>0</v>
      </c>
      <c r="BP272" s="383" t="s">
        <v>868</v>
      </c>
      <c r="BQ272" s="1463" t="s">
        <v>1546</v>
      </c>
      <c r="BR272" s="1464"/>
      <c r="BS272" s="1464"/>
      <c r="BT272" s="1464"/>
      <c r="BU272" s="1464"/>
      <c r="BV272" s="1464"/>
      <c r="BW272" s="1464"/>
      <c r="BX272" s="1464"/>
      <c r="BY272" s="1464"/>
      <c r="BZ272" s="1464"/>
      <c r="CA272" s="1464"/>
      <c r="CB272" s="1464"/>
      <c r="CC272" s="1464"/>
      <c r="CD272" s="1464"/>
      <c r="CE272" s="1464"/>
      <c r="CF272" s="1464"/>
      <c r="CG272" s="1465"/>
      <c r="CH272" s="385" t="s">
        <v>1272</v>
      </c>
      <c r="CI272" s="385" t="s">
        <v>1508</v>
      </c>
    </row>
    <row r="273" spans="32:87" ht="20.100000000000001" customHeight="1">
      <c r="AF273" s="140"/>
      <c r="AG273" s="136" t="s">
        <v>1081</v>
      </c>
      <c r="AH273" s="136"/>
      <c r="AI273" s="136"/>
      <c r="AJ273" s="136"/>
      <c r="AK273" s="173">
        <f>SUM(AK265:AK272)</f>
        <v>0</v>
      </c>
      <c r="AL273" s="162">
        <f>SUM(AL265:AL272)</f>
        <v>0</v>
      </c>
      <c r="AM273" s="162">
        <f t="shared" ref="AM273:BN273" si="136">SUM(AM265:AM272)</f>
        <v>0</v>
      </c>
      <c r="AN273" s="162">
        <f t="shared" si="136"/>
        <v>0</v>
      </c>
      <c r="AO273" s="162">
        <f t="shared" si="136"/>
        <v>0</v>
      </c>
      <c r="AP273" s="162">
        <f t="shared" si="136"/>
        <v>0</v>
      </c>
      <c r="AQ273" s="162">
        <f t="shared" si="136"/>
        <v>0</v>
      </c>
      <c r="AR273" s="162">
        <f t="shared" si="136"/>
        <v>0</v>
      </c>
      <c r="AS273" s="162">
        <f t="shared" si="136"/>
        <v>0</v>
      </c>
      <c r="AT273" s="162">
        <f t="shared" si="136"/>
        <v>0</v>
      </c>
      <c r="AU273" s="162">
        <f t="shared" si="136"/>
        <v>0</v>
      </c>
      <c r="AV273" s="162">
        <f t="shared" si="136"/>
        <v>0</v>
      </c>
      <c r="AW273" s="162">
        <f t="shared" si="136"/>
        <v>0</v>
      </c>
      <c r="AX273" s="162">
        <f t="shared" si="136"/>
        <v>0</v>
      </c>
      <c r="AY273" s="162">
        <f t="shared" si="136"/>
        <v>0</v>
      </c>
      <c r="AZ273" s="162">
        <f t="shared" si="136"/>
        <v>0</v>
      </c>
      <c r="BA273" s="162">
        <f t="shared" si="136"/>
        <v>0</v>
      </c>
      <c r="BB273" s="162">
        <f t="shared" si="136"/>
        <v>0</v>
      </c>
      <c r="BC273" s="162">
        <f t="shared" si="136"/>
        <v>0</v>
      </c>
      <c r="BD273" s="162">
        <f t="shared" si="136"/>
        <v>0</v>
      </c>
      <c r="BE273" s="162">
        <f t="shared" si="136"/>
        <v>0</v>
      </c>
      <c r="BF273" s="162">
        <f t="shared" si="136"/>
        <v>0</v>
      </c>
      <c r="BG273" s="162">
        <f t="shared" si="136"/>
        <v>0</v>
      </c>
      <c r="BH273" s="162">
        <f t="shared" si="136"/>
        <v>0</v>
      </c>
      <c r="BI273" s="162">
        <f t="shared" si="136"/>
        <v>0</v>
      </c>
      <c r="BJ273" s="162">
        <f t="shared" si="136"/>
        <v>0</v>
      </c>
      <c r="BK273" s="162">
        <f t="shared" si="136"/>
        <v>0</v>
      </c>
      <c r="BL273" s="162">
        <f t="shared" si="136"/>
        <v>0</v>
      </c>
      <c r="BM273" s="162">
        <f t="shared" si="136"/>
        <v>0</v>
      </c>
      <c r="BN273" s="162">
        <f t="shared" si="136"/>
        <v>0</v>
      </c>
    </row>
    <row r="274" spans="32:87" ht="20.100000000000001" customHeight="1" thickBot="1">
      <c r="AK274" s="171"/>
      <c r="BP274" s="3" t="s">
        <v>1284</v>
      </c>
      <c r="CH274" s="386" t="s">
        <v>1218</v>
      </c>
      <c r="CI274" s="6" t="s">
        <v>1224</v>
      </c>
    </row>
    <row r="275" spans="32:87" ht="20.100000000000001" customHeight="1">
      <c r="AF275" s="1550" t="str">
        <f>AF222</f>
        <v>Semi-detached</v>
      </c>
      <c r="AG275" s="137" t="s">
        <v>578</v>
      </c>
      <c r="AH275" s="138"/>
      <c r="AI275" s="137" t="s">
        <v>1122</v>
      </c>
      <c r="AJ275" s="148">
        <f>INDEX('DEFAULT DATA'!$YR$9:$YY$41,START!$C$3,1)</f>
        <v>607.86242560941923</v>
      </c>
      <c r="AK275" s="173">
        <v>0</v>
      </c>
      <c r="AL275" s="163">
        <f t="shared" ref="AL275:BN275" si="137">IF(AND(AL$254&gt;($D$77+2020),AL$254&lt;($E$77+2022)),AK275+(AL$5*$AJ$275*((100-$F$77)/100)*ROUND($B$77/($E$77-$D$77+1),0)/1000000),AK275)</f>
        <v>0</v>
      </c>
      <c r="AM275" s="163">
        <f t="shared" si="137"/>
        <v>0</v>
      </c>
      <c r="AN275" s="163">
        <f t="shared" si="137"/>
        <v>0</v>
      </c>
      <c r="AO275" s="163">
        <f t="shared" si="137"/>
        <v>0</v>
      </c>
      <c r="AP275" s="163">
        <f t="shared" si="137"/>
        <v>0</v>
      </c>
      <c r="AQ275" s="163">
        <f t="shared" si="137"/>
        <v>0</v>
      </c>
      <c r="AR275" s="163">
        <f t="shared" si="137"/>
        <v>0</v>
      </c>
      <c r="AS275" s="163">
        <f t="shared" si="137"/>
        <v>0</v>
      </c>
      <c r="AT275" s="163">
        <f t="shared" si="137"/>
        <v>0</v>
      </c>
      <c r="AU275" s="163">
        <f t="shared" si="137"/>
        <v>0</v>
      </c>
      <c r="AV275" s="163">
        <f t="shared" si="137"/>
        <v>0</v>
      </c>
      <c r="AW275" s="163">
        <f t="shared" si="137"/>
        <v>0</v>
      </c>
      <c r="AX275" s="163">
        <f t="shared" si="137"/>
        <v>0</v>
      </c>
      <c r="AY275" s="163">
        <f t="shared" si="137"/>
        <v>0</v>
      </c>
      <c r="AZ275" s="163">
        <f t="shared" si="137"/>
        <v>0</v>
      </c>
      <c r="BA275" s="163">
        <f t="shared" si="137"/>
        <v>0</v>
      </c>
      <c r="BB275" s="163">
        <f t="shared" si="137"/>
        <v>0</v>
      </c>
      <c r="BC275" s="163">
        <f t="shared" si="137"/>
        <v>0</v>
      </c>
      <c r="BD275" s="163">
        <f t="shared" si="137"/>
        <v>0</v>
      </c>
      <c r="BE275" s="163">
        <f t="shared" si="137"/>
        <v>0</v>
      </c>
      <c r="BF275" s="163">
        <f t="shared" si="137"/>
        <v>0</v>
      </c>
      <c r="BG275" s="163">
        <f t="shared" si="137"/>
        <v>0</v>
      </c>
      <c r="BH275" s="163">
        <f t="shared" si="137"/>
        <v>0</v>
      </c>
      <c r="BI275" s="163">
        <f t="shared" si="137"/>
        <v>0</v>
      </c>
      <c r="BJ275" s="163">
        <f t="shared" si="137"/>
        <v>0</v>
      </c>
      <c r="BK275" s="163">
        <f t="shared" si="137"/>
        <v>0</v>
      </c>
      <c r="BL275" s="163">
        <f t="shared" si="137"/>
        <v>0</v>
      </c>
      <c r="BM275" s="163">
        <f t="shared" si="137"/>
        <v>0</v>
      </c>
      <c r="BN275" s="164">
        <f t="shared" si="137"/>
        <v>0</v>
      </c>
      <c r="BP275" s="383" t="s">
        <v>578</v>
      </c>
      <c r="BQ275" s="1463" t="s">
        <v>1547</v>
      </c>
      <c r="BR275" s="1464"/>
      <c r="BS275" s="1464"/>
      <c r="BT275" s="1464"/>
      <c r="BU275" s="1464"/>
      <c r="BV275" s="1464"/>
      <c r="BW275" s="1464"/>
      <c r="BX275" s="1464"/>
      <c r="BY275" s="1464"/>
      <c r="BZ275" s="1464"/>
      <c r="CA275" s="1464"/>
      <c r="CB275" s="1464"/>
      <c r="CC275" s="1464"/>
      <c r="CD275" s="1464"/>
      <c r="CE275" s="1464"/>
      <c r="CF275" s="1464"/>
      <c r="CG275" s="1465"/>
      <c r="CH275" s="385" t="s">
        <v>1293</v>
      </c>
      <c r="CI275" s="385" t="s">
        <v>1507</v>
      </c>
    </row>
    <row r="276" spans="32:87" ht="20.100000000000001" customHeight="1">
      <c r="AF276" s="1551"/>
      <c r="AG276" s="107" t="s">
        <v>862</v>
      </c>
      <c r="AH276" s="131"/>
      <c r="AI276" s="107">
        <f>INDEX('DEFAULT DATA'!$WD$9:$WJ$41,START!$C$3,1)</f>
        <v>202</v>
      </c>
      <c r="AJ276" s="63">
        <f>INDEX('DEFAULT DATA'!$YR$9:$YY$41,START!$C$3,2)</f>
        <v>0</v>
      </c>
      <c r="AK276" s="53">
        <v>0</v>
      </c>
      <c r="AL276" s="123">
        <f t="shared" ref="AL276:BN276" si="138">IF(AND(AL$254&gt;($D$77+2020),AL$254&lt;($E$77+2022)),AK276+($AI$276*$AJ$276*((100-$F$77)/100)*ROUND($B$77/($E$77-$D$77+1),0)/1000000),AK276)</f>
        <v>0</v>
      </c>
      <c r="AM276" s="123">
        <f t="shared" si="138"/>
        <v>0</v>
      </c>
      <c r="AN276" s="123">
        <f t="shared" si="138"/>
        <v>0</v>
      </c>
      <c r="AO276" s="123">
        <f t="shared" si="138"/>
        <v>0</v>
      </c>
      <c r="AP276" s="123">
        <f t="shared" si="138"/>
        <v>0</v>
      </c>
      <c r="AQ276" s="123">
        <f t="shared" si="138"/>
        <v>0</v>
      </c>
      <c r="AR276" s="123">
        <f t="shared" si="138"/>
        <v>0</v>
      </c>
      <c r="AS276" s="123">
        <f t="shared" si="138"/>
        <v>0</v>
      </c>
      <c r="AT276" s="123">
        <f t="shared" si="138"/>
        <v>0</v>
      </c>
      <c r="AU276" s="123">
        <f t="shared" si="138"/>
        <v>0</v>
      </c>
      <c r="AV276" s="123">
        <f t="shared" si="138"/>
        <v>0</v>
      </c>
      <c r="AW276" s="123">
        <f t="shared" si="138"/>
        <v>0</v>
      </c>
      <c r="AX276" s="123">
        <f t="shared" si="138"/>
        <v>0</v>
      </c>
      <c r="AY276" s="123">
        <f t="shared" si="138"/>
        <v>0</v>
      </c>
      <c r="AZ276" s="123">
        <f t="shared" si="138"/>
        <v>0</v>
      </c>
      <c r="BA276" s="123">
        <f t="shared" si="138"/>
        <v>0</v>
      </c>
      <c r="BB276" s="123">
        <f t="shared" si="138"/>
        <v>0</v>
      </c>
      <c r="BC276" s="123">
        <f t="shared" si="138"/>
        <v>0</v>
      </c>
      <c r="BD276" s="123">
        <f t="shared" si="138"/>
        <v>0</v>
      </c>
      <c r="BE276" s="123">
        <f t="shared" si="138"/>
        <v>0</v>
      </c>
      <c r="BF276" s="123">
        <f t="shared" si="138"/>
        <v>0</v>
      </c>
      <c r="BG276" s="123">
        <f t="shared" si="138"/>
        <v>0</v>
      </c>
      <c r="BH276" s="123">
        <f t="shared" si="138"/>
        <v>0</v>
      </c>
      <c r="BI276" s="123">
        <f t="shared" si="138"/>
        <v>0</v>
      </c>
      <c r="BJ276" s="123">
        <f t="shared" si="138"/>
        <v>0</v>
      </c>
      <c r="BK276" s="123">
        <f t="shared" si="138"/>
        <v>0</v>
      </c>
      <c r="BL276" s="123">
        <f t="shared" si="138"/>
        <v>0</v>
      </c>
      <c r="BM276" s="123">
        <f t="shared" si="138"/>
        <v>0</v>
      </c>
      <c r="BN276" s="159">
        <f t="shared" si="138"/>
        <v>0</v>
      </c>
      <c r="BP276" s="383" t="s">
        <v>862</v>
      </c>
      <c r="BQ276" s="1463" t="s">
        <v>1548</v>
      </c>
      <c r="BR276" s="1464"/>
      <c r="BS276" s="1464"/>
      <c r="BT276" s="1464"/>
      <c r="BU276" s="1464"/>
      <c r="BV276" s="1464"/>
      <c r="BW276" s="1464"/>
      <c r="BX276" s="1464"/>
      <c r="BY276" s="1464"/>
      <c r="BZ276" s="1464"/>
      <c r="CA276" s="1464"/>
      <c r="CB276" s="1464"/>
      <c r="CC276" s="1464"/>
      <c r="CD276" s="1464"/>
      <c r="CE276" s="1464"/>
      <c r="CF276" s="1464"/>
      <c r="CG276" s="1465"/>
      <c r="CH276" s="385" t="s">
        <v>1294</v>
      </c>
      <c r="CI276" s="385" t="s">
        <v>886</v>
      </c>
    </row>
    <row r="277" spans="32:87" ht="20.100000000000001" customHeight="1">
      <c r="AF277" s="1551"/>
      <c r="AG277" s="107" t="s">
        <v>863</v>
      </c>
      <c r="AH277" s="131"/>
      <c r="AI277" s="107">
        <f>INDEX('DEFAULT DATA'!$WD$9:$WJ$41,START!$C$3,2)</f>
        <v>267</v>
      </c>
      <c r="AJ277" s="63">
        <f>INDEX('DEFAULT DATA'!$YR$9:$YY$41,START!$C$3,3)</f>
        <v>0</v>
      </c>
      <c r="AK277" s="53">
        <v>0</v>
      </c>
      <c r="AL277" s="123">
        <f t="shared" ref="AL277:BN277" si="139">IF(AND(AL$254&gt;($D$77+2020),AL$254&lt;($E$77+2022)),AK277+($AI$277*$AJ$277*((100-$F$77)/100)*ROUND($B$77/($E$77-$D$77+1),0)/1000000),AK277)</f>
        <v>0</v>
      </c>
      <c r="AM277" s="123">
        <f t="shared" si="139"/>
        <v>0</v>
      </c>
      <c r="AN277" s="123">
        <f t="shared" si="139"/>
        <v>0</v>
      </c>
      <c r="AO277" s="123">
        <f t="shared" si="139"/>
        <v>0</v>
      </c>
      <c r="AP277" s="123">
        <f t="shared" si="139"/>
        <v>0</v>
      </c>
      <c r="AQ277" s="123">
        <f t="shared" si="139"/>
        <v>0</v>
      </c>
      <c r="AR277" s="123">
        <f t="shared" si="139"/>
        <v>0</v>
      </c>
      <c r="AS277" s="123">
        <f t="shared" si="139"/>
        <v>0</v>
      </c>
      <c r="AT277" s="123">
        <f t="shared" si="139"/>
        <v>0</v>
      </c>
      <c r="AU277" s="123">
        <f t="shared" si="139"/>
        <v>0</v>
      </c>
      <c r="AV277" s="123">
        <f t="shared" si="139"/>
        <v>0</v>
      </c>
      <c r="AW277" s="123">
        <f t="shared" si="139"/>
        <v>0</v>
      </c>
      <c r="AX277" s="123">
        <f t="shared" si="139"/>
        <v>0</v>
      </c>
      <c r="AY277" s="123">
        <f t="shared" si="139"/>
        <v>0</v>
      </c>
      <c r="AZ277" s="123">
        <f t="shared" si="139"/>
        <v>0</v>
      </c>
      <c r="BA277" s="123">
        <f t="shared" si="139"/>
        <v>0</v>
      </c>
      <c r="BB277" s="123">
        <f t="shared" si="139"/>
        <v>0</v>
      </c>
      <c r="BC277" s="123">
        <f t="shared" si="139"/>
        <v>0</v>
      </c>
      <c r="BD277" s="123">
        <f t="shared" si="139"/>
        <v>0</v>
      </c>
      <c r="BE277" s="123">
        <f t="shared" si="139"/>
        <v>0</v>
      </c>
      <c r="BF277" s="123">
        <f t="shared" si="139"/>
        <v>0</v>
      </c>
      <c r="BG277" s="123">
        <f t="shared" si="139"/>
        <v>0</v>
      </c>
      <c r="BH277" s="123">
        <f t="shared" si="139"/>
        <v>0</v>
      </c>
      <c r="BI277" s="123">
        <f t="shared" si="139"/>
        <v>0</v>
      </c>
      <c r="BJ277" s="123">
        <f t="shared" si="139"/>
        <v>0</v>
      </c>
      <c r="BK277" s="123">
        <f t="shared" si="139"/>
        <v>0</v>
      </c>
      <c r="BL277" s="123">
        <f t="shared" si="139"/>
        <v>0</v>
      </c>
      <c r="BM277" s="123">
        <f t="shared" si="139"/>
        <v>0</v>
      </c>
      <c r="BN277" s="159">
        <f t="shared" si="139"/>
        <v>0</v>
      </c>
      <c r="BP277" s="383" t="s">
        <v>863</v>
      </c>
      <c r="BQ277" s="1463" t="s">
        <v>1549</v>
      </c>
      <c r="BR277" s="1464"/>
      <c r="BS277" s="1464"/>
      <c r="BT277" s="1464"/>
      <c r="BU277" s="1464"/>
      <c r="BV277" s="1464"/>
      <c r="BW277" s="1464"/>
      <c r="BX277" s="1464"/>
      <c r="BY277" s="1464"/>
      <c r="BZ277" s="1464"/>
      <c r="CA277" s="1464"/>
      <c r="CB277" s="1464"/>
      <c r="CC277" s="1464"/>
      <c r="CD277" s="1464"/>
      <c r="CE277" s="1464"/>
      <c r="CF277" s="1464"/>
      <c r="CG277" s="1465"/>
      <c r="CH277" s="385" t="s">
        <v>1295</v>
      </c>
      <c r="CI277" s="385" t="s">
        <v>1247</v>
      </c>
    </row>
    <row r="278" spans="32:87" ht="20.100000000000001" customHeight="1">
      <c r="AF278" s="1551"/>
      <c r="AG278" s="107" t="s">
        <v>864</v>
      </c>
      <c r="AH278" s="131"/>
      <c r="AI278" s="107">
        <f>INDEX('DEFAULT DATA'!$WD$9:$WJ$41,START!$C$3,3)</f>
        <v>354</v>
      </c>
      <c r="AJ278" s="63">
        <f>INDEX('DEFAULT DATA'!$YR$9:$YY$41,START!$C$3,4)</f>
        <v>0</v>
      </c>
      <c r="AK278" s="53">
        <v>0</v>
      </c>
      <c r="AL278" s="123">
        <f t="shared" ref="AL278:BN278" si="140">IF(AND(AL$254&gt;($D$77+2020),AL$254&lt;($E$77+2022)),AK278+($AI$278*$AJ$278*((100-$F$77)/100)*ROUND($B$77/($E$77-$D$77+1),0)/1000000),AK278)</f>
        <v>0</v>
      </c>
      <c r="AM278" s="123">
        <f t="shared" si="140"/>
        <v>0</v>
      </c>
      <c r="AN278" s="123">
        <f t="shared" si="140"/>
        <v>0</v>
      </c>
      <c r="AO278" s="123">
        <f t="shared" si="140"/>
        <v>0</v>
      </c>
      <c r="AP278" s="123">
        <f t="shared" si="140"/>
        <v>0</v>
      </c>
      <c r="AQ278" s="123">
        <f t="shared" si="140"/>
        <v>0</v>
      </c>
      <c r="AR278" s="123">
        <f t="shared" si="140"/>
        <v>0</v>
      </c>
      <c r="AS278" s="123">
        <f t="shared" si="140"/>
        <v>0</v>
      </c>
      <c r="AT278" s="123">
        <f t="shared" si="140"/>
        <v>0</v>
      </c>
      <c r="AU278" s="123">
        <f t="shared" si="140"/>
        <v>0</v>
      </c>
      <c r="AV278" s="123">
        <f t="shared" si="140"/>
        <v>0</v>
      </c>
      <c r="AW278" s="123">
        <f t="shared" si="140"/>
        <v>0</v>
      </c>
      <c r="AX278" s="123">
        <f t="shared" si="140"/>
        <v>0</v>
      </c>
      <c r="AY278" s="123">
        <f t="shared" si="140"/>
        <v>0</v>
      </c>
      <c r="AZ278" s="123">
        <f t="shared" si="140"/>
        <v>0</v>
      </c>
      <c r="BA278" s="123">
        <f t="shared" si="140"/>
        <v>0</v>
      </c>
      <c r="BB278" s="123">
        <f t="shared" si="140"/>
        <v>0</v>
      </c>
      <c r="BC278" s="123">
        <f t="shared" si="140"/>
        <v>0</v>
      </c>
      <c r="BD278" s="123">
        <f t="shared" si="140"/>
        <v>0</v>
      </c>
      <c r="BE278" s="123">
        <f t="shared" si="140"/>
        <v>0</v>
      </c>
      <c r="BF278" s="123">
        <f t="shared" si="140"/>
        <v>0</v>
      </c>
      <c r="BG278" s="123">
        <f t="shared" si="140"/>
        <v>0</v>
      </c>
      <c r="BH278" s="123">
        <f t="shared" si="140"/>
        <v>0</v>
      </c>
      <c r="BI278" s="123">
        <f t="shared" si="140"/>
        <v>0</v>
      </c>
      <c r="BJ278" s="123">
        <f t="shared" si="140"/>
        <v>0</v>
      </c>
      <c r="BK278" s="123">
        <f t="shared" si="140"/>
        <v>0</v>
      </c>
      <c r="BL278" s="123">
        <f t="shared" si="140"/>
        <v>0</v>
      </c>
      <c r="BM278" s="123">
        <f t="shared" si="140"/>
        <v>0</v>
      </c>
      <c r="BN278" s="159">
        <f t="shared" si="140"/>
        <v>0</v>
      </c>
      <c r="BP278" s="383" t="s">
        <v>864</v>
      </c>
      <c r="BQ278" s="1463" t="s">
        <v>1550</v>
      </c>
      <c r="BR278" s="1464"/>
      <c r="BS278" s="1464"/>
      <c r="BT278" s="1464"/>
      <c r="BU278" s="1464"/>
      <c r="BV278" s="1464"/>
      <c r="BW278" s="1464"/>
      <c r="BX278" s="1464"/>
      <c r="BY278" s="1464"/>
      <c r="BZ278" s="1464"/>
      <c r="CA278" s="1464"/>
      <c r="CB278" s="1464"/>
      <c r="CC278" s="1464"/>
      <c r="CD278" s="1464"/>
      <c r="CE278" s="1464"/>
      <c r="CF278" s="1464"/>
      <c r="CG278" s="1465"/>
      <c r="CH278" s="385" t="s">
        <v>1296</v>
      </c>
      <c r="CI278" s="385" t="s">
        <v>1248</v>
      </c>
    </row>
    <row r="279" spans="32:87" ht="20.100000000000001" customHeight="1">
      <c r="AF279" s="1551"/>
      <c r="AG279" s="107" t="s">
        <v>865</v>
      </c>
      <c r="AH279" s="131"/>
      <c r="AI279" s="107">
        <f>INDEX('DEFAULT DATA'!$WD$9:$WJ$41,START!$C$3,4)</f>
        <v>382</v>
      </c>
      <c r="AJ279" s="63">
        <f>INDEX('DEFAULT DATA'!$YR$9:$YY$41,START!$C$3,5)</f>
        <v>0</v>
      </c>
      <c r="AK279" s="53">
        <v>0</v>
      </c>
      <c r="AL279" s="123">
        <f t="shared" ref="AL279:BN279" si="141">IF(AND(AL$254&gt;($D$77+2020),AL$254&lt;($E$77+2022)),AK279+($AI$279*$AJ$279*((100-$F$77)/100)*ROUND($B$77/($E$77-$D$77+1),0)/1000000),AK279)</f>
        <v>0</v>
      </c>
      <c r="AM279" s="123">
        <f t="shared" si="141"/>
        <v>0</v>
      </c>
      <c r="AN279" s="123">
        <f t="shared" si="141"/>
        <v>0</v>
      </c>
      <c r="AO279" s="123">
        <f t="shared" si="141"/>
        <v>0</v>
      </c>
      <c r="AP279" s="123">
        <f t="shared" si="141"/>
        <v>0</v>
      </c>
      <c r="AQ279" s="123">
        <f t="shared" si="141"/>
        <v>0</v>
      </c>
      <c r="AR279" s="123">
        <f t="shared" si="141"/>
        <v>0</v>
      </c>
      <c r="AS279" s="123">
        <f t="shared" si="141"/>
        <v>0</v>
      </c>
      <c r="AT279" s="123">
        <f t="shared" si="141"/>
        <v>0</v>
      </c>
      <c r="AU279" s="123">
        <f t="shared" si="141"/>
        <v>0</v>
      </c>
      <c r="AV279" s="123">
        <f t="shared" si="141"/>
        <v>0</v>
      </c>
      <c r="AW279" s="123">
        <f t="shared" si="141"/>
        <v>0</v>
      </c>
      <c r="AX279" s="123">
        <f t="shared" si="141"/>
        <v>0</v>
      </c>
      <c r="AY279" s="123">
        <f t="shared" si="141"/>
        <v>0</v>
      </c>
      <c r="AZ279" s="123">
        <f t="shared" si="141"/>
        <v>0</v>
      </c>
      <c r="BA279" s="123">
        <f t="shared" si="141"/>
        <v>0</v>
      </c>
      <c r="BB279" s="123">
        <f t="shared" si="141"/>
        <v>0</v>
      </c>
      <c r="BC279" s="123">
        <f t="shared" si="141"/>
        <v>0</v>
      </c>
      <c r="BD279" s="123">
        <f t="shared" si="141"/>
        <v>0</v>
      </c>
      <c r="BE279" s="123">
        <f t="shared" si="141"/>
        <v>0</v>
      </c>
      <c r="BF279" s="123">
        <f t="shared" si="141"/>
        <v>0</v>
      </c>
      <c r="BG279" s="123">
        <f t="shared" si="141"/>
        <v>0</v>
      </c>
      <c r="BH279" s="123">
        <f t="shared" si="141"/>
        <v>0</v>
      </c>
      <c r="BI279" s="123">
        <f t="shared" si="141"/>
        <v>0</v>
      </c>
      <c r="BJ279" s="123">
        <f t="shared" si="141"/>
        <v>0</v>
      </c>
      <c r="BK279" s="123">
        <f t="shared" si="141"/>
        <v>0</v>
      </c>
      <c r="BL279" s="123">
        <f t="shared" si="141"/>
        <v>0</v>
      </c>
      <c r="BM279" s="123">
        <f t="shared" si="141"/>
        <v>0</v>
      </c>
      <c r="BN279" s="159">
        <f t="shared" si="141"/>
        <v>0</v>
      </c>
      <c r="BP279" s="383" t="s">
        <v>865</v>
      </c>
      <c r="BQ279" s="1463" t="s">
        <v>1551</v>
      </c>
      <c r="BR279" s="1464"/>
      <c r="BS279" s="1464"/>
      <c r="BT279" s="1464"/>
      <c r="BU279" s="1464"/>
      <c r="BV279" s="1464"/>
      <c r="BW279" s="1464"/>
      <c r="BX279" s="1464"/>
      <c r="BY279" s="1464"/>
      <c r="BZ279" s="1464"/>
      <c r="CA279" s="1464"/>
      <c r="CB279" s="1464"/>
      <c r="CC279" s="1464"/>
      <c r="CD279" s="1464"/>
      <c r="CE279" s="1464"/>
      <c r="CF279" s="1464"/>
      <c r="CG279" s="1465"/>
      <c r="CH279" s="385" t="s">
        <v>1297</v>
      </c>
      <c r="CI279" s="385" t="s">
        <v>1249</v>
      </c>
    </row>
    <row r="280" spans="32:87" ht="20.100000000000001" customHeight="1">
      <c r="AF280" s="1551"/>
      <c r="AG280" s="107" t="s">
        <v>866</v>
      </c>
      <c r="AH280" s="131"/>
      <c r="AI280" s="107">
        <f>INDEX('DEFAULT DATA'!$WD$9:$WJ$41,START!$C$3,5)</f>
        <v>403</v>
      </c>
      <c r="AJ280" s="63">
        <f>INDEX('DEFAULT DATA'!$YR$9:$YY$41,START!$C$3,6)</f>
        <v>0</v>
      </c>
      <c r="AK280" s="53">
        <v>0</v>
      </c>
      <c r="AL280" s="123">
        <f t="shared" ref="AL280:BN280" si="142">IF(AND(AL$254&gt;($D$77+2020),AL$254&lt;($E$77+2022)),AK280+($AI$280*$AJ$280*((100-$F$77)/100)*ROUND($B$77/($E$77-$D$77+1),0)/1000000),AK280)</f>
        <v>0</v>
      </c>
      <c r="AM280" s="123">
        <f t="shared" si="142"/>
        <v>0</v>
      </c>
      <c r="AN280" s="123">
        <f t="shared" si="142"/>
        <v>0</v>
      </c>
      <c r="AO280" s="123">
        <f t="shared" si="142"/>
        <v>0</v>
      </c>
      <c r="AP280" s="123">
        <f t="shared" si="142"/>
        <v>0</v>
      </c>
      <c r="AQ280" s="123">
        <f t="shared" si="142"/>
        <v>0</v>
      </c>
      <c r="AR280" s="123">
        <f t="shared" si="142"/>
        <v>0</v>
      </c>
      <c r="AS280" s="123">
        <f t="shared" si="142"/>
        <v>0</v>
      </c>
      <c r="AT280" s="123">
        <f t="shared" si="142"/>
        <v>0</v>
      </c>
      <c r="AU280" s="123">
        <f t="shared" si="142"/>
        <v>0</v>
      </c>
      <c r="AV280" s="123">
        <f t="shared" si="142"/>
        <v>0</v>
      </c>
      <c r="AW280" s="123">
        <f t="shared" si="142"/>
        <v>0</v>
      </c>
      <c r="AX280" s="123">
        <f t="shared" si="142"/>
        <v>0</v>
      </c>
      <c r="AY280" s="123">
        <f t="shared" si="142"/>
        <v>0</v>
      </c>
      <c r="AZ280" s="123">
        <f t="shared" si="142"/>
        <v>0</v>
      </c>
      <c r="BA280" s="123">
        <f t="shared" si="142"/>
        <v>0</v>
      </c>
      <c r="BB280" s="123">
        <f t="shared" si="142"/>
        <v>0</v>
      </c>
      <c r="BC280" s="123">
        <f t="shared" si="142"/>
        <v>0</v>
      </c>
      <c r="BD280" s="123">
        <f t="shared" si="142"/>
        <v>0</v>
      </c>
      <c r="BE280" s="123">
        <f t="shared" si="142"/>
        <v>0</v>
      </c>
      <c r="BF280" s="123">
        <f t="shared" si="142"/>
        <v>0</v>
      </c>
      <c r="BG280" s="123">
        <f t="shared" si="142"/>
        <v>0</v>
      </c>
      <c r="BH280" s="123">
        <f t="shared" si="142"/>
        <v>0</v>
      </c>
      <c r="BI280" s="123">
        <f t="shared" si="142"/>
        <v>0</v>
      </c>
      <c r="BJ280" s="123">
        <f t="shared" si="142"/>
        <v>0</v>
      </c>
      <c r="BK280" s="123">
        <f t="shared" si="142"/>
        <v>0</v>
      </c>
      <c r="BL280" s="123">
        <f t="shared" si="142"/>
        <v>0</v>
      </c>
      <c r="BM280" s="123">
        <f t="shared" si="142"/>
        <v>0</v>
      </c>
      <c r="BN280" s="159">
        <f t="shared" si="142"/>
        <v>0</v>
      </c>
      <c r="BP280" s="383" t="s">
        <v>866</v>
      </c>
      <c r="BQ280" s="1463" t="s">
        <v>1552</v>
      </c>
      <c r="BR280" s="1464"/>
      <c r="BS280" s="1464"/>
      <c r="BT280" s="1464"/>
      <c r="BU280" s="1464"/>
      <c r="BV280" s="1464"/>
      <c r="BW280" s="1464"/>
      <c r="BX280" s="1464"/>
      <c r="BY280" s="1464"/>
      <c r="BZ280" s="1464"/>
      <c r="CA280" s="1464"/>
      <c r="CB280" s="1464"/>
      <c r="CC280" s="1464"/>
      <c r="CD280" s="1464"/>
      <c r="CE280" s="1464"/>
      <c r="CF280" s="1464"/>
      <c r="CG280" s="1465"/>
      <c r="CH280" s="385" t="s">
        <v>1298</v>
      </c>
      <c r="CI280" s="385" t="s">
        <v>1250</v>
      </c>
    </row>
    <row r="281" spans="32:87" ht="20.100000000000001" customHeight="1">
      <c r="AF281" s="1551"/>
      <c r="AG281" s="107" t="s">
        <v>867</v>
      </c>
      <c r="AH281" s="131"/>
      <c r="AI281" s="107">
        <f>INDEX('DEFAULT DATA'!$WD$9:$WJ$41,START!$C$3,6)</f>
        <v>0</v>
      </c>
      <c r="AJ281" s="63">
        <f>INDEX('DEFAULT DATA'!$YR$9:$YY$41,START!$C$3,7)</f>
        <v>1736.7497874554833</v>
      </c>
      <c r="AK281" s="53">
        <v>0</v>
      </c>
      <c r="AL281" s="123">
        <f t="shared" ref="AL281:BN281" si="143">IF(AND(AL$254&gt;($D$77+2020),AL$254&lt;($E$77+2022)),AK281+($AI$281*$AJ$281*((100-$F$77)/100)*ROUND($B$77/($E$77-$D$77+1),0)/1000000),AK281)</f>
        <v>0</v>
      </c>
      <c r="AM281" s="123">
        <f t="shared" si="143"/>
        <v>0</v>
      </c>
      <c r="AN281" s="123">
        <f t="shared" si="143"/>
        <v>0</v>
      </c>
      <c r="AO281" s="123">
        <f t="shared" si="143"/>
        <v>0</v>
      </c>
      <c r="AP281" s="123">
        <f t="shared" si="143"/>
        <v>0</v>
      </c>
      <c r="AQ281" s="123">
        <f t="shared" si="143"/>
        <v>0</v>
      </c>
      <c r="AR281" s="123">
        <f t="shared" si="143"/>
        <v>0</v>
      </c>
      <c r="AS281" s="123">
        <f t="shared" si="143"/>
        <v>0</v>
      </c>
      <c r="AT281" s="123">
        <f t="shared" si="143"/>
        <v>0</v>
      </c>
      <c r="AU281" s="123">
        <f t="shared" si="143"/>
        <v>0</v>
      </c>
      <c r="AV281" s="123">
        <f t="shared" si="143"/>
        <v>0</v>
      </c>
      <c r="AW281" s="123">
        <f t="shared" si="143"/>
        <v>0</v>
      </c>
      <c r="AX281" s="123">
        <f t="shared" si="143"/>
        <v>0</v>
      </c>
      <c r="AY281" s="123">
        <f t="shared" si="143"/>
        <v>0</v>
      </c>
      <c r="AZ281" s="123">
        <f t="shared" si="143"/>
        <v>0</v>
      </c>
      <c r="BA281" s="123">
        <f t="shared" si="143"/>
        <v>0</v>
      </c>
      <c r="BB281" s="123">
        <f t="shared" si="143"/>
        <v>0</v>
      </c>
      <c r="BC281" s="123">
        <f t="shared" si="143"/>
        <v>0</v>
      </c>
      <c r="BD281" s="123">
        <f t="shared" si="143"/>
        <v>0</v>
      </c>
      <c r="BE281" s="123">
        <f t="shared" si="143"/>
        <v>0</v>
      </c>
      <c r="BF281" s="123">
        <f t="shared" si="143"/>
        <v>0</v>
      </c>
      <c r="BG281" s="123">
        <f t="shared" si="143"/>
        <v>0</v>
      </c>
      <c r="BH281" s="123">
        <f t="shared" si="143"/>
        <v>0</v>
      </c>
      <c r="BI281" s="123">
        <f t="shared" si="143"/>
        <v>0</v>
      </c>
      <c r="BJ281" s="123">
        <f t="shared" si="143"/>
        <v>0</v>
      </c>
      <c r="BK281" s="123">
        <f t="shared" si="143"/>
        <v>0</v>
      </c>
      <c r="BL281" s="123">
        <f t="shared" si="143"/>
        <v>0</v>
      </c>
      <c r="BM281" s="123">
        <f t="shared" si="143"/>
        <v>0</v>
      </c>
      <c r="BN281" s="159">
        <f t="shared" si="143"/>
        <v>0</v>
      </c>
      <c r="BP281" s="383" t="s">
        <v>867</v>
      </c>
      <c r="BQ281" s="1463" t="s">
        <v>1553</v>
      </c>
      <c r="BR281" s="1464"/>
      <c r="BS281" s="1464"/>
      <c r="BT281" s="1464"/>
      <c r="BU281" s="1464"/>
      <c r="BV281" s="1464"/>
      <c r="BW281" s="1464"/>
      <c r="BX281" s="1464"/>
      <c r="BY281" s="1464"/>
      <c r="BZ281" s="1464"/>
      <c r="CA281" s="1464"/>
      <c r="CB281" s="1464"/>
      <c r="CC281" s="1464"/>
      <c r="CD281" s="1464"/>
      <c r="CE281" s="1464"/>
      <c r="CF281" s="1464"/>
      <c r="CG281" s="1465"/>
      <c r="CH281" s="385" t="s">
        <v>1299</v>
      </c>
      <c r="CI281" s="385" t="s">
        <v>1251</v>
      </c>
    </row>
    <row r="282" spans="32:87" ht="20.100000000000001" customHeight="1" thickBot="1">
      <c r="AF282" s="1552"/>
      <c r="AG282" s="146" t="s">
        <v>868</v>
      </c>
      <c r="AH282" s="139"/>
      <c r="AI282" s="146" t="s">
        <v>1123</v>
      </c>
      <c r="AJ282" s="113">
        <f>INDEX('DEFAULT DATA'!$YR$9:$YY$41,START!$C$3,8)</f>
        <v>434.18744686387083</v>
      </c>
      <c r="AK282" s="54">
        <v>0</v>
      </c>
      <c r="AL282" s="160">
        <f t="shared" ref="AL282:BN282" si="144">IF(AND(AL$254&gt;($D$77+2020),AL$254&lt;($E$77+2022)),AK282+(AL$6*$AJ$282*((100-$F$77)/100)*ROUND($B$77/($E$77-$D$77+1),0)/1000000),AK282)</f>
        <v>0</v>
      </c>
      <c r="AM282" s="160">
        <f t="shared" si="144"/>
        <v>0</v>
      </c>
      <c r="AN282" s="160">
        <f t="shared" si="144"/>
        <v>0</v>
      </c>
      <c r="AO282" s="160">
        <f t="shared" si="144"/>
        <v>0</v>
      </c>
      <c r="AP282" s="160">
        <f t="shared" si="144"/>
        <v>0</v>
      </c>
      <c r="AQ282" s="160">
        <f t="shared" si="144"/>
        <v>0</v>
      </c>
      <c r="AR282" s="160">
        <f t="shared" si="144"/>
        <v>0</v>
      </c>
      <c r="AS282" s="160">
        <f t="shared" si="144"/>
        <v>0</v>
      </c>
      <c r="AT282" s="160">
        <f t="shared" si="144"/>
        <v>0</v>
      </c>
      <c r="AU282" s="160">
        <f t="shared" si="144"/>
        <v>0</v>
      </c>
      <c r="AV282" s="160">
        <f t="shared" si="144"/>
        <v>0</v>
      </c>
      <c r="AW282" s="160">
        <f t="shared" si="144"/>
        <v>0</v>
      </c>
      <c r="AX282" s="160">
        <f t="shared" si="144"/>
        <v>0</v>
      </c>
      <c r="AY282" s="160">
        <f t="shared" si="144"/>
        <v>0</v>
      </c>
      <c r="AZ282" s="160">
        <f t="shared" si="144"/>
        <v>0</v>
      </c>
      <c r="BA282" s="160">
        <f t="shared" si="144"/>
        <v>0</v>
      </c>
      <c r="BB282" s="160">
        <f t="shared" si="144"/>
        <v>0</v>
      </c>
      <c r="BC282" s="160">
        <f t="shared" si="144"/>
        <v>0</v>
      </c>
      <c r="BD282" s="160">
        <f t="shared" si="144"/>
        <v>0</v>
      </c>
      <c r="BE282" s="160">
        <f t="shared" si="144"/>
        <v>0</v>
      </c>
      <c r="BF282" s="160">
        <f t="shared" si="144"/>
        <v>0</v>
      </c>
      <c r="BG282" s="160">
        <f t="shared" si="144"/>
        <v>0</v>
      </c>
      <c r="BH282" s="160">
        <f t="shared" si="144"/>
        <v>0</v>
      </c>
      <c r="BI282" s="160">
        <f t="shared" si="144"/>
        <v>0</v>
      </c>
      <c r="BJ282" s="160">
        <f t="shared" si="144"/>
        <v>0</v>
      </c>
      <c r="BK282" s="160">
        <f t="shared" si="144"/>
        <v>0</v>
      </c>
      <c r="BL282" s="160">
        <f t="shared" si="144"/>
        <v>0</v>
      </c>
      <c r="BM282" s="160">
        <f t="shared" si="144"/>
        <v>0</v>
      </c>
      <c r="BN282" s="161">
        <f t="shared" si="144"/>
        <v>0</v>
      </c>
      <c r="BP282" s="383" t="s">
        <v>868</v>
      </c>
      <c r="BQ282" s="1463" t="s">
        <v>1554</v>
      </c>
      <c r="BR282" s="1464"/>
      <c r="BS282" s="1464"/>
      <c r="BT282" s="1464"/>
      <c r="BU282" s="1464"/>
      <c r="BV282" s="1464"/>
      <c r="BW282" s="1464"/>
      <c r="BX282" s="1464"/>
      <c r="BY282" s="1464"/>
      <c r="BZ282" s="1464"/>
      <c r="CA282" s="1464"/>
      <c r="CB282" s="1464"/>
      <c r="CC282" s="1464"/>
      <c r="CD282" s="1464"/>
      <c r="CE282" s="1464"/>
      <c r="CF282" s="1464"/>
      <c r="CG282" s="1465"/>
      <c r="CH282" s="385" t="s">
        <v>1300</v>
      </c>
      <c r="CI282" s="385" t="s">
        <v>1508</v>
      </c>
    </row>
    <row r="283" spans="32:87" ht="20.100000000000001" customHeight="1">
      <c r="AF283" s="140"/>
      <c r="AG283" s="136" t="s">
        <v>1082</v>
      </c>
      <c r="AH283" s="136"/>
      <c r="AI283" s="136"/>
      <c r="AJ283" s="136"/>
      <c r="AK283" s="173">
        <f>SUM(AK275:AK282)</f>
        <v>0</v>
      </c>
      <c r="AL283" s="162">
        <f>SUM(AL275:AL282)</f>
        <v>0</v>
      </c>
      <c r="AM283" s="162">
        <f t="shared" ref="AM283:BN283" si="145">SUM(AM275:AM282)</f>
        <v>0</v>
      </c>
      <c r="AN283" s="162">
        <f t="shared" si="145"/>
        <v>0</v>
      </c>
      <c r="AO283" s="162">
        <f t="shared" si="145"/>
        <v>0</v>
      </c>
      <c r="AP283" s="162">
        <f t="shared" si="145"/>
        <v>0</v>
      </c>
      <c r="AQ283" s="162">
        <f t="shared" si="145"/>
        <v>0</v>
      </c>
      <c r="AR283" s="162">
        <f t="shared" si="145"/>
        <v>0</v>
      </c>
      <c r="AS283" s="162">
        <f t="shared" si="145"/>
        <v>0</v>
      </c>
      <c r="AT283" s="162">
        <f t="shared" si="145"/>
        <v>0</v>
      </c>
      <c r="AU283" s="162">
        <f t="shared" si="145"/>
        <v>0</v>
      </c>
      <c r="AV283" s="162">
        <f t="shared" si="145"/>
        <v>0</v>
      </c>
      <c r="AW283" s="162">
        <f t="shared" si="145"/>
        <v>0</v>
      </c>
      <c r="AX283" s="162">
        <f t="shared" si="145"/>
        <v>0</v>
      </c>
      <c r="AY283" s="162">
        <f t="shared" si="145"/>
        <v>0</v>
      </c>
      <c r="AZ283" s="162">
        <f t="shared" si="145"/>
        <v>0</v>
      </c>
      <c r="BA283" s="162">
        <f t="shared" si="145"/>
        <v>0</v>
      </c>
      <c r="BB283" s="162">
        <f t="shared" si="145"/>
        <v>0</v>
      </c>
      <c r="BC283" s="162">
        <f t="shared" si="145"/>
        <v>0</v>
      </c>
      <c r="BD283" s="162">
        <f t="shared" si="145"/>
        <v>0</v>
      </c>
      <c r="BE283" s="162">
        <f t="shared" si="145"/>
        <v>0</v>
      </c>
      <c r="BF283" s="162">
        <f t="shared" si="145"/>
        <v>0</v>
      </c>
      <c r="BG283" s="162">
        <f t="shared" si="145"/>
        <v>0</v>
      </c>
      <c r="BH283" s="162">
        <f t="shared" si="145"/>
        <v>0</v>
      </c>
      <c r="BI283" s="162">
        <f t="shared" si="145"/>
        <v>0</v>
      </c>
      <c r="BJ283" s="162">
        <f t="shared" si="145"/>
        <v>0</v>
      </c>
      <c r="BK283" s="162">
        <f t="shared" si="145"/>
        <v>0</v>
      </c>
      <c r="BL283" s="162">
        <f t="shared" si="145"/>
        <v>0</v>
      </c>
      <c r="BM283" s="162">
        <f t="shared" si="145"/>
        <v>0</v>
      </c>
      <c r="BN283" s="162">
        <f t="shared" si="145"/>
        <v>0</v>
      </c>
    </row>
    <row r="284" spans="32:87" ht="20.100000000000001" customHeight="1" thickBot="1">
      <c r="AK284" s="171"/>
      <c r="BP284" s="3" t="s">
        <v>1371</v>
      </c>
      <c r="CH284" s="386" t="s">
        <v>1218</v>
      </c>
      <c r="CI284" s="6" t="s">
        <v>1224</v>
      </c>
    </row>
    <row r="285" spans="32:87" ht="20.100000000000001" customHeight="1">
      <c r="AF285" s="1550" t="str">
        <f>AF223</f>
        <v>Detached</v>
      </c>
      <c r="AG285" s="137" t="s">
        <v>578</v>
      </c>
      <c r="AH285" s="138"/>
      <c r="AI285" s="137" t="s">
        <v>1122</v>
      </c>
      <c r="AJ285" s="148">
        <f>INDEX('DEFAULT DATA'!$YZ$9:$ZG$41,START!$C$3,1)</f>
        <v>933.89772661810787</v>
      </c>
      <c r="AK285" s="173">
        <v>0</v>
      </c>
      <c r="AL285" s="163">
        <f t="shared" ref="AL285:BN285" si="146">IF(AND(AL$254&gt;($D$78+2020),AL$254&lt;($E$78+2022)),AK285+(AL$5*$AJ$285*((100-$F$78)/100)*ROUND($B$78/($E$78-$D$78+1),0)/1000000),AK285)</f>
        <v>0</v>
      </c>
      <c r="AM285" s="163">
        <f t="shared" si="146"/>
        <v>0</v>
      </c>
      <c r="AN285" s="163">
        <f t="shared" si="146"/>
        <v>0</v>
      </c>
      <c r="AO285" s="163">
        <f t="shared" si="146"/>
        <v>0</v>
      </c>
      <c r="AP285" s="163">
        <f t="shared" si="146"/>
        <v>0</v>
      </c>
      <c r="AQ285" s="163">
        <f t="shared" si="146"/>
        <v>0</v>
      </c>
      <c r="AR285" s="163">
        <f t="shared" si="146"/>
        <v>0</v>
      </c>
      <c r="AS285" s="163">
        <f t="shared" si="146"/>
        <v>0</v>
      </c>
      <c r="AT285" s="163">
        <f t="shared" si="146"/>
        <v>0</v>
      </c>
      <c r="AU285" s="163">
        <f t="shared" si="146"/>
        <v>0</v>
      </c>
      <c r="AV285" s="163">
        <f t="shared" si="146"/>
        <v>0</v>
      </c>
      <c r="AW285" s="163">
        <f t="shared" si="146"/>
        <v>0</v>
      </c>
      <c r="AX285" s="163">
        <f t="shared" si="146"/>
        <v>0</v>
      </c>
      <c r="AY285" s="163">
        <f t="shared" si="146"/>
        <v>0</v>
      </c>
      <c r="AZ285" s="163">
        <f t="shared" si="146"/>
        <v>0</v>
      </c>
      <c r="BA285" s="163">
        <f t="shared" si="146"/>
        <v>0</v>
      </c>
      <c r="BB285" s="163">
        <f t="shared" si="146"/>
        <v>0</v>
      </c>
      <c r="BC285" s="163">
        <f t="shared" si="146"/>
        <v>0</v>
      </c>
      <c r="BD285" s="163">
        <f t="shared" si="146"/>
        <v>0</v>
      </c>
      <c r="BE285" s="163">
        <f t="shared" si="146"/>
        <v>0</v>
      </c>
      <c r="BF285" s="163">
        <f t="shared" si="146"/>
        <v>0</v>
      </c>
      <c r="BG285" s="163">
        <f t="shared" si="146"/>
        <v>0</v>
      </c>
      <c r="BH285" s="163">
        <f t="shared" si="146"/>
        <v>0</v>
      </c>
      <c r="BI285" s="163">
        <f t="shared" si="146"/>
        <v>0</v>
      </c>
      <c r="BJ285" s="163">
        <f t="shared" si="146"/>
        <v>0</v>
      </c>
      <c r="BK285" s="163">
        <f t="shared" si="146"/>
        <v>0</v>
      </c>
      <c r="BL285" s="163">
        <f t="shared" si="146"/>
        <v>0</v>
      </c>
      <c r="BM285" s="163">
        <f t="shared" si="146"/>
        <v>0</v>
      </c>
      <c r="BN285" s="164">
        <f t="shared" si="146"/>
        <v>0</v>
      </c>
      <c r="BP285" s="383" t="s">
        <v>578</v>
      </c>
      <c r="BQ285" s="1463" t="s">
        <v>1555</v>
      </c>
      <c r="BR285" s="1464"/>
      <c r="BS285" s="1464"/>
      <c r="BT285" s="1464"/>
      <c r="BU285" s="1464"/>
      <c r="BV285" s="1464"/>
      <c r="BW285" s="1464"/>
      <c r="BX285" s="1464"/>
      <c r="BY285" s="1464"/>
      <c r="BZ285" s="1464"/>
      <c r="CA285" s="1464"/>
      <c r="CB285" s="1464"/>
      <c r="CC285" s="1464"/>
      <c r="CD285" s="1464"/>
      <c r="CE285" s="1464"/>
      <c r="CF285" s="1464"/>
      <c r="CG285" s="1465"/>
      <c r="CH285" s="385" t="s">
        <v>1311</v>
      </c>
      <c r="CI285" s="385" t="s">
        <v>1507</v>
      </c>
    </row>
    <row r="286" spans="32:87" ht="20.100000000000001" customHeight="1">
      <c r="AF286" s="1551"/>
      <c r="AG286" s="107" t="s">
        <v>862</v>
      </c>
      <c r="AH286" s="131"/>
      <c r="AI286" s="107">
        <f>INDEX('DEFAULT DATA'!$WD$9:$WJ$41,START!$C$3,1)</f>
        <v>202</v>
      </c>
      <c r="AJ286" s="63">
        <f>INDEX('DEFAULT DATA'!$YZ$9:$ZG$41,START!$C$3,2)</f>
        <v>0</v>
      </c>
      <c r="AK286" s="53">
        <v>0</v>
      </c>
      <c r="AL286" s="123">
        <f t="shared" ref="AL286:BN286" si="147">IF(AND(AL$254&gt;($D$78+2020),AL$254&lt;($E$78+2022)),AK286+($AI$286*$AJ$286*((100-$F$78)/100)*ROUND($B$78/($E$78-$D$78+1),0)/1000000),AK286)</f>
        <v>0</v>
      </c>
      <c r="AM286" s="123">
        <f t="shared" si="147"/>
        <v>0</v>
      </c>
      <c r="AN286" s="123">
        <f t="shared" si="147"/>
        <v>0</v>
      </c>
      <c r="AO286" s="123">
        <f t="shared" si="147"/>
        <v>0</v>
      </c>
      <c r="AP286" s="123">
        <f t="shared" si="147"/>
        <v>0</v>
      </c>
      <c r="AQ286" s="123">
        <f t="shared" si="147"/>
        <v>0</v>
      </c>
      <c r="AR286" s="123">
        <f t="shared" si="147"/>
        <v>0</v>
      </c>
      <c r="AS286" s="123">
        <f t="shared" si="147"/>
        <v>0</v>
      </c>
      <c r="AT286" s="123">
        <f t="shared" si="147"/>
        <v>0</v>
      </c>
      <c r="AU286" s="123">
        <f t="shared" si="147"/>
        <v>0</v>
      </c>
      <c r="AV286" s="123">
        <f t="shared" si="147"/>
        <v>0</v>
      </c>
      <c r="AW286" s="123">
        <f t="shared" si="147"/>
        <v>0</v>
      </c>
      <c r="AX286" s="123">
        <f t="shared" si="147"/>
        <v>0</v>
      </c>
      <c r="AY286" s="123">
        <f t="shared" si="147"/>
        <v>0</v>
      </c>
      <c r="AZ286" s="123">
        <f t="shared" si="147"/>
        <v>0</v>
      </c>
      <c r="BA286" s="123">
        <f t="shared" si="147"/>
        <v>0</v>
      </c>
      <c r="BB286" s="123">
        <f t="shared" si="147"/>
        <v>0</v>
      </c>
      <c r="BC286" s="123">
        <f t="shared" si="147"/>
        <v>0</v>
      </c>
      <c r="BD286" s="123">
        <f t="shared" si="147"/>
        <v>0</v>
      </c>
      <c r="BE286" s="123">
        <f t="shared" si="147"/>
        <v>0</v>
      </c>
      <c r="BF286" s="123">
        <f t="shared" si="147"/>
        <v>0</v>
      </c>
      <c r="BG286" s="123">
        <f t="shared" si="147"/>
        <v>0</v>
      </c>
      <c r="BH286" s="123">
        <f t="shared" si="147"/>
        <v>0</v>
      </c>
      <c r="BI286" s="123">
        <f t="shared" si="147"/>
        <v>0</v>
      </c>
      <c r="BJ286" s="123">
        <f t="shared" si="147"/>
        <v>0</v>
      </c>
      <c r="BK286" s="123">
        <f t="shared" si="147"/>
        <v>0</v>
      </c>
      <c r="BL286" s="123">
        <f t="shared" si="147"/>
        <v>0</v>
      </c>
      <c r="BM286" s="123">
        <f t="shared" si="147"/>
        <v>0</v>
      </c>
      <c r="BN286" s="159">
        <f t="shared" si="147"/>
        <v>0</v>
      </c>
      <c r="BP286" s="383" t="s">
        <v>862</v>
      </c>
      <c r="BQ286" s="1463" t="s">
        <v>1556</v>
      </c>
      <c r="BR286" s="1464"/>
      <c r="BS286" s="1464"/>
      <c r="BT286" s="1464"/>
      <c r="BU286" s="1464"/>
      <c r="BV286" s="1464"/>
      <c r="BW286" s="1464"/>
      <c r="BX286" s="1464"/>
      <c r="BY286" s="1464"/>
      <c r="BZ286" s="1464"/>
      <c r="CA286" s="1464"/>
      <c r="CB286" s="1464"/>
      <c r="CC286" s="1464"/>
      <c r="CD286" s="1464"/>
      <c r="CE286" s="1464"/>
      <c r="CF286" s="1464"/>
      <c r="CG286" s="1465"/>
      <c r="CH286" s="385" t="s">
        <v>1320</v>
      </c>
      <c r="CI286" s="385" t="s">
        <v>886</v>
      </c>
    </row>
    <row r="287" spans="32:87" ht="20.100000000000001" customHeight="1">
      <c r="AF287" s="1551"/>
      <c r="AG287" s="107" t="s">
        <v>863</v>
      </c>
      <c r="AH287" s="131"/>
      <c r="AI287" s="107">
        <f>INDEX('DEFAULT DATA'!$WD$9:$WJ$41,START!$C$3,2)</f>
        <v>267</v>
      </c>
      <c r="AJ287" s="63">
        <f>INDEX('DEFAULT DATA'!$YZ$9:$ZG$41,START!$C$3,3)</f>
        <v>0</v>
      </c>
      <c r="AK287" s="53">
        <v>0</v>
      </c>
      <c r="AL287" s="123">
        <f t="shared" ref="AL287:BN287" si="148">IF(AND(AL$254&gt;($D$78+2020),AL$254&lt;($E$78+2022)),AK287+($AI$287*$AJ$287*((100-$F$78)/100)*ROUND($B$78/($E$78-$D$78+1),0)/1000000),AK287)</f>
        <v>0</v>
      </c>
      <c r="AM287" s="123">
        <f t="shared" si="148"/>
        <v>0</v>
      </c>
      <c r="AN287" s="123">
        <f t="shared" si="148"/>
        <v>0</v>
      </c>
      <c r="AO287" s="123">
        <f t="shared" si="148"/>
        <v>0</v>
      </c>
      <c r="AP287" s="123">
        <f t="shared" si="148"/>
        <v>0</v>
      </c>
      <c r="AQ287" s="123">
        <f t="shared" si="148"/>
        <v>0</v>
      </c>
      <c r="AR287" s="123">
        <f t="shared" si="148"/>
        <v>0</v>
      </c>
      <c r="AS287" s="123">
        <f t="shared" si="148"/>
        <v>0</v>
      </c>
      <c r="AT287" s="123">
        <f t="shared" si="148"/>
        <v>0</v>
      </c>
      <c r="AU287" s="123">
        <f t="shared" si="148"/>
        <v>0</v>
      </c>
      <c r="AV287" s="123">
        <f t="shared" si="148"/>
        <v>0</v>
      </c>
      <c r="AW287" s="123">
        <f t="shared" si="148"/>
        <v>0</v>
      </c>
      <c r="AX287" s="123">
        <f t="shared" si="148"/>
        <v>0</v>
      </c>
      <c r="AY287" s="123">
        <f t="shared" si="148"/>
        <v>0</v>
      </c>
      <c r="AZ287" s="123">
        <f t="shared" si="148"/>
        <v>0</v>
      </c>
      <c r="BA287" s="123">
        <f t="shared" si="148"/>
        <v>0</v>
      </c>
      <c r="BB287" s="123">
        <f t="shared" si="148"/>
        <v>0</v>
      </c>
      <c r="BC287" s="123">
        <f t="shared" si="148"/>
        <v>0</v>
      </c>
      <c r="BD287" s="123">
        <f t="shared" si="148"/>
        <v>0</v>
      </c>
      <c r="BE287" s="123">
        <f t="shared" si="148"/>
        <v>0</v>
      </c>
      <c r="BF287" s="123">
        <f t="shared" si="148"/>
        <v>0</v>
      </c>
      <c r="BG287" s="123">
        <f t="shared" si="148"/>
        <v>0</v>
      </c>
      <c r="BH287" s="123">
        <f t="shared" si="148"/>
        <v>0</v>
      </c>
      <c r="BI287" s="123">
        <f t="shared" si="148"/>
        <v>0</v>
      </c>
      <c r="BJ287" s="123">
        <f t="shared" si="148"/>
        <v>0</v>
      </c>
      <c r="BK287" s="123">
        <f t="shared" si="148"/>
        <v>0</v>
      </c>
      <c r="BL287" s="123">
        <f t="shared" si="148"/>
        <v>0</v>
      </c>
      <c r="BM287" s="123">
        <f t="shared" si="148"/>
        <v>0</v>
      </c>
      <c r="BN287" s="159">
        <f t="shared" si="148"/>
        <v>0</v>
      </c>
      <c r="BP287" s="383" t="s">
        <v>863</v>
      </c>
      <c r="BQ287" s="1463" t="s">
        <v>1557</v>
      </c>
      <c r="BR287" s="1464"/>
      <c r="BS287" s="1464"/>
      <c r="BT287" s="1464"/>
      <c r="BU287" s="1464"/>
      <c r="BV287" s="1464"/>
      <c r="BW287" s="1464"/>
      <c r="BX287" s="1464"/>
      <c r="BY287" s="1464"/>
      <c r="BZ287" s="1464"/>
      <c r="CA287" s="1464"/>
      <c r="CB287" s="1464"/>
      <c r="CC287" s="1464"/>
      <c r="CD287" s="1464"/>
      <c r="CE287" s="1464"/>
      <c r="CF287" s="1464"/>
      <c r="CG287" s="1465"/>
      <c r="CH287" s="385" t="s">
        <v>1321</v>
      </c>
      <c r="CI287" s="385" t="s">
        <v>1247</v>
      </c>
    </row>
    <row r="288" spans="32:87" ht="20.100000000000001" customHeight="1">
      <c r="AF288" s="1551"/>
      <c r="AG288" s="107" t="s">
        <v>864</v>
      </c>
      <c r="AH288" s="131"/>
      <c r="AI288" s="107">
        <f>INDEX('DEFAULT DATA'!$WD$9:$WJ$41,START!$C$3,3)</f>
        <v>354</v>
      </c>
      <c r="AJ288" s="63">
        <f>INDEX('DEFAULT DATA'!$YZ$9:$ZG$41,START!$C$3,4)</f>
        <v>0</v>
      </c>
      <c r="AK288" s="53">
        <v>0</v>
      </c>
      <c r="AL288" s="123">
        <f t="shared" ref="AL288:BN288" si="149">IF(AND(AL$254&gt;($D$78+2020),AL$254&lt;($E$78+2022)),AK288+($AI$288*$AJ$288*((100-$F$78)/100)*ROUND($B$78/($E$78-$D$78+1),0)/1000000),AK288)</f>
        <v>0</v>
      </c>
      <c r="AM288" s="123">
        <f t="shared" si="149"/>
        <v>0</v>
      </c>
      <c r="AN288" s="123">
        <f t="shared" si="149"/>
        <v>0</v>
      </c>
      <c r="AO288" s="123">
        <f t="shared" si="149"/>
        <v>0</v>
      </c>
      <c r="AP288" s="123">
        <f t="shared" si="149"/>
        <v>0</v>
      </c>
      <c r="AQ288" s="123">
        <f t="shared" si="149"/>
        <v>0</v>
      </c>
      <c r="AR288" s="123">
        <f t="shared" si="149"/>
        <v>0</v>
      </c>
      <c r="AS288" s="123">
        <f t="shared" si="149"/>
        <v>0</v>
      </c>
      <c r="AT288" s="123">
        <f t="shared" si="149"/>
        <v>0</v>
      </c>
      <c r="AU288" s="123">
        <f t="shared" si="149"/>
        <v>0</v>
      </c>
      <c r="AV288" s="123">
        <f t="shared" si="149"/>
        <v>0</v>
      </c>
      <c r="AW288" s="123">
        <f t="shared" si="149"/>
        <v>0</v>
      </c>
      <c r="AX288" s="123">
        <f t="shared" si="149"/>
        <v>0</v>
      </c>
      <c r="AY288" s="123">
        <f t="shared" si="149"/>
        <v>0</v>
      </c>
      <c r="AZ288" s="123">
        <f t="shared" si="149"/>
        <v>0</v>
      </c>
      <c r="BA288" s="123">
        <f t="shared" si="149"/>
        <v>0</v>
      </c>
      <c r="BB288" s="123">
        <f t="shared" si="149"/>
        <v>0</v>
      </c>
      <c r="BC288" s="123">
        <f t="shared" si="149"/>
        <v>0</v>
      </c>
      <c r="BD288" s="123">
        <f t="shared" si="149"/>
        <v>0</v>
      </c>
      <c r="BE288" s="123">
        <f t="shared" si="149"/>
        <v>0</v>
      </c>
      <c r="BF288" s="123">
        <f t="shared" si="149"/>
        <v>0</v>
      </c>
      <c r="BG288" s="123">
        <f t="shared" si="149"/>
        <v>0</v>
      </c>
      <c r="BH288" s="123">
        <f t="shared" si="149"/>
        <v>0</v>
      </c>
      <c r="BI288" s="123">
        <f t="shared" si="149"/>
        <v>0</v>
      </c>
      <c r="BJ288" s="123">
        <f t="shared" si="149"/>
        <v>0</v>
      </c>
      <c r="BK288" s="123">
        <f t="shared" si="149"/>
        <v>0</v>
      </c>
      <c r="BL288" s="123">
        <f t="shared" si="149"/>
        <v>0</v>
      </c>
      <c r="BM288" s="123">
        <f t="shared" si="149"/>
        <v>0</v>
      </c>
      <c r="BN288" s="159">
        <f t="shared" si="149"/>
        <v>0</v>
      </c>
      <c r="BP288" s="383" t="s">
        <v>864</v>
      </c>
      <c r="BQ288" s="1463" t="s">
        <v>1558</v>
      </c>
      <c r="BR288" s="1464"/>
      <c r="BS288" s="1464"/>
      <c r="BT288" s="1464"/>
      <c r="BU288" s="1464"/>
      <c r="BV288" s="1464"/>
      <c r="BW288" s="1464"/>
      <c r="BX288" s="1464"/>
      <c r="BY288" s="1464"/>
      <c r="BZ288" s="1464"/>
      <c r="CA288" s="1464"/>
      <c r="CB288" s="1464"/>
      <c r="CC288" s="1464"/>
      <c r="CD288" s="1464"/>
      <c r="CE288" s="1464"/>
      <c r="CF288" s="1464"/>
      <c r="CG288" s="1465"/>
      <c r="CH288" s="385" t="s">
        <v>1322</v>
      </c>
      <c r="CI288" s="385" t="s">
        <v>1248</v>
      </c>
    </row>
    <row r="289" spans="32:87" ht="20.100000000000001" customHeight="1">
      <c r="AF289" s="1551"/>
      <c r="AG289" s="107" t="s">
        <v>865</v>
      </c>
      <c r="AH289" s="131"/>
      <c r="AI289" s="107">
        <f>INDEX('DEFAULT DATA'!$WD$9:$WJ$41,START!$C$3,4)</f>
        <v>382</v>
      </c>
      <c r="AJ289" s="63">
        <f>INDEX('DEFAULT DATA'!$YZ$9:$ZG$41,START!$C$3,5)</f>
        <v>0</v>
      </c>
      <c r="AK289" s="53">
        <v>0</v>
      </c>
      <c r="AL289" s="123">
        <f t="shared" ref="AL289:BN289" si="150">IF(AND(AL$254&gt;($D$78+2020),AL$254&lt;($E$78+2022)),AK289+($AI$289*$AJ$289*((100-$F$78)/100)*ROUND($B$78/($E$78-$D$78+1),0)/1000000),AK289)</f>
        <v>0</v>
      </c>
      <c r="AM289" s="123">
        <f t="shared" si="150"/>
        <v>0</v>
      </c>
      <c r="AN289" s="123">
        <f t="shared" si="150"/>
        <v>0</v>
      </c>
      <c r="AO289" s="123">
        <f t="shared" si="150"/>
        <v>0</v>
      </c>
      <c r="AP289" s="123">
        <f t="shared" si="150"/>
        <v>0</v>
      </c>
      <c r="AQ289" s="123">
        <f t="shared" si="150"/>
        <v>0</v>
      </c>
      <c r="AR289" s="123">
        <f t="shared" si="150"/>
        <v>0</v>
      </c>
      <c r="AS289" s="123">
        <f t="shared" si="150"/>
        <v>0</v>
      </c>
      <c r="AT289" s="123">
        <f t="shared" si="150"/>
        <v>0</v>
      </c>
      <c r="AU289" s="123">
        <f t="shared" si="150"/>
        <v>0</v>
      </c>
      <c r="AV289" s="123">
        <f t="shared" si="150"/>
        <v>0</v>
      </c>
      <c r="AW289" s="123">
        <f t="shared" si="150"/>
        <v>0</v>
      </c>
      <c r="AX289" s="123">
        <f t="shared" si="150"/>
        <v>0</v>
      </c>
      <c r="AY289" s="123">
        <f t="shared" si="150"/>
        <v>0</v>
      </c>
      <c r="AZ289" s="123">
        <f t="shared" si="150"/>
        <v>0</v>
      </c>
      <c r="BA289" s="123">
        <f t="shared" si="150"/>
        <v>0</v>
      </c>
      <c r="BB289" s="123">
        <f t="shared" si="150"/>
        <v>0</v>
      </c>
      <c r="BC289" s="123">
        <f t="shared" si="150"/>
        <v>0</v>
      </c>
      <c r="BD289" s="123">
        <f t="shared" si="150"/>
        <v>0</v>
      </c>
      <c r="BE289" s="123">
        <f t="shared" si="150"/>
        <v>0</v>
      </c>
      <c r="BF289" s="123">
        <f t="shared" si="150"/>
        <v>0</v>
      </c>
      <c r="BG289" s="123">
        <f t="shared" si="150"/>
        <v>0</v>
      </c>
      <c r="BH289" s="123">
        <f t="shared" si="150"/>
        <v>0</v>
      </c>
      <c r="BI289" s="123">
        <f t="shared" si="150"/>
        <v>0</v>
      </c>
      <c r="BJ289" s="123">
        <f t="shared" si="150"/>
        <v>0</v>
      </c>
      <c r="BK289" s="123">
        <f t="shared" si="150"/>
        <v>0</v>
      </c>
      <c r="BL289" s="123">
        <f t="shared" si="150"/>
        <v>0</v>
      </c>
      <c r="BM289" s="123">
        <f t="shared" si="150"/>
        <v>0</v>
      </c>
      <c r="BN289" s="159">
        <f t="shared" si="150"/>
        <v>0</v>
      </c>
      <c r="BP289" s="383" t="s">
        <v>865</v>
      </c>
      <c r="BQ289" s="1463" t="s">
        <v>1559</v>
      </c>
      <c r="BR289" s="1464"/>
      <c r="BS289" s="1464"/>
      <c r="BT289" s="1464"/>
      <c r="BU289" s="1464"/>
      <c r="BV289" s="1464"/>
      <c r="BW289" s="1464"/>
      <c r="BX289" s="1464"/>
      <c r="BY289" s="1464"/>
      <c r="BZ289" s="1464"/>
      <c r="CA289" s="1464"/>
      <c r="CB289" s="1464"/>
      <c r="CC289" s="1464"/>
      <c r="CD289" s="1464"/>
      <c r="CE289" s="1464"/>
      <c r="CF289" s="1464"/>
      <c r="CG289" s="1465"/>
      <c r="CH289" s="385" t="s">
        <v>1323</v>
      </c>
      <c r="CI289" s="385" t="s">
        <v>1249</v>
      </c>
    </row>
    <row r="290" spans="32:87" ht="20.100000000000001" customHeight="1">
      <c r="AF290" s="1551"/>
      <c r="AG290" s="107" t="s">
        <v>866</v>
      </c>
      <c r="AH290" s="131"/>
      <c r="AI290" s="107">
        <f>INDEX('DEFAULT DATA'!$WD$9:$WJ$41,START!$C$3,5)</f>
        <v>403</v>
      </c>
      <c r="AJ290" s="63">
        <f>INDEX('DEFAULT DATA'!$YZ$9:$ZG$41,START!$C$3,6)</f>
        <v>0</v>
      </c>
      <c r="AK290" s="53">
        <v>0</v>
      </c>
      <c r="AL290" s="123">
        <f t="shared" ref="AL290:BN290" si="151">IF(AND(AL$254&gt;($D$78+2020),AL$254&lt;($E$78+2022)),AK290+($AI$290*$AJ$290*((100-$F$78)/100)*ROUND($B$78/($E$78-$D$78+1),0)/1000000),AK290)</f>
        <v>0</v>
      </c>
      <c r="AM290" s="123">
        <f t="shared" si="151"/>
        <v>0</v>
      </c>
      <c r="AN290" s="123">
        <f t="shared" si="151"/>
        <v>0</v>
      </c>
      <c r="AO290" s="123">
        <f t="shared" si="151"/>
        <v>0</v>
      </c>
      <c r="AP290" s="123">
        <f t="shared" si="151"/>
        <v>0</v>
      </c>
      <c r="AQ290" s="123">
        <f t="shared" si="151"/>
        <v>0</v>
      </c>
      <c r="AR290" s="123">
        <f t="shared" si="151"/>
        <v>0</v>
      </c>
      <c r="AS290" s="123">
        <f t="shared" si="151"/>
        <v>0</v>
      </c>
      <c r="AT290" s="123">
        <f t="shared" si="151"/>
        <v>0</v>
      </c>
      <c r="AU290" s="123">
        <f t="shared" si="151"/>
        <v>0</v>
      </c>
      <c r="AV290" s="123">
        <f t="shared" si="151"/>
        <v>0</v>
      </c>
      <c r="AW290" s="123">
        <f t="shared" si="151"/>
        <v>0</v>
      </c>
      <c r="AX290" s="123">
        <f t="shared" si="151"/>
        <v>0</v>
      </c>
      <c r="AY290" s="123">
        <f t="shared" si="151"/>
        <v>0</v>
      </c>
      <c r="AZ290" s="123">
        <f t="shared" si="151"/>
        <v>0</v>
      </c>
      <c r="BA290" s="123">
        <f t="shared" si="151"/>
        <v>0</v>
      </c>
      <c r="BB290" s="123">
        <f t="shared" si="151"/>
        <v>0</v>
      </c>
      <c r="BC290" s="123">
        <f t="shared" si="151"/>
        <v>0</v>
      </c>
      <c r="BD290" s="123">
        <f t="shared" si="151"/>
        <v>0</v>
      </c>
      <c r="BE290" s="123">
        <f t="shared" si="151"/>
        <v>0</v>
      </c>
      <c r="BF290" s="123">
        <f t="shared" si="151"/>
        <v>0</v>
      </c>
      <c r="BG290" s="123">
        <f t="shared" si="151"/>
        <v>0</v>
      </c>
      <c r="BH290" s="123">
        <f t="shared" si="151"/>
        <v>0</v>
      </c>
      <c r="BI290" s="123">
        <f t="shared" si="151"/>
        <v>0</v>
      </c>
      <c r="BJ290" s="123">
        <f t="shared" si="151"/>
        <v>0</v>
      </c>
      <c r="BK290" s="123">
        <f t="shared" si="151"/>
        <v>0</v>
      </c>
      <c r="BL290" s="123">
        <f t="shared" si="151"/>
        <v>0</v>
      </c>
      <c r="BM290" s="123">
        <f t="shared" si="151"/>
        <v>0</v>
      </c>
      <c r="BN290" s="159">
        <f t="shared" si="151"/>
        <v>0</v>
      </c>
      <c r="BP290" s="383" t="s">
        <v>866</v>
      </c>
      <c r="BQ290" s="1463" t="s">
        <v>1560</v>
      </c>
      <c r="BR290" s="1464"/>
      <c r="BS290" s="1464"/>
      <c r="BT290" s="1464"/>
      <c r="BU290" s="1464"/>
      <c r="BV290" s="1464"/>
      <c r="BW290" s="1464"/>
      <c r="BX290" s="1464"/>
      <c r="BY290" s="1464"/>
      <c r="BZ290" s="1464"/>
      <c r="CA290" s="1464"/>
      <c r="CB290" s="1464"/>
      <c r="CC290" s="1464"/>
      <c r="CD290" s="1464"/>
      <c r="CE290" s="1464"/>
      <c r="CF290" s="1464"/>
      <c r="CG290" s="1465"/>
      <c r="CH290" s="385" t="s">
        <v>1324</v>
      </c>
      <c r="CI290" s="385" t="s">
        <v>1250</v>
      </c>
    </row>
    <row r="291" spans="32:87" ht="20.100000000000001" customHeight="1">
      <c r="AF291" s="1551"/>
      <c r="AG291" s="107" t="s">
        <v>867</v>
      </c>
      <c r="AH291" s="131"/>
      <c r="AI291" s="107">
        <f>INDEX('DEFAULT DATA'!$WD$9:$WJ$41,START!$C$3,6)</f>
        <v>0</v>
      </c>
      <c r="AJ291" s="63">
        <f>INDEX('DEFAULT DATA'!$YZ$9:$ZG$41,START!$C$3,7)</f>
        <v>2668.2792189088791</v>
      </c>
      <c r="AK291" s="53">
        <v>0</v>
      </c>
      <c r="AL291" s="123">
        <f t="shared" ref="AL291:BN291" si="152">IF(AND(AL$254&gt;($D$78+2020),AL$254&lt;($E$78+2022)),AK291+($AI$291*$AJ$291*((100-$F$78)/100)*ROUND($B$78/($E$78-$D$78+1),0)/1000000),AK291)</f>
        <v>0</v>
      </c>
      <c r="AM291" s="123">
        <f t="shared" si="152"/>
        <v>0</v>
      </c>
      <c r="AN291" s="123">
        <f t="shared" si="152"/>
        <v>0</v>
      </c>
      <c r="AO291" s="123">
        <f t="shared" si="152"/>
        <v>0</v>
      </c>
      <c r="AP291" s="123">
        <f t="shared" si="152"/>
        <v>0</v>
      </c>
      <c r="AQ291" s="123">
        <f t="shared" si="152"/>
        <v>0</v>
      </c>
      <c r="AR291" s="123">
        <f t="shared" si="152"/>
        <v>0</v>
      </c>
      <c r="AS291" s="123">
        <f t="shared" si="152"/>
        <v>0</v>
      </c>
      <c r="AT291" s="123">
        <f t="shared" si="152"/>
        <v>0</v>
      </c>
      <c r="AU291" s="123">
        <f t="shared" si="152"/>
        <v>0</v>
      </c>
      <c r="AV291" s="123">
        <f t="shared" si="152"/>
        <v>0</v>
      </c>
      <c r="AW291" s="123">
        <f t="shared" si="152"/>
        <v>0</v>
      </c>
      <c r="AX291" s="123">
        <f t="shared" si="152"/>
        <v>0</v>
      </c>
      <c r="AY291" s="123">
        <f t="shared" si="152"/>
        <v>0</v>
      </c>
      <c r="AZ291" s="123">
        <f t="shared" si="152"/>
        <v>0</v>
      </c>
      <c r="BA291" s="123">
        <f t="shared" si="152"/>
        <v>0</v>
      </c>
      <c r="BB291" s="123">
        <f t="shared" si="152"/>
        <v>0</v>
      </c>
      <c r="BC291" s="123">
        <f t="shared" si="152"/>
        <v>0</v>
      </c>
      <c r="BD291" s="123">
        <f t="shared" si="152"/>
        <v>0</v>
      </c>
      <c r="BE291" s="123">
        <f t="shared" si="152"/>
        <v>0</v>
      </c>
      <c r="BF291" s="123">
        <f t="shared" si="152"/>
        <v>0</v>
      </c>
      <c r="BG291" s="123">
        <f t="shared" si="152"/>
        <v>0</v>
      </c>
      <c r="BH291" s="123">
        <f t="shared" si="152"/>
        <v>0</v>
      </c>
      <c r="BI291" s="123">
        <f t="shared" si="152"/>
        <v>0</v>
      </c>
      <c r="BJ291" s="123">
        <f t="shared" si="152"/>
        <v>0</v>
      </c>
      <c r="BK291" s="123">
        <f t="shared" si="152"/>
        <v>0</v>
      </c>
      <c r="BL291" s="123">
        <f t="shared" si="152"/>
        <v>0</v>
      </c>
      <c r="BM291" s="123">
        <f t="shared" si="152"/>
        <v>0</v>
      </c>
      <c r="BN291" s="159">
        <f t="shared" si="152"/>
        <v>0</v>
      </c>
      <c r="BP291" s="383" t="s">
        <v>867</v>
      </c>
      <c r="BQ291" s="1463" t="s">
        <v>1561</v>
      </c>
      <c r="BR291" s="1464"/>
      <c r="BS291" s="1464"/>
      <c r="BT291" s="1464"/>
      <c r="BU291" s="1464"/>
      <c r="BV291" s="1464"/>
      <c r="BW291" s="1464"/>
      <c r="BX291" s="1464"/>
      <c r="BY291" s="1464"/>
      <c r="BZ291" s="1464"/>
      <c r="CA291" s="1464"/>
      <c r="CB291" s="1464"/>
      <c r="CC291" s="1464"/>
      <c r="CD291" s="1464"/>
      <c r="CE291" s="1464"/>
      <c r="CF291" s="1464"/>
      <c r="CG291" s="1465"/>
      <c r="CH291" s="385" t="s">
        <v>1325</v>
      </c>
      <c r="CI291" s="385" t="s">
        <v>1251</v>
      </c>
    </row>
    <row r="292" spans="32:87" ht="20.100000000000001" customHeight="1" thickBot="1">
      <c r="AF292" s="1552"/>
      <c r="AG292" s="146" t="s">
        <v>868</v>
      </c>
      <c r="AH292" s="139"/>
      <c r="AI292" s="146" t="s">
        <v>1123</v>
      </c>
      <c r="AJ292" s="113">
        <f>INDEX('DEFAULT DATA'!$YZ$9:$ZG$41,START!$C$3,8)</f>
        <v>667.06980472721978</v>
      </c>
      <c r="AK292" s="54">
        <v>0</v>
      </c>
      <c r="AL292" s="160">
        <f t="shared" ref="AL292:BN292" si="153">IF(AND(AL$254&gt;($D$78+2020),AL$254&lt;($E$78+2022)),AK292+(AL$6*$AJ$292*((100-$F$78)/100)*ROUND($B$78/($E$78-$D$78+1),0)/1000000),AK292)</f>
        <v>0</v>
      </c>
      <c r="AM292" s="160">
        <f t="shared" si="153"/>
        <v>0</v>
      </c>
      <c r="AN292" s="160">
        <f t="shared" si="153"/>
        <v>0</v>
      </c>
      <c r="AO292" s="160">
        <f t="shared" si="153"/>
        <v>0</v>
      </c>
      <c r="AP292" s="160">
        <f t="shared" si="153"/>
        <v>0</v>
      </c>
      <c r="AQ292" s="160">
        <f t="shared" si="153"/>
        <v>0</v>
      </c>
      <c r="AR292" s="160">
        <f t="shared" si="153"/>
        <v>0</v>
      </c>
      <c r="AS292" s="160">
        <f t="shared" si="153"/>
        <v>0</v>
      </c>
      <c r="AT292" s="160">
        <f t="shared" si="153"/>
        <v>0</v>
      </c>
      <c r="AU292" s="160">
        <f t="shared" si="153"/>
        <v>0</v>
      </c>
      <c r="AV292" s="160">
        <f t="shared" si="153"/>
        <v>0</v>
      </c>
      <c r="AW292" s="160">
        <f t="shared" si="153"/>
        <v>0</v>
      </c>
      <c r="AX292" s="160">
        <f t="shared" si="153"/>
        <v>0</v>
      </c>
      <c r="AY292" s="160">
        <f t="shared" si="153"/>
        <v>0</v>
      </c>
      <c r="AZ292" s="160">
        <f t="shared" si="153"/>
        <v>0</v>
      </c>
      <c r="BA292" s="160">
        <f t="shared" si="153"/>
        <v>0</v>
      </c>
      <c r="BB292" s="160">
        <f t="shared" si="153"/>
        <v>0</v>
      </c>
      <c r="BC292" s="160">
        <f t="shared" si="153"/>
        <v>0</v>
      </c>
      <c r="BD292" s="160">
        <f t="shared" si="153"/>
        <v>0</v>
      </c>
      <c r="BE292" s="160">
        <f t="shared" si="153"/>
        <v>0</v>
      </c>
      <c r="BF292" s="160">
        <f t="shared" si="153"/>
        <v>0</v>
      </c>
      <c r="BG292" s="160">
        <f t="shared" si="153"/>
        <v>0</v>
      </c>
      <c r="BH292" s="160">
        <f t="shared" si="153"/>
        <v>0</v>
      </c>
      <c r="BI292" s="160">
        <f t="shared" si="153"/>
        <v>0</v>
      </c>
      <c r="BJ292" s="160">
        <f t="shared" si="153"/>
        <v>0</v>
      </c>
      <c r="BK292" s="160">
        <f t="shared" si="153"/>
        <v>0</v>
      </c>
      <c r="BL292" s="160">
        <f t="shared" si="153"/>
        <v>0</v>
      </c>
      <c r="BM292" s="160">
        <f t="shared" si="153"/>
        <v>0</v>
      </c>
      <c r="BN292" s="161">
        <f t="shared" si="153"/>
        <v>0</v>
      </c>
      <c r="BP292" s="383" t="s">
        <v>868</v>
      </c>
      <c r="BQ292" s="1463" t="s">
        <v>1562</v>
      </c>
      <c r="BR292" s="1464"/>
      <c r="BS292" s="1464"/>
      <c r="BT292" s="1464"/>
      <c r="BU292" s="1464"/>
      <c r="BV292" s="1464"/>
      <c r="BW292" s="1464"/>
      <c r="BX292" s="1464"/>
      <c r="BY292" s="1464"/>
      <c r="BZ292" s="1464"/>
      <c r="CA292" s="1464"/>
      <c r="CB292" s="1464"/>
      <c r="CC292" s="1464"/>
      <c r="CD292" s="1464"/>
      <c r="CE292" s="1464"/>
      <c r="CF292" s="1464"/>
      <c r="CG292" s="1465"/>
      <c r="CH292" s="385" t="s">
        <v>1326</v>
      </c>
      <c r="CI292" s="385" t="s">
        <v>1508</v>
      </c>
    </row>
    <row r="293" spans="32:87" ht="20.100000000000001" customHeight="1">
      <c r="AF293" s="140"/>
      <c r="AG293" s="136" t="s">
        <v>1083</v>
      </c>
      <c r="AH293" s="136"/>
      <c r="AI293" s="136"/>
      <c r="AJ293" s="136"/>
      <c r="AK293" s="173">
        <f>SUM(AK285:AK292)</f>
        <v>0</v>
      </c>
      <c r="AL293" s="162">
        <f>SUM(AL285:AL292)</f>
        <v>0</v>
      </c>
      <c r="AM293" s="162">
        <f t="shared" ref="AM293:BN293" si="154">SUM(AM285:AM292)</f>
        <v>0</v>
      </c>
      <c r="AN293" s="162">
        <f t="shared" si="154"/>
        <v>0</v>
      </c>
      <c r="AO293" s="162">
        <f t="shared" si="154"/>
        <v>0</v>
      </c>
      <c r="AP293" s="162">
        <f t="shared" si="154"/>
        <v>0</v>
      </c>
      <c r="AQ293" s="162">
        <f t="shared" si="154"/>
        <v>0</v>
      </c>
      <c r="AR293" s="162">
        <f t="shared" si="154"/>
        <v>0</v>
      </c>
      <c r="AS293" s="162">
        <f t="shared" si="154"/>
        <v>0</v>
      </c>
      <c r="AT293" s="162">
        <f t="shared" si="154"/>
        <v>0</v>
      </c>
      <c r="AU293" s="162">
        <f t="shared" si="154"/>
        <v>0</v>
      </c>
      <c r="AV293" s="162">
        <f t="shared" si="154"/>
        <v>0</v>
      </c>
      <c r="AW293" s="162">
        <f t="shared" si="154"/>
        <v>0</v>
      </c>
      <c r="AX293" s="162">
        <f t="shared" si="154"/>
        <v>0</v>
      </c>
      <c r="AY293" s="162">
        <f t="shared" si="154"/>
        <v>0</v>
      </c>
      <c r="AZ293" s="162">
        <f t="shared" si="154"/>
        <v>0</v>
      </c>
      <c r="BA293" s="162">
        <f t="shared" si="154"/>
        <v>0</v>
      </c>
      <c r="BB293" s="162">
        <f t="shared" si="154"/>
        <v>0</v>
      </c>
      <c r="BC293" s="162">
        <f t="shared" si="154"/>
        <v>0</v>
      </c>
      <c r="BD293" s="162">
        <f t="shared" si="154"/>
        <v>0</v>
      </c>
      <c r="BE293" s="162">
        <f t="shared" si="154"/>
        <v>0</v>
      </c>
      <c r="BF293" s="162">
        <f t="shared" si="154"/>
        <v>0</v>
      </c>
      <c r="BG293" s="162">
        <f t="shared" si="154"/>
        <v>0</v>
      </c>
      <c r="BH293" s="162">
        <f t="shared" si="154"/>
        <v>0</v>
      </c>
      <c r="BI293" s="162">
        <f t="shared" si="154"/>
        <v>0</v>
      </c>
      <c r="BJ293" s="162">
        <f t="shared" si="154"/>
        <v>0</v>
      </c>
      <c r="BK293" s="162">
        <f t="shared" si="154"/>
        <v>0</v>
      </c>
      <c r="BL293" s="162">
        <f t="shared" si="154"/>
        <v>0</v>
      </c>
      <c r="BM293" s="162">
        <f t="shared" si="154"/>
        <v>0</v>
      </c>
      <c r="BN293" s="162">
        <f t="shared" si="154"/>
        <v>0</v>
      </c>
    </row>
    <row r="295" spans="32:87" ht="20.100000000000001" customHeight="1">
      <c r="AF295" s="141" t="s">
        <v>1127</v>
      </c>
    </row>
    <row r="296" spans="32:87" ht="20.100000000000001" customHeight="1" thickBot="1">
      <c r="AF296" s="142" t="s">
        <v>1093</v>
      </c>
      <c r="AG296" s="143"/>
      <c r="AH296" s="143"/>
      <c r="AI296" s="149" t="s">
        <v>620</v>
      </c>
      <c r="AJ296" s="175" t="s">
        <v>1121</v>
      </c>
      <c r="AK296" s="174"/>
      <c r="AL296" s="135">
        <v>2022</v>
      </c>
      <c r="AM296" s="135">
        <f>AL296+1</f>
        <v>2023</v>
      </c>
      <c r="AN296" s="135">
        <f t="shared" ref="AN296" si="155">AM296+1</f>
        <v>2024</v>
      </c>
      <c r="AO296" s="135">
        <f t="shared" ref="AO296" si="156">AN296+1</f>
        <v>2025</v>
      </c>
      <c r="AP296" s="135">
        <f t="shared" ref="AP296" si="157">AO296+1</f>
        <v>2026</v>
      </c>
      <c r="AQ296" s="135">
        <f t="shared" ref="AQ296" si="158">AP296+1</f>
        <v>2027</v>
      </c>
      <c r="AR296" s="135">
        <f t="shared" ref="AR296" si="159">AQ296+1</f>
        <v>2028</v>
      </c>
      <c r="AS296" s="135">
        <f t="shared" ref="AS296" si="160">AR296+1</f>
        <v>2029</v>
      </c>
      <c r="AT296" s="135">
        <f t="shared" ref="AT296" si="161">AS296+1</f>
        <v>2030</v>
      </c>
      <c r="AU296" s="135">
        <f t="shared" ref="AU296" si="162">AT296+1</f>
        <v>2031</v>
      </c>
      <c r="AV296" s="135">
        <f t="shared" ref="AV296" si="163">AU296+1</f>
        <v>2032</v>
      </c>
      <c r="AW296" s="135">
        <f t="shared" ref="AW296" si="164">AV296+1</f>
        <v>2033</v>
      </c>
      <c r="AX296" s="135">
        <f t="shared" ref="AX296" si="165">AW296+1</f>
        <v>2034</v>
      </c>
      <c r="AY296" s="135">
        <f t="shared" ref="AY296" si="166">AX296+1</f>
        <v>2035</v>
      </c>
      <c r="AZ296" s="135">
        <f t="shared" ref="AZ296" si="167">AY296+1</f>
        <v>2036</v>
      </c>
      <c r="BA296" s="135">
        <f t="shared" ref="BA296" si="168">AZ296+1</f>
        <v>2037</v>
      </c>
      <c r="BB296" s="135">
        <f t="shared" ref="BB296" si="169">BA296+1</f>
        <v>2038</v>
      </c>
      <c r="BC296" s="135">
        <f t="shared" ref="BC296" si="170">BB296+1</f>
        <v>2039</v>
      </c>
      <c r="BD296" s="135">
        <f t="shared" ref="BD296" si="171">BC296+1</f>
        <v>2040</v>
      </c>
      <c r="BE296" s="135">
        <f t="shared" ref="BE296" si="172">BD296+1</f>
        <v>2041</v>
      </c>
      <c r="BF296" s="135">
        <f t="shared" ref="BF296" si="173">BE296+1</f>
        <v>2042</v>
      </c>
      <c r="BG296" s="135">
        <f t="shared" ref="BG296" si="174">BF296+1</f>
        <v>2043</v>
      </c>
      <c r="BH296" s="135">
        <f t="shared" ref="BH296" si="175">BG296+1</f>
        <v>2044</v>
      </c>
      <c r="BI296" s="135">
        <f t="shared" ref="BI296" si="176">BH296+1</f>
        <v>2045</v>
      </c>
      <c r="BJ296" s="135">
        <f t="shared" ref="BJ296" si="177">BI296+1</f>
        <v>2046</v>
      </c>
      <c r="BK296" s="135">
        <f t="shared" ref="BK296" si="178">BJ296+1</f>
        <v>2047</v>
      </c>
      <c r="BL296" s="135">
        <f t="shared" ref="BL296" si="179">BK296+1</f>
        <v>2048</v>
      </c>
      <c r="BM296" s="135">
        <f t="shared" ref="BM296" si="180">BL296+1</f>
        <v>2049</v>
      </c>
      <c r="BN296" s="135">
        <f t="shared" ref="BN296" si="181">BM296+1</f>
        <v>2050</v>
      </c>
      <c r="BP296" s="3" t="s">
        <v>870</v>
      </c>
      <c r="CH296" s="386" t="s">
        <v>1506</v>
      </c>
      <c r="CI296" s="6" t="s">
        <v>1224</v>
      </c>
    </row>
    <row r="297" spans="32:87" ht="20.100000000000001" customHeight="1">
      <c r="AF297" s="1588" t="str">
        <f>AF224</f>
        <v>Retail</v>
      </c>
      <c r="AG297" s="137" t="s">
        <v>578</v>
      </c>
      <c r="AH297" s="138"/>
      <c r="AI297" s="137" t="s">
        <v>1122</v>
      </c>
      <c r="AJ297" s="148">
        <f>INDEX('DEFAULT DATA'!$AHX$9:$AIE$41,START!$C$3,1)</f>
        <v>165</v>
      </c>
      <c r="AK297" s="173">
        <v>0</v>
      </c>
      <c r="AL297" s="157">
        <f t="shared" ref="AL297:BN297" si="182">IF(AND(AL$296&gt;($D$83+2020),AL$296&lt;($E$83+2022)),AK297+(AL$5*$AJ$297*((100-$F$83)/100)*$B$83/($E$83-$D$83+1)/1000000),AK297)</f>
        <v>0</v>
      </c>
      <c r="AM297" s="157">
        <f t="shared" si="182"/>
        <v>0</v>
      </c>
      <c r="AN297" s="157">
        <f t="shared" si="182"/>
        <v>0</v>
      </c>
      <c r="AO297" s="157">
        <f t="shared" si="182"/>
        <v>0</v>
      </c>
      <c r="AP297" s="157">
        <f t="shared" si="182"/>
        <v>0</v>
      </c>
      <c r="AQ297" s="157">
        <f t="shared" si="182"/>
        <v>0</v>
      </c>
      <c r="AR297" s="157">
        <f t="shared" si="182"/>
        <v>0</v>
      </c>
      <c r="AS297" s="157">
        <f t="shared" si="182"/>
        <v>0</v>
      </c>
      <c r="AT297" s="157">
        <f t="shared" si="182"/>
        <v>0</v>
      </c>
      <c r="AU297" s="157">
        <f t="shared" si="182"/>
        <v>0</v>
      </c>
      <c r="AV297" s="157">
        <f t="shared" si="182"/>
        <v>0</v>
      </c>
      <c r="AW297" s="157">
        <f t="shared" si="182"/>
        <v>0</v>
      </c>
      <c r="AX297" s="157">
        <f t="shared" si="182"/>
        <v>0</v>
      </c>
      <c r="AY297" s="157">
        <f t="shared" si="182"/>
        <v>0</v>
      </c>
      <c r="AZ297" s="157">
        <f t="shared" si="182"/>
        <v>0</v>
      </c>
      <c r="BA297" s="157">
        <f t="shared" si="182"/>
        <v>0</v>
      </c>
      <c r="BB297" s="157">
        <f t="shared" si="182"/>
        <v>0</v>
      </c>
      <c r="BC297" s="157">
        <f t="shared" si="182"/>
        <v>0</v>
      </c>
      <c r="BD297" s="157">
        <f t="shared" si="182"/>
        <v>0</v>
      </c>
      <c r="BE297" s="157">
        <f t="shared" si="182"/>
        <v>0</v>
      </c>
      <c r="BF297" s="157">
        <f t="shared" si="182"/>
        <v>0</v>
      </c>
      <c r="BG297" s="157">
        <f t="shared" si="182"/>
        <v>0</v>
      </c>
      <c r="BH297" s="157">
        <f t="shared" si="182"/>
        <v>0</v>
      </c>
      <c r="BI297" s="157">
        <f t="shared" si="182"/>
        <v>0</v>
      </c>
      <c r="BJ297" s="157">
        <f t="shared" si="182"/>
        <v>0</v>
      </c>
      <c r="BK297" s="157">
        <f t="shared" si="182"/>
        <v>0</v>
      </c>
      <c r="BL297" s="157">
        <f t="shared" si="182"/>
        <v>0</v>
      </c>
      <c r="BM297" s="157">
        <f t="shared" si="182"/>
        <v>0</v>
      </c>
      <c r="BN297" s="158">
        <f t="shared" si="182"/>
        <v>0</v>
      </c>
      <c r="BP297" s="383" t="s">
        <v>578</v>
      </c>
      <c r="BQ297" s="1463" t="s">
        <v>1605</v>
      </c>
      <c r="BR297" s="1464"/>
      <c r="BS297" s="1464"/>
      <c r="BT297" s="1464"/>
      <c r="BU297" s="1464"/>
      <c r="BV297" s="1464"/>
      <c r="BW297" s="1464"/>
      <c r="BX297" s="1464"/>
      <c r="BY297" s="1464"/>
      <c r="BZ297" s="1464"/>
      <c r="CA297" s="1464"/>
      <c r="CB297" s="1464"/>
      <c r="CC297" s="1464"/>
      <c r="CD297" s="1464"/>
      <c r="CE297" s="1464"/>
      <c r="CF297" s="1464"/>
      <c r="CG297" s="1465"/>
      <c r="CH297" s="385" t="s">
        <v>1396</v>
      </c>
      <c r="CI297" s="385" t="s">
        <v>1507</v>
      </c>
    </row>
    <row r="298" spans="32:87" ht="20.100000000000001" customHeight="1">
      <c r="AF298" s="1589"/>
      <c r="AG298" s="107" t="s">
        <v>862</v>
      </c>
      <c r="AH298" s="131"/>
      <c r="AI298" s="107">
        <f>INDEX('DEFAULT DATA'!$WD$9:$WJ$41,START!$C$3,1)</f>
        <v>202</v>
      </c>
      <c r="AJ298" s="63">
        <f>INDEX('DEFAULT DATA'!$AHX$9:$AIE$41,START!$C$3,2)</f>
        <v>0</v>
      </c>
      <c r="AK298" s="53">
        <v>0</v>
      </c>
      <c r="AL298" s="123">
        <f t="shared" ref="AL298:BN298" si="183">IF(AND(AL$296&gt;($D$83+2020),AL$296&lt;($E$83+2022)),AK298+($AI$298*$AJ$298*((100-$F$83)/100)*$B$83/($E$83-$D$83+1)/1000000),AK298)</f>
        <v>0</v>
      </c>
      <c r="AM298" s="123">
        <f t="shared" si="183"/>
        <v>0</v>
      </c>
      <c r="AN298" s="123">
        <f t="shared" si="183"/>
        <v>0</v>
      </c>
      <c r="AO298" s="123">
        <f t="shared" si="183"/>
        <v>0</v>
      </c>
      <c r="AP298" s="123">
        <f t="shared" si="183"/>
        <v>0</v>
      </c>
      <c r="AQ298" s="123">
        <f t="shared" si="183"/>
        <v>0</v>
      </c>
      <c r="AR298" s="123">
        <f t="shared" si="183"/>
        <v>0</v>
      </c>
      <c r="AS298" s="123">
        <f t="shared" si="183"/>
        <v>0</v>
      </c>
      <c r="AT298" s="123">
        <f t="shared" si="183"/>
        <v>0</v>
      </c>
      <c r="AU298" s="123">
        <f t="shared" si="183"/>
        <v>0</v>
      </c>
      <c r="AV298" s="123">
        <f t="shared" si="183"/>
        <v>0</v>
      </c>
      <c r="AW298" s="123">
        <f t="shared" si="183"/>
        <v>0</v>
      </c>
      <c r="AX298" s="123">
        <f t="shared" si="183"/>
        <v>0</v>
      </c>
      <c r="AY298" s="123">
        <f t="shared" si="183"/>
        <v>0</v>
      </c>
      <c r="AZ298" s="123">
        <f t="shared" si="183"/>
        <v>0</v>
      </c>
      <c r="BA298" s="123">
        <f t="shared" si="183"/>
        <v>0</v>
      </c>
      <c r="BB298" s="123">
        <f t="shared" si="183"/>
        <v>0</v>
      </c>
      <c r="BC298" s="123">
        <f t="shared" si="183"/>
        <v>0</v>
      </c>
      <c r="BD298" s="123">
        <f t="shared" si="183"/>
        <v>0</v>
      </c>
      <c r="BE298" s="123">
        <f t="shared" si="183"/>
        <v>0</v>
      </c>
      <c r="BF298" s="123">
        <f t="shared" si="183"/>
        <v>0</v>
      </c>
      <c r="BG298" s="123">
        <f t="shared" si="183"/>
        <v>0</v>
      </c>
      <c r="BH298" s="123">
        <f t="shared" si="183"/>
        <v>0</v>
      </c>
      <c r="BI298" s="123">
        <f t="shared" si="183"/>
        <v>0</v>
      </c>
      <c r="BJ298" s="123">
        <f t="shared" si="183"/>
        <v>0</v>
      </c>
      <c r="BK298" s="123">
        <f t="shared" si="183"/>
        <v>0</v>
      </c>
      <c r="BL298" s="123">
        <f t="shared" si="183"/>
        <v>0</v>
      </c>
      <c r="BM298" s="123">
        <f t="shared" si="183"/>
        <v>0</v>
      </c>
      <c r="BN298" s="159">
        <f t="shared" si="183"/>
        <v>0</v>
      </c>
      <c r="BP298" s="383" t="s">
        <v>862</v>
      </c>
      <c r="BQ298" s="1463" t="s">
        <v>1606</v>
      </c>
      <c r="BR298" s="1464"/>
      <c r="BS298" s="1464"/>
      <c r="BT298" s="1464"/>
      <c r="BU298" s="1464"/>
      <c r="BV298" s="1464"/>
      <c r="BW298" s="1464"/>
      <c r="BX298" s="1464"/>
      <c r="BY298" s="1464"/>
      <c r="BZ298" s="1464"/>
      <c r="CA298" s="1464"/>
      <c r="CB298" s="1464"/>
      <c r="CC298" s="1464"/>
      <c r="CD298" s="1464"/>
      <c r="CE298" s="1464"/>
      <c r="CF298" s="1464"/>
      <c r="CG298" s="1465"/>
      <c r="CH298" s="385" t="s">
        <v>1397</v>
      </c>
      <c r="CI298" s="385" t="s">
        <v>886</v>
      </c>
    </row>
    <row r="299" spans="32:87" ht="20.100000000000001" customHeight="1">
      <c r="AF299" s="1589"/>
      <c r="AG299" s="107" t="s">
        <v>863</v>
      </c>
      <c r="AH299" s="131"/>
      <c r="AI299" s="107">
        <f>INDEX('DEFAULT DATA'!$WD$9:$WJ$41,START!$C$3,2)</f>
        <v>267</v>
      </c>
      <c r="AJ299" s="63">
        <f>INDEX('DEFAULT DATA'!$AHX$9:$AIE$41,START!$C$3,3)</f>
        <v>0</v>
      </c>
      <c r="AK299" s="53">
        <v>0</v>
      </c>
      <c r="AL299" s="123">
        <f t="shared" ref="AL299:BN299" si="184">IF(AND(AL$296&gt;($D$83+2020),AL$296&lt;($E$83+2022)),AK299+($AI$299*$AJ$299*((100-$F$83)/100)*$B$83/($E$83-$D$83+1)/1000000),AK299)</f>
        <v>0</v>
      </c>
      <c r="AM299" s="123">
        <f t="shared" si="184"/>
        <v>0</v>
      </c>
      <c r="AN299" s="123">
        <f t="shared" si="184"/>
        <v>0</v>
      </c>
      <c r="AO299" s="123">
        <f t="shared" si="184"/>
        <v>0</v>
      </c>
      <c r="AP299" s="123">
        <f t="shared" si="184"/>
        <v>0</v>
      </c>
      <c r="AQ299" s="123">
        <f t="shared" si="184"/>
        <v>0</v>
      </c>
      <c r="AR299" s="123">
        <f t="shared" si="184"/>
        <v>0</v>
      </c>
      <c r="AS299" s="123">
        <f t="shared" si="184"/>
        <v>0</v>
      </c>
      <c r="AT299" s="123">
        <f t="shared" si="184"/>
        <v>0</v>
      </c>
      <c r="AU299" s="123">
        <f t="shared" si="184"/>
        <v>0</v>
      </c>
      <c r="AV299" s="123">
        <f t="shared" si="184"/>
        <v>0</v>
      </c>
      <c r="AW299" s="123">
        <f t="shared" si="184"/>
        <v>0</v>
      </c>
      <c r="AX299" s="123">
        <f t="shared" si="184"/>
        <v>0</v>
      </c>
      <c r="AY299" s="123">
        <f t="shared" si="184"/>
        <v>0</v>
      </c>
      <c r="AZ299" s="123">
        <f t="shared" si="184"/>
        <v>0</v>
      </c>
      <c r="BA299" s="123">
        <f t="shared" si="184"/>
        <v>0</v>
      </c>
      <c r="BB299" s="123">
        <f t="shared" si="184"/>
        <v>0</v>
      </c>
      <c r="BC299" s="123">
        <f t="shared" si="184"/>
        <v>0</v>
      </c>
      <c r="BD299" s="123">
        <f t="shared" si="184"/>
        <v>0</v>
      </c>
      <c r="BE299" s="123">
        <f t="shared" si="184"/>
        <v>0</v>
      </c>
      <c r="BF299" s="123">
        <f t="shared" si="184"/>
        <v>0</v>
      </c>
      <c r="BG299" s="123">
        <f t="shared" si="184"/>
        <v>0</v>
      </c>
      <c r="BH299" s="123">
        <f t="shared" si="184"/>
        <v>0</v>
      </c>
      <c r="BI299" s="123">
        <f t="shared" si="184"/>
        <v>0</v>
      </c>
      <c r="BJ299" s="123">
        <f t="shared" si="184"/>
        <v>0</v>
      </c>
      <c r="BK299" s="123">
        <f t="shared" si="184"/>
        <v>0</v>
      </c>
      <c r="BL299" s="123">
        <f t="shared" si="184"/>
        <v>0</v>
      </c>
      <c r="BM299" s="123">
        <f t="shared" si="184"/>
        <v>0</v>
      </c>
      <c r="BN299" s="159">
        <f t="shared" si="184"/>
        <v>0</v>
      </c>
      <c r="BP299" s="383" t="s">
        <v>863</v>
      </c>
      <c r="BQ299" s="1463" t="s">
        <v>1607</v>
      </c>
      <c r="BR299" s="1464"/>
      <c r="BS299" s="1464"/>
      <c r="BT299" s="1464"/>
      <c r="BU299" s="1464"/>
      <c r="BV299" s="1464"/>
      <c r="BW299" s="1464"/>
      <c r="BX299" s="1464"/>
      <c r="BY299" s="1464"/>
      <c r="BZ299" s="1464"/>
      <c r="CA299" s="1464"/>
      <c r="CB299" s="1464"/>
      <c r="CC299" s="1464"/>
      <c r="CD299" s="1464"/>
      <c r="CE299" s="1464"/>
      <c r="CF299" s="1464"/>
      <c r="CG299" s="1465"/>
      <c r="CH299" s="385" t="s">
        <v>1398</v>
      </c>
      <c r="CI299" s="385" t="s">
        <v>1247</v>
      </c>
    </row>
    <row r="300" spans="32:87" ht="20.100000000000001" customHeight="1">
      <c r="AF300" s="1589"/>
      <c r="AG300" s="107" t="s">
        <v>864</v>
      </c>
      <c r="AH300" s="131"/>
      <c r="AI300" s="107">
        <f>INDEX('DEFAULT DATA'!$WD$9:$WJ$41,START!$C$3,3)</f>
        <v>354</v>
      </c>
      <c r="AJ300" s="63">
        <f>INDEX('DEFAULT DATA'!$AHX$9:$AIE$41,START!$C$3,4)</f>
        <v>0</v>
      </c>
      <c r="AK300" s="53">
        <v>0</v>
      </c>
      <c r="AL300" s="123">
        <f t="shared" ref="AL300:BN300" si="185">IF(AND(AL$296&gt;($D$83+2020),AL$296&lt;($E$83+2022)),AK300+($AI$300*$AJ$300*((100-$F$83)/100)*$B$83/($E$83-$D$83+1)/1000000),AK300)</f>
        <v>0</v>
      </c>
      <c r="AM300" s="123">
        <f t="shared" si="185"/>
        <v>0</v>
      </c>
      <c r="AN300" s="123">
        <f t="shared" si="185"/>
        <v>0</v>
      </c>
      <c r="AO300" s="123">
        <f t="shared" si="185"/>
        <v>0</v>
      </c>
      <c r="AP300" s="123">
        <f t="shared" si="185"/>
        <v>0</v>
      </c>
      <c r="AQ300" s="123">
        <f t="shared" si="185"/>
        <v>0</v>
      </c>
      <c r="AR300" s="123">
        <f t="shared" si="185"/>
        <v>0</v>
      </c>
      <c r="AS300" s="123">
        <f t="shared" si="185"/>
        <v>0</v>
      </c>
      <c r="AT300" s="123">
        <f t="shared" si="185"/>
        <v>0</v>
      </c>
      <c r="AU300" s="123">
        <f t="shared" si="185"/>
        <v>0</v>
      </c>
      <c r="AV300" s="123">
        <f t="shared" si="185"/>
        <v>0</v>
      </c>
      <c r="AW300" s="123">
        <f t="shared" si="185"/>
        <v>0</v>
      </c>
      <c r="AX300" s="123">
        <f t="shared" si="185"/>
        <v>0</v>
      </c>
      <c r="AY300" s="123">
        <f t="shared" si="185"/>
        <v>0</v>
      </c>
      <c r="AZ300" s="123">
        <f t="shared" si="185"/>
        <v>0</v>
      </c>
      <c r="BA300" s="123">
        <f t="shared" si="185"/>
        <v>0</v>
      </c>
      <c r="BB300" s="123">
        <f t="shared" si="185"/>
        <v>0</v>
      </c>
      <c r="BC300" s="123">
        <f t="shared" si="185"/>
        <v>0</v>
      </c>
      <c r="BD300" s="123">
        <f t="shared" si="185"/>
        <v>0</v>
      </c>
      <c r="BE300" s="123">
        <f t="shared" si="185"/>
        <v>0</v>
      </c>
      <c r="BF300" s="123">
        <f t="shared" si="185"/>
        <v>0</v>
      </c>
      <c r="BG300" s="123">
        <f t="shared" si="185"/>
        <v>0</v>
      </c>
      <c r="BH300" s="123">
        <f t="shared" si="185"/>
        <v>0</v>
      </c>
      <c r="BI300" s="123">
        <f t="shared" si="185"/>
        <v>0</v>
      </c>
      <c r="BJ300" s="123">
        <f t="shared" si="185"/>
        <v>0</v>
      </c>
      <c r="BK300" s="123">
        <f t="shared" si="185"/>
        <v>0</v>
      </c>
      <c r="BL300" s="123">
        <f t="shared" si="185"/>
        <v>0</v>
      </c>
      <c r="BM300" s="123">
        <f t="shared" si="185"/>
        <v>0</v>
      </c>
      <c r="BN300" s="159">
        <f t="shared" si="185"/>
        <v>0</v>
      </c>
      <c r="BP300" s="383" t="s">
        <v>864</v>
      </c>
      <c r="BQ300" s="1463" t="s">
        <v>1608</v>
      </c>
      <c r="BR300" s="1464"/>
      <c r="BS300" s="1464"/>
      <c r="BT300" s="1464"/>
      <c r="BU300" s="1464"/>
      <c r="BV300" s="1464"/>
      <c r="BW300" s="1464"/>
      <c r="BX300" s="1464"/>
      <c r="BY300" s="1464"/>
      <c r="BZ300" s="1464"/>
      <c r="CA300" s="1464"/>
      <c r="CB300" s="1464"/>
      <c r="CC300" s="1464"/>
      <c r="CD300" s="1464"/>
      <c r="CE300" s="1464"/>
      <c r="CF300" s="1464"/>
      <c r="CG300" s="1465"/>
      <c r="CH300" s="385" t="s">
        <v>1399</v>
      </c>
      <c r="CI300" s="385" t="s">
        <v>1248</v>
      </c>
    </row>
    <row r="301" spans="32:87" ht="20.100000000000001" customHeight="1">
      <c r="AF301" s="1589"/>
      <c r="AG301" s="107" t="s">
        <v>865</v>
      </c>
      <c r="AH301" s="131"/>
      <c r="AI301" s="107">
        <f>INDEX('DEFAULT DATA'!$WD$9:$WJ$41,START!$C$3,4)</f>
        <v>382</v>
      </c>
      <c r="AJ301" s="63">
        <f>INDEX('DEFAULT DATA'!$AHX$9:$AIE$41,START!$C$3,5)</f>
        <v>0</v>
      </c>
      <c r="AK301" s="53">
        <v>0</v>
      </c>
      <c r="AL301" s="123">
        <f t="shared" ref="AL301:BN301" si="186">IF(AND(AL$296&gt;($D$83+2020),AL$296&lt;($E$83+2022)),AK301+($AI$301*$AJ$301*((100-$F$83)/100)*$B$83/($E$83-$D$83+1)/1000000),AK301)</f>
        <v>0</v>
      </c>
      <c r="AM301" s="123">
        <f t="shared" si="186"/>
        <v>0</v>
      </c>
      <c r="AN301" s="123">
        <f t="shared" si="186"/>
        <v>0</v>
      </c>
      <c r="AO301" s="123">
        <f t="shared" si="186"/>
        <v>0</v>
      </c>
      <c r="AP301" s="123">
        <f t="shared" si="186"/>
        <v>0</v>
      </c>
      <c r="AQ301" s="123">
        <f t="shared" si="186"/>
        <v>0</v>
      </c>
      <c r="AR301" s="123">
        <f t="shared" si="186"/>
        <v>0</v>
      </c>
      <c r="AS301" s="123">
        <f t="shared" si="186"/>
        <v>0</v>
      </c>
      <c r="AT301" s="123">
        <f t="shared" si="186"/>
        <v>0</v>
      </c>
      <c r="AU301" s="123">
        <f t="shared" si="186"/>
        <v>0</v>
      </c>
      <c r="AV301" s="123">
        <f t="shared" si="186"/>
        <v>0</v>
      </c>
      <c r="AW301" s="123">
        <f t="shared" si="186"/>
        <v>0</v>
      </c>
      <c r="AX301" s="123">
        <f t="shared" si="186"/>
        <v>0</v>
      </c>
      <c r="AY301" s="123">
        <f t="shared" si="186"/>
        <v>0</v>
      </c>
      <c r="AZ301" s="123">
        <f t="shared" si="186"/>
        <v>0</v>
      </c>
      <c r="BA301" s="123">
        <f t="shared" si="186"/>
        <v>0</v>
      </c>
      <c r="BB301" s="123">
        <f t="shared" si="186"/>
        <v>0</v>
      </c>
      <c r="BC301" s="123">
        <f t="shared" si="186"/>
        <v>0</v>
      </c>
      <c r="BD301" s="123">
        <f t="shared" si="186"/>
        <v>0</v>
      </c>
      <c r="BE301" s="123">
        <f t="shared" si="186"/>
        <v>0</v>
      </c>
      <c r="BF301" s="123">
        <f t="shared" si="186"/>
        <v>0</v>
      </c>
      <c r="BG301" s="123">
        <f t="shared" si="186"/>
        <v>0</v>
      </c>
      <c r="BH301" s="123">
        <f t="shared" si="186"/>
        <v>0</v>
      </c>
      <c r="BI301" s="123">
        <f t="shared" si="186"/>
        <v>0</v>
      </c>
      <c r="BJ301" s="123">
        <f t="shared" si="186"/>
        <v>0</v>
      </c>
      <c r="BK301" s="123">
        <f t="shared" si="186"/>
        <v>0</v>
      </c>
      <c r="BL301" s="123">
        <f t="shared" si="186"/>
        <v>0</v>
      </c>
      <c r="BM301" s="123">
        <f t="shared" si="186"/>
        <v>0</v>
      </c>
      <c r="BN301" s="159">
        <f t="shared" si="186"/>
        <v>0</v>
      </c>
      <c r="BP301" s="383" t="s">
        <v>865</v>
      </c>
      <c r="BQ301" s="1463" t="s">
        <v>1609</v>
      </c>
      <c r="BR301" s="1464"/>
      <c r="BS301" s="1464"/>
      <c r="BT301" s="1464"/>
      <c r="BU301" s="1464"/>
      <c r="BV301" s="1464"/>
      <c r="BW301" s="1464"/>
      <c r="BX301" s="1464"/>
      <c r="BY301" s="1464"/>
      <c r="BZ301" s="1464"/>
      <c r="CA301" s="1464"/>
      <c r="CB301" s="1464"/>
      <c r="CC301" s="1464"/>
      <c r="CD301" s="1464"/>
      <c r="CE301" s="1464"/>
      <c r="CF301" s="1464"/>
      <c r="CG301" s="1465"/>
      <c r="CH301" s="385" t="s">
        <v>1400</v>
      </c>
      <c r="CI301" s="385" t="s">
        <v>1249</v>
      </c>
    </row>
    <row r="302" spans="32:87" ht="20.100000000000001" customHeight="1">
      <c r="AF302" s="1589"/>
      <c r="AG302" s="107" t="s">
        <v>866</v>
      </c>
      <c r="AH302" s="131"/>
      <c r="AI302" s="107">
        <f>INDEX('DEFAULT DATA'!$WD$9:$WJ$41,START!$C$3,5)</f>
        <v>403</v>
      </c>
      <c r="AJ302" s="63">
        <f>INDEX('DEFAULT DATA'!$AHX$9:$AIE$41,START!$C$3,6)</f>
        <v>0</v>
      </c>
      <c r="AK302" s="53">
        <v>0</v>
      </c>
      <c r="AL302" s="123">
        <f t="shared" ref="AL302:BN302" si="187">IF(AND(AL$296&gt;($D$83+2020),AL$296&lt;($E$83+2022)),AK302+($AI$302*$AJ$302*((100-$F$83)/100)*$B$83/($E$83-$D$83+1)/1000000),AK302)</f>
        <v>0</v>
      </c>
      <c r="AM302" s="123">
        <f t="shared" si="187"/>
        <v>0</v>
      </c>
      <c r="AN302" s="123">
        <f t="shared" si="187"/>
        <v>0</v>
      </c>
      <c r="AO302" s="123">
        <f t="shared" si="187"/>
        <v>0</v>
      </c>
      <c r="AP302" s="123">
        <f t="shared" si="187"/>
        <v>0</v>
      </c>
      <c r="AQ302" s="123">
        <f t="shared" si="187"/>
        <v>0</v>
      </c>
      <c r="AR302" s="123">
        <f t="shared" si="187"/>
        <v>0</v>
      </c>
      <c r="AS302" s="123">
        <f t="shared" si="187"/>
        <v>0</v>
      </c>
      <c r="AT302" s="123">
        <f t="shared" si="187"/>
        <v>0</v>
      </c>
      <c r="AU302" s="123">
        <f t="shared" si="187"/>
        <v>0</v>
      </c>
      <c r="AV302" s="123">
        <f t="shared" si="187"/>
        <v>0</v>
      </c>
      <c r="AW302" s="123">
        <f t="shared" si="187"/>
        <v>0</v>
      </c>
      <c r="AX302" s="123">
        <f t="shared" si="187"/>
        <v>0</v>
      </c>
      <c r="AY302" s="123">
        <f t="shared" si="187"/>
        <v>0</v>
      </c>
      <c r="AZ302" s="123">
        <f t="shared" si="187"/>
        <v>0</v>
      </c>
      <c r="BA302" s="123">
        <f t="shared" si="187"/>
        <v>0</v>
      </c>
      <c r="BB302" s="123">
        <f t="shared" si="187"/>
        <v>0</v>
      </c>
      <c r="BC302" s="123">
        <f t="shared" si="187"/>
        <v>0</v>
      </c>
      <c r="BD302" s="123">
        <f t="shared" si="187"/>
        <v>0</v>
      </c>
      <c r="BE302" s="123">
        <f t="shared" si="187"/>
        <v>0</v>
      </c>
      <c r="BF302" s="123">
        <f t="shared" si="187"/>
        <v>0</v>
      </c>
      <c r="BG302" s="123">
        <f t="shared" si="187"/>
        <v>0</v>
      </c>
      <c r="BH302" s="123">
        <f t="shared" si="187"/>
        <v>0</v>
      </c>
      <c r="BI302" s="123">
        <f t="shared" si="187"/>
        <v>0</v>
      </c>
      <c r="BJ302" s="123">
        <f t="shared" si="187"/>
        <v>0</v>
      </c>
      <c r="BK302" s="123">
        <f t="shared" si="187"/>
        <v>0</v>
      </c>
      <c r="BL302" s="123">
        <f t="shared" si="187"/>
        <v>0</v>
      </c>
      <c r="BM302" s="123">
        <f t="shared" si="187"/>
        <v>0</v>
      </c>
      <c r="BN302" s="159">
        <f t="shared" si="187"/>
        <v>0</v>
      </c>
      <c r="BP302" s="383" t="s">
        <v>866</v>
      </c>
      <c r="BQ302" s="1463" t="s">
        <v>1610</v>
      </c>
      <c r="BR302" s="1464"/>
      <c r="BS302" s="1464"/>
      <c r="BT302" s="1464"/>
      <c r="BU302" s="1464"/>
      <c r="BV302" s="1464"/>
      <c r="BW302" s="1464"/>
      <c r="BX302" s="1464"/>
      <c r="BY302" s="1464"/>
      <c r="BZ302" s="1464"/>
      <c r="CA302" s="1464"/>
      <c r="CB302" s="1464"/>
      <c r="CC302" s="1464"/>
      <c r="CD302" s="1464"/>
      <c r="CE302" s="1464"/>
      <c r="CF302" s="1464"/>
      <c r="CG302" s="1465"/>
      <c r="CH302" s="385" t="s">
        <v>1401</v>
      </c>
      <c r="CI302" s="385" t="s">
        <v>1250</v>
      </c>
    </row>
    <row r="303" spans="32:87" ht="20.100000000000001" customHeight="1">
      <c r="AF303" s="1589"/>
      <c r="AG303" s="107" t="s">
        <v>867</v>
      </c>
      <c r="AH303" s="131"/>
      <c r="AI303" s="107">
        <f>INDEX('DEFAULT DATA'!$WD$9:$WJ$41,START!$C$3,6)</f>
        <v>0</v>
      </c>
      <c r="AJ303" s="63">
        <f>INDEX('DEFAULT DATA'!$AHX$9:$AIE$41,START!$C$3,7)</f>
        <v>0</v>
      </c>
      <c r="AK303" s="53">
        <v>0</v>
      </c>
      <c r="AL303" s="123">
        <f t="shared" ref="AL303:BN303" si="188">IF(AND(AL$296&gt;($D$83+2020),AL$296&lt;($E$83+2022)),AK303+($AI$303*$AJ$303*((100-$F$83)/100)*$B$83/($E$83-$D$83+1)/1000000),AK303)</f>
        <v>0</v>
      </c>
      <c r="AM303" s="123">
        <f t="shared" si="188"/>
        <v>0</v>
      </c>
      <c r="AN303" s="123">
        <f t="shared" si="188"/>
        <v>0</v>
      </c>
      <c r="AO303" s="123">
        <f t="shared" si="188"/>
        <v>0</v>
      </c>
      <c r="AP303" s="123">
        <f t="shared" si="188"/>
        <v>0</v>
      </c>
      <c r="AQ303" s="123">
        <f t="shared" si="188"/>
        <v>0</v>
      </c>
      <c r="AR303" s="123">
        <f t="shared" si="188"/>
        <v>0</v>
      </c>
      <c r="AS303" s="123">
        <f t="shared" si="188"/>
        <v>0</v>
      </c>
      <c r="AT303" s="123">
        <f t="shared" si="188"/>
        <v>0</v>
      </c>
      <c r="AU303" s="123">
        <f t="shared" si="188"/>
        <v>0</v>
      </c>
      <c r="AV303" s="123">
        <f t="shared" si="188"/>
        <v>0</v>
      </c>
      <c r="AW303" s="123">
        <f t="shared" si="188"/>
        <v>0</v>
      </c>
      <c r="AX303" s="123">
        <f t="shared" si="188"/>
        <v>0</v>
      </c>
      <c r="AY303" s="123">
        <f t="shared" si="188"/>
        <v>0</v>
      </c>
      <c r="AZ303" s="123">
        <f t="shared" si="188"/>
        <v>0</v>
      </c>
      <c r="BA303" s="123">
        <f t="shared" si="188"/>
        <v>0</v>
      </c>
      <c r="BB303" s="123">
        <f t="shared" si="188"/>
        <v>0</v>
      </c>
      <c r="BC303" s="123">
        <f t="shared" si="188"/>
        <v>0</v>
      </c>
      <c r="BD303" s="123">
        <f t="shared" si="188"/>
        <v>0</v>
      </c>
      <c r="BE303" s="123">
        <f t="shared" si="188"/>
        <v>0</v>
      </c>
      <c r="BF303" s="123">
        <f t="shared" si="188"/>
        <v>0</v>
      </c>
      <c r="BG303" s="123">
        <f t="shared" si="188"/>
        <v>0</v>
      </c>
      <c r="BH303" s="123">
        <f t="shared" si="188"/>
        <v>0</v>
      </c>
      <c r="BI303" s="123">
        <f t="shared" si="188"/>
        <v>0</v>
      </c>
      <c r="BJ303" s="123">
        <f t="shared" si="188"/>
        <v>0</v>
      </c>
      <c r="BK303" s="123">
        <f t="shared" si="188"/>
        <v>0</v>
      </c>
      <c r="BL303" s="123">
        <f t="shared" si="188"/>
        <v>0</v>
      </c>
      <c r="BM303" s="123">
        <f t="shared" si="188"/>
        <v>0</v>
      </c>
      <c r="BN303" s="159">
        <f t="shared" si="188"/>
        <v>0</v>
      </c>
      <c r="BP303" s="383" t="s">
        <v>867</v>
      </c>
      <c r="BQ303" s="1463" t="s">
        <v>1611</v>
      </c>
      <c r="BR303" s="1464"/>
      <c r="BS303" s="1464"/>
      <c r="BT303" s="1464"/>
      <c r="BU303" s="1464"/>
      <c r="BV303" s="1464"/>
      <c r="BW303" s="1464"/>
      <c r="BX303" s="1464"/>
      <c r="BY303" s="1464"/>
      <c r="BZ303" s="1464"/>
      <c r="CA303" s="1464"/>
      <c r="CB303" s="1464"/>
      <c r="CC303" s="1464"/>
      <c r="CD303" s="1464"/>
      <c r="CE303" s="1464"/>
      <c r="CF303" s="1464"/>
      <c r="CG303" s="1465"/>
      <c r="CH303" s="385" t="s">
        <v>1402</v>
      </c>
      <c r="CI303" s="385" t="s">
        <v>1251</v>
      </c>
    </row>
    <row r="304" spans="32:87" ht="20.100000000000001" customHeight="1" thickBot="1">
      <c r="AF304" s="1590"/>
      <c r="AG304" s="146" t="s">
        <v>868</v>
      </c>
      <c r="AH304" s="139"/>
      <c r="AI304" s="146" t="s">
        <v>1123</v>
      </c>
      <c r="AJ304" s="113">
        <f>INDEX('DEFAULT DATA'!$AHX$9:$AIE$41,START!$C$3,8)</f>
        <v>0</v>
      </c>
      <c r="AK304" s="54">
        <v>0</v>
      </c>
      <c r="AL304" s="160">
        <f t="shared" ref="AL304:BN304" si="189">IF(AND(AL$296&gt;($D$83+2020),AL$296&lt;($E$83+2022)),AK304+(AL$6*$AJ$304*((100-$F$83)/100)*$B$83/($E$83-$D$83+1)/1000000),AK304)</f>
        <v>0</v>
      </c>
      <c r="AM304" s="160">
        <f t="shared" si="189"/>
        <v>0</v>
      </c>
      <c r="AN304" s="160">
        <f t="shared" si="189"/>
        <v>0</v>
      </c>
      <c r="AO304" s="160">
        <f t="shared" si="189"/>
        <v>0</v>
      </c>
      <c r="AP304" s="160">
        <f t="shared" si="189"/>
        <v>0</v>
      </c>
      <c r="AQ304" s="160">
        <f t="shared" si="189"/>
        <v>0</v>
      </c>
      <c r="AR304" s="160">
        <f t="shared" si="189"/>
        <v>0</v>
      </c>
      <c r="AS304" s="160">
        <f t="shared" si="189"/>
        <v>0</v>
      </c>
      <c r="AT304" s="160">
        <f t="shared" si="189"/>
        <v>0</v>
      </c>
      <c r="AU304" s="160">
        <f t="shared" si="189"/>
        <v>0</v>
      </c>
      <c r="AV304" s="160">
        <f t="shared" si="189"/>
        <v>0</v>
      </c>
      <c r="AW304" s="160">
        <f t="shared" si="189"/>
        <v>0</v>
      </c>
      <c r="AX304" s="160">
        <f t="shared" si="189"/>
        <v>0</v>
      </c>
      <c r="AY304" s="160">
        <f t="shared" si="189"/>
        <v>0</v>
      </c>
      <c r="AZ304" s="160">
        <f t="shared" si="189"/>
        <v>0</v>
      </c>
      <c r="BA304" s="160">
        <f t="shared" si="189"/>
        <v>0</v>
      </c>
      <c r="BB304" s="160">
        <f t="shared" si="189"/>
        <v>0</v>
      </c>
      <c r="BC304" s="160">
        <f t="shared" si="189"/>
        <v>0</v>
      </c>
      <c r="BD304" s="160">
        <f t="shared" si="189"/>
        <v>0</v>
      </c>
      <c r="BE304" s="160">
        <f t="shared" si="189"/>
        <v>0</v>
      </c>
      <c r="BF304" s="160">
        <f t="shared" si="189"/>
        <v>0</v>
      </c>
      <c r="BG304" s="160">
        <f t="shared" si="189"/>
        <v>0</v>
      </c>
      <c r="BH304" s="160">
        <f t="shared" si="189"/>
        <v>0</v>
      </c>
      <c r="BI304" s="160">
        <f t="shared" si="189"/>
        <v>0</v>
      </c>
      <c r="BJ304" s="160">
        <f t="shared" si="189"/>
        <v>0</v>
      </c>
      <c r="BK304" s="160">
        <f t="shared" si="189"/>
        <v>0</v>
      </c>
      <c r="BL304" s="160">
        <f t="shared" si="189"/>
        <v>0</v>
      </c>
      <c r="BM304" s="160">
        <f t="shared" si="189"/>
        <v>0</v>
      </c>
      <c r="BN304" s="161">
        <f t="shared" si="189"/>
        <v>0</v>
      </c>
      <c r="BP304" s="383" t="s">
        <v>868</v>
      </c>
      <c r="BQ304" s="1463" t="s">
        <v>1612</v>
      </c>
      <c r="BR304" s="1464"/>
      <c r="BS304" s="1464"/>
      <c r="BT304" s="1464"/>
      <c r="BU304" s="1464"/>
      <c r="BV304" s="1464"/>
      <c r="BW304" s="1464"/>
      <c r="BX304" s="1464"/>
      <c r="BY304" s="1464"/>
      <c r="BZ304" s="1464"/>
      <c r="CA304" s="1464"/>
      <c r="CB304" s="1464"/>
      <c r="CC304" s="1464"/>
      <c r="CD304" s="1464"/>
      <c r="CE304" s="1464"/>
      <c r="CF304" s="1464"/>
      <c r="CG304" s="1465"/>
      <c r="CH304" s="385" t="s">
        <v>1403</v>
      </c>
      <c r="CI304" s="385" t="s">
        <v>1508</v>
      </c>
    </row>
    <row r="305" spans="32:87" ht="20.100000000000001" customHeight="1">
      <c r="AF305" s="147"/>
      <c r="AG305" s="136" t="s">
        <v>1084</v>
      </c>
      <c r="AH305" s="136"/>
      <c r="AI305" s="136"/>
      <c r="AJ305" s="136"/>
      <c r="AK305" s="173">
        <f>SUM(AK297:AK304)</f>
        <v>0</v>
      </c>
      <c r="AL305" s="162">
        <f>SUM(AL297:AL304)</f>
        <v>0</v>
      </c>
      <c r="AM305" s="162">
        <f t="shared" ref="AM305:BN305" si="190">SUM(AM297:AM304)</f>
        <v>0</v>
      </c>
      <c r="AN305" s="162">
        <f t="shared" si="190"/>
        <v>0</v>
      </c>
      <c r="AO305" s="162">
        <f t="shared" si="190"/>
        <v>0</v>
      </c>
      <c r="AP305" s="162">
        <f t="shared" si="190"/>
        <v>0</v>
      </c>
      <c r="AQ305" s="162">
        <f t="shared" si="190"/>
        <v>0</v>
      </c>
      <c r="AR305" s="162">
        <f t="shared" si="190"/>
        <v>0</v>
      </c>
      <c r="AS305" s="162">
        <f t="shared" si="190"/>
        <v>0</v>
      </c>
      <c r="AT305" s="162">
        <f t="shared" si="190"/>
        <v>0</v>
      </c>
      <c r="AU305" s="162">
        <f t="shared" si="190"/>
        <v>0</v>
      </c>
      <c r="AV305" s="162">
        <f t="shared" si="190"/>
        <v>0</v>
      </c>
      <c r="AW305" s="162">
        <f t="shared" si="190"/>
        <v>0</v>
      </c>
      <c r="AX305" s="162">
        <f t="shared" si="190"/>
        <v>0</v>
      </c>
      <c r="AY305" s="162">
        <f t="shared" si="190"/>
        <v>0</v>
      </c>
      <c r="AZ305" s="162">
        <f t="shared" si="190"/>
        <v>0</v>
      </c>
      <c r="BA305" s="162">
        <f t="shared" si="190"/>
        <v>0</v>
      </c>
      <c r="BB305" s="162">
        <f t="shared" si="190"/>
        <v>0</v>
      </c>
      <c r="BC305" s="162">
        <f t="shared" si="190"/>
        <v>0</v>
      </c>
      <c r="BD305" s="162">
        <f t="shared" si="190"/>
        <v>0</v>
      </c>
      <c r="BE305" s="162">
        <f t="shared" si="190"/>
        <v>0</v>
      </c>
      <c r="BF305" s="162">
        <f t="shared" si="190"/>
        <v>0</v>
      </c>
      <c r="BG305" s="162">
        <f t="shared" si="190"/>
        <v>0</v>
      </c>
      <c r="BH305" s="162">
        <f t="shared" si="190"/>
        <v>0</v>
      </c>
      <c r="BI305" s="162">
        <f t="shared" si="190"/>
        <v>0</v>
      </c>
      <c r="BJ305" s="162">
        <f t="shared" si="190"/>
        <v>0</v>
      </c>
      <c r="BK305" s="162">
        <f t="shared" si="190"/>
        <v>0</v>
      </c>
      <c r="BL305" s="162">
        <f t="shared" si="190"/>
        <v>0</v>
      </c>
      <c r="BM305" s="162">
        <f t="shared" si="190"/>
        <v>0</v>
      </c>
      <c r="BN305" s="162">
        <f t="shared" si="190"/>
        <v>0</v>
      </c>
    </row>
    <row r="306" spans="32:87" ht="20.100000000000001" customHeight="1" thickBot="1">
      <c r="AK306" s="171"/>
      <c r="BP306" s="3" t="s">
        <v>871</v>
      </c>
      <c r="BQ306" s="3" t="s">
        <v>1613</v>
      </c>
      <c r="BT306" s="3" t="s">
        <v>1614</v>
      </c>
      <c r="CH306" s="386" t="s">
        <v>1506</v>
      </c>
      <c r="CI306" s="6" t="s">
        <v>1224</v>
      </c>
    </row>
    <row r="307" spans="32:87" ht="20.100000000000001" customHeight="1">
      <c r="AF307" s="1550" t="str">
        <f>AF225</f>
        <v>Health</v>
      </c>
      <c r="AG307" s="137" t="s">
        <v>578</v>
      </c>
      <c r="AH307" s="138"/>
      <c r="AI307" s="137" t="s">
        <v>1122</v>
      </c>
      <c r="AJ307" s="148">
        <f>INDEX('DEFAULT DATA'!$AIF$9:$AIM$41,START!$C$3,1)</f>
        <v>420</v>
      </c>
      <c r="AK307" s="173">
        <v>0</v>
      </c>
      <c r="AL307" s="157">
        <f t="shared" ref="AL307:BN307" si="191">IF(AND(AL$296&gt;($D$84+2020),AL$296&lt;($E$84+2022)),AK307+(AL$5*$AJ$307*((100-$F$84)/100)*$B$84/($E$84-$D$84+1)/1000000),AK307)</f>
        <v>0</v>
      </c>
      <c r="AM307" s="157">
        <f t="shared" si="191"/>
        <v>0</v>
      </c>
      <c r="AN307" s="157">
        <f t="shared" si="191"/>
        <v>0</v>
      </c>
      <c r="AO307" s="157">
        <f t="shared" si="191"/>
        <v>0</v>
      </c>
      <c r="AP307" s="157">
        <f t="shared" si="191"/>
        <v>0</v>
      </c>
      <c r="AQ307" s="157">
        <f t="shared" si="191"/>
        <v>0</v>
      </c>
      <c r="AR307" s="157">
        <f t="shared" si="191"/>
        <v>0</v>
      </c>
      <c r="AS307" s="157">
        <f t="shared" si="191"/>
        <v>0</v>
      </c>
      <c r="AT307" s="157">
        <f t="shared" si="191"/>
        <v>0</v>
      </c>
      <c r="AU307" s="157">
        <f t="shared" si="191"/>
        <v>0</v>
      </c>
      <c r="AV307" s="157">
        <f t="shared" si="191"/>
        <v>0</v>
      </c>
      <c r="AW307" s="157">
        <f t="shared" si="191"/>
        <v>0</v>
      </c>
      <c r="AX307" s="157">
        <f t="shared" si="191"/>
        <v>0</v>
      </c>
      <c r="AY307" s="157">
        <f t="shared" si="191"/>
        <v>0</v>
      </c>
      <c r="AZ307" s="157">
        <f t="shared" si="191"/>
        <v>0</v>
      </c>
      <c r="BA307" s="157">
        <f t="shared" si="191"/>
        <v>0</v>
      </c>
      <c r="BB307" s="157">
        <f t="shared" si="191"/>
        <v>0</v>
      </c>
      <c r="BC307" s="157">
        <f t="shared" si="191"/>
        <v>0</v>
      </c>
      <c r="BD307" s="157">
        <f t="shared" si="191"/>
        <v>0</v>
      </c>
      <c r="BE307" s="157">
        <f t="shared" si="191"/>
        <v>0</v>
      </c>
      <c r="BF307" s="157">
        <f t="shared" si="191"/>
        <v>0</v>
      </c>
      <c r="BG307" s="157">
        <f t="shared" si="191"/>
        <v>0</v>
      </c>
      <c r="BH307" s="157">
        <f t="shared" si="191"/>
        <v>0</v>
      </c>
      <c r="BI307" s="157">
        <f t="shared" si="191"/>
        <v>0</v>
      </c>
      <c r="BJ307" s="157">
        <f t="shared" si="191"/>
        <v>0</v>
      </c>
      <c r="BK307" s="157">
        <f t="shared" si="191"/>
        <v>0</v>
      </c>
      <c r="BL307" s="157">
        <f t="shared" si="191"/>
        <v>0</v>
      </c>
      <c r="BM307" s="157">
        <f t="shared" si="191"/>
        <v>0</v>
      </c>
      <c r="BN307" s="158">
        <f t="shared" si="191"/>
        <v>0</v>
      </c>
      <c r="BP307" s="383" t="s">
        <v>578</v>
      </c>
      <c r="BQ307" s="1463" t="s">
        <v>1565</v>
      </c>
      <c r="BR307" s="1464"/>
      <c r="BS307" s="1464"/>
      <c r="BT307" s="1464"/>
      <c r="BU307" s="1464"/>
      <c r="BV307" s="1464"/>
      <c r="BW307" s="1464"/>
      <c r="BX307" s="1464"/>
      <c r="BY307" s="1464"/>
      <c r="BZ307" s="1464"/>
      <c r="CA307" s="1464"/>
      <c r="CB307" s="1464"/>
      <c r="CC307" s="1464"/>
      <c r="CD307" s="1464"/>
      <c r="CE307" s="1464"/>
      <c r="CF307" s="1464"/>
      <c r="CG307" s="1465"/>
      <c r="CH307" s="385" t="s">
        <v>1409</v>
      </c>
      <c r="CI307" s="385" t="s">
        <v>1507</v>
      </c>
    </row>
    <row r="308" spans="32:87" ht="20.100000000000001" customHeight="1">
      <c r="AF308" s="1551"/>
      <c r="AG308" s="107" t="s">
        <v>862</v>
      </c>
      <c r="AH308" s="131"/>
      <c r="AI308" s="107">
        <f>INDEX('DEFAULT DATA'!$WD$9:$WJ$41,START!$C$3,1)</f>
        <v>202</v>
      </c>
      <c r="AJ308" s="63">
        <f>INDEX('DEFAULT DATA'!$AIF$9:$AIM$41,START!$C$3,2)</f>
        <v>32.409999999999997</v>
      </c>
      <c r="AK308" s="53">
        <v>0</v>
      </c>
      <c r="AL308" s="123">
        <f t="shared" ref="AL308:BN308" si="192">IF(AND(AL$296&gt;($D$84+2020),AL$296&lt;($E$84+2022)),AK308+($AI$308*$AJ$308*((100-$F$84)/100)*$B$84/($E$84-$D$84+1)/1000000),AK308)</f>
        <v>0</v>
      </c>
      <c r="AM308" s="123">
        <f t="shared" si="192"/>
        <v>0</v>
      </c>
      <c r="AN308" s="123">
        <f t="shared" si="192"/>
        <v>0</v>
      </c>
      <c r="AO308" s="123">
        <f t="shared" si="192"/>
        <v>0</v>
      </c>
      <c r="AP308" s="123">
        <f t="shared" si="192"/>
        <v>0</v>
      </c>
      <c r="AQ308" s="123">
        <f t="shared" si="192"/>
        <v>0</v>
      </c>
      <c r="AR308" s="123">
        <f t="shared" si="192"/>
        <v>0</v>
      </c>
      <c r="AS308" s="123">
        <f t="shared" si="192"/>
        <v>0</v>
      </c>
      <c r="AT308" s="123">
        <f t="shared" si="192"/>
        <v>0</v>
      </c>
      <c r="AU308" s="123">
        <f t="shared" si="192"/>
        <v>0</v>
      </c>
      <c r="AV308" s="123">
        <f t="shared" si="192"/>
        <v>0</v>
      </c>
      <c r="AW308" s="123">
        <f t="shared" si="192"/>
        <v>0</v>
      </c>
      <c r="AX308" s="123">
        <f t="shared" si="192"/>
        <v>0</v>
      </c>
      <c r="AY308" s="123">
        <f t="shared" si="192"/>
        <v>0</v>
      </c>
      <c r="AZ308" s="123">
        <f t="shared" si="192"/>
        <v>0</v>
      </c>
      <c r="BA308" s="123">
        <f t="shared" si="192"/>
        <v>0</v>
      </c>
      <c r="BB308" s="123">
        <f t="shared" si="192"/>
        <v>0</v>
      </c>
      <c r="BC308" s="123">
        <f t="shared" si="192"/>
        <v>0</v>
      </c>
      <c r="BD308" s="123">
        <f t="shared" si="192"/>
        <v>0</v>
      </c>
      <c r="BE308" s="123">
        <f t="shared" si="192"/>
        <v>0</v>
      </c>
      <c r="BF308" s="123">
        <f t="shared" si="192"/>
        <v>0</v>
      </c>
      <c r="BG308" s="123">
        <f t="shared" si="192"/>
        <v>0</v>
      </c>
      <c r="BH308" s="123">
        <f t="shared" si="192"/>
        <v>0</v>
      </c>
      <c r="BI308" s="123">
        <f t="shared" si="192"/>
        <v>0</v>
      </c>
      <c r="BJ308" s="123">
        <f t="shared" si="192"/>
        <v>0</v>
      </c>
      <c r="BK308" s="123">
        <f t="shared" si="192"/>
        <v>0</v>
      </c>
      <c r="BL308" s="123">
        <f t="shared" si="192"/>
        <v>0</v>
      </c>
      <c r="BM308" s="123">
        <f t="shared" si="192"/>
        <v>0</v>
      </c>
      <c r="BN308" s="159">
        <f t="shared" si="192"/>
        <v>0</v>
      </c>
      <c r="BP308" s="383" t="s">
        <v>862</v>
      </c>
      <c r="BQ308" s="1463" t="s">
        <v>1566</v>
      </c>
      <c r="BR308" s="1464"/>
      <c r="BS308" s="1464"/>
      <c r="BT308" s="1464"/>
      <c r="BU308" s="1464"/>
      <c r="BV308" s="1464"/>
      <c r="BW308" s="1464"/>
      <c r="BX308" s="1464"/>
      <c r="BY308" s="1464"/>
      <c r="BZ308" s="1464"/>
      <c r="CA308" s="1464"/>
      <c r="CB308" s="1464"/>
      <c r="CC308" s="1464"/>
      <c r="CD308" s="1464"/>
      <c r="CE308" s="1464"/>
      <c r="CF308" s="1464"/>
      <c r="CG308" s="1465"/>
      <c r="CH308" s="385" t="s">
        <v>1410</v>
      </c>
      <c r="CI308" s="385" t="s">
        <v>886</v>
      </c>
    </row>
    <row r="309" spans="32:87" ht="20.100000000000001" customHeight="1">
      <c r="AF309" s="1551"/>
      <c r="AG309" s="107" t="s">
        <v>863</v>
      </c>
      <c r="AH309" s="131"/>
      <c r="AI309" s="107">
        <f>INDEX('DEFAULT DATA'!$WD$9:$WJ$41,START!$C$3,2)</f>
        <v>267</v>
      </c>
      <c r="AJ309" s="63">
        <f>INDEX('DEFAULT DATA'!$AIF$9:$AIM$41,START!$C$3,3)</f>
        <v>27.01</v>
      </c>
      <c r="AK309" s="53">
        <v>0</v>
      </c>
      <c r="AL309" s="123">
        <f t="shared" ref="AL309:BN309" si="193">IF(AND(AL$296&gt;($D$84+2020),AL$296&lt;($E$84+2022)),AK309+($AI$309*$AJ$309*((100-$F$84)/100)*$B$84/($E$84-$D$84+1)/1000000),AK309)</f>
        <v>0</v>
      </c>
      <c r="AM309" s="123">
        <f t="shared" si="193"/>
        <v>0</v>
      </c>
      <c r="AN309" s="123">
        <f t="shared" si="193"/>
        <v>0</v>
      </c>
      <c r="AO309" s="123">
        <f t="shared" si="193"/>
        <v>0</v>
      </c>
      <c r="AP309" s="123">
        <f t="shared" si="193"/>
        <v>0</v>
      </c>
      <c r="AQ309" s="123">
        <f t="shared" si="193"/>
        <v>0</v>
      </c>
      <c r="AR309" s="123">
        <f t="shared" si="193"/>
        <v>0</v>
      </c>
      <c r="AS309" s="123">
        <f t="shared" si="193"/>
        <v>0</v>
      </c>
      <c r="AT309" s="123">
        <f t="shared" si="193"/>
        <v>0</v>
      </c>
      <c r="AU309" s="123">
        <f t="shared" si="193"/>
        <v>0</v>
      </c>
      <c r="AV309" s="123">
        <f t="shared" si="193"/>
        <v>0</v>
      </c>
      <c r="AW309" s="123">
        <f t="shared" si="193"/>
        <v>0</v>
      </c>
      <c r="AX309" s="123">
        <f t="shared" si="193"/>
        <v>0</v>
      </c>
      <c r="AY309" s="123">
        <f t="shared" si="193"/>
        <v>0</v>
      </c>
      <c r="AZ309" s="123">
        <f t="shared" si="193"/>
        <v>0</v>
      </c>
      <c r="BA309" s="123">
        <f t="shared" si="193"/>
        <v>0</v>
      </c>
      <c r="BB309" s="123">
        <f t="shared" si="193"/>
        <v>0</v>
      </c>
      <c r="BC309" s="123">
        <f t="shared" si="193"/>
        <v>0</v>
      </c>
      <c r="BD309" s="123">
        <f t="shared" si="193"/>
        <v>0</v>
      </c>
      <c r="BE309" s="123">
        <f t="shared" si="193"/>
        <v>0</v>
      </c>
      <c r="BF309" s="123">
        <f t="shared" si="193"/>
        <v>0</v>
      </c>
      <c r="BG309" s="123">
        <f t="shared" si="193"/>
        <v>0</v>
      </c>
      <c r="BH309" s="123">
        <f t="shared" si="193"/>
        <v>0</v>
      </c>
      <c r="BI309" s="123">
        <f t="shared" si="193"/>
        <v>0</v>
      </c>
      <c r="BJ309" s="123">
        <f t="shared" si="193"/>
        <v>0</v>
      </c>
      <c r="BK309" s="123">
        <f t="shared" si="193"/>
        <v>0</v>
      </c>
      <c r="BL309" s="123">
        <f t="shared" si="193"/>
        <v>0</v>
      </c>
      <c r="BM309" s="123">
        <f t="shared" si="193"/>
        <v>0</v>
      </c>
      <c r="BN309" s="159">
        <f t="shared" si="193"/>
        <v>0</v>
      </c>
      <c r="BP309" s="383" t="s">
        <v>863</v>
      </c>
      <c r="BQ309" s="1463" t="s">
        <v>1567</v>
      </c>
      <c r="BR309" s="1464"/>
      <c r="BS309" s="1464"/>
      <c r="BT309" s="1464"/>
      <c r="BU309" s="1464"/>
      <c r="BV309" s="1464"/>
      <c r="BW309" s="1464"/>
      <c r="BX309" s="1464"/>
      <c r="BY309" s="1464"/>
      <c r="BZ309" s="1464"/>
      <c r="CA309" s="1464"/>
      <c r="CB309" s="1464"/>
      <c r="CC309" s="1464"/>
      <c r="CD309" s="1464"/>
      <c r="CE309" s="1464"/>
      <c r="CF309" s="1464"/>
      <c r="CG309" s="1465"/>
      <c r="CH309" s="385" t="s">
        <v>1411</v>
      </c>
      <c r="CI309" s="385" t="s">
        <v>1247</v>
      </c>
    </row>
    <row r="310" spans="32:87" ht="20.100000000000001" customHeight="1">
      <c r="AF310" s="1551"/>
      <c r="AG310" s="107" t="s">
        <v>864</v>
      </c>
      <c r="AH310" s="131"/>
      <c r="AI310" s="107">
        <f>INDEX('DEFAULT DATA'!$WD$9:$WJ$41,START!$C$3,3)</f>
        <v>354</v>
      </c>
      <c r="AJ310" s="63">
        <f>INDEX('DEFAULT DATA'!$AIF$9:$AIM$41,START!$C$3,4)</f>
        <v>0</v>
      </c>
      <c r="AK310" s="53">
        <v>0</v>
      </c>
      <c r="AL310" s="123">
        <f t="shared" ref="AL310:BN310" si="194">IF(AND(AL$296&gt;($D$84+2020),AL$296&lt;($E$84+2022)),AK310+($AI$310*$AJ$310*((100-$F$84)/100)*$B$84/($E$84-$D$84+1)/1000000),AK310)</f>
        <v>0</v>
      </c>
      <c r="AM310" s="123">
        <f t="shared" si="194"/>
        <v>0</v>
      </c>
      <c r="AN310" s="123">
        <f t="shared" si="194"/>
        <v>0</v>
      </c>
      <c r="AO310" s="123">
        <f t="shared" si="194"/>
        <v>0</v>
      </c>
      <c r="AP310" s="123">
        <f t="shared" si="194"/>
        <v>0</v>
      </c>
      <c r="AQ310" s="123">
        <f t="shared" si="194"/>
        <v>0</v>
      </c>
      <c r="AR310" s="123">
        <f t="shared" si="194"/>
        <v>0</v>
      </c>
      <c r="AS310" s="123">
        <f t="shared" si="194"/>
        <v>0</v>
      </c>
      <c r="AT310" s="123">
        <f t="shared" si="194"/>
        <v>0</v>
      </c>
      <c r="AU310" s="123">
        <f t="shared" si="194"/>
        <v>0</v>
      </c>
      <c r="AV310" s="123">
        <f t="shared" si="194"/>
        <v>0</v>
      </c>
      <c r="AW310" s="123">
        <f t="shared" si="194"/>
        <v>0</v>
      </c>
      <c r="AX310" s="123">
        <f t="shared" si="194"/>
        <v>0</v>
      </c>
      <c r="AY310" s="123">
        <f t="shared" si="194"/>
        <v>0</v>
      </c>
      <c r="AZ310" s="123">
        <f t="shared" si="194"/>
        <v>0</v>
      </c>
      <c r="BA310" s="123">
        <f t="shared" si="194"/>
        <v>0</v>
      </c>
      <c r="BB310" s="123">
        <f t="shared" si="194"/>
        <v>0</v>
      </c>
      <c r="BC310" s="123">
        <f t="shared" si="194"/>
        <v>0</v>
      </c>
      <c r="BD310" s="123">
        <f t="shared" si="194"/>
        <v>0</v>
      </c>
      <c r="BE310" s="123">
        <f t="shared" si="194"/>
        <v>0</v>
      </c>
      <c r="BF310" s="123">
        <f t="shared" si="194"/>
        <v>0</v>
      </c>
      <c r="BG310" s="123">
        <f t="shared" si="194"/>
        <v>0</v>
      </c>
      <c r="BH310" s="123">
        <f t="shared" si="194"/>
        <v>0</v>
      </c>
      <c r="BI310" s="123">
        <f t="shared" si="194"/>
        <v>0</v>
      </c>
      <c r="BJ310" s="123">
        <f t="shared" si="194"/>
        <v>0</v>
      </c>
      <c r="BK310" s="123">
        <f t="shared" si="194"/>
        <v>0</v>
      </c>
      <c r="BL310" s="123">
        <f t="shared" si="194"/>
        <v>0</v>
      </c>
      <c r="BM310" s="123">
        <f t="shared" si="194"/>
        <v>0</v>
      </c>
      <c r="BN310" s="159">
        <f t="shared" si="194"/>
        <v>0</v>
      </c>
      <c r="BP310" s="383" t="s">
        <v>864</v>
      </c>
      <c r="BQ310" s="1463" t="s">
        <v>1568</v>
      </c>
      <c r="BR310" s="1464"/>
      <c r="BS310" s="1464"/>
      <c r="BT310" s="1464"/>
      <c r="BU310" s="1464"/>
      <c r="BV310" s="1464"/>
      <c r="BW310" s="1464"/>
      <c r="BX310" s="1464"/>
      <c r="BY310" s="1464"/>
      <c r="BZ310" s="1464"/>
      <c r="CA310" s="1464"/>
      <c r="CB310" s="1464"/>
      <c r="CC310" s="1464"/>
      <c r="CD310" s="1464"/>
      <c r="CE310" s="1464"/>
      <c r="CF310" s="1464"/>
      <c r="CG310" s="1465"/>
      <c r="CH310" s="385" t="s">
        <v>1412</v>
      </c>
      <c r="CI310" s="385" t="s">
        <v>1248</v>
      </c>
    </row>
    <row r="311" spans="32:87" ht="20.100000000000001" customHeight="1">
      <c r="AF311" s="1551"/>
      <c r="AG311" s="107" t="s">
        <v>865</v>
      </c>
      <c r="AH311" s="131"/>
      <c r="AI311" s="107">
        <f>INDEX('DEFAULT DATA'!$WD$9:$WJ$41,START!$C$3,4)</f>
        <v>382</v>
      </c>
      <c r="AJ311" s="63">
        <f>INDEX('DEFAULT DATA'!$AIF$9:$AIM$41,START!$C$3,5)</f>
        <v>2.52</v>
      </c>
      <c r="AK311" s="53">
        <v>0</v>
      </c>
      <c r="AL311" s="123">
        <f t="shared" ref="AL311:BN311" si="195">IF(AND(AL$296&gt;($D$84+2020),AL$296&lt;($E$84+2022)),AK311+($AI$311*$AJ$311*((100-$F$84)/100)*$B$84/($E$84-$D$84+1)/1000000),AK311)</f>
        <v>0</v>
      </c>
      <c r="AM311" s="123">
        <f t="shared" si="195"/>
        <v>0</v>
      </c>
      <c r="AN311" s="123">
        <f t="shared" si="195"/>
        <v>0</v>
      </c>
      <c r="AO311" s="123">
        <f t="shared" si="195"/>
        <v>0</v>
      </c>
      <c r="AP311" s="123">
        <f t="shared" si="195"/>
        <v>0</v>
      </c>
      <c r="AQ311" s="123">
        <f t="shared" si="195"/>
        <v>0</v>
      </c>
      <c r="AR311" s="123">
        <f t="shared" si="195"/>
        <v>0</v>
      </c>
      <c r="AS311" s="123">
        <f t="shared" si="195"/>
        <v>0</v>
      </c>
      <c r="AT311" s="123">
        <f t="shared" si="195"/>
        <v>0</v>
      </c>
      <c r="AU311" s="123">
        <f t="shared" si="195"/>
        <v>0</v>
      </c>
      <c r="AV311" s="123">
        <f t="shared" si="195"/>
        <v>0</v>
      </c>
      <c r="AW311" s="123">
        <f t="shared" si="195"/>
        <v>0</v>
      </c>
      <c r="AX311" s="123">
        <f t="shared" si="195"/>
        <v>0</v>
      </c>
      <c r="AY311" s="123">
        <f t="shared" si="195"/>
        <v>0</v>
      </c>
      <c r="AZ311" s="123">
        <f t="shared" si="195"/>
        <v>0</v>
      </c>
      <c r="BA311" s="123">
        <f t="shared" si="195"/>
        <v>0</v>
      </c>
      <c r="BB311" s="123">
        <f t="shared" si="195"/>
        <v>0</v>
      </c>
      <c r="BC311" s="123">
        <f t="shared" si="195"/>
        <v>0</v>
      </c>
      <c r="BD311" s="123">
        <f t="shared" si="195"/>
        <v>0</v>
      </c>
      <c r="BE311" s="123">
        <f t="shared" si="195"/>
        <v>0</v>
      </c>
      <c r="BF311" s="123">
        <f t="shared" si="195"/>
        <v>0</v>
      </c>
      <c r="BG311" s="123">
        <f t="shared" si="195"/>
        <v>0</v>
      </c>
      <c r="BH311" s="123">
        <f t="shared" si="195"/>
        <v>0</v>
      </c>
      <c r="BI311" s="123">
        <f t="shared" si="195"/>
        <v>0</v>
      </c>
      <c r="BJ311" s="123">
        <f t="shared" si="195"/>
        <v>0</v>
      </c>
      <c r="BK311" s="123">
        <f t="shared" si="195"/>
        <v>0</v>
      </c>
      <c r="BL311" s="123">
        <f t="shared" si="195"/>
        <v>0</v>
      </c>
      <c r="BM311" s="123">
        <f t="shared" si="195"/>
        <v>0</v>
      </c>
      <c r="BN311" s="159">
        <f t="shared" si="195"/>
        <v>0</v>
      </c>
      <c r="BP311" s="383" t="s">
        <v>865</v>
      </c>
      <c r="BQ311" s="1463" t="s">
        <v>1569</v>
      </c>
      <c r="BR311" s="1464"/>
      <c r="BS311" s="1464"/>
      <c r="BT311" s="1464"/>
      <c r="BU311" s="1464"/>
      <c r="BV311" s="1464"/>
      <c r="BW311" s="1464"/>
      <c r="BX311" s="1464"/>
      <c r="BY311" s="1464"/>
      <c r="BZ311" s="1464"/>
      <c r="CA311" s="1464"/>
      <c r="CB311" s="1464"/>
      <c r="CC311" s="1464"/>
      <c r="CD311" s="1464"/>
      <c r="CE311" s="1464"/>
      <c r="CF311" s="1464"/>
      <c r="CG311" s="1465"/>
      <c r="CH311" s="385" t="s">
        <v>1413</v>
      </c>
      <c r="CI311" s="385" t="s">
        <v>1249</v>
      </c>
    </row>
    <row r="312" spans="32:87" ht="20.100000000000001" customHeight="1">
      <c r="AF312" s="1551"/>
      <c r="AG312" s="107" t="s">
        <v>866</v>
      </c>
      <c r="AH312" s="131"/>
      <c r="AI312" s="107">
        <f>INDEX('DEFAULT DATA'!$WD$9:$WJ$41,START!$C$3,5)</f>
        <v>403</v>
      </c>
      <c r="AJ312" s="63">
        <f>INDEX('DEFAULT DATA'!$AIF$9:$AIM$41,START!$C$3,6)</f>
        <v>3.06</v>
      </c>
      <c r="AK312" s="53">
        <v>0</v>
      </c>
      <c r="AL312" s="123">
        <f t="shared" ref="AL312:BN312" si="196">IF(AND(AL$296&gt;($D$84+2020),AL$296&lt;($E$84+2022)),AK312+($AI$312*$AJ$312*((100-$F$84)/100)*$B$84/($E$84-$D$84+1)/1000000),AK312)</f>
        <v>0</v>
      </c>
      <c r="AM312" s="123">
        <f t="shared" si="196"/>
        <v>0</v>
      </c>
      <c r="AN312" s="123">
        <f t="shared" si="196"/>
        <v>0</v>
      </c>
      <c r="AO312" s="123">
        <f t="shared" si="196"/>
        <v>0</v>
      </c>
      <c r="AP312" s="123">
        <f t="shared" si="196"/>
        <v>0</v>
      </c>
      <c r="AQ312" s="123">
        <f t="shared" si="196"/>
        <v>0</v>
      </c>
      <c r="AR312" s="123">
        <f t="shared" si="196"/>
        <v>0</v>
      </c>
      <c r="AS312" s="123">
        <f t="shared" si="196"/>
        <v>0</v>
      </c>
      <c r="AT312" s="123">
        <f t="shared" si="196"/>
        <v>0</v>
      </c>
      <c r="AU312" s="123">
        <f t="shared" si="196"/>
        <v>0</v>
      </c>
      <c r="AV312" s="123">
        <f t="shared" si="196"/>
        <v>0</v>
      </c>
      <c r="AW312" s="123">
        <f t="shared" si="196"/>
        <v>0</v>
      </c>
      <c r="AX312" s="123">
        <f t="shared" si="196"/>
        <v>0</v>
      </c>
      <c r="AY312" s="123">
        <f t="shared" si="196"/>
        <v>0</v>
      </c>
      <c r="AZ312" s="123">
        <f t="shared" si="196"/>
        <v>0</v>
      </c>
      <c r="BA312" s="123">
        <f t="shared" si="196"/>
        <v>0</v>
      </c>
      <c r="BB312" s="123">
        <f t="shared" si="196"/>
        <v>0</v>
      </c>
      <c r="BC312" s="123">
        <f t="shared" si="196"/>
        <v>0</v>
      </c>
      <c r="BD312" s="123">
        <f t="shared" si="196"/>
        <v>0</v>
      </c>
      <c r="BE312" s="123">
        <f t="shared" si="196"/>
        <v>0</v>
      </c>
      <c r="BF312" s="123">
        <f t="shared" si="196"/>
        <v>0</v>
      </c>
      <c r="BG312" s="123">
        <f t="shared" si="196"/>
        <v>0</v>
      </c>
      <c r="BH312" s="123">
        <f t="shared" si="196"/>
        <v>0</v>
      </c>
      <c r="BI312" s="123">
        <f t="shared" si="196"/>
        <v>0</v>
      </c>
      <c r="BJ312" s="123">
        <f t="shared" si="196"/>
        <v>0</v>
      </c>
      <c r="BK312" s="123">
        <f t="shared" si="196"/>
        <v>0</v>
      </c>
      <c r="BL312" s="123">
        <f t="shared" si="196"/>
        <v>0</v>
      </c>
      <c r="BM312" s="123">
        <f t="shared" si="196"/>
        <v>0</v>
      </c>
      <c r="BN312" s="159">
        <f t="shared" si="196"/>
        <v>0</v>
      </c>
      <c r="BP312" s="383" t="s">
        <v>866</v>
      </c>
      <c r="BQ312" s="1463" t="s">
        <v>1570</v>
      </c>
      <c r="BR312" s="1464"/>
      <c r="BS312" s="1464"/>
      <c r="BT312" s="1464"/>
      <c r="BU312" s="1464"/>
      <c r="BV312" s="1464"/>
      <c r="BW312" s="1464"/>
      <c r="BX312" s="1464"/>
      <c r="BY312" s="1464"/>
      <c r="BZ312" s="1464"/>
      <c r="CA312" s="1464"/>
      <c r="CB312" s="1464"/>
      <c r="CC312" s="1464"/>
      <c r="CD312" s="1464"/>
      <c r="CE312" s="1464"/>
      <c r="CF312" s="1464"/>
      <c r="CG312" s="1465"/>
      <c r="CH312" s="385" t="s">
        <v>1414</v>
      </c>
      <c r="CI312" s="385" t="s">
        <v>1250</v>
      </c>
    </row>
    <row r="313" spans="32:87" ht="20.100000000000001" customHeight="1">
      <c r="AF313" s="1551"/>
      <c r="AG313" s="107" t="s">
        <v>867</v>
      </c>
      <c r="AH313" s="131"/>
      <c r="AI313" s="107">
        <f>INDEX('DEFAULT DATA'!$WD$9:$WJ$41,START!$C$3,6)</f>
        <v>0</v>
      </c>
      <c r="AJ313" s="63">
        <f>INDEX('DEFAULT DATA'!$AIF$9:$AIM$41,START!$C$3,7)</f>
        <v>0</v>
      </c>
      <c r="AK313" s="53">
        <v>0</v>
      </c>
      <c r="AL313" s="123">
        <f t="shared" ref="AL313:BN313" si="197">IF(AND(AL$296&gt;($D$84+2020),AL$296&lt;($E$84+2022)),AK313+($AI$313*$AJ$313*((100-$F$84)/100)*$B$84/($E$84-$D$84+1)/1000000),AK313)</f>
        <v>0</v>
      </c>
      <c r="AM313" s="123">
        <f t="shared" si="197"/>
        <v>0</v>
      </c>
      <c r="AN313" s="123">
        <f t="shared" si="197"/>
        <v>0</v>
      </c>
      <c r="AO313" s="123">
        <f t="shared" si="197"/>
        <v>0</v>
      </c>
      <c r="AP313" s="123">
        <f t="shared" si="197"/>
        <v>0</v>
      </c>
      <c r="AQ313" s="123">
        <f t="shared" si="197"/>
        <v>0</v>
      </c>
      <c r="AR313" s="123">
        <f t="shared" si="197"/>
        <v>0</v>
      </c>
      <c r="AS313" s="123">
        <f t="shared" si="197"/>
        <v>0</v>
      </c>
      <c r="AT313" s="123">
        <f t="shared" si="197"/>
        <v>0</v>
      </c>
      <c r="AU313" s="123">
        <f t="shared" si="197"/>
        <v>0</v>
      </c>
      <c r="AV313" s="123">
        <f t="shared" si="197"/>
        <v>0</v>
      </c>
      <c r="AW313" s="123">
        <f t="shared" si="197"/>
        <v>0</v>
      </c>
      <c r="AX313" s="123">
        <f t="shared" si="197"/>
        <v>0</v>
      </c>
      <c r="AY313" s="123">
        <f t="shared" si="197"/>
        <v>0</v>
      </c>
      <c r="AZ313" s="123">
        <f t="shared" si="197"/>
        <v>0</v>
      </c>
      <c r="BA313" s="123">
        <f t="shared" si="197"/>
        <v>0</v>
      </c>
      <c r="BB313" s="123">
        <f t="shared" si="197"/>
        <v>0</v>
      </c>
      <c r="BC313" s="123">
        <f t="shared" si="197"/>
        <v>0</v>
      </c>
      <c r="BD313" s="123">
        <f t="shared" si="197"/>
        <v>0</v>
      </c>
      <c r="BE313" s="123">
        <f t="shared" si="197"/>
        <v>0</v>
      </c>
      <c r="BF313" s="123">
        <f t="shared" si="197"/>
        <v>0</v>
      </c>
      <c r="BG313" s="123">
        <f t="shared" si="197"/>
        <v>0</v>
      </c>
      <c r="BH313" s="123">
        <f t="shared" si="197"/>
        <v>0</v>
      </c>
      <c r="BI313" s="123">
        <f t="shared" si="197"/>
        <v>0</v>
      </c>
      <c r="BJ313" s="123">
        <f t="shared" si="197"/>
        <v>0</v>
      </c>
      <c r="BK313" s="123">
        <f t="shared" si="197"/>
        <v>0</v>
      </c>
      <c r="BL313" s="123">
        <f t="shared" si="197"/>
        <v>0</v>
      </c>
      <c r="BM313" s="123">
        <f t="shared" si="197"/>
        <v>0</v>
      </c>
      <c r="BN313" s="159">
        <f t="shared" si="197"/>
        <v>0</v>
      </c>
      <c r="BP313" s="383" t="s">
        <v>867</v>
      </c>
      <c r="BQ313" s="1463" t="s">
        <v>1571</v>
      </c>
      <c r="BR313" s="1464"/>
      <c r="BS313" s="1464"/>
      <c r="BT313" s="1464"/>
      <c r="BU313" s="1464"/>
      <c r="BV313" s="1464"/>
      <c r="BW313" s="1464"/>
      <c r="BX313" s="1464"/>
      <c r="BY313" s="1464"/>
      <c r="BZ313" s="1464"/>
      <c r="CA313" s="1464"/>
      <c r="CB313" s="1464"/>
      <c r="CC313" s="1464"/>
      <c r="CD313" s="1464"/>
      <c r="CE313" s="1464"/>
      <c r="CF313" s="1464"/>
      <c r="CG313" s="1465"/>
      <c r="CH313" s="385" t="s">
        <v>1415</v>
      </c>
      <c r="CI313" s="385" t="s">
        <v>1251</v>
      </c>
    </row>
    <row r="314" spans="32:87" ht="20.100000000000001" customHeight="1" thickBot="1">
      <c r="AF314" s="1552"/>
      <c r="AG314" s="146" t="s">
        <v>868</v>
      </c>
      <c r="AH314" s="139"/>
      <c r="AI314" s="146" t="s">
        <v>1123</v>
      </c>
      <c r="AJ314" s="113">
        <f>INDEX('DEFAULT DATA'!$AIF$9:$AIM$41,START!$C$3,8)</f>
        <v>4.4965266808490847E-2</v>
      </c>
      <c r="AK314" s="54">
        <v>0</v>
      </c>
      <c r="AL314" s="160">
        <f t="shared" ref="AL314:BN314" si="198">IF(AND(AL$296&gt;($D$84+2020),AL$296&lt;($E$84+2022)),AK314+(AL$6*$AJ$314*((100-$F$84)/100)*$B$84/($E$84-$D$84+1)/1000000),AK314)</f>
        <v>0</v>
      </c>
      <c r="AM314" s="160">
        <f t="shared" si="198"/>
        <v>0</v>
      </c>
      <c r="AN314" s="160">
        <f t="shared" si="198"/>
        <v>0</v>
      </c>
      <c r="AO314" s="160">
        <f t="shared" si="198"/>
        <v>0</v>
      </c>
      <c r="AP314" s="160">
        <f t="shared" si="198"/>
        <v>0</v>
      </c>
      <c r="AQ314" s="160">
        <f t="shared" si="198"/>
        <v>0</v>
      </c>
      <c r="AR314" s="160">
        <f t="shared" si="198"/>
        <v>0</v>
      </c>
      <c r="AS314" s="160">
        <f t="shared" si="198"/>
        <v>0</v>
      </c>
      <c r="AT314" s="160">
        <f t="shared" si="198"/>
        <v>0</v>
      </c>
      <c r="AU314" s="160">
        <f t="shared" si="198"/>
        <v>0</v>
      </c>
      <c r="AV314" s="160">
        <f t="shared" si="198"/>
        <v>0</v>
      </c>
      <c r="AW314" s="160">
        <f t="shared" si="198"/>
        <v>0</v>
      </c>
      <c r="AX314" s="160">
        <f t="shared" si="198"/>
        <v>0</v>
      </c>
      <c r="AY314" s="160">
        <f t="shared" si="198"/>
        <v>0</v>
      </c>
      <c r="AZ314" s="160">
        <f t="shared" si="198"/>
        <v>0</v>
      </c>
      <c r="BA314" s="160">
        <f t="shared" si="198"/>
        <v>0</v>
      </c>
      <c r="BB314" s="160">
        <f t="shared" si="198"/>
        <v>0</v>
      </c>
      <c r="BC314" s="160">
        <f t="shared" si="198"/>
        <v>0</v>
      </c>
      <c r="BD314" s="160">
        <f t="shared" si="198"/>
        <v>0</v>
      </c>
      <c r="BE314" s="160">
        <f t="shared" si="198"/>
        <v>0</v>
      </c>
      <c r="BF314" s="160">
        <f t="shared" si="198"/>
        <v>0</v>
      </c>
      <c r="BG314" s="160">
        <f t="shared" si="198"/>
        <v>0</v>
      </c>
      <c r="BH314" s="160">
        <f t="shared" si="198"/>
        <v>0</v>
      </c>
      <c r="BI314" s="160">
        <f t="shared" si="198"/>
        <v>0</v>
      </c>
      <c r="BJ314" s="160">
        <f t="shared" si="198"/>
        <v>0</v>
      </c>
      <c r="BK314" s="160">
        <f t="shared" si="198"/>
        <v>0</v>
      </c>
      <c r="BL314" s="160">
        <f t="shared" si="198"/>
        <v>0</v>
      </c>
      <c r="BM314" s="160">
        <f t="shared" si="198"/>
        <v>0</v>
      </c>
      <c r="BN314" s="161">
        <f t="shared" si="198"/>
        <v>0</v>
      </c>
      <c r="BP314" s="383" t="s">
        <v>868</v>
      </c>
      <c r="BQ314" s="1463" t="s">
        <v>1572</v>
      </c>
      <c r="BR314" s="1464"/>
      <c r="BS314" s="1464"/>
      <c r="BT314" s="1464"/>
      <c r="BU314" s="1464"/>
      <c r="BV314" s="1464"/>
      <c r="BW314" s="1464"/>
      <c r="BX314" s="1464"/>
      <c r="BY314" s="1464"/>
      <c r="BZ314" s="1464"/>
      <c r="CA314" s="1464"/>
      <c r="CB314" s="1464"/>
      <c r="CC314" s="1464"/>
      <c r="CD314" s="1464"/>
      <c r="CE314" s="1464"/>
      <c r="CF314" s="1464"/>
      <c r="CG314" s="1465"/>
      <c r="CH314" s="385" t="s">
        <v>1416</v>
      </c>
      <c r="CI314" s="385" t="s">
        <v>1508</v>
      </c>
    </row>
    <row r="315" spans="32:87" ht="20.100000000000001" customHeight="1">
      <c r="AF315" s="147"/>
      <c r="AG315" s="136" t="s">
        <v>1085</v>
      </c>
      <c r="AH315" s="136"/>
      <c r="AI315" s="136"/>
      <c r="AJ315" s="136"/>
      <c r="AK315" s="173">
        <f>SUM(AK307:AK314)</f>
        <v>0</v>
      </c>
      <c r="AL315" s="162">
        <f>SUM(AL307:AL314)</f>
        <v>0</v>
      </c>
      <c r="AM315" s="162">
        <f t="shared" ref="AM315:BN315" si="199">SUM(AM307:AM314)</f>
        <v>0</v>
      </c>
      <c r="AN315" s="162">
        <f t="shared" si="199"/>
        <v>0</v>
      </c>
      <c r="AO315" s="162">
        <f t="shared" si="199"/>
        <v>0</v>
      </c>
      <c r="AP315" s="162">
        <f t="shared" si="199"/>
        <v>0</v>
      </c>
      <c r="AQ315" s="162">
        <f t="shared" si="199"/>
        <v>0</v>
      </c>
      <c r="AR315" s="162">
        <f t="shared" si="199"/>
        <v>0</v>
      </c>
      <c r="AS315" s="162">
        <f t="shared" si="199"/>
        <v>0</v>
      </c>
      <c r="AT315" s="162">
        <f t="shared" si="199"/>
        <v>0</v>
      </c>
      <c r="AU315" s="162">
        <f t="shared" si="199"/>
        <v>0</v>
      </c>
      <c r="AV315" s="162">
        <f t="shared" si="199"/>
        <v>0</v>
      </c>
      <c r="AW315" s="162">
        <f t="shared" si="199"/>
        <v>0</v>
      </c>
      <c r="AX315" s="162">
        <f t="shared" si="199"/>
        <v>0</v>
      </c>
      <c r="AY315" s="162">
        <f t="shared" si="199"/>
        <v>0</v>
      </c>
      <c r="AZ315" s="162">
        <f t="shared" si="199"/>
        <v>0</v>
      </c>
      <c r="BA315" s="162">
        <f t="shared" si="199"/>
        <v>0</v>
      </c>
      <c r="BB315" s="162">
        <f t="shared" si="199"/>
        <v>0</v>
      </c>
      <c r="BC315" s="162">
        <f t="shared" si="199"/>
        <v>0</v>
      </c>
      <c r="BD315" s="162">
        <f t="shared" si="199"/>
        <v>0</v>
      </c>
      <c r="BE315" s="162">
        <f t="shared" si="199"/>
        <v>0</v>
      </c>
      <c r="BF315" s="162">
        <f t="shared" si="199"/>
        <v>0</v>
      </c>
      <c r="BG315" s="162">
        <f t="shared" si="199"/>
        <v>0</v>
      </c>
      <c r="BH315" s="162">
        <f t="shared" si="199"/>
        <v>0</v>
      </c>
      <c r="BI315" s="162">
        <f t="shared" si="199"/>
        <v>0</v>
      </c>
      <c r="BJ315" s="162">
        <f t="shared" si="199"/>
        <v>0</v>
      </c>
      <c r="BK315" s="162">
        <f t="shared" si="199"/>
        <v>0</v>
      </c>
      <c r="BL315" s="162">
        <f t="shared" si="199"/>
        <v>0</v>
      </c>
      <c r="BM315" s="162">
        <f t="shared" si="199"/>
        <v>0</v>
      </c>
      <c r="BN315" s="162">
        <f t="shared" si="199"/>
        <v>0</v>
      </c>
    </row>
    <row r="316" spans="32:87" ht="20.100000000000001" customHeight="1" thickBot="1">
      <c r="AK316" s="171"/>
      <c r="BP316" s="3" t="s">
        <v>872</v>
      </c>
      <c r="CH316" s="386" t="s">
        <v>1506</v>
      </c>
      <c r="CI316" s="6" t="s">
        <v>1224</v>
      </c>
    </row>
    <row r="317" spans="32:87" ht="20.100000000000001" customHeight="1">
      <c r="AF317" s="1550" t="str">
        <f>AF226</f>
        <v>Hospitality</v>
      </c>
      <c r="AG317" s="137" t="s">
        <v>578</v>
      </c>
      <c r="AH317" s="138"/>
      <c r="AI317" s="137" t="s">
        <v>1122</v>
      </c>
      <c r="AJ317" s="148">
        <f>INDEX('DEFAULT DATA'!$AIN$9:$AIU$41,START!$C$3,1)</f>
        <v>350</v>
      </c>
      <c r="AK317" s="173">
        <v>0</v>
      </c>
      <c r="AL317" s="157">
        <f t="shared" ref="AL317:BN317" si="200">IF(AND(AL$296&gt;($D$85+2020),AL$296&lt;($E$85+2022)),AK317+(AL$5*$AJ$317*((100-$F$85)/100)*$B$85/($E$85-$D$85+1)/1000000),AK317)</f>
        <v>0</v>
      </c>
      <c r="AM317" s="157">
        <f t="shared" si="200"/>
        <v>0</v>
      </c>
      <c r="AN317" s="157">
        <f t="shared" si="200"/>
        <v>0</v>
      </c>
      <c r="AO317" s="157">
        <f t="shared" si="200"/>
        <v>0</v>
      </c>
      <c r="AP317" s="157">
        <f t="shared" si="200"/>
        <v>0</v>
      </c>
      <c r="AQ317" s="157">
        <f t="shared" si="200"/>
        <v>0</v>
      </c>
      <c r="AR317" s="157">
        <f t="shared" si="200"/>
        <v>0</v>
      </c>
      <c r="AS317" s="157">
        <f t="shared" si="200"/>
        <v>0</v>
      </c>
      <c r="AT317" s="157">
        <f t="shared" si="200"/>
        <v>0</v>
      </c>
      <c r="AU317" s="157">
        <f t="shared" si="200"/>
        <v>0</v>
      </c>
      <c r="AV317" s="157">
        <f t="shared" si="200"/>
        <v>0</v>
      </c>
      <c r="AW317" s="157">
        <f t="shared" si="200"/>
        <v>0</v>
      </c>
      <c r="AX317" s="157">
        <f t="shared" si="200"/>
        <v>0</v>
      </c>
      <c r="AY317" s="157">
        <f t="shared" si="200"/>
        <v>0</v>
      </c>
      <c r="AZ317" s="157">
        <f t="shared" si="200"/>
        <v>0</v>
      </c>
      <c r="BA317" s="157">
        <f t="shared" si="200"/>
        <v>0</v>
      </c>
      <c r="BB317" s="157">
        <f t="shared" si="200"/>
        <v>0</v>
      </c>
      <c r="BC317" s="157">
        <f t="shared" si="200"/>
        <v>0</v>
      </c>
      <c r="BD317" s="157">
        <f t="shared" si="200"/>
        <v>0</v>
      </c>
      <c r="BE317" s="157">
        <f t="shared" si="200"/>
        <v>0</v>
      </c>
      <c r="BF317" s="157">
        <f t="shared" si="200"/>
        <v>0</v>
      </c>
      <c r="BG317" s="157">
        <f t="shared" si="200"/>
        <v>0</v>
      </c>
      <c r="BH317" s="157">
        <f t="shared" si="200"/>
        <v>0</v>
      </c>
      <c r="BI317" s="157">
        <f t="shared" si="200"/>
        <v>0</v>
      </c>
      <c r="BJ317" s="157">
        <f t="shared" si="200"/>
        <v>0</v>
      </c>
      <c r="BK317" s="157">
        <f t="shared" si="200"/>
        <v>0</v>
      </c>
      <c r="BL317" s="157">
        <f t="shared" si="200"/>
        <v>0</v>
      </c>
      <c r="BM317" s="157">
        <f t="shared" si="200"/>
        <v>0</v>
      </c>
      <c r="BN317" s="158">
        <f t="shared" si="200"/>
        <v>0</v>
      </c>
      <c r="BP317" s="383" t="s">
        <v>578</v>
      </c>
      <c r="BQ317" s="1463" t="s">
        <v>1573</v>
      </c>
      <c r="BR317" s="1464"/>
      <c r="BS317" s="1464"/>
      <c r="BT317" s="1464"/>
      <c r="BU317" s="1464"/>
      <c r="BV317" s="1464"/>
      <c r="BW317" s="1464"/>
      <c r="BX317" s="1464"/>
      <c r="BY317" s="1464"/>
      <c r="BZ317" s="1464"/>
      <c r="CA317" s="1464"/>
      <c r="CB317" s="1464"/>
      <c r="CC317" s="1464"/>
      <c r="CD317" s="1464"/>
      <c r="CE317" s="1464"/>
      <c r="CF317" s="1464"/>
      <c r="CG317" s="1465"/>
      <c r="CH317" s="385" t="s">
        <v>1417</v>
      </c>
      <c r="CI317" s="385" t="s">
        <v>1507</v>
      </c>
    </row>
    <row r="318" spans="32:87" ht="20.100000000000001" customHeight="1">
      <c r="AF318" s="1551"/>
      <c r="AG318" s="107" t="s">
        <v>862</v>
      </c>
      <c r="AH318" s="131"/>
      <c r="AI318" s="107">
        <f>INDEX('DEFAULT DATA'!$WD$9:$WJ$41,START!$C$3,1)</f>
        <v>202</v>
      </c>
      <c r="AJ318" s="63">
        <f>INDEX('DEFAULT DATA'!$AIN$9:$AIU$41,START!$C$3,2)</f>
        <v>64.819999999999993</v>
      </c>
      <c r="AK318" s="53">
        <v>0</v>
      </c>
      <c r="AL318" s="123">
        <f t="shared" ref="AL318:BN318" si="201">IF(AND(AL$296&gt;($D$85+2020),AL$296&lt;($E$85+2022)),AK318+($AI$318*$AJ$318*((100-$F$85)/100)*$B$85/($E$85-$D$85+1)/1000000),AK318)</f>
        <v>0</v>
      </c>
      <c r="AM318" s="123">
        <f t="shared" si="201"/>
        <v>0</v>
      </c>
      <c r="AN318" s="123">
        <f t="shared" si="201"/>
        <v>0</v>
      </c>
      <c r="AO318" s="123">
        <f t="shared" si="201"/>
        <v>0</v>
      </c>
      <c r="AP318" s="123">
        <f t="shared" si="201"/>
        <v>0</v>
      </c>
      <c r="AQ318" s="123">
        <f t="shared" si="201"/>
        <v>0</v>
      </c>
      <c r="AR318" s="123">
        <f t="shared" si="201"/>
        <v>0</v>
      </c>
      <c r="AS318" s="123">
        <f t="shared" si="201"/>
        <v>0</v>
      </c>
      <c r="AT318" s="123">
        <f t="shared" si="201"/>
        <v>0</v>
      </c>
      <c r="AU318" s="123">
        <f t="shared" si="201"/>
        <v>0</v>
      </c>
      <c r="AV318" s="123">
        <f t="shared" si="201"/>
        <v>0</v>
      </c>
      <c r="AW318" s="123">
        <f t="shared" si="201"/>
        <v>0</v>
      </c>
      <c r="AX318" s="123">
        <f t="shared" si="201"/>
        <v>0</v>
      </c>
      <c r="AY318" s="123">
        <f t="shared" si="201"/>
        <v>0</v>
      </c>
      <c r="AZ318" s="123">
        <f t="shared" si="201"/>
        <v>0</v>
      </c>
      <c r="BA318" s="123">
        <f t="shared" si="201"/>
        <v>0</v>
      </c>
      <c r="BB318" s="123">
        <f t="shared" si="201"/>
        <v>0</v>
      </c>
      <c r="BC318" s="123">
        <f t="shared" si="201"/>
        <v>0</v>
      </c>
      <c r="BD318" s="123">
        <f t="shared" si="201"/>
        <v>0</v>
      </c>
      <c r="BE318" s="123">
        <f t="shared" si="201"/>
        <v>0</v>
      </c>
      <c r="BF318" s="123">
        <f t="shared" si="201"/>
        <v>0</v>
      </c>
      <c r="BG318" s="123">
        <f t="shared" si="201"/>
        <v>0</v>
      </c>
      <c r="BH318" s="123">
        <f t="shared" si="201"/>
        <v>0</v>
      </c>
      <c r="BI318" s="123">
        <f t="shared" si="201"/>
        <v>0</v>
      </c>
      <c r="BJ318" s="123">
        <f t="shared" si="201"/>
        <v>0</v>
      </c>
      <c r="BK318" s="123">
        <f t="shared" si="201"/>
        <v>0</v>
      </c>
      <c r="BL318" s="123">
        <f t="shared" si="201"/>
        <v>0</v>
      </c>
      <c r="BM318" s="123">
        <f t="shared" si="201"/>
        <v>0</v>
      </c>
      <c r="BN318" s="159">
        <f t="shared" si="201"/>
        <v>0</v>
      </c>
      <c r="BP318" s="383" t="s">
        <v>862</v>
      </c>
      <c r="BQ318" s="1463" t="s">
        <v>1574</v>
      </c>
      <c r="BR318" s="1464"/>
      <c r="BS318" s="1464"/>
      <c r="BT318" s="1464"/>
      <c r="BU318" s="1464"/>
      <c r="BV318" s="1464"/>
      <c r="BW318" s="1464"/>
      <c r="BX318" s="1464"/>
      <c r="BY318" s="1464"/>
      <c r="BZ318" s="1464"/>
      <c r="CA318" s="1464"/>
      <c r="CB318" s="1464"/>
      <c r="CC318" s="1464"/>
      <c r="CD318" s="1464"/>
      <c r="CE318" s="1464"/>
      <c r="CF318" s="1464"/>
      <c r="CG318" s="1465"/>
      <c r="CH318" s="385" t="s">
        <v>1418</v>
      </c>
      <c r="CI318" s="385" t="s">
        <v>886</v>
      </c>
    </row>
    <row r="319" spans="32:87" ht="20.100000000000001" customHeight="1">
      <c r="AF319" s="1551"/>
      <c r="AG319" s="107" t="s">
        <v>863</v>
      </c>
      <c r="AH319" s="131"/>
      <c r="AI319" s="107">
        <f>INDEX('DEFAULT DATA'!$WD$9:$WJ$41,START!$C$3,2)</f>
        <v>267</v>
      </c>
      <c r="AJ319" s="63">
        <f>INDEX('DEFAULT DATA'!$AIN$9:$AIU$41,START!$C$3,3)</f>
        <v>54.02</v>
      </c>
      <c r="AK319" s="53">
        <v>0</v>
      </c>
      <c r="AL319" s="123">
        <f t="shared" ref="AL319:BN319" si="202">IF(AND(AL$296&gt;($D$85+2020),AL$296&lt;($E$85+2022)),AK319+($AI$319*$AJ$319*((100-$F$85)/100)*$B$85/($E$85-$D$85+1)/1000000),AK319)</f>
        <v>0</v>
      </c>
      <c r="AM319" s="123">
        <f t="shared" si="202"/>
        <v>0</v>
      </c>
      <c r="AN319" s="123">
        <f t="shared" si="202"/>
        <v>0</v>
      </c>
      <c r="AO319" s="123">
        <f t="shared" si="202"/>
        <v>0</v>
      </c>
      <c r="AP319" s="123">
        <f t="shared" si="202"/>
        <v>0</v>
      </c>
      <c r="AQ319" s="123">
        <f t="shared" si="202"/>
        <v>0</v>
      </c>
      <c r="AR319" s="123">
        <f t="shared" si="202"/>
        <v>0</v>
      </c>
      <c r="AS319" s="123">
        <f t="shared" si="202"/>
        <v>0</v>
      </c>
      <c r="AT319" s="123">
        <f t="shared" si="202"/>
        <v>0</v>
      </c>
      <c r="AU319" s="123">
        <f t="shared" si="202"/>
        <v>0</v>
      </c>
      <c r="AV319" s="123">
        <f t="shared" si="202"/>
        <v>0</v>
      </c>
      <c r="AW319" s="123">
        <f t="shared" si="202"/>
        <v>0</v>
      </c>
      <c r="AX319" s="123">
        <f t="shared" si="202"/>
        <v>0</v>
      </c>
      <c r="AY319" s="123">
        <f t="shared" si="202"/>
        <v>0</v>
      </c>
      <c r="AZ319" s="123">
        <f t="shared" si="202"/>
        <v>0</v>
      </c>
      <c r="BA319" s="123">
        <f t="shared" si="202"/>
        <v>0</v>
      </c>
      <c r="BB319" s="123">
        <f t="shared" si="202"/>
        <v>0</v>
      </c>
      <c r="BC319" s="123">
        <f t="shared" si="202"/>
        <v>0</v>
      </c>
      <c r="BD319" s="123">
        <f t="shared" si="202"/>
        <v>0</v>
      </c>
      <c r="BE319" s="123">
        <f t="shared" si="202"/>
        <v>0</v>
      </c>
      <c r="BF319" s="123">
        <f t="shared" si="202"/>
        <v>0</v>
      </c>
      <c r="BG319" s="123">
        <f t="shared" si="202"/>
        <v>0</v>
      </c>
      <c r="BH319" s="123">
        <f t="shared" si="202"/>
        <v>0</v>
      </c>
      <c r="BI319" s="123">
        <f t="shared" si="202"/>
        <v>0</v>
      </c>
      <c r="BJ319" s="123">
        <f t="shared" si="202"/>
        <v>0</v>
      </c>
      <c r="BK319" s="123">
        <f t="shared" si="202"/>
        <v>0</v>
      </c>
      <c r="BL319" s="123">
        <f t="shared" si="202"/>
        <v>0</v>
      </c>
      <c r="BM319" s="123">
        <f t="shared" si="202"/>
        <v>0</v>
      </c>
      <c r="BN319" s="159">
        <f t="shared" si="202"/>
        <v>0</v>
      </c>
      <c r="BP319" s="383" t="s">
        <v>863</v>
      </c>
      <c r="BQ319" s="1463" t="s">
        <v>1575</v>
      </c>
      <c r="BR319" s="1464"/>
      <c r="BS319" s="1464"/>
      <c r="BT319" s="1464"/>
      <c r="BU319" s="1464"/>
      <c r="BV319" s="1464"/>
      <c r="BW319" s="1464"/>
      <c r="BX319" s="1464"/>
      <c r="BY319" s="1464"/>
      <c r="BZ319" s="1464"/>
      <c r="CA319" s="1464"/>
      <c r="CB319" s="1464"/>
      <c r="CC319" s="1464"/>
      <c r="CD319" s="1464"/>
      <c r="CE319" s="1464"/>
      <c r="CF319" s="1464"/>
      <c r="CG319" s="1465"/>
      <c r="CH319" s="385" t="s">
        <v>1419</v>
      </c>
      <c r="CI319" s="385" t="s">
        <v>1247</v>
      </c>
    </row>
    <row r="320" spans="32:87" ht="20.100000000000001" customHeight="1">
      <c r="AF320" s="1551"/>
      <c r="AG320" s="107" t="s">
        <v>864</v>
      </c>
      <c r="AH320" s="131"/>
      <c r="AI320" s="107">
        <f>INDEX('DEFAULT DATA'!$WD$9:$WJ$41,START!$C$3,3)</f>
        <v>354</v>
      </c>
      <c r="AJ320" s="63">
        <f>INDEX('DEFAULT DATA'!$AIN$9:$AIU$41,START!$C$3,4)</f>
        <v>0</v>
      </c>
      <c r="AK320" s="53">
        <v>0</v>
      </c>
      <c r="AL320" s="123">
        <f t="shared" ref="AL320:BN320" si="203">IF(AND(AL$296&gt;($D$85+2020),AL$296&lt;($E$85+2022)),AK320+($AI$320*$AJ$320*((100-$F$85)/100)*$B$85/($E$85-$D$85+1)/1000000),AK320)</f>
        <v>0</v>
      </c>
      <c r="AM320" s="123">
        <f t="shared" si="203"/>
        <v>0</v>
      </c>
      <c r="AN320" s="123">
        <f t="shared" si="203"/>
        <v>0</v>
      </c>
      <c r="AO320" s="123">
        <f t="shared" si="203"/>
        <v>0</v>
      </c>
      <c r="AP320" s="123">
        <f t="shared" si="203"/>
        <v>0</v>
      </c>
      <c r="AQ320" s="123">
        <f t="shared" si="203"/>
        <v>0</v>
      </c>
      <c r="AR320" s="123">
        <f t="shared" si="203"/>
        <v>0</v>
      </c>
      <c r="AS320" s="123">
        <f t="shared" si="203"/>
        <v>0</v>
      </c>
      <c r="AT320" s="123">
        <f t="shared" si="203"/>
        <v>0</v>
      </c>
      <c r="AU320" s="123">
        <f t="shared" si="203"/>
        <v>0</v>
      </c>
      <c r="AV320" s="123">
        <f t="shared" si="203"/>
        <v>0</v>
      </c>
      <c r="AW320" s="123">
        <f t="shared" si="203"/>
        <v>0</v>
      </c>
      <c r="AX320" s="123">
        <f t="shared" si="203"/>
        <v>0</v>
      </c>
      <c r="AY320" s="123">
        <f t="shared" si="203"/>
        <v>0</v>
      </c>
      <c r="AZ320" s="123">
        <f t="shared" si="203"/>
        <v>0</v>
      </c>
      <c r="BA320" s="123">
        <f t="shared" si="203"/>
        <v>0</v>
      </c>
      <c r="BB320" s="123">
        <f t="shared" si="203"/>
        <v>0</v>
      </c>
      <c r="BC320" s="123">
        <f t="shared" si="203"/>
        <v>0</v>
      </c>
      <c r="BD320" s="123">
        <f t="shared" si="203"/>
        <v>0</v>
      </c>
      <c r="BE320" s="123">
        <f t="shared" si="203"/>
        <v>0</v>
      </c>
      <c r="BF320" s="123">
        <f t="shared" si="203"/>
        <v>0</v>
      </c>
      <c r="BG320" s="123">
        <f t="shared" si="203"/>
        <v>0</v>
      </c>
      <c r="BH320" s="123">
        <f t="shared" si="203"/>
        <v>0</v>
      </c>
      <c r="BI320" s="123">
        <f t="shared" si="203"/>
        <v>0</v>
      </c>
      <c r="BJ320" s="123">
        <f t="shared" si="203"/>
        <v>0</v>
      </c>
      <c r="BK320" s="123">
        <f t="shared" si="203"/>
        <v>0</v>
      </c>
      <c r="BL320" s="123">
        <f t="shared" si="203"/>
        <v>0</v>
      </c>
      <c r="BM320" s="123">
        <f t="shared" si="203"/>
        <v>0</v>
      </c>
      <c r="BN320" s="159">
        <f t="shared" si="203"/>
        <v>0</v>
      </c>
      <c r="BP320" s="383" t="s">
        <v>864</v>
      </c>
      <c r="BQ320" s="1463" t="s">
        <v>1576</v>
      </c>
      <c r="BR320" s="1464"/>
      <c r="BS320" s="1464"/>
      <c r="BT320" s="1464"/>
      <c r="BU320" s="1464"/>
      <c r="BV320" s="1464"/>
      <c r="BW320" s="1464"/>
      <c r="BX320" s="1464"/>
      <c r="BY320" s="1464"/>
      <c r="BZ320" s="1464"/>
      <c r="CA320" s="1464"/>
      <c r="CB320" s="1464"/>
      <c r="CC320" s="1464"/>
      <c r="CD320" s="1464"/>
      <c r="CE320" s="1464"/>
      <c r="CF320" s="1464"/>
      <c r="CG320" s="1465"/>
      <c r="CH320" s="385" t="s">
        <v>1420</v>
      </c>
      <c r="CI320" s="385" t="s">
        <v>1248</v>
      </c>
    </row>
    <row r="321" spans="32:87" ht="20.100000000000001" customHeight="1">
      <c r="AF321" s="1551"/>
      <c r="AG321" s="107" t="s">
        <v>865</v>
      </c>
      <c r="AH321" s="131"/>
      <c r="AI321" s="107">
        <f>INDEX('DEFAULT DATA'!$WD$9:$WJ$41,START!$C$3,4)</f>
        <v>382</v>
      </c>
      <c r="AJ321" s="63">
        <f>INDEX('DEFAULT DATA'!$AIN$9:$AIU$41,START!$C$3,5)</f>
        <v>5.04</v>
      </c>
      <c r="AK321" s="53">
        <v>0</v>
      </c>
      <c r="AL321" s="123">
        <f t="shared" ref="AL321:BN321" si="204">IF(AND(AL$296&gt;($D$85+2020),AL$296&lt;($E$85+2022)),AK321+($AI$321*$AJ$321*((100-$F$85)/100)*$B$85/($E$85-$D$85+1)/1000000),AK321)</f>
        <v>0</v>
      </c>
      <c r="AM321" s="123">
        <f t="shared" si="204"/>
        <v>0</v>
      </c>
      <c r="AN321" s="123">
        <f t="shared" si="204"/>
        <v>0</v>
      </c>
      <c r="AO321" s="123">
        <f t="shared" si="204"/>
        <v>0</v>
      </c>
      <c r="AP321" s="123">
        <f t="shared" si="204"/>
        <v>0</v>
      </c>
      <c r="AQ321" s="123">
        <f t="shared" si="204"/>
        <v>0</v>
      </c>
      <c r="AR321" s="123">
        <f t="shared" si="204"/>
        <v>0</v>
      </c>
      <c r="AS321" s="123">
        <f t="shared" si="204"/>
        <v>0</v>
      </c>
      <c r="AT321" s="123">
        <f t="shared" si="204"/>
        <v>0</v>
      </c>
      <c r="AU321" s="123">
        <f t="shared" si="204"/>
        <v>0</v>
      </c>
      <c r="AV321" s="123">
        <f t="shared" si="204"/>
        <v>0</v>
      </c>
      <c r="AW321" s="123">
        <f t="shared" si="204"/>
        <v>0</v>
      </c>
      <c r="AX321" s="123">
        <f t="shared" si="204"/>
        <v>0</v>
      </c>
      <c r="AY321" s="123">
        <f t="shared" si="204"/>
        <v>0</v>
      </c>
      <c r="AZ321" s="123">
        <f t="shared" si="204"/>
        <v>0</v>
      </c>
      <c r="BA321" s="123">
        <f t="shared" si="204"/>
        <v>0</v>
      </c>
      <c r="BB321" s="123">
        <f t="shared" si="204"/>
        <v>0</v>
      </c>
      <c r="BC321" s="123">
        <f t="shared" si="204"/>
        <v>0</v>
      </c>
      <c r="BD321" s="123">
        <f t="shared" si="204"/>
        <v>0</v>
      </c>
      <c r="BE321" s="123">
        <f t="shared" si="204"/>
        <v>0</v>
      </c>
      <c r="BF321" s="123">
        <f t="shared" si="204"/>
        <v>0</v>
      </c>
      <c r="BG321" s="123">
        <f t="shared" si="204"/>
        <v>0</v>
      </c>
      <c r="BH321" s="123">
        <f t="shared" si="204"/>
        <v>0</v>
      </c>
      <c r="BI321" s="123">
        <f t="shared" si="204"/>
        <v>0</v>
      </c>
      <c r="BJ321" s="123">
        <f t="shared" si="204"/>
        <v>0</v>
      </c>
      <c r="BK321" s="123">
        <f t="shared" si="204"/>
        <v>0</v>
      </c>
      <c r="BL321" s="123">
        <f t="shared" si="204"/>
        <v>0</v>
      </c>
      <c r="BM321" s="123">
        <f t="shared" si="204"/>
        <v>0</v>
      </c>
      <c r="BN321" s="159">
        <f t="shared" si="204"/>
        <v>0</v>
      </c>
      <c r="BP321" s="383" t="s">
        <v>865</v>
      </c>
      <c r="BQ321" s="1463" t="s">
        <v>1577</v>
      </c>
      <c r="BR321" s="1464"/>
      <c r="BS321" s="1464"/>
      <c r="BT321" s="1464"/>
      <c r="BU321" s="1464"/>
      <c r="BV321" s="1464"/>
      <c r="BW321" s="1464"/>
      <c r="BX321" s="1464"/>
      <c r="BY321" s="1464"/>
      <c r="BZ321" s="1464"/>
      <c r="CA321" s="1464"/>
      <c r="CB321" s="1464"/>
      <c r="CC321" s="1464"/>
      <c r="CD321" s="1464"/>
      <c r="CE321" s="1464"/>
      <c r="CF321" s="1464"/>
      <c r="CG321" s="1465"/>
      <c r="CH321" s="385" t="s">
        <v>1421</v>
      </c>
      <c r="CI321" s="385" t="s">
        <v>1249</v>
      </c>
    </row>
    <row r="322" spans="32:87" ht="20.100000000000001" customHeight="1">
      <c r="AF322" s="1551"/>
      <c r="AG322" s="107" t="s">
        <v>866</v>
      </c>
      <c r="AH322" s="131"/>
      <c r="AI322" s="107">
        <f>INDEX('DEFAULT DATA'!$WD$9:$WJ$41,START!$C$3,5)</f>
        <v>403</v>
      </c>
      <c r="AJ322" s="63">
        <f>INDEX('DEFAULT DATA'!$AIN$9:$AIU$41,START!$C$3,6)</f>
        <v>6.12</v>
      </c>
      <c r="AK322" s="53">
        <v>0</v>
      </c>
      <c r="AL322" s="123">
        <f t="shared" ref="AL322:BN322" si="205">IF(AND(AL$296&gt;($D$85+2020),AL$296&lt;($E$85+2022)),AK322+($AI$322*$AJ$322*((100-$F$85)/100)*$B$85/($E$85-$D$85+1)/1000000),AK322)</f>
        <v>0</v>
      </c>
      <c r="AM322" s="123">
        <f t="shared" si="205"/>
        <v>0</v>
      </c>
      <c r="AN322" s="123">
        <f t="shared" si="205"/>
        <v>0</v>
      </c>
      <c r="AO322" s="123">
        <f t="shared" si="205"/>
        <v>0</v>
      </c>
      <c r="AP322" s="123">
        <f t="shared" si="205"/>
        <v>0</v>
      </c>
      <c r="AQ322" s="123">
        <f t="shared" si="205"/>
        <v>0</v>
      </c>
      <c r="AR322" s="123">
        <f t="shared" si="205"/>
        <v>0</v>
      </c>
      <c r="AS322" s="123">
        <f t="shared" si="205"/>
        <v>0</v>
      </c>
      <c r="AT322" s="123">
        <f t="shared" si="205"/>
        <v>0</v>
      </c>
      <c r="AU322" s="123">
        <f t="shared" si="205"/>
        <v>0</v>
      </c>
      <c r="AV322" s="123">
        <f t="shared" si="205"/>
        <v>0</v>
      </c>
      <c r="AW322" s="123">
        <f t="shared" si="205"/>
        <v>0</v>
      </c>
      <c r="AX322" s="123">
        <f t="shared" si="205"/>
        <v>0</v>
      </c>
      <c r="AY322" s="123">
        <f t="shared" si="205"/>
        <v>0</v>
      </c>
      <c r="AZ322" s="123">
        <f t="shared" si="205"/>
        <v>0</v>
      </c>
      <c r="BA322" s="123">
        <f t="shared" si="205"/>
        <v>0</v>
      </c>
      <c r="BB322" s="123">
        <f t="shared" si="205"/>
        <v>0</v>
      </c>
      <c r="BC322" s="123">
        <f t="shared" si="205"/>
        <v>0</v>
      </c>
      <c r="BD322" s="123">
        <f t="shared" si="205"/>
        <v>0</v>
      </c>
      <c r="BE322" s="123">
        <f t="shared" si="205"/>
        <v>0</v>
      </c>
      <c r="BF322" s="123">
        <f t="shared" si="205"/>
        <v>0</v>
      </c>
      <c r="BG322" s="123">
        <f t="shared" si="205"/>
        <v>0</v>
      </c>
      <c r="BH322" s="123">
        <f t="shared" si="205"/>
        <v>0</v>
      </c>
      <c r="BI322" s="123">
        <f t="shared" si="205"/>
        <v>0</v>
      </c>
      <c r="BJ322" s="123">
        <f t="shared" si="205"/>
        <v>0</v>
      </c>
      <c r="BK322" s="123">
        <f t="shared" si="205"/>
        <v>0</v>
      </c>
      <c r="BL322" s="123">
        <f t="shared" si="205"/>
        <v>0</v>
      </c>
      <c r="BM322" s="123">
        <f t="shared" si="205"/>
        <v>0</v>
      </c>
      <c r="BN322" s="159">
        <f t="shared" si="205"/>
        <v>0</v>
      </c>
      <c r="BP322" s="383" t="s">
        <v>866</v>
      </c>
      <c r="BQ322" s="1463" t="s">
        <v>1578</v>
      </c>
      <c r="BR322" s="1464"/>
      <c r="BS322" s="1464"/>
      <c r="BT322" s="1464"/>
      <c r="BU322" s="1464"/>
      <c r="BV322" s="1464"/>
      <c r="BW322" s="1464"/>
      <c r="BX322" s="1464"/>
      <c r="BY322" s="1464"/>
      <c r="BZ322" s="1464"/>
      <c r="CA322" s="1464"/>
      <c r="CB322" s="1464"/>
      <c r="CC322" s="1464"/>
      <c r="CD322" s="1464"/>
      <c r="CE322" s="1464"/>
      <c r="CF322" s="1464"/>
      <c r="CG322" s="1465"/>
      <c r="CH322" s="385" t="s">
        <v>1422</v>
      </c>
      <c r="CI322" s="385" t="s">
        <v>1250</v>
      </c>
    </row>
    <row r="323" spans="32:87" ht="20.100000000000001" customHeight="1">
      <c r="AF323" s="1551"/>
      <c r="AG323" s="107" t="s">
        <v>867</v>
      </c>
      <c r="AH323" s="131"/>
      <c r="AI323" s="107">
        <f>INDEX('DEFAULT DATA'!$WD$9:$WJ$41,START!$C$3,6)</f>
        <v>0</v>
      </c>
      <c r="AJ323" s="63">
        <f>INDEX('DEFAULT DATA'!$AIN$9:$AIU$41,START!$C$3,7)</f>
        <v>0</v>
      </c>
      <c r="AK323" s="53">
        <v>0</v>
      </c>
      <c r="AL323" s="123">
        <f t="shared" ref="AL323:BN323" si="206">IF(AND(AL$296&gt;($D$85+2020),AL$296&lt;($E$85+2022)),AK323+($AI$323*$AJ$323*((100-$F$85)/100)*$B$85/($E$85-$D$85+1)/1000000),AK323)</f>
        <v>0</v>
      </c>
      <c r="AM323" s="123">
        <f t="shared" si="206"/>
        <v>0</v>
      </c>
      <c r="AN323" s="123">
        <f t="shared" si="206"/>
        <v>0</v>
      </c>
      <c r="AO323" s="123">
        <f t="shared" si="206"/>
        <v>0</v>
      </c>
      <c r="AP323" s="123">
        <f t="shared" si="206"/>
        <v>0</v>
      </c>
      <c r="AQ323" s="123">
        <f t="shared" si="206"/>
        <v>0</v>
      </c>
      <c r="AR323" s="123">
        <f t="shared" si="206"/>
        <v>0</v>
      </c>
      <c r="AS323" s="123">
        <f t="shared" si="206"/>
        <v>0</v>
      </c>
      <c r="AT323" s="123">
        <f t="shared" si="206"/>
        <v>0</v>
      </c>
      <c r="AU323" s="123">
        <f t="shared" si="206"/>
        <v>0</v>
      </c>
      <c r="AV323" s="123">
        <f t="shared" si="206"/>
        <v>0</v>
      </c>
      <c r="AW323" s="123">
        <f t="shared" si="206"/>
        <v>0</v>
      </c>
      <c r="AX323" s="123">
        <f t="shared" si="206"/>
        <v>0</v>
      </c>
      <c r="AY323" s="123">
        <f t="shared" si="206"/>
        <v>0</v>
      </c>
      <c r="AZ323" s="123">
        <f t="shared" si="206"/>
        <v>0</v>
      </c>
      <c r="BA323" s="123">
        <f t="shared" si="206"/>
        <v>0</v>
      </c>
      <c r="BB323" s="123">
        <f t="shared" si="206"/>
        <v>0</v>
      </c>
      <c r="BC323" s="123">
        <f t="shared" si="206"/>
        <v>0</v>
      </c>
      <c r="BD323" s="123">
        <f t="shared" si="206"/>
        <v>0</v>
      </c>
      <c r="BE323" s="123">
        <f t="shared" si="206"/>
        <v>0</v>
      </c>
      <c r="BF323" s="123">
        <f t="shared" si="206"/>
        <v>0</v>
      </c>
      <c r="BG323" s="123">
        <f t="shared" si="206"/>
        <v>0</v>
      </c>
      <c r="BH323" s="123">
        <f t="shared" si="206"/>
        <v>0</v>
      </c>
      <c r="BI323" s="123">
        <f t="shared" si="206"/>
        <v>0</v>
      </c>
      <c r="BJ323" s="123">
        <f t="shared" si="206"/>
        <v>0</v>
      </c>
      <c r="BK323" s="123">
        <f t="shared" si="206"/>
        <v>0</v>
      </c>
      <c r="BL323" s="123">
        <f t="shared" si="206"/>
        <v>0</v>
      </c>
      <c r="BM323" s="123">
        <f t="shared" si="206"/>
        <v>0</v>
      </c>
      <c r="BN323" s="159">
        <f t="shared" si="206"/>
        <v>0</v>
      </c>
      <c r="BP323" s="383" t="s">
        <v>867</v>
      </c>
      <c r="BQ323" s="1463" t="s">
        <v>1579</v>
      </c>
      <c r="BR323" s="1464"/>
      <c r="BS323" s="1464"/>
      <c r="BT323" s="1464"/>
      <c r="BU323" s="1464"/>
      <c r="BV323" s="1464"/>
      <c r="BW323" s="1464"/>
      <c r="BX323" s="1464"/>
      <c r="BY323" s="1464"/>
      <c r="BZ323" s="1464"/>
      <c r="CA323" s="1464"/>
      <c r="CB323" s="1464"/>
      <c r="CC323" s="1464"/>
      <c r="CD323" s="1464"/>
      <c r="CE323" s="1464"/>
      <c r="CF323" s="1464"/>
      <c r="CG323" s="1465"/>
      <c r="CH323" s="385" t="s">
        <v>1423</v>
      </c>
      <c r="CI323" s="385" t="s">
        <v>1251</v>
      </c>
    </row>
    <row r="324" spans="32:87" ht="20.100000000000001" customHeight="1" thickBot="1">
      <c r="AF324" s="1552"/>
      <c r="AG324" s="146" t="s">
        <v>868</v>
      </c>
      <c r="AH324" s="139"/>
      <c r="AI324" s="146" t="s">
        <v>1123</v>
      </c>
      <c r="AJ324" s="113">
        <f>INDEX('DEFAULT DATA'!$AIN$9:$AIU$41,START!$C$3,8)</f>
        <v>2.7269747394706691E-2</v>
      </c>
      <c r="AK324" s="54">
        <v>0</v>
      </c>
      <c r="AL324" s="160">
        <f t="shared" ref="AL324:BN324" si="207">IF(AND(AL$296&gt;($D$85+2020),AL$296&lt;($E$85+2022)),AK324+(AL$6*$AJ$324*((100-$F$85)/100)*$B$85/($E$85-$D$85+1)/1000000),AK324)</f>
        <v>0</v>
      </c>
      <c r="AM324" s="160">
        <f t="shared" si="207"/>
        <v>0</v>
      </c>
      <c r="AN324" s="160">
        <f t="shared" si="207"/>
        <v>0</v>
      </c>
      <c r="AO324" s="160">
        <f t="shared" si="207"/>
        <v>0</v>
      </c>
      <c r="AP324" s="160">
        <f t="shared" si="207"/>
        <v>0</v>
      </c>
      <c r="AQ324" s="160">
        <f t="shared" si="207"/>
        <v>0</v>
      </c>
      <c r="AR324" s="160">
        <f t="shared" si="207"/>
        <v>0</v>
      </c>
      <c r="AS324" s="160">
        <f t="shared" si="207"/>
        <v>0</v>
      </c>
      <c r="AT324" s="160">
        <f t="shared" si="207"/>
        <v>0</v>
      </c>
      <c r="AU324" s="160">
        <f t="shared" si="207"/>
        <v>0</v>
      </c>
      <c r="AV324" s="160">
        <f t="shared" si="207"/>
        <v>0</v>
      </c>
      <c r="AW324" s="160">
        <f t="shared" si="207"/>
        <v>0</v>
      </c>
      <c r="AX324" s="160">
        <f t="shared" si="207"/>
        <v>0</v>
      </c>
      <c r="AY324" s="160">
        <f t="shared" si="207"/>
        <v>0</v>
      </c>
      <c r="AZ324" s="160">
        <f t="shared" si="207"/>
        <v>0</v>
      </c>
      <c r="BA324" s="160">
        <f t="shared" si="207"/>
        <v>0</v>
      </c>
      <c r="BB324" s="160">
        <f t="shared" si="207"/>
        <v>0</v>
      </c>
      <c r="BC324" s="160">
        <f t="shared" si="207"/>
        <v>0</v>
      </c>
      <c r="BD324" s="160">
        <f t="shared" si="207"/>
        <v>0</v>
      </c>
      <c r="BE324" s="160">
        <f t="shared" si="207"/>
        <v>0</v>
      </c>
      <c r="BF324" s="160">
        <f t="shared" si="207"/>
        <v>0</v>
      </c>
      <c r="BG324" s="160">
        <f t="shared" si="207"/>
        <v>0</v>
      </c>
      <c r="BH324" s="160">
        <f t="shared" si="207"/>
        <v>0</v>
      </c>
      <c r="BI324" s="160">
        <f t="shared" si="207"/>
        <v>0</v>
      </c>
      <c r="BJ324" s="160">
        <f t="shared" si="207"/>
        <v>0</v>
      </c>
      <c r="BK324" s="160">
        <f t="shared" si="207"/>
        <v>0</v>
      </c>
      <c r="BL324" s="160">
        <f t="shared" si="207"/>
        <v>0</v>
      </c>
      <c r="BM324" s="160">
        <f t="shared" si="207"/>
        <v>0</v>
      </c>
      <c r="BN324" s="161">
        <f t="shared" si="207"/>
        <v>0</v>
      </c>
      <c r="BP324" s="383" t="s">
        <v>868</v>
      </c>
      <c r="BQ324" s="1463" t="s">
        <v>1580</v>
      </c>
      <c r="BR324" s="1464"/>
      <c r="BS324" s="1464"/>
      <c r="BT324" s="1464"/>
      <c r="BU324" s="1464"/>
      <c r="BV324" s="1464"/>
      <c r="BW324" s="1464"/>
      <c r="BX324" s="1464"/>
      <c r="BY324" s="1464"/>
      <c r="BZ324" s="1464"/>
      <c r="CA324" s="1464"/>
      <c r="CB324" s="1464"/>
      <c r="CC324" s="1464"/>
      <c r="CD324" s="1464"/>
      <c r="CE324" s="1464"/>
      <c r="CF324" s="1464"/>
      <c r="CG324" s="1465"/>
      <c r="CH324" s="385" t="s">
        <v>1424</v>
      </c>
      <c r="CI324" s="385" t="s">
        <v>1508</v>
      </c>
    </row>
    <row r="325" spans="32:87" ht="20.100000000000001" customHeight="1">
      <c r="AF325" s="147"/>
      <c r="AG325" s="136" t="s">
        <v>1086</v>
      </c>
      <c r="AH325" s="136"/>
      <c r="AI325" s="136"/>
      <c r="AJ325" s="136"/>
      <c r="AK325" s="173">
        <f>SUM(AK317:AK324)</f>
        <v>0</v>
      </c>
      <c r="AL325" s="162">
        <f>SUM(AL317:AL324)</f>
        <v>0</v>
      </c>
      <c r="AM325" s="162">
        <f t="shared" ref="AM325:BN325" si="208">SUM(AM317:AM324)</f>
        <v>0</v>
      </c>
      <c r="AN325" s="162">
        <f t="shared" si="208"/>
        <v>0</v>
      </c>
      <c r="AO325" s="162">
        <f t="shared" si="208"/>
        <v>0</v>
      </c>
      <c r="AP325" s="162">
        <f t="shared" si="208"/>
        <v>0</v>
      </c>
      <c r="AQ325" s="162">
        <f t="shared" si="208"/>
        <v>0</v>
      </c>
      <c r="AR325" s="162">
        <f t="shared" si="208"/>
        <v>0</v>
      </c>
      <c r="AS325" s="162">
        <f t="shared" si="208"/>
        <v>0</v>
      </c>
      <c r="AT325" s="162">
        <f t="shared" si="208"/>
        <v>0</v>
      </c>
      <c r="AU325" s="162">
        <f t="shared" si="208"/>
        <v>0</v>
      </c>
      <c r="AV325" s="162">
        <f t="shared" si="208"/>
        <v>0</v>
      </c>
      <c r="AW325" s="162">
        <f t="shared" si="208"/>
        <v>0</v>
      </c>
      <c r="AX325" s="162">
        <f t="shared" si="208"/>
        <v>0</v>
      </c>
      <c r="AY325" s="162">
        <f t="shared" si="208"/>
        <v>0</v>
      </c>
      <c r="AZ325" s="162">
        <f t="shared" si="208"/>
        <v>0</v>
      </c>
      <c r="BA325" s="162">
        <f t="shared" si="208"/>
        <v>0</v>
      </c>
      <c r="BB325" s="162">
        <f t="shared" si="208"/>
        <v>0</v>
      </c>
      <c r="BC325" s="162">
        <f t="shared" si="208"/>
        <v>0</v>
      </c>
      <c r="BD325" s="162">
        <f t="shared" si="208"/>
        <v>0</v>
      </c>
      <c r="BE325" s="162">
        <f t="shared" si="208"/>
        <v>0</v>
      </c>
      <c r="BF325" s="162">
        <f t="shared" si="208"/>
        <v>0</v>
      </c>
      <c r="BG325" s="162">
        <f t="shared" si="208"/>
        <v>0</v>
      </c>
      <c r="BH325" s="162">
        <f t="shared" si="208"/>
        <v>0</v>
      </c>
      <c r="BI325" s="162">
        <f t="shared" si="208"/>
        <v>0</v>
      </c>
      <c r="BJ325" s="162">
        <f t="shared" si="208"/>
        <v>0</v>
      </c>
      <c r="BK325" s="162">
        <f t="shared" si="208"/>
        <v>0</v>
      </c>
      <c r="BL325" s="162">
        <f t="shared" si="208"/>
        <v>0</v>
      </c>
      <c r="BM325" s="162">
        <f t="shared" si="208"/>
        <v>0</v>
      </c>
      <c r="BN325" s="162">
        <f t="shared" si="208"/>
        <v>0</v>
      </c>
    </row>
    <row r="326" spans="32:87" ht="20.100000000000001" customHeight="1" thickBot="1">
      <c r="AK326" s="171"/>
      <c r="BP326" s="3" t="s">
        <v>873</v>
      </c>
      <c r="CH326" s="386" t="s">
        <v>1506</v>
      </c>
      <c r="CI326" s="6" t="s">
        <v>1224</v>
      </c>
    </row>
    <row r="327" spans="32:87" ht="20.100000000000001" customHeight="1">
      <c r="AF327" s="1550" t="str">
        <f>AF227</f>
        <v>Offices</v>
      </c>
      <c r="AG327" s="137" t="s">
        <v>578</v>
      </c>
      <c r="AH327" s="138"/>
      <c r="AI327" s="137" t="s">
        <v>1122</v>
      </c>
      <c r="AJ327" s="148">
        <f>INDEX('DEFAULT DATA'!$AIV$9:$AJC$41,START!$C$3,1)</f>
        <v>120</v>
      </c>
      <c r="AK327" s="173">
        <v>0</v>
      </c>
      <c r="AL327" s="152">
        <f t="shared" ref="AL327:BN327" si="209">IF(AND(AL$296&gt;($D$86+2020),AL$296&lt;($E$86+2022)),AK327+(AL$5*$AJ$327*((100-$F$86)/100)*$B$86/($E$86-$D$86+1)/1000000),AK327)</f>
        <v>0</v>
      </c>
      <c r="AM327" s="152">
        <f t="shared" si="209"/>
        <v>0</v>
      </c>
      <c r="AN327" s="152">
        <f t="shared" si="209"/>
        <v>0</v>
      </c>
      <c r="AO327" s="152">
        <f t="shared" si="209"/>
        <v>0</v>
      </c>
      <c r="AP327" s="152">
        <f t="shared" si="209"/>
        <v>0</v>
      </c>
      <c r="AQ327" s="152">
        <f t="shared" si="209"/>
        <v>0</v>
      </c>
      <c r="AR327" s="152">
        <f t="shared" si="209"/>
        <v>0</v>
      </c>
      <c r="AS327" s="152">
        <f t="shared" si="209"/>
        <v>0</v>
      </c>
      <c r="AT327" s="152">
        <f t="shared" si="209"/>
        <v>0</v>
      </c>
      <c r="AU327" s="152">
        <f t="shared" si="209"/>
        <v>0</v>
      </c>
      <c r="AV327" s="152">
        <f t="shared" si="209"/>
        <v>0</v>
      </c>
      <c r="AW327" s="152">
        <f t="shared" si="209"/>
        <v>0</v>
      </c>
      <c r="AX327" s="152">
        <f t="shared" si="209"/>
        <v>0</v>
      </c>
      <c r="AY327" s="152">
        <f t="shared" si="209"/>
        <v>0</v>
      </c>
      <c r="AZ327" s="152">
        <f t="shared" si="209"/>
        <v>0</v>
      </c>
      <c r="BA327" s="152">
        <f t="shared" si="209"/>
        <v>0</v>
      </c>
      <c r="BB327" s="152">
        <f t="shared" si="209"/>
        <v>0</v>
      </c>
      <c r="BC327" s="152">
        <f t="shared" si="209"/>
        <v>0</v>
      </c>
      <c r="BD327" s="152">
        <f t="shared" si="209"/>
        <v>0</v>
      </c>
      <c r="BE327" s="152">
        <f t="shared" si="209"/>
        <v>0</v>
      </c>
      <c r="BF327" s="152">
        <f t="shared" si="209"/>
        <v>0</v>
      </c>
      <c r="BG327" s="152">
        <f t="shared" si="209"/>
        <v>0</v>
      </c>
      <c r="BH327" s="152">
        <f t="shared" si="209"/>
        <v>0</v>
      </c>
      <c r="BI327" s="152">
        <f t="shared" si="209"/>
        <v>0</v>
      </c>
      <c r="BJ327" s="152">
        <f t="shared" si="209"/>
        <v>0</v>
      </c>
      <c r="BK327" s="152">
        <f t="shared" si="209"/>
        <v>0</v>
      </c>
      <c r="BL327" s="152">
        <f t="shared" si="209"/>
        <v>0</v>
      </c>
      <c r="BM327" s="152">
        <f t="shared" si="209"/>
        <v>0</v>
      </c>
      <c r="BN327" s="153">
        <f t="shared" si="209"/>
        <v>0</v>
      </c>
      <c r="BP327" s="383" t="s">
        <v>578</v>
      </c>
      <c r="BQ327" s="1463" t="s">
        <v>1581</v>
      </c>
      <c r="BR327" s="1464"/>
      <c r="BS327" s="1464"/>
      <c r="BT327" s="1464"/>
      <c r="BU327" s="1464"/>
      <c r="BV327" s="1464"/>
      <c r="BW327" s="1464"/>
      <c r="BX327" s="1464"/>
      <c r="BY327" s="1464"/>
      <c r="BZ327" s="1464"/>
      <c r="CA327" s="1464"/>
      <c r="CB327" s="1464"/>
      <c r="CC327" s="1464"/>
      <c r="CD327" s="1464"/>
      <c r="CE327" s="1464"/>
      <c r="CF327" s="1464"/>
      <c r="CG327" s="1465"/>
      <c r="CH327" s="385" t="s">
        <v>1425</v>
      </c>
      <c r="CI327" s="385" t="s">
        <v>1507</v>
      </c>
    </row>
    <row r="328" spans="32:87" ht="20.100000000000001" customHeight="1">
      <c r="AF328" s="1551"/>
      <c r="AG328" s="107" t="s">
        <v>862</v>
      </c>
      <c r="AH328" s="131"/>
      <c r="AI328" s="107">
        <f>INDEX('DEFAULT DATA'!$WD$9:$WJ$41,START!$C$3,1)</f>
        <v>202</v>
      </c>
      <c r="AJ328" s="63">
        <f>INDEX('DEFAULT DATA'!$AIV$9:$AJC$41,START!$C$3,2)</f>
        <v>47.37</v>
      </c>
      <c r="AK328" s="53">
        <v>0</v>
      </c>
      <c r="AL328" s="81">
        <f t="shared" ref="AL328:BN328" si="210">IF(AND(AL$296&gt;($D$86+2020),AL$296&lt;($E$86+2022)),AK328+($AI$328*$AJ$328*((100-$F$86)/100)*$B$86/($E$86-$D$86+1)/1000000),AK328)</f>
        <v>0</v>
      </c>
      <c r="AM328" s="81">
        <f t="shared" si="210"/>
        <v>0</v>
      </c>
      <c r="AN328" s="81">
        <f t="shared" si="210"/>
        <v>0</v>
      </c>
      <c r="AO328" s="81">
        <f t="shared" si="210"/>
        <v>0</v>
      </c>
      <c r="AP328" s="81">
        <f t="shared" si="210"/>
        <v>0</v>
      </c>
      <c r="AQ328" s="81">
        <f t="shared" si="210"/>
        <v>0</v>
      </c>
      <c r="AR328" s="81">
        <f t="shared" si="210"/>
        <v>0</v>
      </c>
      <c r="AS328" s="81">
        <f t="shared" si="210"/>
        <v>0</v>
      </c>
      <c r="AT328" s="81">
        <f t="shared" si="210"/>
        <v>0</v>
      </c>
      <c r="AU328" s="81">
        <f t="shared" si="210"/>
        <v>0</v>
      </c>
      <c r="AV328" s="81">
        <f t="shared" si="210"/>
        <v>0</v>
      </c>
      <c r="AW328" s="81">
        <f t="shared" si="210"/>
        <v>0</v>
      </c>
      <c r="AX328" s="81">
        <f t="shared" si="210"/>
        <v>0</v>
      </c>
      <c r="AY328" s="81">
        <f t="shared" si="210"/>
        <v>0</v>
      </c>
      <c r="AZ328" s="81">
        <f t="shared" si="210"/>
        <v>0</v>
      </c>
      <c r="BA328" s="81">
        <f t="shared" si="210"/>
        <v>0</v>
      </c>
      <c r="BB328" s="81">
        <f t="shared" si="210"/>
        <v>0</v>
      </c>
      <c r="BC328" s="81">
        <f t="shared" si="210"/>
        <v>0</v>
      </c>
      <c r="BD328" s="81">
        <f t="shared" si="210"/>
        <v>0</v>
      </c>
      <c r="BE328" s="81">
        <f t="shared" si="210"/>
        <v>0</v>
      </c>
      <c r="BF328" s="81">
        <f t="shared" si="210"/>
        <v>0</v>
      </c>
      <c r="BG328" s="81">
        <f t="shared" si="210"/>
        <v>0</v>
      </c>
      <c r="BH328" s="81">
        <f t="shared" si="210"/>
        <v>0</v>
      </c>
      <c r="BI328" s="81">
        <f t="shared" si="210"/>
        <v>0</v>
      </c>
      <c r="BJ328" s="81">
        <f t="shared" si="210"/>
        <v>0</v>
      </c>
      <c r="BK328" s="81">
        <f t="shared" si="210"/>
        <v>0</v>
      </c>
      <c r="BL328" s="81">
        <f t="shared" si="210"/>
        <v>0</v>
      </c>
      <c r="BM328" s="81">
        <f t="shared" si="210"/>
        <v>0</v>
      </c>
      <c r="BN328" s="154">
        <f t="shared" si="210"/>
        <v>0</v>
      </c>
      <c r="BP328" s="383" t="s">
        <v>862</v>
      </c>
      <c r="BQ328" s="1463" t="s">
        <v>1582</v>
      </c>
      <c r="BR328" s="1464"/>
      <c r="BS328" s="1464"/>
      <c r="BT328" s="1464"/>
      <c r="BU328" s="1464"/>
      <c r="BV328" s="1464"/>
      <c r="BW328" s="1464"/>
      <c r="BX328" s="1464"/>
      <c r="BY328" s="1464"/>
      <c r="BZ328" s="1464"/>
      <c r="CA328" s="1464"/>
      <c r="CB328" s="1464"/>
      <c r="CC328" s="1464"/>
      <c r="CD328" s="1464"/>
      <c r="CE328" s="1464"/>
      <c r="CF328" s="1464"/>
      <c r="CG328" s="1465"/>
      <c r="CH328" s="385" t="s">
        <v>1426</v>
      </c>
      <c r="CI328" s="385" t="s">
        <v>886</v>
      </c>
    </row>
    <row r="329" spans="32:87" ht="20.100000000000001" customHeight="1">
      <c r="AF329" s="1551"/>
      <c r="AG329" s="107" t="s">
        <v>863</v>
      </c>
      <c r="AH329" s="131"/>
      <c r="AI329" s="107">
        <f>INDEX('DEFAULT DATA'!$WD$9:$WJ$41,START!$C$3,2)</f>
        <v>267</v>
      </c>
      <c r="AJ329" s="63">
        <f>INDEX('DEFAULT DATA'!$AIV$9:$AJC$41,START!$C$3,3)</f>
        <v>39.47</v>
      </c>
      <c r="AK329" s="53">
        <v>0</v>
      </c>
      <c r="AL329" s="81">
        <f t="shared" ref="AL329:BN329" si="211">IF(AND(AL$296&gt;($D$86+2020),AL$296&lt;($E$86+2022)),AK329+($AI$329*$AJ$329*((100-$F$86)/100)*$B$86/($E$86-$D$86+1)/1000000),AK329)</f>
        <v>0</v>
      </c>
      <c r="AM329" s="81">
        <f t="shared" si="211"/>
        <v>0</v>
      </c>
      <c r="AN329" s="81">
        <f t="shared" si="211"/>
        <v>0</v>
      </c>
      <c r="AO329" s="81">
        <f t="shared" si="211"/>
        <v>0</v>
      </c>
      <c r="AP329" s="81">
        <f t="shared" si="211"/>
        <v>0</v>
      </c>
      <c r="AQ329" s="81">
        <f t="shared" si="211"/>
        <v>0</v>
      </c>
      <c r="AR329" s="81">
        <f t="shared" si="211"/>
        <v>0</v>
      </c>
      <c r="AS329" s="81">
        <f t="shared" si="211"/>
        <v>0</v>
      </c>
      <c r="AT329" s="81">
        <f t="shared" si="211"/>
        <v>0</v>
      </c>
      <c r="AU329" s="81">
        <f t="shared" si="211"/>
        <v>0</v>
      </c>
      <c r="AV329" s="81">
        <f t="shared" si="211"/>
        <v>0</v>
      </c>
      <c r="AW329" s="81">
        <f t="shared" si="211"/>
        <v>0</v>
      </c>
      <c r="AX329" s="81">
        <f t="shared" si="211"/>
        <v>0</v>
      </c>
      <c r="AY329" s="81">
        <f t="shared" si="211"/>
        <v>0</v>
      </c>
      <c r="AZ329" s="81">
        <f t="shared" si="211"/>
        <v>0</v>
      </c>
      <c r="BA329" s="81">
        <f t="shared" si="211"/>
        <v>0</v>
      </c>
      <c r="BB329" s="81">
        <f t="shared" si="211"/>
        <v>0</v>
      </c>
      <c r="BC329" s="81">
        <f t="shared" si="211"/>
        <v>0</v>
      </c>
      <c r="BD329" s="81">
        <f t="shared" si="211"/>
        <v>0</v>
      </c>
      <c r="BE329" s="81">
        <f t="shared" si="211"/>
        <v>0</v>
      </c>
      <c r="BF329" s="81">
        <f t="shared" si="211"/>
        <v>0</v>
      </c>
      <c r="BG329" s="81">
        <f t="shared" si="211"/>
        <v>0</v>
      </c>
      <c r="BH329" s="81">
        <f t="shared" si="211"/>
        <v>0</v>
      </c>
      <c r="BI329" s="81">
        <f t="shared" si="211"/>
        <v>0</v>
      </c>
      <c r="BJ329" s="81">
        <f t="shared" si="211"/>
        <v>0</v>
      </c>
      <c r="BK329" s="81">
        <f t="shared" si="211"/>
        <v>0</v>
      </c>
      <c r="BL329" s="81">
        <f t="shared" si="211"/>
        <v>0</v>
      </c>
      <c r="BM329" s="81">
        <f t="shared" si="211"/>
        <v>0</v>
      </c>
      <c r="BN329" s="154">
        <f t="shared" si="211"/>
        <v>0</v>
      </c>
      <c r="BP329" s="383" t="s">
        <v>863</v>
      </c>
      <c r="BQ329" s="1463" t="s">
        <v>1583</v>
      </c>
      <c r="BR329" s="1464"/>
      <c r="BS329" s="1464"/>
      <c r="BT329" s="1464"/>
      <c r="BU329" s="1464"/>
      <c r="BV329" s="1464"/>
      <c r="BW329" s="1464"/>
      <c r="BX329" s="1464"/>
      <c r="BY329" s="1464"/>
      <c r="BZ329" s="1464"/>
      <c r="CA329" s="1464"/>
      <c r="CB329" s="1464"/>
      <c r="CC329" s="1464"/>
      <c r="CD329" s="1464"/>
      <c r="CE329" s="1464"/>
      <c r="CF329" s="1464"/>
      <c r="CG329" s="1465"/>
      <c r="CH329" s="385" t="s">
        <v>1427</v>
      </c>
      <c r="CI329" s="385" t="s">
        <v>1247</v>
      </c>
    </row>
    <row r="330" spans="32:87" ht="20.100000000000001" customHeight="1">
      <c r="AF330" s="1551"/>
      <c r="AG330" s="107" t="s">
        <v>864</v>
      </c>
      <c r="AH330" s="131"/>
      <c r="AI330" s="107">
        <f>INDEX('DEFAULT DATA'!$WD$9:$WJ$41,START!$C$3,3)</f>
        <v>354</v>
      </c>
      <c r="AJ330" s="63">
        <f>INDEX('DEFAULT DATA'!$AIV$9:$AJC$41,START!$C$3,4)</f>
        <v>0</v>
      </c>
      <c r="AK330" s="53">
        <v>0</v>
      </c>
      <c r="AL330" s="81">
        <f t="shared" ref="AL330:BN330" si="212">IF(AND(AL$296&gt;($D$86+2020),AL$296&lt;($E$86+2022)),AK330+($AI$330*$AJ$330*((100-$F$86)/100)*$B$86/($E$86-$D$86+1)/1000000),AK330)</f>
        <v>0</v>
      </c>
      <c r="AM330" s="81">
        <f t="shared" si="212"/>
        <v>0</v>
      </c>
      <c r="AN330" s="81">
        <f t="shared" si="212"/>
        <v>0</v>
      </c>
      <c r="AO330" s="81">
        <f t="shared" si="212"/>
        <v>0</v>
      </c>
      <c r="AP330" s="81">
        <f t="shared" si="212"/>
        <v>0</v>
      </c>
      <c r="AQ330" s="81">
        <f t="shared" si="212"/>
        <v>0</v>
      </c>
      <c r="AR330" s="81">
        <f t="shared" si="212"/>
        <v>0</v>
      </c>
      <c r="AS330" s="81">
        <f t="shared" si="212"/>
        <v>0</v>
      </c>
      <c r="AT330" s="81">
        <f t="shared" si="212"/>
        <v>0</v>
      </c>
      <c r="AU330" s="81">
        <f t="shared" si="212"/>
        <v>0</v>
      </c>
      <c r="AV330" s="81">
        <f t="shared" si="212"/>
        <v>0</v>
      </c>
      <c r="AW330" s="81">
        <f t="shared" si="212"/>
        <v>0</v>
      </c>
      <c r="AX330" s="81">
        <f t="shared" si="212"/>
        <v>0</v>
      </c>
      <c r="AY330" s="81">
        <f t="shared" si="212"/>
        <v>0</v>
      </c>
      <c r="AZ330" s="81">
        <f t="shared" si="212"/>
        <v>0</v>
      </c>
      <c r="BA330" s="81">
        <f t="shared" si="212"/>
        <v>0</v>
      </c>
      <c r="BB330" s="81">
        <f t="shared" si="212"/>
        <v>0</v>
      </c>
      <c r="BC330" s="81">
        <f t="shared" si="212"/>
        <v>0</v>
      </c>
      <c r="BD330" s="81">
        <f t="shared" si="212"/>
        <v>0</v>
      </c>
      <c r="BE330" s="81">
        <f t="shared" si="212"/>
        <v>0</v>
      </c>
      <c r="BF330" s="81">
        <f t="shared" si="212"/>
        <v>0</v>
      </c>
      <c r="BG330" s="81">
        <f t="shared" si="212"/>
        <v>0</v>
      </c>
      <c r="BH330" s="81">
        <f t="shared" si="212"/>
        <v>0</v>
      </c>
      <c r="BI330" s="81">
        <f t="shared" si="212"/>
        <v>0</v>
      </c>
      <c r="BJ330" s="81">
        <f t="shared" si="212"/>
        <v>0</v>
      </c>
      <c r="BK330" s="81">
        <f t="shared" si="212"/>
        <v>0</v>
      </c>
      <c r="BL330" s="81">
        <f t="shared" si="212"/>
        <v>0</v>
      </c>
      <c r="BM330" s="81">
        <f t="shared" si="212"/>
        <v>0</v>
      </c>
      <c r="BN330" s="154">
        <f t="shared" si="212"/>
        <v>0</v>
      </c>
      <c r="BP330" s="383" t="s">
        <v>864</v>
      </c>
      <c r="BQ330" s="1463" t="s">
        <v>1584</v>
      </c>
      <c r="BR330" s="1464"/>
      <c r="BS330" s="1464"/>
      <c r="BT330" s="1464"/>
      <c r="BU330" s="1464"/>
      <c r="BV330" s="1464"/>
      <c r="BW330" s="1464"/>
      <c r="BX330" s="1464"/>
      <c r="BY330" s="1464"/>
      <c r="BZ330" s="1464"/>
      <c r="CA330" s="1464"/>
      <c r="CB330" s="1464"/>
      <c r="CC330" s="1464"/>
      <c r="CD330" s="1464"/>
      <c r="CE330" s="1464"/>
      <c r="CF330" s="1464"/>
      <c r="CG330" s="1465"/>
      <c r="CH330" s="385" t="s">
        <v>1428</v>
      </c>
      <c r="CI330" s="385" t="s">
        <v>1248</v>
      </c>
    </row>
    <row r="331" spans="32:87" ht="20.100000000000001" customHeight="1">
      <c r="AF331" s="1551"/>
      <c r="AG331" s="107" t="s">
        <v>865</v>
      </c>
      <c r="AH331" s="131"/>
      <c r="AI331" s="107">
        <f>INDEX('DEFAULT DATA'!$WD$9:$WJ$41,START!$C$3,4)</f>
        <v>382</v>
      </c>
      <c r="AJ331" s="63">
        <f>INDEX('DEFAULT DATA'!$AIV$9:$AJC$41,START!$C$3,5)</f>
        <v>3.68</v>
      </c>
      <c r="AK331" s="53">
        <v>0</v>
      </c>
      <c r="AL331" s="81">
        <f t="shared" ref="AL331:BN331" si="213">IF(AND(AL$296&gt;($D$86+2020),AL$296&lt;($E$86+2022)),AK331+($AI$331*$AJ$331*((100-$F$86)/100)*$B$86/($E$86-$D$86+1)/1000000),AK331)</f>
        <v>0</v>
      </c>
      <c r="AM331" s="81">
        <f t="shared" si="213"/>
        <v>0</v>
      </c>
      <c r="AN331" s="81">
        <f t="shared" si="213"/>
        <v>0</v>
      </c>
      <c r="AO331" s="81">
        <f t="shared" si="213"/>
        <v>0</v>
      </c>
      <c r="AP331" s="81">
        <f t="shared" si="213"/>
        <v>0</v>
      </c>
      <c r="AQ331" s="81">
        <f t="shared" si="213"/>
        <v>0</v>
      </c>
      <c r="AR331" s="81">
        <f t="shared" si="213"/>
        <v>0</v>
      </c>
      <c r="AS331" s="81">
        <f t="shared" si="213"/>
        <v>0</v>
      </c>
      <c r="AT331" s="81">
        <f t="shared" si="213"/>
        <v>0</v>
      </c>
      <c r="AU331" s="81">
        <f t="shared" si="213"/>
        <v>0</v>
      </c>
      <c r="AV331" s="81">
        <f t="shared" si="213"/>
        <v>0</v>
      </c>
      <c r="AW331" s="81">
        <f t="shared" si="213"/>
        <v>0</v>
      </c>
      <c r="AX331" s="81">
        <f t="shared" si="213"/>
        <v>0</v>
      </c>
      <c r="AY331" s="81">
        <f t="shared" si="213"/>
        <v>0</v>
      </c>
      <c r="AZ331" s="81">
        <f t="shared" si="213"/>
        <v>0</v>
      </c>
      <c r="BA331" s="81">
        <f t="shared" si="213"/>
        <v>0</v>
      </c>
      <c r="BB331" s="81">
        <f t="shared" si="213"/>
        <v>0</v>
      </c>
      <c r="BC331" s="81">
        <f t="shared" si="213"/>
        <v>0</v>
      </c>
      <c r="BD331" s="81">
        <f t="shared" si="213"/>
        <v>0</v>
      </c>
      <c r="BE331" s="81">
        <f t="shared" si="213"/>
        <v>0</v>
      </c>
      <c r="BF331" s="81">
        <f t="shared" si="213"/>
        <v>0</v>
      </c>
      <c r="BG331" s="81">
        <f t="shared" si="213"/>
        <v>0</v>
      </c>
      <c r="BH331" s="81">
        <f t="shared" si="213"/>
        <v>0</v>
      </c>
      <c r="BI331" s="81">
        <f t="shared" si="213"/>
        <v>0</v>
      </c>
      <c r="BJ331" s="81">
        <f t="shared" si="213"/>
        <v>0</v>
      </c>
      <c r="BK331" s="81">
        <f t="shared" si="213"/>
        <v>0</v>
      </c>
      <c r="BL331" s="81">
        <f t="shared" si="213"/>
        <v>0</v>
      </c>
      <c r="BM331" s="81">
        <f t="shared" si="213"/>
        <v>0</v>
      </c>
      <c r="BN331" s="154">
        <f t="shared" si="213"/>
        <v>0</v>
      </c>
      <c r="BP331" s="383" t="s">
        <v>865</v>
      </c>
      <c r="BQ331" s="1463" t="s">
        <v>1585</v>
      </c>
      <c r="BR331" s="1464"/>
      <c r="BS331" s="1464"/>
      <c r="BT331" s="1464"/>
      <c r="BU331" s="1464"/>
      <c r="BV331" s="1464"/>
      <c r="BW331" s="1464"/>
      <c r="BX331" s="1464"/>
      <c r="BY331" s="1464"/>
      <c r="BZ331" s="1464"/>
      <c r="CA331" s="1464"/>
      <c r="CB331" s="1464"/>
      <c r="CC331" s="1464"/>
      <c r="CD331" s="1464"/>
      <c r="CE331" s="1464"/>
      <c r="CF331" s="1464"/>
      <c r="CG331" s="1465"/>
      <c r="CH331" s="385" t="s">
        <v>1429</v>
      </c>
      <c r="CI331" s="385" t="s">
        <v>1249</v>
      </c>
    </row>
    <row r="332" spans="32:87" ht="20.100000000000001" customHeight="1">
      <c r="AF332" s="1551"/>
      <c r="AG332" s="107" t="s">
        <v>866</v>
      </c>
      <c r="AH332" s="131"/>
      <c r="AI332" s="107">
        <f>INDEX('DEFAULT DATA'!$WD$9:$WJ$41,START!$C$3,5)</f>
        <v>403</v>
      </c>
      <c r="AJ332" s="63">
        <f>INDEX('DEFAULT DATA'!$AIV$9:$AJC$41,START!$C$3,6)</f>
        <v>4.4800000000000004</v>
      </c>
      <c r="AK332" s="53">
        <v>0</v>
      </c>
      <c r="AL332" s="81">
        <f t="shared" ref="AL332:BN332" si="214">IF(AND(AL$296&gt;($D$86+2020),AL$296&lt;($E$86+2022)),AK332+($AI$332*$AJ$332*((100-$F$86)/100)*$B$86/($E$86-$D$86+1)/1000000),AK332)</f>
        <v>0</v>
      </c>
      <c r="AM332" s="81">
        <f t="shared" si="214"/>
        <v>0</v>
      </c>
      <c r="AN332" s="81">
        <f t="shared" si="214"/>
        <v>0</v>
      </c>
      <c r="AO332" s="81">
        <f t="shared" si="214"/>
        <v>0</v>
      </c>
      <c r="AP332" s="81">
        <f t="shared" si="214"/>
        <v>0</v>
      </c>
      <c r="AQ332" s="81">
        <f t="shared" si="214"/>
        <v>0</v>
      </c>
      <c r="AR332" s="81">
        <f t="shared" si="214"/>
        <v>0</v>
      </c>
      <c r="AS332" s="81">
        <f t="shared" si="214"/>
        <v>0</v>
      </c>
      <c r="AT332" s="81">
        <f t="shared" si="214"/>
        <v>0</v>
      </c>
      <c r="AU332" s="81">
        <f t="shared" si="214"/>
        <v>0</v>
      </c>
      <c r="AV332" s="81">
        <f t="shared" si="214"/>
        <v>0</v>
      </c>
      <c r="AW332" s="81">
        <f t="shared" si="214"/>
        <v>0</v>
      </c>
      <c r="AX332" s="81">
        <f t="shared" si="214"/>
        <v>0</v>
      </c>
      <c r="AY332" s="81">
        <f t="shared" si="214"/>
        <v>0</v>
      </c>
      <c r="AZ332" s="81">
        <f t="shared" si="214"/>
        <v>0</v>
      </c>
      <c r="BA332" s="81">
        <f t="shared" si="214"/>
        <v>0</v>
      </c>
      <c r="BB332" s="81">
        <f t="shared" si="214"/>
        <v>0</v>
      </c>
      <c r="BC332" s="81">
        <f t="shared" si="214"/>
        <v>0</v>
      </c>
      <c r="BD332" s="81">
        <f t="shared" si="214"/>
        <v>0</v>
      </c>
      <c r="BE332" s="81">
        <f t="shared" si="214"/>
        <v>0</v>
      </c>
      <c r="BF332" s="81">
        <f t="shared" si="214"/>
        <v>0</v>
      </c>
      <c r="BG332" s="81">
        <f t="shared" si="214"/>
        <v>0</v>
      </c>
      <c r="BH332" s="81">
        <f t="shared" si="214"/>
        <v>0</v>
      </c>
      <c r="BI332" s="81">
        <f t="shared" si="214"/>
        <v>0</v>
      </c>
      <c r="BJ332" s="81">
        <f t="shared" si="214"/>
        <v>0</v>
      </c>
      <c r="BK332" s="81">
        <f t="shared" si="214"/>
        <v>0</v>
      </c>
      <c r="BL332" s="81">
        <f t="shared" si="214"/>
        <v>0</v>
      </c>
      <c r="BM332" s="81">
        <f t="shared" si="214"/>
        <v>0</v>
      </c>
      <c r="BN332" s="154">
        <f t="shared" si="214"/>
        <v>0</v>
      </c>
      <c r="BP332" s="383" t="s">
        <v>866</v>
      </c>
      <c r="BQ332" s="1463" t="s">
        <v>1586</v>
      </c>
      <c r="BR332" s="1464"/>
      <c r="BS332" s="1464"/>
      <c r="BT332" s="1464"/>
      <c r="BU332" s="1464"/>
      <c r="BV332" s="1464"/>
      <c r="BW332" s="1464"/>
      <c r="BX332" s="1464"/>
      <c r="BY332" s="1464"/>
      <c r="BZ332" s="1464"/>
      <c r="CA332" s="1464"/>
      <c r="CB332" s="1464"/>
      <c r="CC332" s="1464"/>
      <c r="CD332" s="1464"/>
      <c r="CE332" s="1464"/>
      <c r="CF332" s="1464"/>
      <c r="CG332" s="1465"/>
      <c r="CH332" s="385" t="s">
        <v>1430</v>
      </c>
      <c r="CI332" s="385" t="s">
        <v>1250</v>
      </c>
    </row>
    <row r="333" spans="32:87" ht="20.100000000000001" customHeight="1">
      <c r="AF333" s="1551"/>
      <c r="AG333" s="107" t="s">
        <v>867</v>
      </c>
      <c r="AH333" s="131"/>
      <c r="AI333" s="107">
        <f>INDEX('DEFAULT DATA'!$WD$9:$WJ$41,START!$C$3,6)</f>
        <v>0</v>
      </c>
      <c r="AJ333" s="63">
        <f>INDEX('DEFAULT DATA'!$AIV$9:$AJC$41,START!$C$3,7)</f>
        <v>0</v>
      </c>
      <c r="AK333" s="53">
        <v>0</v>
      </c>
      <c r="AL333" s="81">
        <f t="shared" ref="AL333:BN333" si="215">IF(AND(AL$296&gt;($D$86+2020),AL$296&lt;($E$86+2022)),AK333+($AI$333*$AJ$333*((100-$F$86)/100)*$B$86/($E$86-$D$86+1)/1000000),AK333)</f>
        <v>0</v>
      </c>
      <c r="AM333" s="81">
        <f t="shared" si="215"/>
        <v>0</v>
      </c>
      <c r="AN333" s="81">
        <f t="shared" si="215"/>
        <v>0</v>
      </c>
      <c r="AO333" s="81">
        <f t="shared" si="215"/>
        <v>0</v>
      </c>
      <c r="AP333" s="81">
        <f t="shared" si="215"/>
        <v>0</v>
      </c>
      <c r="AQ333" s="81">
        <f t="shared" si="215"/>
        <v>0</v>
      </c>
      <c r="AR333" s="81">
        <f t="shared" si="215"/>
        <v>0</v>
      </c>
      <c r="AS333" s="81">
        <f t="shared" si="215"/>
        <v>0</v>
      </c>
      <c r="AT333" s="81">
        <f t="shared" si="215"/>
        <v>0</v>
      </c>
      <c r="AU333" s="81">
        <f t="shared" si="215"/>
        <v>0</v>
      </c>
      <c r="AV333" s="81">
        <f t="shared" si="215"/>
        <v>0</v>
      </c>
      <c r="AW333" s="81">
        <f t="shared" si="215"/>
        <v>0</v>
      </c>
      <c r="AX333" s="81">
        <f t="shared" si="215"/>
        <v>0</v>
      </c>
      <c r="AY333" s="81">
        <f t="shared" si="215"/>
        <v>0</v>
      </c>
      <c r="AZ333" s="81">
        <f t="shared" si="215"/>
        <v>0</v>
      </c>
      <c r="BA333" s="81">
        <f t="shared" si="215"/>
        <v>0</v>
      </c>
      <c r="BB333" s="81">
        <f t="shared" si="215"/>
        <v>0</v>
      </c>
      <c r="BC333" s="81">
        <f t="shared" si="215"/>
        <v>0</v>
      </c>
      <c r="BD333" s="81">
        <f t="shared" si="215"/>
        <v>0</v>
      </c>
      <c r="BE333" s="81">
        <f t="shared" si="215"/>
        <v>0</v>
      </c>
      <c r="BF333" s="81">
        <f t="shared" si="215"/>
        <v>0</v>
      </c>
      <c r="BG333" s="81">
        <f t="shared" si="215"/>
        <v>0</v>
      </c>
      <c r="BH333" s="81">
        <f t="shared" si="215"/>
        <v>0</v>
      </c>
      <c r="BI333" s="81">
        <f t="shared" si="215"/>
        <v>0</v>
      </c>
      <c r="BJ333" s="81">
        <f t="shared" si="215"/>
        <v>0</v>
      </c>
      <c r="BK333" s="81">
        <f t="shared" si="215"/>
        <v>0</v>
      </c>
      <c r="BL333" s="81">
        <f t="shared" si="215"/>
        <v>0</v>
      </c>
      <c r="BM333" s="81">
        <f t="shared" si="215"/>
        <v>0</v>
      </c>
      <c r="BN333" s="154">
        <f t="shared" si="215"/>
        <v>0</v>
      </c>
      <c r="BP333" s="383" t="s">
        <v>867</v>
      </c>
      <c r="BQ333" s="1463" t="s">
        <v>1588</v>
      </c>
      <c r="BR333" s="1464"/>
      <c r="BS333" s="1464"/>
      <c r="BT333" s="1464"/>
      <c r="BU333" s="1464"/>
      <c r="BV333" s="1464"/>
      <c r="BW333" s="1464"/>
      <c r="BX333" s="1464"/>
      <c r="BY333" s="1464"/>
      <c r="BZ333" s="1464"/>
      <c r="CA333" s="1464"/>
      <c r="CB333" s="1464"/>
      <c r="CC333" s="1464"/>
      <c r="CD333" s="1464"/>
      <c r="CE333" s="1464"/>
      <c r="CF333" s="1464"/>
      <c r="CG333" s="1465"/>
      <c r="CH333" s="385" t="s">
        <v>1431</v>
      </c>
      <c r="CI333" s="385" t="s">
        <v>1251</v>
      </c>
    </row>
    <row r="334" spans="32:87" ht="20.100000000000001" customHeight="1" thickBot="1">
      <c r="AF334" s="1552"/>
      <c r="AG334" s="146" t="s">
        <v>868</v>
      </c>
      <c r="AH334" s="139"/>
      <c r="AI334" s="146" t="s">
        <v>1123</v>
      </c>
      <c r="AJ334" s="113">
        <f>INDEX('DEFAULT DATA'!$AIV$9:$AJC$41,START!$C$3,8)</f>
        <v>0</v>
      </c>
      <c r="AK334" s="54">
        <v>0</v>
      </c>
      <c r="AL334" s="155">
        <f t="shared" ref="AL334:BN334" si="216">IF(AND(AL$296&gt;($D$86+2020),AL$296&lt;($E$86+2022)),AK334+(AL$6*$AJ$334*((100-$F$86)/100)*$B$86/($E$86-$D$86+1)/1000000),AK334)</f>
        <v>0</v>
      </c>
      <c r="AM334" s="155">
        <f t="shared" si="216"/>
        <v>0</v>
      </c>
      <c r="AN334" s="155">
        <f t="shared" si="216"/>
        <v>0</v>
      </c>
      <c r="AO334" s="155">
        <f t="shared" si="216"/>
        <v>0</v>
      </c>
      <c r="AP334" s="155">
        <f t="shared" si="216"/>
        <v>0</v>
      </c>
      <c r="AQ334" s="155">
        <f t="shared" si="216"/>
        <v>0</v>
      </c>
      <c r="AR334" s="155">
        <f t="shared" si="216"/>
        <v>0</v>
      </c>
      <c r="AS334" s="155">
        <f t="shared" si="216"/>
        <v>0</v>
      </c>
      <c r="AT334" s="155">
        <f t="shared" si="216"/>
        <v>0</v>
      </c>
      <c r="AU334" s="155">
        <f t="shared" si="216"/>
        <v>0</v>
      </c>
      <c r="AV334" s="155">
        <f t="shared" si="216"/>
        <v>0</v>
      </c>
      <c r="AW334" s="155">
        <f t="shared" si="216"/>
        <v>0</v>
      </c>
      <c r="AX334" s="155">
        <f t="shared" si="216"/>
        <v>0</v>
      </c>
      <c r="AY334" s="155">
        <f t="shared" si="216"/>
        <v>0</v>
      </c>
      <c r="AZ334" s="155">
        <f t="shared" si="216"/>
        <v>0</v>
      </c>
      <c r="BA334" s="155">
        <f t="shared" si="216"/>
        <v>0</v>
      </c>
      <c r="BB334" s="155">
        <f t="shared" si="216"/>
        <v>0</v>
      </c>
      <c r="BC334" s="155">
        <f t="shared" si="216"/>
        <v>0</v>
      </c>
      <c r="BD334" s="155">
        <f t="shared" si="216"/>
        <v>0</v>
      </c>
      <c r="BE334" s="155">
        <f t="shared" si="216"/>
        <v>0</v>
      </c>
      <c r="BF334" s="155">
        <f t="shared" si="216"/>
        <v>0</v>
      </c>
      <c r="BG334" s="155">
        <f t="shared" si="216"/>
        <v>0</v>
      </c>
      <c r="BH334" s="155">
        <f t="shared" si="216"/>
        <v>0</v>
      </c>
      <c r="BI334" s="155">
        <f t="shared" si="216"/>
        <v>0</v>
      </c>
      <c r="BJ334" s="155">
        <f t="shared" si="216"/>
        <v>0</v>
      </c>
      <c r="BK334" s="155">
        <f t="shared" si="216"/>
        <v>0</v>
      </c>
      <c r="BL334" s="155">
        <f t="shared" si="216"/>
        <v>0</v>
      </c>
      <c r="BM334" s="155">
        <f t="shared" si="216"/>
        <v>0</v>
      </c>
      <c r="BN334" s="156">
        <f t="shared" si="216"/>
        <v>0</v>
      </c>
      <c r="BP334" s="383" t="s">
        <v>868</v>
      </c>
      <c r="BQ334" s="1463" t="s">
        <v>1587</v>
      </c>
      <c r="BR334" s="1464"/>
      <c r="BS334" s="1464"/>
      <c r="BT334" s="1464"/>
      <c r="BU334" s="1464"/>
      <c r="BV334" s="1464"/>
      <c r="BW334" s="1464"/>
      <c r="BX334" s="1464"/>
      <c r="BY334" s="1464"/>
      <c r="BZ334" s="1464"/>
      <c r="CA334" s="1464"/>
      <c r="CB334" s="1464"/>
      <c r="CC334" s="1464"/>
      <c r="CD334" s="1464"/>
      <c r="CE334" s="1464"/>
      <c r="CF334" s="1464"/>
      <c r="CG334" s="1465"/>
      <c r="CH334" s="385" t="s">
        <v>1432</v>
      </c>
      <c r="CI334" s="385" t="s">
        <v>1508</v>
      </c>
    </row>
    <row r="335" spans="32:87" ht="20.100000000000001" customHeight="1">
      <c r="AF335" s="147"/>
      <c r="AG335" s="136" t="s">
        <v>1087</v>
      </c>
      <c r="AH335" s="136"/>
      <c r="AI335" s="136"/>
      <c r="AJ335" s="136"/>
      <c r="AK335" s="173">
        <f>SUM(AK327:AK334)</f>
        <v>0</v>
      </c>
      <c r="AL335" s="151">
        <f>SUM(AL327:AL334)</f>
        <v>0</v>
      </c>
      <c r="AM335" s="151">
        <f t="shared" ref="AM335:BN335" si="217">SUM(AM327:AM334)</f>
        <v>0</v>
      </c>
      <c r="AN335" s="151">
        <f t="shared" si="217"/>
        <v>0</v>
      </c>
      <c r="AO335" s="151">
        <f t="shared" si="217"/>
        <v>0</v>
      </c>
      <c r="AP335" s="151">
        <f t="shared" si="217"/>
        <v>0</v>
      </c>
      <c r="AQ335" s="151">
        <f t="shared" si="217"/>
        <v>0</v>
      </c>
      <c r="AR335" s="151">
        <f t="shared" si="217"/>
        <v>0</v>
      </c>
      <c r="AS335" s="151">
        <f t="shared" si="217"/>
        <v>0</v>
      </c>
      <c r="AT335" s="151">
        <f t="shared" si="217"/>
        <v>0</v>
      </c>
      <c r="AU335" s="151">
        <f t="shared" si="217"/>
        <v>0</v>
      </c>
      <c r="AV335" s="151">
        <f t="shared" si="217"/>
        <v>0</v>
      </c>
      <c r="AW335" s="151">
        <f t="shared" si="217"/>
        <v>0</v>
      </c>
      <c r="AX335" s="151">
        <f t="shared" si="217"/>
        <v>0</v>
      </c>
      <c r="AY335" s="151">
        <f t="shared" si="217"/>
        <v>0</v>
      </c>
      <c r="AZ335" s="151">
        <f t="shared" si="217"/>
        <v>0</v>
      </c>
      <c r="BA335" s="151">
        <f t="shared" si="217"/>
        <v>0</v>
      </c>
      <c r="BB335" s="151">
        <f t="shared" si="217"/>
        <v>0</v>
      </c>
      <c r="BC335" s="151">
        <f t="shared" si="217"/>
        <v>0</v>
      </c>
      <c r="BD335" s="151">
        <f t="shared" si="217"/>
        <v>0</v>
      </c>
      <c r="BE335" s="151">
        <f t="shared" si="217"/>
        <v>0</v>
      </c>
      <c r="BF335" s="151">
        <f t="shared" si="217"/>
        <v>0</v>
      </c>
      <c r="BG335" s="151">
        <f t="shared" si="217"/>
        <v>0</v>
      </c>
      <c r="BH335" s="151">
        <f t="shared" si="217"/>
        <v>0</v>
      </c>
      <c r="BI335" s="151">
        <f t="shared" si="217"/>
        <v>0</v>
      </c>
      <c r="BJ335" s="151">
        <f t="shared" si="217"/>
        <v>0</v>
      </c>
      <c r="BK335" s="151">
        <f t="shared" si="217"/>
        <v>0</v>
      </c>
      <c r="BL335" s="151">
        <f t="shared" si="217"/>
        <v>0</v>
      </c>
      <c r="BM335" s="151">
        <f t="shared" si="217"/>
        <v>0</v>
      </c>
      <c r="BN335" s="151">
        <f t="shared" si="217"/>
        <v>0</v>
      </c>
    </row>
    <row r="336" spans="32:87" ht="20.100000000000001" customHeight="1" thickBot="1">
      <c r="AK336" s="171"/>
      <c r="BP336" s="3" t="s">
        <v>874</v>
      </c>
      <c r="CH336" s="386" t="s">
        <v>1506</v>
      </c>
      <c r="CI336" s="6" t="s">
        <v>1224</v>
      </c>
    </row>
    <row r="337" spans="32:87" ht="20.100000000000001" customHeight="1">
      <c r="AF337" s="1550" t="str">
        <f>AF228</f>
        <v>Industrial</v>
      </c>
      <c r="AG337" s="137" t="s">
        <v>578</v>
      </c>
      <c r="AH337" s="138"/>
      <c r="AI337" s="137" t="s">
        <v>1122</v>
      </c>
      <c r="AJ337" s="148">
        <f>INDEX('DEFAULT DATA'!$AJD$9:$AJK$41,START!$C$3,1)</f>
        <v>129.6</v>
      </c>
      <c r="AK337" s="173">
        <v>0</v>
      </c>
      <c r="AL337" s="152">
        <f t="shared" ref="AL337:BN337" si="218">IF(AND(AL$296&gt;($D$87+2020),AL$296&lt;($E$87+2022)),AK337+(AL$5*AJ337*((100-$F$87)/100)*$B$87/($E$87-$D$87+1)/1000000),AK337)</f>
        <v>0</v>
      </c>
      <c r="AM337" s="152">
        <f t="shared" si="218"/>
        <v>0</v>
      </c>
      <c r="AN337" s="152">
        <f t="shared" si="218"/>
        <v>0</v>
      </c>
      <c r="AO337" s="152">
        <f t="shared" si="218"/>
        <v>0</v>
      </c>
      <c r="AP337" s="152">
        <f t="shared" si="218"/>
        <v>0</v>
      </c>
      <c r="AQ337" s="152">
        <f t="shared" si="218"/>
        <v>0</v>
      </c>
      <c r="AR337" s="152">
        <f t="shared" si="218"/>
        <v>0</v>
      </c>
      <c r="AS337" s="152">
        <f t="shared" si="218"/>
        <v>0</v>
      </c>
      <c r="AT337" s="152">
        <f t="shared" si="218"/>
        <v>0</v>
      </c>
      <c r="AU337" s="152">
        <f t="shared" si="218"/>
        <v>0</v>
      </c>
      <c r="AV337" s="152">
        <f t="shared" si="218"/>
        <v>0</v>
      </c>
      <c r="AW337" s="152">
        <f t="shared" si="218"/>
        <v>0</v>
      </c>
      <c r="AX337" s="152">
        <f t="shared" si="218"/>
        <v>0</v>
      </c>
      <c r="AY337" s="152">
        <f t="shared" si="218"/>
        <v>0</v>
      </c>
      <c r="AZ337" s="152">
        <f t="shared" si="218"/>
        <v>0</v>
      </c>
      <c r="BA337" s="152">
        <f t="shared" si="218"/>
        <v>0</v>
      </c>
      <c r="BB337" s="152">
        <f t="shared" si="218"/>
        <v>0</v>
      </c>
      <c r="BC337" s="152">
        <f t="shared" si="218"/>
        <v>0</v>
      </c>
      <c r="BD337" s="152">
        <f t="shared" si="218"/>
        <v>0</v>
      </c>
      <c r="BE337" s="152">
        <f t="shared" si="218"/>
        <v>0</v>
      </c>
      <c r="BF337" s="152">
        <f t="shared" si="218"/>
        <v>0</v>
      </c>
      <c r="BG337" s="152">
        <f t="shared" si="218"/>
        <v>0</v>
      </c>
      <c r="BH337" s="152">
        <f t="shared" si="218"/>
        <v>0</v>
      </c>
      <c r="BI337" s="152">
        <f t="shared" si="218"/>
        <v>0</v>
      </c>
      <c r="BJ337" s="152">
        <f t="shared" si="218"/>
        <v>0</v>
      </c>
      <c r="BK337" s="152">
        <f t="shared" si="218"/>
        <v>0</v>
      </c>
      <c r="BL337" s="152">
        <f t="shared" si="218"/>
        <v>0</v>
      </c>
      <c r="BM337" s="152">
        <f t="shared" si="218"/>
        <v>0</v>
      </c>
      <c r="BN337" s="153">
        <f t="shared" si="218"/>
        <v>0</v>
      </c>
      <c r="BP337" s="383" t="s">
        <v>578</v>
      </c>
      <c r="BQ337" s="1463" t="s">
        <v>1589</v>
      </c>
      <c r="BR337" s="1464"/>
      <c r="BS337" s="1464"/>
      <c r="BT337" s="1464"/>
      <c r="BU337" s="1464"/>
      <c r="BV337" s="1464"/>
      <c r="BW337" s="1464"/>
      <c r="BX337" s="1464"/>
      <c r="BY337" s="1464"/>
      <c r="BZ337" s="1464"/>
      <c r="CA337" s="1464"/>
      <c r="CB337" s="1464"/>
      <c r="CC337" s="1464"/>
      <c r="CD337" s="1464"/>
      <c r="CE337" s="1464"/>
      <c r="CF337" s="1464"/>
      <c r="CG337" s="1465"/>
      <c r="CH337" s="385" t="s">
        <v>1433</v>
      </c>
      <c r="CI337" s="385" t="s">
        <v>1507</v>
      </c>
    </row>
    <row r="338" spans="32:87" ht="20.100000000000001" customHeight="1">
      <c r="AF338" s="1551"/>
      <c r="AG338" s="107" t="s">
        <v>862</v>
      </c>
      <c r="AH338" s="131"/>
      <c r="AI338" s="107">
        <f>INDEX('DEFAULT DATA'!$WD$9:$WJ$41,START!$C$3,1)</f>
        <v>202</v>
      </c>
      <c r="AJ338" s="63">
        <f>INDEX('DEFAULT DATA'!$AJD$9:$AJK$41,START!$C$3,2)</f>
        <v>96.93</v>
      </c>
      <c r="AK338" s="53">
        <v>0</v>
      </c>
      <c r="AL338" s="81">
        <f t="shared" ref="AL338:AU343" si="219">IF(AND(AL$296&gt;($D$87+2020),AL$296&lt;($E$87+2022)),AK338+(AI338*AJ338*((100-$F$87)/100)*$B$87/($E$87-$D$87+1)/1000000),AK338)</f>
        <v>0</v>
      </c>
      <c r="AM338" s="81">
        <f t="shared" si="219"/>
        <v>0</v>
      </c>
      <c r="AN338" s="81">
        <f t="shared" si="219"/>
        <v>0</v>
      </c>
      <c r="AO338" s="81">
        <f t="shared" si="219"/>
        <v>0</v>
      </c>
      <c r="AP338" s="81">
        <f t="shared" si="219"/>
        <v>0</v>
      </c>
      <c r="AQ338" s="81">
        <f t="shared" si="219"/>
        <v>0</v>
      </c>
      <c r="AR338" s="81">
        <f t="shared" si="219"/>
        <v>0</v>
      </c>
      <c r="AS338" s="81">
        <f t="shared" si="219"/>
        <v>0</v>
      </c>
      <c r="AT338" s="81">
        <f t="shared" si="219"/>
        <v>0</v>
      </c>
      <c r="AU338" s="81">
        <f t="shared" si="219"/>
        <v>0</v>
      </c>
      <c r="AV338" s="81">
        <f t="shared" ref="AV338:BE343" si="220">IF(AND(AV$296&gt;($D$87+2020),AV$296&lt;($E$87+2022)),AU338+(AS338*AT338*((100-$F$87)/100)*$B$87/($E$87-$D$87+1)/1000000),AU338)</f>
        <v>0</v>
      </c>
      <c r="AW338" s="81">
        <f t="shared" si="220"/>
        <v>0</v>
      </c>
      <c r="AX338" s="81">
        <f t="shared" si="220"/>
        <v>0</v>
      </c>
      <c r="AY338" s="81">
        <f t="shared" si="220"/>
        <v>0</v>
      </c>
      <c r="AZ338" s="81">
        <f t="shared" si="220"/>
        <v>0</v>
      </c>
      <c r="BA338" s="81">
        <f t="shared" si="220"/>
        <v>0</v>
      </c>
      <c r="BB338" s="81">
        <f t="shared" si="220"/>
        <v>0</v>
      </c>
      <c r="BC338" s="81">
        <f t="shared" si="220"/>
        <v>0</v>
      </c>
      <c r="BD338" s="81">
        <f t="shared" si="220"/>
        <v>0</v>
      </c>
      <c r="BE338" s="81">
        <f t="shared" si="220"/>
        <v>0</v>
      </c>
      <c r="BF338" s="81">
        <f t="shared" ref="BF338:BN343" si="221">IF(AND(BF$296&gt;($D$87+2020),BF$296&lt;($E$87+2022)),BE338+(BC338*BD338*((100-$F$87)/100)*$B$87/($E$87-$D$87+1)/1000000),BE338)</f>
        <v>0</v>
      </c>
      <c r="BG338" s="81">
        <f t="shared" si="221"/>
        <v>0</v>
      </c>
      <c r="BH338" s="81">
        <f t="shared" si="221"/>
        <v>0</v>
      </c>
      <c r="BI338" s="81">
        <f t="shared" si="221"/>
        <v>0</v>
      </c>
      <c r="BJ338" s="81">
        <f t="shared" si="221"/>
        <v>0</v>
      </c>
      <c r="BK338" s="81">
        <f t="shared" si="221"/>
        <v>0</v>
      </c>
      <c r="BL338" s="81">
        <f t="shared" si="221"/>
        <v>0</v>
      </c>
      <c r="BM338" s="81">
        <f t="shared" si="221"/>
        <v>0</v>
      </c>
      <c r="BN338" s="154">
        <f t="shared" si="221"/>
        <v>0</v>
      </c>
      <c r="BP338" s="383" t="s">
        <v>862</v>
      </c>
      <c r="BQ338" s="1463" t="s">
        <v>1590</v>
      </c>
      <c r="BR338" s="1464"/>
      <c r="BS338" s="1464"/>
      <c r="BT338" s="1464"/>
      <c r="BU338" s="1464"/>
      <c r="BV338" s="1464"/>
      <c r="BW338" s="1464"/>
      <c r="BX338" s="1464"/>
      <c r="BY338" s="1464"/>
      <c r="BZ338" s="1464"/>
      <c r="CA338" s="1464"/>
      <c r="CB338" s="1464"/>
      <c r="CC338" s="1464"/>
      <c r="CD338" s="1464"/>
      <c r="CE338" s="1464"/>
      <c r="CF338" s="1464"/>
      <c r="CG338" s="1465"/>
      <c r="CH338" s="385" t="s">
        <v>1434</v>
      </c>
      <c r="CI338" s="385" t="s">
        <v>886</v>
      </c>
    </row>
    <row r="339" spans="32:87" ht="20.100000000000001" customHeight="1">
      <c r="AF339" s="1551"/>
      <c r="AG339" s="107" t="s">
        <v>863</v>
      </c>
      <c r="AH339" s="131"/>
      <c r="AI339" s="107">
        <f>INDEX('DEFAULT DATA'!$WD$9:$WJ$41,START!$C$3,2)</f>
        <v>267</v>
      </c>
      <c r="AJ339" s="63">
        <f>INDEX('DEFAULT DATA'!$AJD$9:$AJK$41,START!$C$3,3)</f>
        <v>80.78</v>
      </c>
      <c r="AK339" s="53">
        <v>0</v>
      </c>
      <c r="AL339" s="81">
        <f t="shared" si="219"/>
        <v>0</v>
      </c>
      <c r="AM339" s="81">
        <f t="shared" si="219"/>
        <v>0</v>
      </c>
      <c r="AN339" s="81">
        <f t="shared" si="219"/>
        <v>0</v>
      </c>
      <c r="AO339" s="81">
        <f t="shared" si="219"/>
        <v>0</v>
      </c>
      <c r="AP339" s="81">
        <f t="shared" si="219"/>
        <v>0</v>
      </c>
      <c r="AQ339" s="81">
        <f t="shared" si="219"/>
        <v>0</v>
      </c>
      <c r="AR339" s="81">
        <f t="shared" si="219"/>
        <v>0</v>
      </c>
      <c r="AS339" s="81">
        <f t="shared" si="219"/>
        <v>0</v>
      </c>
      <c r="AT339" s="81">
        <f t="shared" si="219"/>
        <v>0</v>
      </c>
      <c r="AU339" s="81">
        <f t="shared" si="219"/>
        <v>0</v>
      </c>
      <c r="AV339" s="81">
        <f t="shared" si="220"/>
        <v>0</v>
      </c>
      <c r="AW339" s="81">
        <f t="shared" si="220"/>
        <v>0</v>
      </c>
      <c r="AX339" s="81">
        <f t="shared" si="220"/>
        <v>0</v>
      </c>
      <c r="AY339" s="81">
        <f t="shared" si="220"/>
        <v>0</v>
      </c>
      <c r="AZ339" s="81">
        <f t="shared" si="220"/>
        <v>0</v>
      </c>
      <c r="BA339" s="81">
        <f t="shared" si="220"/>
        <v>0</v>
      </c>
      <c r="BB339" s="81">
        <f t="shared" si="220"/>
        <v>0</v>
      </c>
      <c r="BC339" s="81">
        <f t="shared" si="220"/>
        <v>0</v>
      </c>
      <c r="BD339" s="81">
        <f t="shared" si="220"/>
        <v>0</v>
      </c>
      <c r="BE339" s="81">
        <f t="shared" si="220"/>
        <v>0</v>
      </c>
      <c r="BF339" s="81">
        <f t="shared" si="221"/>
        <v>0</v>
      </c>
      <c r="BG339" s="81">
        <f t="shared" si="221"/>
        <v>0</v>
      </c>
      <c r="BH339" s="81">
        <f t="shared" si="221"/>
        <v>0</v>
      </c>
      <c r="BI339" s="81">
        <f t="shared" si="221"/>
        <v>0</v>
      </c>
      <c r="BJ339" s="81">
        <f t="shared" si="221"/>
        <v>0</v>
      </c>
      <c r="BK339" s="81">
        <f t="shared" si="221"/>
        <v>0</v>
      </c>
      <c r="BL339" s="81">
        <f t="shared" si="221"/>
        <v>0</v>
      </c>
      <c r="BM339" s="81">
        <f t="shared" si="221"/>
        <v>0</v>
      </c>
      <c r="BN339" s="154">
        <f t="shared" si="221"/>
        <v>0</v>
      </c>
      <c r="BP339" s="383" t="s">
        <v>863</v>
      </c>
      <c r="BQ339" s="1463" t="s">
        <v>1591</v>
      </c>
      <c r="BR339" s="1464"/>
      <c r="BS339" s="1464"/>
      <c r="BT339" s="1464"/>
      <c r="BU339" s="1464"/>
      <c r="BV339" s="1464"/>
      <c r="BW339" s="1464"/>
      <c r="BX339" s="1464"/>
      <c r="BY339" s="1464"/>
      <c r="BZ339" s="1464"/>
      <c r="CA339" s="1464"/>
      <c r="CB339" s="1464"/>
      <c r="CC339" s="1464"/>
      <c r="CD339" s="1464"/>
      <c r="CE339" s="1464"/>
      <c r="CF339" s="1464"/>
      <c r="CG339" s="1465"/>
      <c r="CH339" s="385" t="s">
        <v>1435</v>
      </c>
      <c r="CI339" s="385" t="s">
        <v>1247</v>
      </c>
    </row>
    <row r="340" spans="32:87" ht="20.100000000000001" customHeight="1">
      <c r="AF340" s="1551"/>
      <c r="AG340" s="107" t="s">
        <v>864</v>
      </c>
      <c r="AH340" s="131"/>
      <c r="AI340" s="107">
        <f>INDEX('DEFAULT DATA'!$WD$9:$WJ$41,START!$C$3,3)</f>
        <v>354</v>
      </c>
      <c r="AJ340" s="63">
        <f>INDEX('DEFAULT DATA'!$AJD$9:$AJK$41,START!$C$3,4)</f>
        <v>0</v>
      </c>
      <c r="AK340" s="53">
        <v>0</v>
      </c>
      <c r="AL340" s="81">
        <f t="shared" si="219"/>
        <v>0</v>
      </c>
      <c r="AM340" s="81">
        <f t="shared" si="219"/>
        <v>0</v>
      </c>
      <c r="AN340" s="81">
        <f t="shared" si="219"/>
        <v>0</v>
      </c>
      <c r="AO340" s="81">
        <f t="shared" si="219"/>
        <v>0</v>
      </c>
      <c r="AP340" s="81">
        <f t="shared" si="219"/>
        <v>0</v>
      </c>
      <c r="AQ340" s="81">
        <f t="shared" si="219"/>
        <v>0</v>
      </c>
      <c r="AR340" s="81">
        <f t="shared" si="219"/>
        <v>0</v>
      </c>
      <c r="AS340" s="81">
        <f t="shared" si="219"/>
        <v>0</v>
      </c>
      <c r="AT340" s="81">
        <f t="shared" si="219"/>
        <v>0</v>
      </c>
      <c r="AU340" s="81">
        <f t="shared" si="219"/>
        <v>0</v>
      </c>
      <c r="AV340" s="81">
        <f t="shared" si="220"/>
        <v>0</v>
      </c>
      <c r="AW340" s="81">
        <f t="shared" si="220"/>
        <v>0</v>
      </c>
      <c r="AX340" s="81">
        <f t="shared" si="220"/>
        <v>0</v>
      </c>
      <c r="AY340" s="81">
        <f t="shared" si="220"/>
        <v>0</v>
      </c>
      <c r="AZ340" s="81">
        <f t="shared" si="220"/>
        <v>0</v>
      </c>
      <c r="BA340" s="81">
        <f t="shared" si="220"/>
        <v>0</v>
      </c>
      <c r="BB340" s="81">
        <f t="shared" si="220"/>
        <v>0</v>
      </c>
      <c r="BC340" s="81">
        <f t="shared" si="220"/>
        <v>0</v>
      </c>
      <c r="BD340" s="81">
        <f t="shared" si="220"/>
        <v>0</v>
      </c>
      <c r="BE340" s="81">
        <f t="shared" si="220"/>
        <v>0</v>
      </c>
      <c r="BF340" s="81">
        <f t="shared" si="221"/>
        <v>0</v>
      </c>
      <c r="BG340" s="81">
        <f t="shared" si="221"/>
        <v>0</v>
      </c>
      <c r="BH340" s="81">
        <f t="shared" si="221"/>
        <v>0</v>
      </c>
      <c r="BI340" s="81">
        <f t="shared" si="221"/>
        <v>0</v>
      </c>
      <c r="BJ340" s="81">
        <f t="shared" si="221"/>
        <v>0</v>
      </c>
      <c r="BK340" s="81">
        <f t="shared" si="221"/>
        <v>0</v>
      </c>
      <c r="BL340" s="81">
        <f t="shared" si="221"/>
        <v>0</v>
      </c>
      <c r="BM340" s="81">
        <f t="shared" si="221"/>
        <v>0</v>
      </c>
      <c r="BN340" s="154">
        <f t="shared" si="221"/>
        <v>0</v>
      </c>
      <c r="BP340" s="383" t="s">
        <v>864</v>
      </c>
      <c r="BQ340" s="1463" t="s">
        <v>1592</v>
      </c>
      <c r="BR340" s="1464"/>
      <c r="BS340" s="1464"/>
      <c r="BT340" s="1464"/>
      <c r="BU340" s="1464"/>
      <c r="BV340" s="1464"/>
      <c r="BW340" s="1464"/>
      <c r="BX340" s="1464"/>
      <c r="BY340" s="1464"/>
      <c r="BZ340" s="1464"/>
      <c r="CA340" s="1464"/>
      <c r="CB340" s="1464"/>
      <c r="CC340" s="1464"/>
      <c r="CD340" s="1464"/>
      <c r="CE340" s="1464"/>
      <c r="CF340" s="1464"/>
      <c r="CG340" s="1465"/>
      <c r="CH340" s="385" t="s">
        <v>1436</v>
      </c>
      <c r="CI340" s="385" t="s">
        <v>1248</v>
      </c>
    </row>
    <row r="341" spans="32:87" ht="20.100000000000001" customHeight="1">
      <c r="AF341" s="1551"/>
      <c r="AG341" s="107" t="s">
        <v>865</v>
      </c>
      <c r="AH341" s="131"/>
      <c r="AI341" s="107">
        <f>INDEX('DEFAULT DATA'!$WD$9:$WJ$41,START!$C$3,4)</f>
        <v>382</v>
      </c>
      <c r="AJ341" s="63">
        <f>INDEX('DEFAULT DATA'!$AJD$9:$AJK$41,START!$C$3,5)</f>
        <v>7.54</v>
      </c>
      <c r="AK341" s="53">
        <v>0</v>
      </c>
      <c r="AL341" s="81">
        <f t="shared" si="219"/>
        <v>0</v>
      </c>
      <c r="AM341" s="81">
        <f t="shared" si="219"/>
        <v>0</v>
      </c>
      <c r="AN341" s="81">
        <f t="shared" si="219"/>
        <v>0</v>
      </c>
      <c r="AO341" s="81">
        <f t="shared" si="219"/>
        <v>0</v>
      </c>
      <c r="AP341" s="81">
        <f t="shared" si="219"/>
        <v>0</v>
      </c>
      <c r="AQ341" s="81">
        <f t="shared" si="219"/>
        <v>0</v>
      </c>
      <c r="AR341" s="81">
        <f t="shared" si="219"/>
        <v>0</v>
      </c>
      <c r="AS341" s="81">
        <f t="shared" si="219"/>
        <v>0</v>
      </c>
      <c r="AT341" s="81">
        <f t="shared" si="219"/>
        <v>0</v>
      </c>
      <c r="AU341" s="81">
        <f t="shared" si="219"/>
        <v>0</v>
      </c>
      <c r="AV341" s="81">
        <f t="shared" si="220"/>
        <v>0</v>
      </c>
      <c r="AW341" s="81">
        <f t="shared" si="220"/>
        <v>0</v>
      </c>
      <c r="AX341" s="81">
        <f t="shared" si="220"/>
        <v>0</v>
      </c>
      <c r="AY341" s="81">
        <f t="shared" si="220"/>
        <v>0</v>
      </c>
      <c r="AZ341" s="81">
        <f t="shared" si="220"/>
        <v>0</v>
      </c>
      <c r="BA341" s="81">
        <f t="shared" si="220"/>
        <v>0</v>
      </c>
      <c r="BB341" s="81">
        <f t="shared" si="220"/>
        <v>0</v>
      </c>
      <c r="BC341" s="81">
        <f t="shared" si="220"/>
        <v>0</v>
      </c>
      <c r="BD341" s="81">
        <f t="shared" si="220"/>
        <v>0</v>
      </c>
      <c r="BE341" s="81">
        <f t="shared" si="220"/>
        <v>0</v>
      </c>
      <c r="BF341" s="81">
        <f t="shared" si="221"/>
        <v>0</v>
      </c>
      <c r="BG341" s="81">
        <f t="shared" si="221"/>
        <v>0</v>
      </c>
      <c r="BH341" s="81">
        <f t="shared" si="221"/>
        <v>0</v>
      </c>
      <c r="BI341" s="81">
        <f t="shared" si="221"/>
        <v>0</v>
      </c>
      <c r="BJ341" s="81">
        <f t="shared" si="221"/>
        <v>0</v>
      </c>
      <c r="BK341" s="81">
        <f t="shared" si="221"/>
        <v>0</v>
      </c>
      <c r="BL341" s="81">
        <f t="shared" si="221"/>
        <v>0</v>
      </c>
      <c r="BM341" s="81">
        <f t="shared" si="221"/>
        <v>0</v>
      </c>
      <c r="BN341" s="154">
        <f t="shared" si="221"/>
        <v>0</v>
      </c>
      <c r="BP341" s="383" t="s">
        <v>865</v>
      </c>
      <c r="BQ341" s="1463" t="s">
        <v>1593</v>
      </c>
      <c r="BR341" s="1464"/>
      <c r="BS341" s="1464"/>
      <c r="BT341" s="1464"/>
      <c r="BU341" s="1464"/>
      <c r="BV341" s="1464"/>
      <c r="BW341" s="1464"/>
      <c r="BX341" s="1464"/>
      <c r="BY341" s="1464"/>
      <c r="BZ341" s="1464"/>
      <c r="CA341" s="1464"/>
      <c r="CB341" s="1464"/>
      <c r="CC341" s="1464"/>
      <c r="CD341" s="1464"/>
      <c r="CE341" s="1464"/>
      <c r="CF341" s="1464"/>
      <c r="CG341" s="1465"/>
      <c r="CH341" s="385" t="s">
        <v>1437</v>
      </c>
      <c r="CI341" s="385" t="s">
        <v>1249</v>
      </c>
    </row>
    <row r="342" spans="32:87" ht="20.100000000000001" customHeight="1">
      <c r="AF342" s="1551"/>
      <c r="AG342" s="107" t="s">
        <v>866</v>
      </c>
      <c r="AH342" s="131"/>
      <c r="AI342" s="107">
        <f>INDEX('DEFAULT DATA'!$WD$9:$WJ$41,START!$C$3,5)</f>
        <v>403</v>
      </c>
      <c r="AJ342" s="63">
        <f>INDEX('DEFAULT DATA'!$AJD$9:$AJK$41,START!$C$3,6)</f>
        <v>9.15</v>
      </c>
      <c r="AK342" s="53">
        <v>0</v>
      </c>
      <c r="AL342" s="81">
        <f t="shared" si="219"/>
        <v>0</v>
      </c>
      <c r="AM342" s="81">
        <f t="shared" si="219"/>
        <v>0</v>
      </c>
      <c r="AN342" s="81">
        <f t="shared" si="219"/>
        <v>0</v>
      </c>
      <c r="AO342" s="81">
        <f t="shared" si="219"/>
        <v>0</v>
      </c>
      <c r="AP342" s="81">
        <f t="shared" si="219"/>
        <v>0</v>
      </c>
      <c r="AQ342" s="81">
        <f t="shared" si="219"/>
        <v>0</v>
      </c>
      <c r="AR342" s="81">
        <f t="shared" si="219"/>
        <v>0</v>
      </c>
      <c r="AS342" s="81">
        <f t="shared" si="219"/>
        <v>0</v>
      </c>
      <c r="AT342" s="81">
        <f t="shared" si="219"/>
        <v>0</v>
      </c>
      <c r="AU342" s="81">
        <f t="shared" si="219"/>
        <v>0</v>
      </c>
      <c r="AV342" s="81">
        <f t="shared" si="220"/>
        <v>0</v>
      </c>
      <c r="AW342" s="81">
        <f t="shared" si="220"/>
        <v>0</v>
      </c>
      <c r="AX342" s="81">
        <f t="shared" si="220"/>
        <v>0</v>
      </c>
      <c r="AY342" s="81">
        <f t="shared" si="220"/>
        <v>0</v>
      </c>
      <c r="AZ342" s="81">
        <f t="shared" si="220"/>
        <v>0</v>
      </c>
      <c r="BA342" s="81">
        <f t="shared" si="220"/>
        <v>0</v>
      </c>
      <c r="BB342" s="81">
        <f t="shared" si="220"/>
        <v>0</v>
      </c>
      <c r="BC342" s="81">
        <f t="shared" si="220"/>
        <v>0</v>
      </c>
      <c r="BD342" s="81">
        <f t="shared" si="220"/>
        <v>0</v>
      </c>
      <c r="BE342" s="81">
        <f t="shared" si="220"/>
        <v>0</v>
      </c>
      <c r="BF342" s="81">
        <f t="shared" si="221"/>
        <v>0</v>
      </c>
      <c r="BG342" s="81">
        <f t="shared" si="221"/>
        <v>0</v>
      </c>
      <c r="BH342" s="81">
        <f t="shared" si="221"/>
        <v>0</v>
      </c>
      <c r="BI342" s="81">
        <f t="shared" si="221"/>
        <v>0</v>
      </c>
      <c r="BJ342" s="81">
        <f t="shared" si="221"/>
        <v>0</v>
      </c>
      <c r="BK342" s="81">
        <f t="shared" si="221"/>
        <v>0</v>
      </c>
      <c r="BL342" s="81">
        <f t="shared" si="221"/>
        <v>0</v>
      </c>
      <c r="BM342" s="81">
        <f t="shared" si="221"/>
        <v>0</v>
      </c>
      <c r="BN342" s="154">
        <f t="shared" si="221"/>
        <v>0</v>
      </c>
      <c r="BP342" s="383" t="s">
        <v>866</v>
      </c>
      <c r="BQ342" s="1463" t="s">
        <v>1594</v>
      </c>
      <c r="BR342" s="1464"/>
      <c r="BS342" s="1464"/>
      <c r="BT342" s="1464"/>
      <c r="BU342" s="1464"/>
      <c r="BV342" s="1464"/>
      <c r="BW342" s="1464"/>
      <c r="BX342" s="1464"/>
      <c r="BY342" s="1464"/>
      <c r="BZ342" s="1464"/>
      <c r="CA342" s="1464"/>
      <c r="CB342" s="1464"/>
      <c r="CC342" s="1464"/>
      <c r="CD342" s="1464"/>
      <c r="CE342" s="1464"/>
      <c r="CF342" s="1464"/>
      <c r="CG342" s="1465"/>
      <c r="CH342" s="385" t="s">
        <v>1438</v>
      </c>
      <c r="CI342" s="385" t="s">
        <v>1250</v>
      </c>
    </row>
    <row r="343" spans="32:87" ht="20.100000000000001" customHeight="1">
      <c r="AF343" s="1551"/>
      <c r="AG343" s="107" t="s">
        <v>867</v>
      </c>
      <c r="AH343" s="131"/>
      <c r="AI343" s="107">
        <f>INDEX('DEFAULT DATA'!$WD$9:$WJ$41,START!$C$3,6)</f>
        <v>0</v>
      </c>
      <c r="AJ343" s="63">
        <f>INDEX('DEFAULT DATA'!$AJD$9:$AJK$41,START!$C$3,7)</f>
        <v>0</v>
      </c>
      <c r="AK343" s="53">
        <v>0</v>
      </c>
      <c r="AL343" s="81">
        <f t="shared" si="219"/>
        <v>0</v>
      </c>
      <c r="AM343" s="81">
        <f t="shared" si="219"/>
        <v>0</v>
      </c>
      <c r="AN343" s="81">
        <f t="shared" si="219"/>
        <v>0</v>
      </c>
      <c r="AO343" s="81">
        <f t="shared" si="219"/>
        <v>0</v>
      </c>
      <c r="AP343" s="81">
        <f t="shared" si="219"/>
        <v>0</v>
      </c>
      <c r="AQ343" s="81">
        <f t="shared" si="219"/>
        <v>0</v>
      </c>
      <c r="AR343" s="81">
        <f t="shared" si="219"/>
        <v>0</v>
      </c>
      <c r="AS343" s="81">
        <f t="shared" si="219"/>
        <v>0</v>
      </c>
      <c r="AT343" s="81">
        <f t="shared" si="219"/>
        <v>0</v>
      </c>
      <c r="AU343" s="81">
        <f t="shared" si="219"/>
        <v>0</v>
      </c>
      <c r="AV343" s="81">
        <f t="shared" si="220"/>
        <v>0</v>
      </c>
      <c r="AW343" s="81">
        <f t="shared" si="220"/>
        <v>0</v>
      </c>
      <c r="AX343" s="81">
        <f t="shared" si="220"/>
        <v>0</v>
      </c>
      <c r="AY343" s="81">
        <f t="shared" si="220"/>
        <v>0</v>
      </c>
      <c r="AZ343" s="81">
        <f t="shared" si="220"/>
        <v>0</v>
      </c>
      <c r="BA343" s="81">
        <f t="shared" si="220"/>
        <v>0</v>
      </c>
      <c r="BB343" s="81">
        <f t="shared" si="220"/>
        <v>0</v>
      </c>
      <c r="BC343" s="81">
        <f t="shared" si="220"/>
        <v>0</v>
      </c>
      <c r="BD343" s="81">
        <f t="shared" si="220"/>
        <v>0</v>
      </c>
      <c r="BE343" s="81">
        <f t="shared" si="220"/>
        <v>0</v>
      </c>
      <c r="BF343" s="81">
        <f t="shared" si="221"/>
        <v>0</v>
      </c>
      <c r="BG343" s="81">
        <f t="shared" si="221"/>
        <v>0</v>
      </c>
      <c r="BH343" s="81">
        <f t="shared" si="221"/>
        <v>0</v>
      </c>
      <c r="BI343" s="81">
        <f t="shared" si="221"/>
        <v>0</v>
      </c>
      <c r="BJ343" s="81">
        <f t="shared" si="221"/>
        <v>0</v>
      </c>
      <c r="BK343" s="81">
        <f t="shared" si="221"/>
        <v>0</v>
      </c>
      <c r="BL343" s="81">
        <f t="shared" si="221"/>
        <v>0</v>
      </c>
      <c r="BM343" s="81">
        <f t="shared" si="221"/>
        <v>0</v>
      </c>
      <c r="BN343" s="154">
        <f t="shared" si="221"/>
        <v>0</v>
      </c>
      <c r="BP343" s="383" t="s">
        <v>867</v>
      </c>
      <c r="BQ343" s="1463" t="s">
        <v>1595</v>
      </c>
      <c r="BR343" s="1464"/>
      <c r="BS343" s="1464"/>
      <c r="BT343" s="1464"/>
      <c r="BU343" s="1464"/>
      <c r="BV343" s="1464"/>
      <c r="BW343" s="1464"/>
      <c r="BX343" s="1464"/>
      <c r="BY343" s="1464"/>
      <c r="BZ343" s="1464"/>
      <c r="CA343" s="1464"/>
      <c r="CB343" s="1464"/>
      <c r="CC343" s="1464"/>
      <c r="CD343" s="1464"/>
      <c r="CE343" s="1464"/>
      <c r="CF343" s="1464"/>
      <c r="CG343" s="1465"/>
      <c r="CH343" s="385" t="s">
        <v>1439</v>
      </c>
      <c r="CI343" s="385" t="s">
        <v>1251</v>
      </c>
    </row>
    <row r="344" spans="32:87" ht="20.100000000000001" customHeight="1" thickBot="1">
      <c r="AF344" s="1552"/>
      <c r="AG344" s="146" t="s">
        <v>868</v>
      </c>
      <c r="AH344" s="139"/>
      <c r="AI344" s="146" t="s">
        <v>1123</v>
      </c>
      <c r="AJ344" s="113">
        <f>INDEX('DEFAULT DATA'!$AJD$9:$AJK$41,START!$C$3,8)</f>
        <v>0</v>
      </c>
      <c r="AK344" s="54">
        <v>0</v>
      </c>
      <c r="AL344" s="155">
        <f t="shared" ref="AL344:BN344" si="222">IF(AND(AL$296&gt;($D$87+2020),AL$296&lt;($E$87+2022)),AK344+(AL6*AJ344*((100-$F$87)/100)*$B$87/($E$87-$D$87+1)/1000000),AK344)</f>
        <v>0</v>
      </c>
      <c r="AM344" s="155">
        <f t="shared" si="222"/>
        <v>0</v>
      </c>
      <c r="AN344" s="155">
        <f t="shared" si="222"/>
        <v>0</v>
      </c>
      <c r="AO344" s="155">
        <f t="shared" si="222"/>
        <v>0</v>
      </c>
      <c r="AP344" s="155">
        <f t="shared" si="222"/>
        <v>0</v>
      </c>
      <c r="AQ344" s="155">
        <f t="shared" si="222"/>
        <v>0</v>
      </c>
      <c r="AR344" s="155">
        <f t="shared" si="222"/>
        <v>0</v>
      </c>
      <c r="AS344" s="155">
        <f t="shared" si="222"/>
        <v>0</v>
      </c>
      <c r="AT344" s="155">
        <f t="shared" si="222"/>
        <v>0</v>
      </c>
      <c r="AU344" s="155">
        <f t="shared" si="222"/>
        <v>0</v>
      </c>
      <c r="AV344" s="155">
        <f t="shared" si="222"/>
        <v>0</v>
      </c>
      <c r="AW344" s="155">
        <f t="shared" si="222"/>
        <v>0</v>
      </c>
      <c r="AX344" s="155">
        <f t="shared" si="222"/>
        <v>0</v>
      </c>
      <c r="AY344" s="155">
        <f t="shared" si="222"/>
        <v>0</v>
      </c>
      <c r="AZ344" s="155">
        <f t="shared" si="222"/>
        <v>0</v>
      </c>
      <c r="BA344" s="155">
        <f t="shared" si="222"/>
        <v>0</v>
      </c>
      <c r="BB344" s="155">
        <f t="shared" si="222"/>
        <v>0</v>
      </c>
      <c r="BC344" s="155">
        <f t="shared" si="222"/>
        <v>0</v>
      </c>
      <c r="BD344" s="155">
        <f t="shared" si="222"/>
        <v>0</v>
      </c>
      <c r="BE344" s="155">
        <f t="shared" si="222"/>
        <v>0</v>
      </c>
      <c r="BF344" s="155">
        <f t="shared" si="222"/>
        <v>0</v>
      </c>
      <c r="BG344" s="155">
        <f t="shared" si="222"/>
        <v>0</v>
      </c>
      <c r="BH344" s="155">
        <f t="shared" si="222"/>
        <v>0</v>
      </c>
      <c r="BI344" s="155">
        <f t="shared" si="222"/>
        <v>0</v>
      </c>
      <c r="BJ344" s="155">
        <f t="shared" si="222"/>
        <v>0</v>
      </c>
      <c r="BK344" s="155">
        <f t="shared" si="222"/>
        <v>0</v>
      </c>
      <c r="BL344" s="155">
        <f t="shared" si="222"/>
        <v>0</v>
      </c>
      <c r="BM344" s="155">
        <f t="shared" si="222"/>
        <v>0</v>
      </c>
      <c r="BN344" s="156">
        <f t="shared" si="222"/>
        <v>0</v>
      </c>
      <c r="BP344" s="383" t="s">
        <v>868</v>
      </c>
      <c r="BQ344" s="1463" t="s">
        <v>1596</v>
      </c>
      <c r="BR344" s="1464"/>
      <c r="BS344" s="1464"/>
      <c r="BT344" s="1464"/>
      <c r="BU344" s="1464"/>
      <c r="BV344" s="1464"/>
      <c r="BW344" s="1464"/>
      <c r="BX344" s="1464"/>
      <c r="BY344" s="1464"/>
      <c r="BZ344" s="1464"/>
      <c r="CA344" s="1464"/>
      <c r="CB344" s="1464"/>
      <c r="CC344" s="1464"/>
      <c r="CD344" s="1464"/>
      <c r="CE344" s="1464"/>
      <c r="CF344" s="1464"/>
      <c r="CG344" s="1465"/>
      <c r="CH344" s="385" t="s">
        <v>1440</v>
      </c>
      <c r="CI344" s="385" t="s">
        <v>1508</v>
      </c>
    </row>
    <row r="345" spans="32:87" ht="20.100000000000001" customHeight="1">
      <c r="AF345" s="147"/>
      <c r="AG345" s="136" t="s">
        <v>1088</v>
      </c>
      <c r="AH345" s="136"/>
      <c r="AI345" s="136"/>
      <c r="AJ345" s="136"/>
      <c r="AK345" s="173">
        <f>SUM(AK337:AK344)</f>
        <v>0</v>
      </c>
      <c r="AL345" s="151">
        <f>SUM(AL337:AL344)</f>
        <v>0</v>
      </c>
      <c r="AM345" s="151">
        <f t="shared" ref="AM345:BN345" si="223">SUM(AM337:AM344)</f>
        <v>0</v>
      </c>
      <c r="AN345" s="151">
        <f t="shared" si="223"/>
        <v>0</v>
      </c>
      <c r="AO345" s="151">
        <f t="shared" si="223"/>
        <v>0</v>
      </c>
      <c r="AP345" s="151">
        <f t="shared" si="223"/>
        <v>0</v>
      </c>
      <c r="AQ345" s="151">
        <f t="shared" si="223"/>
        <v>0</v>
      </c>
      <c r="AR345" s="151">
        <f t="shared" si="223"/>
        <v>0</v>
      </c>
      <c r="AS345" s="151">
        <f t="shared" si="223"/>
        <v>0</v>
      </c>
      <c r="AT345" s="151">
        <f t="shared" si="223"/>
        <v>0</v>
      </c>
      <c r="AU345" s="151">
        <f t="shared" si="223"/>
        <v>0</v>
      </c>
      <c r="AV345" s="151">
        <f t="shared" si="223"/>
        <v>0</v>
      </c>
      <c r="AW345" s="151">
        <f t="shared" si="223"/>
        <v>0</v>
      </c>
      <c r="AX345" s="151">
        <f t="shared" si="223"/>
        <v>0</v>
      </c>
      <c r="AY345" s="151">
        <f t="shared" si="223"/>
        <v>0</v>
      </c>
      <c r="AZ345" s="151">
        <f t="shared" si="223"/>
        <v>0</v>
      </c>
      <c r="BA345" s="151">
        <f t="shared" si="223"/>
        <v>0</v>
      </c>
      <c r="BB345" s="151">
        <f t="shared" si="223"/>
        <v>0</v>
      </c>
      <c r="BC345" s="151">
        <f t="shared" si="223"/>
        <v>0</v>
      </c>
      <c r="BD345" s="151">
        <f t="shared" si="223"/>
        <v>0</v>
      </c>
      <c r="BE345" s="151">
        <f t="shared" si="223"/>
        <v>0</v>
      </c>
      <c r="BF345" s="151">
        <f t="shared" si="223"/>
        <v>0</v>
      </c>
      <c r="BG345" s="151">
        <f t="shared" si="223"/>
        <v>0</v>
      </c>
      <c r="BH345" s="151">
        <f t="shared" si="223"/>
        <v>0</v>
      </c>
      <c r="BI345" s="151">
        <f t="shared" si="223"/>
        <v>0</v>
      </c>
      <c r="BJ345" s="151">
        <f t="shared" si="223"/>
        <v>0</v>
      </c>
      <c r="BK345" s="151">
        <f t="shared" si="223"/>
        <v>0</v>
      </c>
      <c r="BL345" s="151">
        <f t="shared" si="223"/>
        <v>0</v>
      </c>
      <c r="BM345" s="151">
        <f t="shared" si="223"/>
        <v>0</v>
      </c>
      <c r="BN345" s="151">
        <f t="shared" si="223"/>
        <v>0</v>
      </c>
    </row>
    <row r="346" spans="32:87" ht="20.100000000000001" customHeight="1" thickBot="1">
      <c r="AK346" s="171"/>
      <c r="BP346" s="3" t="s">
        <v>875</v>
      </c>
      <c r="CH346" s="386" t="s">
        <v>1506</v>
      </c>
      <c r="CI346" s="6" t="s">
        <v>1224</v>
      </c>
    </row>
    <row r="347" spans="32:87" ht="20.100000000000001" customHeight="1">
      <c r="AF347" s="1550" t="str">
        <f>AF229</f>
        <v>Warehouses</v>
      </c>
      <c r="AG347" s="137" t="s">
        <v>578</v>
      </c>
      <c r="AH347" s="138"/>
      <c r="AI347" s="137" t="s">
        <v>1122</v>
      </c>
      <c r="AJ347" s="148">
        <f>INDEX('DEFAULT DATA'!$AJL$9:$AJS$41,START!$C$3,1)</f>
        <v>160</v>
      </c>
      <c r="AK347" s="173">
        <v>0</v>
      </c>
      <c r="AL347" s="157">
        <f t="shared" ref="AL347:BN347" si="224">IF(AND(AL$296&gt;($D$88+2020),AL$296&lt;($E$88+2022)),AK347+(AL$5*$AJ$347*((100-$F$88)/100)*$B$88/($E$88-$D$88+1)/1000000),AK347)</f>
        <v>0</v>
      </c>
      <c r="AM347" s="157">
        <f t="shared" si="224"/>
        <v>0</v>
      </c>
      <c r="AN347" s="157">
        <f t="shared" si="224"/>
        <v>0</v>
      </c>
      <c r="AO347" s="157">
        <f t="shared" si="224"/>
        <v>0</v>
      </c>
      <c r="AP347" s="157">
        <f t="shared" si="224"/>
        <v>0</v>
      </c>
      <c r="AQ347" s="157">
        <f t="shared" si="224"/>
        <v>0</v>
      </c>
      <c r="AR347" s="157">
        <f t="shared" si="224"/>
        <v>0</v>
      </c>
      <c r="AS347" s="157">
        <f t="shared" si="224"/>
        <v>0</v>
      </c>
      <c r="AT347" s="157">
        <f t="shared" si="224"/>
        <v>0</v>
      </c>
      <c r="AU347" s="157">
        <f t="shared" si="224"/>
        <v>0</v>
      </c>
      <c r="AV347" s="157">
        <f t="shared" si="224"/>
        <v>0</v>
      </c>
      <c r="AW347" s="157">
        <f t="shared" si="224"/>
        <v>0</v>
      </c>
      <c r="AX347" s="157">
        <f t="shared" si="224"/>
        <v>0</v>
      </c>
      <c r="AY347" s="157">
        <f t="shared" si="224"/>
        <v>0</v>
      </c>
      <c r="AZ347" s="157">
        <f t="shared" si="224"/>
        <v>0</v>
      </c>
      <c r="BA347" s="157">
        <f t="shared" si="224"/>
        <v>0</v>
      </c>
      <c r="BB347" s="157">
        <f t="shared" si="224"/>
        <v>0</v>
      </c>
      <c r="BC347" s="157">
        <f t="shared" si="224"/>
        <v>0</v>
      </c>
      <c r="BD347" s="157">
        <f t="shared" si="224"/>
        <v>0</v>
      </c>
      <c r="BE347" s="157">
        <f t="shared" si="224"/>
        <v>0</v>
      </c>
      <c r="BF347" s="157">
        <f t="shared" si="224"/>
        <v>0</v>
      </c>
      <c r="BG347" s="157">
        <f t="shared" si="224"/>
        <v>0</v>
      </c>
      <c r="BH347" s="157">
        <f t="shared" si="224"/>
        <v>0</v>
      </c>
      <c r="BI347" s="157">
        <f t="shared" si="224"/>
        <v>0</v>
      </c>
      <c r="BJ347" s="157">
        <f t="shared" si="224"/>
        <v>0</v>
      </c>
      <c r="BK347" s="157">
        <f t="shared" si="224"/>
        <v>0</v>
      </c>
      <c r="BL347" s="157">
        <f t="shared" si="224"/>
        <v>0</v>
      </c>
      <c r="BM347" s="157">
        <f t="shared" si="224"/>
        <v>0</v>
      </c>
      <c r="BN347" s="158">
        <f t="shared" si="224"/>
        <v>0</v>
      </c>
      <c r="BP347" s="383" t="s">
        <v>578</v>
      </c>
      <c r="BQ347" s="1463" t="s">
        <v>1597</v>
      </c>
      <c r="BR347" s="1464"/>
      <c r="BS347" s="1464"/>
      <c r="BT347" s="1464"/>
      <c r="BU347" s="1464"/>
      <c r="BV347" s="1464"/>
      <c r="BW347" s="1464"/>
      <c r="BX347" s="1464"/>
      <c r="BY347" s="1464"/>
      <c r="BZ347" s="1464"/>
      <c r="CA347" s="1464"/>
      <c r="CB347" s="1464"/>
      <c r="CC347" s="1464"/>
      <c r="CD347" s="1464"/>
      <c r="CE347" s="1464"/>
      <c r="CF347" s="1464"/>
      <c r="CG347" s="1465"/>
      <c r="CH347" s="385" t="s">
        <v>1441</v>
      </c>
      <c r="CI347" s="385" t="s">
        <v>1507</v>
      </c>
    </row>
    <row r="348" spans="32:87" ht="20.100000000000001" customHeight="1">
      <c r="AF348" s="1551"/>
      <c r="AG348" s="107" t="s">
        <v>862</v>
      </c>
      <c r="AH348" s="131"/>
      <c r="AI348" s="107">
        <f>INDEX('DEFAULT DATA'!$WD$9:$WJ$41,START!$C$3,1)</f>
        <v>202</v>
      </c>
      <c r="AJ348" s="63">
        <f>INDEX('DEFAULT DATA'!$AJL$9:$AJS$41,START!$C$3,2)</f>
        <v>17.45</v>
      </c>
      <c r="AK348" s="53">
        <v>0</v>
      </c>
      <c r="AL348" s="123">
        <f t="shared" ref="AL348:BN348" si="225">IF(AND(AL$296&gt;($D$88+2020),AL$296&lt;($E$88+2022)),AK348+($AI$348*$AJ$348*((100-$F$88)/100)*$B$88/($E$88-$D$88+1)/1000000),AK348)</f>
        <v>0</v>
      </c>
      <c r="AM348" s="123">
        <f t="shared" si="225"/>
        <v>0</v>
      </c>
      <c r="AN348" s="123">
        <f t="shared" si="225"/>
        <v>0</v>
      </c>
      <c r="AO348" s="123">
        <f t="shared" si="225"/>
        <v>0</v>
      </c>
      <c r="AP348" s="123">
        <f t="shared" si="225"/>
        <v>0</v>
      </c>
      <c r="AQ348" s="123">
        <f t="shared" si="225"/>
        <v>0</v>
      </c>
      <c r="AR348" s="123">
        <f t="shared" si="225"/>
        <v>0</v>
      </c>
      <c r="AS348" s="123">
        <f t="shared" si="225"/>
        <v>0</v>
      </c>
      <c r="AT348" s="123">
        <f t="shared" si="225"/>
        <v>0</v>
      </c>
      <c r="AU348" s="123">
        <f t="shared" si="225"/>
        <v>0</v>
      </c>
      <c r="AV348" s="123">
        <f t="shared" si="225"/>
        <v>0</v>
      </c>
      <c r="AW348" s="123">
        <f t="shared" si="225"/>
        <v>0</v>
      </c>
      <c r="AX348" s="123">
        <f t="shared" si="225"/>
        <v>0</v>
      </c>
      <c r="AY348" s="123">
        <f t="shared" si="225"/>
        <v>0</v>
      </c>
      <c r="AZ348" s="123">
        <f t="shared" si="225"/>
        <v>0</v>
      </c>
      <c r="BA348" s="123">
        <f t="shared" si="225"/>
        <v>0</v>
      </c>
      <c r="BB348" s="123">
        <f t="shared" si="225"/>
        <v>0</v>
      </c>
      <c r="BC348" s="123">
        <f t="shared" si="225"/>
        <v>0</v>
      </c>
      <c r="BD348" s="123">
        <f t="shared" si="225"/>
        <v>0</v>
      </c>
      <c r="BE348" s="123">
        <f t="shared" si="225"/>
        <v>0</v>
      </c>
      <c r="BF348" s="123">
        <f t="shared" si="225"/>
        <v>0</v>
      </c>
      <c r="BG348" s="123">
        <f t="shared" si="225"/>
        <v>0</v>
      </c>
      <c r="BH348" s="123">
        <f t="shared" si="225"/>
        <v>0</v>
      </c>
      <c r="BI348" s="123">
        <f t="shared" si="225"/>
        <v>0</v>
      </c>
      <c r="BJ348" s="123">
        <f t="shared" si="225"/>
        <v>0</v>
      </c>
      <c r="BK348" s="123">
        <f t="shared" si="225"/>
        <v>0</v>
      </c>
      <c r="BL348" s="123">
        <f t="shared" si="225"/>
        <v>0</v>
      </c>
      <c r="BM348" s="123">
        <f t="shared" si="225"/>
        <v>0</v>
      </c>
      <c r="BN348" s="159">
        <f t="shared" si="225"/>
        <v>0</v>
      </c>
      <c r="BP348" s="383" t="s">
        <v>862</v>
      </c>
      <c r="BQ348" s="1463" t="s">
        <v>1599</v>
      </c>
      <c r="BR348" s="1464"/>
      <c r="BS348" s="1464"/>
      <c r="BT348" s="1464"/>
      <c r="BU348" s="1464"/>
      <c r="BV348" s="1464"/>
      <c r="BW348" s="1464"/>
      <c r="BX348" s="1464"/>
      <c r="BY348" s="1464"/>
      <c r="BZ348" s="1464"/>
      <c r="CA348" s="1464"/>
      <c r="CB348" s="1464"/>
      <c r="CC348" s="1464"/>
      <c r="CD348" s="1464"/>
      <c r="CE348" s="1464"/>
      <c r="CF348" s="1464"/>
      <c r="CG348" s="1465"/>
      <c r="CH348" s="385" t="s">
        <v>1442</v>
      </c>
      <c r="CI348" s="385" t="s">
        <v>886</v>
      </c>
    </row>
    <row r="349" spans="32:87" ht="20.100000000000001" customHeight="1">
      <c r="AF349" s="1551"/>
      <c r="AG349" s="107" t="s">
        <v>863</v>
      </c>
      <c r="AH349" s="131"/>
      <c r="AI349" s="107">
        <f>INDEX('DEFAULT DATA'!$WD$9:$WJ$41,START!$C$3,2)</f>
        <v>267</v>
      </c>
      <c r="AJ349" s="63">
        <f>INDEX('DEFAULT DATA'!$AJL$9:$AJS$41,START!$C$3,3)</f>
        <v>14.54</v>
      </c>
      <c r="AK349" s="53">
        <v>0</v>
      </c>
      <c r="AL349" s="123">
        <f t="shared" ref="AL349:BN349" si="226">IF(AND(AL$296&gt;($D$88+2020),AL$296&lt;($E$88+2022)),AK349+($AI$349*$AJ$349*((100-$F$88)/100)*$B$88/($E$88-$D$88+1)/1000000),AK349)</f>
        <v>0</v>
      </c>
      <c r="AM349" s="123">
        <f t="shared" si="226"/>
        <v>0</v>
      </c>
      <c r="AN349" s="123">
        <f t="shared" si="226"/>
        <v>0</v>
      </c>
      <c r="AO349" s="123">
        <f t="shared" si="226"/>
        <v>0</v>
      </c>
      <c r="AP349" s="123">
        <f t="shared" si="226"/>
        <v>0</v>
      </c>
      <c r="AQ349" s="123">
        <f t="shared" si="226"/>
        <v>0</v>
      </c>
      <c r="AR349" s="123">
        <f t="shared" si="226"/>
        <v>0</v>
      </c>
      <c r="AS349" s="123">
        <f t="shared" si="226"/>
        <v>0</v>
      </c>
      <c r="AT349" s="123">
        <f t="shared" si="226"/>
        <v>0</v>
      </c>
      <c r="AU349" s="123">
        <f t="shared" si="226"/>
        <v>0</v>
      </c>
      <c r="AV349" s="123">
        <f t="shared" si="226"/>
        <v>0</v>
      </c>
      <c r="AW349" s="123">
        <f t="shared" si="226"/>
        <v>0</v>
      </c>
      <c r="AX349" s="123">
        <f t="shared" si="226"/>
        <v>0</v>
      </c>
      <c r="AY349" s="123">
        <f t="shared" si="226"/>
        <v>0</v>
      </c>
      <c r="AZ349" s="123">
        <f t="shared" si="226"/>
        <v>0</v>
      </c>
      <c r="BA349" s="123">
        <f t="shared" si="226"/>
        <v>0</v>
      </c>
      <c r="BB349" s="123">
        <f t="shared" si="226"/>
        <v>0</v>
      </c>
      <c r="BC349" s="123">
        <f t="shared" si="226"/>
        <v>0</v>
      </c>
      <c r="BD349" s="123">
        <f t="shared" si="226"/>
        <v>0</v>
      </c>
      <c r="BE349" s="123">
        <f t="shared" si="226"/>
        <v>0</v>
      </c>
      <c r="BF349" s="123">
        <f t="shared" si="226"/>
        <v>0</v>
      </c>
      <c r="BG349" s="123">
        <f t="shared" si="226"/>
        <v>0</v>
      </c>
      <c r="BH349" s="123">
        <f t="shared" si="226"/>
        <v>0</v>
      </c>
      <c r="BI349" s="123">
        <f t="shared" si="226"/>
        <v>0</v>
      </c>
      <c r="BJ349" s="123">
        <f t="shared" si="226"/>
        <v>0</v>
      </c>
      <c r="BK349" s="123">
        <f t="shared" si="226"/>
        <v>0</v>
      </c>
      <c r="BL349" s="123">
        <f t="shared" si="226"/>
        <v>0</v>
      </c>
      <c r="BM349" s="123">
        <f t="shared" si="226"/>
        <v>0</v>
      </c>
      <c r="BN349" s="159">
        <f t="shared" si="226"/>
        <v>0</v>
      </c>
      <c r="BP349" s="383" t="s">
        <v>863</v>
      </c>
      <c r="BQ349" s="1463" t="s">
        <v>1598</v>
      </c>
      <c r="BR349" s="1464"/>
      <c r="BS349" s="1464"/>
      <c r="BT349" s="1464"/>
      <c r="BU349" s="1464"/>
      <c r="BV349" s="1464"/>
      <c r="BW349" s="1464"/>
      <c r="BX349" s="1464"/>
      <c r="BY349" s="1464"/>
      <c r="BZ349" s="1464"/>
      <c r="CA349" s="1464"/>
      <c r="CB349" s="1464"/>
      <c r="CC349" s="1464"/>
      <c r="CD349" s="1464"/>
      <c r="CE349" s="1464"/>
      <c r="CF349" s="1464"/>
      <c r="CG349" s="1465"/>
      <c r="CH349" s="385" t="s">
        <v>1443</v>
      </c>
      <c r="CI349" s="385" t="s">
        <v>1247</v>
      </c>
    </row>
    <row r="350" spans="32:87" ht="20.100000000000001" customHeight="1">
      <c r="AF350" s="1551"/>
      <c r="AG350" s="107" t="s">
        <v>864</v>
      </c>
      <c r="AH350" s="131"/>
      <c r="AI350" s="107">
        <f>INDEX('DEFAULT DATA'!$WD$9:$WJ$41,START!$C$3,3)</f>
        <v>354</v>
      </c>
      <c r="AJ350" s="63">
        <f>INDEX('DEFAULT DATA'!$AJL$9:$AJS$41,START!$C$3,4)</f>
        <v>0</v>
      </c>
      <c r="AK350" s="53">
        <v>0</v>
      </c>
      <c r="AL350" s="123">
        <f t="shared" ref="AL350:BN350" si="227">IF(AND(AL$296&gt;($D$88+2020),AL$296&lt;($E$88+2022)),AK350+($AI$350*$AJ$350*((100-$F$88)/100)*$B$88/($E$88-$D$88+1)/1000000),AK350)</f>
        <v>0</v>
      </c>
      <c r="AM350" s="123">
        <f t="shared" si="227"/>
        <v>0</v>
      </c>
      <c r="AN350" s="123">
        <f t="shared" si="227"/>
        <v>0</v>
      </c>
      <c r="AO350" s="123">
        <f t="shared" si="227"/>
        <v>0</v>
      </c>
      <c r="AP350" s="123">
        <f t="shared" si="227"/>
        <v>0</v>
      </c>
      <c r="AQ350" s="123">
        <f t="shared" si="227"/>
        <v>0</v>
      </c>
      <c r="AR350" s="123">
        <f t="shared" si="227"/>
        <v>0</v>
      </c>
      <c r="AS350" s="123">
        <f t="shared" si="227"/>
        <v>0</v>
      </c>
      <c r="AT350" s="123">
        <f t="shared" si="227"/>
        <v>0</v>
      </c>
      <c r="AU350" s="123">
        <f t="shared" si="227"/>
        <v>0</v>
      </c>
      <c r="AV350" s="123">
        <f t="shared" si="227"/>
        <v>0</v>
      </c>
      <c r="AW350" s="123">
        <f t="shared" si="227"/>
        <v>0</v>
      </c>
      <c r="AX350" s="123">
        <f t="shared" si="227"/>
        <v>0</v>
      </c>
      <c r="AY350" s="123">
        <f t="shared" si="227"/>
        <v>0</v>
      </c>
      <c r="AZ350" s="123">
        <f t="shared" si="227"/>
        <v>0</v>
      </c>
      <c r="BA350" s="123">
        <f t="shared" si="227"/>
        <v>0</v>
      </c>
      <c r="BB350" s="123">
        <f t="shared" si="227"/>
        <v>0</v>
      </c>
      <c r="BC350" s="123">
        <f t="shared" si="227"/>
        <v>0</v>
      </c>
      <c r="BD350" s="123">
        <f t="shared" si="227"/>
        <v>0</v>
      </c>
      <c r="BE350" s="123">
        <f t="shared" si="227"/>
        <v>0</v>
      </c>
      <c r="BF350" s="123">
        <f t="shared" si="227"/>
        <v>0</v>
      </c>
      <c r="BG350" s="123">
        <f t="shared" si="227"/>
        <v>0</v>
      </c>
      <c r="BH350" s="123">
        <f t="shared" si="227"/>
        <v>0</v>
      </c>
      <c r="BI350" s="123">
        <f t="shared" si="227"/>
        <v>0</v>
      </c>
      <c r="BJ350" s="123">
        <f t="shared" si="227"/>
        <v>0</v>
      </c>
      <c r="BK350" s="123">
        <f t="shared" si="227"/>
        <v>0</v>
      </c>
      <c r="BL350" s="123">
        <f t="shared" si="227"/>
        <v>0</v>
      </c>
      <c r="BM350" s="123">
        <f t="shared" si="227"/>
        <v>0</v>
      </c>
      <c r="BN350" s="159">
        <f t="shared" si="227"/>
        <v>0</v>
      </c>
      <c r="BP350" s="383" t="s">
        <v>864</v>
      </c>
      <c r="BQ350" s="1463" t="s">
        <v>1600</v>
      </c>
      <c r="BR350" s="1464"/>
      <c r="BS350" s="1464"/>
      <c r="BT350" s="1464"/>
      <c r="BU350" s="1464"/>
      <c r="BV350" s="1464"/>
      <c r="BW350" s="1464"/>
      <c r="BX350" s="1464"/>
      <c r="BY350" s="1464"/>
      <c r="BZ350" s="1464"/>
      <c r="CA350" s="1464"/>
      <c r="CB350" s="1464"/>
      <c r="CC350" s="1464"/>
      <c r="CD350" s="1464"/>
      <c r="CE350" s="1464"/>
      <c r="CF350" s="1464"/>
      <c r="CG350" s="1465"/>
      <c r="CH350" s="385" t="s">
        <v>1444</v>
      </c>
      <c r="CI350" s="385" t="s">
        <v>1248</v>
      </c>
    </row>
    <row r="351" spans="32:87" ht="20.100000000000001" customHeight="1">
      <c r="AF351" s="1551"/>
      <c r="AG351" s="107" t="s">
        <v>865</v>
      </c>
      <c r="AH351" s="131"/>
      <c r="AI351" s="107">
        <f>INDEX('DEFAULT DATA'!$WD$9:$WJ$41,START!$C$3,4)</f>
        <v>382</v>
      </c>
      <c r="AJ351" s="63">
        <f>INDEX('DEFAULT DATA'!$AJL$9:$AJS$41,START!$C$3,5)</f>
        <v>1.36</v>
      </c>
      <c r="AK351" s="53">
        <v>0</v>
      </c>
      <c r="AL351" s="123">
        <f t="shared" ref="AL351:BN351" si="228">IF(AND(AL$296&gt;($D$88+2020),AL$296&lt;($E$88+2022)),AK351+($AI$351*$AJ$351*((100-$F$88)/100)*$B$88/($E$88-$D$88+1)/1000000),AK351)</f>
        <v>0</v>
      </c>
      <c r="AM351" s="123">
        <f t="shared" si="228"/>
        <v>0</v>
      </c>
      <c r="AN351" s="123">
        <f t="shared" si="228"/>
        <v>0</v>
      </c>
      <c r="AO351" s="123">
        <f t="shared" si="228"/>
        <v>0</v>
      </c>
      <c r="AP351" s="123">
        <f t="shared" si="228"/>
        <v>0</v>
      </c>
      <c r="AQ351" s="123">
        <f t="shared" si="228"/>
        <v>0</v>
      </c>
      <c r="AR351" s="123">
        <f t="shared" si="228"/>
        <v>0</v>
      </c>
      <c r="AS351" s="123">
        <f t="shared" si="228"/>
        <v>0</v>
      </c>
      <c r="AT351" s="123">
        <f t="shared" si="228"/>
        <v>0</v>
      </c>
      <c r="AU351" s="123">
        <f t="shared" si="228"/>
        <v>0</v>
      </c>
      <c r="AV351" s="123">
        <f t="shared" si="228"/>
        <v>0</v>
      </c>
      <c r="AW351" s="123">
        <f t="shared" si="228"/>
        <v>0</v>
      </c>
      <c r="AX351" s="123">
        <f t="shared" si="228"/>
        <v>0</v>
      </c>
      <c r="AY351" s="123">
        <f t="shared" si="228"/>
        <v>0</v>
      </c>
      <c r="AZ351" s="123">
        <f t="shared" si="228"/>
        <v>0</v>
      </c>
      <c r="BA351" s="123">
        <f t="shared" si="228"/>
        <v>0</v>
      </c>
      <c r="BB351" s="123">
        <f t="shared" si="228"/>
        <v>0</v>
      </c>
      <c r="BC351" s="123">
        <f t="shared" si="228"/>
        <v>0</v>
      </c>
      <c r="BD351" s="123">
        <f t="shared" si="228"/>
        <v>0</v>
      </c>
      <c r="BE351" s="123">
        <f t="shared" si="228"/>
        <v>0</v>
      </c>
      <c r="BF351" s="123">
        <f t="shared" si="228"/>
        <v>0</v>
      </c>
      <c r="BG351" s="123">
        <f t="shared" si="228"/>
        <v>0</v>
      </c>
      <c r="BH351" s="123">
        <f t="shared" si="228"/>
        <v>0</v>
      </c>
      <c r="BI351" s="123">
        <f t="shared" si="228"/>
        <v>0</v>
      </c>
      <c r="BJ351" s="123">
        <f t="shared" si="228"/>
        <v>0</v>
      </c>
      <c r="BK351" s="123">
        <f t="shared" si="228"/>
        <v>0</v>
      </c>
      <c r="BL351" s="123">
        <f t="shared" si="228"/>
        <v>0</v>
      </c>
      <c r="BM351" s="123">
        <f t="shared" si="228"/>
        <v>0</v>
      </c>
      <c r="BN351" s="159">
        <f t="shared" si="228"/>
        <v>0</v>
      </c>
      <c r="BP351" s="383" t="s">
        <v>865</v>
      </c>
      <c r="BQ351" s="1463" t="s">
        <v>1601</v>
      </c>
      <c r="BR351" s="1464"/>
      <c r="BS351" s="1464"/>
      <c r="BT351" s="1464"/>
      <c r="BU351" s="1464"/>
      <c r="BV351" s="1464"/>
      <c r="BW351" s="1464"/>
      <c r="BX351" s="1464"/>
      <c r="BY351" s="1464"/>
      <c r="BZ351" s="1464"/>
      <c r="CA351" s="1464"/>
      <c r="CB351" s="1464"/>
      <c r="CC351" s="1464"/>
      <c r="CD351" s="1464"/>
      <c r="CE351" s="1464"/>
      <c r="CF351" s="1464"/>
      <c r="CG351" s="1465"/>
      <c r="CH351" s="385" t="s">
        <v>1445</v>
      </c>
      <c r="CI351" s="385" t="s">
        <v>1249</v>
      </c>
    </row>
    <row r="352" spans="32:87" ht="20.100000000000001" customHeight="1">
      <c r="AF352" s="1551"/>
      <c r="AG352" s="107" t="s">
        <v>866</v>
      </c>
      <c r="AH352" s="131"/>
      <c r="AI352" s="107">
        <f>INDEX('DEFAULT DATA'!$WD$9:$WJ$41,START!$C$3,5)</f>
        <v>403</v>
      </c>
      <c r="AJ352" s="63">
        <f>INDEX('DEFAULT DATA'!$AJL$9:$AJS$41,START!$C$3,6)</f>
        <v>1.65</v>
      </c>
      <c r="AK352" s="53">
        <v>0</v>
      </c>
      <c r="AL352" s="123">
        <f t="shared" ref="AL352:BN352" si="229">IF(AND(AL$296&gt;($D$88+2020),AL$296&lt;($E$88+2022)),AK352+($AI$352*$AJ$352*((100-$F$88)/100)*$B$88/($E$88-$D$88+1)/1000000),AK352)</f>
        <v>0</v>
      </c>
      <c r="AM352" s="123">
        <f t="shared" si="229"/>
        <v>0</v>
      </c>
      <c r="AN352" s="123">
        <f t="shared" si="229"/>
        <v>0</v>
      </c>
      <c r="AO352" s="123">
        <f t="shared" si="229"/>
        <v>0</v>
      </c>
      <c r="AP352" s="123">
        <f t="shared" si="229"/>
        <v>0</v>
      </c>
      <c r="AQ352" s="123">
        <f t="shared" si="229"/>
        <v>0</v>
      </c>
      <c r="AR352" s="123">
        <f t="shared" si="229"/>
        <v>0</v>
      </c>
      <c r="AS352" s="123">
        <f t="shared" si="229"/>
        <v>0</v>
      </c>
      <c r="AT352" s="123">
        <f t="shared" si="229"/>
        <v>0</v>
      </c>
      <c r="AU352" s="123">
        <f t="shared" si="229"/>
        <v>0</v>
      </c>
      <c r="AV352" s="123">
        <f t="shared" si="229"/>
        <v>0</v>
      </c>
      <c r="AW352" s="123">
        <f t="shared" si="229"/>
        <v>0</v>
      </c>
      <c r="AX352" s="123">
        <f t="shared" si="229"/>
        <v>0</v>
      </c>
      <c r="AY352" s="123">
        <f t="shared" si="229"/>
        <v>0</v>
      </c>
      <c r="AZ352" s="123">
        <f t="shared" si="229"/>
        <v>0</v>
      </c>
      <c r="BA352" s="123">
        <f t="shared" si="229"/>
        <v>0</v>
      </c>
      <c r="BB352" s="123">
        <f t="shared" si="229"/>
        <v>0</v>
      </c>
      <c r="BC352" s="123">
        <f t="shared" si="229"/>
        <v>0</v>
      </c>
      <c r="BD352" s="123">
        <f t="shared" si="229"/>
        <v>0</v>
      </c>
      <c r="BE352" s="123">
        <f t="shared" si="229"/>
        <v>0</v>
      </c>
      <c r="BF352" s="123">
        <f t="shared" si="229"/>
        <v>0</v>
      </c>
      <c r="BG352" s="123">
        <f t="shared" si="229"/>
        <v>0</v>
      </c>
      <c r="BH352" s="123">
        <f t="shared" si="229"/>
        <v>0</v>
      </c>
      <c r="BI352" s="123">
        <f t="shared" si="229"/>
        <v>0</v>
      </c>
      <c r="BJ352" s="123">
        <f t="shared" si="229"/>
        <v>0</v>
      </c>
      <c r="BK352" s="123">
        <f t="shared" si="229"/>
        <v>0</v>
      </c>
      <c r="BL352" s="123">
        <f t="shared" si="229"/>
        <v>0</v>
      </c>
      <c r="BM352" s="123">
        <f t="shared" si="229"/>
        <v>0</v>
      </c>
      <c r="BN352" s="159">
        <f t="shared" si="229"/>
        <v>0</v>
      </c>
      <c r="BP352" s="383" t="s">
        <v>866</v>
      </c>
      <c r="BQ352" s="1463" t="s">
        <v>1602</v>
      </c>
      <c r="BR352" s="1464"/>
      <c r="BS352" s="1464"/>
      <c r="BT352" s="1464"/>
      <c r="BU352" s="1464"/>
      <c r="BV352" s="1464"/>
      <c r="BW352" s="1464"/>
      <c r="BX352" s="1464"/>
      <c r="BY352" s="1464"/>
      <c r="BZ352" s="1464"/>
      <c r="CA352" s="1464"/>
      <c r="CB352" s="1464"/>
      <c r="CC352" s="1464"/>
      <c r="CD352" s="1464"/>
      <c r="CE352" s="1464"/>
      <c r="CF352" s="1464"/>
      <c r="CG352" s="1465"/>
      <c r="CH352" s="385" t="s">
        <v>1446</v>
      </c>
      <c r="CI352" s="385" t="s">
        <v>1250</v>
      </c>
    </row>
    <row r="353" spans="32:87" ht="20.100000000000001" customHeight="1">
      <c r="AF353" s="1551"/>
      <c r="AG353" s="107" t="s">
        <v>867</v>
      </c>
      <c r="AH353" s="131"/>
      <c r="AI353" s="107">
        <f>INDEX('DEFAULT DATA'!$WD$9:$WJ$41,START!$C$3,6)</f>
        <v>0</v>
      </c>
      <c r="AJ353" s="63">
        <f>INDEX('DEFAULT DATA'!$AJL$9:$AJS$41,START!$C$3,7)</f>
        <v>0</v>
      </c>
      <c r="AK353" s="53">
        <v>0</v>
      </c>
      <c r="AL353" s="123">
        <f t="shared" ref="AL353:BN353" si="230">IF(AND(AL$296&gt;($D$88+2020),AL$296&lt;($E$88+2022)),AK353+($AI$353*$AJ$353*((100-$F$88)/100)*$B$88/($E$88-$D$88+1)/1000000),AK353)</f>
        <v>0</v>
      </c>
      <c r="AM353" s="123">
        <f t="shared" si="230"/>
        <v>0</v>
      </c>
      <c r="AN353" s="123">
        <f t="shared" si="230"/>
        <v>0</v>
      </c>
      <c r="AO353" s="123">
        <f t="shared" si="230"/>
        <v>0</v>
      </c>
      <c r="AP353" s="123">
        <f t="shared" si="230"/>
        <v>0</v>
      </c>
      <c r="AQ353" s="123">
        <f t="shared" si="230"/>
        <v>0</v>
      </c>
      <c r="AR353" s="123">
        <f t="shared" si="230"/>
        <v>0</v>
      </c>
      <c r="AS353" s="123">
        <f t="shared" si="230"/>
        <v>0</v>
      </c>
      <c r="AT353" s="123">
        <f t="shared" si="230"/>
        <v>0</v>
      </c>
      <c r="AU353" s="123">
        <f t="shared" si="230"/>
        <v>0</v>
      </c>
      <c r="AV353" s="123">
        <f t="shared" si="230"/>
        <v>0</v>
      </c>
      <c r="AW353" s="123">
        <f t="shared" si="230"/>
        <v>0</v>
      </c>
      <c r="AX353" s="123">
        <f t="shared" si="230"/>
        <v>0</v>
      </c>
      <c r="AY353" s="123">
        <f t="shared" si="230"/>
        <v>0</v>
      </c>
      <c r="AZ353" s="123">
        <f t="shared" si="230"/>
        <v>0</v>
      </c>
      <c r="BA353" s="123">
        <f t="shared" si="230"/>
        <v>0</v>
      </c>
      <c r="BB353" s="123">
        <f t="shared" si="230"/>
        <v>0</v>
      </c>
      <c r="BC353" s="123">
        <f t="shared" si="230"/>
        <v>0</v>
      </c>
      <c r="BD353" s="123">
        <f t="shared" si="230"/>
        <v>0</v>
      </c>
      <c r="BE353" s="123">
        <f t="shared" si="230"/>
        <v>0</v>
      </c>
      <c r="BF353" s="123">
        <f t="shared" si="230"/>
        <v>0</v>
      </c>
      <c r="BG353" s="123">
        <f t="shared" si="230"/>
        <v>0</v>
      </c>
      <c r="BH353" s="123">
        <f t="shared" si="230"/>
        <v>0</v>
      </c>
      <c r="BI353" s="123">
        <f t="shared" si="230"/>
        <v>0</v>
      </c>
      <c r="BJ353" s="123">
        <f t="shared" si="230"/>
        <v>0</v>
      </c>
      <c r="BK353" s="123">
        <f t="shared" si="230"/>
        <v>0</v>
      </c>
      <c r="BL353" s="123">
        <f t="shared" si="230"/>
        <v>0</v>
      </c>
      <c r="BM353" s="123">
        <f t="shared" si="230"/>
        <v>0</v>
      </c>
      <c r="BN353" s="159">
        <f t="shared" si="230"/>
        <v>0</v>
      </c>
      <c r="BP353" s="383" t="s">
        <v>867</v>
      </c>
      <c r="BQ353" s="1463" t="s">
        <v>1603</v>
      </c>
      <c r="BR353" s="1464"/>
      <c r="BS353" s="1464"/>
      <c r="BT353" s="1464"/>
      <c r="BU353" s="1464"/>
      <c r="BV353" s="1464"/>
      <c r="BW353" s="1464"/>
      <c r="BX353" s="1464"/>
      <c r="BY353" s="1464"/>
      <c r="BZ353" s="1464"/>
      <c r="CA353" s="1464"/>
      <c r="CB353" s="1464"/>
      <c r="CC353" s="1464"/>
      <c r="CD353" s="1464"/>
      <c r="CE353" s="1464"/>
      <c r="CF353" s="1464"/>
      <c r="CG353" s="1465"/>
      <c r="CH353" s="385" t="s">
        <v>1447</v>
      </c>
      <c r="CI353" s="385" t="s">
        <v>1251</v>
      </c>
    </row>
    <row r="354" spans="32:87" ht="20.100000000000001" customHeight="1" thickBot="1">
      <c r="AF354" s="1552"/>
      <c r="AG354" s="146" t="s">
        <v>868</v>
      </c>
      <c r="AH354" s="139"/>
      <c r="AI354" s="146" t="s">
        <v>1123</v>
      </c>
      <c r="AJ354" s="113">
        <f>INDEX('DEFAULT DATA'!$AJL$9:$AJS$41,START!$C$3,8)</f>
        <v>1.8435436106219893E-2</v>
      </c>
      <c r="AK354" s="54">
        <v>0</v>
      </c>
      <c r="AL354" s="160">
        <f t="shared" ref="AL354:BN354" si="231">IF(AND(AL$296&gt;($D$88+2020),AL$296&lt;($E$88+2022)),AK354+(AL$6*$AJ$354*((100-$F$88)/100)*$B$88/($E$88-$D$88+1)/1000000),AK354)</f>
        <v>0</v>
      </c>
      <c r="AM354" s="160">
        <f t="shared" si="231"/>
        <v>0</v>
      </c>
      <c r="AN354" s="160">
        <f t="shared" si="231"/>
        <v>0</v>
      </c>
      <c r="AO354" s="160">
        <f t="shared" si="231"/>
        <v>0</v>
      </c>
      <c r="AP354" s="160">
        <f t="shared" si="231"/>
        <v>0</v>
      </c>
      <c r="AQ354" s="160">
        <f t="shared" si="231"/>
        <v>0</v>
      </c>
      <c r="AR354" s="160">
        <f t="shared" si="231"/>
        <v>0</v>
      </c>
      <c r="AS354" s="160">
        <f t="shared" si="231"/>
        <v>0</v>
      </c>
      <c r="AT354" s="160">
        <f t="shared" si="231"/>
        <v>0</v>
      </c>
      <c r="AU354" s="160">
        <f t="shared" si="231"/>
        <v>0</v>
      </c>
      <c r="AV354" s="160">
        <f t="shared" si="231"/>
        <v>0</v>
      </c>
      <c r="AW354" s="160">
        <f t="shared" si="231"/>
        <v>0</v>
      </c>
      <c r="AX354" s="160">
        <f t="shared" si="231"/>
        <v>0</v>
      </c>
      <c r="AY354" s="160">
        <f t="shared" si="231"/>
        <v>0</v>
      </c>
      <c r="AZ354" s="160">
        <f t="shared" si="231"/>
        <v>0</v>
      </c>
      <c r="BA354" s="160">
        <f t="shared" si="231"/>
        <v>0</v>
      </c>
      <c r="BB354" s="160">
        <f t="shared" si="231"/>
        <v>0</v>
      </c>
      <c r="BC354" s="160">
        <f t="shared" si="231"/>
        <v>0</v>
      </c>
      <c r="BD354" s="160">
        <f t="shared" si="231"/>
        <v>0</v>
      </c>
      <c r="BE354" s="160">
        <f t="shared" si="231"/>
        <v>0</v>
      </c>
      <c r="BF354" s="160">
        <f t="shared" si="231"/>
        <v>0</v>
      </c>
      <c r="BG354" s="160">
        <f t="shared" si="231"/>
        <v>0</v>
      </c>
      <c r="BH354" s="160">
        <f t="shared" si="231"/>
        <v>0</v>
      </c>
      <c r="BI354" s="160">
        <f t="shared" si="231"/>
        <v>0</v>
      </c>
      <c r="BJ354" s="160">
        <f t="shared" si="231"/>
        <v>0</v>
      </c>
      <c r="BK354" s="160">
        <f t="shared" si="231"/>
        <v>0</v>
      </c>
      <c r="BL354" s="160">
        <f t="shared" si="231"/>
        <v>0</v>
      </c>
      <c r="BM354" s="160">
        <f t="shared" si="231"/>
        <v>0</v>
      </c>
      <c r="BN354" s="161">
        <f t="shared" si="231"/>
        <v>0</v>
      </c>
      <c r="BP354" s="383" t="s">
        <v>868</v>
      </c>
      <c r="BQ354" s="1463" t="s">
        <v>1604</v>
      </c>
      <c r="BR354" s="1464"/>
      <c r="BS354" s="1464"/>
      <c r="BT354" s="1464"/>
      <c r="BU354" s="1464"/>
      <c r="BV354" s="1464"/>
      <c r="BW354" s="1464"/>
      <c r="BX354" s="1464"/>
      <c r="BY354" s="1464"/>
      <c r="BZ354" s="1464"/>
      <c r="CA354" s="1464"/>
      <c r="CB354" s="1464"/>
      <c r="CC354" s="1464"/>
      <c r="CD354" s="1464"/>
      <c r="CE354" s="1464"/>
      <c r="CF354" s="1464"/>
      <c r="CG354" s="1465"/>
      <c r="CH354" s="385" t="s">
        <v>1448</v>
      </c>
      <c r="CI354" s="385" t="s">
        <v>1508</v>
      </c>
    </row>
    <row r="355" spans="32:87" ht="20.100000000000001" customHeight="1">
      <c r="AF355" s="147"/>
      <c r="AG355" s="136" t="s">
        <v>1089</v>
      </c>
      <c r="AH355" s="136"/>
      <c r="AI355" s="136"/>
      <c r="AJ355" s="136"/>
      <c r="AK355" s="173">
        <f>SUM(AK347:AK354)</f>
        <v>0</v>
      </c>
      <c r="AL355" s="162">
        <f>SUM(AL347:AL354)</f>
        <v>0</v>
      </c>
      <c r="AM355" s="162">
        <f t="shared" ref="AM355:BN355" si="232">SUM(AM347:AM354)</f>
        <v>0</v>
      </c>
      <c r="AN355" s="162">
        <f t="shared" si="232"/>
        <v>0</v>
      </c>
      <c r="AO355" s="162">
        <f t="shared" si="232"/>
        <v>0</v>
      </c>
      <c r="AP355" s="162">
        <f t="shared" si="232"/>
        <v>0</v>
      </c>
      <c r="AQ355" s="162">
        <f t="shared" si="232"/>
        <v>0</v>
      </c>
      <c r="AR355" s="162">
        <f t="shared" si="232"/>
        <v>0</v>
      </c>
      <c r="AS355" s="162">
        <f t="shared" si="232"/>
        <v>0</v>
      </c>
      <c r="AT355" s="162">
        <f t="shared" si="232"/>
        <v>0</v>
      </c>
      <c r="AU355" s="162">
        <f t="shared" si="232"/>
        <v>0</v>
      </c>
      <c r="AV355" s="162">
        <f t="shared" si="232"/>
        <v>0</v>
      </c>
      <c r="AW355" s="162">
        <f t="shared" si="232"/>
        <v>0</v>
      </c>
      <c r="AX355" s="162">
        <f t="shared" si="232"/>
        <v>0</v>
      </c>
      <c r="AY355" s="162">
        <f t="shared" si="232"/>
        <v>0</v>
      </c>
      <c r="AZ355" s="162">
        <f t="shared" si="232"/>
        <v>0</v>
      </c>
      <c r="BA355" s="162">
        <f t="shared" si="232"/>
        <v>0</v>
      </c>
      <c r="BB355" s="162">
        <f t="shared" si="232"/>
        <v>0</v>
      </c>
      <c r="BC355" s="162">
        <f t="shared" si="232"/>
        <v>0</v>
      </c>
      <c r="BD355" s="162">
        <f t="shared" si="232"/>
        <v>0</v>
      </c>
      <c r="BE355" s="162">
        <f t="shared" si="232"/>
        <v>0</v>
      </c>
      <c r="BF355" s="162">
        <f t="shared" si="232"/>
        <v>0</v>
      </c>
      <c r="BG355" s="162">
        <f t="shared" si="232"/>
        <v>0</v>
      </c>
      <c r="BH355" s="162">
        <f t="shared" si="232"/>
        <v>0</v>
      </c>
      <c r="BI355" s="162">
        <f t="shared" si="232"/>
        <v>0</v>
      </c>
      <c r="BJ355" s="162">
        <f t="shared" si="232"/>
        <v>0</v>
      </c>
      <c r="BK355" s="162">
        <f t="shared" si="232"/>
        <v>0</v>
      </c>
      <c r="BL355" s="162">
        <f t="shared" si="232"/>
        <v>0</v>
      </c>
      <c r="BM355" s="162">
        <f t="shared" si="232"/>
        <v>0</v>
      </c>
      <c r="BN355" s="162">
        <f t="shared" si="232"/>
        <v>0</v>
      </c>
    </row>
    <row r="357" spans="32:87" ht="20.100000000000001" customHeight="1">
      <c r="AF357" s="141" t="s">
        <v>1128</v>
      </c>
    </row>
    <row r="358" spans="32:87" ht="20.100000000000001" customHeight="1">
      <c r="AF358" s="1078" t="s">
        <v>1092</v>
      </c>
      <c r="AG358" s="1079" t="s">
        <v>1110</v>
      </c>
      <c r="AH358" s="1079"/>
      <c r="AI358" s="372"/>
      <c r="AJ358" s="372"/>
      <c r="AK358" s="372"/>
      <c r="AL358" s="372"/>
      <c r="AM358" s="372"/>
      <c r="AN358" s="372"/>
      <c r="AO358" s="372"/>
      <c r="AP358" s="372"/>
      <c r="AQ358" s="372"/>
      <c r="AR358" s="372"/>
      <c r="AS358" s="372"/>
      <c r="AT358" s="372"/>
      <c r="AU358" s="372"/>
      <c r="AV358" s="372"/>
      <c r="AW358" s="372"/>
      <c r="AX358" s="372"/>
      <c r="AY358" s="372"/>
      <c r="AZ358" s="372"/>
      <c r="BA358" s="372"/>
      <c r="BB358" s="372"/>
      <c r="BC358" s="372"/>
      <c r="BD358" s="372"/>
      <c r="BE358" s="372"/>
      <c r="BF358" s="372"/>
      <c r="BG358" s="372"/>
      <c r="BH358" s="372"/>
      <c r="BI358" s="372"/>
      <c r="BJ358" s="372"/>
      <c r="BK358" s="372"/>
      <c r="BL358" s="372"/>
      <c r="BM358" s="372"/>
      <c r="BN358" s="373"/>
    </row>
    <row r="359" spans="32:87" ht="20.100000000000001" customHeight="1">
      <c r="AF359" s="1080" t="s">
        <v>1104</v>
      </c>
      <c r="AG359" s="961" t="s">
        <v>1111</v>
      </c>
      <c r="AH359" s="1081"/>
      <c r="AI359" s="961"/>
      <c r="AJ359" s="377"/>
      <c r="AK359" s="377"/>
      <c r="AL359" s="377"/>
      <c r="AM359" s="377"/>
      <c r="AN359" s="377"/>
      <c r="AO359" s="377"/>
      <c r="AP359" s="377"/>
      <c r="AQ359" s="377"/>
      <c r="AR359" s="377"/>
      <c r="AS359" s="377"/>
      <c r="AT359" s="377"/>
      <c r="AU359" s="377"/>
      <c r="AV359" s="377"/>
      <c r="AW359" s="377"/>
      <c r="AX359" s="377"/>
      <c r="AY359" s="377"/>
      <c r="AZ359" s="377"/>
      <c r="BA359" s="377"/>
      <c r="BB359" s="377"/>
      <c r="BC359" s="377"/>
      <c r="BD359" s="377"/>
      <c r="BE359" s="377"/>
      <c r="BF359" s="377"/>
      <c r="BG359" s="377"/>
      <c r="BH359" s="377"/>
      <c r="BI359" s="377"/>
      <c r="BJ359" s="377"/>
      <c r="BK359" s="377"/>
      <c r="BL359" s="377"/>
      <c r="BM359" s="377"/>
      <c r="BN359" s="378"/>
    </row>
    <row r="360" spans="32:87" ht="20.100000000000001" customHeight="1">
      <c r="AF360" s="1080" t="s">
        <v>1105</v>
      </c>
      <c r="AG360" s="961" t="s">
        <v>1107</v>
      </c>
      <c r="AH360" s="1081"/>
      <c r="AI360" s="961"/>
      <c r="AJ360" s="377"/>
      <c r="AK360" s="377"/>
      <c r="AL360" s="377"/>
      <c r="AM360" s="377"/>
      <c r="AN360" s="377"/>
      <c r="AO360" s="377"/>
      <c r="AP360" s="377"/>
      <c r="AQ360" s="377"/>
      <c r="AR360" s="377"/>
      <c r="AS360" s="377"/>
      <c r="AT360" s="377"/>
      <c r="AU360" s="377"/>
      <c r="AV360" s="377"/>
      <c r="AW360" s="377"/>
      <c r="AX360" s="377"/>
      <c r="AY360" s="377"/>
      <c r="AZ360" s="377"/>
      <c r="BA360" s="377"/>
      <c r="BB360" s="377"/>
      <c r="BC360" s="377"/>
      <c r="BD360" s="377"/>
      <c r="BE360" s="377"/>
      <c r="BF360" s="377"/>
      <c r="BG360" s="377"/>
      <c r="BH360" s="377"/>
      <c r="BI360" s="377"/>
      <c r="BJ360" s="377"/>
      <c r="BK360" s="377"/>
      <c r="BL360" s="377"/>
      <c r="BM360" s="377"/>
      <c r="BN360" s="378"/>
    </row>
    <row r="361" spans="32:87" ht="20.100000000000001" customHeight="1">
      <c r="AF361" s="1080" t="s">
        <v>1108</v>
      </c>
      <c r="AG361" s="1082" t="s">
        <v>1109</v>
      </c>
      <c r="AH361" s="1081"/>
      <c r="AI361" s="961"/>
      <c r="AJ361" s="377"/>
      <c r="AK361" s="377"/>
      <c r="AL361" s="377"/>
      <c r="AM361" s="377"/>
      <c r="AN361" s="377"/>
      <c r="AO361" s="377"/>
      <c r="AP361" s="377"/>
      <c r="AQ361" s="377"/>
      <c r="AR361" s="377"/>
      <c r="AS361" s="377"/>
      <c r="AT361" s="377"/>
      <c r="AU361" s="377"/>
      <c r="AV361" s="377"/>
      <c r="AW361" s="377"/>
      <c r="AX361" s="377"/>
      <c r="AY361" s="377"/>
      <c r="AZ361" s="377"/>
      <c r="BA361" s="377"/>
      <c r="BB361" s="377"/>
      <c r="BC361" s="377"/>
      <c r="BD361" s="377"/>
      <c r="BE361" s="377"/>
      <c r="BF361" s="377"/>
      <c r="BG361" s="377"/>
      <c r="BH361" s="377"/>
      <c r="BI361" s="377"/>
      <c r="BJ361" s="377"/>
      <c r="BK361" s="377"/>
      <c r="BL361" s="377"/>
      <c r="BM361" s="377"/>
      <c r="BN361" s="378"/>
    </row>
    <row r="362" spans="32:87" ht="20.100000000000001" customHeight="1">
      <c r="AF362" s="1080" t="s">
        <v>1095</v>
      </c>
      <c r="AG362" s="1082" t="s">
        <v>1114</v>
      </c>
      <c r="AH362" s="1081"/>
      <c r="AI362" s="961"/>
      <c r="AJ362" s="377"/>
      <c r="AK362" s="377"/>
      <c r="AL362" s="377"/>
      <c r="AM362" s="377"/>
      <c r="AN362" s="377"/>
      <c r="AO362" s="377"/>
      <c r="AP362" s="377"/>
      <c r="AQ362" s="377"/>
      <c r="AR362" s="377"/>
      <c r="AS362" s="377"/>
      <c r="AT362" s="377"/>
      <c r="AU362" s="377"/>
      <c r="AV362" s="377"/>
      <c r="AW362" s="377"/>
      <c r="AX362" s="377"/>
      <c r="AY362" s="377"/>
      <c r="AZ362" s="377"/>
      <c r="BA362" s="377"/>
      <c r="BB362" s="377"/>
      <c r="BC362" s="377"/>
      <c r="BD362" s="377"/>
      <c r="BE362" s="377"/>
      <c r="BF362" s="377"/>
      <c r="BG362" s="377"/>
      <c r="BH362" s="377"/>
      <c r="BI362" s="377"/>
      <c r="BJ362" s="377"/>
      <c r="BK362" s="377"/>
      <c r="BL362" s="377"/>
      <c r="BM362" s="377"/>
      <c r="BN362" s="378"/>
    </row>
    <row r="363" spans="32:87" ht="20.100000000000001" customHeight="1">
      <c r="AF363" s="1083" t="s">
        <v>1096</v>
      </c>
      <c r="AG363" s="1082" t="s">
        <v>1116</v>
      </c>
      <c r="AH363" s="1081"/>
      <c r="AI363" s="961"/>
      <c r="AJ363" s="377"/>
      <c r="AK363" s="377"/>
      <c r="AL363" s="377"/>
      <c r="AM363" s="377"/>
      <c r="AN363" s="377"/>
      <c r="AO363" s="377"/>
      <c r="AP363" s="377"/>
      <c r="AQ363" s="377"/>
      <c r="AR363" s="377"/>
      <c r="AS363" s="377"/>
      <c r="AT363" s="377"/>
      <c r="AU363" s="377"/>
      <c r="AV363" s="377"/>
      <c r="AW363" s="377"/>
      <c r="AX363" s="377"/>
      <c r="AY363" s="377"/>
      <c r="AZ363" s="377"/>
      <c r="BA363" s="377"/>
      <c r="BB363" s="377"/>
      <c r="BC363" s="377"/>
      <c r="BD363" s="377"/>
      <c r="BE363" s="377"/>
      <c r="BF363" s="377"/>
      <c r="BG363" s="377"/>
      <c r="BH363" s="377"/>
      <c r="BI363" s="377"/>
      <c r="BJ363" s="377"/>
      <c r="BK363" s="377"/>
      <c r="BL363" s="377"/>
      <c r="BM363" s="377"/>
      <c r="BN363" s="378"/>
    </row>
    <row r="364" spans="32:87" ht="20.100000000000001" customHeight="1">
      <c r="AF364" s="1083" t="s">
        <v>1115</v>
      </c>
      <c r="AG364" s="1082" t="s">
        <v>1117</v>
      </c>
      <c r="AH364" s="1081"/>
      <c r="AI364" s="1074"/>
      <c r="AJ364" s="1074"/>
      <c r="AK364" s="1074"/>
      <c r="AL364" s="1074"/>
      <c r="AM364" s="1074"/>
      <c r="AN364" s="1074"/>
      <c r="AO364" s="1074"/>
      <c r="AP364" s="1074"/>
      <c r="AQ364" s="377"/>
      <c r="AR364" s="377"/>
      <c r="AS364" s="377"/>
      <c r="AT364" s="377"/>
      <c r="AU364" s="377"/>
      <c r="AV364" s="377"/>
      <c r="AW364" s="377"/>
      <c r="AX364" s="377"/>
      <c r="AY364" s="377"/>
      <c r="AZ364" s="377"/>
      <c r="BA364" s="377"/>
      <c r="BB364" s="377"/>
      <c r="BC364" s="377"/>
      <c r="BD364" s="377"/>
      <c r="BE364" s="377"/>
      <c r="BF364" s="377"/>
      <c r="BG364" s="377"/>
      <c r="BH364" s="377"/>
      <c r="BI364" s="377"/>
      <c r="BJ364" s="377"/>
      <c r="BK364" s="377"/>
      <c r="BL364" s="377"/>
      <c r="BM364" s="377"/>
      <c r="BN364" s="378"/>
    </row>
    <row r="365" spans="32:87" ht="20.100000000000001" customHeight="1">
      <c r="AF365" s="1080" t="s">
        <v>1118</v>
      </c>
      <c r="AG365" s="1086" t="s">
        <v>1119</v>
      </c>
      <c r="AH365" s="1086"/>
      <c r="AI365" s="961"/>
      <c r="AJ365" s="377"/>
      <c r="AK365" s="377"/>
      <c r="AL365" s="377"/>
      <c r="AM365" s="377"/>
      <c r="AN365" s="377"/>
      <c r="AO365" s="377"/>
      <c r="AP365" s="377"/>
      <c r="AQ365" s="377"/>
      <c r="AR365" s="377"/>
      <c r="AS365" s="377"/>
      <c r="AT365" s="377"/>
      <c r="AU365" s="377"/>
      <c r="AV365" s="377"/>
      <c r="AW365" s="377"/>
      <c r="AX365" s="377"/>
      <c r="AY365" s="377"/>
      <c r="AZ365" s="377"/>
      <c r="BA365" s="377"/>
      <c r="BB365" s="377"/>
      <c r="BC365" s="377"/>
      <c r="BD365" s="377"/>
      <c r="BE365" s="377"/>
      <c r="BF365" s="377"/>
      <c r="BG365" s="377"/>
      <c r="BH365" s="377"/>
      <c r="BI365" s="377"/>
      <c r="BJ365" s="377"/>
      <c r="BK365" s="377"/>
      <c r="BL365" s="377"/>
      <c r="BM365" s="377"/>
      <c r="BN365" s="378"/>
    </row>
    <row r="366" spans="32:87" ht="20.100000000000001" customHeight="1">
      <c r="AF366" s="1080" t="s">
        <v>1097</v>
      </c>
      <c r="AG366" s="1082" t="s">
        <v>1098</v>
      </c>
      <c r="AH366" s="1081"/>
      <c r="AI366" s="961"/>
      <c r="AJ366" s="377"/>
      <c r="AK366" s="377"/>
      <c r="AL366" s="377"/>
      <c r="AM366" s="377"/>
      <c r="AN366" s="377"/>
      <c r="AO366" s="377"/>
      <c r="AP366" s="377"/>
      <c r="AQ366" s="377"/>
      <c r="AR366" s="377"/>
      <c r="AS366" s="377"/>
      <c r="AT366" s="377"/>
      <c r="AU366" s="377"/>
      <c r="AV366" s="377"/>
      <c r="AW366" s="377"/>
      <c r="AX366" s="377"/>
      <c r="AY366" s="377"/>
      <c r="AZ366" s="377"/>
      <c r="BA366" s="377"/>
      <c r="BB366" s="377"/>
      <c r="BC366" s="377"/>
      <c r="BD366" s="377"/>
      <c r="BE366" s="377"/>
      <c r="BF366" s="377"/>
      <c r="BG366" s="377"/>
      <c r="BH366" s="377"/>
      <c r="BI366" s="377"/>
      <c r="BJ366" s="377"/>
      <c r="BK366" s="377"/>
      <c r="BL366" s="377"/>
      <c r="BM366" s="377"/>
      <c r="BN366" s="378"/>
    </row>
    <row r="367" spans="32:87" ht="20.100000000000001" customHeight="1">
      <c r="AF367" s="1083"/>
      <c r="AG367" s="961"/>
      <c r="AH367" s="961"/>
      <c r="AI367" s="377"/>
      <c r="AJ367" s="377"/>
      <c r="AK367" s="377"/>
      <c r="AL367" s="377"/>
      <c r="AM367" s="377"/>
      <c r="AN367" s="377"/>
      <c r="AO367" s="377"/>
      <c r="AP367" s="377"/>
      <c r="AQ367" s="377"/>
      <c r="AR367" s="377"/>
      <c r="AS367" s="377"/>
      <c r="AT367" s="377"/>
      <c r="AU367" s="377"/>
      <c r="AV367" s="377"/>
      <c r="AW367" s="377"/>
      <c r="AX367" s="377"/>
      <c r="AY367" s="377"/>
      <c r="AZ367" s="377"/>
      <c r="BA367" s="377"/>
      <c r="BB367" s="377"/>
      <c r="BC367" s="377"/>
      <c r="BD367" s="377"/>
      <c r="BE367" s="377"/>
      <c r="BF367" s="377"/>
      <c r="BG367" s="377"/>
      <c r="BH367" s="377"/>
      <c r="BI367" s="377"/>
      <c r="BJ367" s="377"/>
      <c r="BK367" s="377"/>
      <c r="BL367" s="377"/>
      <c r="BM367" s="377"/>
      <c r="BN367" s="378"/>
    </row>
    <row r="368" spans="32:87" ht="20.100000000000001" customHeight="1">
      <c r="AF368" s="1083" t="s">
        <v>1120</v>
      </c>
      <c r="AG368" s="961"/>
      <c r="AH368" s="961"/>
      <c r="AI368" s="377"/>
      <c r="AJ368" s="377"/>
      <c r="AK368" s="377"/>
      <c r="AL368" s="377"/>
      <c r="AM368" s="377"/>
      <c r="AN368" s="377"/>
      <c r="AO368" s="377"/>
      <c r="AP368" s="377"/>
      <c r="AQ368" s="377"/>
      <c r="AR368" s="377"/>
      <c r="AS368" s="377"/>
      <c r="AT368" s="377"/>
      <c r="AU368" s="377"/>
      <c r="AV368" s="377"/>
      <c r="AW368" s="377"/>
      <c r="AX368" s="377"/>
      <c r="AY368" s="377"/>
      <c r="AZ368" s="377"/>
      <c r="BA368" s="377"/>
      <c r="BB368" s="377"/>
      <c r="BC368" s="377"/>
      <c r="BD368" s="377"/>
      <c r="BE368" s="377"/>
      <c r="BF368" s="377"/>
      <c r="BG368" s="377"/>
      <c r="BH368" s="377"/>
      <c r="BI368" s="377"/>
      <c r="BJ368" s="377"/>
      <c r="BK368" s="377"/>
      <c r="BL368" s="377"/>
      <c r="BM368" s="377"/>
      <c r="BN368" s="378"/>
    </row>
    <row r="369" spans="32:66" ht="20.100000000000001" customHeight="1">
      <c r="AF369" s="1083" t="s">
        <v>1101</v>
      </c>
      <c r="AG369" s="961"/>
      <c r="AH369" s="961"/>
      <c r="AI369" s="377"/>
      <c r="AJ369" s="377"/>
      <c r="AK369" s="377"/>
      <c r="AL369" s="377"/>
      <c r="AM369" s="377"/>
      <c r="AN369" s="377"/>
      <c r="AO369" s="377"/>
      <c r="AP369" s="377"/>
      <c r="AQ369" s="377"/>
      <c r="AR369" s="377"/>
      <c r="AS369" s="377"/>
      <c r="AT369" s="377"/>
      <c r="AU369" s="377"/>
      <c r="AV369" s="377"/>
      <c r="AW369" s="377"/>
      <c r="AX369" s="377"/>
      <c r="AY369" s="377"/>
      <c r="AZ369" s="377"/>
      <c r="BA369" s="377"/>
      <c r="BB369" s="377"/>
      <c r="BC369" s="377"/>
      <c r="BD369" s="377"/>
      <c r="BE369" s="377"/>
      <c r="BF369" s="377"/>
      <c r="BG369" s="377"/>
      <c r="BH369" s="377"/>
      <c r="BI369" s="377"/>
      <c r="BJ369" s="377"/>
      <c r="BK369" s="377"/>
      <c r="BL369" s="377"/>
      <c r="BM369" s="377"/>
      <c r="BN369" s="378"/>
    </row>
    <row r="370" spans="32:66" ht="20.100000000000001" customHeight="1">
      <c r="AF370" s="1084" t="s">
        <v>1129</v>
      </c>
      <c r="AG370" s="1085"/>
      <c r="AH370" s="1085"/>
      <c r="AI370" s="381"/>
      <c r="AJ370" s="381"/>
      <c r="AK370" s="381"/>
      <c r="AL370" s="381"/>
      <c r="AM370" s="381"/>
      <c r="AN370" s="381"/>
      <c r="AO370" s="381"/>
      <c r="AP370" s="381"/>
      <c r="AQ370" s="381"/>
      <c r="AR370" s="381"/>
      <c r="AS370" s="381"/>
      <c r="AT370" s="381"/>
      <c r="AU370" s="381"/>
      <c r="AV370" s="381"/>
      <c r="AW370" s="381"/>
      <c r="AX370" s="381"/>
      <c r="AY370" s="381"/>
      <c r="AZ370" s="381"/>
      <c r="BA370" s="381"/>
      <c r="BB370" s="381"/>
      <c r="BC370" s="381"/>
      <c r="BD370" s="381"/>
      <c r="BE370" s="381"/>
      <c r="BF370" s="381"/>
      <c r="BG370" s="381"/>
      <c r="BH370" s="381"/>
      <c r="BI370" s="381"/>
      <c r="BJ370" s="381"/>
      <c r="BK370" s="381"/>
      <c r="BL370" s="381"/>
      <c r="BM370" s="381"/>
      <c r="BN370" s="382"/>
    </row>
    <row r="372" spans="32:66" ht="20.100000000000001" customHeight="1">
      <c r="AF372" s="141" t="s">
        <v>1125</v>
      </c>
      <c r="AG372" s="130"/>
      <c r="AH372" s="130"/>
      <c r="AI372" s="130"/>
      <c r="AJ372" s="130"/>
      <c r="AK372" s="130"/>
      <c r="AL372" s="130"/>
      <c r="AM372" s="130"/>
    </row>
    <row r="373" spans="32:66" ht="20.100000000000001" customHeight="1" thickBot="1">
      <c r="AF373" s="142" t="s">
        <v>1093</v>
      </c>
      <c r="AG373" s="143"/>
      <c r="AH373" s="143"/>
      <c r="AI373" s="149" t="s">
        <v>620</v>
      </c>
      <c r="AJ373" s="175" t="s">
        <v>1121</v>
      </c>
      <c r="AK373" s="176">
        <v>2021</v>
      </c>
      <c r="AL373" s="135">
        <v>2022</v>
      </c>
      <c r="AM373" s="135">
        <f>AL373+1</f>
        <v>2023</v>
      </c>
      <c r="AN373" s="135">
        <f t="shared" ref="AN373" si="233">AM373+1</f>
        <v>2024</v>
      </c>
      <c r="AO373" s="135">
        <f t="shared" ref="AO373" si="234">AN373+1</f>
        <v>2025</v>
      </c>
      <c r="AP373" s="135">
        <f t="shared" ref="AP373" si="235">AO373+1</f>
        <v>2026</v>
      </c>
      <c r="AQ373" s="135">
        <f t="shared" ref="AQ373" si="236">AP373+1</f>
        <v>2027</v>
      </c>
      <c r="AR373" s="135">
        <f t="shared" ref="AR373" si="237">AQ373+1</f>
        <v>2028</v>
      </c>
      <c r="AS373" s="135">
        <f t="shared" ref="AS373" si="238">AR373+1</f>
        <v>2029</v>
      </c>
      <c r="AT373" s="135">
        <f t="shared" ref="AT373" si="239">AS373+1</f>
        <v>2030</v>
      </c>
      <c r="AU373" s="135">
        <f t="shared" ref="AU373" si="240">AT373+1</f>
        <v>2031</v>
      </c>
      <c r="AV373" s="135">
        <f t="shared" ref="AV373" si="241">AU373+1</f>
        <v>2032</v>
      </c>
      <c r="AW373" s="135">
        <f t="shared" ref="AW373" si="242">AV373+1</f>
        <v>2033</v>
      </c>
      <c r="AX373" s="135">
        <f t="shared" ref="AX373" si="243">AW373+1</f>
        <v>2034</v>
      </c>
      <c r="AY373" s="135">
        <f t="shared" ref="AY373" si="244">AX373+1</f>
        <v>2035</v>
      </c>
      <c r="AZ373" s="135">
        <f t="shared" ref="AZ373" si="245">AY373+1</f>
        <v>2036</v>
      </c>
      <c r="BA373" s="135">
        <f t="shared" ref="BA373" si="246">AZ373+1</f>
        <v>2037</v>
      </c>
      <c r="BB373" s="135">
        <f t="shared" ref="BB373" si="247">BA373+1</f>
        <v>2038</v>
      </c>
      <c r="BC373" s="135">
        <f t="shared" ref="BC373" si="248">BB373+1</f>
        <v>2039</v>
      </c>
      <c r="BD373" s="135">
        <f t="shared" ref="BD373" si="249">BC373+1</f>
        <v>2040</v>
      </c>
      <c r="BE373" s="135">
        <f t="shared" ref="BE373" si="250">BD373+1</f>
        <v>2041</v>
      </c>
      <c r="BF373" s="135">
        <f t="shared" ref="BF373" si="251">BE373+1</f>
        <v>2042</v>
      </c>
      <c r="BG373" s="135">
        <f t="shared" ref="BG373" si="252">BF373+1</f>
        <v>2043</v>
      </c>
      <c r="BH373" s="135">
        <f t="shared" ref="BH373" si="253">BG373+1</f>
        <v>2044</v>
      </c>
      <c r="BI373" s="135">
        <f t="shared" ref="BI373" si="254">BH373+1</f>
        <v>2045</v>
      </c>
      <c r="BJ373" s="135">
        <f t="shared" ref="BJ373" si="255">BI373+1</f>
        <v>2046</v>
      </c>
      <c r="BK373" s="135">
        <f t="shared" ref="BK373" si="256">BJ373+1</f>
        <v>2047</v>
      </c>
      <c r="BL373" s="135">
        <f t="shared" ref="BL373" si="257">BK373+1</f>
        <v>2048</v>
      </c>
      <c r="BM373" s="135">
        <f t="shared" ref="BM373" si="258">BL373+1</f>
        <v>2049</v>
      </c>
      <c r="BN373" s="135">
        <f t="shared" ref="BN373" si="259">BM373+1</f>
        <v>2050</v>
      </c>
    </row>
    <row r="374" spans="32:66" ht="20.100000000000001" customHeight="1">
      <c r="AF374" s="1550" t="s">
        <v>858</v>
      </c>
      <c r="AG374" s="137" t="s">
        <v>578</v>
      </c>
      <c r="AH374" s="137"/>
      <c r="AI374" s="137" t="s">
        <v>1122</v>
      </c>
      <c r="AJ374" s="148">
        <f>INDEX('DEFAULT DATA'!$YB$9:$YI$41,START!$C$3,1)</f>
        <v>540.88034014281652</v>
      </c>
      <c r="AK374" s="178">
        <v>0</v>
      </c>
      <c r="AL374" s="163">
        <f t="shared" ref="AL374:BN374" si="260">IF(AND(AL$373&gt;($D$94+2020),AL$373&lt;($E$94+2022)),AK374+(AL$5*$AJ$374*((100-$F$94)/100)*ROUND(($C$94/100*$B$94)/($E$94-$D$94+1),0)/1000000),AK374)</f>
        <v>0</v>
      </c>
      <c r="AM374" s="163">
        <f t="shared" si="260"/>
        <v>0</v>
      </c>
      <c r="AN374" s="163">
        <f t="shared" si="260"/>
        <v>0</v>
      </c>
      <c r="AO374" s="163">
        <f t="shared" si="260"/>
        <v>0</v>
      </c>
      <c r="AP374" s="163">
        <f t="shared" si="260"/>
        <v>0</v>
      </c>
      <c r="AQ374" s="163">
        <f t="shared" si="260"/>
        <v>0</v>
      </c>
      <c r="AR374" s="163">
        <f t="shared" si="260"/>
        <v>0</v>
      </c>
      <c r="AS374" s="163">
        <f t="shared" si="260"/>
        <v>0</v>
      </c>
      <c r="AT374" s="163">
        <f t="shared" si="260"/>
        <v>0</v>
      </c>
      <c r="AU374" s="163">
        <f t="shared" si="260"/>
        <v>0</v>
      </c>
      <c r="AV374" s="163">
        <f t="shared" si="260"/>
        <v>0</v>
      </c>
      <c r="AW374" s="163">
        <f t="shared" si="260"/>
        <v>0</v>
      </c>
      <c r="AX374" s="163">
        <f t="shared" si="260"/>
        <v>0</v>
      </c>
      <c r="AY374" s="163">
        <f t="shared" si="260"/>
        <v>0</v>
      </c>
      <c r="AZ374" s="163">
        <f t="shared" si="260"/>
        <v>0</v>
      </c>
      <c r="BA374" s="163">
        <f t="shared" si="260"/>
        <v>0</v>
      </c>
      <c r="BB374" s="163">
        <f t="shared" si="260"/>
        <v>0</v>
      </c>
      <c r="BC374" s="163">
        <f t="shared" si="260"/>
        <v>0</v>
      </c>
      <c r="BD374" s="163">
        <f t="shared" si="260"/>
        <v>0</v>
      </c>
      <c r="BE374" s="163">
        <f t="shared" si="260"/>
        <v>0</v>
      </c>
      <c r="BF374" s="163">
        <f t="shared" si="260"/>
        <v>0</v>
      </c>
      <c r="BG374" s="163">
        <f t="shared" si="260"/>
        <v>0</v>
      </c>
      <c r="BH374" s="163">
        <f t="shared" si="260"/>
        <v>0</v>
      </c>
      <c r="BI374" s="163">
        <f t="shared" si="260"/>
        <v>0</v>
      </c>
      <c r="BJ374" s="163">
        <f t="shared" si="260"/>
        <v>0</v>
      </c>
      <c r="BK374" s="163">
        <f t="shared" si="260"/>
        <v>0</v>
      </c>
      <c r="BL374" s="163">
        <f t="shared" si="260"/>
        <v>0</v>
      </c>
      <c r="BM374" s="163">
        <f t="shared" si="260"/>
        <v>0</v>
      </c>
      <c r="BN374" s="164">
        <f t="shared" si="260"/>
        <v>0</v>
      </c>
    </row>
    <row r="375" spans="32:66" ht="20.100000000000001" customHeight="1">
      <c r="AF375" s="1551"/>
      <c r="AG375" s="107" t="s">
        <v>862</v>
      </c>
      <c r="AH375" s="107"/>
      <c r="AI375" s="107">
        <f>INDEX('DEFAULT DATA'!$WD$9:$WJ$41,START!$C$3,1)</f>
        <v>202</v>
      </c>
      <c r="AJ375" s="63">
        <f>INDEX('DEFAULT DATA'!$YB$9:$YI$41,START!$C$3,2)</f>
        <v>0</v>
      </c>
      <c r="AK375" s="180">
        <v>0</v>
      </c>
      <c r="AL375" s="123">
        <f t="shared" ref="AL375:BN375" si="261">IF(AND(AL$373&gt;($D$94+2020),AL$373&lt;($E$94+2022)),AK375+($AI$375*$AJ$375*((100-$F$94)/100)*ROUND(($C$94/100*$B$94)/($E$94-$D$94+1),0)/1000000),AK375)</f>
        <v>0</v>
      </c>
      <c r="AM375" s="123">
        <f t="shared" si="261"/>
        <v>0</v>
      </c>
      <c r="AN375" s="123">
        <f t="shared" si="261"/>
        <v>0</v>
      </c>
      <c r="AO375" s="123">
        <f t="shared" si="261"/>
        <v>0</v>
      </c>
      <c r="AP375" s="123">
        <f t="shared" si="261"/>
        <v>0</v>
      </c>
      <c r="AQ375" s="123">
        <f t="shared" si="261"/>
        <v>0</v>
      </c>
      <c r="AR375" s="123">
        <f t="shared" si="261"/>
        <v>0</v>
      </c>
      <c r="AS375" s="123">
        <f t="shared" si="261"/>
        <v>0</v>
      </c>
      <c r="AT375" s="123">
        <f t="shared" si="261"/>
        <v>0</v>
      </c>
      <c r="AU375" s="123">
        <f t="shared" si="261"/>
        <v>0</v>
      </c>
      <c r="AV375" s="123">
        <f t="shared" si="261"/>
        <v>0</v>
      </c>
      <c r="AW375" s="123">
        <f t="shared" si="261"/>
        <v>0</v>
      </c>
      <c r="AX375" s="123">
        <f t="shared" si="261"/>
        <v>0</v>
      </c>
      <c r="AY375" s="123">
        <f t="shared" si="261"/>
        <v>0</v>
      </c>
      <c r="AZ375" s="123">
        <f t="shared" si="261"/>
        <v>0</v>
      </c>
      <c r="BA375" s="123">
        <f t="shared" si="261"/>
        <v>0</v>
      </c>
      <c r="BB375" s="123">
        <f t="shared" si="261"/>
        <v>0</v>
      </c>
      <c r="BC375" s="123">
        <f t="shared" si="261"/>
        <v>0</v>
      </c>
      <c r="BD375" s="123">
        <f t="shared" si="261"/>
        <v>0</v>
      </c>
      <c r="BE375" s="123">
        <f t="shared" si="261"/>
        <v>0</v>
      </c>
      <c r="BF375" s="123">
        <f t="shared" si="261"/>
        <v>0</v>
      </c>
      <c r="BG375" s="123">
        <f t="shared" si="261"/>
        <v>0</v>
      </c>
      <c r="BH375" s="123">
        <f t="shared" si="261"/>
        <v>0</v>
      </c>
      <c r="BI375" s="123">
        <f t="shared" si="261"/>
        <v>0</v>
      </c>
      <c r="BJ375" s="123">
        <f t="shared" si="261"/>
        <v>0</v>
      </c>
      <c r="BK375" s="123">
        <f t="shared" si="261"/>
        <v>0</v>
      </c>
      <c r="BL375" s="123">
        <f t="shared" si="261"/>
        <v>0</v>
      </c>
      <c r="BM375" s="123">
        <f t="shared" si="261"/>
        <v>0</v>
      </c>
      <c r="BN375" s="159">
        <f t="shared" si="261"/>
        <v>0</v>
      </c>
    </row>
    <row r="376" spans="32:66" ht="20.100000000000001" customHeight="1">
      <c r="AF376" s="1551"/>
      <c r="AG376" s="107" t="s">
        <v>863</v>
      </c>
      <c r="AH376" s="107"/>
      <c r="AI376" s="107">
        <f>INDEX('DEFAULT DATA'!$WD$9:$WJ$41,START!$C$3,2)</f>
        <v>267</v>
      </c>
      <c r="AJ376" s="63">
        <f>INDEX('DEFAULT DATA'!$YB$9:$YI$41,START!$C$3,3)</f>
        <v>0</v>
      </c>
      <c r="AK376" s="180">
        <v>0</v>
      </c>
      <c r="AL376" s="123">
        <f t="shared" ref="AL376:BN376" si="262">IF(AND(AL$373&gt;($D$94+2020),AL$373&lt;($E$94+2022)),AK376+($AI$376*$AJ$376*((100-$F$94)/100)*ROUND(($C$94/100*$B$94)/($E$94-$D$94+1),0)/1000000),AK376)</f>
        <v>0</v>
      </c>
      <c r="AM376" s="123">
        <f t="shared" si="262"/>
        <v>0</v>
      </c>
      <c r="AN376" s="123">
        <f t="shared" si="262"/>
        <v>0</v>
      </c>
      <c r="AO376" s="123">
        <f t="shared" si="262"/>
        <v>0</v>
      </c>
      <c r="AP376" s="123">
        <f t="shared" si="262"/>
        <v>0</v>
      </c>
      <c r="AQ376" s="123">
        <f t="shared" si="262"/>
        <v>0</v>
      </c>
      <c r="AR376" s="123">
        <f t="shared" si="262"/>
        <v>0</v>
      </c>
      <c r="AS376" s="123">
        <f t="shared" si="262"/>
        <v>0</v>
      </c>
      <c r="AT376" s="123">
        <f t="shared" si="262"/>
        <v>0</v>
      </c>
      <c r="AU376" s="123">
        <f t="shared" si="262"/>
        <v>0</v>
      </c>
      <c r="AV376" s="123">
        <f t="shared" si="262"/>
        <v>0</v>
      </c>
      <c r="AW376" s="123">
        <f t="shared" si="262"/>
        <v>0</v>
      </c>
      <c r="AX376" s="123">
        <f t="shared" si="262"/>
        <v>0</v>
      </c>
      <c r="AY376" s="123">
        <f t="shared" si="262"/>
        <v>0</v>
      </c>
      <c r="AZ376" s="123">
        <f t="shared" si="262"/>
        <v>0</v>
      </c>
      <c r="BA376" s="123">
        <f t="shared" si="262"/>
        <v>0</v>
      </c>
      <c r="BB376" s="123">
        <f t="shared" si="262"/>
        <v>0</v>
      </c>
      <c r="BC376" s="123">
        <f t="shared" si="262"/>
        <v>0</v>
      </c>
      <c r="BD376" s="123">
        <f t="shared" si="262"/>
        <v>0</v>
      </c>
      <c r="BE376" s="123">
        <f t="shared" si="262"/>
        <v>0</v>
      </c>
      <c r="BF376" s="123">
        <f t="shared" si="262"/>
        <v>0</v>
      </c>
      <c r="BG376" s="123">
        <f t="shared" si="262"/>
        <v>0</v>
      </c>
      <c r="BH376" s="123">
        <f t="shared" si="262"/>
        <v>0</v>
      </c>
      <c r="BI376" s="123">
        <f t="shared" si="262"/>
        <v>0</v>
      </c>
      <c r="BJ376" s="123">
        <f t="shared" si="262"/>
        <v>0</v>
      </c>
      <c r="BK376" s="123">
        <f t="shared" si="262"/>
        <v>0</v>
      </c>
      <c r="BL376" s="123">
        <f t="shared" si="262"/>
        <v>0</v>
      </c>
      <c r="BM376" s="123">
        <f t="shared" si="262"/>
        <v>0</v>
      </c>
      <c r="BN376" s="159">
        <f t="shared" si="262"/>
        <v>0</v>
      </c>
    </row>
    <row r="377" spans="32:66" ht="20.100000000000001" customHeight="1">
      <c r="AF377" s="1551"/>
      <c r="AG377" s="107" t="s">
        <v>864</v>
      </c>
      <c r="AH377" s="107"/>
      <c r="AI377" s="107">
        <f>INDEX('DEFAULT DATA'!$WD$9:$WJ$41,START!$C$3,3)</f>
        <v>354</v>
      </c>
      <c r="AJ377" s="63">
        <f>INDEX('DEFAULT DATA'!$YB$9:$YI$41,START!$C$3,4)</f>
        <v>0</v>
      </c>
      <c r="AK377" s="180">
        <v>0</v>
      </c>
      <c r="AL377" s="123">
        <f t="shared" ref="AL377:BN377" si="263">IF(AND(AL$373&gt;($D$94+2020),AL$373&lt;($E$94+2022)),AK377+($AI$377*$AJ$377*((100-$F$94)/100)*ROUND(($C$94/100*$B$94)/($E$94-$D$94+1),0)/1000000),AK377)</f>
        <v>0</v>
      </c>
      <c r="AM377" s="123">
        <f t="shared" si="263"/>
        <v>0</v>
      </c>
      <c r="AN377" s="123">
        <f t="shared" si="263"/>
        <v>0</v>
      </c>
      <c r="AO377" s="123">
        <f t="shared" si="263"/>
        <v>0</v>
      </c>
      <c r="AP377" s="123">
        <f t="shared" si="263"/>
        <v>0</v>
      </c>
      <c r="AQ377" s="123">
        <f t="shared" si="263"/>
        <v>0</v>
      </c>
      <c r="AR377" s="123">
        <f t="shared" si="263"/>
        <v>0</v>
      </c>
      <c r="AS377" s="123">
        <f t="shared" si="263"/>
        <v>0</v>
      </c>
      <c r="AT377" s="123">
        <f t="shared" si="263"/>
        <v>0</v>
      </c>
      <c r="AU377" s="123">
        <f t="shared" si="263"/>
        <v>0</v>
      </c>
      <c r="AV377" s="123">
        <f t="shared" si="263"/>
        <v>0</v>
      </c>
      <c r="AW377" s="123">
        <f t="shared" si="263"/>
        <v>0</v>
      </c>
      <c r="AX377" s="123">
        <f t="shared" si="263"/>
        <v>0</v>
      </c>
      <c r="AY377" s="123">
        <f t="shared" si="263"/>
        <v>0</v>
      </c>
      <c r="AZ377" s="123">
        <f t="shared" si="263"/>
        <v>0</v>
      </c>
      <c r="BA377" s="123">
        <f t="shared" si="263"/>
        <v>0</v>
      </c>
      <c r="BB377" s="123">
        <f t="shared" si="263"/>
        <v>0</v>
      </c>
      <c r="BC377" s="123">
        <f t="shared" si="263"/>
        <v>0</v>
      </c>
      <c r="BD377" s="123">
        <f t="shared" si="263"/>
        <v>0</v>
      </c>
      <c r="BE377" s="123">
        <f t="shared" si="263"/>
        <v>0</v>
      </c>
      <c r="BF377" s="123">
        <f t="shared" si="263"/>
        <v>0</v>
      </c>
      <c r="BG377" s="123">
        <f t="shared" si="263"/>
        <v>0</v>
      </c>
      <c r="BH377" s="123">
        <f t="shared" si="263"/>
        <v>0</v>
      </c>
      <c r="BI377" s="123">
        <f t="shared" si="263"/>
        <v>0</v>
      </c>
      <c r="BJ377" s="123">
        <f t="shared" si="263"/>
        <v>0</v>
      </c>
      <c r="BK377" s="123">
        <f t="shared" si="263"/>
        <v>0</v>
      </c>
      <c r="BL377" s="123">
        <f t="shared" si="263"/>
        <v>0</v>
      </c>
      <c r="BM377" s="123">
        <f t="shared" si="263"/>
        <v>0</v>
      </c>
      <c r="BN377" s="159">
        <f t="shared" si="263"/>
        <v>0</v>
      </c>
    </row>
    <row r="378" spans="32:66" ht="20.100000000000001" customHeight="1">
      <c r="AF378" s="1551"/>
      <c r="AG378" s="107" t="s">
        <v>865</v>
      </c>
      <c r="AH378" s="107"/>
      <c r="AI378" s="107">
        <f>INDEX('DEFAULT DATA'!$WD$9:$WJ$41,START!$C$3,4)</f>
        <v>382</v>
      </c>
      <c r="AJ378" s="63">
        <f>INDEX('DEFAULT DATA'!$YB$9:$YI$41,START!$C$3,5)</f>
        <v>0</v>
      </c>
      <c r="AK378" s="180">
        <v>0</v>
      </c>
      <c r="AL378" s="123">
        <f t="shared" ref="AL378:BN378" si="264">IF(AND(AL$373&gt;($D$94+2020),AL$373&lt;($E$94+2022)),AK378+($AI$378*$AJ$378*((100-$F$94)/100)*ROUND(($C$94/100*$B$94)/($E$94-$D$94+1),0)/1000000),AK378)</f>
        <v>0</v>
      </c>
      <c r="AM378" s="123">
        <f t="shared" si="264"/>
        <v>0</v>
      </c>
      <c r="AN378" s="123">
        <f t="shared" si="264"/>
        <v>0</v>
      </c>
      <c r="AO378" s="123">
        <f t="shared" si="264"/>
        <v>0</v>
      </c>
      <c r="AP378" s="123">
        <f t="shared" si="264"/>
        <v>0</v>
      </c>
      <c r="AQ378" s="123">
        <f t="shared" si="264"/>
        <v>0</v>
      </c>
      <c r="AR378" s="123">
        <f t="shared" si="264"/>
        <v>0</v>
      </c>
      <c r="AS378" s="123">
        <f t="shared" si="264"/>
        <v>0</v>
      </c>
      <c r="AT378" s="123">
        <f t="shared" si="264"/>
        <v>0</v>
      </c>
      <c r="AU378" s="123">
        <f t="shared" si="264"/>
        <v>0</v>
      </c>
      <c r="AV378" s="123">
        <f t="shared" si="264"/>
        <v>0</v>
      </c>
      <c r="AW378" s="123">
        <f t="shared" si="264"/>
        <v>0</v>
      </c>
      <c r="AX378" s="123">
        <f t="shared" si="264"/>
        <v>0</v>
      </c>
      <c r="AY378" s="123">
        <f t="shared" si="264"/>
        <v>0</v>
      </c>
      <c r="AZ378" s="123">
        <f t="shared" si="264"/>
        <v>0</v>
      </c>
      <c r="BA378" s="123">
        <f t="shared" si="264"/>
        <v>0</v>
      </c>
      <c r="BB378" s="123">
        <f t="shared" si="264"/>
        <v>0</v>
      </c>
      <c r="BC378" s="123">
        <f t="shared" si="264"/>
        <v>0</v>
      </c>
      <c r="BD378" s="123">
        <f t="shared" si="264"/>
        <v>0</v>
      </c>
      <c r="BE378" s="123">
        <f t="shared" si="264"/>
        <v>0</v>
      </c>
      <c r="BF378" s="123">
        <f t="shared" si="264"/>
        <v>0</v>
      </c>
      <c r="BG378" s="123">
        <f t="shared" si="264"/>
        <v>0</v>
      </c>
      <c r="BH378" s="123">
        <f t="shared" si="264"/>
        <v>0</v>
      </c>
      <c r="BI378" s="123">
        <f t="shared" si="264"/>
        <v>0</v>
      </c>
      <c r="BJ378" s="123">
        <f t="shared" si="264"/>
        <v>0</v>
      </c>
      <c r="BK378" s="123">
        <f t="shared" si="264"/>
        <v>0</v>
      </c>
      <c r="BL378" s="123">
        <f t="shared" si="264"/>
        <v>0</v>
      </c>
      <c r="BM378" s="123">
        <f t="shared" si="264"/>
        <v>0</v>
      </c>
      <c r="BN378" s="159">
        <f t="shared" si="264"/>
        <v>0</v>
      </c>
    </row>
    <row r="379" spans="32:66" ht="20.100000000000001" customHeight="1">
      <c r="AF379" s="1551"/>
      <c r="AG379" s="107" t="s">
        <v>866</v>
      </c>
      <c r="AH379" s="107"/>
      <c r="AI379" s="107">
        <f>INDEX('DEFAULT DATA'!$WD$9:$WJ$41,START!$C$3,5)</f>
        <v>403</v>
      </c>
      <c r="AJ379" s="63">
        <f>INDEX('DEFAULT DATA'!$YB$9:$YI$41,START!$C$3,6)</f>
        <v>0</v>
      </c>
      <c r="AK379" s="180">
        <v>0</v>
      </c>
      <c r="AL379" s="123">
        <f t="shared" ref="AL379:BN379" si="265">IF(AND(AL$373&gt;($D$94+2020),AL$373&lt;($E$94+2022)),AK379+($AI$379*$AJ$379*((100-$F$94)/100)*ROUND(($C$94/100*$B$94)/($E$94-$D$94+1),0)/1000000),AK379)</f>
        <v>0</v>
      </c>
      <c r="AM379" s="123">
        <f t="shared" si="265"/>
        <v>0</v>
      </c>
      <c r="AN379" s="123">
        <f t="shared" si="265"/>
        <v>0</v>
      </c>
      <c r="AO379" s="123">
        <f t="shared" si="265"/>
        <v>0</v>
      </c>
      <c r="AP379" s="123">
        <f t="shared" si="265"/>
        <v>0</v>
      </c>
      <c r="AQ379" s="123">
        <f t="shared" si="265"/>
        <v>0</v>
      </c>
      <c r="AR379" s="123">
        <f t="shared" si="265"/>
        <v>0</v>
      </c>
      <c r="AS379" s="123">
        <f t="shared" si="265"/>
        <v>0</v>
      </c>
      <c r="AT379" s="123">
        <f t="shared" si="265"/>
        <v>0</v>
      </c>
      <c r="AU379" s="123">
        <f t="shared" si="265"/>
        <v>0</v>
      </c>
      <c r="AV379" s="123">
        <f t="shared" si="265"/>
        <v>0</v>
      </c>
      <c r="AW379" s="123">
        <f t="shared" si="265"/>
        <v>0</v>
      </c>
      <c r="AX379" s="123">
        <f t="shared" si="265"/>
        <v>0</v>
      </c>
      <c r="AY379" s="123">
        <f t="shared" si="265"/>
        <v>0</v>
      </c>
      <c r="AZ379" s="123">
        <f t="shared" si="265"/>
        <v>0</v>
      </c>
      <c r="BA379" s="123">
        <f t="shared" si="265"/>
        <v>0</v>
      </c>
      <c r="BB379" s="123">
        <f t="shared" si="265"/>
        <v>0</v>
      </c>
      <c r="BC379" s="123">
        <f t="shared" si="265"/>
        <v>0</v>
      </c>
      <c r="BD379" s="123">
        <f t="shared" si="265"/>
        <v>0</v>
      </c>
      <c r="BE379" s="123">
        <f t="shared" si="265"/>
        <v>0</v>
      </c>
      <c r="BF379" s="123">
        <f t="shared" si="265"/>
        <v>0</v>
      </c>
      <c r="BG379" s="123">
        <f t="shared" si="265"/>
        <v>0</v>
      </c>
      <c r="BH379" s="123">
        <f t="shared" si="265"/>
        <v>0</v>
      </c>
      <c r="BI379" s="123">
        <f t="shared" si="265"/>
        <v>0</v>
      </c>
      <c r="BJ379" s="123">
        <f t="shared" si="265"/>
        <v>0</v>
      </c>
      <c r="BK379" s="123">
        <f t="shared" si="265"/>
        <v>0</v>
      </c>
      <c r="BL379" s="123">
        <f t="shared" si="265"/>
        <v>0</v>
      </c>
      <c r="BM379" s="123">
        <f t="shared" si="265"/>
        <v>0</v>
      </c>
      <c r="BN379" s="159">
        <f t="shared" si="265"/>
        <v>0</v>
      </c>
    </row>
    <row r="380" spans="32:66" ht="20.100000000000001" customHeight="1">
      <c r="AF380" s="1551"/>
      <c r="AG380" s="107" t="s">
        <v>867</v>
      </c>
      <c r="AH380" s="107"/>
      <c r="AI380" s="107">
        <f>INDEX('DEFAULT DATA'!$WD$9:$WJ$41,START!$C$3,6)</f>
        <v>0</v>
      </c>
      <c r="AJ380" s="63">
        <f>INDEX('DEFAULT DATA'!$YB$9:$YI$41,START!$C$3,7)</f>
        <v>1545.372400408047</v>
      </c>
      <c r="AK380" s="180">
        <v>0</v>
      </c>
      <c r="AL380" s="123">
        <f t="shared" ref="AL380:BN380" si="266">IF(AND(AL$373&gt;($D$94+2020),AL$373&lt;($E$94+2022)),AK380+($AI$380*$AJ$380*((100-$F$94)/100)*ROUND(($C$94/100*$B$94)/($E$94-$D$94+1),0)/1000000),AK380)</f>
        <v>0</v>
      </c>
      <c r="AM380" s="123">
        <f t="shared" si="266"/>
        <v>0</v>
      </c>
      <c r="AN380" s="123">
        <f t="shared" si="266"/>
        <v>0</v>
      </c>
      <c r="AO380" s="123">
        <f t="shared" si="266"/>
        <v>0</v>
      </c>
      <c r="AP380" s="123">
        <f t="shared" si="266"/>
        <v>0</v>
      </c>
      <c r="AQ380" s="123">
        <f t="shared" si="266"/>
        <v>0</v>
      </c>
      <c r="AR380" s="123">
        <f t="shared" si="266"/>
        <v>0</v>
      </c>
      <c r="AS380" s="123">
        <f t="shared" si="266"/>
        <v>0</v>
      </c>
      <c r="AT380" s="123">
        <f t="shared" si="266"/>
        <v>0</v>
      </c>
      <c r="AU380" s="123">
        <f t="shared" si="266"/>
        <v>0</v>
      </c>
      <c r="AV380" s="123">
        <f t="shared" si="266"/>
        <v>0</v>
      </c>
      <c r="AW380" s="123">
        <f t="shared" si="266"/>
        <v>0</v>
      </c>
      <c r="AX380" s="123">
        <f t="shared" si="266"/>
        <v>0</v>
      </c>
      <c r="AY380" s="123">
        <f t="shared" si="266"/>
        <v>0</v>
      </c>
      <c r="AZ380" s="123">
        <f t="shared" si="266"/>
        <v>0</v>
      </c>
      <c r="BA380" s="123">
        <f t="shared" si="266"/>
        <v>0</v>
      </c>
      <c r="BB380" s="123">
        <f t="shared" si="266"/>
        <v>0</v>
      </c>
      <c r="BC380" s="123">
        <f t="shared" si="266"/>
        <v>0</v>
      </c>
      <c r="BD380" s="123">
        <f t="shared" si="266"/>
        <v>0</v>
      </c>
      <c r="BE380" s="123">
        <f t="shared" si="266"/>
        <v>0</v>
      </c>
      <c r="BF380" s="123">
        <f t="shared" si="266"/>
        <v>0</v>
      </c>
      <c r="BG380" s="123">
        <f t="shared" si="266"/>
        <v>0</v>
      </c>
      <c r="BH380" s="123">
        <f t="shared" si="266"/>
        <v>0</v>
      </c>
      <c r="BI380" s="123">
        <f t="shared" si="266"/>
        <v>0</v>
      </c>
      <c r="BJ380" s="123">
        <f t="shared" si="266"/>
        <v>0</v>
      </c>
      <c r="BK380" s="123">
        <f t="shared" si="266"/>
        <v>0</v>
      </c>
      <c r="BL380" s="123">
        <f t="shared" si="266"/>
        <v>0</v>
      </c>
      <c r="BM380" s="123">
        <f t="shared" si="266"/>
        <v>0</v>
      </c>
      <c r="BN380" s="159">
        <f t="shared" si="266"/>
        <v>0</v>
      </c>
    </row>
    <row r="381" spans="32:66" ht="20.100000000000001" customHeight="1" thickBot="1">
      <c r="AF381" s="1552"/>
      <c r="AG381" s="146" t="s">
        <v>868</v>
      </c>
      <c r="AH381" s="146"/>
      <c r="AI381" s="146" t="s">
        <v>1123</v>
      </c>
      <c r="AJ381" s="113">
        <f>INDEX('DEFAULT DATA'!$YB$9:$YI$41,START!$C$3,8)</f>
        <v>386.34310010201176</v>
      </c>
      <c r="AK381" s="179">
        <v>0</v>
      </c>
      <c r="AL381" s="160">
        <f t="shared" ref="AL381:BN381" si="267">IF(AND(AL$373&gt;($D$94+2020),AL$373&lt;($E$94+2022)),AK381+(AL$6*$AJ$381*((100-$F$94)/100)*ROUND(($C$94/100*$B$94)/($E$94-$D$94+1),0)/1000000),AK381)</f>
        <v>0</v>
      </c>
      <c r="AM381" s="160">
        <f t="shared" si="267"/>
        <v>0</v>
      </c>
      <c r="AN381" s="160">
        <f t="shared" si="267"/>
        <v>0</v>
      </c>
      <c r="AO381" s="160">
        <f t="shared" si="267"/>
        <v>0</v>
      </c>
      <c r="AP381" s="160">
        <f t="shared" si="267"/>
        <v>0</v>
      </c>
      <c r="AQ381" s="160">
        <f t="shared" si="267"/>
        <v>0</v>
      </c>
      <c r="AR381" s="160">
        <f t="shared" si="267"/>
        <v>0</v>
      </c>
      <c r="AS381" s="160">
        <f t="shared" si="267"/>
        <v>0</v>
      </c>
      <c r="AT381" s="160">
        <f t="shared" si="267"/>
        <v>0</v>
      </c>
      <c r="AU381" s="160">
        <f t="shared" si="267"/>
        <v>0</v>
      </c>
      <c r="AV381" s="160">
        <f t="shared" si="267"/>
        <v>0</v>
      </c>
      <c r="AW381" s="160">
        <f t="shared" si="267"/>
        <v>0</v>
      </c>
      <c r="AX381" s="160">
        <f t="shared" si="267"/>
        <v>0</v>
      </c>
      <c r="AY381" s="160">
        <f t="shared" si="267"/>
        <v>0</v>
      </c>
      <c r="AZ381" s="160">
        <f t="shared" si="267"/>
        <v>0</v>
      </c>
      <c r="BA381" s="160">
        <f t="shared" si="267"/>
        <v>0</v>
      </c>
      <c r="BB381" s="160">
        <f t="shared" si="267"/>
        <v>0</v>
      </c>
      <c r="BC381" s="160">
        <f t="shared" si="267"/>
        <v>0</v>
      </c>
      <c r="BD381" s="160">
        <f t="shared" si="267"/>
        <v>0</v>
      </c>
      <c r="BE381" s="160">
        <f t="shared" si="267"/>
        <v>0</v>
      </c>
      <c r="BF381" s="160">
        <f t="shared" si="267"/>
        <v>0</v>
      </c>
      <c r="BG381" s="160">
        <f t="shared" si="267"/>
        <v>0</v>
      </c>
      <c r="BH381" s="160">
        <f t="shared" si="267"/>
        <v>0</v>
      </c>
      <c r="BI381" s="160">
        <f t="shared" si="267"/>
        <v>0</v>
      </c>
      <c r="BJ381" s="160">
        <f t="shared" si="267"/>
        <v>0</v>
      </c>
      <c r="BK381" s="160">
        <f t="shared" si="267"/>
        <v>0</v>
      </c>
      <c r="BL381" s="160">
        <f t="shared" si="267"/>
        <v>0</v>
      </c>
      <c r="BM381" s="160">
        <f t="shared" si="267"/>
        <v>0</v>
      </c>
      <c r="BN381" s="161">
        <f t="shared" si="267"/>
        <v>0</v>
      </c>
    </row>
    <row r="382" spans="32:66" ht="20.100000000000001" customHeight="1">
      <c r="AF382" s="167"/>
      <c r="AG382" s="144" t="s">
        <v>1080</v>
      </c>
      <c r="AH382" s="144"/>
      <c r="AI382" s="145"/>
      <c r="AJ382" s="145"/>
      <c r="AK382" s="177">
        <v>0</v>
      </c>
      <c r="AL382" s="162">
        <f>SUM(AL374:AL381)</f>
        <v>0</v>
      </c>
      <c r="AM382" s="162">
        <f t="shared" ref="AM382" si="268">SUM(AM374:AM381)</f>
        <v>0</v>
      </c>
      <c r="AN382" s="162">
        <f t="shared" ref="AN382" si="269">SUM(AN374:AN381)</f>
        <v>0</v>
      </c>
      <c r="AO382" s="162">
        <f t="shared" ref="AO382" si="270">SUM(AO374:AO381)</f>
        <v>0</v>
      </c>
      <c r="AP382" s="162">
        <f t="shared" ref="AP382" si="271">SUM(AP374:AP381)</f>
        <v>0</v>
      </c>
      <c r="AQ382" s="162">
        <f t="shared" ref="AQ382" si="272">SUM(AQ374:AQ381)</f>
        <v>0</v>
      </c>
      <c r="AR382" s="162">
        <f t="shared" ref="AR382" si="273">SUM(AR374:AR381)</f>
        <v>0</v>
      </c>
      <c r="AS382" s="162">
        <f t="shared" ref="AS382" si="274">SUM(AS374:AS381)</f>
        <v>0</v>
      </c>
      <c r="AT382" s="162">
        <f t="shared" ref="AT382" si="275">SUM(AT374:AT381)</f>
        <v>0</v>
      </c>
      <c r="AU382" s="162">
        <f t="shared" ref="AU382" si="276">SUM(AU374:AU381)</f>
        <v>0</v>
      </c>
      <c r="AV382" s="162">
        <f t="shared" ref="AV382" si="277">SUM(AV374:AV381)</f>
        <v>0</v>
      </c>
      <c r="AW382" s="162">
        <f t="shared" ref="AW382" si="278">SUM(AW374:AW381)</f>
        <v>0</v>
      </c>
      <c r="AX382" s="162">
        <f t="shared" ref="AX382" si="279">SUM(AX374:AX381)</f>
        <v>0</v>
      </c>
      <c r="AY382" s="162">
        <f t="shared" ref="AY382" si="280">SUM(AY374:AY381)</f>
        <v>0</v>
      </c>
      <c r="AZ382" s="162">
        <f t="shared" ref="AZ382" si="281">SUM(AZ374:AZ381)</f>
        <v>0</v>
      </c>
      <c r="BA382" s="162">
        <f t="shared" ref="BA382" si="282">SUM(BA374:BA381)</f>
        <v>0</v>
      </c>
      <c r="BB382" s="162">
        <f t="shared" ref="BB382" si="283">SUM(BB374:BB381)</f>
        <v>0</v>
      </c>
      <c r="BC382" s="162">
        <f t="shared" ref="BC382" si="284">SUM(BC374:BC381)</f>
        <v>0</v>
      </c>
      <c r="BD382" s="162">
        <f t="shared" ref="BD382" si="285">SUM(BD374:BD381)</f>
        <v>0</v>
      </c>
      <c r="BE382" s="162">
        <f t="shared" ref="BE382" si="286">SUM(BE374:BE381)</f>
        <v>0</v>
      </c>
      <c r="BF382" s="162">
        <f t="shared" ref="BF382" si="287">SUM(BF374:BF381)</f>
        <v>0</v>
      </c>
      <c r="BG382" s="162">
        <f t="shared" ref="BG382" si="288">SUM(BG374:BG381)</f>
        <v>0</v>
      </c>
      <c r="BH382" s="162">
        <f t="shared" ref="BH382" si="289">SUM(BH374:BH381)</f>
        <v>0</v>
      </c>
      <c r="BI382" s="162">
        <f t="shared" ref="BI382" si="290">SUM(BI374:BI381)</f>
        <v>0</v>
      </c>
      <c r="BJ382" s="162">
        <f t="shared" ref="BJ382" si="291">SUM(BJ374:BJ381)</f>
        <v>0</v>
      </c>
      <c r="BK382" s="162">
        <f t="shared" ref="BK382" si="292">SUM(BK374:BK381)</f>
        <v>0</v>
      </c>
      <c r="BL382" s="162">
        <f t="shared" ref="BL382" si="293">SUM(BL374:BL381)</f>
        <v>0</v>
      </c>
      <c r="BM382" s="162">
        <f t="shared" ref="BM382" si="294">SUM(BM374:BM381)</f>
        <v>0</v>
      </c>
      <c r="BN382" s="162">
        <f t="shared" ref="BN382" si="295">SUM(BN374:BN381)</f>
        <v>0</v>
      </c>
    </row>
    <row r="383" spans="32:66" ht="20.100000000000001" customHeight="1" thickBot="1"/>
    <row r="384" spans="32:66" ht="20.100000000000001" customHeight="1">
      <c r="AF384" s="1559" t="s">
        <v>861</v>
      </c>
      <c r="AG384" s="137" t="s">
        <v>578</v>
      </c>
      <c r="AH384" s="137"/>
      <c r="AI384" s="137" t="s">
        <v>1122</v>
      </c>
      <c r="AJ384" s="148">
        <f>INDEX('DEFAULT DATA'!$YJ$9:$YQ$41,START!$C$3,1)</f>
        <v>580.23231535444563</v>
      </c>
      <c r="AK384" s="178">
        <v>0</v>
      </c>
      <c r="AL384" s="163">
        <f t="shared" ref="AL384:BN384" si="296">IF(AND(AL$373&gt;($D$95+2020),AL$373&lt;($E$95+2022)),AK384+(AL$5*$AJ$384*((100-$F$95)/100)*ROUND(($C$95/100*$B$95)/($E$95-$D$95+1),0)/1000000),AK384)</f>
        <v>0</v>
      </c>
      <c r="AM384" s="163">
        <f t="shared" si="296"/>
        <v>0</v>
      </c>
      <c r="AN384" s="163">
        <f t="shared" si="296"/>
        <v>0</v>
      </c>
      <c r="AO384" s="163">
        <f t="shared" si="296"/>
        <v>0</v>
      </c>
      <c r="AP384" s="163">
        <f t="shared" si="296"/>
        <v>0</v>
      </c>
      <c r="AQ384" s="163">
        <f t="shared" si="296"/>
        <v>0</v>
      </c>
      <c r="AR384" s="163">
        <f t="shared" si="296"/>
        <v>0</v>
      </c>
      <c r="AS384" s="163">
        <f t="shared" si="296"/>
        <v>0</v>
      </c>
      <c r="AT384" s="163">
        <f t="shared" si="296"/>
        <v>0</v>
      </c>
      <c r="AU384" s="163">
        <f t="shared" si="296"/>
        <v>0</v>
      </c>
      <c r="AV384" s="163">
        <f t="shared" si="296"/>
        <v>0</v>
      </c>
      <c r="AW384" s="163">
        <f t="shared" si="296"/>
        <v>0</v>
      </c>
      <c r="AX384" s="163">
        <f t="shared" si="296"/>
        <v>0</v>
      </c>
      <c r="AY384" s="163">
        <f t="shared" si="296"/>
        <v>0</v>
      </c>
      <c r="AZ384" s="163">
        <f t="shared" si="296"/>
        <v>0</v>
      </c>
      <c r="BA384" s="163">
        <f t="shared" si="296"/>
        <v>0</v>
      </c>
      <c r="BB384" s="163">
        <f t="shared" si="296"/>
        <v>0</v>
      </c>
      <c r="BC384" s="163">
        <f t="shared" si="296"/>
        <v>0</v>
      </c>
      <c r="BD384" s="163">
        <f t="shared" si="296"/>
        <v>0</v>
      </c>
      <c r="BE384" s="163">
        <f t="shared" si="296"/>
        <v>0</v>
      </c>
      <c r="BF384" s="163">
        <f t="shared" si="296"/>
        <v>0</v>
      </c>
      <c r="BG384" s="163">
        <f t="shared" si="296"/>
        <v>0</v>
      </c>
      <c r="BH384" s="163">
        <f t="shared" si="296"/>
        <v>0</v>
      </c>
      <c r="BI384" s="163">
        <f t="shared" si="296"/>
        <v>0</v>
      </c>
      <c r="BJ384" s="163">
        <f t="shared" si="296"/>
        <v>0</v>
      </c>
      <c r="BK384" s="163">
        <f t="shared" si="296"/>
        <v>0</v>
      </c>
      <c r="BL384" s="163">
        <f t="shared" si="296"/>
        <v>0</v>
      </c>
      <c r="BM384" s="163">
        <f t="shared" si="296"/>
        <v>0</v>
      </c>
      <c r="BN384" s="164">
        <f t="shared" si="296"/>
        <v>0</v>
      </c>
    </row>
    <row r="385" spans="32:66" ht="20.100000000000001" customHeight="1">
      <c r="AF385" s="1560"/>
      <c r="AG385" s="107" t="s">
        <v>862</v>
      </c>
      <c r="AH385" s="107"/>
      <c r="AI385" s="107">
        <f>INDEX('DEFAULT DATA'!$WD$9:$WJ$41,START!$C$3,1)</f>
        <v>202</v>
      </c>
      <c r="AJ385" s="63">
        <f>INDEX('DEFAULT DATA'!$YJ$9:$YQ$41,START!$C$3,2)</f>
        <v>0</v>
      </c>
      <c r="AK385" s="180">
        <v>0</v>
      </c>
      <c r="AL385" s="123">
        <f t="shared" ref="AL385:BN385" si="297">IF(AND(AL$373&gt;($D$95+2020),AL$373&lt;($E$95+2022)),AK385+($AI$385*$AJ$385*((100-$F$95)/100)*ROUND(($C$95/100*$B$95)/($E$95-$D$95+1),0)/1000000),AK385)</f>
        <v>0</v>
      </c>
      <c r="AM385" s="123">
        <f t="shared" si="297"/>
        <v>0</v>
      </c>
      <c r="AN385" s="123">
        <f t="shared" si="297"/>
        <v>0</v>
      </c>
      <c r="AO385" s="123">
        <f t="shared" si="297"/>
        <v>0</v>
      </c>
      <c r="AP385" s="123">
        <f t="shared" si="297"/>
        <v>0</v>
      </c>
      <c r="AQ385" s="123">
        <f t="shared" si="297"/>
        <v>0</v>
      </c>
      <c r="AR385" s="123">
        <f t="shared" si="297"/>
        <v>0</v>
      </c>
      <c r="AS385" s="123">
        <f t="shared" si="297"/>
        <v>0</v>
      </c>
      <c r="AT385" s="123">
        <f t="shared" si="297"/>
        <v>0</v>
      </c>
      <c r="AU385" s="123">
        <f t="shared" si="297"/>
        <v>0</v>
      </c>
      <c r="AV385" s="123">
        <f t="shared" si="297"/>
        <v>0</v>
      </c>
      <c r="AW385" s="123">
        <f t="shared" si="297"/>
        <v>0</v>
      </c>
      <c r="AX385" s="123">
        <f t="shared" si="297"/>
        <v>0</v>
      </c>
      <c r="AY385" s="123">
        <f t="shared" si="297"/>
        <v>0</v>
      </c>
      <c r="AZ385" s="123">
        <f t="shared" si="297"/>
        <v>0</v>
      </c>
      <c r="BA385" s="123">
        <f t="shared" si="297"/>
        <v>0</v>
      </c>
      <c r="BB385" s="123">
        <f t="shared" si="297"/>
        <v>0</v>
      </c>
      <c r="BC385" s="123">
        <f t="shared" si="297"/>
        <v>0</v>
      </c>
      <c r="BD385" s="123">
        <f t="shared" si="297"/>
        <v>0</v>
      </c>
      <c r="BE385" s="123">
        <f t="shared" si="297"/>
        <v>0</v>
      </c>
      <c r="BF385" s="123">
        <f t="shared" si="297"/>
        <v>0</v>
      </c>
      <c r="BG385" s="123">
        <f t="shared" si="297"/>
        <v>0</v>
      </c>
      <c r="BH385" s="123">
        <f t="shared" si="297"/>
        <v>0</v>
      </c>
      <c r="BI385" s="123">
        <f t="shared" si="297"/>
        <v>0</v>
      </c>
      <c r="BJ385" s="123">
        <f t="shared" si="297"/>
        <v>0</v>
      </c>
      <c r="BK385" s="123">
        <f t="shared" si="297"/>
        <v>0</v>
      </c>
      <c r="BL385" s="123">
        <f t="shared" si="297"/>
        <v>0</v>
      </c>
      <c r="BM385" s="123">
        <f t="shared" si="297"/>
        <v>0</v>
      </c>
      <c r="BN385" s="159">
        <f t="shared" si="297"/>
        <v>0</v>
      </c>
    </row>
    <row r="386" spans="32:66" ht="20.100000000000001" customHeight="1">
      <c r="AF386" s="1560"/>
      <c r="AG386" s="107" t="s">
        <v>863</v>
      </c>
      <c r="AH386" s="107"/>
      <c r="AI386" s="107">
        <f>INDEX('DEFAULT DATA'!$WD$9:$WJ$41,START!$C$3,2)</f>
        <v>267</v>
      </c>
      <c r="AJ386" s="63">
        <f>INDEX('DEFAULT DATA'!$YJ$9:$YQ$41,START!$C$3,3)</f>
        <v>0</v>
      </c>
      <c r="AK386" s="180">
        <v>0</v>
      </c>
      <c r="AL386" s="123">
        <f t="shared" ref="AL386:BN386" si="298">IF(AND(AL$373&gt;($D$95+2020),AL$373&lt;($E$95+2022)),AK386+($AI$386*$AJ$386*((100-$F$95)/100)*ROUND(($C$95/100*$B$95)/($E$95-$D$95+1),0)/1000000),AK386)</f>
        <v>0</v>
      </c>
      <c r="AM386" s="123">
        <f t="shared" si="298"/>
        <v>0</v>
      </c>
      <c r="AN386" s="123">
        <f t="shared" si="298"/>
        <v>0</v>
      </c>
      <c r="AO386" s="123">
        <f t="shared" si="298"/>
        <v>0</v>
      </c>
      <c r="AP386" s="123">
        <f t="shared" si="298"/>
        <v>0</v>
      </c>
      <c r="AQ386" s="123">
        <f t="shared" si="298"/>
        <v>0</v>
      </c>
      <c r="AR386" s="123">
        <f t="shared" si="298"/>
        <v>0</v>
      </c>
      <c r="AS386" s="123">
        <f t="shared" si="298"/>
        <v>0</v>
      </c>
      <c r="AT386" s="123">
        <f t="shared" si="298"/>
        <v>0</v>
      </c>
      <c r="AU386" s="123">
        <f t="shared" si="298"/>
        <v>0</v>
      </c>
      <c r="AV386" s="123">
        <f t="shared" si="298"/>
        <v>0</v>
      </c>
      <c r="AW386" s="123">
        <f t="shared" si="298"/>
        <v>0</v>
      </c>
      <c r="AX386" s="123">
        <f t="shared" si="298"/>
        <v>0</v>
      </c>
      <c r="AY386" s="123">
        <f t="shared" si="298"/>
        <v>0</v>
      </c>
      <c r="AZ386" s="123">
        <f t="shared" si="298"/>
        <v>0</v>
      </c>
      <c r="BA386" s="123">
        <f t="shared" si="298"/>
        <v>0</v>
      </c>
      <c r="BB386" s="123">
        <f t="shared" si="298"/>
        <v>0</v>
      </c>
      <c r="BC386" s="123">
        <f t="shared" si="298"/>
        <v>0</v>
      </c>
      <c r="BD386" s="123">
        <f t="shared" si="298"/>
        <v>0</v>
      </c>
      <c r="BE386" s="123">
        <f t="shared" si="298"/>
        <v>0</v>
      </c>
      <c r="BF386" s="123">
        <f t="shared" si="298"/>
        <v>0</v>
      </c>
      <c r="BG386" s="123">
        <f t="shared" si="298"/>
        <v>0</v>
      </c>
      <c r="BH386" s="123">
        <f t="shared" si="298"/>
        <v>0</v>
      </c>
      <c r="BI386" s="123">
        <f t="shared" si="298"/>
        <v>0</v>
      </c>
      <c r="BJ386" s="123">
        <f t="shared" si="298"/>
        <v>0</v>
      </c>
      <c r="BK386" s="123">
        <f t="shared" si="298"/>
        <v>0</v>
      </c>
      <c r="BL386" s="123">
        <f t="shared" si="298"/>
        <v>0</v>
      </c>
      <c r="BM386" s="123">
        <f t="shared" si="298"/>
        <v>0</v>
      </c>
      <c r="BN386" s="159">
        <f t="shared" si="298"/>
        <v>0</v>
      </c>
    </row>
    <row r="387" spans="32:66" ht="20.100000000000001" customHeight="1">
      <c r="AF387" s="1560"/>
      <c r="AG387" s="107" t="s">
        <v>864</v>
      </c>
      <c r="AH387" s="107"/>
      <c r="AI387" s="107">
        <f>INDEX('DEFAULT DATA'!$WD$9:$WJ$41,START!$C$3,3)</f>
        <v>354</v>
      </c>
      <c r="AJ387" s="63">
        <f>INDEX('DEFAULT DATA'!$YJ$9:$YQ$41,START!$C$3,4)</f>
        <v>0</v>
      </c>
      <c r="AK387" s="180">
        <v>0</v>
      </c>
      <c r="AL387" s="123">
        <f t="shared" ref="AL387:BN387" si="299">IF(AND(AL$373&gt;($D$95+2020),AL$373&lt;($E$95+2022)),AK387+($AI$387*$AJ$387*((100-$F$95)/100)*ROUND(($C$95/100*$B$95)/($E$95-$D$95+1),0)/1000000),AK387)</f>
        <v>0</v>
      </c>
      <c r="AM387" s="123">
        <f t="shared" si="299"/>
        <v>0</v>
      </c>
      <c r="AN387" s="123">
        <f t="shared" si="299"/>
        <v>0</v>
      </c>
      <c r="AO387" s="123">
        <f t="shared" si="299"/>
        <v>0</v>
      </c>
      <c r="AP387" s="123">
        <f t="shared" si="299"/>
        <v>0</v>
      </c>
      <c r="AQ387" s="123">
        <f t="shared" si="299"/>
        <v>0</v>
      </c>
      <c r="AR387" s="123">
        <f t="shared" si="299"/>
        <v>0</v>
      </c>
      <c r="AS387" s="123">
        <f t="shared" si="299"/>
        <v>0</v>
      </c>
      <c r="AT387" s="123">
        <f t="shared" si="299"/>
        <v>0</v>
      </c>
      <c r="AU387" s="123">
        <f t="shared" si="299"/>
        <v>0</v>
      </c>
      <c r="AV387" s="123">
        <f t="shared" si="299"/>
        <v>0</v>
      </c>
      <c r="AW387" s="123">
        <f t="shared" si="299"/>
        <v>0</v>
      </c>
      <c r="AX387" s="123">
        <f t="shared" si="299"/>
        <v>0</v>
      </c>
      <c r="AY387" s="123">
        <f t="shared" si="299"/>
        <v>0</v>
      </c>
      <c r="AZ387" s="123">
        <f t="shared" si="299"/>
        <v>0</v>
      </c>
      <c r="BA387" s="123">
        <f t="shared" si="299"/>
        <v>0</v>
      </c>
      <c r="BB387" s="123">
        <f t="shared" si="299"/>
        <v>0</v>
      </c>
      <c r="BC387" s="123">
        <f t="shared" si="299"/>
        <v>0</v>
      </c>
      <c r="BD387" s="123">
        <f t="shared" si="299"/>
        <v>0</v>
      </c>
      <c r="BE387" s="123">
        <f t="shared" si="299"/>
        <v>0</v>
      </c>
      <c r="BF387" s="123">
        <f t="shared" si="299"/>
        <v>0</v>
      </c>
      <c r="BG387" s="123">
        <f t="shared" si="299"/>
        <v>0</v>
      </c>
      <c r="BH387" s="123">
        <f t="shared" si="299"/>
        <v>0</v>
      </c>
      <c r="BI387" s="123">
        <f t="shared" si="299"/>
        <v>0</v>
      </c>
      <c r="BJ387" s="123">
        <f t="shared" si="299"/>
        <v>0</v>
      </c>
      <c r="BK387" s="123">
        <f t="shared" si="299"/>
        <v>0</v>
      </c>
      <c r="BL387" s="123">
        <f t="shared" si="299"/>
        <v>0</v>
      </c>
      <c r="BM387" s="123">
        <f t="shared" si="299"/>
        <v>0</v>
      </c>
      <c r="BN387" s="159">
        <f t="shared" si="299"/>
        <v>0</v>
      </c>
    </row>
    <row r="388" spans="32:66" ht="20.100000000000001" customHeight="1">
      <c r="AF388" s="1560"/>
      <c r="AG388" s="107" t="s">
        <v>865</v>
      </c>
      <c r="AH388" s="107"/>
      <c r="AI388" s="107">
        <f>INDEX('DEFAULT DATA'!$WD$9:$WJ$41,START!$C$3,4)</f>
        <v>382</v>
      </c>
      <c r="AJ388" s="63">
        <f>INDEX('DEFAULT DATA'!$YJ$9:$YQ$41,START!$C$3,5)</f>
        <v>0</v>
      </c>
      <c r="AK388" s="180">
        <v>0</v>
      </c>
      <c r="AL388" s="123">
        <f t="shared" ref="AL388:BN388" si="300">IF(AND(AL$373&gt;($D$95+2020),AL$373&lt;($E$95+2022)),AK388+($AI$388*$AJ$388*((100-$F$95)/100)*ROUND(($C$95/100*$B$95)/($E$95-$D$95+1),0)/1000000),AK388)</f>
        <v>0</v>
      </c>
      <c r="AM388" s="123">
        <f t="shared" si="300"/>
        <v>0</v>
      </c>
      <c r="AN388" s="123">
        <f t="shared" si="300"/>
        <v>0</v>
      </c>
      <c r="AO388" s="123">
        <f t="shared" si="300"/>
        <v>0</v>
      </c>
      <c r="AP388" s="123">
        <f t="shared" si="300"/>
        <v>0</v>
      </c>
      <c r="AQ388" s="123">
        <f t="shared" si="300"/>
        <v>0</v>
      </c>
      <c r="AR388" s="123">
        <f t="shared" si="300"/>
        <v>0</v>
      </c>
      <c r="AS388" s="123">
        <f t="shared" si="300"/>
        <v>0</v>
      </c>
      <c r="AT388" s="123">
        <f t="shared" si="300"/>
        <v>0</v>
      </c>
      <c r="AU388" s="123">
        <f t="shared" si="300"/>
        <v>0</v>
      </c>
      <c r="AV388" s="123">
        <f t="shared" si="300"/>
        <v>0</v>
      </c>
      <c r="AW388" s="123">
        <f t="shared" si="300"/>
        <v>0</v>
      </c>
      <c r="AX388" s="123">
        <f t="shared" si="300"/>
        <v>0</v>
      </c>
      <c r="AY388" s="123">
        <f t="shared" si="300"/>
        <v>0</v>
      </c>
      <c r="AZ388" s="123">
        <f t="shared" si="300"/>
        <v>0</v>
      </c>
      <c r="BA388" s="123">
        <f t="shared" si="300"/>
        <v>0</v>
      </c>
      <c r="BB388" s="123">
        <f t="shared" si="300"/>
        <v>0</v>
      </c>
      <c r="BC388" s="123">
        <f t="shared" si="300"/>
        <v>0</v>
      </c>
      <c r="BD388" s="123">
        <f t="shared" si="300"/>
        <v>0</v>
      </c>
      <c r="BE388" s="123">
        <f t="shared" si="300"/>
        <v>0</v>
      </c>
      <c r="BF388" s="123">
        <f t="shared" si="300"/>
        <v>0</v>
      </c>
      <c r="BG388" s="123">
        <f t="shared" si="300"/>
        <v>0</v>
      </c>
      <c r="BH388" s="123">
        <f t="shared" si="300"/>
        <v>0</v>
      </c>
      <c r="BI388" s="123">
        <f t="shared" si="300"/>
        <v>0</v>
      </c>
      <c r="BJ388" s="123">
        <f t="shared" si="300"/>
        <v>0</v>
      </c>
      <c r="BK388" s="123">
        <f t="shared" si="300"/>
        <v>0</v>
      </c>
      <c r="BL388" s="123">
        <f t="shared" si="300"/>
        <v>0</v>
      </c>
      <c r="BM388" s="123">
        <f t="shared" si="300"/>
        <v>0</v>
      </c>
      <c r="BN388" s="159">
        <f t="shared" si="300"/>
        <v>0</v>
      </c>
    </row>
    <row r="389" spans="32:66" ht="20.100000000000001" customHeight="1">
      <c r="AF389" s="1560"/>
      <c r="AG389" s="107" t="s">
        <v>866</v>
      </c>
      <c r="AH389" s="107"/>
      <c r="AI389" s="107">
        <f>INDEX('DEFAULT DATA'!$WD$9:$WJ$41,START!$C$3,5)</f>
        <v>403</v>
      </c>
      <c r="AJ389" s="63">
        <f>INDEX('DEFAULT DATA'!$YJ$9:$YQ$41,START!$C$3,6)</f>
        <v>0</v>
      </c>
      <c r="AK389" s="180">
        <v>0</v>
      </c>
      <c r="AL389" s="123">
        <f t="shared" ref="AL389:BN389" si="301">IF(AND(AL$373&gt;($D$95+2020),AL$373&lt;($E$95+2022)),AK389+($AI$389*$AJ$389*((100-$F$95)/100)*ROUND(($C$95/100*$B$95)/($E$95-$D$95+1),0)/1000000),AK389)</f>
        <v>0</v>
      </c>
      <c r="AM389" s="123">
        <f t="shared" si="301"/>
        <v>0</v>
      </c>
      <c r="AN389" s="123">
        <f t="shared" si="301"/>
        <v>0</v>
      </c>
      <c r="AO389" s="123">
        <f t="shared" si="301"/>
        <v>0</v>
      </c>
      <c r="AP389" s="123">
        <f t="shared" si="301"/>
        <v>0</v>
      </c>
      <c r="AQ389" s="123">
        <f t="shared" si="301"/>
        <v>0</v>
      </c>
      <c r="AR389" s="123">
        <f t="shared" si="301"/>
        <v>0</v>
      </c>
      <c r="AS389" s="123">
        <f t="shared" si="301"/>
        <v>0</v>
      </c>
      <c r="AT389" s="123">
        <f t="shared" si="301"/>
        <v>0</v>
      </c>
      <c r="AU389" s="123">
        <f t="shared" si="301"/>
        <v>0</v>
      </c>
      <c r="AV389" s="123">
        <f t="shared" si="301"/>
        <v>0</v>
      </c>
      <c r="AW389" s="123">
        <f t="shared" si="301"/>
        <v>0</v>
      </c>
      <c r="AX389" s="123">
        <f t="shared" si="301"/>
        <v>0</v>
      </c>
      <c r="AY389" s="123">
        <f t="shared" si="301"/>
        <v>0</v>
      </c>
      <c r="AZ389" s="123">
        <f t="shared" si="301"/>
        <v>0</v>
      </c>
      <c r="BA389" s="123">
        <f t="shared" si="301"/>
        <v>0</v>
      </c>
      <c r="BB389" s="123">
        <f t="shared" si="301"/>
        <v>0</v>
      </c>
      <c r="BC389" s="123">
        <f t="shared" si="301"/>
        <v>0</v>
      </c>
      <c r="BD389" s="123">
        <f t="shared" si="301"/>
        <v>0</v>
      </c>
      <c r="BE389" s="123">
        <f t="shared" si="301"/>
        <v>0</v>
      </c>
      <c r="BF389" s="123">
        <f t="shared" si="301"/>
        <v>0</v>
      </c>
      <c r="BG389" s="123">
        <f t="shared" si="301"/>
        <v>0</v>
      </c>
      <c r="BH389" s="123">
        <f t="shared" si="301"/>
        <v>0</v>
      </c>
      <c r="BI389" s="123">
        <f t="shared" si="301"/>
        <v>0</v>
      </c>
      <c r="BJ389" s="123">
        <f t="shared" si="301"/>
        <v>0</v>
      </c>
      <c r="BK389" s="123">
        <f t="shared" si="301"/>
        <v>0</v>
      </c>
      <c r="BL389" s="123">
        <f t="shared" si="301"/>
        <v>0</v>
      </c>
      <c r="BM389" s="123">
        <f t="shared" si="301"/>
        <v>0</v>
      </c>
      <c r="BN389" s="159">
        <f t="shared" si="301"/>
        <v>0</v>
      </c>
    </row>
    <row r="390" spans="32:66" ht="20.100000000000001" customHeight="1">
      <c r="AF390" s="1560"/>
      <c r="AG390" s="107" t="s">
        <v>867</v>
      </c>
      <c r="AH390" s="107"/>
      <c r="AI390" s="107">
        <f>INDEX('DEFAULT DATA'!$WD$9:$WJ$41,START!$C$3,6)</f>
        <v>0</v>
      </c>
      <c r="AJ390" s="63">
        <f>INDEX('DEFAULT DATA'!$YJ$9:$YQ$41,START!$C$3,7)</f>
        <v>1657.8066152984159</v>
      </c>
      <c r="AK390" s="180">
        <v>0</v>
      </c>
      <c r="AL390" s="123">
        <f t="shared" ref="AL390:BN390" si="302">IF(AND(AL$373&gt;($D$95+2020),AL$373&lt;($E$95+2022)),AK390+($AI$390*$AJ$390*((100-$F$95)/100)*ROUND(($C$95/100*$B$95)/($E$95-$D$95+1),0)/1000000),AK390)</f>
        <v>0</v>
      </c>
      <c r="AM390" s="123">
        <f t="shared" si="302"/>
        <v>0</v>
      </c>
      <c r="AN390" s="123">
        <f t="shared" si="302"/>
        <v>0</v>
      </c>
      <c r="AO390" s="123">
        <f t="shared" si="302"/>
        <v>0</v>
      </c>
      <c r="AP390" s="123">
        <f t="shared" si="302"/>
        <v>0</v>
      </c>
      <c r="AQ390" s="123">
        <f t="shared" si="302"/>
        <v>0</v>
      </c>
      <c r="AR390" s="123">
        <f t="shared" si="302"/>
        <v>0</v>
      </c>
      <c r="AS390" s="123">
        <f t="shared" si="302"/>
        <v>0</v>
      </c>
      <c r="AT390" s="123">
        <f t="shared" si="302"/>
        <v>0</v>
      </c>
      <c r="AU390" s="123">
        <f t="shared" si="302"/>
        <v>0</v>
      </c>
      <c r="AV390" s="123">
        <f t="shared" si="302"/>
        <v>0</v>
      </c>
      <c r="AW390" s="123">
        <f t="shared" si="302"/>
        <v>0</v>
      </c>
      <c r="AX390" s="123">
        <f t="shared" si="302"/>
        <v>0</v>
      </c>
      <c r="AY390" s="123">
        <f t="shared" si="302"/>
        <v>0</v>
      </c>
      <c r="AZ390" s="123">
        <f t="shared" si="302"/>
        <v>0</v>
      </c>
      <c r="BA390" s="123">
        <f t="shared" si="302"/>
        <v>0</v>
      </c>
      <c r="BB390" s="123">
        <f t="shared" si="302"/>
        <v>0</v>
      </c>
      <c r="BC390" s="123">
        <f t="shared" si="302"/>
        <v>0</v>
      </c>
      <c r="BD390" s="123">
        <f t="shared" si="302"/>
        <v>0</v>
      </c>
      <c r="BE390" s="123">
        <f t="shared" si="302"/>
        <v>0</v>
      </c>
      <c r="BF390" s="123">
        <f t="shared" si="302"/>
        <v>0</v>
      </c>
      <c r="BG390" s="123">
        <f t="shared" si="302"/>
        <v>0</v>
      </c>
      <c r="BH390" s="123">
        <f t="shared" si="302"/>
        <v>0</v>
      </c>
      <c r="BI390" s="123">
        <f t="shared" si="302"/>
        <v>0</v>
      </c>
      <c r="BJ390" s="123">
        <f t="shared" si="302"/>
        <v>0</v>
      </c>
      <c r="BK390" s="123">
        <f t="shared" si="302"/>
        <v>0</v>
      </c>
      <c r="BL390" s="123">
        <f t="shared" si="302"/>
        <v>0</v>
      </c>
      <c r="BM390" s="123">
        <f t="shared" si="302"/>
        <v>0</v>
      </c>
      <c r="BN390" s="159">
        <f t="shared" si="302"/>
        <v>0</v>
      </c>
    </row>
    <row r="391" spans="32:66" ht="20.100000000000001" customHeight="1" thickBot="1">
      <c r="AF391" s="1561"/>
      <c r="AG391" s="146" t="s">
        <v>868</v>
      </c>
      <c r="AH391" s="146"/>
      <c r="AI391" s="146" t="s">
        <v>1123</v>
      </c>
      <c r="AJ391" s="113">
        <f>INDEX('DEFAULT DATA'!$YJ$9:$YQ$41,START!$C$3,8)</f>
        <v>414.45165382460397</v>
      </c>
      <c r="AK391" s="179">
        <v>0</v>
      </c>
      <c r="AL391" s="160">
        <f t="shared" ref="AL391:BN391" si="303">IF(AND(AL$373&gt;($D$95+2020),AL$373&lt;($E$95+2022)),AK391+(AL$6*$AJ$391*((100-$F$95)/100)*ROUND(($C$95/100*$B$95)/($E$95-$D$95+1),0)/1000000),AK391)</f>
        <v>0</v>
      </c>
      <c r="AM391" s="160">
        <f t="shared" si="303"/>
        <v>0</v>
      </c>
      <c r="AN391" s="160">
        <f t="shared" si="303"/>
        <v>0</v>
      </c>
      <c r="AO391" s="160">
        <f t="shared" si="303"/>
        <v>0</v>
      </c>
      <c r="AP391" s="160">
        <f t="shared" si="303"/>
        <v>0</v>
      </c>
      <c r="AQ391" s="160">
        <f t="shared" si="303"/>
        <v>0</v>
      </c>
      <c r="AR391" s="160">
        <f t="shared" si="303"/>
        <v>0</v>
      </c>
      <c r="AS391" s="160">
        <f t="shared" si="303"/>
        <v>0</v>
      </c>
      <c r="AT391" s="160">
        <f t="shared" si="303"/>
        <v>0</v>
      </c>
      <c r="AU391" s="160">
        <f t="shared" si="303"/>
        <v>0</v>
      </c>
      <c r="AV391" s="160">
        <f t="shared" si="303"/>
        <v>0</v>
      </c>
      <c r="AW391" s="160">
        <f t="shared" si="303"/>
        <v>0</v>
      </c>
      <c r="AX391" s="160">
        <f t="shared" si="303"/>
        <v>0</v>
      </c>
      <c r="AY391" s="160">
        <f t="shared" si="303"/>
        <v>0</v>
      </c>
      <c r="AZ391" s="160">
        <f t="shared" si="303"/>
        <v>0</v>
      </c>
      <c r="BA391" s="160">
        <f t="shared" si="303"/>
        <v>0</v>
      </c>
      <c r="BB391" s="160">
        <f t="shared" si="303"/>
        <v>0</v>
      </c>
      <c r="BC391" s="160">
        <f t="shared" si="303"/>
        <v>0</v>
      </c>
      <c r="BD391" s="160">
        <f t="shared" si="303"/>
        <v>0</v>
      </c>
      <c r="BE391" s="160">
        <f t="shared" si="303"/>
        <v>0</v>
      </c>
      <c r="BF391" s="160">
        <f t="shared" si="303"/>
        <v>0</v>
      </c>
      <c r="BG391" s="160">
        <f t="shared" si="303"/>
        <v>0</v>
      </c>
      <c r="BH391" s="160">
        <f t="shared" si="303"/>
        <v>0</v>
      </c>
      <c r="BI391" s="160">
        <f t="shared" si="303"/>
        <v>0</v>
      </c>
      <c r="BJ391" s="160">
        <f t="shared" si="303"/>
        <v>0</v>
      </c>
      <c r="BK391" s="160">
        <f t="shared" si="303"/>
        <v>0</v>
      </c>
      <c r="BL391" s="160">
        <f t="shared" si="303"/>
        <v>0</v>
      </c>
      <c r="BM391" s="160">
        <f t="shared" si="303"/>
        <v>0</v>
      </c>
      <c r="BN391" s="161">
        <f t="shared" si="303"/>
        <v>0</v>
      </c>
    </row>
    <row r="392" spans="32:66" ht="20.100000000000001" customHeight="1">
      <c r="AF392" s="167"/>
      <c r="AG392" s="136" t="s">
        <v>1081</v>
      </c>
      <c r="AH392" s="136"/>
      <c r="AI392" s="136"/>
      <c r="AJ392" s="136"/>
      <c r="AK392" s="177">
        <v>0</v>
      </c>
      <c r="AL392" s="162">
        <f>SUM(AL384:AL391)</f>
        <v>0</v>
      </c>
      <c r="AM392" s="162">
        <f t="shared" ref="AM392" si="304">SUM(AM384:AM391)</f>
        <v>0</v>
      </c>
      <c r="AN392" s="162">
        <f t="shared" ref="AN392" si="305">SUM(AN384:AN391)</f>
        <v>0</v>
      </c>
      <c r="AO392" s="162">
        <f t="shared" ref="AO392" si="306">SUM(AO384:AO391)</f>
        <v>0</v>
      </c>
      <c r="AP392" s="162">
        <f t="shared" ref="AP392" si="307">SUM(AP384:AP391)</f>
        <v>0</v>
      </c>
      <c r="AQ392" s="162">
        <f t="shared" ref="AQ392" si="308">SUM(AQ384:AQ391)</f>
        <v>0</v>
      </c>
      <c r="AR392" s="162">
        <f t="shared" ref="AR392" si="309">SUM(AR384:AR391)</f>
        <v>0</v>
      </c>
      <c r="AS392" s="162">
        <f t="shared" ref="AS392" si="310">SUM(AS384:AS391)</f>
        <v>0</v>
      </c>
      <c r="AT392" s="162">
        <f t="shared" ref="AT392" si="311">SUM(AT384:AT391)</f>
        <v>0</v>
      </c>
      <c r="AU392" s="162">
        <f t="shared" ref="AU392" si="312">SUM(AU384:AU391)</f>
        <v>0</v>
      </c>
      <c r="AV392" s="162">
        <f t="shared" ref="AV392" si="313">SUM(AV384:AV391)</f>
        <v>0</v>
      </c>
      <c r="AW392" s="162">
        <f t="shared" ref="AW392" si="314">SUM(AW384:AW391)</f>
        <v>0</v>
      </c>
      <c r="AX392" s="162">
        <f t="shared" ref="AX392" si="315">SUM(AX384:AX391)</f>
        <v>0</v>
      </c>
      <c r="AY392" s="162">
        <f t="shared" ref="AY392" si="316">SUM(AY384:AY391)</f>
        <v>0</v>
      </c>
      <c r="AZ392" s="162">
        <f t="shared" ref="AZ392" si="317">SUM(AZ384:AZ391)</f>
        <v>0</v>
      </c>
      <c r="BA392" s="162">
        <f t="shared" ref="BA392" si="318">SUM(BA384:BA391)</f>
        <v>0</v>
      </c>
      <c r="BB392" s="162">
        <f t="shared" ref="BB392" si="319">SUM(BB384:BB391)</f>
        <v>0</v>
      </c>
      <c r="BC392" s="162">
        <f t="shared" ref="BC392" si="320">SUM(BC384:BC391)</f>
        <v>0</v>
      </c>
      <c r="BD392" s="162">
        <f t="shared" ref="BD392" si="321">SUM(BD384:BD391)</f>
        <v>0</v>
      </c>
      <c r="BE392" s="162">
        <f t="shared" ref="BE392" si="322">SUM(BE384:BE391)</f>
        <v>0</v>
      </c>
      <c r="BF392" s="162">
        <f t="shared" ref="BF392" si="323">SUM(BF384:BF391)</f>
        <v>0</v>
      </c>
      <c r="BG392" s="162">
        <f t="shared" ref="BG392" si="324">SUM(BG384:BG391)</f>
        <v>0</v>
      </c>
      <c r="BH392" s="162">
        <f t="shared" ref="BH392" si="325">SUM(BH384:BH391)</f>
        <v>0</v>
      </c>
      <c r="BI392" s="162">
        <f t="shared" ref="BI392" si="326">SUM(BI384:BI391)</f>
        <v>0</v>
      </c>
      <c r="BJ392" s="162">
        <f t="shared" ref="BJ392" si="327">SUM(BJ384:BJ391)</f>
        <v>0</v>
      </c>
      <c r="BK392" s="162">
        <f t="shared" ref="BK392" si="328">SUM(BK384:BK391)</f>
        <v>0</v>
      </c>
      <c r="BL392" s="162">
        <f t="shared" ref="BL392" si="329">SUM(BL384:BL391)</f>
        <v>0</v>
      </c>
      <c r="BM392" s="162">
        <f t="shared" ref="BM392" si="330">SUM(BM384:BM391)</f>
        <v>0</v>
      </c>
      <c r="BN392" s="162">
        <f t="shared" ref="BN392" si="331">SUM(BN384:BN391)</f>
        <v>0</v>
      </c>
    </row>
    <row r="393" spans="32:66" ht="20.100000000000001" customHeight="1" thickBot="1"/>
    <row r="394" spans="32:66" ht="20.100000000000001" customHeight="1">
      <c r="AF394" s="1559" t="s">
        <v>860</v>
      </c>
      <c r="AG394" s="137" t="s">
        <v>578</v>
      </c>
      <c r="AH394" s="138"/>
      <c r="AI394" s="137" t="s">
        <v>1122</v>
      </c>
      <c r="AJ394" s="148">
        <f>INDEX('DEFAULT DATA'!$YR$9:$YY$41,START!$C$3,1)</f>
        <v>607.86242560941923</v>
      </c>
      <c r="AK394" s="178">
        <v>0</v>
      </c>
      <c r="AL394" s="163">
        <f t="shared" ref="AL394:BN394" si="332">IF(AND(AL$373&gt;($D$96+2020),AL$373&lt;($E$96+2022)),AK394+(AL$5*$AJ$394*((100-$F$96)/100)*ROUND(($C$96/100*$B$96)/($E$96-$D$96+1),0)/1000000),AK394)</f>
        <v>0</v>
      </c>
      <c r="AM394" s="163">
        <f t="shared" si="332"/>
        <v>0</v>
      </c>
      <c r="AN394" s="163">
        <f t="shared" si="332"/>
        <v>0</v>
      </c>
      <c r="AO394" s="163">
        <f t="shared" si="332"/>
        <v>0</v>
      </c>
      <c r="AP394" s="163">
        <f t="shared" si="332"/>
        <v>0</v>
      </c>
      <c r="AQ394" s="163">
        <f t="shared" si="332"/>
        <v>0</v>
      </c>
      <c r="AR394" s="163">
        <f t="shared" si="332"/>
        <v>0</v>
      </c>
      <c r="AS394" s="163">
        <f t="shared" si="332"/>
        <v>0</v>
      </c>
      <c r="AT394" s="163">
        <f t="shared" si="332"/>
        <v>0</v>
      </c>
      <c r="AU394" s="163">
        <f t="shared" si="332"/>
        <v>0</v>
      </c>
      <c r="AV394" s="163">
        <f t="shared" si="332"/>
        <v>0</v>
      </c>
      <c r="AW394" s="163">
        <f t="shared" si="332"/>
        <v>0</v>
      </c>
      <c r="AX394" s="163">
        <f t="shared" si="332"/>
        <v>0</v>
      </c>
      <c r="AY394" s="163">
        <f t="shared" si="332"/>
        <v>0</v>
      </c>
      <c r="AZ394" s="163">
        <f t="shared" si="332"/>
        <v>0</v>
      </c>
      <c r="BA394" s="163">
        <f t="shared" si="332"/>
        <v>0</v>
      </c>
      <c r="BB394" s="163">
        <f t="shared" si="332"/>
        <v>0</v>
      </c>
      <c r="BC394" s="163">
        <f t="shared" si="332"/>
        <v>0</v>
      </c>
      <c r="BD394" s="163">
        <f t="shared" si="332"/>
        <v>0</v>
      </c>
      <c r="BE394" s="163">
        <f t="shared" si="332"/>
        <v>0</v>
      </c>
      <c r="BF394" s="163">
        <f t="shared" si="332"/>
        <v>0</v>
      </c>
      <c r="BG394" s="163">
        <f t="shared" si="332"/>
        <v>0</v>
      </c>
      <c r="BH394" s="163">
        <f t="shared" si="332"/>
        <v>0</v>
      </c>
      <c r="BI394" s="163">
        <f t="shared" si="332"/>
        <v>0</v>
      </c>
      <c r="BJ394" s="163">
        <f t="shared" si="332"/>
        <v>0</v>
      </c>
      <c r="BK394" s="163">
        <f t="shared" si="332"/>
        <v>0</v>
      </c>
      <c r="BL394" s="163">
        <f t="shared" si="332"/>
        <v>0</v>
      </c>
      <c r="BM394" s="163">
        <f t="shared" si="332"/>
        <v>0</v>
      </c>
      <c r="BN394" s="164">
        <f t="shared" si="332"/>
        <v>0</v>
      </c>
    </row>
    <row r="395" spans="32:66" ht="20.100000000000001" customHeight="1">
      <c r="AF395" s="1560"/>
      <c r="AG395" s="107" t="s">
        <v>862</v>
      </c>
      <c r="AH395" s="131"/>
      <c r="AI395" s="107">
        <f>INDEX('DEFAULT DATA'!$WD$9:$WJ$41,START!$C$3,1)</f>
        <v>202</v>
      </c>
      <c r="AJ395" s="63">
        <f>INDEX('DEFAULT DATA'!$YR$9:$YY$41,START!$C$3,2)</f>
        <v>0</v>
      </c>
      <c r="AK395" s="180">
        <v>0</v>
      </c>
      <c r="AL395" s="123">
        <f t="shared" ref="AL395:BN395" si="333">IF(AND(AL$373&gt;($D$96+2020),AL$373&lt;($E$96+2022)),AK395+($AI$395*$AJ$395*((100-$F$96)/100)*ROUND(($C$96/100*$B$96)/($E$96-$D$96+1),0)/1000000),AK395)</f>
        <v>0</v>
      </c>
      <c r="AM395" s="123">
        <f t="shared" si="333"/>
        <v>0</v>
      </c>
      <c r="AN395" s="123">
        <f t="shared" si="333"/>
        <v>0</v>
      </c>
      <c r="AO395" s="123">
        <f t="shared" si="333"/>
        <v>0</v>
      </c>
      <c r="AP395" s="123">
        <f t="shared" si="333"/>
        <v>0</v>
      </c>
      <c r="AQ395" s="123">
        <f t="shared" si="333"/>
        <v>0</v>
      </c>
      <c r="AR395" s="123">
        <f t="shared" si="333"/>
        <v>0</v>
      </c>
      <c r="AS395" s="123">
        <f t="shared" si="333"/>
        <v>0</v>
      </c>
      <c r="AT395" s="123">
        <f t="shared" si="333"/>
        <v>0</v>
      </c>
      <c r="AU395" s="123">
        <f t="shared" si="333"/>
        <v>0</v>
      </c>
      <c r="AV395" s="123">
        <f t="shared" si="333"/>
        <v>0</v>
      </c>
      <c r="AW395" s="123">
        <f t="shared" si="333"/>
        <v>0</v>
      </c>
      <c r="AX395" s="123">
        <f t="shared" si="333"/>
        <v>0</v>
      </c>
      <c r="AY395" s="123">
        <f t="shared" si="333"/>
        <v>0</v>
      </c>
      <c r="AZ395" s="123">
        <f t="shared" si="333"/>
        <v>0</v>
      </c>
      <c r="BA395" s="123">
        <f t="shared" si="333"/>
        <v>0</v>
      </c>
      <c r="BB395" s="123">
        <f t="shared" si="333"/>
        <v>0</v>
      </c>
      <c r="BC395" s="123">
        <f t="shared" si="333"/>
        <v>0</v>
      </c>
      <c r="BD395" s="123">
        <f t="shared" si="333"/>
        <v>0</v>
      </c>
      <c r="BE395" s="123">
        <f t="shared" si="333"/>
        <v>0</v>
      </c>
      <c r="BF395" s="123">
        <f t="shared" si="333"/>
        <v>0</v>
      </c>
      <c r="BG395" s="123">
        <f t="shared" si="333"/>
        <v>0</v>
      </c>
      <c r="BH395" s="123">
        <f t="shared" si="333"/>
        <v>0</v>
      </c>
      <c r="BI395" s="123">
        <f t="shared" si="333"/>
        <v>0</v>
      </c>
      <c r="BJ395" s="123">
        <f t="shared" si="333"/>
        <v>0</v>
      </c>
      <c r="BK395" s="123">
        <f t="shared" si="333"/>
        <v>0</v>
      </c>
      <c r="BL395" s="123">
        <f t="shared" si="333"/>
        <v>0</v>
      </c>
      <c r="BM395" s="123">
        <f t="shared" si="333"/>
        <v>0</v>
      </c>
      <c r="BN395" s="159">
        <f t="shared" si="333"/>
        <v>0</v>
      </c>
    </row>
    <row r="396" spans="32:66" ht="20.100000000000001" customHeight="1">
      <c r="AF396" s="1560"/>
      <c r="AG396" s="107" t="s">
        <v>863</v>
      </c>
      <c r="AH396" s="131"/>
      <c r="AI396" s="107">
        <f>INDEX('DEFAULT DATA'!$WD$9:$WJ$41,START!$C$3,2)</f>
        <v>267</v>
      </c>
      <c r="AJ396" s="63">
        <f>INDEX('DEFAULT DATA'!$YR$9:$YY$41,START!$C$3,3)</f>
        <v>0</v>
      </c>
      <c r="AK396" s="180">
        <v>0</v>
      </c>
      <c r="AL396" s="123">
        <f t="shared" ref="AL396:BN396" si="334">IF(AND(AL$373&gt;($D$96+2020),AL$373&lt;($E$96+2022)),AK396+($AI$396*$AJ$396*((100-$F$96)/100)*ROUND(($C$96/100*$B$96)/($E$96-$D$96+1),0)/1000000),AK396)</f>
        <v>0</v>
      </c>
      <c r="AM396" s="123">
        <f t="shared" si="334"/>
        <v>0</v>
      </c>
      <c r="AN396" s="123">
        <f t="shared" si="334"/>
        <v>0</v>
      </c>
      <c r="AO396" s="123">
        <f t="shared" si="334"/>
        <v>0</v>
      </c>
      <c r="AP396" s="123">
        <f t="shared" si="334"/>
        <v>0</v>
      </c>
      <c r="AQ396" s="123">
        <f t="shared" si="334"/>
        <v>0</v>
      </c>
      <c r="AR396" s="123">
        <f t="shared" si="334"/>
        <v>0</v>
      </c>
      <c r="AS396" s="123">
        <f t="shared" si="334"/>
        <v>0</v>
      </c>
      <c r="AT396" s="123">
        <f t="shared" si="334"/>
        <v>0</v>
      </c>
      <c r="AU396" s="123">
        <f t="shared" si="334"/>
        <v>0</v>
      </c>
      <c r="AV396" s="123">
        <f t="shared" si="334"/>
        <v>0</v>
      </c>
      <c r="AW396" s="123">
        <f t="shared" si="334"/>
        <v>0</v>
      </c>
      <c r="AX396" s="123">
        <f t="shared" si="334"/>
        <v>0</v>
      </c>
      <c r="AY396" s="123">
        <f t="shared" si="334"/>
        <v>0</v>
      </c>
      <c r="AZ396" s="123">
        <f t="shared" si="334"/>
        <v>0</v>
      </c>
      <c r="BA396" s="123">
        <f t="shared" si="334"/>
        <v>0</v>
      </c>
      <c r="BB396" s="123">
        <f t="shared" si="334"/>
        <v>0</v>
      </c>
      <c r="BC396" s="123">
        <f t="shared" si="334"/>
        <v>0</v>
      </c>
      <c r="BD396" s="123">
        <f t="shared" si="334"/>
        <v>0</v>
      </c>
      <c r="BE396" s="123">
        <f t="shared" si="334"/>
        <v>0</v>
      </c>
      <c r="BF396" s="123">
        <f t="shared" si="334"/>
        <v>0</v>
      </c>
      <c r="BG396" s="123">
        <f t="shared" si="334"/>
        <v>0</v>
      </c>
      <c r="BH396" s="123">
        <f t="shared" si="334"/>
        <v>0</v>
      </c>
      <c r="BI396" s="123">
        <f t="shared" si="334"/>
        <v>0</v>
      </c>
      <c r="BJ396" s="123">
        <f t="shared" si="334"/>
        <v>0</v>
      </c>
      <c r="BK396" s="123">
        <f t="shared" si="334"/>
        <v>0</v>
      </c>
      <c r="BL396" s="123">
        <f t="shared" si="334"/>
        <v>0</v>
      </c>
      <c r="BM396" s="123">
        <f t="shared" si="334"/>
        <v>0</v>
      </c>
      <c r="BN396" s="159">
        <f t="shared" si="334"/>
        <v>0</v>
      </c>
    </row>
    <row r="397" spans="32:66" ht="20.100000000000001" customHeight="1">
      <c r="AF397" s="1560"/>
      <c r="AG397" s="107" t="s">
        <v>864</v>
      </c>
      <c r="AH397" s="131"/>
      <c r="AI397" s="107">
        <f>INDEX('DEFAULT DATA'!$WD$9:$WJ$41,START!$C$3,3)</f>
        <v>354</v>
      </c>
      <c r="AJ397" s="63">
        <f>INDEX('DEFAULT DATA'!$YR$9:$YY$41,START!$C$3,4)</f>
        <v>0</v>
      </c>
      <c r="AK397" s="180">
        <v>0</v>
      </c>
      <c r="AL397" s="123">
        <f t="shared" ref="AL397:BN397" si="335">IF(AND(AL$373&gt;($D$96+2020),AL$373&lt;($E$96+2022)),AK397+($AI$397*$AJ$397*((100-$F$96)/100)*ROUND(($C$96/100*$B$96)/($E$96-$D$96+1),0)/1000000),AK397)</f>
        <v>0</v>
      </c>
      <c r="AM397" s="123">
        <f t="shared" si="335"/>
        <v>0</v>
      </c>
      <c r="AN397" s="123">
        <f t="shared" si="335"/>
        <v>0</v>
      </c>
      <c r="AO397" s="123">
        <f t="shared" si="335"/>
        <v>0</v>
      </c>
      <c r="AP397" s="123">
        <f t="shared" si="335"/>
        <v>0</v>
      </c>
      <c r="AQ397" s="123">
        <f t="shared" si="335"/>
        <v>0</v>
      </c>
      <c r="AR397" s="123">
        <f t="shared" si="335"/>
        <v>0</v>
      </c>
      <c r="AS397" s="123">
        <f t="shared" si="335"/>
        <v>0</v>
      </c>
      <c r="AT397" s="123">
        <f t="shared" si="335"/>
        <v>0</v>
      </c>
      <c r="AU397" s="123">
        <f t="shared" si="335"/>
        <v>0</v>
      </c>
      <c r="AV397" s="123">
        <f t="shared" si="335"/>
        <v>0</v>
      </c>
      <c r="AW397" s="123">
        <f t="shared" si="335"/>
        <v>0</v>
      </c>
      <c r="AX397" s="123">
        <f t="shared" si="335"/>
        <v>0</v>
      </c>
      <c r="AY397" s="123">
        <f t="shared" si="335"/>
        <v>0</v>
      </c>
      <c r="AZ397" s="123">
        <f t="shared" si="335"/>
        <v>0</v>
      </c>
      <c r="BA397" s="123">
        <f t="shared" si="335"/>
        <v>0</v>
      </c>
      <c r="BB397" s="123">
        <f t="shared" si="335"/>
        <v>0</v>
      </c>
      <c r="BC397" s="123">
        <f t="shared" si="335"/>
        <v>0</v>
      </c>
      <c r="BD397" s="123">
        <f t="shared" si="335"/>
        <v>0</v>
      </c>
      <c r="BE397" s="123">
        <f t="shared" si="335"/>
        <v>0</v>
      </c>
      <c r="BF397" s="123">
        <f t="shared" si="335"/>
        <v>0</v>
      </c>
      <c r="BG397" s="123">
        <f t="shared" si="335"/>
        <v>0</v>
      </c>
      <c r="BH397" s="123">
        <f t="shared" si="335"/>
        <v>0</v>
      </c>
      <c r="BI397" s="123">
        <f t="shared" si="335"/>
        <v>0</v>
      </c>
      <c r="BJ397" s="123">
        <f t="shared" si="335"/>
        <v>0</v>
      </c>
      <c r="BK397" s="123">
        <f t="shared" si="335"/>
        <v>0</v>
      </c>
      <c r="BL397" s="123">
        <f t="shared" si="335"/>
        <v>0</v>
      </c>
      <c r="BM397" s="123">
        <f t="shared" si="335"/>
        <v>0</v>
      </c>
      <c r="BN397" s="159">
        <f t="shared" si="335"/>
        <v>0</v>
      </c>
    </row>
    <row r="398" spans="32:66" ht="20.100000000000001" customHeight="1">
      <c r="AF398" s="1560"/>
      <c r="AG398" s="107" t="s">
        <v>865</v>
      </c>
      <c r="AH398" s="131"/>
      <c r="AI398" s="107">
        <f>INDEX('DEFAULT DATA'!$WD$9:$WJ$41,START!$C$3,4)</f>
        <v>382</v>
      </c>
      <c r="AJ398" s="63">
        <f>INDEX('DEFAULT DATA'!$YR$9:$YY$41,START!$C$3,5)</f>
        <v>0</v>
      </c>
      <c r="AK398" s="180">
        <v>0</v>
      </c>
      <c r="AL398" s="123">
        <f t="shared" ref="AL398:BN398" si="336">IF(AND(AL$373&gt;($D$96+2020),AL$373&lt;($E$96+2022)),AK398+($AI$398*$AJ$398*((100-$F$96)/100)*ROUND(($C$96/100*$B$96)/($E$96-$D$96+1),0)/1000000),AK398)</f>
        <v>0</v>
      </c>
      <c r="AM398" s="123">
        <f t="shared" si="336"/>
        <v>0</v>
      </c>
      <c r="AN398" s="123">
        <f t="shared" si="336"/>
        <v>0</v>
      </c>
      <c r="AO398" s="123">
        <f t="shared" si="336"/>
        <v>0</v>
      </c>
      <c r="AP398" s="123">
        <f t="shared" si="336"/>
        <v>0</v>
      </c>
      <c r="AQ398" s="123">
        <f t="shared" si="336"/>
        <v>0</v>
      </c>
      <c r="AR398" s="123">
        <f t="shared" si="336"/>
        <v>0</v>
      </c>
      <c r="AS398" s="123">
        <f t="shared" si="336"/>
        <v>0</v>
      </c>
      <c r="AT398" s="123">
        <f t="shared" si="336"/>
        <v>0</v>
      </c>
      <c r="AU398" s="123">
        <f t="shared" si="336"/>
        <v>0</v>
      </c>
      <c r="AV398" s="123">
        <f t="shared" si="336"/>
        <v>0</v>
      </c>
      <c r="AW398" s="123">
        <f t="shared" si="336"/>
        <v>0</v>
      </c>
      <c r="AX398" s="123">
        <f t="shared" si="336"/>
        <v>0</v>
      </c>
      <c r="AY398" s="123">
        <f t="shared" si="336"/>
        <v>0</v>
      </c>
      <c r="AZ398" s="123">
        <f t="shared" si="336"/>
        <v>0</v>
      </c>
      <c r="BA398" s="123">
        <f t="shared" si="336"/>
        <v>0</v>
      </c>
      <c r="BB398" s="123">
        <f t="shared" si="336"/>
        <v>0</v>
      </c>
      <c r="BC398" s="123">
        <f t="shared" si="336"/>
        <v>0</v>
      </c>
      <c r="BD398" s="123">
        <f t="shared" si="336"/>
        <v>0</v>
      </c>
      <c r="BE398" s="123">
        <f t="shared" si="336"/>
        <v>0</v>
      </c>
      <c r="BF398" s="123">
        <f t="shared" si="336"/>
        <v>0</v>
      </c>
      <c r="BG398" s="123">
        <f t="shared" si="336"/>
        <v>0</v>
      </c>
      <c r="BH398" s="123">
        <f t="shared" si="336"/>
        <v>0</v>
      </c>
      <c r="BI398" s="123">
        <f t="shared" si="336"/>
        <v>0</v>
      </c>
      <c r="BJ398" s="123">
        <f t="shared" si="336"/>
        <v>0</v>
      </c>
      <c r="BK398" s="123">
        <f t="shared" si="336"/>
        <v>0</v>
      </c>
      <c r="BL398" s="123">
        <f t="shared" si="336"/>
        <v>0</v>
      </c>
      <c r="BM398" s="123">
        <f t="shared" si="336"/>
        <v>0</v>
      </c>
      <c r="BN398" s="159">
        <f t="shared" si="336"/>
        <v>0</v>
      </c>
    </row>
    <row r="399" spans="32:66" ht="20.100000000000001" customHeight="1">
      <c r="AF399" s="1560"/>
      <c r="AG399" s="107" t="s">
        <v>866</v>
      </c>
      <c r="AH399" s="131"/>
      <c r="AI399" s="107">
        <f>INDEX('DEFAULT DATA'!$WD$9:$WJ$41,START!$C$3,5)</f>
        <v>403</v>
      </c>
      <c r="AJ399" s="63">
        <f>INDEX('DEFAULT DATA'!$YR$9:$YY$41,START!$C$3,6)</f>
        <v>0</v>
      </c>
      <c r="AK399" s="180">
        <v>0</v>
      </c>
      <c r="AL399" s="123">
        <f t="shared" ref="AL399:BN399" si="337">IF(AND(AL$373&gt;($D$96+2020),AL$373&lt;($E$96+2022)),AK399+($AI$399*$AJ$399*((100-$F$96)/100)*ROUND(($C$96/100*$B$96)/($E$96-$D$96+1),0)/1000000),AK399)</f>
        <v>0</v>
      </c>
      <c r="AM399" s="123">
        <f t="shared" si="337"/>
        <v>0</v>
      </c>
      <c r="AN399" s="123">
        <f t="shared" si="337"/>
        <v>0</v>
      </c>
      <c r="AO399" s="123">
        <f t="shared" si="337"/>
        <v>0</v>
      </c>
      <c r="AP399" s="123">
        <f t="shared" si="337"/>
        <v>0</v>
      </c>
      <c r="AQ399" s="123">
        <f t="shared" si="337"/>
        <v>0</v>
      </c>
      <c r="AR399" s="123">
        <f t="shared" si="337"/>
        <v>0</v>
      </c>
      <c r="AS399" s="123">
        <f t="shared" si="337"/>
        <v>0</v>
      </c>
      <c r="AT399" s="123">
        <f t="shared" si="337"/>
        <v>0</v>
      </c>
      <c r="AU399" s="123">
        <f t="shared" si="337"/>
        <v>0</v>
      </c>
      <c r="AV399" s="123">
        <f t="shared" si="337"/>
        <v>0</v>
      </c>
      <c r="AW399" s="123">
        <f t="shared" si="337"/>
        <v>0</v>
      </c>
      <c r="AX399" s="123">
        <f t="shared" si="337"/>
        <v>0</v>
      </c>
      <c r="AY399" s="123">
        <f t="shared" si="337"/>
        <v>0</v>
      </c>
      <c r="AZ399" s="123">
        <f t="shared" si="337"/>
        <v>0</v>
      </c>
      <c r="BA399" s="123">
        <f t="shared" si="337"/>
        <v>0</v>
      </c>
      <c r="BB399" s="123">
        <f t="shared" si="337"/>
        <v>0</v>
      </c>
      <c r="BC399" s="123">
        <f t="shared" si="337"/>
        <v>0</v>
      </c>
      <c r="BD399" s="123">
        <f t="shared" si="337"/>
        <v>0</v>
      </c>
      <c r="BE399" s="123">
        <f t="shared" si="337"/>
        <v>0</v>
      </c>
      <c r="BF399" s="123">
        <f t="shared" si="337"/>
        <v>0</v>
      </c>
      <c r="BG399" s="123">
        <f t="shared" si="337"/>
        <v>0</v>
      </c>
      <c r="BH399" s="123">
        <f t="shared" si="337"/>
        <v>0</v>
      </c>
      <c r="BI399" s="123">
        <f t="shared" si="337"/>
        <v>0</v>
      </c>
      <c r="BJ399" s="123">
        <f t="shared" si="337"/>
        <v>0</v>
      </c>
      <c r="BK399" s="123">
        <f t="shared" si="337"/>
        <v>0</v>
      </c>
      <c r="BL399" s="123">
        <f t="shared" si="337"/>
        <v>0</v>
      </c>
      <c r="BM399" s="123">
        <f t="shared" si="337"/>
        <v>0</v>
      </c>
      <c r="BN399" s="159">
        <f t="shared" si="337"/>
        <v>0</v>
      </c>
    </row>
    <row r="400" spans="32:66" ht="20.100000000000001" customHeight="1">
      <c r="AF400" s="1560"/>
      <c r="AG400" s="107" t="s">
        <v>867</v>
      </c>
      <c r="AH400" s="131"/>
      <c r="AI400" s="107">
        <f>INDEX('DEFAULT DATA'!$WD$9:$WJ$41,START!$C$3,6)</f>
        <v>0</v>
      </c>
      <c r="AJ400" s="63">
        <f>INDEX('DEFAULT DATA'!$YR$9:$YY$41,START!$C$3,7)</f>
        <v>1736.7497874554833</v>
      </c>
      <c r="AK400" s="180">
        <v>0</v>
      </c>
      <c r="AL400" s="123">
        <f t="shared" ref="AL400:BN400" si="338">IF(AND(AL$373&gt;($D$96+2020),AL$373&lt;($E$96+2022)),AK400+($AI$400*$AJ$400*((100-$F$96)/100)*ROUND(($C$96/100*$B$96)/($E$96-$D$96+1),0)/1000000),AK400)</f>
        <v>0</v>
      </c>
      <c r="AM400" s="123">
        <f t="shared" si="338"/>
        <v>0</v>
      </c>
      <c r="AN400" s="123">
        <f t="shared" si="338"/>
        <v>0</v>
      </c>
      <c r="AO400" s="123">
        <f t="shared" si="338"/>
        <v>0</v>
      </c>
      <c r="AP400" s="123">
        <f t="shared" si="338"/>
        <v>0</v>
      </c>
      <c r="AQ400" s="123">
        <f t="shared" si="338"/>
        <v>0</v>
      </c>
      <c r="AR400" s="123">
        <f t="shared" si="338"/>
        <v>0</v>
      </c>
      <c r="AS400" s="123">
        <f t="shared" si="338"/>
        <v>0</v>
      </c>
      <c r="AT400" s="123">
        <f t="shared" si="338"/>
        <v>0</v>
      </c>
      <c r="AU400" s="123">
        <f t="shared" si="338"/>
        <v>0</v>
      </c>
      <c r="AV400" s="123">
        <f t="shared" si="338"/>
        <v>0</v>
      </c>
      <c r="AW400" s="123">
        <f t="shared" si="338"/>
        <v>0</v>
      </c>
      <c r="AX400" s="123">
        <f t="shared" si="338"/>
        <v>0</v>
      </c>
      <c r="AY400" s="123">
        <f t="shared" si="338"/>
        <v>0</v>
      </c>
      <c r="AZ400" s="123">
        <f t="shared" si="338"/>
        <v>0</v>
      </c>
      <c r="BA400" s="123">
        <f t="shared" si="338"/>
        <v>0</v>
      </c>
      <c r="BB400" s="123">
        <f t="shared" si="338"/>
        <v>0</v>
      </c>
      <c r="BC400" s="123">
        <f t="shared" si="338"/>
        <v>0</v>
      </c>
      <c r="BD400" s="123">
        <f t="shared" si="338"/>
        <v>0</v>
      </c>
      <c r="BE400" s="123">
        <f t="shared" si="338"/>
        <v>0</v>
      </c>
      <c r="BF400" s="123">
        <f t="shared" si="338"/>
        <v>0</v>
      </c>
      <c r="BG400" s="123">
        <f t="shared" si="338"/>
        <v>0</v>
      </c>
      <c r="BH400" s="123">
        <f t="shared" si="338"/>
        <v>0</v>
      </c>
      <c r="BI400" s="123">
        <f t="shared" si="338"/>
        <v>0</v>
      </c>
      <c r="BJ400" s="123">
        <f t="shared" si="338"/>
        <v>0</v>
      </c>
      <c r="BK400" s="123">
        <f t="shared" si="338"/>
        <v>0</v>
      </c>
      <c r="BL400" s="123">
        <f t="shared" si="338"/>
        <v>0</v>
      </c>
      <c r="BM400" s="123">
        <f t="shared" si="338"/>
        <v>0</v>
      </c>
      <c r="BN400" s="159">
        <f t="shared" si="338"/>
        <v>0</v>
      </c>
    </row>
    <row r="401" spans="32:66" ht="20.100000000000001" customHeight="1" thickBot="1">
      <c r="AF401" s="1561"/>
      <c r="AG401" s="146" t="s">
        <v>868</v>
      </c>
      <c r="AH401" s="139"/>
      <c r="AI401" s="146" t="s">
        <v>1123</v>
      </c>
      <c r="AJ401" s="113">
        <f>INDEX('DEFAULT DATA'!$YR$9:$YY$41,START!$C$3,8)</f>
        <v>434.18744686387083</v>
      </c>
      <c r="AK401" s="179">
        <v>0</v>
      </c>
      <c r="AL401" s="160">
        <f t="shared" ref="AL401:BN401" si="339">IF(AND(AL$373&gt;($D$96+2020),AL$373&lt;($E$96+2022)),AK401+(AL$6*$AJ$401*((100-$F$96)/100)*ROUND(($C$96/100*$B$96)/($E$96-$D$96+1),0)/1000000),AK401)</f>
        <v>0</v>
      </c>
      <c r="AM401" s="160">
        <f t="shared" si="339"/>
        <v>0</v>
      </c>
      <c r="AN401" s="160">
        <f t="shared" si="339"/>
        <v>0</v>
      </c>
      <c r="AO401" s="160">
        <f t="shared" si="339"/>
        <v>0</v>
      </c>
      <c r="AP401" s="160">
        <f t="shared" si="339"/>
        <v>0</v>
      </c>
      <c r="AQ401" s="160">
        <f t="shared" si="339"/>
        <v>0</v>
      </c>
      <c r="AR401" s="160">
        <f t="shared" si="339"/>
        <v>0</v>
      </c>
      <c r="AS401" s="160">
        <f t="shared" si="339"/>
        <v>0</v>
      </c>
      <c r="AT401" s="160">
        <f t="shared" si="339"/>
        <v>0</v>
      </c>
      <c r="AU401" s="160">
        <f t="shared" si="339"/>
        <v>0</v>
      </c>
      <c r="AV401" s="160">
        <f t="shared" si="339"/>
        <v>0</v>
      </c>
      <c r="AW401" s="160">
        <f t="shared" si="339"/>
        <v>0</v>
      </c>
      <c r="AX401" s="160">
        <f t="shared" si="339"/>
        <v>0</v>
      </c>
      <c r="AY401" s="160">
        <f t="shared" si="339"/>
        <v>0</v>
      </c>
      <c r="AZ401" s="160">
        <f t="shared" si="339"/>
        <v>0</v>
      </c>
      <c r="BA401" s="160">
        <f t="shared" si="339"/>
        <v>0</v>
      </c>
      <c r="BB401" s="160">
        <f t="shared" si="339"/>
        <v>0</v>
      </c>
      <c r="BC401" s="160">
        <f t="shared" si="339"/>
        <v>0</v>
      </c>
      <c r="BD401" s="160">
        <f t="shared" si="339"/>
        <v>0</v>
      </c>
      <c r="BE401" s="160">
        <f t="shared" si="339"/>
        <v>0</v>
      </c>
      <c r="BF401" s="160">
        <f t="shared" si="339"/>
        <v>0</v>
      </c>
      <c r="BG401" s="160">
        <f t="shared" si="339"/>
        <v>0</v>
      </c>
      <c r="BH401" s="160">
        <f t="shared" si="339"/>
        <v>0</v>
      </c>
      <c r="BI401" s="160">
        <f t="shared" si="339"/>
        <v>0</v>
      </c>
      <c r="BJ401" s="160">
        <f t="shared" si="339"/>
        <v>0</v>
      </c>
      <c r="BK401" s="160">
        <f t="shared" si="339"/>
        <v>0</v>
      </c>
      <c r="BL401" s="160">
        <f t="shared" si="339"/>
        <v>0</v>
      </c>
      <c r="BM401" s="160">
        <f t="shared" si="339"/>
        <v>0</v>
      </c>
      <c r="BN401" s="161">
        <f t="shared" si="339"/>
        <v>0</v>
      </c>
    </row>
    <row r="402" spans="32:66" ht="20.100000000000001" customHeight="1">
      <c r="AF402" s="167"/>
      <c r="AG402" s="136" t="s">
        <v>1082</v>
      </c>
      <c r="AH402" s="136"/>
      <c r="AI402" s="136"/>
      <c r="AJ402" s="136"/>
      <c r="AK402" s="177">
        <v>0</v>
      </c>
      <c r="AL402" s="162">
        <f>SUM(AL394:AL401)</f>
        <v>0</v>
      </c>
      <c r="AM402" s="162">
        <f t="shared" ref="AM402" si="340">SUM(AM394:AM401)</f>
        <v>0</v>
      </c>
      <c r="AN402" s="162">
        <f t="shared" ref="AN402" si="341">SUM(AN394:AN401)</f>
        <v>0</v>
      </c>
      <c r="AO402" s="162">
        <f t="shared" ref="AO402" si="342">SUM(AO394:AO401)</f>
        <v>0</v>
      </c>
      <c r="AP402" s="162">
        <f t="shared" ref="AP402" si="343">SUM(AP394:AP401)</f>
        <v>0</v>
      </c>
      <c r="AQ402" s="162">
        <f t="shared" ref="AQ402" si="344">SUM(AQ394:AQ401)</f>
        <v>0</v>
      </c>
      <c r="AR402" s="162">
        <f t="shared" ref="AR402" si="345">SUM(AR394:AR401)</f>
        <v>0</v>
      </c>
      <c r="AS402" s="162">
        <f t="shared" ref="AS402" si="346">SUM(AS394:AS401)</f>
        <v>0</v>
      </c>
      <c r="AT402" s="162">
        <f t="shared" ref="AT402" si="347">SUM(AT394:AT401)</f>
        <v>0</v>
      </c>
      <c r="AU402" s="162">
        <f t="shared" ref="AU402" si="348">SUM(AU394:AU401)</f>
        <v>0</v>
      </c>
      <c r="AV402" s="162">
        <f t="shared" ref="AV402" si="349">SUM(AV394:AV401)</f>
        <v>0</v>
      </c>
      <c r="AW402" s="162">
        <f t="shared" ref="AW402" si="350">SUM(AW394:AW401)</f>
        <v>0</v>
      </c>
      <c r="AX402" s="162">
        <f t="shared" ref="AX402" si="351">SUM(AX394:AX401)</f>
        <v>0</v>
      </c>
      <c r="AY402" s="162">
        <f t="shared" ref="AY402" si="352">SUM(AY394:AY401)</f>
        <v>0</v>
      </c>
      <c r="AZ402" s="162">
        <f t="shared" ref="AZ402" si="353">SUM(AZ394:AZ401)</f>
        <v>0</v>
      </c>
      <c r="BA402" s="162">
        <f t="shared" ref="BA402" si="354">SUM(BA394:BA401)</f>
        <v>0</v>
      </c>
      <c r="BB402" s="162">
        <f t="shared" ref="BB402" si="355">SUM(BB394:BB401)</f>
        <v>0</v>
      </c>
      <c r="BC402" s="162">
        <f t="shared" ref="BC402" si="356">SUM(BC394:BC401)</f>
        <v>0</v>
      </c>
      <c r="BD402" s="162">
        <f t="shared" ref="BD402" si="357">SUM(BD394:BD401)</f>
        <v>0</v>
      </c>
      <c r="BE402" s="162">
        <f t="shared" ref="BE402" si="358">SUM(BE394:BE401)</f>
        <v>0</v>
      </c>
      <c r="BF402" s="162">
        <f t="shared" ref="BF402" si="359">SUM(BF394:BF401)</f>
        <v>0</v>
      </c>
      <c r="BG402" s="162">
        <f t="shared" ref="BG402" si="360">SUM(BG394:BG401)</f>
        <v>0</v>
      </c>
      <c r="BH402" s="162">
        <f t="shared" ref="BH402" si="361">SUM(BH394:BH401)</f>
        <v>0</v>
      </c>
      <c r="BI402" s="162">
        <f t="shared" ref="BI402" si="362">SUM(BI394:BI401)</f>
        <v>0</v>
      </c>
      <c r="BJ402" s="162">
        <f t="shared" ref="BJ402" si="363">SUM(BJ394:BJ401)</f>
        <v>0</v>
      </c>
      <c r="BK402" s="162">
        <f t="shared" ref="BK402" si="364">SUM(BK394:BK401)</f>
        <v>0</v>
      </c>
      <c r="BL402" s="162">
        <f t="shared" ref="BL402" si="365">SUM(BL394:BL401)</f>
        <v>0</v>
      </c>
      <c r="BM402" s="162">
        <f t="shared" ref="BM402" si="366">SUM(BM394:BM401)</f>
        <v>0</v>
      </c>
      <c r="BN402" s="162">
        <f t="shared" ref="BN402" si="367">SUM(BN394:BN401)</f>
        <v>0</v>
      </c>
    </row>
    <row r="403" spans="32:66" ht="20.100000000000001" customHeight="1" thickBot="1"/>
    <row r="404" spans="32:66" ht="20.100000000000001" customHeight="1">
      <c r="AF404" s="1550" t="s">
        <v>859</v>
      </c>
      <c r="AG404" s="137" t="s">
        <v>578</v>
      </c>
      <c r="AH404" s="138"/>
      <c r="AI404" s="137" t="s">
        <v>1122</v>
      </c>
      <c r="AJ404" s="148">
        <f>INDEX('DEFAULT DATA'!$YZ$9:$ZG$41,START!$C$3,1)</f>
        <v>933.89772661810787</v>
      </c>
      <c r="AK404" s="178">
        <v>0</v>
      </c>
      <c r="AL404" s="163">
        <f t="shared" ref="AL404:BN404" si="368">IF(AND(AL$373&gt;($D$97+2020),AL$373&lt;($E$97+2022)),AK404+(AL$5*$AJ$404*((100-$F$97)/100)*ROUND(($C$97/100*$B$97)/($E$97-$D$97+1),0)/1000000),AK404)</f>
        <v>0</v>
      </c>
      <c r="AM404" s="163">
        <f t="shared" si="368"/>
        <v>0</v>
      </c>
      <c r="AN404" s="163">
        <f t="shared" si="368"/>
        <v>0</v>
      </c>
      <c r="AO404" s="163">
        <f t="shared" si="368"/>
        <v>0</v>
      </c>
      <c r="AP404" s="163">
        <f t="shared" si="368"/>
        <v>0</v>
      </c>
      <c r="AQ404" s="163">
        <f t="shared" si="368"/>
        <v>0</v>
      </c>
      <c r="AR404" s="163">
        <f t="shared" si="368"/>
        <v>0</v>
      </c>
      <c r="AS404" s="163">
        <f t="shared" si="368"/>
        <v>0</v>
      </c>
      <c r="AT404" s="163">
        <f t="shared" si="368"/>
        <v>0</v>
      </c>
      <c r="AU404" s="163">
        <f t="shared" si="368"/>
        <v>0</v>
      </c>
      <c r="AV404" s="163">
        <f t="shared" si="368"/>
        <v>0</v>
      </c>
      <c r="AW404" s="163">
        <f t="shared" si="368"/>
        <v>0</v>
      </c>
      <c r="AX404" s="163">
        <f t="shared" si="368"/>
        <v>0</v>
      </c>
      <c r="AY404" s="163">
        <f t="shared" si="368"/>
        <v>0</v>
      </c>
      <c r="AZ404" s="163">
        <f t="shared" si="368"/>
        <v>0</v>
      </c>
      <c r="BA404" s="163">
        <f t="shared" si="368"/>
        <v>0</v>
      </c>
      <c r="BB404" s="163">
        <f t="shared" si="368"/>
        <v>0</v>
      </c>
      <c r="BC404" s="163">
        <f t="shared" si="368"/>
        <v>0</v>
      </c>
      <c r="BD404" s="163">
        <f t="shared" si="368"/>
        <v>0</v>
      </c>
      <c r="BE404" s="163">
        <f t="shared" si="368"/>
        <v>0</v>
      </c>
      <c r="BF404" s="163">
        <f t="shared" si="368"/>
        <v>0</v>
      </c>
      <c r="BG404" s="163">
        <f t="shared" si="368"/>
        <v>0</v>
      </c>
      <c r="BH404" s="163">
        <f t="shared" si="368"/>
        <v>0</v>
      </c>
      <c r="BI404" s="163">
        <f t="shared" si="368"/>
        <v>0</v>
      </c>
      <c r="BJ404" s="163">
        <f t="shared" si="368"/>
        <v>0</v>
      </c>
      <c r="BK404" s="163">
        <f t="shared" si="368"/>
        <v>0</v>
      </c>
      <c r="BL404" s="163">
        <f t="shared" si="368"/>
        <v>0</v>
      </c>
      <c r="BM404" s="163">
        <f t="shared" si="368"/>
        <v>0</v>
      </c>
      <c r="BN404" s="164">
        <f t="shared" si="368"/>
        <v>0</v>
      </c>
    </row>
    <row r="405" spans="32:66" ht="20.100000000000001" customHeight="1">
      <c r="AF405" s="1551"/>
      <c r="AG405" s="107" t="s">
        <v>862</v>
      </c>
      <c r="AH405" s="131"/>
      <c r="AI405" s="107">
        <f>INDEX('DEFAULT DATA'!$WD$9:$WJ$41,START!$C$3,1)</f>
        <v>202</v>
      </c>
      <c r="AJ405" s="63">
        <f>INDEX('DEFAULT DATA'!$YZ$9:$ZG$41,START!$C$3,2)</f>
        <v>0</v>
      </c>
      <c r="AK405" s="180">
        <v>0</v>
      </c>
      <c r="AL405" s="123">
        <f t="shared" ref="AL405:BN405" si="369">IF(AND(AL$373&gt;($D$97+2020),AL$373&lt;($E$97+2022)),AK405+($AI$405*$AJ$405*((100-$F$97)/100)*ROUND(($C$97/100*$B$97)/($E$97-$D$97+1),0)/1000000),AK405)</f>
        <v>0</v>
      </c>
      <c r="AM405" s="123">
        <f t="shared" si="369"/>
        <v>0</v>
      </c>
      <c r="AN405" s="123">
        <f t="shared" si="369"/>
        <v>0</v>
      </c>
      <c r="AO405" s="123">
        <f t="shared" si="369"/>
        <v>0</v>
      </c>
      <c r="AP405" s="123">
        <f t="shared" si="369"/>
        <v>0</v>
      </c>
      <c r="AQ405" s="123">
        <f t="shared" si="369"/>
        <v>0</v>
      </c>
      <c r="AR405" s="123">
        <f t="shared" si="369"/>
        <v>0</v>
      </c>
      <c r="AS405" s="123">
        <f t="shared" si="369"/>
        <v>0</v>
      </c>
      <c r="AT405" s="123">
        <f t="shared" si="369"/>
        <v>0</v>
      </c>
      <c r="AU405" s="123">
        <f t="shared" si="369"/>
        <v>0</v>
      </c>
      <c r="AV405" s="123">
        <f t="shared" si="369"/>
        <v>0</v>
      </c>
      <c r="AW405" s="123">
        <f t="shared" si="369"/>
        <v>0</v>
      </c>
      <c r="AX405" s="123">
        <f t="shared" si="369"/>
        <v>0</v>
      </c>
      <c r="AY405" s="123">
        <f t="shared" si="369"/>
        <v>0</v>
      </c>
      <c r="AZ405" s="123">
        <f t="shared" si="369"/>
        <v>0</v>
      </c>
      <c r="BA405" s="123">
        <f t="shared" si="369"/>
        <v>0</v>
      </c>
      <c r="BB405" s="123">
        <f t="shared" si="369"/>
        <v>0</v>
      </c>
      <c r="BC405" s="123">
        <f t="shared" si="369"/>
        <v>0</v>
      </c>
      <c r="BD405" s="123">
        <f t="shared" si="369"/>
        <v>0</v>
      </c>
      <c r="BE405" s="123">
        <f t="shared" si="369"/>
        <v>0</v>
      </c>
      <c r="BF405" s="123">
        <f t="shared" si="369"/>
        <v>0</v>
      </c>
      <c r="BG405" s="123">
        <f t="shared" si="369"/>
        <v>0</v>
      </c>
      <c r="BH405" s="123">
        <f t="shared" si="369"/>
        <v>0</v>
      </c>
      <c r="BI405" s="123">
        <f t="shared" si="369"/>
        <v>0</v>
      </c>
      <c r="BJ405" s="123">
        <f t="shared" si="369"/>
        <v>0</v>
      </c>
      <c r="BK405" s="123">
        <f t="shared" si="369"/>
        <v>0</v>
      </c>
      <c r="BL405" s="123">
        <f t="shared" si="369"/>
        <v>0</v>
      </c>
      <c r="BM405" s="123">
        <f t="shared" si="369"/>
        <v>0</v>
      </c>
      <c r="BN405" s="159">
        <f t="shared" si="369"/>
        <v>0</v>
      </c>
    </row>
    <row r="406" spans="32:66" ht="20.100000000000001" customHeight="1">
      <c r="AF406" s="1551"/>
      <c r="AG406" s="107" t="s">
        <v>863</v>
      </c>
      <c r="AH406" s="131"/>
      <c r="AI406" s="107">
        <f>INDEX('DEFAULT DATA'!$WD$9:$WJ$41,START!$C$3,2)</f>
        <v>267</v>
      </c>
      <c r="AJ406" s="63">
        <f>INDEX('DEFAULT DATA'!$YZ$9:$ZG$41,START!$C$3,3)</f>
        <v>0</v>
      </c>
      <c r="AK406" s="180">
        <v>0</v>
      </c>
      <c r="AL406" s="123">
        <f t="shared" ref="AL406:BN406" si="370">IF(AND(AL$373&gt;($D$97+2020),AL$373&lt;($E$97+2022)),AK406+($AI$406*$AJ$406*((100-$F$97)/100)*ROUND(($C$97/100*$B$97)/($E$97-$D$97+1),0)/1000000),AK406)</f>
        <v>0</v>
      </c>
      <c r="AM406" s="123">
        <f t="shared" si="370"/>
        <v>0</v>
      </c>
      <c r="AN406" s="123">
        <f t="shared" si="370"/>
        <v>0</v>
      </c>
      <c r="AO406" s="123">
        <f t="shared" si="370"/>
        <v>0</v>
      </c>
      <c r="AP406" s="123">
        <f t="shared" si="370"/>
        <v>0</v>
      </c>
      <c r="AQ406" s="123">
        <f t="shared" si="370"/>
        <v>0</v>
      </c>
      <c r="AR406" s="123">
        <f t="shared" si="370"/>
        <v>0</v>
      </c>
      <c r="AS406" s="123">
        <f t="shared" si="370"/>
        <v>0</v>
      </c>
      <c r="AT406" s="123">
        <f t="shared" si="370"/>
        <v>0</v>
      </c>
      <c r="AU406" s="123">
        <f t="shared" si="370"/>
        <v>0</v>
      </c>
      <c r="AV406" s="123">
        <f t="shared" si="370"/>
        <v>0</v>
      </c>
      <c r="AW406" s="123">
        <f t="shared" si="370"/>
        <v>0</v>
      </c>
      <c r="AX406" s="123">
        <f t="shared" si="370"/>
        <v>0</v>
      </c>
      <c r="AY406" s="123">
        <f t="shared" si="370"/>
        <v>0</v>
      </c>
      <c r="AZ406" s="123">
        <f t="shared" si="370"/>
        <v>0</v>
      </c>
      <c r="BA406" s="123">
        <f t="shared" si="370"/>
        <v>0</v>
      </c>
      <c r="BB406" s="123">
        <f t="shared" si="370"/>
        <v>0</v>
      </c>
      <c r="BC406" s="123">
        <f t="shared" si="370"/>
        <v>0</v>
      </c>
      <c r="BD406" s="123">
        <f t="shared" si="370"/>
        <v>0</v>
      </c>
      <c r="BE406" s="123">
        <f t="shared" si="370"/>
        <v>0</v>
      </c>
      <c r="BF406" s="123">
        <f t="shared" si="370"/>
        <v>0</v>
      </c>
      <c r="BG406" s="123">
        <f t="shared" si="370"/>
        <v>0</v>
      </c>
      <c r="BH406" s="123">
        <f t="shared" si="370"/>
        <v>0</v>
      </c>
      <c r="BI406" s="123">
        <f t="shared" si="370"/>
        <v>0</v>
      </c>
      <c r="BJ406" s="123">
        <f t="shared" si="370"/>
        <v>0</v>
      </c>
      <c r="BK406" s="123">
        <f t="shared" si="370"/>
        <v>0</v>
      </c>
      <c r="BL406" s="123">
        <f t="shared" si="370"/>
        <v>0</v>
      </c>
      <c r="BM406" s="123">
        <f t="shared" si="370"/>
        <v>0</v>
      </c>
      <c r="BN406" s="159">
        <f t="shared" si="370"/>
        <v>0</v>
      </c>
    </row>
    <row r="407" spans="32:66" ht="20.100000000000001" customHeight="1">
      <c r="AF407" s="1551"/>
      <c r="AG407" s="107" t="s">
        <v>864</v>
      </c>
      <c r="AH407" s="131"/>
      <c r="AI407" s="107">
        <f>INDEX('DEFAULT DATA'!$WD$9:$WJ$41,START!$C$3,3)</f>
        <v>354</v>
      </c>
      <c r="AJ407" s="63">
        <f>INDEX('DEFAULT DATA'!$YZ$9:$ZG$41,START!$C$3,4)</f>
        <v>0</v>
      </c>
      <c r="AK407" s="180">
        <v>0</v>
      </c>
      <c r="AL407" s="123">
        <f t="shared" ref="AL407:BN407" si="371">IF(AND(AL$373&gt;($D$97+2020),AL$373&lt;($E$97+2022)),AK407+($AI$407*$AJ$407*((100-$F$97)/100)*ROUND(($C$97/100*$B$97)/($E$97-$D$97+1),0)/1000000),AK407)</f>
        <v>0</v>
      </c>
      <c r="AM407" s="123">
        <f t="shared" si="371"/>
        <v>0</v>
      </c>
      <c r="AN407" s="123">
        <f t="shared" si="371"/>
        <v>0</v>
      </c>
      <c r="AO407" s="123">
        <f t="shared" si="371"/>
        <v>0</v>
      </c>
      <c r="AP407" s="123">
        <f t="shared" si="371"/>
        <v>0</v>
      </c>
      <c r="AQ407" s="123">
        <f t="shared" si="371"/>
        <v>0</v>
      </c>
      <c r="AR407" s="123">
        <f t="shared" si="371"/>
        <v>0</v>
      </c>
      <c r="AS407" s="123">
        <f t="shared" si="371"/>
        <v>0</v>
      </c>
      <c r="AT407" s="123">
        <f t="shared" si="371"/>
        <v>0</v>
      </c>
      <c r="AU407" s="123">
        <f t="shared" si="371"/>
        <v>0</v>
      </c>
      <c r="AV407" s="123">
        <f t="shared" si="371"/>
        <v>0</v>
      </c>
      <c r="AW407" s="123">
        <f t="shared" si="371"/>
        <v>0</v>
      </c>
      <c r="AX407" s="123">
        <f t="shared" si="371"/>
        <v>0</v>
      </c>
      <c r="AY407" s="123">
        <f t="shared" si="371"/>
        <v>0</v>
      </c>
      <c r="AZ407" s="123">
        <f t="shared" si="371"/>
        <v>0</v>
      </c>
      <c r="BA407" s="123">
        <f t="shared" si="371"/>
        <v>0</v>
      </c>
      <c r="BB407" s="123">
        <f t="shared" si="371"/>
        <v>0</v>
      </c>
      <c r="BC407" s="123">
        <f t="shared" si="371"/>
        <v>0</v>
      </c>
      <c r="BD407" s="123">
        <f t="shared" si="371"/>
        <v>0</v>
      </c>
      <c r="BE407" s="123">
        <f t="shared" si="371"/>
        <v>0</v>
      </c>
      <c r="BF407" s="123">
        <f t="shared" si="371"/>
        <v>0</v>
      </c>
      <c r="BG407" s="123">
        <f t="shared" si="371"/>
        <v>0</v>
      </c>
      <c r="BH407" s="123">
        <f t="shared" si="371"/>
        <v>0</v>
      </c>
      <c r="BI407" s="123">
        <f t="shared" si="371"/>
        <v>0</v>
      </c>
      <c r="BJ407" s="123">
        <f t="shared" si="371"/>
        <v>0</v>
      </c>
      <c r="BK407" s="123">
        <f t="shared" si="371"/>
        <v>0</v>
      </c>
      <c r="BL407" s="123">
        <f t="shared" si="371"/>
        <v>0</v>
      </c>
      <c r="BM407" s="123">
        <f t="shared" si="371"/>
        <v>0</v>
      </c>
      <c r="BN407" s="159">
        <f t="shared" si="371"/>
        <v>0</v>
      </c>
    </row>
    <row r="408" spans="32:66" ht="20.100000000000001" customHeight="1">
      <c r="AF408" s="1551"/>
      <c r="AG408" s="107" t="s">
        <v>865</v>
      </c>
      <c r="AH408" s="131"/>
      <c r="AI408" s="107">
        <f>INDEX('DEFAULT DATA'!$WD$9:$WJ$41,START!$C$3,4)</f>
        <v>382</v>
      </c>
      <c r="AJ408" s="63">
        <f>INDEX('DEFAULT DATA'!$YZ$9:$ZG$41,START!$C$3,5)</f>
        <v>0</v>
      </c>
      <c r="AK408" s="180">
        <v>0</v>
      </c>
      <c r="AL408" s="123">
        <f t="shared" ref="AL408:BN408" si="372">IF(AND(AL$373&gt;($D$97+2020),AL$373&lt;($E$97+2022)),AK408+($AI$408*$AJ$408*((100-$F$97)/100)*ROUND(($C$97/100*$B$97)/($E$97-$D$97+1),0)/1000000),AK408)</f>
        <v>0</v>
      </c>
      <c r="AM408" s="123">
        <f t="shared" si="372"/>
        <v>0</v>
      </c>
      <c r="AN408" s="123">
        <f t="shared" si="372"/>
        <v>0</v>
      </c>
      <c r="AO408" s="123">
        <f t="shared" si="372"/>
        <v>0</v>
      </c>
      <c r="AP408" s="123">
        <f t="shared" si="372"/>
        <v>0</v>
      </c>
      <c r="AQ408" s="123">
        <f t="shared" si="372"/>
        <v>0</v>
      </c>
      <c r="AR408" s="123">
        <f t="shared" si="372"/>
        <v>0</v>
      </c>
      <c r="AS408" s="123">
        <f t="shared" si="372"/>
        <v>0</v>
      </c>
      <c r="AT408" s="123">
        <f t="shared" si="372"/>
        <v>0</v>
      </c>
      <c r="AU408" s="123">
        <f t="shared" si="372"/>
        <v>0</v>
      </c>
      <c r="AV408" s="123">
        <f t="shared" si="372"/>
        <v>0</v>
      </c>
      <c r="AW408" s="123">
        <f t="shared" si="372"/>
        <v>0</v>
      </c>
      <c r="AX408" s="123">
        <f t="shared" si="372"/>
        <v>0</v>
      </c>
      <c r="AY408" s="123">
        <f t="shared" si="372"/>
        <v>0</v>
      </c>
      <c r="AZ408" s="123">
        <f t="shared" si="372"/>
        <v>0</v>
      </c>
      <c r="BA408" s="123">
        <f t="shared" si="372"/>
        <v>0</v>
      </c>
      <c r="BB408" s="123">
        <f t="shared" si="372"/>
        <v>0</v>
      </c>
      <c r="BC408" s="123">
        <f t="shared" si="372"/>
        <v>0</v>
      </c>
      <c r="BD408" s="123">
        <f t="shared" si="372"/>
        <v>0</v>
      </c>
      <c r="BE408" s="123">
        <f t="shared" si="372"/>
        <v>0</v>
      </c>
      <c r="BF408" s="123">
        <f t="shared" si="372"/>
        <v>0</v>
      </c>
      <c r="BG408" s="123">
        <f t="shared" si="372"/>
        <v>0</v>
      </c>
      <c r="BH408" s="123">
        <f t="shared" si="372"/>
        <v>0</v>
      </c>
      <c r="BI408" s="123">
        <f t="shared" si="372"/>
        <v>0</v>
      </c>
      <c r="BJ408" s="123">
        <f t="shared" si="372"/>
        <v>0</v>
      </c>
      <c r="BK408" s="123">
        <f t="shared" si="372"/>
        <v>0</v>
      </c>
      <c r="BL408" s="123">
        <f t="shared" si="372"/>
        <v>0</v>
      </c>
      <c r="BM408" s="123">
        <f t="shared" si="372"/>
        <v>0</v>
      </c>
      <c r="BN408" s="159">
        <f t="shared" si="372"/>
        <v>0</v>
      </c>
    </row>
    <row r="409" spans="32:66" ht="20.100000000000001" customHeight="1">
      <c r="AF409" s="1551"/>
      <c r="AG409" s="107" t="s">
        <v>866</v>
      </c>
      <c r="AH409" s="131"/>
      <c r="AI409" s="107">
        <f>INDEX('DEFAULT DATA'!$WD$9:$WJ$41,START!$C$3,5)</f>
        <v>403</v>
      </c>
      <c r="AJ409" s="63">
        <f>INDEX('DEFAULT DATA'!$YZ$9:$ZG$41,START!$C$3,6)</f>
        <v>0</v>
      </c>
      <c r="AK409" s="180">
        <v>0</v>
      </c>
      <c r="AL409" s="123">
        <f t="shared" ref="AL409:BN409" si="373">IF(AND(AL$373&gt;($D$97+2020),AL$373&lt;($E$97+2022)),AK409+($AI$409*$AJ$409*((100-$F$97)/100)*ROUND(($C$97/100*$B$97)/($E$97-$D$97+1),0)/1000000),AK409)</f>
        <v>0</v>
      </c>
      <c r="AM409" s="123">
        <f t="shared" si="373"/>
        <v>0</v>
      </c>
      <c r="AN409" s="123">
        <f t="shared" si="373"/>
        <v>0</v>
      </c>
      <c r="AO409" s="123">
        <f t="shared" si="373"/>
        <v>0</v>
      </c>
      <c r="AP409" s="123">
        <f t="shared" si="373"/>
        <v>0</v>
      </c>
      <c r="AQ409" s="123">
        <f t="shared" si="373"/>
        <v>0</v>
      </c>
      <c r="AR409" s="123">
        <f t="shared" si="373"/>
        <v>0</v>
      </c>
      <c r="AS409" s="123">
        <f t="shared" si="373"/>
        <v>0</v>
      </c>
      <c r="AT409" s="123">
        <f t="shared" si="373"/>
        <v>0</v>
      </c>
      <c r="AU409" s="123">
        <f t="shared" si="373"/>
        <v>0</v>
      </c>
      <c r="AV409" s="123">
        <f t="shared" si="373"/>
        <v>0</v>
      </c>
      <c r="AW409" s="123">
        <f t="shared" si="373"/>
        <v>0</v>
      </c>
      <c r="AX409" s="123">
        <f t="shared" si="373"/>
        <v>0</v>
      </c>
      <c r="AY409" s="123">
        <f t="shared" si="373"/>
        <v>0</v>
      </c>
      <c r="AZ409" s="123">
        <f t="shared" si="373"/>
        <v>0</v>
      </c>
      <c r="BA409" s="123">
        <f t="shared" si="373"/>
        <v>0</v>
      </c>
      <c r="BB409" s="123">
        <f t="shared" si="373"/>
        <v>0</v>
      </c>
      <c r="BC409" s="123">
        <f t="shared" si="373"/>
        <v>0</v>
      </c>
      <c r="BD409" s="123">
        <f t="shared" si="373"/>
        <v>0</v>
      </c>
      <c r="BE409" s="123">
        <f t="shared" si="373"/>
        <v>0</v>
      </c>
      <c r="BF409" s="123">
        <f t="shared" si="373"/>
        <v>0</v>
      </c>
      <c r="BG409" s="123">
        <f t="shared" si="373"/>
        <v>0</v>
      </c>
      <c r="BH409" s="123">
        <f t="shared" si="373"/>
        <v>0</v>
      </c>
      <c r="BI409" s="123">
        <f t="shared" si="373"/>
        <v>0</v>
      </c>
      <c r="BJ409" s="123">
        <f t="shared" si="373"/>
        <v>0</v>
      </c>
      <c r="BK409" s="123">
        <f t="shared" si="373"/>
        <v>0</v>
      </c>
      <c r="BL409" s="123">
        <f t="shared" si="373"/>
        <v>0</v>
      </c>
      <c r="BM409" s="123">
        <f t="shared" si="373"/>
        <v>0</v>
      </c>
      <c r="BN409" s="159">
        <f t="shared" si="373"/>
        <v>0</v>
      </c>
    </row>
    <row r="410" spans="32:66" ht="20.100000000000001" customHeight="1">
      <c r="AF410" s="1551"/>
      <c r="AG410" s="107" t="s">
        <v>867</v>
      </c>
      <c r="AH410" s="131"/>
      <c r="AI410" s="107">
        <f>INDEX('DEFAULT DATA'!$WD$9:$WJ$41,START!$C$3,6)</f>
        <v>0</v>
      </c>
      <c r="AJ410" s="63">
        <f>INDEX('DEFAULT DATA'!$YZ$9:$ZG$41,START!$C$3,7)</f>
        <v>2668.2792189088791</v>
      </c>
      <c r="AK410" s="180">
        <v>0</v>
      </c>
      <c r="AL410" s="123">
        <f t="shared" ref="AL410:BN410" si="374">IF(AND(AL$373&gt;($D$97+2020),AL$373&lt;($E$97+2022)),AK410+($AI$410*$AJ$410*((100-$F$97)/100)*ROUND(($C$97/100*$B$97)/($E$97-$D$97+1),0)/1000000),AK410)</f>
        <v>0</v>
      </c>
      <c r="AM410" s="123">
        <f t="shared" si="374"/>
        <v>0</v>
      </c>
      <c r="AN410" s="123">
        <f t="shared" si="374"/>
        <v>0</v>
      </c>
      <c r="AO410" s="123">
        <f t="shared" si="374"/>
        <v>0</v>
      </c>
      <c r="AP410" s="123">
        <f t="shared" si="374"/>
        <v>0</v>
      </c>
      <c r="AQ410" s="123">
        <f t="shared" si="374"/>
        <v>0</v>
      </c>
      <c r="AR410" s="123">
        <f t="shared" si="374"/>
        <v>0</v>
      </c>
      <c r="AS410" s="123">
        <f t="shared" si="374"/>
        <v>0</v>
      </c>
      <c r="AT410" s="123">
        <f t="shared" si="374"/>
        <v>0</v>
      </c>
      <c r="AU410" s="123">
        <f t="shared" si="374"/>
        <v>0</v>
      </c>
      <c r="AV410" s="123">
        <f t="shared" si="374"/>
        <v>0</v>
      </c>
      <c r="AW410" s="123">
        <f t="shared" si="374"/>
        <v>0</v>
      </c>
      <c r="AX410" s="123">
        <f t="shared" si="374"/>
        <v>0</v>
      </c>
      <c r="AY410" s="123">
        <f t="shared" si="374"/>
        <v>0</v>
      </c>
      <c r="AZ410" s="123">
        <f t="shared" si="374"/>
        <v>0</v>
      </c>
      <c r="BA410" s="123">
        <f t="shared" si="374"/>
        <v>0</v>
      </c>
      <c r="BB410" s="123">
        <f t="shared" si="374"/>
        <v>0</v>
      </c>
      <c r="BC410" s="123">
        <f t="shared" si="374"/>
        <v>0</v>
      </c>
      <c r="BD410" s="123">
        <f t="shared" si="374"/>
        <v>0</v>
      </c>
      <c r="BE410" s="123">
        <f t="shared" si="374"/>
        <v>0</v>
      </c>
      <c r="BF410" s="123">
        <f t="shared" si="374"/>
        <v>0</v>
      </c>
      <c r="BG410" s="123">
        <f t="shared" si="374"/>
        <v>0</v>
      </c>
      <c r="BH410" s="123">
        <f t="shared" si="374"/>
        <v>0</v>
      </c>
      <c r="BI410" s="123">
        <f t="shared" si="374"/>
        <v>0</v>
      </c>
      <c r="BJ410" s="123">
        <f t="shared" si="374"/>
        <v>0</v>
      </c>
      <c r="BK410" s="123">
        <f t="shared" si="374"/>
        <v>0</v>
      </c>
      <c r="BL410" s="123">
        <f t="shared" si="374"/>
        <v>0</v>
      </c>
      <c r="BM410" s="123">
        <f t="shared" si="374"/>
        <v>0</v>
      </c>
      <c r="BN410" s="159">
        <f t="shared" si="374"/>
        <v>0</v>
      </c>
    </row>
    <row r="411" spans="32:66" ht="20.100000000000001" customHeight="1" thickBot="1">
      <c r="AF411" s="1552"/>
      <c r="AG411" s="146" t="s">
        <v>868</v>
      </c>
      <c r="AH411" s="139"/>
      <c r="AI411" s="146" t="s">
        <v>1123</v>
      </c>
      <c r="AJ411" s="113">
        <f>INDEX('DEFAULT DATA'!$YZ$9:$ZG$41,START!$C$3,8)</f>
        <v>667.06980472721978</v>
      </c>
      <c r="AK411" s="179">
        <v>0</v>
      </c>
      <c r="AL411" s="160">
        <f t="shared" ref="AL411:BN411" si="375">IF(AND(AL$373&gt;($D$97+2020),AL$373&lt;($E$97+2022)),AK411+(AL$6*$AJ$411*((100-$F$97)/100)*ROUND(($C$97/100*$B$97)/($E$97-$D$97+1),0)/1000000),AK411)</f>
        <v>0</v>
      </c>
      <c r="AM411" s="160">
        <f t="shared" si="375"/>
        <v>0</v>
      </c>
      <c r="AN411" s="160">
        <f t="shared" si="375"/>
        <v>0</v>
      </c>
      <c r="AO411" s="160">
        <f t="shared" si="375"/>
        <v>0</v>
      </c>
      <c r="AP411" s="160">
        <f t="shared" si="375"/>
        <v>0</v>
      </c>
      <c r="AQ411" s="160">
        <f t="shared" si="375"/>
        <v>0</v>
      </c>
      <c r="AR411" s="160">
        <f t="shared" si="375"/>
        <v>0</v>
      </c>
      <c r="AS411" s="160">
        <f t="shared" si="375"/>
        <v>0</v>
      </c>
      <c r="AT411" s="160">
        <f t="shared" si="375"/>
        <v>0</v>
      </c>
      <c r="AU411" s="160">
        <f t="shared" si="375"/>
        <v>0</v>
      </c>
      <c r="AV411" s="160">
        <f t="shared" si="375"/>
        <v>0</v>
      </c>
      <c r="AW411" s="160">
        <f t="shared" si="375"/>
        <v>0</v>
      </c>
      <c r="AX411" s="160">
        <f t="shared" si="375"/>
        <v>0</v>
      </c>
      <c r="AY411" s="160">
        <f t="shared" si="375"/>
        <v>0</v>
      </c>
      <c r="AZ411" s="160">
        <f t="shared" si="375"/>
        <v>0</v>
      </c>
      <c r="BA411" s="160">
        <f t="shared" si="375"/>
        <v>0</v>
      </c>
      <c r="BB411" s="160">
        <f t="shared" si="375"/>
        <v>0</v>
      </c>
      <c r="BC411" s="160">
        <f t="shared" si="375"/>
        <v>0</v>
      </c>
      <c r="BD411" s="160">
        <f t="shared" si="375"/>
        <v>0</v>
      </c>
      <c r="BE411" s="160">
        <f t="shared" si="375"/>
        <v>0</v>
      </c>
      <c r="BF411" s="160">
        <f t="shared" si="375"/>
        <v>0</v>
      </c>
      <c r="BG411" s="160">
        <f t="shared" si="375"/>
        <v>0</v>
      </c>
      <c r="BH411" s="160">
        <f t="shared" si="375"/>
        <v>0</v>
      </c>
      <c r="BI411" s="160">
        <f t="shared" si="375"/>
        <v>0</v>
      </c>
      <c r="BJ411" s="160">
        <f t="shared" si="375"/>
        <v>0</v>
      </c>
      <c r="BK411" s="160">
        <f t="shared" si="375"/>
        <v>0</v>
      </c>
      <c r="BL411" s="160">
        <f t="shared" si="375"/>
        <v>0</v>
      </c>
      <c r="BM411" s="160">
        <f t="shared" si="375"/>
        <v>0</v>
      </c>
      <c r="BN411" s="161">
        <f t="shared" si="375"/>
        <v>0</v>
      </c>
    </row>
    <row r="412" spans="32:66" ht="20.100000000000001" customHeight="1">
      <c r="AF412" s="140"/>
      <c r="AG412" s="136" t="s">
        <v>1083</v>
      </c>
      <c r="AH412" s="136"/>
      <c r="AI412" s="136"/>
      <c r="AJ412" s="136"/>
      <c r="AK412" s="177">
        <v>0</v>
      </c>
      <c r="AL412" s="162">
        <f>SUM(AL404:AL411)</f>
        <v>0</v>
      </c>
      <c r="AM412" s="162">
        <f t="shared" ref="AM412" si="376">SUM(AM404:AM411)</f>
        <v>0</v>
      </c>
      <c r="AN412" s="162">
        <f t="shared" ref="AN412" si="377">SUM(AN404:AN411)</f>
        <v>0</v>
      </c>
      <c r="AO412" s="162">
        <f t="shared" ref="AO412" si="378">SUM(AO404:AO411)</f>
        <v>0</v>
      </c>
      <c r="AP412" s="162">
        <f t="shared" ref="AP412" si="379">SUM(AP404:AP411)</f>
        <v>0</v>
      </c>
      <c r="AQ412" s="162">
        <f t="shared" ref="AQ412" si="380">SUM(AQ404:AQ411)</f>
        <v>0</v>
      </c>
      <c r="AR412" s="162">
        <f t="shared" ref="AR412" si="381">SUM(AR404:AR411)</f>
        <v>0</v>
      </c>
      <c r="AS412" s="162">
        <f t="shared" ref="AS412" si="382">SUM(AS404:AS411)</f>
        <v>0</v>
      </c>
      <c r="AT412" s="162">
        <f t="shared" ref="AT412" si="383">SUM(AT404:AT411)</f>
        <v>0</v>
      </c>
      <c r="AU412" s="162">
        <f t="shared" ref="AU412" si="384">SUM(AU404:AU411)</f>
        <v>0</v>
      </c>
      <c r="AV412" s="162">
        <f t="shared" ref="AV412" si="385">SUM(AV404:AV411)</f>
        <v>0</v>
      </c>
      <c r="AW412" s="162">
        <f t="shared" ref="AW412" si="386">SUM(AW404:AW411)</f>
        <v>0</v>
      </c>
      <c r="AX412" s="162">
        <f t="shared" ref="AX412" si="387">SUM(AX404:AX411)</f>
        <v>0</v>
      </c>
      <c r="AY412" s="162">
        <f t="shared" ref="AY412" si="388">SUM(AY404:AY411)</f>
        <v>0</v>
      </c>
      <c r="AZ412" s="162">
        <f t="shared" ref="AZ412" si="389">SUM(AZ404:AZ411)</f>
        <v>0</v>
      </c>
      <c r="BA412" s="162">
        <f t="shared" ref="BA412" si="390">SUM(BA404:BA411)</f>
        <v>0</v>
      </c>
      <c r="BB412" s="162">
        <f t="shared" ref="BB412" si="391">SUM(BB404:BB411)</f>
        <v>0</v>
      </c>
      <c r="BC412" s="162">
        <f t="shared" ref="BC412" si="392">SUM(BC404:BC411)</f>
        <v>0</v>
      </c>
      <c r="BD412" s="162">
        <f t="shared" ref="BD412" si="393">SUM(BD404:BD411)</f>
        <v>0</v>
      </c>
      <c r="BE412" s="162">
        <f t="shared" ref="BE412" si="394">SUM(BE404:BE411)</f>
        <v>0</v>
      </c>
      <c r="BF412" s="162">
        <f t="shared" ref="BF412" si="395">SUM(BF404:BF411)</f>
        <v>0</v>
      </c>
      <c r="BG412" s="162">
        <f t="shared" ref="BG412" si="396">SUM(BG404:BG411)</f>
        <v>0</v>
      </c>
      <c r="BH412" s="162">
        <f t="shared" ref="BH412" si="397">SUM(BH404:BH411)</f>
        <v>0</v>
      </c>
      <c r="BI412" s="162">
        <f t="shared" ref="BI412" si="398">SUM(BI404:BI411)</f>
        <v>0</v>
      </c>
      <c r="BJ412" s="162">
        <f t="shared" ref="BJ412" si="399">SUM(BJ404:BJ411)</f>
        <v>0</v>
      </c>
      <c r="BK412" s="162">
        <f t="shared" ref="BK412" si="400">SUM(BK404:BK411)</f>
        <v>0</v>
      </c>
      <c r="BL412" s="162">
        <f t="shared" ref="BL412" si="401">SUM(BL404:BL411)</f>
        <v>0</v>
      </c>
      <c r="BM412" s="162">
        <f t="shared" ref="BM412" si="402">SUM(BM404:BM411)</f>
        <v>0</v>
      </c>
      <c r="BN412" s="162">
        <f t="shared" ref="BN412" si="403">SUM(BN404:BN411)</f>
        <v>0</v>
      </c>
    </row>
    <row r="413" spans="32:66" ht="20.100000000000001" customHeight="1" thickBot="1"/>
    <row r="414" spans="32:66" ht="20.100000000000001" customHeight="1">
      <c r="AF414" s="1550" t="s">
        <v>870</v>
      </c>
      <c r="AG414" s="137" t="s">
        <v>578</v>
      </c>
      <c r="AH414" s="138"/>
      <c r="AI414" s="137" t="s">
        <v>1122</v>
      </c>
      <c r="AJ414" s="148">
        <f>INDEX('DEFAULT DATA'!$AHX$9:$AIE$41,START!$C$3,1)</f>
        <v>165</v>
      </c>
      <c r="AK414" s="178">
        <v>0</v>
      </c>
      <c r="AL414" s="157">
        <f t="shared" ref="AL414:BN414" si="404">IF(AND(AL$373&gt;($D$101+2020),AL$373&lt;($E$101+2022)),AK414+(AL$5*$AJ$414*((100-$F$101)/100)*ROUND(($C$101/100*$B$101)/($E$101-$D$101+1),0)/1000000),AK414)</f>
        <v>0</v>
      </c>
      <c r="AM414" s="157">
        <f t="shared" si="404"/>
        <v>0</v>
      </c>
      <c r="AN414" s="157">
        <f t="shared" si="404"/>
        <v>0</v>
      </c>
      <c r="AO414" s="157">
        <f t="shared" si="404"/>
        <v>0</v>
      </c>
      <c r="AP414" s="157">
        <f t="shared" si="404"/>
        <v>0</v>
      </c>
      <c r="AQ414" s="157">
        <f t="shared" si="404"/>
        <v>0</v>
      </c>
      <c r="AR414" s="157">
        <f t="shared" si="404"/>
        <v>0</v>
      </c>
      <c r="AS414" s="157">
        <f t="shared" si="404"/>
        <v>0</v>
      </c>
      <c r="AT414" s="157">
        <f t="shared" si="404"/>
        <v>0</v>
      </c>
      <c r="AU414" s="157">
        <f t="shared" si="404"/>
        <v>0</v>
      </c>
      <c r="AV414" s="157">
        <f t="shared" si="404"/>
        <v>0</v>
      </c>
      <c r="AW414" s="157">
        <f t="shared" si="404"/>
        <v>0</v>
      </c>
      <c r="AX414" s="157">
        <f t="shared" si="404"/>
        <v>0</v>
      </c>
      <c r="AY414" s="157">
        <f t="shared" si="404"/>
        <v>0</v>
      </c>
      <c r="AZ414" s="157">
        <f t="shared" si="404"/>
        <v>0</v>
      </c>
      <c r="BA414" s="157">
        <f t="shared" si="404"/>
        <v>0</v>
      </c>
      <c r="BB414" s="157">
        <f t="shared" si="404"/>
        <v>0</v>
      </c>
      <c r="BC414" s="157">
        <f t="shared" si="404"/>
        <v>0</v>
      </c>
      <c r="BD414" s="157">
        <f t="shared" si="404"/>
        <v>0</v>
      </c>
      <c r="BE414" s="157">
        <f t="shared" si="404"/>
        <v>0</v>
      </c>
      <c r="BF414" s="157">
        <f t="shared" si="404"/>
        <v>0</v>
      </c>
      <c r="BG414" s="157">
        <f t="shared" si="404"/>
        <v>0</v>
      </c>
      <c r="BH414" s="157">
        <f t="shared" si="404"/>
        <v>0</v>
      </c>
      <c r="BI414" s="157">
        <f t="shared" si="404"/>
        <v>0</v>
      </c>
      <c r="BJ414" s="157">
        <f t="shared" si="404"/>
        <v>0</v>
      </c>
      <c r="BK414" s="157">
        <f t="shared" si="404"/>
        <v>0</v>
      </c>
      <c r="BL414" s="157">
        <f t="shared" si="404"/>
        <v>0</v>
      </c>
      <c r="BM414" s="157">
        <f t="shared" si="404"/>
        <v>0</v>
      </c>
      <c r="BN414" s="158">
        <f t="shared" si="404"/>
        <v>0</v>
      </c>
    </row>
    <row r="415" spans="32:66" ht="20.100000000000001" customHeight="1">
      <c r="AF415" s="1551"/>
      <c r="AG415" s="107" t="s">
        <v>862</v>
      </c>
      <c r="AH415" s="131"/>
      <c r="AI415" s="107">
        <f>INDEX('DEFAULT DATA'!$WD$9:$WJ$41,START!$C$3,1)</f>
        <v>202</v>
      </c>
      <c r="AJ415" s="63">
        <f>INDEX('DEFAULT DATA'!$AHX$9:$AIE$41,START!$C$3,2)</f>
        <v>0</v>
      </c>
      <c r="AK415" s="180">
        <v>0</v>
      </c>
      <c r="AL415" s="123">
        <f t="shared" ref="AL415:BN415" si="405">IF(AND(AL$373&gt;($D$101+2020),AL$373&lt;($E$101+2022)),AK415+($AI$415*$AJ$415*((100-$F$101)/100)*ROUND(($C$101/100*$B$101)/($E$101-$D$101+1),0)/1000000),AK415)</f>
        <v>0</v>
      </c>
      <c r="AM415" s="123">
        <f t="shared" si="405"/>
        <v>0</v>
      </c>
      <c r="AN415" s="123">
        <f t="shared" si="405"/>
        <v>0</v>
      </c>
      <c r="AO415" s="123">
        <f t="shared" si="405"/>
        <v>0</v>
      </c>
      <c r="AP415" s="123">
        <f t="shared" si="405"/>
        <v>0</v>
      </c>
      <c r="AQ415" s="123">
        <f t="shared" si="405"/>
        <v>0</v>
      </c>
      <c r="AR415" s="123">
        <f t="shared" si="405"/>
        <v>0</v>
      </c>
      <c r="AS415" s="123">
        <f t="shared" si="405"/>
        <v>0</v>
      </c>
      <c r="AT415" s="123">
        <f t="shared" si="405"/>
        <v>0</v>
      </c>
      <c r="AU415" s="123">
        <f t="shared" si="405"/>
        <v>0</v>
      </c>
      <c r="AV415" s="123">
        <f t="shared" si="405"/>
        <v>0</v>
      </c>
      <c r="AW415" s="123">
        <f t="shared" si="405"/>
        <v>0</v>
      </c>
      <c r="AX415" s="123">
        <f t="shared" si="405"/>
        <v>0</v>
      </c>
      <c r="AY415" s="123">
        <f t="shared" si="405"/>
        <v>0</v>
      </c>
      <c r="AZ415" s="123">
        <f t="shared" si="405"/>
        <v>0</v>
      </c>
      <c r="BA415" s="123">
        <f t="shared" si="405"/>
        <v>0</v>
      </c>
      <c r="BB415" s="123">
        <f t="shared" si="405"/>
        <v>0</v>
      </c>
      <c r="BC415" s="123">
        <f t="shared" si="405"/>
        <v>0</v>
      </c>
      <c r="BD415" s="123">
        <f t="shared" si="405"/>
        <v>0</v>
      </c>
      <c r="BE415" s="123">
        <f t="shared" si="405"/>
        <v>0</v>
      </c>
      <c r="BF415" s="123">
        <f t="shared" si="405"/>
        <v>0</v>
      </c>
      <c r="BG415" s="123">
        <f t="shared" si="405"/>
        <v>0</v>
      </c>
      <c r="BH415" s="123">
        <f t="shared" si="405"/>
        <v>0</v>
      </c>
      <c r="BI415" s="123">
        <f t="shared" si="405"/>
        <v>0</v>
      </c>
      <c r="BJ415" s="123">
        <f t="shared" si="405"/>
        <v>0</v>
      </c>
      <c r="BK415" s="123">
        <f t="shared" si="405"/>
        <v>0</v>
      </c>
      <c r="BL415" s="123">
        <f t="shared" si="405"/>
        <v>0</v>
      </c>
      <c r="BM415" s="123">
        <f t="shared" si="405"/>
        <v>0</v>
      </c>
      <c r="BN415" s="159">
        <f t="shared" si="405"/>
        <v>0</v>
      </c>
    </row>
    <row r="416" spans="32:66" ht="20.100000000000001" customHeight="1">
      <c r="AF416" s="1551"/>
      <c r="AG416" s="107" t="s">
        <v>863</v>
      </c>
      <c r="AH416" s="131"/>
      <c r="AI416" s="107">
        <f>INDEX('DEFAULT DATA'!$WD$9:$WJ$41,START!$C$3,2)</f>
        <v>267</v>
      </c>
      <c r="AJ416" s="63">
        <f>INDEX('DEFAULT DATA'!$AHX$9:$AIE$41,START!$C$3,3)</f>
        <v>0</v>
      </c>
      <c r="AK416" s="180">
        <v>0</v>
      </c>
      <c r="AL416" s="123">
        <f t="shared" ref="AL416:BN416" si="406">IF(AND(AL$373&gt;($D$101+2020),AL$373&lt;($E$101+2022)),AK416+($AI$416*$AJ$416*((100-$F$101)/100)*ROUND(($C$101/100*$B$101)/($E$101-$D$101+1),0)/1000000),AK416)</f>
        <v>0</v>
      </c>
      <c r="AM416" s="123">
        <f t="shared" si="406"/>
        <v>0</v>
      </c>
      <c r="AN416" s="123">
        <f t="shared" si="406"/>
        <v>0</v>
      </c>
      <c r="AO416" s="123">
        <f t="shared" si="406"/>
        <v>0</v>
      </c>
      <c r="AP416" s="123">
        <f t="shared" si="406"/>
        <v>0</v>
      </c>
      <c r="AQ416" s="123">
        <f t="shared" si="406"/>
        <v>0</v>
      </c>
      <c r="AR416" s="123">
        <f t="shared" si="406"/>
        <v>0</v>
      </c>
      <c r="AS416" s="123">
        <f t="shared" si="406"/>
        <v>0</v>
      </c>
      <c r="AT416" s="123">
        <f t="shared" si="406"/>
        <v>0</v>
      </c>
      <c r="AU416" s="123">
        <f t="shared" si="406"/>
        <v>0</v>
      </c>
      <c r="AV416" s="123">
        <f t="shared" si="406"/>
        <v>0</v>
      </c>
      <c r="AW416" s="123">
        <f t="shared" si="406"/>
        <v>0</v>
      </c>
      <c r="AX416" s="123">
        <f t="shared" si="406"/>
        <v>0</v>
      </c>
      <c r="AY416" s="123">
        <f t="shared" si="406"/>
        <v>0</v>
      </c>
      <c r="AZ416" s="123">
        <f t="shared" si="406"/>
        <v>0</v>
      </c>
      <c r="BA416" s="123">
        <f t="shared" si="406"/>
        <v>0</v>
      </c>
      <c r="BB416" s="123">
        <f t="shared" si="406"/>
        <v>0</v>
      </c>
      <c r="BC416" s="123">
        <f t="shared" si="406"/>
        <v>0</v>
      </c>
      <c r="BD416" s="123">
        <f t="shared" si="406"/>
        <v>0</v>
      </c>
      <c r="BE416" s="123">
        <f t="shared" si="406"/>
        <v>0</v>
      </c>
      <c r="BF416" s="123">
        <f t="shared" si="406"/>
        <v>0</v>
      </c>
      <c r="BG416" s="123">
        <f t="shared" si="406"/>
        <v>0</v>
      </c>
      <c r="BH416" s="123">
        <f t="shared" si="406"/>
        <v>0</v>
      </c>
      <c r="BI416" s="123">
        <f t="shared" si="406"/>
        <v>0</v>
      </c>
      <c r="BJ416" s="123">
        <f t="shared" si="406"/>
        <v>0</v>
      </c>
      <c r="BK416" s="123">
        <f t="shared" si="406"/>
        <v>0</v>
      </c>
      <c r="BL416" s="123">
        <f t="shared" si="406"/>
        <v>0</v>
      </c>
      <c r="BM416" s="123">
        <f t="shared" si="406"/>
        <v>0</v>
      </c>
      <c r="BN416" s="159">
        <f t="shared" si="406"/>
        <v>0</v>
      </c>
    </row>
    <row r="417" spans="32:66" ht="20.100000000000001" customHeight="1">
      <c r="AF417" s="1551"/>
      <c r="AG417" s="107" t="s">
        <v>864</v>
      </c>
      <c r="AH417" s="131"/>
      <c r="AI417" s="107">
        <f>INDEX('DEFAULT DATA'!$WD$9:$WJ$41,START!$C$3,3)</f>
        <v>354</v>
      </c>
      <c r="AJ417" s="63">
        <f>INDEX('DEFAULT DATA'!$AHX$9:$AIE$41,START!$C$3,4)</f>
        <v>0</v>
      </c>
      <c r="AK417" s="180">
        <v>0</v>
      </c>
      <c r="AL417" s="123">
        <f t="shared" ref="AL417:BN417" si="407">IF(AND(AL$373&gt;($D$101+2020),AL$373&lt;($E$101+2022)),AK417+($AI$417*$AJ$417*((100-$F$101)/100)*ROUND(($C$101/100*$B$101)/($E$101-$D$101+1),0)/1000000),AK417)</f>
        <v>0</v>
      </c>
      <c r="AM417" s="123">
        <f t="shared" si="407"/>
        <v>0</v>
      </c>
      <c r="AN417" s="123">
        <f t="shared" si="407"/>
        <v>0</v>
      </c>
      <c r="AO417" s="123">
        <f t="shared" si="407"/>
        <v>0</v>
      </c>
      <c r="AP417" s="123">
        <f t="shared" si="407"/>
        <v>0</v>
      </c>
      <c r="AQ417" s="123">
        <f t="shared" si="407"/>
        <v>0</v>
      </c>
      <c r="AR417" s="123">
        <f t="shared" si="407"/>
        <v>0</v>
      </c>
      <c r="AS417" s="123">
        <f t="shared" si="407"/>
        <v>0</v>
      </c>
      <c r="AT417" s="123">
        <f t="shared" si="407"/>
        <v>0</v>
      </c>
      <c r="AU417" s="123">
        <f t="shared" si="407"/>
        <v>0</v>
      </c>
      <c r="AV417" s="123">
        <f t="shared" si="407"/>
        <v>0</v>
      </c>
      <c r="AW417" s="123">
        <f t="shared" si="407"/>
        <v>0</v>
      </c>
      <c r="AX417" s="123">
        <f t="shared" si="407"/>
        <v>0</v>
      </c>
      <c r="AY417" s="123">
        <f t="shared" si="407"/>
        <v>0</v>
      </c>
      <c r="AZ417" s="123">
        <f t="shared" si="407"/>
        <v>0</v>
      </c>
      <c r="BA417" s="123">
        <f t="shared" si="407"/>
        <v>0</v>
      </c>
      <c r="BB417" s="123">
        <f t="shared" si="407"/>
        <v>0</v>
      </c>
      <c r="BC417" s="123">
        <f t="shared" si="407"/>
        <v>0</v>
      </c>
      <c r="BD417" s="123">
        <f t="shared" si="407"/>
        <v>0</v>
      </c>
      <c r="BE417" s="123">
        <f t="shared" si="407"/>
        <v>0</v>
      </c>
      <c r="BF417" s="123">
        <f t="shared" si="407"/>
        <v>0</v>
      </c>
      <c r="BG417" s="123">
        <f t="shared" si="407"/>
        <v>0</v>
      </c>
      <c r="BH417" s="123">
        <f t="shared" si="407"/>
        <v>0</v>
      </c>
      <c r="BI417" s="123">
        <f t="shared" si="407"/>
        <v>0</v>
      </c>
      <c r="BJ417" s="123">
        <f t="shared" si="407"/>
        <v>0</v>
      </c>
      <c r="BK417" s="123">
        <f t="shared" si="407"/>
        <v>0</v>
      </c>
      <c r="BL417" s="123">
        <f t="shared" si="407"/>
        <v>0</v>
      </c>
      <c r="BM417" s="123">
        <f t="shared" si="407"/>
        <v>0</v>
      </c>
      <c r="BN417" s="159">
        <f t="shared" si="407"/>
        <v>0</v>
      </c>
    </row>
    <row r="418" spans="32:66" ht="20.100000000000001" customHeight="1">
      <c r="AF418" s="1551"/>
      <c r="AG418" s="107" t="s">
        <v>865</v>
      </c>
      <c r="AH418" s="131"/>
      <c r="AI418" s="107">
        <f>INDEX('DEFAULT DATA'!$WD$9:$WJ$41,START!$C$3,4)</f>
        <v>382</v>
      </c>
      <c r="AJ418" s="63">
        <f>INDEX('DEFAULT DATA'!$AHX$9:$AIE$41,START!$C$3,5)</f>
        <v>0</v>
      </c>
      <c r="AK418" s="180">
        <v>0</v>
      </c>
      <c r="AL418" s="123">
        <f t="shared" ref="AL418:BN418" si="408">IF(AND(AL$373&gt;($D$101+2020),AL$373&lt;($E$101+2022)),AK418+($AI$418*$AJ$418*((100-$F$101)/100)*ROUND(($C$101/100*$B$101)/($E$101-$D$101+1),0)/1000000),AK418)</f>
        <v>0</v>
      </c>
      <c r="AM418" s="123">
        <f t="shared" si="408"/>
        <v>0</v>
      </c>
      <c r="AN418" s="123">
        <f t="shared" si="408"/>
        <v>0</v>
      </c>
      <c r="AO418" s="123">
        <f t="shared" si="408"/>
        <v>0</v>
      </c>
      <c r="AP418" s="123">
        <f t="shared" si="408"/>
        <v>0</v>
      </c>
      <c r="AQ418" s="123">
        <f t="shared" si="408"/>
        <v>0</v>
      </c>
      <c r="AR418" s="123">
        <f t="shared" si="408"/>
        <v>0</v>
      </c>
      <c r="AS418" s="123">
        <f t="shared" si="408"/>
        <v>0</v>
      </c>
      <c r="AT418" s="123">
        <f t="shared" si="408"/>
        <v>0</v>
      </c>
      <c r="AU418" s="123">
        <f t="shared" si="408"/>
        <v>0</v>
      </c>
      <c r="AV418" s="123">
        <f t="shared" si="408"/>
        <v>0</v>
      </c>
      <c r="AW418" s="123">
        <f t="shared" si="408"/>
        <v>0</v>
      </c>
      <c r="AX418" s="123">
        <f t="shared" si="408"/>
        <v>0</v>
      </c>
      <c r="AY418" s="123">
        <f t="shared" si="408"/>
        <v>0</v>
      </c>
      <c r="AZ418" s="123">
        <f t="shared" si="408"/>
        <v>0</v>
      </c>
      <c r="BA418" s="123">
        <f t="shared" si="408"/>
        <v>0</v>
      </c>
      <c r="BB418" s="123">
        <f t="shared" si="408"/>
        <v>0</v>
      </c>
      <c r="BC418" s="123">
        <f t="shared" si="408"/>
        <v>0</v>
      </c>
      <c r="BD418" s="123">
        <f t="shared" si="408"/>
        <v>0</v>
      </c>
      <c r="BE418" s="123">
        <f t="shared" si="408"/>
        <v>0</v>
      </c>
      <c r="BF418" s="123">
        <f t="shared" si="408"/>
        <v>0</v>
      </c>
      <c r="BG418" s="123">
        <f t="shared" si="408"/>
        <v>0</v>
      </c>
      <c r="BH418" s="123">
        <f t="shared" si="408"/>
        <v>0</v>
      </c>
      <c r="BI418" s="123">
        <f t="shared" si="408"/>
        <v>0</v>
      </c>
      <c r="BJ418" s="123">
        <f t="shared" si="408"/>
        <v>0</v>
      </c>
      <c r="BK418" s="123">
        <f t="shared" si="408"/>
        <v>0</v>
      </c>
      <c r="BL418" s="123">
        <f t="shared" si="408"/>
        <v>0</v>
      </c>
      <c r="BM418" s="123">
        <f t="shared" si="408"/>
        <v>0</v>
      </c>
      <c r="BN418" s="159">
        <f t="shared" si="408"/>
        <v>0</v>
      </c>
    </row>
    <row r="419" spans="32:66" ht="20.100000000000001" customHeight="1">
      <c r="AF419" s="1551"/>
      <c r="AG419" s="107" t="s">
        <v>866</v>
      </c>
      <c r="AH419" s="131"/>
      <c r="AI419" s="107">
        <f>INDEX('DEFAULT DATA'!$WD$9:$WJ$41,START!$C$3,5)</f>
        <v>403</v>
      </c>
      <c r="AJ419" s="63">
        <f>INDEX('DEFAULT DATA'!$AHX$9:$AIE$41,START!$C$3,6)</f>
        <v>0</v>
      </c>
      <c r="AK419" s="180">
        <v>0</v>
      </c>
      <c r="AL419" s="123">
        <f t="shared" ref="AL419:BN419" si="409">IF(AND(AL$373&gt;($D$101+2020),AL$373&lt;($E$101+2022)),AK419+($AI$419*$AJ$419*((100-$F$101)/100)*ROUND(($C$101/100*$B$101)/($E$101-$D$101+1),0)/1000000),AK419)</f>
        <v>0</v>
      </c>
      <c r="AM419" s="123">
        <f t="shared" si="409"/>
        <v>0</v>
      </c>
      <c r="AN419" s="123">
        <f t="shared" si="409"/>
        <v>0</v>
      </c>
      <c r="AO419" s="123">
        <f t="shared" si="409"/>
        <v>0</v>
      </c>
      <c r="AP419" s="123">
        <f t="shared" si="409"/>
        <v>0</v>
      </c>
      <c r="AQ419" s="123">
        <f t="shared" si="409"/>
        <v>0</v>
      </c>
      <c r="AR419" s="123">
        <f t="shared" si="409"/>
        <v>0</v>
      </c>
      <c r="AS419" s="123">
        <f t="shared" si="409"/>
        <v>0</v>
      </c>
      <c r="AT419" s="123">
        <f t="shared" si="409"/>
        <v>0</v>
      </c>
      <c r="AU419" s="123">
        <f t="shared" si="409"/>
        <v>0</v>
      </c>
      <c r="AV419" s="123">
        <f t="shared" si="409"/>
        <v>0</v>
      </c>
      <c r="AW419" s="123">
        <f t="shared" si="409"/>
        <v>0</v>
      </c>
      <c r="AX419" s="123">
        <f t="shared" si="409"/>
        <v>0</v>
      </c>
      <c r="AY419" s="123">
        <f t="shared" si="409"/>
        <v>0</v>
      </c>
      <c r="AZ419" s="123">
        <f t="shared" si="409"/>
        <v>0</v>
      </c>
      <c r="BA419" s="123">
        <f t="shared" si="409"/>
        <v>0</v>
      </c>
      <c r="BB419" s="123">
        <f t="shared" si="409"/>
        <v>0</v>
      </c>
      <c r="BC419" s="123">
        <f t="shared" si="409"/>
        <v>0</v>
      </c>
      <c r="BD419" s="123">
        <f t="shared" si="409"/>
        <v>0</v>
      </c>
      <c r="BE419" s="123">
        <f t="shared" si="409"/>
        <v>0</v>
      </c>
      <c r="BF419" s="123">
        <f t="shared" si="409"/>
        <v>0</v>
      </c>
      <c r="BG419" s="123">
        <f t="shared" si="409"/>
        <v>0</v>
      </c>
      <c r="BH419" s="123">
        <f t="shared" si="409"/>
        <v>0</v>
      </c>
      <c r="BI419" s="123">
        <f t="shared" si="409"/>
        <v>0</v>
      </c>
      <c r="BJ419" s="123">
        <f t="shared" si="409"/>
        <v>0</v>
      </c>
      <c r="BK419" s="123">
        <f t="shared" si="409"/>
        <v>0</v>
      </c>
      <c r="BL419" s="123">
        <f t="shared" si="409"/>
        <v>0</v>
      </c>
      <c r="BM419" s="123">
        <f t="shared" si="409"/>
        <v>0</v>
      </c>
      <c r="BN419" s="159">
        <f t="shared" si="409"/>
        <v>0</v>
      </c>
    </row>
    <row r="420" spans="32:66" ht="20.100000000000001" customHeight="1">
      <c r="AF420" s="1551"/>
      <c r="AG420" s="107" t="s">
        <v>867</v>
      </c>
      <c r="AH420" s="131"/>
      <c r="AI420" s="107">
        <f>INDEX('DEFAULT DATA'!$WD$9:$WJ$41,START!$C$3,6)</f>
        <v>0</v>
      </c>
      <c r="AJ420" s="63">
        <f>INDEX('DEFAULT DATA'!$AHX$9:$AIE$41,START!$C$3,7)</f>
        <v>0</v>
      </c>
      <c r="AK420" s="180">
        <v>0</v>
      </c>
      <c r="AL420" s="123">
        <f t="shared" ref="AL420:BN420" si="410">IF(AND(AL$373&gt;($D$101+2020),AL$373&lt;($E$101+2022)),AK420+($AI$420*$AJ$420*((100-$F$101)/100)*ROUND(($C$101/100*$B$101)/($E$101-$D$101+1),0)/1000000),AK420)</f>
        <v>0</v>
      </c>
      <c r="AM420" s="123">
        <f t="shared" si="410"/>
        <v>0</v>
      </c>
      <c r="AN420" s="123">
        <f t="shared" si="410"/>
        <v>0</v>
      </c>
      <c r="AO420" s="123">
        <f t="shared" si="410"/>
        <v>0</v>
      </c>
      <c r="AP420" s="123">
        <f t="shared" si="410"/>
        <v>0</v>
      </c>
      <c r="AQ420" s="123">
        <f t="shared" si="410"/>
        <v>0</v>
      </c>
      <c r="AR420" s="123">
        <f t="shared" si="410"/>
        <v>0</v>
      </c>
      <c r="AS420" s="123">
        <f t="shared" si="410"/>
        <v>0</v>
      </c>
      <c r="AT420" s="123">
        <f t="shared" si="410"/>
        <v>0</v>
      </c>
      <c r="AU420" s="123">
        <f t="shared" si="410"/>
        <v>0</v>
      </c>
      <c r="AV420" s="123">
        <f t="shared" si="410"/>
        <v>0</v>
      </c>
      <c r="AW420" s="123">
        <f t="shared" si="410"/>
        <v>0</v>
      </c>
      <c r="AX420" s="123">
        <f t="shared" si="410"/>
        <v>0</v>
      </c>
      <c r="AY420" s="123">
        <f t="shared" si="410"/>
        <v>0</v>
      </c>
      <c r="AZ420" s="123">
        <f t="shared" si="410"/>
        <v>0</v>
      </c>
      <c r="BA420" s="123">
        <f t="shared" si="410"/>
        <v>0</v>
      </c>
      <c r="BB420" s="123">
        <f t="shared" si="410"/>
        <v>0</v>
      </c>
      <c r="BC420" s="123">
        <f t="shared" si="410"/>
        <v>0</v>
      </c>
      <c r="BD420" s="123">
        <f t="shared" si="410"/>
        <v>0</v>
      </c>
      <c r="BE420" s="123">
        <f t="shared" si="410"/>
        <v>0</v>
      </c>
      <c r="BF420" s="123">
        <f t="shared" si="410"/>
        <v>0</v>
      </c>
      <c r="BG420" s="123">
        <f t="shared" si="410"/>
        <v>0</v>
      </c>
      <c r="BH420" s="123">
        <f t="shared" si="410"/>
        <v>0</v>
      </c>
      <c r="BI420" s="123">
        <f t="shared" si="410"/>
        <v>0</v>
      </c>
      <c r="BJ420" s="123">
        <f t="shared" si="410"/>
        <v>0</v>
      </c>
      <c r="BK420" s="123">
        <f t="shared" si="410"/>
        <v>0</v>
      </c>
      <c r="BL420" s="123">
        <f t="shared" si="410"/>
        <v>0</v>
      </c>
      <c r="BM420" s="123">
        <f t="shared" si="410"/>
        <v>0</v>
      </c>
      <c r="BN420" s="159">
        <f t="shared" si="410"/>
        <v>0</v>
      </c>
    </row>
    <row r="421" spans="32:66" ht="20.100000000000001" customHeight="1" thickBot="1">
      <c r="AF421" s="1552"/>
      <c r="AG421" s="146" t="s">
        <v>868</v>
      </c>
      <c r="AH421" s="139"/>
      <c r="AI421" s="146" t="s">
        <v>1123</v>
      </c>
      <c r="AJ421" s="113">
        <f>INDEX('DEFAULT DATA'!$AHX$9:$AIE$41,START!$C$3,8)</f>
        <v>0</v>
      </c>
      <c r="AK421" s="179">
        <v>0</v>
      </c>
      <c r="AL421" s="160">
        <f t="shared" ref="AL421:BN421" si="411">IF(AND(AL$373&gt;($D$101+2020),AL$373&lt;($E$101+2022)),AK421+(AL$6*$AJ$421*((100-$F$101)/100)*ROUND(($C$101/100*$B$101)/($E$101-$D$101+1),0)/1000000),AK421)</f>
        <v>0</v>
      </c>
      <c r="AM421" s="160">
        <f t="shared" si="411"/>
        <v>0</v>
      </c>
      <c r="AN421" s="160">
        <f t="shared" si="411"/>
        <v>0</v>
      </c>
      <c r="AO421" s="160">
        <f t="shared" si="411"/>
        <v>0</v>
      </c>
      <c r="AP421" s="160">
        <f t="shared" si="411"/>
        <v>0</v>
      </c>
      <c r="AQ421" s="160">
        <f t="shared" si="411"/>
        <v>0</v>
      </c>
      <c r="AR421" s="160">
        <f t="shared" si="411"/>
        <v>0</v>
      </c>
      <c r="AS421" s="160">
        <f t="shared" si="411"/>
        <v>0</v>
      </c>
      <c r="AT421" s="160">
        <f t="shared" si="411"/>
        <v>0</v>
      </c>
      <c r="AU421" s="160">
        <f t="shared" si="411"/>
        <v>0</v>
      </c>
      <c r="AV421" s="160">
        <f t="shared" si="411"/>
        <v>0</v>
      </c>
      <c r="AW421" s="160">
        <f t="shared" si="411"/>
        <v>0</v>
      </c>
      <c r="AX421" s="160">
        <f t="shared" si="411"/>
        <v>0</v>
      </c>
      <c r="AY421" s="160">
        <f t="shared" si="411"/>
        <v>0</v>
      </c>
      <c r="AZ421" s="160">
        <f t="shared" si="411"/>
        <v>0</v>
      </c>
      <c r="BA421" s="160">
        <f t="shared" si="411"/>
        <v>0</v>
      </c>
      <c r="BB421" s="160">
        <f t="shared" si="411"/>
        <v>0</v>
      </c>
      <c r="BC421" s="160">
        <f t="shared" si="411"/>
        <v>0</v>
      </c>
      <c r="BD421" s="160">
        <f t="shared" si="411"/>
        <v>0</v>
      </c>
      <c r="BE421" s="160">
        <f t="shared" si="411"/>
        <v>0</v>
      </c>
      <c r="BF421" s="160">
        <f t="shared" si="411"/>
        <v>0</v>
      </c>
      <c r="BG421" s="160">
        <f t="shared" si="411"/>
        <v>0</v>
      </c>
      <c r="BH421" s="160">
        <f t="shared" si="411"/>
        <v>0</v>
      </c>
      <c r="BI421" s="160">
        <f t="shared" si="411"/>
        <v>0</v>
      </c>
      <c r="BJ421" s="160">
        <f t="shared" si="411"/>
        <v>0</v>
      </c>
      <c r="BK421" s="160">
        <f t="shared" si="411"/>
        <v>0</v>
      </c>
      <c r="BL421" s="160">
        <f t="shared" si="411"/>
        <v>0</v>
      </c>
      <c r="BM421" s="160">
        <f t="shared" si="411"/>
        <v>0</v>
      </c>
      <c r="BN421" s="161">
        <f t="shared" si="411"/>
        <v>0</v>
      </c>
    </row>
    <row r="422" spans="32:66" ht="20.100000000000001" customHeight="1">
      <c r="AF422" s="150"/>
      <c r="AG422" s="136" t="s">
        <v>1084</v>
      </c>
      <c r="AH422" s="136"/>
      <c r="AI422" s="136"/>
      <c r="AJ422" s="136"/>
      <c r="AK422" s="177">
        <v>0</v>
      </c>
      <c r="AL422" s="162">
        <f>SUM(AL414:AL421)</f>
        <v>0</v>
      </c>
      <c r="AM422" s="162">
        <f t="shared" ref="AM422:BN422" si="412">SUM(AM414:AM421)</f>
        <v>0</v>
      </c>
      <c r="AN422" s="162">
        <f t="shared" si="412"/>
        <v>0</v>
      </c>
      <c r="AO422" s="162">
        <f t="shared" si="412"/>
        <v>0</v>
      </c>
      <c r="AP422" s="162">
        <f t="shared" si="412"/>
        <v>0</v>
      </c>
      <c r="AQ422" s="162">
        <f t="shared" si="412"/>
        <v>0</v>
      </c>
      <c r="AR422" s="162">
        <f t="shared" si="412"/>
        <v>0</v>
      </c>
      <c r="AS422" s="162">
        <f t="shared" si="412"/>
        <v>0</v>
      </c>
      <c r="AT422" s="162">
        <f t="shared" si="412"/>
        <v>0</v>
      </c>
      <c r="AU422" s="162">
        <f t="shared" si="412"/>
        <v>0</v>
      </c>
      <c r="AV422" s="162">
        <f t="shared" si="412"/>
        <v>0</v>
      </c>
      <c r="AW422" s="162">
        <f t="shared" si="412"/>
        <v>0</v>
      </c>
      <c r="AX422" s="162">
        <f t="shared" si="412"/>
        <v>0</v>
      </c>
      <c r="AY422" s="162">
        <f t="shared" si="412"/>
        <v>0</v>
      </c>
      <c r="AZ422" s="162">
        <f t="shared" si="412"/>
        <v>0</v>
      </c>
      <c r="BA422" s="162">
        <f t="shared" si="412"/>
        <v>0</v>
      </c>
      <c r="BB422" s="162">
        <f t="shared" si="412"/>
        <v>0</v>
      </c>
      <c r="BC422" s="162">
        <f t="shared" si="412"/>
        <v>0</v>
      </c>
      <c r="BD422" s="162">
        <f t="shared" si="412"/>
        <v>0</v>
      </c>
      <c r="BE422" s="162">
        <f t="shared" si="412"/>
        <v>0</v>
      </c>
      <c r="BF422" s="162">
        <f t="shared" si="412"/>
        <v>0</v>
      </c>
      <c r="BG422" s="162">
        <f t="shared" si="412"/>
        <v>0</v>
      </c>
      <c r="BH422" s="162">
        <f t="shared" si="412"/>
        <v>0</v>
      </c>
      <c r="BI422" s="162">
        <f t="shared" si="412"/>
        <v>0</v>
      </c>
      <c r="BJ422" s="162">
        <f t="shared" si="412"/>
        <v>0</v>
      </c>
      <c r="BK422" s="162">
        <f t="shared" si="412"/>
        <v>0</v>
      </c>
      <c r="BL422" s="162">
        <f t="shared" si="412"/>
        <v>0</v>
      </c>
      <c r="BM422" s="162">
        <f t="shared" si="412"/>
        <v>0</v>
      </c>
      <c r="BN422" s="162">
        <f t="shared" si="412"/>
        <v>0</v>
      </c>
    </row>
    <row r="423" spans="32:66" ht="20.100000000000001" customHeight="1" thickBot="1"/>
    <row r="424" spans="32:66" ht="20.100000000000001" customHeight="1">
      <c r="AF424" s="1550" t="s">
        <v>871</v>
      </c>
      <c r="AG424" s="137" t="s">
        <v>578</v>
      </c>
      <c r="AH424" s="138"/>
      <c r="AI424" s="137" t="s">
        <v>1122</v>
      </c>
      <c r="AJ424" s="148">
        <f>INDEX('DEFAULT DATA'!$AIF$9:$AIM$41,START!$C$3,1)</f>
        <v>420</v>
      </c>
      <c r="AK424" s="178">
        <v>0</v>
      </c>
      <c r="AL424" s="157">
        <f t="shared" ref="AL424:BN424" si="413">IF(AND(AL$373&gt;($D$102+2020),AL$373&lt;($E$102+2022)),AK424+(AL$5*$AJ$424*((100-$F$102)/100)*($C$102/100*$B$102)/($E$102-$D$102+1)/1000000),AK424)</f>
        <v>0</v>
      </c>
      <c r="AM424" s="157">
        <f t="shared" si="413"/>
        <v>0</v>
      </c>
      <c r="AN424" s="157">
        <f t="shared" si="413"/>
        <v>0</v>
      </c>
      <c r="AO424" s="157">
        <f t="shared" si="413"/>
        <v>0</v>
      </c>
      <c r="AP424" s="157">
        <f t="shared" si="413"/>
        <v>0</v>
      </c>
      <c r="AQ424" s="157">
        <f t="shared" si="413"/>
        <v>0</v>
      </c>
      <c r="AR424" s="157">
        <f t="shared" si="413"/>
        <v>0</v>
      </c>
      <c r="AS424" s="157">
        <f t="shared" si="413"/>
        <v>0</v>
      </c>
      <c r="AT424" s="157">
        <f t="shared" si="413"/>
        <v>0</v>
      </c>
      <c r="AU424" s="157">
        <f t="shared" si="413"/>
        <v>0</v>
      </c>
      <c r="AV424" s="157">
        <f t="shared" si="413"/>
        <v>0</v>
      </c>
      <c r="AW424" s="157">
        <f t="shared" si="413"/>
        <v>0</v>
      </c>
      <c r="AX424" s="157">
        <f t="shared" si="413"/>
        <v>0</v>
      </c>
      <c r="AY424" s="157">
        <f t="shared" si="413"/>
        <v>0</v>
      </c>
      <c r="AZ424" s="157">
        <f t="shared" si="413"/>
        <v>0</v>
      </c>
      <c r="BA424" s="157">
        <f t="shared" si="413"/>
        <v>0</v>
      </c>
      <c r="BB424" s="157">
        <f t="shared" si="413"/>
        <v>0</v>
      </c>
      <c r="BC424" s="157">
        <f t="shared" si="413"/>
        <v>0</v>
      </c>
      <c r="BD424" s="157">
        <f t="shared" si="413"/>
        <v>0</v>
      </c>
      <c r="BE424" s="157">
        <f t="shared" si="413"/>
        <v>0</v>
      </c>
      <c r="BF424" s="157">
        <f t="shared" si="413"/>
        <v>0</v>
      </c>
      <c r="BG424" s="157">
        <f t="shared" si="413"/>
        <v>0</v>
      </c>
      <c r="BH424" s="157">
        <f t="shared" si="413"/>
        <v>0</v>
      </c>
      <c r="BI424" s="157">
        <f t="shared" si="413"/>
        <v>0</v>
      </c>
      <c r="BJ424" s="157">
        <f t="shared" si="413"/>
        <v>0</v>
      </c>
      <c r="BK424" s="157">
        <f t="shared" si="413"/>
        <v>0</v>
      </c>
      <c r="BL424" s="157">
        <f t="shared" si="413"/>
        <v>0</v>
      </c>
      <c r="BM424" s="157">
        <f t="shared" si="413"/>
        <v>0</v>
      </c>
      <c r="BN424" s="158">
        <f t="shared" si="413"/>
        <v>0</v>
      </c>
    </row>
    <row r="425" spans="32:66" ht="20.100000000000001" customHeight="1">
      <c r="AF425" s="1551"/>
      <c r="AG425" s="107" t="s">
        <v>862</v>
      </c>
      <c r="AH425" s="131"/>
      <c r="AI425" s="107">
        <f>INDEX('DEFAULT DATA'!$WD$9:$WJ$41,START!$C$3,1)</f>
        <v>202</v>
      </c>
      <c r="AJ425" s="63">
        <f>INDEX('DEFAULT DATA'!$AIF$9:$AIM$41,START!$C$3,2)</f>
        <v>32.409999999999997</v>
      </c>
      <c r="AK425" s="180">
        <v>0</v>
      </c>
      <c r="AL425" s="123">
        <f t="shared" ref="AL425:BN425" si="414">IF(AND(AL$373&gt;($D$102+2020),AL$373&lt;($E$102+2022)),AK425+($AI$425*$AJ$425*((100-$F$102)/100)*($C$102/100*$B$102)/($E$102-$D$102+1)/1000000),AK425)</f>
        <v>0</v>
      </c>
      <c r="AM425" s="123">
        <f t="shared" si="414"/>
        <v>0</v>
      </c>
      <c r="AN425" s="123">
        <f t="shared" si="414"/>
        <v>0</v>
      </c>
      <c r="AO425" s="123">
        <f t="shared" si="414"/>
        <v>0</v>
      </c>
      <c r="AP425" s="123">
        <f t="shared" si="414"/>
        <v>0</v>
      </c>
      <c r="AQ425" s="123">
        <f t="shared" si="414"/>
        <v>0</v>
      </c>
      <c r="AR425" s="123">
        <f t="shared" si="414"/>
        <v>0</v>
      </c>
      <c r="AS425" s="123">
        <f t="shared" si="414"/>
        <v>0</v>
      </c>
      <c r="AT425" s="123">
        <f t="shared" si="414"/>
        <v>0</v>
      </c>
      <c r="AU425" s="123">
        <f t="shared" si="414"/>
        <v>0</v>
      </c>
      <c r="AV425" s="123">
        <f t="shared" si="414"/>
        <v>0</v>
      </c>
      <c r="AW425" s="123">
        <f t="shared" si="414"/>
        <v>0</v>
      </c>
      <c r="AX425" s="123">
        <f t="shared" si="414"/>
        <v>0</v>
      </c>
      <c r="AY425" s="123">
        <f t="shared" si="414"/>
        <v>0</v>
      </c>
      <c r="AZ425" s="123">
        <f t="shared" si="414"/>
        <v>0</v>
      </c>
      <c r="BA425" s="123">
        <f t="shared" si="414"/>
        <v>0</v>
      </c>
      <c r="BB425" s="123">
        <f t="shared" si="414"/>
        <v>0</v>
      </c>
      <c r="BC425" s="123">
        <f t="shared" si="414"/>
        <v>0</v>
      </c>
      <c r="BD425" s="123">
        <f t="shared" si="414"/>
        <v>0</v>
      </c>
      <c r="BE425" s="123">
        <f t="shared" si="414"/>
        <v>0</v>
      </c>
      <c r="BF425" s="123">
        <f t="shared" si="414"/>
        <v>0</v>
      </c>
      <c r="BG425" s="123">
        <f t="shared" si="414"/>
        <v>0</v>
      </c>
      <c r="BH425" s="123">
        <f t="shared" si="414"/>
        <v>0</v>
      </c>
      <c r="BI425" s="123">
        <f t="shared" si="414"/>
        <v>0</v>
      </c>
      <c r="BJ425" s="123">
        <f t="shared" si="414"/>
        <v>0</v>
      </c>
      <c r="BK425" s="123">
        <f t="shared" si="414"/>
        <v>0</v>
      </c>
      <c r="BL425" s="123">
        <f t="shared" si="414"/>
        <v>0</v>
      </c>
      <c r="BM425" s="123">
        <f t="shared" si="414"/>
        <v>0</v>
      </c>
      <c r="BN425" s="159">
        <f t="shared" si="414"/>
        <v>0</v>
      </c>
    </row>
    <row r="426" spans="32:66" ht="20.100000000000001" customHeight="1">
      <c r="AF426" s="1551"/>
      <c r="AG426" s="107" t="s">
        <v>863</v>
      </c>
      <c r="AH426" s="131"/>
      <c r="AI426" s="107">
        <f>INDEX('DEFAULT DATA'!$WD$9:$WJ$41,START!$C$3,2)</f>
        <v>267</v>
      </c>
      <c r="AJ426" s="63">
        <f>INDEX('DEFAULT DATA'!$AIF$9:$AIM$41,START!$C$3,3)</f>
        <v>27.01</v>
      </c>
      <c r="AK426" s="180">
        <v>0</v>
      </c>
      <c r="AL426" s="123">
        <f t="shared" ref="AL426:BN426" si="415">IF(AND(AL$373&gt;($D$102+2020),AL$373&lt;($E$102+2022)),AK426+($AI$426*$AJ$426*((100-$F$102)/100)*($C$102/100*$B$102)/($E$102-$D$102+1)/1000000),AK426)</f>
        <v>0</v>
      </c>
      <c r="AM426" s="123">
        <f t="shared" si="415"/>
        <v>0</v>
      </c>
      <c r="AN426" s="123">
        <f t="shared" si="415"/>
        <v>0</v>
      </c>
      <c r="AO426" s="123">
        <f t="shared" si="415"/>
        <v>0</v>
      </c>
      <c r="AP426" s="123">
        <f t="shared" si="415"/>
        <v>0</v>
      </c>
      <c r="AQ426" s="123">
        <f t="shared" si="415"/>
        <v>0</v>
      </c>
      <c r="AR426" s="123">
        <f t="shared" si="415"/>
        <v>0</v>
      </c>
      <c r="AS426" s="123">
        <f t="shared" si="415"/>
        <v>0</v>
      </c>
      <c r="AT426" s="123">
        <f t="shared" si="415"/>
        <v>0</v>
      </c>
      <c r="AU426" s="123">
        <f t="shared" si="415"/>
        <v>0</v>
      </c>
      <c r="AV426" s="123">
        <f t="shared" si="415"/>
        <v>0</v>
      </c>
      <c r="AW426" s="123">
        <f t="shared" si="415"/>
        <v>0</v>
      </c>
      <c r="AX426" s="123">
        <f t="shared" si="415"/>
        <v>0</v>
      </c>
      <c r="AY426" s="123">
        <f t="shared" si="415"/>
        <v>0</v>
      </c>
      <c r="AZ426" s="123">
        <f t="shared" si="415"/>
        <v>0</v>
      </c>
      <c r="BA426" s="123">
        <f t="shared" si="415"/>
        <v>0</v>
      </c>
      <c r="BB426" s="123">
        <f t="shared" si="415"/>
        <v>0</v>
      </c>
      <c r="BC426" s="123">
        <f t="shared" si="415"/>
        <v>0</v>
      </c>
      <c r="BD426" s="123">
        <f t="shared" si="415"/>
        <v>0</v>
      </c>
      <c r="BE426" s="123">
        <f t="shared" si="415"/>
        <v>0</v>
      </c>
      <c r="BF426" s="123">
        <f t="shared" si="415"/>
        <v>0</v>
      </c>
      <c r="BG426" s="123">
        <f t="shared" si="415"/>
        <v>0</v>
      </c>
      <c r="BH426" s="123">
        <f t="shared" si="415"/>
        <v>0</v>
      </c>
      <c r="BI426" s="123">
        <f t="shared" si="415"/>
        <v>0</v>
      </c>
      <c r="BJ426" s="123">
        <f t="shared" si="415"/>
        <v>0</v>
      </c>
      <c r="BK426" s="123">
        <f t="shared" si="415"/>
        <v>0</v>
      </c>
      <c r="BL426" s="123">
        <f t="shared" si="415"/>
        <v>0</v>
      </c>
      <c r="BM426" s="123">
        <f t="shared" si="415"/>
        <v>0</v>
      </c>
      <c r="BN426" s="159">
        <f t="shared" si="415"/>
        <v>0</v>
      </c>
    </row>
    <row r="427" spans="32:66" ht="20.100000000000001" customHeight="1">
      <c r="AF427" s="1551"/>
      <c r="AG427" s="107" t="s">
        <v>864</v>
      </c>
      <c r="AH427" s="131"/>
      <c r="AI427" s="107">
        <f>INDEX('DEFAULT DATA'!$WD$9:$WJ$41,START!$C$3,3)</f>
        <v>354</v>
      </c>
      <c r="AJ427" s="63">
        <f>INDEX('DEFAULT DATA'!$AIF$9:$AIM$41,START!$C$3,4)</f>
        <v>0</v>
      </c>
      <c r="AK427" s="180">
        <v>0</v>
      </c>
      <c r="AL427" s="123">
        <f t="shared" ref="AL427:BN427" si="416">IF(AND(AL$373&gt;($D$102+2020),AL$373&lt;($E$102+2022)),AK427+($AI$427*$AJ$427*((100-$F$102)/100)*($C$102/100*$B$102)/($E$102-$D$102+1)/1000000),AK427)</f>
        <v>0</v>
      </c>
      <c r="AM427" s="123">
        <f t="shared" si="416"/>
        <v>0</v>
      </c>
      <c r="AN427" s="123">
        <f t="shared" si="416"/>
        <v>0</v>
      </c>
      <c r="AO427" s="123">
        <f t="shared" si="416"/>
        <v>0</v>
      </c>
      <c r="AP427" s="123">
        <f t="shared" si="416"/>
        <v>0</v>
      </c>
      <c r="AQ427" s="123">
        <f t="shared" si="416"/>
        <v>0</v>
      </c>
      <c r="AR427" s="123">
        <f t="shared" si="416"/>
        <v>0</v>
      </c>
      <c r="AS427" s="123">
        <f t="shared" si="416"/>
        <v>0</v>
      </c>
      <c r="AT427" s="123">
        <f t="shared" si="416"/>
        <v>0</v>
      </c>
      <c r="AU427" s="123">
        <f t="shared" si="416"/>
        <v>0</v>
      </c>
      <c r="AV427" s="123">
        <f t="shared" si="416"/>
        <v>0</v>
      </c>
      <c r="AW427" s="123">
        <f t="shared" si="416"/>
        <v>0</v>
      </c>
      <c r="AX427" s="123">
        <f t="shared" si="416"/>
        <v>0</v>
      </c>
      <c r="AY427" s="123">
        <f t="shared" si="416"/>
        <v>0</v>
      </c>
      <c r="AZ427" s="123">
        <f t="shared" si="416"/>
        <v>0</v>
      </c>
      <c r="BA427" s="123">
        <f t="shared" si="416"/>
        <v>0</v>
      </c>
      <c r="BB427" s="123">
        <f t="shared" si="416"/>
        <v>0</v>
      </c>
      <c r="BC427" s="123">
        <f t="shared" si="416"/>
        <v>0</v>
      </c>
      <c r="BD427" s="123">
        <f t="shared" si="416"/>
        <v>0</v>
      </c>
      <c r="BE427" s="123">
        <f t="shared" si="416"/>
        <v>0</v>
      </c>
      <c r="BF427" s="123">
        <f t="shared" si="416"/>
        <v>0</v>
      </c>
      <c r="BG427" s="123">
        <f t="shared" si="416"/>
        <v>0</v>
      </c>
      <c r="BH427" s="123">
        <f t="shared" si="416"/>
        <v>0</v>
      </c>
      <c r="BI427" s="123">
        <f t="shared" si="416"/>
        <v>0</v>
      </c>
      <c r="BJ427" s="123">
        <f t="shared" si="416"/>
        <v>0</v>
      </c>
      <c r="BK427" s="123">
        <f t="shared" si="416"/>
        <v>0</v>
      </c>
      <c r="BL427" s="123">
        <f t="shared" si="416"/>
        <v>0</v>
      </c>
      <c r="BM427" s="123">
        <f t="shared" si="416"/>
        <v>0</v>
      </c>
      <c r="BN427" s="159">
        <f t="shared" si="416"/>
        <v>0</v>
      </c>
    </row>
    <row r="428" spans="32:66" ht="20.100000000000001" customHeight="1">
      <c r="AF428" s="1551"/>
      <c r="AG428" s="107" t="s">
        <v>865</v>
      </c>
      <c r="AH428" s="131"/>
      <c r="AI428" s="107">
        <f>INDEX('DEFAULT DATA'!$WD$9:$WJ$41,START!$C$3,4)</f>
        <v>382</v>
      </c>
      <c r="AJ428" s="63">
        <f>INDEX('DEFAULT DATA'!$AIF$9:$AIM$41,START!$C$3,5)</f>
        <v>2.52</v>
      </c>
      <c r="AK428" s="180">
        <v>0</v>
      </c>
      <c r="AL428" s="123">
        <f t="shared" ref="AL428:BN428" si="417">IF(AND(AL$373&gt;($D$102+2020),AL$373&lt;($E$102+2022)),AK428+($AI$428*$AJ$428*((100-$F$102)/100)*($C$102/100*$B$102)/($E$102-$D$102+1)/1000000),AK428)</f>
        <v>0</v>
      </c>
      <c r="AM428" s="123">
        <f t="shared" si="417"/>
        <v>0</v>
      </c>
      <c r="AN428" s="123">
        <f t="shared" si="417"/>
        <v>0</v>
      </c>
      <c r="AO428" s="123">
        <f t="shared" si="417"/>
        <v>0</v>
      </c>
      <c r="AP428" s="123">
        <f t="shared" si="417"/>
        <v>0</v>
      </c>
      <c r="AQ428" s="123">
        <f t="shared" si="417"/>
        <v>0</v>
      </c>
      <c r="AR428" s="123">
        <f t="shared" si="417"/>
        <v>0</v>
      </c>
      <c r="AS428" s="123">
        <f t="shared" si="417"/>
        <v>0</v>
      </c>
      <c r="AT428" s="123">
        <f t="shared" si="417"/>
        <v>0</v>
      </c>
      <c r="AU428" s="123">
        <f t="shared" si="417"/>
        <v>0</v>
      </c>
      <c r="AV428" s="123">
        <f t="shared" si="417"/>
        <v>0</v>
      </c>
      <c r="AW428" s="123">
        <f t="shared" si="417"/>
        <v>0</v>
      </c>
      <c r="AX428" s="123">
        <f t="shared" si="417"/>
        <v>0</v>
      </c>
      <c r="AY428" s="123">
        <f t="shared" si="417"/>
        <v>0</v>
      </c>
      <c r="AZ428" s="123">
        <f t="shared" si="417"/>
        <v>0</v>
      </c>
      <c r="BA428" s="123">
        <f t="shared" si="417"/>
        <v>0</v>
      </c>
      <c r="BB428" s="123">
        <f t="shared" si="417"/>
        <v>0</v>
      </c>
      <c r="BC428" s="123">
        <f t="shared" si="417"/>
        <v>0</v>
      </c>
      <c r="BD428" s="123">
        <f t="shared" si="417"/>
        <v>0</v>
      </c>
      <c r="BE428" s="123">
        <f t="shared" si="417"/>
        <v>0</v>
      </c>
      <c r="BF428" s="123">
        <f t="shared" si="417"/>
        <v>0</v>
      </c>
      <c r="BG428" s="123">
        <f t="shared" si="417"/>
        <v>0</v>
      </c>
      <c r="BH428" s="123">
        <f t="shared" si="417"/>
        <v>0</v>
      </c>
      <c r="BI428" s="123">
        <f t="shared" si="417"/>
        <v>0</v>
      </c>
      <c r="BJ428" s="123">
        <f t="shared" si="417"/>
        <v>0</v>
      </c>
      <c r="BK428" s="123">
        <f t="shared" si="417"/>
        <v>0</v>
      </c>
      <c r="BL428" s="123">
        <f t="shared" si="417"/>
        <v>0</v>
      </c>
      <c r="BM428" s="123">
        <f t="shared" si="417"/>
        <v>0</v>
      </c>
      <c r="BN428" s="159">
        <f t="shared" si="417"/>
        <v>0</v>
      </c>
    </row>
    <row r="429" spans="32:66" ht="20.100000000000001" customHeight="1">
      <c r="AF429" s="1551"/>
      <c r="AG429" s="107" t="s">
        <v>866</v>
      </c>
      <c r="AH429" s="131"/>
      <c r="AI429" s="107">
        <f>INDEX('DEFAULT DATA'!$WD$9:$WJ$41,START!$C$3,5)</f>
        <v>403</v>
      </c>
      <c r="AJ429" s="63">
        <f>INDEX('DEFAULT DATA'!$AIF$9:$AIM$41,START!$C$3,6)</f>
        <v>3.06</v>
      </c>
      <c r="AK429" s="180">
        <v>0</v>
      </c>
      <c r="AL429" s="123">
        <f t="shared" ref="AL429:BN429" si="418">IF(AND(AL$373&gt;($D$102+2020),AL$373&lt;($E$102+2022)),AK429+($AI$429*$AJ$429*((100-$F$102)/100)*($C$102/100*$B$102)/($E$102-$D$102+1)/1000000),AK429)</f>
        <v>0</v>
      </c>
      <c r="AM429" s="123">
        <f t="shared" si="418"/>
        <v>0</v>
      </c>
      <c r="AN429" s="123">
        <f t="shared" si="418"/>
        <v>0</v>
      </c>
      <c r="AO429" s="123">
        <f t="shared" si="418"/>
        <v>0</v>
      </c>
      <c r="AP429" s="123">
        <f t="shared" si="418"/>
        <v>0</v>
      </c>
      <c r="AQ429" s="123">
        <f t="shared" si="418"/>
        <v>0</v>
      </c>
      <c r="AR429" s="123">
        <f t="shared" si="418"/>
        <v>0</v>
      </c>
      <c r="AS429" s="123">
        <f t="shared" si="418"/>
        <v>0</v>
      </c>
      <c r="AT429" s="123">
        <f t="shared" si="418"/>
        <v>0</v>
      </c>
      <c r="AU429" s="123">
        <f t="shared" si="418"/>
        <v>0</v>
      </c>
      <c r="AV429" s="123">
        <f t="shared" si="418"/>
        <v>0</v>
      </c>
      <c r="AW429" s="123">
        <f t="shared" si="418"/>
        <v>0</v>
      </c>
      <c r="AX429" s="123">
        <f t="shared" si="418"/>
        <v>0</v>
      </c>
      <c r="AY429" s="123">
        <f t="shared" si="418"/>
        <v>0</v>
      </c>
      <c r="AZ429" s="123">
        <f t="shared" si="418"/>
        <v>0</v>
      </c>
      <c r="BA429" s="123">
        <f t="shared" si="418"/>
        <v>0</v>
      </c>
      <c r="BB429" s="123">
        <f t="shared" si="418"/>
        <v>0</v>
      </c>
      <c r="BC429" s="123">
        <f t="shared" si="418"/>
        <v>0</v>
      </c>
      <c r="BD429" s="123">
        <f t="shared" si="418"/>
        <v>0</v>
      </c>
      <c r="BE429" s="123">
        <f t="shared" si="418"/>
        <v>0</v>
      </c>
      <c r="BF429" s="123">
        <f t="shared" si="418"/>
        <v>0</v>
      </c>
      <c r="BG429" s="123">
        <f t="shared" si="418"/>
        <v>0</v>
      </c>
      <c r="BH429" s="123">
        <f t="shared" si="418"/>
        <v>0</v>
      </c>
      <c r="BI429" s="123">
        <f t="shared" si="418"/>
        <v>0</v>
      </c>
      <c r="BJ429" s="123">
        <f t="shared" si="418"/>
        <v>0</v>
      </c>
      <c r="BK429" s="123">
        <f t="shared" si="418"/>
        <v>0</v>
      </c>
      <c r="BL429" s="123">
        <f t="shared" si="418"/>
        <v>0</v>
      </c>
      <c r="BM429" s="123">
        <f t="shared" si="418"/>
        <v>0</v>
      </c>
      <c r="BN429" s="159">
        <f t="shared" si="418"/>
        <v>0</v>
      </c>
    </row>
    <row r="430" spans="32:66" ht="20.100000000000001" customHeight="1">
      <c r="AF430" s="1551"/>
      <c r="AG430" s="107" t="s">
        <v>867</v>
      </c>
      <c r="AH430" s="131"/>
      <c r="AI430" s="107">
        <f>INDEX('DEFAULT DATA'!$WD$9:$WJ$41,START!$C$3,6)</f>
        <v>0</v>
      </c>
      <c r="AJ430" s="63">
        <f>INDEX('DEFAULT DATA'!$AIF$9:$AIM$41,START!$C$3,7)</f>
        <v>0</v>
      </c>
      <c r="AK430" s="180">
        <v>0</v>
      </c>
      <c r="AL430" s="123">
        <f t="shared" ref="AL430:BN430" si="419">IF(AND(AL$373&gt;($D$102+2020),AL$373&lt;($E$102+2022)),AK430+($AI$430*$AJ$430*((100-$F$102)/100)*($C$102/100*$B$102)/($E$102-$D$102+1)/1000000),AK430)</f>
        <v>0</v>
      </c>
      <c r="AM430" s="123">
        <f t="shared" si="419"/>
        <v>0</v>
      </c>
      <c r="AN430" s="123">
        <f t="shared" si="419"/>
        <v>0</v>
      </c>
      <c r="AO430" s="123">
        <f t="shared" si="419"/>
        <v>0</v>
      </c>
      <c r="AP430" s="123">
        <f t="shared" si="419"/>
        <v>0</v>
      </c>
      <c r="AQ430" s="123">
        <f t="shared" si="419"/>
        <v>0</v>
      </c>
      <c r="AR430" s="123">
        <f t="shared" si="419"/>
        <v>0</v>
      </c>
      <c r="AS430" s="123">
        <f t="shared" si="419"/>
        <v>0</v>
      </c>
      <c r="AT430" s="123">
        <f t="shared" si="419"/>
        <v>0</v>
      </c>
      <c r="AU430" s="123">
        <f t="shared" si="419"/>
        <v>0</v>
      </c>
      <c r="AV430" s="123">
        <f t="shared" si="419"/>
        <v>0</v>
      </c>
      <c r="AW430" s="123">
        <f t="shared" si="419"/>
        <v>0</v>
      </c>
      <c r="AX430" s="123">
        <f t="shared" si="419"/>
        <v>0</v>
      </c>
      <c r="AY430" s="123">
        <f t="shared" si="419"/>
        <v>0</v>
      </c>
      <c r="AZ430" s="123">
        <f t="shared" si="419"/>
        <v>0</v>
      </c>
      <c r="BA430" s="123">
        <f t="shared" si="419"/>
        <v>0</v>
      </c>
      <c r="BB430" s="123">
        <f t="shared" si="419"/>
        <v>0</v>
      </c>
      <c r="BC430" s="123">
        <f t="shared" si="419"/>
        <v>0</v>
      </c>
      <c r="BD430" s="123">
        <f t="shared" si="419"/>
        <v>0</v>
      </c>
      <c r="BE430" s="123">
        <f t="shared" si="419"/>
        <v>0</v>
      </c>
      <c r="BF430" s="123">
        <f t="shared" si="419"/>
        <v>0</v>
      </c>
      <c r="BG430" s="123">
        <f t="shared" si="419"/>
        <v>0</v>
      </c>
      <c r="BH430" s="123">
        <f t="shared" si="419"/>
        <v>0</v>
      </c>
      <c r="BI430" s="123">
        <f t="shared" si="419"/>
        <v>0</v>
      </c>
      <c r="BJ430" s="123">
        <f t="shared" si="419"/>
        <v>0</v>
      </c>
      <c r="BK430" s="123">
        <f t="shared" si="419"/>
        <v>0</v>
      </c>
      <c r="BL430" s="123">
        <f t="shared" si="419"/>
        <v>0</v>
      </c>
      <c r="BM430" s="123">
        <f t="shared" si="419"/>
        <v>0</v>
      </c>
      <c r="BN430" s="159">
        <f t="shared" si="419"/>
        <v>0</v>
      </c>
    </row>
    <row r="431" spans="32:66" ht="20.100000000000001" customHeight="1" thickBot="1">
      <c r="AF431" s="1552"/>
      <c r="AG431" s="146" t="s">
        <v>868</v>
      </c>
      <c r="AH431" s="139"/>
      <c r="AI431" s="146" t="s">
        <v>1123</v>
      </c>
      <c r="AJ431" s="113">
        <f>INDEX('DEFAULT DATA'!$AIF$9:$AIM$41,START!$C$3,8)</f>
        <v>4.4965266808490847E-2</v>
      </c>
      <c r="AK431" s="179">
        <v>0</v>
      </c>
      <c r="AL431" s="160">
        <f t="shared" ref="AL431:BN431" si="420">IF(AND(AL$373&gt;($D$102+2020),AL$373&lt;($E$102+2022)),AK431+(AL$5*$AJ$431*((100-$F$102)/100)*($C$102/100*$B$102)/($E$102-$D$102+1)/1000000),AK431)</f>
        <v>0</v>
      </c>
      <c r="AM431" s="160">
        <f t="shared" si="420"/>
        <v>0</v>
      </c>
      <c r="AN431" s="160">
        <f t="shared" si="420"/>
        <v>0</v>
      </c>
      <c r="AO431" s="160">
        <f t="shared" si="420"/>
        <v>0</v>
      </c>
      <c r="AP431" s="160">
        <f t="shared" si="420"/>
        <v>0</v>
      </c>
      <c r="AQ431" s="160">
        <f t="shared" si="420"/>
        <v>0</v>
      </c>
      <c r="AR431" s="160">
        <f t="shared" si="420"/>
        <v>0</v>
      </c>
      <c r="AS431" s="160">
        <f t="shared" si="420"/>
        <v>0</v>
      </c>
      <c r="AT431" s="160">
        <f t="shared" si="420"/>
        <v>0</v>
      </c>
      <c r="AU431" s="160">
        <f t="shared" si="420"/>
        <v>0</v>
      </c>
      <c r="AV431" s="160">
        <f t="shared" si="420"/>
        <v>0</v>
      </c>
      <c r="AW431" s="160">
        <f t="shared" si="420"/>
        <v>0</v>
      </c>
      <c r="AX431" s="160">
        <f t="shared" si="420"/>
        <v>0</v>
      </c>
      <c r="AY431" s="160">
        <f t="shared" si="420"/>
        <v>0</v>
      </c>
      <c r="AZ431" s="160">
        <f t="shared" si="420"/>
        <v>0</v>
      </c>
      <c r="BA431" s="160">
        <f t="shared" si="420"/>
        <v>0</v>
      </c>
      <c r="BB431" s="160">
        <f t="shared" si="420"/>
        <v>0</v>
      </c>
      <c r="BC431" s="160">
        <f t="shared" si="420"/>
        <v>0</v>
      </c>
      <c r="BD431" s="160">
        <f t="shared" si="420"/>
        <v>0</v>
      </c>
      <c r="BE431" s="160">
        <f t="shared" si="420"/>
        <v>0</v>
      </c>
      <c r="BF431" s="160">
        <f t="shared" si="420"/>
        <v>0</v>
      </c>
      <c r="BG431" s="160">
        <f t="shared" si="420"/>
        <v>0</v>
      </c>
      <c r="BH431" s="160">
        <f t="shared" si="420"/>
        <v>0</v>
      </c>
      <c r="BI431" s="160">
        <f t="shared" si="420"/>
        <v>0</v>
      </c>
      <c r="BJ431" s="160">
        <f t="shared" si="420"/>
        <v>0</v>
      </c>
      <c r="BK431" s="160">
        <f t="shared" si="420"/>
        <v>0</v>
      </c>
      <c r="BL431" s="160">
        <f t="shared" si="420"/>
        <v>0</v>
      </c>
      <c r="BM431" s="160">
        <f t="shared" si="420"/>
        <v>0</v>
      </c>
      <c r="BN431" s="161">
        <f t="shared" si="420"/>
        <v>0</v>
      </c>
    </row>
    <row r="432" spans="32:66" ht="20.100000000000001" customHeight="1">
      <c r="AF432" s="147"/>
      <c r="AG432" s="136" t="s">
        <v>1085</v>
      </c>
      <c r="AH432" s="136"/>
      <c r="AI432" s="136"/>
      <c r="AJ432" s="136"/>
      <c r="AK432" s="177">
        <v>0</v>
      </c>
      <c r="AL432" s="162">
        <f>SUM(AL424:AL431)</f>
        <v>0</v>
      </c>
      <c r="AM432" s="162">
        <f t="shared" ref="AM432:BN432" si="421">SUM(AM424:AM431)</f>
        <v>0</v>
      </c>
      <c r="AN432" s="162">
        <f t="shared" si="421"/>
        <v>0</v>
      </c>
      <c r="AO432" s="162">
        <f t="shared" si="421"/>
        <v>0</v>
      </c>
      <c r="AP432" s="162">
        <f t="shared" si="421"/>
        <v>0</v>
      </c>
      <c r="AQ432" s="162">
        <f t="shared" si="421"/>
        <v>0</v>
      </c>
      <c r="AR432" s="162">
        <f t="shared" si="421"/>
        <v>0</v>
      </c>
      <c r="AS432" s="162">
        <f t="shared" si="421"/>
        <v>0</v>
      </c>
      <c r="AT432" s="162">
        <f t="shared" si="421"/>
        <v>0</v>
      </c>
      <c r="AU432" s="162">
        <f t="shared" si="421"/>
        <v>0</v>
      </c>
      <c r="AV432" s="162">
        <f t="shared" si="421"/>
        <v>0</v>
      </c>
      <c r="AW432" s="162">
        <f t="shared" si="421"/>
        <v>0</v>
      </c>
      <c r="AX432" s="162">
        <f t="shared" si="421"/>
        <v>0</v>
      </c>
      <c r="AY432" s="162">
        <f t="shared" si="421"/>
        <v>0</v>
      </c>
      <c r="AZ432" s="162">
        <f t="shared" si="421"/>
        <v>0</v>
      </c>
      <c r="BA432" s="162">
        <f t="shared" si="421"/>
        <v>0</v>
      </c>
      <c r="BB432" s="162">
        <f t="shared" si="421"/>
        <v>0</v>
      </c>
      <c r="BC432" s="162">
        <f t="shared" si="421"/>
        <v>0</v>
      </c>
      <c r="BD432" s="162">
        <f t="shared" si="421"/>
        <v>0</v>
      </c>
      <c r="BE432" s="162">
        <f t="shared" si="421"/>
        <v>0</v>
      </c>
      <c r="BF432" s="162">
        <f t="shared" si="421"/>
        <v>0</v>
      </c>
      <c r="BG432" s="162">
        <f t="shared" si="421"/>
        <v>0</v>
      </c>
      <c r="BH432" s="162">
        <f t="shared" si="421"/>
        <v>0</v>
      </c>
      <c r="BI432" s="162">
        <f t="shared" si="421"/>
        <v>0</v>
      </c>
      <c r="BJ432" s="162">
        <f t="shared" si="421"/>
        <v>0</v>
      </c>
      <c r="BK432" s="162">
        <f t="shared" si="421"/>
        <v>0</v>
      </c>
      <c r="BL432" s="162">
        <f t="shared" si="421"/>
        <v>0</v>
      </c>
      <c r="BM432" s="162">
        <f t="shared" si="421"/>
        <v>0</v>
      </c>
      <c r="BN432" s="162">
        <f t="shared" si="421"/>
        <v>0</v>
      </c>
    </row>
    <row r="433" spans="32:66" ht="20.100000000000001" customHeight="1" thickBot="1"/>
    <row r="434" spans="32:66" ht="20.100000000000001" customHeight="1">
      <c r="AF434" s="1550" t="s">
        <v>872</v>
      </c>
      <c r="AG434" s="137" t="s">
        <v>578</v>
      </c>
      <c r="AH434" s="138"/>
      <c r="AI434" s="137" t="s">
        <v>1122</v>
      </c>
      <c r="AJ434" s="148">
        <f>INDEX('DEFAULT DATA'!$AIN$9:$AIU$41,START!$C$3,1)</f>
        <v>350</v>
      </c>
      <c r="AK434" s="178">
        <v>0</v>
      </c>
      <c r="AL434" s="163">
        <f t="shared" ref="AL434:BN434" si="422">IF(AND(AL$373&gt;($D$103+2020),AL$373&lt;($E$103+2022)),AK434+(AL$5*$AJ$434*((100-$F$103)/100)*($C$103/100*$B$103)/($E$103-$D$103+1)/1000000),AK434)</f>
        <v>0</v>
      </c>
      <c r="AM434" s="163">
        <f t="shared" si="422"/>
        <v>0</v>
      </c>
      <c r="AN434" s="163">
        <f t="shared" si="422"/>
        <v>0</v>
      </c>
      <c r="AO434" s="163">
        <f t="shared" si="422"/>
        <v>0</v>
      </c>
      <c r="AP434" s="163">
        <f t="shared" si="422"/>
        <v>0</v>
      </c>
      <c r="AQ434" s="163">
        <f t="shared" si="422"/>
        <v>0</v>
      </c>
      <c r="AR434" s="163">
        <f t="shared" si="422"/>
        <v>0</v>
      </c>
      <c r="AS434" s="163">
        <f t="shared" si="422"/>
        <v>0</v>
      </c>
      <c r="AT434" s="163">
        <f t="shared" si="422"/>
        <v>0</v>
      </c>
      <c r="AU434" s="163">
        <f t="shared" si="422"/>
        <v>0</v>
      </c>
      <c r="AV434" s="163">
        <f t="shared" si="422"/>
        <v>0</v>
      </c>
      <c r="AW434" s="163">
        <f t="shared" si="422"/>
        <v>0</v>
      </c>
      <c r="AX434" s="163">
        <f t="shared" si="422"/>
        <v>0</v>
      </c>
      <c r="AY434" s="163">
        <f t="shared" si="422"/>
        <v>0</v>
      </c>
      <c r="AZ434" s="163">
        <f t="shared" si="422"/>
        <v>0</v>
      </c>
      <c r="BA434" s="163">
        <f t="shared" si="422"/>
        <v>0</v>
      </c>
      <c r="BB434" s="163">
        <f t="shared" si="422"/>
        <v>0</v>
      </c>
      <c r="BC434" s="163">
        <f t="shared" si="422"/>
        <v>0</v>
      </c>
      <c r="BD434" s="163">
        <f t="shared" si="422"/>
        <v>0</v>
      </c>
      <c r="BE434" s="163">
        <f t="shared" si="422"/>
        <v>0</v>
      </c>
      <c r="BF434" s="163">
        <f t="shared" si="422"/>
        <v>0</v>
      </c>
      <c r="BG434" s="163">
        <f t="shared" si="422"/>
        <v>0</v>
      </c>
      <c r="BH434" s="163">
        <f t="shared" si="422"/>
        <v>0</v>
      </c>
      <c r="BI434" s="163">
        <f t="shared" si="422"/>
        <v>0</v>
      </c>
      <c r="BJ434" s="163">
        <f t="shared" si="422"/>
        <v>0</v>
      </c>
      <c r="BK434" s="163">
        <f t="shared" si="422"/>
        <v>0</v>
      </c>
      <c r="BL434" s="163">
        <f t="shared" si="422"/>
        <v>0</v>
      </c>
      <c r="BM434" s="163">
        <f t="shared" si="422"/>
        <v>0</v>
      </c>
      <c r="BN434" s="164">
        <f t="shared" si="422"/>
        <v>0</v>
      </c>
    </row>
    <row r="435" spans="32:66" ht="20.100000000000001" customHeight="1">
      <c r="AF435" s="1551"/>
      <c r="AG435" s="107" t="s">
        <v>862</v>
      </c>
      <c r="AH435" s="131"/>
      <c r="AI435" s="107">
        <f>INDEX('DEFAULT DATA'!$WD$9:$WJ$41,START!$C$3,1)</f>
        <v>202</v>
      </c>
      <c r="AJ435" s="63">
        <f>INDEX('DEFAULT DATA'!$AIN$9:$AIU$41,START!$C$3,2)</f>
        <v>64.819999999999993</v>
      </c>
      <c r="AK435" s="180">
        <v>0</v>
      </c>
      <c r="AL435" s="123">
        <f t="shared" ref="AL435:BN435" si="423">IF(AND(AL$373&gt;($D$103+2020),AL$373&lt;($E$103+2022)),AK435+($AI$435*$AJ$435*((100-$F$103)/100)*($C$103/100*$B$103)/($E$103-$D$103+1)/1000000),AK435)</f>
        <v>0</v>
      </c>
      <c r="AM435" s="123">
        <f t="shared" si="423"/>
        <v>0</v>
      </c>
      <c r="AN435" s="123">
        <f t="shared" si="423"/>
        <v>0</v>
      </c>
      <c r="AO435" s="123">
        <f t="shared" si="423"/>
        <v>0</v>
      </c>
      <c r="AP435" s="123">
        <f t="shared" si="423"/>
        <v>0</v>
      </c>
      <c r="AQ435" s="123">
        <f t="shared" si="423"/>
        <v>0</v>
      </c>
      <c r="AR435" s="123">
        <f t="shared" si="423"/>
        <v>0</v>
      </c>
      <c r="AS435" s="123">
        <f t="shared" si="423"/>
        <v>0</v>
      </c>
      <c r="AT435" s="123">
        <f t="shared" si="423"/>
        <v>0</v>
      </c>
      <c r="AU435" s="123">
        <f t="shared" si="423"/>
        <v>0</v>
      </c>
      <c r="AV435" s="123">
        <f t="shared" si="423"/>
        <v>0</v>
      </c>
      <c r="AW435" s="123">
        <f t="shared" si="423"/>
        <v>0</v>
      </c>
      <c r="AX435" s="123">
        <f t="shared" si="423"/>
        <v>0</v>
      </c>
      <c r="AY435" s="123">
        <f t="shared" si="423"/>
        <v>0</v>
      </c>
      <c r="AZ435" s="123">
        <f t="shared" si="423"/>
        <v>0</v>
      </c>
      <c r="BA435" s="123">
        <f t="shared" si="423"/>
        <v>0</v>
      </c>
      <c r="BB435" s="123">
        <f t="shared" si="423"/>
        <v>0</v>
      </c>
      <c r="BC435" s="123">
        <f t="shared" si="423"/>
        <v>0</v>
      </c>
      <c r="BD435" s="123">
        <f t="shared" si="423"/>
        <v>0</v>
      </c>
      <c r="BE435" s="123">
        <f t="shared" si="423"/>
        <v>0</v>
      </c>
      <c r="BF435" s="123">
        <f t="shared" si="423"/>
        <v>0</v>
      </c>
      <c r="BG435" s="123">
        <f t="shared" si="423"/>
        <v>0</v>
      </c>
      <c r="BH435" s="123">
        <f t="shared" si="423"/>
        <v>0</v>
      </c>
      <c r="BI435" s="123">
        <f t="shared" si="423"/>
        <v>0</v>
      </c>
      <c r="BJ435" s="123">
        <f t="shared" si="423"/>
        <v>0</v>
      </c>
      <c r="BK435" s="123">
        <f t="shared" si="423"/>
        <v>0</v>
      </c>
      <c r="BL435" s="123">
        <f t="shared" si="423"/>
        <v>0</v>
      </c>
      <c r="BM435" s="123">
        <f t="shared" si="423"/>
        <v>0</v>
      </c>
      <c r="BN435" s="159">
        <f t="shared" si="423"/>
        <v>0</v>
      </c>
    </row>
    <row r="436" spans="32:66" ht="20.100000000000001" customHeight="1">
      <c r="AF436" s="1551"/>
      <c r="AG436" s="107" t="s">
        <v>863</v>
      </c>
      <c r="AH436" s="131"/>
      <c r="AI436" s="107">
        <f>INDEX('DEFAULT DATA'!$WD$9:$WJ$41,START!$C$3,2)</f>
        <v>267</v>
      </c>
      <c r="AJ436" s="63">
        <f>INDEX('DEFAULT DATA'!$AIN$9:$AIU$41,START!$C$3,3)</f>
        <v>54.02</v>
      </c>
      <c r="AK436" s="180">
        <v>0</v>
      </c>
      <c r="AL436" s="123">
        <f t="shared" ref="AL436:BN436" si="424">IF(AND(AL$373&gt;($D$103+2020),AL$373&lt;($E$103+2022)),AK436+($AI$436*$AJ$436*((100-$F$103)/100)*($C$103/100*$B$103)/($E$103-$D$103+1)/1000000),AK436)</f>
        <v>0</v>
      </c>
      <c r="AM436" s="123">
        <f t="shared" si="424"/>
        <v>0</v>
      </c>
      <c r="AN436" s="123">
        <f t="shared" si="424"/>
        <v>0</v>
      </c>
      <c r="AO436" s="123">
        <f t="shared" si="424"/>
        <v>0</v>
      </c>
      <c r="AP436" s="123">
        <f t="shared" si="424"/>
        <v>0</v>
      </c>
      <c r="AQ436" s="123">
        <f t="shared" si="424"/>
        <v>0</v>
      </c>
      <c r="AR436" s="123">
        <f t="shared" si="424"/>
        <v>0</v>
      </c>
      <c r="AS436" s="123">
        <f t="shared" si="424"/>
        <v>0</v>
      </c>
      <c r="AT436" s="123">
        <f t="shared" si="424"/>
        <v>0</v>
      </c>
      <c r="AU436" s="123">
        <f t="shared" si="424"/>
        <v>0</v>
      </c>
      <c r="AV436" s="123">
        <f t="shared" si="424"/>
        <v>0</v>
      </c>
      <c r="AW436" s="123">
        <f t="shared" si="424"/>
        <v>0</v>
      </c>
      <c r="AX436" s="123">
        <f t="shared" si="424"/>
        <v>0</v>
      </c>
      <c r="AY436" s="123">
        <f t="shared" si="424"/>
        <v>0</v>
      </c>
      <c r="AZ436" s="123">
        <f t="shared" si="424"/>
        <v>0</v>
      </c>
      <c r="BA436" s="123">
        <f t="shared" si="424"/>
        <v>0</v>
      </c>
      <c r="BB436" s="123">
        <f t="shared" si="424"/>
        <v>0</v>
      </c>
      <c r="BC436" s="123">
        <f t="shared" si="424"/>
        <v>0</v>
      </c>
      <c r="BD436" s="123">
        <f t="shared" si="424"/>
        <v>0</v>
      </c>
      <c r="BE436" s="123">
        <f t="shared" si="424"/>
        <v>0</v>
      </c>
      <c r="BF436" s="123">
        <f t="shared" si="424"/>
        <v>0</v>
      </c>
      <c r="BG436" s="123">
        <f t="shared" si="424"/>
        <v>0</v>
      </c>
      <c r="BH436" s="123">
        <f t="shared" si="424"/>
        <v>0</v>
      </c>
      <c r="BI436" s="123">
        <f t="shared" si="424"/>
        <v>0</v>
      </c>
      <c r="BJ436" s="123">
        <f t="shared" si="424"/>
        <v>0</v>
      </c>
      <c r="BK436" s="123">
        <f t="shared" si="424"/>
        <v>0</v>
      </c>
      <c r="BL436" s="123">
        <f t="shared" si="424"/>
        <v>0</v>
      </c>
      <c r="BM436" s="123">
        <f t="shared" si="424"/>
        <v>0</v>
      </c>
      <c r="BN436" s="159">
        <f t="shared" si="424"/>
        <v>0</v>
      </c>
    </row>
    <row r="437" spans="32:66" ht="20.100000000000001" customHeight="1">
      <c r="AF437" s="1551"/>
      <c r="AG437" s="107" t="s">
        <v>864</v>
      </c>
      <c r="AH437" s="131"/>
      <c r="AI437" s="107">
        <f>INDEX('DEFAULT DATA'!$WD$9:$WJ$41,START!$C$3,3)</f>
        <v>354</v>
      </c>
      <c r="AJ437" s="63">
        <f>INDEX('DEFAULT DATA'!$AIN$9:$AIU$41,START!$C$3,4)</f>
        <v>0</v>
      </c>
      <c r="AK437" s="180">
        <v>0</v>
      </c>
      <c r="AL437" s="123">
        <f t="shared" ref="AL437:BN437" si="425">IF(AND(AL$373&gt;($D$103+2020),AL$373&lt;($E$103+2022)),AK437+($AI$437*$AJ$437*((100-$F$103)/100)*($C$103/100*$B$103)/($E$103-$D$103+1)/1000000),AK437)</f>
        <v>0</v>
      </c>
      <c r="AM437" s="123">
        <f t="shared" si="425"/>
        <v>0</v>
      </c>
      <c r="AN437" s="123">
        <f t="shared" si="425"/>
        <v>0</v>
      </c>
      <c r="AO437" s="123">
        <f t="shared" si="425"/>
        <v>0</v>
      </c>
      <c r="AP437" s="123">
        <f t="shared" si="425"/>
        <v>0</v>
      </c>
      <c r="AQ437" s="123">
        <f t="shared" si="425"/>
        <v>0</v>
      </c>
      <c r="AR437" s="123">
        <f t="shared" si="425"/>
        <v>0</v>
      </c>
      <c r="AS437" s="123">
        <f t="shared" si="425"/>
        <v>0</v>
      </c>
      <c r="AT437" s="123">
        <f t="shared" si="425"/>
        <v>0</v>
      </c>
      <c r="AU437" s="123">
        <f t="shared" si="425"/>
        <v>0</v>
      </c>
      <c r="AV437" s="123">
        <f t="shared" si="425"/>
        <v>0</v>
      </c>
      <c r="AW437" s="123">
        <f t="shared" si="425"/>
        <v>0</v>
      </c>
      <c r="AX437" s="123">
        <f t="shared" si="425"/>
        <v>0</v>
      </c>
      <c r="AY437" s="123">
        <f t="shared" si="425"/>
        <v>0</v>
      </c>
      <c r="AZ437" s="123">
        <f t="shared" si="425"/>
        <v>0</v>
      </c>
      <c r="BA437" s="123">
        <f t="shared" si="425"/>
        <v>0</v>
      </c>
      <c r="BB437" s="123">
        <f t="shared" si="425"/>
        <v>0</v>
      </c>
      <c r="BC437" s="123">
        <f t="shared" si="425"/>
        <v>0</v>
      </c>
      <c r="BD437" s="123">
        <f t="shared" si="425"/>
        <v>0</v>
      </c>
      <c r="BE437" s="123">
        <f t="shared" si="425"/>
        <v>0</v>
      </c>
      <c r="BF437" s="123">
        <f t="shared" si="425"/>
        <v>0</v>
      </c>
      <c r="BG437" s="123">
        <f t="shared" si="425"/>
        <v>0</v>
      </c>
      <c r="BH437" s="123">
        <f t="shared" si="425"/>
        <v>0</v>
      </c>
      <c r="BI437" s="123">
        <f t="shared" si="425"/>
        <v>0</v>
      </c>
      <c r="BJ437" s="123">
        <f t="shared" si="425"/>
        <v>0</v>
      </c>
      <c r="BK437" s="123">
        <f t="shared" si="425"/>
        <v>0</v>
      </c>
      <c r="BL437" s="123">
        <f t="shared" si="425"/>
        <v>0</v>
      </c>
      <c r="BM437" s="123">
        <f t="shared" si="425"/>
        <v>0</v>
      </c>
      <c r="BN437" s="159">
        <f t="shared" si="425"/>
        <v>0</v>
      </c>
    </row>
    <row r="438" spans="32:66" ht="20.100000000000001" customHeight="1">
      <c r="AF438" s="1551"/>
      <c r="AG438" s="107" t="s">
        <v>865</v>
      </c>
      <c r="AH438" s="131"/>
      <c r="AI438" s="107">
        <f>INDEX('DEFAULT DATA'!$WD$9:$WJ$41,START!$C$3,4)</f>
        <v>382</v>
      </c>
      <c r="AJ438" s="63">
        <f>INDEX('DEFAULT DATA'!$AIN$9:$AIU$41,START!$C$3,5)</f>
        <v>5.04</v>
      </c>
      <c r="AK438" s="180">
        <v>0</v>
      </c>
      <c r="AL438" s="123">
        <f t="shared" ref="AL438:BN438" si="426">IF(AND(AL$373&gt;($D$103+2020),AL$373&lt;($E$103+2022)),AK438+($AI$438*$AJ$438*((100-$F$103)/100)*($C$103/100*$B$103)/($E$103-$D$103+1)/1000000),AK438)</f>
        <v>0</v>
      </c>
      <c r="AM438" s="123">
        <f t="shared" si="426"/>
        <v>0</v>
      </c>
      <c r="AN438" s="123">
        <f t="shared" si="426"/>
        <v>0</v>
      </c>
      <c r="AO438" s="123">
        <f t="shared" si="426"/>
        <v>0</v>
      </c>
      <c r="AP438" s="123">
        <f t="shared" si="426"/>
        <v>0</v>
      </c>
      <c r="AQ438" s="123">
        <f t="shared" si="426"/>
        <v>0</v>
      </c>
      <c r="AR438" s="123">
        <f t="shared" si="426"/>
        <v>0</v>
      </c>
      <c r="AS438" s="123">
        <f t="shared" si="426"/>
        <v>0</v>
      </c>
      <c r="AT438" s="123">
        <f t="shared" si="426"/>
        <v>0</v>
      </c>
      <c r="AU438" s="123">
        <f t="shared" si="426"/>
        <v>0</v>
      </c>
      <c r="AV438" s="123">
        <f t="shared" si="426"/>
        <v>0</v>
      </c>
      <c r="AW438" s="123">
        <f t="shared" si="426"/>
        <v>0</v>
      </c>
      <c r="AX438" s="123">
        <f t="shared" si="426"/>
        <v>0</v>
      </c>
      <c r="AY438" s="123">
        <f t="shared" si="426"/>
        <v>0</v>
      </c>
      <c r="AZ438" s="123">
        <f t="shared" si="426"/>
        <v>0</v>
      </c>
      <c r="BA438" s="123">
        <f t="shared" si="426"/>
        <v>0</v>
      </c>
      <c r="BB438" s="123">
        <f t="shared" si="426"/>
        <v>0</v>
      </c>
      <c r="BC438" s="123">
        <f t="shared" si="426"/>
        <v>0</v>
      </c>
      <c r="BD438" s="123">
        <f t="shared" si="426"/>
        <v>0</v>
      </c>
      <c r="BE438" s="123">
        <f t="shared" si="426"/>
        <v>0</v>
      </c>
      <c r="BF438" s="123">
        <f t="shared" si="426"/>
        <v>0</v>
      </c>
      <c r="BG438" s="123">
        <f t="shared" si="426"/>
        <v>0</v>
      </c>
      <c r="BH438" s="123">
        <f t="shared" si="426"/>
        <v>0</v>
      </c>
      <c r="BI438" s="123">
        <f t="shared" si="426"/>
        <v>0</v>
      </c>
      <c r="BJ438" s="123">
        <f t="shared" si="426"/>
        <v>0</v>
      </c>
      <c r="BK438" s="123">
        <f t="shared" si="426"/>
        <v>0</v>
      </c>
      <c r="BL438" s="123">
        <f t="shared" si="426"/>
        <v>0</v>
      </c>
      <c r="BM438" s="123">
        <f t="shared" si="426"/>
        <v>0</v>
      </c>
      <c r="BN438" s="159">
        <f t="shared" si="426"/>
        <v>0</v>
      </c>
    </row>
    <row r="439" spans="32:66" ht="20.100000000000001" customHeight="1">
      <c r="AF439" s="1551"/>
      <c r="AG439" s="107" t="s">
        <v>866</v>
      </c>
      <c r="AH439" s="131"/>
      <c r="AI439" s="107">
        <f>INDEX('DEFAULT DATA'!$WD$9:$WJ$41,START!$C$3,5)</f>
        <v>403</v>
      </c>
      <c r="AJ439" s="63">
        <f>INDEX('DEFAULT DATA'!$AIN$9:$AIU$41,START!$C$3,6)</f>
        <v>6.12</v>
      </c>
      <c r="AK439" s="180">
        <v>0</v>
      </c>
      <c r="AL439" s="123">
        <f t="shared" ref="AL439:BN439" si="427">IF(AND(AL$373&gt;($D$103+2020),AL$373&lt;($E$103+2022)),AK439+($AI$439*$AJ$439*((100-$F$103)/100)*($C$103/100*$B$103)/($E$103-$D$103+1)/1000000),AK439)</f>
        <v>0</v>
      </c>
      <c r="AM439" s="123">
        <f t="shared" si="427"/>
        <v>0</v>
      </c>
      <c r="AN439" s="123">
        <f t="shared" si="427"/>
        <v>0</v>
      </c>
      <c r="AO439" s="123">
        <f t="shared" si="427"/>
        <v>0</v>
      </c>
      <c r="AP439" s="123">
        <f t="shared" si="427"/>
        <v>0</v>
      </c>
      <c r="AQ439" s="123">
        <f t="shared" si="427"/>
        <v>0</v>
      </c>
      <c r="AR439" s="123">
        <f t="shared" si="427"/>
        <v>0</v>
      </c>
      <c r="AS439" s="123">
        <f t="shared" si="427"/>
        <v>0</v>
      </c>
      <c r="AT439" s="123">
        <f t="shared" si="427"/>
        <v>0</v>
      </c>
      <c r="AU439" s="123">
        <f t="shared" si="427"/>
        <v>0</v>
      </c>
      <c r="AV439" s="123">
        <f t="shared" si="427"/>
        <v>0</v>
      </c>
      <c r="AW439" s="123">
        <f t="shared" si="427"/>
        <v>0</v>
      </c>
      <c r="AX439" s="123">
        <f t="shared" si="427"/>
        <v>0</v>
      </c>
      <c r="AY439" s="123">
        <f t="shared" si="427"/>
        <v>0</v>
      </c>
      <c r="AZ439" s="123">
        <f t="shared" si="427"/>
        <v>0</v>
      </c>
      <c r="BA439" s="123">
        <f t="shared" si="427"/>
        <v>0</v>
      </c>
      <c r="BB439" s="123">
        <f t="shared" si="427"/>
        <v>0</v>
      </c>
      <c r="BC439" s="123">
        <f t="shared" si="427"/>
        <v>0</v>
      </c>
      <c r="BD439" s="123">
        <f t="shared" si="427"/>
        <v>0</v>
      </c>
      <c r="BE439" s="123">
        <f t="shared" si="427"/>
        <v>0</v>
      </c>
      <c r="BF439" s="123">
        <f t="shared" si="427"/>
        <v>0</v>
      </c>
      <c r="BG439" s="123">
        <f t="shared" si="427"/>
        <v>0</v>
      </c>
      <c r="BH439" s="123">
        <f t="shared" si="427"/>
        <v>0</v>
      </c>
      <c r="BI439" s="123">
        <f t="shared" si="427"/>
        <v>0</v>
      </c>
      <c r="BJ439" s="123">
        <f t="shared" si="427"/>
        <v>0</v>
      </c>
      <c r="BK439" s="123">
        <f t="shared" si="427"/>
        <v>0</v>
      </c>
      <c r="BL439" s="123">
        <f t="shared" si="427"/>
        <v>0</v>
      </c>
      <c r="BM439" s="123">
        <f t="shared" si="427"/>
        <v>0</v>
      </c>
      <c r="BN439" s="159">
        <f t="shared" si="427"/>
        <v>0</v>
      </c>
    </row>
    <row r="440" spans="32:66" ht="20.100000000000001" customHeight="1">
      <c r="AF440" s="1551"/>
      <c r="AG440" s="107" t="s">
        <v>867</v>
      </c>
      <c r="AH440" s="131"/>
      <c r="AI440" s="107">
        <f>INDEX('DEFAULT DATA'!$WD$9:$WJ$41,START!$C$3,6)</f>
        <v>0</v>
      </c>
      <c r="AJ440" s="63">
        <f>INDEX('DEFAULT DATA'!$AIN$9:$AIU$41,START!$C$3,7)</f>
        <v>0</v>
      </c>
      <c r="AK440" s="180">
        <v>0</v>
      </c>
      <c r="AL440" s="123">
        <f t="shared" ref="AL440:BN440" si="428">IF(AND(AL$373&gt;($D$103+2020),AL$373&lt;($E$103+2022)),AK440+($AI$440*$AJ$440*((100-$F$103)/100)*($C$103/100*$B$103)/($E$103-$D$103+1)/1000000),AK440)</f>
        <v>0</v>
      </c>
      <c r="AM440" s="123">
        <f t="shared" si="428"/>
        <v>0</v>
      </c>
      <c r="AN440" s="123">
        <f t="shared" si="428"/>
        <v>0</v>
      </c>
      <c r="AO440" s="123">
        <f t="shared" si="428"/>
        <v>0</v>
      </c>
      <c r="AP440" s="123">
        <f t="shared" si="428"/>
        <v>0</v>
      </c>
      <c r="AQ440" s="123">
        <f t="shared" si="428"/>
        <v>0</v>
      </c>
      <c r="AR440" s="123">
        <f t="shared" si="428"/>
        <v>0</v>
      </c>
      <c r="AS440" s="123">
        <f t="shared" si="428"/>
        <v>0</v>
      </c>
      <c r="AT440" s="123">
        <f t="shared" si="428"/>
        <v>0</v>
      </c>
      <c r="AU440" s="123">
        <f t="shared" si="428"/>
        <v>0</v>
      </c>
      <c r="AV440" s="123">
        <f t="shared" si="428"/>
        <v>0</v>
      </c>
      <c r="AW440" s="123">
        <f t="shared" si="428"/>
        <v>0</v>
      </c>
      <c r="AX440" s="123">
        <f t="shared" si="428"/>
        <v>0</v>
      </c>
      <c r="AY440" s="123">
        <f t="shared" si="428"/>
        <v>0</v>
      </c>
      <c r="AZ440" s="123">
        <f t="shared" si="428"/>
        <v>0</v>
      </c>
      <c r="BA440" s="123">
        <f t="shared" si="428"/>
        <v>0</v>
      </c>
      <c r="BB440" s="123">
        <f t="shared" si="428"/>
        <v>0</v>
      </c>
      <c r="BC440" s="123">
        <f t="shared" si="428"/>
        <v>0</v>
      </c>
      <c r="BD440" s="123">
        <f t="shared" si="428"/>
        <v>0</v>
      </c>
      <c r="BE440" s="123">
        <f t="shared" si="428"/>
        <v>0</v>
      </c>
      <c r="BF440" s="123">
        <f t="shared" si="428"/>
        <v>0</v>
      </c>
      <c r="BG440" s="123">
        <f t="shared" si="428"/>
        <v>0</v>
      </c>
      <c r="BH440" s="123">
        <f t="shared" si="428"/>
        <v>0</v>
      </c>
      <c r="BI440" s="123">
        <f t="shared" si="428"/>
        <v>0</v>
      </c>
      <c r="BJ440" s="123">
        <f t="shared" si="428"/>
        <v>0</v>
      </c>
      <c r="BK440" s="123">
        <f t="shared" si="428"/>
        <v>0</v>
      </c>
      <c r="BL440" s="123">
        <f t="shared" si="428"/>
        <v>0</v>
      </c>
      <c r="BM440" s="123">
        <f t="shared" si="428"/>
        <v>0</v>
      </c>
      <c r="BN440" s="159">
        <f t="shared" si="428"/>
        <v>0</v>
      </c>
    </row>
    <row r="441" spans="32:66" ht="20.100000000000001" customHeight="1" thickBot="1">
      <c r="AF441" s="1552"/>
      <c r="AG441" s="146" t="s">
        <v>868</v>
      </c>
      <c r="AH441" s="139"/>
      <c r="AI441" s="146" t="s">
        <v>1123</v>
      </c>
      <c r="AJ441" s="113">
        <f>INDEX('DEFAULT DATA'!$AIN$9:$AIU$41,START!$C$3,8)</f>
        <v>2.7269747394706691E-2</v>
      </c>
      <c r="AK441" s="179">
        <v>0</v>
      </c>
      <c r="AL441" s="160">
        <f t="shared" ref="AL441:BN441" si="429">IF(AND(AL$373&gt;($D$103+2020),AL$373&lt;($E$103+2022)),AK441+(AL$6*$AJ$441*((100-$F$103)/100)*($C$103/100*$B$103)/($E$103-$D$103+1)/1000000),AK441)</f>
        <v>0</v>
      </c>
      <c r="AM441" s="160">
        <f t="shared" si="429"/>
        <v>0</v>
      </c>
      <c r="AN441" s="160">
        <f t="shared" si="429"/>
        <v>0</v>
      </c>
      <c r="AO441" s="160">
        <f t="shared" si="429"/>
        <v>0</v>
      </c>
      <c r="AP441" s="160">
        <f t="shared" si="429"/>
        <v>0</v>
      </c>
      <c r="AQ441" s="160">
        <f t="shared" si="429"/>
        <v>0</v>
      </c>
      <c r="AR441" s="160">
        <f t="shared" si="429"/>
        <v>0</v>
      </c>
      <c r="AS441" s="160">
        <f t="shared" si="429"/>
        <v>0</v>
      </c>
      <c r="AT441" s="160">
        <f t="shared" si="429"/>
        <v>0</v>
      </c>
      <c r="AU441" s="160">
        <f t="shared" si="429"/>
        <v>0</v>
      </c>
      <c r="AV441" s="160">
        <f t="shared" si="429"/>
        <v>0</v>
      </c>
      <c r="AW441" s="160">
        <f t="shared" si="429"/>
        <v>0</v>
      </c>
      <c r="AX441" s="160">
        <f t="shared" si="429"/>
        <v>0</v>
      </c>
      <c r="AY441" s="160">
        <f t="shared" si="429"/>
        <v>0</v>
      </c>
      <c r="AZ441" s="160">
        <f t="shared" si="429"/>
        <v>0</v>
      </c>
      <c r="BA441" s="160">
        <f t="shared" si="429"/>
        <v>0</v>
      </c>
      <c r="BB441" s="160">
        <f t="shared" si="429"/>
        <v>0</v>
      </c>
      <c r="BC441" s="160">
        <f t="shared" si="429"/>
        <v>0</v>
      </c>
      <c r="BD441" s="160">
        <f t="shared" si="429"/>
        <v>0</v>
      </c>
      <c r="BE441" s="160">
        <f t="shared" si="429"/>
        <v>0</v>
      </c>
      <c r="BF441" s="160">
        <f t="shared" si="429"/>
        <v>0</v>
      </c>
      <c r="BG441" s="160">
        <f t="shared" si="429"/>
        <v>0</v>
      </c>
      <c r="BH441" s="160">
        <f t="shared" si="429"/>
        <v>0</v>
      </c>
      <c r="BI441" s="160">
        <f t="shared" si="429"/>
        <v>0</v>
      </c>
      <c r="BJ441" s="160">
        <f t="shared" si="429"/>
        <v>0</v>
      </c>
      <c r="BK441" s="160">
        <f t="shared" si="429"/>
        <v>0</v>
      </c>
      <c r="BL441" s="160">
        <f t="shared" si="429"/>
        <v>0</v>
      </c>
      <c r="BM441" s="160">
        <f t="shared" si="429"/>
        <v>0</v>
      </c>
      <c r="BN441" s="161">
        <f t="shared" si="429"/>
        <v>0</v>
      </c>
    </row>
    <row r="442" spans="32:66" ht="20.100000000000001" customHeight="1">
      <c r="AF442" s="147"/>
      <c r="AG442" s="136" t="s">
        <v>1086</v>
      </c>
      <c r="AH442" s="136"/>
      <c r="AI442" s="136"/>
      <c r="AJ442" s="136"/>
      <c r="AK442" s="177">
        <v>0</v>
      </c>
      <c r="AL442" s="162">
        <f>SUM(AL434:AL441)</f>
        <v>0</v>
      </c>
      <c r="AM442" s="162">
        <f t="shared" ref="AM442:BN442" si="430">SUM(AM434:AM441)</f>
        <v>0</v>
      </c>
      <c r="AN442" s="162">
        <f t="shared" si="430"/>
        <v>0</v>
      </c>
      <c r="AO442" s="162">
        <f t="shared" si="430"/>
        <v>0</v>
      </c>
      <c r="AP442" s="162">
        <f t="shared" si="430"/>
        <v>0</v>
      </c>
      <c r="AQ442" s="162">
        <f t="shared" si="430"/>
        <v>0</v>
      </c>
      <c r="AR442" s="162">
        <f t="shared" si="430"/>
        <v>0</v>
      </c>
      <c r="AS442" s="162">
        <f t="shared" si="430"/>
        <v>0</v>
      </c>
      <c r="AT442" s="162">
        <f t="shared" si="430"/>
        <v>0</v>
      </c>
      <c r="AU442" s="162">
        <f t="shared" si="430"/>
        <v>0</v>
      </c>
      <c r="AV442" s="162">
        <f t="shared" si="430"/>
        <v>0</v>
      </c>
      <c r="AW442" s="162">
        <f t="shared" si="430"/>
        <v>0</v>
      </c>
      <c r="AX442" s="162">
        <f t="shared" si="430"/>
        <v>0</v>
      </c>
      <c r="AY442" s="162">
        <f t="shared" si="430"/>
        <v>0</v>
      </c>
      <c r="AZ442" s="162">
        <f t="shared" si="430"/>
        <v>0</v>
      </c>
      <c r="BA442" s="162">
        <f t="shared" si="430"/>
        <v>0</v>
      </c>
      <c r="BB442" s="162">
        <f t="shared" si="430"/>
        <v>0</v>
      </c>
      <c r="BC442" s="162">
        <f t="shared" si="430"/>
        <v>0</v>
      </c>
      <c r="BD442" s="162">
        <f t="shared" si="430"/>
        <v>0</v>
      </c>
      <c r="BE442" s="162">
        <f t="shared" si="430"/>
        <v>0</v>
      </c>
      <c r="BF442" s="162">
        <f t="shared" si="430"/>
        <v>0</v>
      </c>
      <c r="BG442" s="162">
        <f t="shared" si="430"/>
        <v>0</v>
      </c>
      <c r="BH442" s="162">
        <f t="shared" si="430"/>
        <v>0</v>
      </c>
      <c r="BI442" s="162">
        <f t="shared" si="430"/>
        <v>0</v>
      </c>
      <c r="BJ442" s="162">
        <f t="shared" si="430"/>
        <v>0</v>
      </c>
      <c r="BK442" s="162">
        <f t="shared" si="430"/>
        <v>0</v>
      </c>
      <c r="BL442" s="162">
        <f t="shared" si="430"/>
        <v>0</v>
      </c>
      <c r="BM442" s="162">
        <f t="shared" si="430"/>
        <v>0</v>
      </c>
      <c r="BN442" s="162">
        <f t="shared" si="430"/>
        <v>0</v>
      </c>
    </row>
    <row r="443" spans="32:66" ht="20.100000000000001" customHeight="1" thickBot="1"/>
    <row r="444" spans="32:66" ht="20.100000000000001" customHeight="1">
      <c r="AF444" s="1550" t="s">
        <v>873</v>
      </c>
      <c r="AG444" s="137" t="s">
        <v>578</v>
      </c>
      <c r="AH444" s="138"/>
      <c r="AI444" s="137" t="s">
        <v>1122</v>
      </c>
      <c r="AJ444" s="148">
        <f>INDEX('DEFAULT DATA'!$AIV$9:$AJC$41,START!$C$3,1)</f>
        <v>120</v>
      </c>
      <c r="AK444" s="178">
        <v>0</v>
      </c>
      <c r="AL444" s="163">
        <f t="shared" ref="AL444:BN444" si="431">IF(AND(AL$373&gt;($D$104+2020),AL$373&lt;($E$104+2022)),AK444+(AL$5*$AJ$444*((100-$F$104)/100)*($C$104/100*$B$104)/($E$104-$D$104+1)/1000000),AK444)</f>
        <v>0</v>
      </c>
      <c r="AM444" s="163">
        <f t="shared" si="431"/>
        <v>0</v>
      </c>
      <c r="AN444" s="163">
        <f t="shared" si="431"/>
        <v>0</v>
      </c>
      <c r="AO444" s="163">
        <f t="shared" si="431"/>
        <v>0</v>
      </c>
      <c r="AP444" s="163">
        <f t="shared" si="431"/>
        <v>0</v>
      </c>
      <c r="AQ444" s="163">
        <f t="shared" si="431"/>
        <v>0</v>
      </c>
      <c r="AR444" s="163">
        <f t="shared" si="431"/>
        <v>0</v>
      </c>
      <c r="AS444" s="163">
        <f t="shared" si="431"/>
        <v>0</v>
      </c>
      <c r="AT444" s="163">
        <f t="shared" si="431"/>
        <v>0</v>
      </c>
      <c r="AU444" s="163">
        <f t="shared" si="431"/>
        <v>0</v>
      </c>
      <c r="AV444" s="163">
        <f t="shared" si="431"/>
        <v>0</v>
      </c>
      <c r="AW444" s="163">
        <f t="shared" si="431"/>
        <v>0</v>
      </c>
      <c r="AX444" s="163">
        <f t="shared" si="431"/>
        <v>0</v>
      </c>
      <c r="AY444" s="163">
        <f t="shared" si="431"/>
        <v>0</v>
      </c>
      <c r="AZ444" s="163">
        <f t="shared" si="431"/>
        <v>0</v>
      </c>
      <c r="BA444" s="163">
        <f t="shared" si="431"/>
        <v>0</v>
      </c>
      <c r="BB444" s="163">
        <f t="shared" si="431"/>
        <v>0</v>
      </c>
      <c r="BC444" s="163">
        <f t="shared" si="431"/>
        <v>0</v>
      </c>
      <c r="BD444" s="163">
        <f t="shared" si="431"/>
        <v>0</v>
      </c>
      <c r="BE444" s="163">
        <f t="shared" si="431"/>
        <v>0</v>
      </c>
      <c r="BF444" s="163">
        <f t="shared" si="431"/>
        <v>0</v>
      </c>
      <c r="BG444" s="163">
        <f t="shared" si="431"/>
        <v>0</v>
      </c>
      <c r="BH444" s="163">
        <f t="shared" si="431"/>
        <v>0</v>
      </c>
      <c r="BI444" s="163">
        <f t="shared" si="431"/>
        <v>0</v>
      </c>
      <c r="BJ444" s="163">
        <f t="shared" si="431"/>
        <v>0</v>
      </c>
      <c r="BK444" s="163">
        <f t="shared" si="431"/>
        <v>0</v>
      </c>
      <c r="BL444" s="163">
        <f t="shared" si="431"/>
        <v>0</v>
      </c>
      <c r="BM444" s="163">
        <f t="shared" si="431"/>
        <v>0</v>
      </c>
      <c r="BN444" s="164">
        <f t="shared" si="431"/>
        <v>0</v>
      </c>
    </row>
    <row r="445" spans="32:66" ht="20.100000000000001" customHeight="1">
      <c r="AF445" s="1551"/>
      <c r="AG445" s="107" t="s">
        <v>862</v>
      </c>
      <c r="AH445" s="131"/>
      <c r="AI445" s="107">
        <f>INDEX('DEFAULT DATA'!$WD$9:$WJ$41,START!$C$3,1)</f>
        <v>202</v>
      </c>
      <c r="AJ445" s="63">
        <f>INDEX('DEFAULT DATA'!$AIV$9:$AJC$41,START!$C$3,2)</f>
        <v>47.37</v>
      </c>
      <c r="AK445" s="180">
        <v>0</v>
      </c>
      <c r="AL445" s="123">
        <f t="shared" ref="AL445:BN445" si="432">IF(AND(AL$373&gt;($D$104+2020),AL$373&lt;($E$104+2022)),AK445+($AI$445*$AJ$445*((100-$F$104)/100)*($C$104/100*$B$104)/($E$104-$D$104+1)/1000000),AK445)</f>
        <v>0</v>
      </c>
      <c r="AM445" s="123">
        <f t="shared" si="432"/>
        <v>0</v>
      </c>
      <c r="AN445" s="123">
        <f t="shared" si="432"/>
        <v>0</v>
      </c>
      <c r="AO445" s="123">
        <f t="shared" si="432"/>
        <v>0</v>
      </c>
      <c r="AP445" s="123">
        <f t="shared" si="432"/>
        <v>0</v>
      </c>
      <c r="AQ445" s="123">
        <f t="shared" si="432"/>
        <v>0</v>
      </c>
      <c r="AR445" s="123">
        <f t="shared" si="432"/>
        <v>0</v>
      </c>
      <c r="AS445" s="123">
        <f t="shared" si="432"/>
        <v>0</v>
      </c>
      <c r="AT445" s="123">
        <f t="shared" si="432"/>
        <v>0</v>
      </c>
      <c r="AU445" s="123">
        <f t="shared" si="432"/>
        <v>0</v>
      </c>
      <c r="AV445" s="123">
        <f t="shared" si="432"/>
        <v>0</v>
      </c>
      <c r="AW445" s="123">
        <f t="shared" si="432"/>
        <v>0</v>
      </c>
      <c r="AX445" s="123">
        <f t="shared" si="432"/>
        <v>0</v>
      </c>
      <c r="AY445" s="123">
        <f t="shared" si="432"/>
        <v>0</v>
      </c>
      <c r="AZ445" s="123">
        <f t="shared" si="432"/>
        <v>0</v>
      </c>
      <c r="BA445" s="123">
        <f t="shared" si="432"/>
        <v>0</v>
      </c>
      <c r="BB445" s="123">
        <f t="shared" si="432"/>
        <v>0</v>
      </c>
      <c r="BC445" s="123">
        <f t="shared" si="432"/>
        <v>0</v>
      </c>
      <c r="BD445" s="123">
        <f t="shared" si="432"/>
        <v>0</v>
      </c>
      <c r="BE445" s="123">
        <f t="shared" si="432"/>
        <v>0</v>
      </c>
      <c r="BF445" s="123">
        <f t="shared" si="432"/>
        <v>0</v>
      </c>
      <c r="BG445" s="123">
        <f t="shared" si="432"/>
        <v>0</v>
      </c>
      <c r="BH445" s="123">
        <f t="shared" si="432"/>
        <v>0</v>
      </c>
      <c r="BI445" s="123">
        <f t="shared" si="432"/>
        <v>0</v>
      </c>
      <c r="BJ445" s="123">
        <f t="shared" si="432"/>
        <v>0</v>
      </c>
      <c r="BK445" s="123">
        <f t="shared" si="432"/>
        <v>0</v>
      </c>
      <c r="BL445" s="123">
        <f t="shared" si="432"/>
        <v>0</v>
      </c>
      <c r="BM445" s="123">
        <f t="shared" si="432"/>
        <v>0</v>
      </c>
      <c r="BN445" s="159">
        <f t="shared" si="432"/>
        <v>0</v>
      </c>
    </row>
    <row r="446" spans="32:66" ht="20.100000000000001" customHeight="1">
      <c r="AF446" s="1551"/>
      <c r="AG446" s="107" t="s">
        <v>863</v>
      </c>
      <c r="AH446" s="131"/>
      <c r="AI446" s="107">
        <f>INDEX('DEFAULT DATA'!$WD$9:$WJ$41,START!$C$3,2)</f>
        <v>267</v>
      </c>
      <c r="AJ446" s="63">
        <f>INDEX('DEFAULT DATA'!$AIV$9:$AJC$41,START!$C$3,3)</f>
        <v>39.47</v>
      </c>
      <c r="AK446" s="180">
        <v>0</v>
      </c>
      <c r="AL446" s="123">
        <f t="shared" ref="AL446:BN446" si="433">IF(AND(AL$373&gt;($D$104+2020),AL$373&lt;($E$104+2022)),AK446+($AI$446*$AJ$446*((100-$F$104)/100)*($C$104/100*$B$104)/($E$104-$D$104+1)/1000000),AK446)</f>
        <v>0</v>
      </c>
      <c r="AM446" s="123">
        <f t="shared" si="433"/>
        <v>0</v>
      </c>
      <c r="AN446" s="123">
        <f t="shared" si="433"/>
        <v>0</v>
      </c>
      <c r="AO446" s="123">
        <f t="shared" si="433"/>
        <v>0</v>
      </c>
      <c r="AP446" s="123">
        <f t="shared" si="433"/>
        <v>0</v>
      </c>
      <c r="AQ446" s="123">
        <f t="shared" si="433"/>
        <v>0</v>
      </c>
      <c r="AR446" s="123">
        <f t="shared" si="433"/>
        <v>0</v>
      </c>
      <c r="AS446" s="123">
        <f t="shared" si="433"/>
        <v>0</v>
      </c>
      <c r="AT446" s="123">
        <f t="shared" si="433"/>
        <v>0</v>
      </c>
      <c r="AU446" s="123">
        <f t="shared" si="433"/>
        <v>0</v>
      </c>
      <c r="AV446" s="123">
        <f t="shared" si="433"/>
        <v>0</v>
      </c>
      <c r="AW446" s="123">
        <f t="shared" si="433"/>
        <v>0</v>
      </c>
      <c r="AX446" s="123">
        <f t="shared" si="433"/>
        <v>0</v>
      </c>
      <c r="AY446" s="123">
        <f t="shared" si="433"/>
        <v>0</v>
      </c>
      <c r="AZ446" s="123">
        <f t="shared" si="433"/>
        <v>0</v>
      </c>
      <c r="BA446" s="123">
        <f t="shared" si="433"/>
        <v>0</v>
      </c>
      <c r="BB446" s="123">
        <f t="shared" si="433"/>
        <v>0</v>
      </c>
      <c r="BC446" s="123">
        <f t="shared" si="433"/>
        <v>0</v>
      </c>
      <c r="BD446" s="123">
        <f t="shared" si="433"/>
        <v>0</v>
      </c>
      <c r="BE446" s="123">
        <f t="shared" si="433"/>
        <v>0</v>
      </c>
      <c r="BF446" s="123">
        <f t="shared" si="433"/>
        <v>0</v>
      </c>
      <c r="BG446" s="123">
        <f t="shared" si="433"/>
        <v>0</v>
      </c>
      <c r="BH446" s="123">
        <f t="shared" si="433"/>
        <v>0</v>
      </c>
      <c r="BI446" s="123">
        <f t="shared" si="433"/>
        <v>0</v>
      </c>
      <c r="BJ446" s="123">
        <f t="shared" si="433"/>
        <v>0</v>
      </c>
      <c r="BK446" s="123">
        <f t="shared" si="433"/>
        <v>0</v>
      </c>
      <c r="BL446" s="123">
        <f t="shared" si="433"/>
        <v>0</v>
      </c>
      <c r="BM446" s="123">
        <f t="shared" si="433"/>
        <v>0</v>
      </c>
      <c r="BN446" s="159">
        <f t="shared" si="433"/>
        <v>0</v>
      </c>
    </row>
    <row r="447" spans="32:66" ht="20.100000000000001" customHeight="1">
      <c r="AF447" s="1551"/>
      <c r="AG447" s="107" t="s">
        <v>864</v>
      </c>
      <c r="AH447" s="131"/>
      <c r="AI447" s="107">
        <f>INDEX('DEFAULT DATA'!$WD$9:$WJ$41,START!$C$3,3)</f>
        <v>354</v>
      </c>
      <c r="AJ447" s="63">
        <f>INDEX('DEFAULT DATA'!$AIV$9:$AJC$41,START!$C$3,4)</f>
        <v>0</v>
      </c>
      <c r="AK447" s="180">
        <v>0</v>
      </c>
      <c r="AL447" s="123">
        <f t="shared" ref="AL447:BN447" si="434">IF(AND(AL$373&gt;($D$104+2020),AL$373&lt;($E$104+2022)),AK447+($AI$447*$AJ$447*((100-$F$104)/100)*($C$104/100*$B$104)/($E$104-$D$104+1)/1000000),AK447)</f>
        <v>0</v>
      </c>
      <c r="AM447" s="123">
        <f t="shared" si="434"/>
        <v>0</v>
      </c>
      <c r="AN447" s="123">
        <f t="shared" si="434"/>
        <v>0</v>
      </c>
      <c r="AO447" s="123">
        <f t="shared" si="434"/>
        <v>0</v>
      </c>
      <c r="AP447" s="123">
        <f t="shared" si="434"/>
        <v>0</v>
      </c>
      <c r="AQ447" s="123">
        <f t="shared" si="434"/>
        <v>0</v>
      </c>
      <c r="AR447" s="123">
        <f t="shared" si="434"/>
        <v>0</v>
      </c>
      <c r="AS447" s="123">
        <f t="shared" si="434"/>
        <v>0</v>
      </c>
      <c r="AT447" s="123">
        <f t="shared" si="434"/>
        <v>0</v>
      </c>
      <c r="AU447" s="123">
        <f t="shared" si="434"/>
        <v>0</v>
      </c>
      <c r="AV447" s="123">
        <f t="shared" si="434"/>
        <v>0</v>
      </c>
      <c r="AW447" s="123">
        <f t="shared" si="434"/>
        <v>0</v>
      </c>
      <c r="AX447" s="123">
        <f t="shared" si="434"/>
        <v>0</v>
      </c>
      <c r="AY447" s="123">
        <f t="shared" si="434"/>
        <v>0</v>
      </c>
      <c r="AZ447" s="123">
        <f t="shared" si="434"/>
        <v>0</v>
      </c>
      <c r="BA447" s="123">
        <f t="shared" si="434"/>
        <v>0</v>
      </c>
      <c r="BB447" s="123">
        <f t="shared" si="434"/>
        <v>0</v>
      </c>
      <c r="BC447" s="123">
        <f t="shared" si="434"/>
        <v>0</v>
      </c>
      <c r="BD447" s="123">
        <f t="shared" si="434"/>
        <v>0</v>
      </c>
      <c r="BE447" s="123">
        <f t="shared" si="434"/>
        <v>0</v>
      </c>
      <c r="BF447" s="123">
        <f t="shared" si="434"/>
        <v>0</v>
      </c>
      <c r="BG447" s="123">
        <f t="shared" si="434"/>
        <v>0</v>
      </c>
      <c r="BH447" s="123">
        <f t="shared" si="434"/>
        <v>0</v>
      </c>
      <c r="BI447" s="123">
        <f t="shared" si="434"/>
        <v>0</v>
      </c>
      <c r="BJ447" s="123">
        <f t="shared" si="434"/>
        <v>0</v>
      </c>
      <c r="BK447" s="123">
        <f t="shared" si="434"/>
        <v>0</v>
      </c>
      <c r="BL447" s="123">
        <f t="shared" si="434"/>
        <v>0</v>
      </c>
      <c r="BM447" s="123">
        <f t="shared" si="434"/>
        <v>0</v>
      </c>
      <c r="BN447" s="159">
        <f t="shared" si="434"/>
        <v>0</v>
      </c>
    </row>
    <row r="448" spans="32:66" ht="20.100000000000001" customHeight="1">
      <c r="AF448" s="1551"/>
      <c r="AG448" s="107" t="s">
        <v>865</v>
      </c>
      <c r="AH448" s="131"/>
      <c r="AI448" s="107">
        <f>INDEX('DEFAULT DATA'!$WD$9:$WJ$41,START!$C$3,4)</f>
        <v>382</v>
      </c>
      <c r="AJ448" s="63">
        <f>INDEX('DEFAULT DATA'!$AIV$9:$AJC$41,START!$C$3,5)</f>
        <v>3.68</v>
      </c>
      <c r="AK448" s="180">
        <v>0</v>
      </c>
      <c r="AL448" s="123">
        <f t="shared" ref="AL448:BN448" si="435">IF(AND(AL$373&gt;($D$104+2020),AL$373&lt;($E$104+2022)),AK448+($AI$448*$AJ$448*((100-$F$104)/100)*($C$104/100*$B$104)/($E$104-$D$104+1)/1000000),AK448)</f>
        <v>0</v>
      </c>
      <c r="AM448" s="123">
        <f t="shared" si="435"/>
        <v>0</v>
      </c>
      <c r="AN448" s="123">
        <f t="shared" si="435"/>
        <v>0</v>
      </c>
      <c r="AO448" s="123">
        <f t="shared" si="435"/>
        <v>0</v>
      </c>
      <c r="AP448" s="123">
        <f t="shared" si="435"/>
        <v>0</v>
      </c>
      <c r="AQ448" s="123">
        <f t="shared" si="435"/>
        <v>0</v>
      </c>
      <c r="AR448" s="123">
        <f t="shared" si="435"/>
        <v>0</v>
      </c>
      <c r="AS448" s="123">
        <f t="shared" si="435"/>
        <v>0</v>
      </c>
      <c r="AT448" s="123">
        <f t="shared" si="435"/>
        <v>0</v>
      </c>
      <c r="AU448" s="123">
        <f t="shared" si="435"/>
        <v>0</v>
      </c>
      <c r="AV448" s="123">
        <f t="shared" si="435"/>
        <v>0</v>
      </c>
      <c r="AW448" s="123">
        <f t="shared" si="435"/>
        <v>0</v>
      </c>
      <c r="AX448" s="123">
        <f t="shared" si="435"/>
        <v>0</v>
      </c>
      <c r="AY448" s="123">
        <f t="shared" si="435"/>
        <v>0</v>
      </c>
      <c r="AZ448" s="123">
        <f t="shared" si="435"/>
        <v>0</v>
      </c>
      <c r="BA448" s="123">
        <f t="shared" si="435"/>
        <v>0</v>
      </c>
      <c r="BB448" s="123">
        <f t="shared" si="435"/>
        <v>0</v>
      </c>
      <c r="BC448" s="123">
        <f t="shared" si="435"/>
        <v>0</v>
      </c>
      <c r="BD448" s="123">
        <f t="shared" si="435"/>
        <v>0</v>
      </c>
      <c r="BE448" s="123">
        <f t="shared" si="435"/>
        <v>0</v>
      </c>
      <c r="BF448" s="123">
        <f t="shared" si="435"/>
        <v>0</v>
      </c>
      <c r="BG448" s="123">
        <f t="shared" si="435"/>
        <v>0</v>
      </c>
      <c r="BH448" s="123">
        <f t="shared" si="435"/>
        <v>0</v>
      </c>
      <c r="BI448" s="123">
        <f t="shared" si="435"/>
        <v>0</v>
      </c>
      <c r="BJ448" s="123">
        <f t="shared" si="435"/>
        <v>0</v>
      </c>
      <c r="BK448" s="123">
        <f t="shared" si="435"/>
        <v>0</v>
      </c>
      <c r="BL448" s="123">
        <f t="shared" si="435"/>
        <v>0</v>
      </c>
      <c r="BM448" s="123">
        <f t="shared" si="435"/>
        <v>0</v>
      </c>
      <c r="BN448" s="159">
        <f t="shared" si="435"/>
        <v>0</v>
      </c>
    </row>
    <row r="449" spans="32:66" ht="20.100000000000001" customHeight="1">
      <c r="AF449" s="1551"/>
      <c r="AG449" s="107" t="s">
        <v>866</v>
      </c>
      <c r="AH449" s="131"/>
      <c r="AI449" s="107">
        <f>INDEX('DEFAULT DATA'!$WD$9:$WJ$41,START!$C$3,5)</f>
        <v>403</v>
      </c>
      <c r="AJ449" s="63">
        <f>INDEX('DEFAULT DATA'!$AIV$9:$AJC$41,START!$C$3,6)</f>
        <v>4.4800000000000004</v>
      </c>
      <c r="AK449" s="180">
        <v>0</v>
      </c>
      <c r="AL449" s="123">
        <f t="shared" ref="AL449:BN449" si="436">IF(AND(AL$373&gt;($D$104+2020),AL$373&lt;($E$104+2022)),AK449+($AI$449*$AJ$449*((100-$F$104)/100)*($C$104/100*$B$104)/($E$104-$D$104+1)/1000000),AK449)</f>
        <v>0</v>
      </c>
      <c r="AM449" s="123">
        <f t="shared" si="436"/>
        <v>0</v>
      </c>
      <c r="AN449" s="123">
        <f t="shared" si="436"/>
        <v>0</v>
      </c>
      <c r="AO449" s="123">
        <f t="shared" si="436"/>
        <v>0</v>
      </c>
      <c r="AP449" s="123">
        <f t="shared" si="436"/>
        <v>0</v>
      </c>
      <c r="AQ449" s="123">
        <f t="shared" si="436"/>
        <v>0</v>
      </c>
      <c r="AR449" s="123">
        <f t="shared" si="436"/>
        <v>0</v>
      </c>
      <c r="AS449" s="123">
        <f t="shared" si="436"/>
        <v>0</v>
      </c>
      <c r="AT449" s="123">
        <f t="shared" si="436"/>
        <v>0</v>
      </c>
      <c r="AU449" s="123">
        <f t="shared" si="436"/>
        <v>0</v>
      </c>
      <c r="AV449" s="123">
        <f t="shared" si="436"/>
        <v>0</v>
      </c>
      <c r="AW449" s="123">
        <f t="shared" si="436"/>
        <v>0</v>
      </c>
      <c r="AX449" s="123">
        <f t="shared" si="436"/>
        <v>0</v>
      </c>
      <c r="AY449" s="123">
        <f t="shared" si="436"/>
        <v>0</v>
      </c>
      <c r="AZ449" s="123">
        <f t="shared" si="436"/>
        <v>0</v>
      </c>
      <c r="BA449" s="123">
        <f t="shared" si="436"/>
        <v>0</v>
      </c>
      <c r="BB449" s="123">
        <f t="shared" si="436"/>
        <v>0</v>
      </c>
      <c r="BC449" s="123">
        <f t="shared" si="436"/>
        <v>0</v>
      </c>
      <c r="BD449" s="123">
        <f t="shared" si="436"/>
        <v>0</v>
      </c>
      <c r="BE449" s="123">
        <f t="shared" si="436"/>
        <v>0</v>
      </c>
      <c r="BF449" s="123">
        <f t="shared" si="436"/>
        <v>0</v>
      </c>
      <c r="BG449" s="123">
        <f t="shared" si="436"/>
        <v>0</v>
      </c>
      <c r="BH449" s="123">
        <f t="shared" si="436"/>
        <v>0</v>
      </c>
      <c r="BI449" s="123">
        <f t="shared" si="436"/>
        <v>0</v>
      </c>
      <c r="BJ449" s="123">
        <f t="shared" si="436"/>
        <v>0</v>
      </c>
      <c r="BK449" s="123">
        <f t="shared" si="436"/>
        <v>0</v>
      </c>
      <c r="BL449" s="123">
        <f t="shared" si="436"/>
        <v>0</v>
      </c>
      <c r="BM449" s="123">
        <f t="shared" si="436"/>
        <v>0</v>
      </c>
      <c r="BN449" s="159">
        <f t="shared" si="436"/>
        <v>0</v>
      </c>
    </row>
    <row r="450" spans="32:66" ht="20.100000000000001" customHeight="1">
      <c r="AF450" s="1551"/>
      <c r="AG450" s="107" t="s">
        <v>867</v>
      </c>
      <c r="AH450" s="131"/>
      <c r="AI450" s="107">
        <f>INDEX('DEFAULT DATA'!$WD$9:$WJ$41,START!$C$3,6)</f>
        <v>0</v>
      </c>
      <c r="AJ450" s="63">
        <f>INDEX('DEFAULT DATA'!$AIV$9:$AJC$41,START!$C$3,7)</f>
        <v>0</v>
      </c>
      <c r="AK450" s="180">
        <v>0</v>
      </c>
      <c r="AL450" s="123">
        <f t="shared" ref="AL450:BN450" si="437">IF(AND(AL$373&gt;($D$104+2020),AL$373&lt;($E$104+2022)),AK450+($AI$450*$AJ$450*((100-$F$104)/100)*($C$104/100*$B$104)/($E$104-$D$104+1)/1000000),AK450)</f>
        <v>0</v>
      </c>
      <c r="AM450" s="123">
        <f t="shared" si="437"/>
        <v>0</v>
      </c>
      <c r="AN450" s="123">
        <f t="shared" si="437"/>
        <v>0</v>
      </c>
      <c r="AO450" s="123">
        <f t="shared" si="437"/>
        <v>0</v>
      </c>
      <c r="AP450" s="123">
        <f t="shared" si="437"/>
        <v>0</v>
      </c>
      <c r="AQ450" s="123">
        <f t="shared" si="437"/>
        <v>0</v>
      </c>
      <c r="AR450" s="123">
        <f t="shared" si="437"/>
        <v>0</v>
      </c>
      <c r="AS450" s="123">
        <f t="shared" si="437"/>
        <v>0</v>
      </c>
      <c r="AT450" s="123">
        <f t="shared" si="437"/>
        <v>0</v>
      </c>
      <c r="AU450" s="123">
        <f t="shared" si="437"/>
        <v>0</v>
      </c>
      <c r="AV450" s="123">
        <f t="shared" si="437"/>
        <v>0</v>
      </c>
      <c r="AW450" s="123">
        <f t="shared" si="437"/>
        <v>0</v>
      </c>
      <c r="AX450" s="123">
        <f t="shared" si="437"/>
        <v>0</v>
      </c>
      <c r="AY450" s="123">
        <f t="shared" si="437"/>
        <v>0</v>
      </c>
      <c r="AZ450" s="123">
        <f t="shared" si="437"/>
        <v>0</v>
      </c>
      <c r="BA450" s="123">
        <f t="shared" si="437"/>
        <v>0</v>
      </c>
      <c r="BB450" s="123">
        <f t="shared" si="437"/>
        <v>0</v>
      </c>
      <c r="BC450" s="123">
        <f t="shared" si="437"/>
        <v>0</v>
      </c>
      <c r="BD450" s="123">
        <f t="shared" si="437"/>
        <v>0</v>
      </c>
      <c r="BE450" s="123">
        <f t="shared" si="437"/>
        <v>0</v>
      </c>
      <c r="BF450" s="123">
        <f t="shared" si="437"/>
        <v>0</v>
      </c>
      <c r="BG450" s="123">
        <f t="shared" si="437"/>
        <v>0</v>
      </c>
      <c r="BH450" s="123">
        <f t="shared" si="437"/>
        <v>0</v>
      </c>
      <c r="BI450" s="123">
        <f t="shared" si="437"/>
        <v>0</v>
      </c>
      <c r="BJ450" s="123">
        <f t="shared" si="437"/>
        <v>0</v>
      </c>
      <c r="BK450" s="123">
        <f t="shared" si="437"/>
        <v>0</v>
      </c>
      <c r="BL450" s="123">
        <f t="shared" si="437"/>
        <v>0</v>
      </c>
      <c r="BM450" s="123">
        <f t="shared" si="437"/>
        <v>0</v>
      </c>
      <c r="BN450" s="159">
        <f t="shared" si="437"/>
        <v>0</v>
      </c>
    </row>
    <row r="451" spans="32:66" ht="20.100000000000001" customHeight="1" thickBot="1">
      <c r="AF451" s="1552"/>
      <c r="AG451" s="146" t="s">
        <v>868</v>
      </c>
      <c r="AH451" s="139"/>
      <c r="AI451" s="146" t="s">
        <v>1123</v>
      </c>
      <c r="AJ451" s="113">
        <f>INDEX('DEFAULT DATA'!$AIV$9:$AJC$41,START!$C$3,8)</f>
        <v>0</v>
      </c>
      <c r="AK451" s="179">
        <v>0</v>
      </c>
      <c r="AL451" s="160">
        <f t="shared" ref="AL451:BN451" si="438">IF(AND(AL$373&gt;($D$104+2020),AL$373&lt;($E$104+2022)),AK451+(AL$6*$AJ$451*((100-$F$104)/100)*($C$104/100*$B$104)/($E$104-$D$104+1)/1000000),AK451)</f>
        <v>0</v>
      </c>
      <c r="AM451" s="160">
        <f t="shared" si="438"/>
        <v>0</v>
      </c>
      <c r="AN451" s="160">
        <f t="shared" si="438"/>
        <v>0</v>
      </c>
      <c r="AO451" s="160">
        <f t="shared" si="438"/>
        <v>0</v>
      </c>
      <c r="AP451" s="160">
        <f t="shared" si="438"/>
        <v>0</v>
      </c>
      <c r="AQ451" s="160">
        <f t="shared" si="438"/>
        <v>0</v>
      </c>
      <c r="AR451" s="160">
        <f t="shared" si="438"/>
        <v>0</v>
      </c>
      <c r="AS451" s="160">
        <f t="shared" si="438"/>
        <v>0</v>
      </c>
      <c r="AT451" s="160">
        <f t="shared" si="438"/>
        <v>0</v>
      </c>
      <c r="AU451" s="160">
        <f t="shared" si="438"/>
        <v>0</v>
      </c>
      <c r="AV451" s="160">
        <f t="shared" si="438"/>
        <v>0</v>
      </c>
      <c r="AW451" s="160">
        <f t="shared" si="438"/>
        <v>0</v>
      </c>
      <c r="AX451" s="160">
        <f t="shared" si="438"/>
        <v>0</v>
      </c>
      <c r="AY451" s="160">
        <f t="shared" si="438"/>
        <v>0</v>
      </c>
      <c r="AZ451" s="160">
        <f t="shared" si="438"/>
        <v>0</v>
      </c>
      <c r="BA451" s="160">
        <f t="shared" si="438"/>
        <v>0</v>
      </c>
      <c r="BB451" s="160">
        <f t="shared" si="438"/>
        <v>0</v>
      </c>
      <c r="BC451" s="160">
        <f t="shared" si="438"/>
        <v>0</v>
      </c>
      <c r="BD451" s="160">
        <f t="shared" si="438"/>
        <v>0</v>
      </c>
      <c r="BE451" s="160">
        <f t="shared" si="438"/>
        <v>0</v>
      </c>
      <c r="BF451" s="160">
        <f t="shared" si="438"/>
        <v>0</v>
      </c>
      <c r="BG451" s="160">
        <f t="shared" si="438"/>
        <v>0</v>
      </c>
      <c r="BH451" s="160">
        <f t="shared" si="438"/>
        <v>0</v>
      </c>
      <c r="BI451" s="160">
        <f t="shared" si="438"/>
        <v>0</v>
      </c>
      <c r="BJ451" s="160">
        <f t="shared" si="438"/>
        <v>0</v>
      </c>
      <c r="BK451" s="160">
        <f t="shared" si="438"/>
        <v>0</v>
      </c>
      <c r="BL451" s="160">
        <f t="shared" si="438"/>
        <v>0</v>
      </c>
      <c r="BM451" s="160">
        <f t="shared" si="438"/>
        <v>0</v>
      </c>
      <c r="BN451" s="161">
        <f t="shared" si="438"/>
        <v>0</v>
      </c>
    </row>
    <row r="452" spans="32:66" ht="20.100000000000001" customHeight="1">
      <c r="AF452" s="147"/>
      <c r="AG452" s="136" t="s">
        <v>1087</v>
      </c>
      <c r="AH452" s="136"/>
      <c r="AI452" s="136"/>
      <c r="AJ452" s="136"/>
      <c r="AK452" s="177">
        <v>0</v>
      </c>
      <c r="AL452" s="162">
        <f>SUM(AL444:AL451)</f>
        <v>0</v>
      </c>
      <c r="AM452" s="162">
        <f t="shared" ref="AM452:BN452" si="439">SUM(AM444:AM451)</f>
        <v>0</v>
      </c>
      <c r="AN452" s="162">
        <f t="shared" si="439"/>
        <v>0</v>
      </c>
      <c r="AO452" s="162">
        <f t="shared" si="439"/>
        <v>0</v>
      </c>
      <c r="AP452" s="162">
        <f t="shared" si="439"/>
        <v>0</v>
      </c>
      <c r="AQ452" s="162">
        <f t="shared" si="439"/>
        <v>0</v>
      </c>
      <c r="AR452" s="162">
        <f t="shared" si="439"/>
        <v>0</v>
      </c>
      <c r="AS452" s="162">
        <f t="shared" si="439"/>
        <v>0</v>
      </c>
      <c r="AT452" s="162">
        <f t="shared" si="439"/>
        <v>0</v>
      </c>
      <c r="AU452" s="162">
        <f t="shared" si="439"/>
        <v>0</v>
      </c>
      <c r="AV452" s="162">
        <f t="shared" si="439"/>
        <v>0</v>
      </c>
      <c r="AW452" s="162">
        <f t="shared" si="439"/>
        <v>0</v>
      </c>
      <c r="AX452" s="162">
        <f t="shared" si="439"/>
        <v>0</v>
      </c>
      <c r="AY452" s="162">
        <f t="shared" si="439"/>
        <v>0</v>
      </c>
      <c r="AZ452" s="162">
        <f t="shared" si="439"/>
        <v>0</v>
      </c>
      <c r="BA452" s="162">
        <f t="shared" si="439"/>
        <v>0</v>
      </c>
      <c r="BB452" s="162">
        <f t="shared" si="439"/>
        <v>0</v>
      </c>
      <c r="BC452" s="162">
        <f t="shared" si="439"/>
        <v>0</v>
      </c>
      <c r="BD452" s="162">
        <f t="shared" si="439"/>
        <v>0</v>
      </c>
      <c r="BE452" s="162">
        <f t="shared" si="439"/>
        <v>0</v>
      </c>
      <c r="BF452" s="162">
        <f t="shared" si="439"/>
        <v>0</v>
      </c>
      <c r="BG452" s="162">
        <f t="shared" si="439"/>
        <v>0</v>
      </c>
      <c r="BH452" s="162">
        <f t="shared" si="439"/>
        <v>0</v>
      </c>
      <c r="BI452" s="162">
        <f t="shared" si="439"/>
        <v>0</v>
      </c>
      <c r="BJ452" s="162">
        <f t="shared" si="439"/>
        <v>0</v>
      </c>
      <c r="BK452" s="162">
        <f t="shared" si="439"/>
        <v>0</v>
      </c>
      <c r="BL452" s="162">
        <f t="shared" si="439"/>
        <v>0</v>
      </c>
      <c r="BM452" s="162">
        <f t="shared" si="439"/>
        <v>0</v>
      </c>
      <c r="BN452" s="162">
        <f t="shared" si="439"/>
        <v>0</v>
      </c>
    </row>
    <row r="453" spans="32:66" ht="20.100000000000001" customHeight="1" thickBot="1"/>
    <row r="454" spans="32:66" ht="20.100000000000001" customHeight="1">
      <c r="AF454" s="1550" t="s">
        <v>874</v>
      </c>
      <c r="AG454" s="137" t="s">
        <v>578</v>
      </c>
      <c r="AH454" s="138"/>
      <c r="AI454" s="137" t="s">
        <v>1122</v>
      </c>
      <c r="AJ454" s="148">
        <f>INDEX('DEFAULT DATA'!$AJD$9:$AJK$41,START!$C$3,1)</f>
        <v>129.6</v>
      </c>
      <c r="AK454" s="178">
        <v>0</v>
      </c>
      <c r="AL454" s="163">
        <f t="shared" ref="AL454:BN454" si="440">IF(AND(AL$373&gt;($D$105+2020),AL$373&lt;($E$105+2022)),AK454+(AL$5*$AJ$454*((100-$F$105)/100)*($C$105/100*$B$105)/($E$105-$D$105+1)/1000000),AK454)</f>
        <v>0</v>
      </c>
      <c r="AM454" s="163">
        <f t="shared" si="440"/>
        <v>0</v>
      </c>
      <c r="AN454" s="163">
        <f t="shared" si="440"/>
        <v>0</v>
      </c>
      <c r="AO454" s="163">
        <f t="shared" si="440"/>
        <v>0</v>
      </c>
      <c r="AP454" s="163">
        <f t="shared" si="440"/>
        <v>0</v>
      </c>
      <c r="AQ454" s="163">
        <f t="shared" si="440"/>
        <v>0</v>
      </c>
      <c r="AR454" s="163">
        <f t="shared" si="440"/>
        <v>0</v>
      </c>
      <c r="AS454" s="163">
        <f t="shared" si="440"/>
        <v>0</v>
      </c>
      <c r="AT454" s="163">
        <f t="shared" si="440"/>
        <v>0</v>
      </c>
      <c r="AU454" s="163">
        <f t="shared" si="440"/>
        <v>0</v>
      </c>
      <c r="AV454" s="163">
        <f t="shared" si="440"/>
        <v>0</v>
      </c>
      <c r="AW454" s="163">
        <f t="shared" si="440"/>
        <v>0</v>
      </c>
      <c r="AX454" s="163">
        <f t="shared" si="440"/>
        <v>0</v>
      </c>
      <c r="AY454" s="163">
        <f t="shared" si="440"/>
        <v>0</v>
      </c>
      <c r="AZ454" s="163">
        <f t="shared" si="440"/>
        <v>0</v>
      </c>
      <c r="BA454" s="163">
        <f t="shared" si="440"/>
        <v>0</v>
      </c>
      <c r="BB454" s="163">
        <f t="shared" si="440"/>
        <v>0</v>
      </c>
      <c r="BC454" s="163">
        <f t="shared" si="440"/>
        <v>0</v>
      </c>
      <c r="BD454" s="163">
        <f t="shared" si="440"/>
        <v>0</v>
      </c>
      <c r="BE454" s="163">
        <f t="shared" si="440"/>
        <v>0</v>
      </c>
      <c r="BF454" s="163">
        <f t="shared" si="440"/>
        <v>0</v>
      </c>
      <c r="BG454" s="163">
        <f t="shared" si="440"/>
        <v>0</v>
      </c>
      <c r="BH454" s="163">
        <f t="shared" si="440"/>
        <v>0</v>
      </c>
      <c r="BI454" s="163">
        <f t="shared" si="440"/>
        <v>0</v>
      </c>
      <c r="BJ454" s="163">
        <f t="shared" si="440"/>
        <v>0</v>
      </c>
      <c r="BK454" s="163">
        <f t="shared" si="440"/>
        <v>0</v>
      </c>
      <c r="BL454" s="163">
        <f t="shared" si="440"/>
        <v>0</v>
      </c>
      <c r="BM454" s="163">
        <f t="shared" si="440"/>
        <v>0</v>
      </c>
      <c r="BN454" s="164">
        <f t="shared" si="440"/>
        <v>0</v>
      </c>
    </row>
    <row r="455" spans="32:66" ht="20.100000000000001" customHeight="1">
      <c r="AF455" s="1551"/>
      <c r="AG455" s="107" t="s">
        <v>862</v>
      </c>
      <c r="AH455" s="131"/>
      <c r="AI455" s="107">
        <f>INDEX('DEFAULT DATA'!$WD$9:$WJ$41,START!$C$3,1)</f>
        <v>202</v>
      </c>
      <c r="AJ455" s="63">
        <f>INDEX('DEFAULT DATA'!$AJD$9:$AJK$41,START!$C$3,2)</f>
        <v>96.93</v>
      </c>
      <c r="AK455" s="180">
        <v>0</v>
      </c>
      <c r="AL455" s="123">
        <f t="shared" ref="AL455:BN455" si="441">IF(AND(AL$373&gt;($D$105+2020),AL$373&lt;($E$105+2022)),AK455+($AI$455*$AJ$455*((100-$F$105)/100)*($C$105/100*$B$105)/($E$105-$D$105+1)/1000000),AK455)</f>
        <v>0</v>
      </c>
      <c r="AM455" s="123">
        <f t="shared" si="441"/>
        <v>0</v>
      </c>
      <c r="AN455" s="123">
        <f t="shared" si="441"/>
        <v>0</v>
      </c>
      <c r="AO455" s="123">
        <f t="shared" si="441"/>
        <v>0</v>
      </c>
      <c r="AP455" s="123">
        <f t="shared" si="441"/>
        <v>0</v>
      </c>
      <c r="AQ455" s="123">
        <f t="shared" si="441"/>
        <v>0</v>
      </c>
      <c r="AR455" s="123">
        <f t="shared" si="441"/>
        <v>0</v>
      </c>
      <c r="AS455" s="123">
        <f t="shared" si="441"/>
        <v>0</v>
      </c>
      <c r="AT455" s="123">
        <f t="shared" si="441"/>
        <v>0</v>
      </c>
      <c r="AU455" s="123">
        <f t="shared" si="441"/>
        <v>0</v>
      </c>
      <c r="AV455" s="123">
        <f t="shared" si="441"/>
        <v>0</v>
      </c>
      <c r="AW455" s="123">
        <f t="shared" si="441"/>
        <v>0</v>
      </c>
      <c r="AX455" s="123">
        <f t="shared" si="441"/>
        <v>0</v>
      </c>
      <c r="AY455" s="123">
        <f t="shared" si="441"/>
        <v>0</v>
      </c>
      <c r="AZ455" s="123">
        <f t="shared" si="441"/>
        <v>0</v>
      </c>
      <c r="BA455" s="123">
        <f t="shared" si="441"/>
        <v>0</v>
      </c>
      <c r="BB455" s="123">
        <f t="shared" si="441"/>
        <v>0</v>
      </c>
      <c r="BC455" s="123">
        <f t="shared" si="441"/>
        <v>0</v>
      </c>
      <c r="BD455" s="123">
        <f t="shared" si="441"/>
        <v>0</v>
      </c>
      <c r="BE455" s="123">
        <f t="shared" si="441"/>
        <v>0</v>
      </c>
      <c r="BF455" s="123">
        <f t="shared" si="441"/>
        <v>0</v>
      </c>
      <c r="BG455" s="123">
        <f t="shared" si="441"/>
        <v>0</v>
      </c>
      <c r="BH455" s="123">
        <f t="shared" si="441"/>
        <v>0</v>
      </c>
      <c r="BI455" s="123">
        <f t="shared" si="441"/>
        <v>0</v>
      </c>
      <c r="BJ455" s="123">
        <f t="shared" si="441"/>
        <v>0</v>
      </c>
      <c r="BK455" s="123">
        <f t="shared" si="441"/>
        <v>0</v>
      </c>
      <c r="BL455" s="123">
        <f t="shared" si="441"/>
        <v>0</v>
      </c>
      <c r="BM455" s="123">
        <f t="shared" si="441"/>
        <v>0</v>
      </c>
      <c r="BN455" s="159">
        <f t="shared" si="441"/>
        <v>0</v>
      </c>
    </row>
    <row r="456" spans="32:66" ht="20.100000000000001" customHeight="1">
      <c r="AF456" s="1551"/>
      <c r="AG456" s="107" t="s">
        <v>863</v>
      </c>
      <c r="AH456" s="131"/>
      <c r="AI456" s="107">
        <f>INDEX('DEFAULT DATA'!$WD$9:$WJ$41,START!$C$3,2)</f>
        <v>267</v>
      </c>
      <c r="AJ456" s="63">
        <f>INDEX('DEFAULT DATA'!$AJD$9:$AJK$41,START!$C$3,3)</f>
        <v>80.78</v>
      </c>
      <c r="AK456" s="180">
        <v>0</v>
      </c>
      <c r="AL456" s="123">
        <f t="shared" ref="AL456:BN456" si="442">IF(AND(AL$373&gt;($D$105+2020),AL$373&lt;($E$105+2022)),AK456+($AI$456*$AJ$456*((100-$F$105)/100)*($C$105/100*$B$105)/($E$105-$D$105+1)/1000000),AK456)</f>
        <v>0</v>
      </c>
      <c r="AM456" s="123">
        <f t="shared" si="442"/>
        <v>0</v>
      </c>
      <c r="AN456" s="123">
        <f t="shared" si="442"/>
        <v>0</v>
      </c>
      <c r="AO456" s="123">
        <f t="shared" si="442"/>
        <v>0</v>
      </c>
      <c r="AP456" s="123">
        <f t="shared" si="442"/>
        <v>0</v>
      </c>
      <c r="AQ456" s="123">
        <f t="shared" si="442"/>
        <v>0</v>
      </c>
      <c r="AR456" s="123">
        <f t="shared" si="442"/>
        <v>0</v>
      </c>
      <c r="AS456" s="123">
        <f t="shared" si="442"/>
        <v>0</v>
      </c>
      <c r="AT456" s="123">
        <f t="shared" si="442"/>
        <v>0</v>
      </c>
      <c r="AU456" s="123">
        <f t="shared" si="442"/>
        <v>0</v>
      </c>
      <c r="AV456" s="123">
        <f t="shared" si="442"/>
        <v>0</v>
      </c>
      <c r="AW456" s="123">
        <f t="shared" si="442"/>
        <v>0</v>
      </c>
      <c r="AX456" s="123">
        <f t="shared" si="442"/>
        <v>0</v>
      </c>
      <c r="AY456" s="123">
        <f t="shared" si="442"/>
        <v>0</v>
      </c>
      <c r="AZ456" s="123">
        <f t="shared" si="442"/>
        <v>0</v>
      </c>
      <c r="BA456" s="123">
        <f t="shared" si="442"/>
        <v>0</v>
      </c>
      <c r="BB456" s="123">
        <f t="shared" si="442"/>
        <v>0</v>
      </c>
      <c r="BC456" s="123">
        <f t="shared" si="442"/>
        <v>0</v>
      </c>
      <c r="BD456" s="123">
        <f t="shared" si="442"/>
        <v>0</v>
      </c>
      <c r="BE456" s="123">
        <f t="shared" si="442"/>
        <v>0</v>
      </c>
      <c r="BF456" s="123">
        <f t="shared" si="442"/>
        <v>0</v>
      </c>
      <c r="BG456" s="123">
        <f t="shared" si="442"/>
        <v>0</v>
      </c>
      <c r="BH456" s="123">
        <f t="shared" si="442"/>
        <v>0</v>
      </c>
      <c r="BI456" s="123">
        <f t="shared" si="442"/>
        <v>0</v>
      </c>
      <c r="BJ456" s="123">
        <f t="shared" si="442"/>
        <v>0</v>
      </c>
      <c r="BK456" s="123">
        <f t="shared" si="442"/>
        <v>0</v>
      </c>
      <c r="BL456" s="123">
        <f t="shared" si="442"/>
        <v>0</v>
      </c>
      <c r="BM456" s="123">
        <f t="shared" si="442"/>
        <v>0</v>
      </c>
      <c r="BN456" s="159">
        <f t="shared" si="442"/>
        <v>0</v>
      </c>
    </row>
    <row r="457" spans="32:66" ht="20.100000000000001" customHeight="1">
      <c r="AF457" s="1551"/>
      <c r="AG457" s="107" t="s">
        <v>864</v>
      </c>
      <c r="AH457" s="131"/>
      <c r="AI457" s="107">
        <f>INDEX('DEFAULT DATA'!$WD$9:$WJ$41,START!$C$3,3)</f>
        <v>354</v>
      </c>
      <c r="AJ457" s="63">
        <f>INDEX('DEFAULT DATA'!$AJD$9:$AJK$41,START!$C$3,4)</f>
        <v>0</v>
      </c>
      <c r="AK457" s="180">
        <v>0</v>
      </c>
      <c r="AL457" s="123">
        <f t="shared" ref="AL457:BN457" si="443">IF(AND(AL$373&gt;($D$105+2020),AL$373&lt;($E$105+2022)),AK457+($AI$457*$AJ$457*((100-$F$105)/100)*($C$105/100*$B$105)/($E$105-$D$105+1)/1000000),AK457)</f>
        <v>0</v>
      </c>
      <c r="AM457" s="123">
        <f t="shared" si="443"/>
        <v>0</v>
      </c>
      <c r="AN457" s="123">
        <f t="shared" si="443"/>
        <v>0</v>
      </c>
      <c r="AO457" s="123">
        <f t="shared" si="443"/>
        <v>0</v>
      </c>
      <c r="AP457" s="123">
        <f t="shared" si="443"/>
        <v>0</v>
      </c>
      <c r="AQ457" s="123">
        <f t="shared" si="443"/>
        <v>0</v>
      </c>
      <c r="AR457" s="123">
        <f t="shared" si="443"/>
        <v>0</v>
      </c>
      <c r="AS457" s="123">
        <f t="shared" si="443"/>
        <v>0</v>
      </c>
      <c r="AT457" s="123">
        <f t="shared" si="443"/>
        <v>0</v>
      </c>
      <c r="AU457" s="123">
        <f t="shared" si="443"/>
        <v>0</v>
      </c>
      <c r="AV457" s="123">
        <f t="shared" si="443"/>
        <v>0</v>
      </c>
      <c r="AW457" s="123">
        <f t="shared" si="443"/>
        <v>0</v>
      </c>
      <c r="AX457" s="123">
        <f t="shared" si="443"/>
        <v>0</v>
      </c>
      <c r="AY457" s="123">
        <f t="shared" si="443"/>
        <v>0</v>
      </c>
      <c r="AZ457" s="123">
        <f t="shared" si="443"/>
        <v>0</v>
      </c>
      <c r="BA457" s="123">
        <f t="shared" si="443"/>
        <v>0</v>
      </c>
      <c r="BB457" s="123">
        <f t="shared" si="443"/>
        <v>0</v>
      </c>
      <c r="BC457" s="123">
        <f t="shared" si="443"/>
        <v>0</v>
      </c>
      <c r="BD457" s="123">
        <f t="shared" si="443"/>
        <v>0</v>
      </c>
      <c r="BE457" s="123">
        <f t="shared" si="443"/>
        <v>0</v>
      </c>
      <c r="BF457" s="123">
        <f t="shared" si="443"/>
        <v>0</v>
      </c>
      <c r="BG457" s="123">
        <f t="shared" si="443"/>
        <v>0</v>
      </c>
      <c r="BH457" s="123">
        <f t="shared" si="443"/>
        <v>0</v>
      </c>
      <c r="BI457" s="123">
        <f t="shared" si="443"/>
        <v>0</v>
      </c>
      <c r="BJ457" s="123">
        <f t="shared" si="443"/>
        <v>0</v>
      </c>
      <c r="BK457" s="123">
        <f t="shared" si="443"/>
        <v>0</v>
      </c>
      <c r="BL457" s="123">
        <f t="shared" si="443"/>
        <v>0</v>
      </c>
      <c r="BM457" s="123">
        <f t="shared" si="443"/>
        <v>0</v>
      </c>
      <c r="BN457" s="159">
        <f t="shared" si="443"/>
        <v>0</v>
      </c>
    </row>
    <row r="458" spans="32:66" ht="20.100000000000001" customHeight="1">
      <c r="AF458" s="1551"/>
      <c r="AG458" s="107" t="s">
        <v>865</v>
      </c>
      <c r="AH458" s="131"/>
      <c r="AI458" s="107">
        <f>INDEX('DEFAULT DATA'!$WD$9:$WJ$41,START!$C$3,4)</f>
        <v>382</v>
      </c>
      <c r="AJ458" s="63">
        <f>INDEX('DEFAULT DATA'!$AJD$9:$AJK$41,START!$C$3,5)</f>
        <v>7.54</v>
      </c>
      <c r="AK458" s="180">
        <v>0</v>
      </c>
      <c r="AL458" s="123">
        <f t="shared" ref="AL458:BN458" si="444">IF(AND(AL$373&gt;($D$105+2020),AL$373&lt;($E$105+2022)),AK458+($AI$458*$AJ$458*((100-$F$105)/100)*($C$105/100*$B$105)/($E$105-$D$105+1)/1000000),AK458)</f>
        <v>0</v>
      </c>
      <c r="AM458" s="123">
        <f t="shared" si="444"/>
        <v>0</v>
      </c>
      <c r="AN458" s="123">
        <f t="shared" si="444"/>
        <v>0</v>
      </c>
      <c r="AO458" s="123">
        <f t="shared" si="444"/>
        <v>0</v>
      </c>
      <c r="AP458" s="123">
        <f t="shared" si="444"/>
        <v>0</v>
      </c>
      <c r="AQ458" s="123">
        <f t="shared" si="444"/>
        <v>0</v>
      </c>
      <c r="AR458" s="123">
        <f t="shared" si="444"/>
        <v>0</v>
      </c>
      <c r="AS458" s="123">
        <f t="shared" si="444"/>
        <v>0</v>
      </c>
      <c r="AT458" s="123">
        <f t="shared" si="444"/>
        <v>0</v>
      </c>
      <c r="AU458" s="123">
        <f t="shared" si="444"/>
        <v>0</v>
      </c>
      <c r="AV458" s="123">
        <f t="shared" si="444"/>
        <v>0</v>
      </c>
      <c r="AW458" s="123">
        <f t="shared" si="444"/>
        <v>0</v>
      </c>
      <c r="AX458" s="123">
        <f t="shared" si="444"/>
        <v>0</v>
      </c>
      <c r="AY458" s="123">
        <f t="shared" si="444"/>
        <v>0</v>
      </c>
      <c r="AZ458" s="123">
        <f t="shared" si="444"/>
        <v>0</v>
      </c>
      <c r="BA458" s="123">
        <f t="shared" si="444"/>
        <v>0</v>
      </c>
      <c r="BB458" s="123">
        <f t="shared" si="444"/>
        <v>0</v>
      </c>
      <c r="BC458" s="123">
        <f t="shared" si="444"/>
        <v>0</v>
      </c>
      <c r="BD458" s="123">
        <f t="shared" si="444"/>
        <v>0</v>
      </c>
      <c r="BE458" s="123">
        <f t="shared" si="444"/>
        <v>0</v>
      </c>
      <c r="BF458" s="123">
        <f t="shared" si="444"/>
        <v>0</v>
      </c>
      <c r="BG458" s="123">
        <f t="shared" si="444"/>
        <v>0</v>
      </c>
      <c r="BH458" s="123">
        <f t="shared" si="444"/>
        <v>0</v>
      </c>
      <c r="BI458" s="123">
        <f t="shared" si="444"/>
        <v>0</v>
      </c>
      <c r="BJ458" s="123">
        <f t="shared" si="444"/>
        <v>0</v>
      </c>
      <c r="BK458" s="123">
        <f t="shared" si="444"/>
        <v>0</v>
      </c>
      <c r="BL458" s="123">
        <f t="shared" si="444"/>
        <v>0</v>
      </c>
      <c r="BM458" s="123">
        <f t="shared" si="444"/>
        <v>0</v>
      </c>
      <c r="BN458" s="159">
        <f t="shared" si="444"/>
        <v>0</v>
      </c>
    </row>
    <row r="459" spans="32:66" ht="20.100000000000001" customHeight="1">
      <c r="AF459" s="1551"/>
      <c r="AG459" s="107" t="s">
        <v>866</v>
      </c>
      <c r="AH459" s="131"/>
      <c r="AI459" s="107">
        <f>INDEX('DEFAULT DATA'!$WD$9:$WJ$41,START!$C$3,5)</f>
        <v>403</v>
      </c>
      <c r="AJ459" s="63">
        <f>INDEX('DEFAULT DATA'!$AJD$9:$AJK$41,START!$C$3,6)</f>
        <v>9.15</v>
      </c>
      <c r="AK459" s="180">
        <v>0</v>
      </c>
      <c r="AL459" s="123">
        <f t="shared" ref="AL459:BN459" si="445">IF(AND(AL$373&gt;($D$105+2020),AL$373&lt;($E$105+2022)),AK459+($AI$459*$AJ$459*((100-$F$105)/100)*($C$105/100*$B$105)/($E$105-$D$105+1)/1000000),AK459)</f>
        <v>0</v>
      </c>
      <c r="AM459" s="123">
        <f t="shared" si="445"/>
        <v>0</v>
      </c>
      <c r="AN459" s="123">
        <f t="shared" si="445"/>
        <v>0</v>
      </c>
      <c r="AO459" s="123">
        <f t="shared" si="445"/>
        <v>0</v>
      </c>
      <c r="AP459" s="123">
        <f t="shared" si="445"/>
        <v>0</v>
      </c>
      <c r="AQ459" s="123">
        <f t="shared" si="445"/>
        <v>0</v>
      </c>
      <c r="AR459" s="123">
        <f t="shared" si="445"/>
        <v>0</v>
      </c>
      <c r="AS459" s="123">
        <f t="shared" si="445"/>
        <v>0</v>
      </c>
      <c r="AT459" s="123">
        <f t="shared" si="445"/>
        <v>0</v>
      </c>
      <c r="AU459" s="123">
        <f t="shared" si="445"/>
        <v>0</v>
      </c>
      <c r="AV459" s="123">
        <f t="shared" si="445"/>
        <v>0</v>
      </c>
      <c r="AW459" s="123">
        <f t="shared" si="445"/>
        <v>0</v>
      </c>
      <c r="AX459" s="123">
        <f t="shared" si="445"/>
        <v>0</v>
      </c>
      <c r="AY459" s="123">
        <f t="shared" si="445"/>
        <v>0</v>
      </c>
      <c r="AZ459" s="123">
        <f t="shared" si="445"/>
        <v>0</v>
      </c>
      <c r="BA459" s="123">
        <f t="shared" si="445"/>
        <v>0</v>
      </c>
      <c r="BB459" s="123">
        <f t="shared" si="445"/>
        <v>0</v>
      </c>
      <c r="BC459" s="123">
        <f t="shared" si="445"/>
        <v>0</v>
      </c>
      <c r="BD459" s="123">
        <f t="shared" si="445"/>
        <v>0</v>
      </c>
      <c r="BE459" s="123">
        <f t="shared" si="445"/>
        <v>0</v>
      </c>
      <c r="BF459" s="123">
        <f t="shared" si="445"/>
        <v>0</v>
      </c>
      <c r="BG459" s="123">
        <f t="shared" si="445"/>
        <v>0</v>
      </c>
      <c r="BH459" s="123">
        <f t="shared" si="445"/>
        <v>0</v>
      </c>
      <c r="BI459" s="123">
        <f t="shared" si="445"/>
        <v>0</v>
      </c>
      <c r="BJ459" s="123">
        <f t="shared" si="445"/>
        <v>0</v>
      </c>
      <c r="BK459" s="123">
        <f t="shared" si="445"/>
        <v>0</v>
      </c>
      <c r="BL459" s="123">
        <f t="shared" si="445"/>
        <v>0</v>
      </c>
      <c r="BM459" s="123">
        <f t="shared" si="445"/>
        <v>0</v>
      </c>
      <c r="BN459" s="159">
        <f t="shared" si="445"/>
        <v>0</v>
      </c>
    </row>
    <row r="460" spans="32:66" ht="20.100000000000001" customHeight="1">
      <c r="AF460" s="1551"/>
      <c r="AG460" s="107" t="s">
        <v>867</v>
      </c>
      <c r="AH460" s="131"/>
      <c r="AI460" s="107">
        <f>INDEX('DEFAULT DATA'!$WD$9:$WJ$41,START!$C$3,6)</f>
        <v>0</v>
      </c>
      <c r="AJ460" s="63">
        <f>INDEX('DEFAULT DATA'!$AJD$9:$AJK$41,START!$C$3,7)</f>
        <v>0</v>
      </c>
      <c r="AK460" s="180">
        <v>0</v>
      </c>
      <c r="AL460" s="123">
        <f t="shared" ref="AL460:BN460" si="446">IF(AND(AL$373&gt;($D$105+2020),AL$373&lt;($E$105+2022)),AK460+($AI$460*$AJ$460*((100-$F$105)/100)*($C$105/100*$B$105)/($E$105-$D$105+1)/1000000),AK460)</f>
        <v>0</v>
      </c>
      <c r="AM460" s="123">
        <f t="shared" si="446"/>
        <v>0</v>
      </c>
      <c r="AN460" s="123">
        <f t="shared" si="446"/>
        <v>0</v>
      </c>
      <c r="AO460" s="123">
        <f t="shared" si="446"/>
        <v>0</v>
      </c>
      <c r="AP460" s="123">
        <f t="shared" si="446"/>
        <v>0</v>
      </c>
      <c r="AQ460" s="123">
        <f t="shared" si="446"/>
        <v>0</v>
      </c>
      <c r="AR460" s="123">
        <f t="shared" si="446"/>
        <v>0</v>
      </c>
      <c r="AS460" s="123">
        <f t="shared" si="446"/>
        <v>0</v>
      </c>
      <c r="AT460" s="123">
        <f t="shared" si="446"/>
        <v>0</v>
      </c>
      <c r="AU460" s="123">
        <f t="shared" si="446"/>
        <v>0</v>
      </c>
      <c r="AV460" s="123">
        <f t="shared" si="446"/>
        <v>0</v>
      </c>
      <c r="AW460" s="123">
        <f t="shared" si="446"/>
        <v>0</v>
      </c>
      <c r="AX460" s="123">
        <f t="shared" si="446"/>
        <v>0</v>
      </c>
      <c r="AY460" s="123">
        <f t="shared" si="446"/>
        <v>0</v>
      </c>
      <c r="AZ460" s="123">
        <f t="shared" si="446"/>
        <v>0</v>
      </c>
      <c r="BA460" s="123">
        <f t="shared" si="446"/>
        <v>0</v>
      </c>
      <c r="BB460" s="123">
        <f t="shared" si="446"/>
        <v>0</v>
      </c>
      <c r="BC460" s="123">
        <f t="shared" si="446"/>
        <v>0</v>
      </c>
      <c r="BD460" s="123">
        <f t="shared" si="446"/>
        <v>0</v>
      </c>
      <c r="BE460" s="123">
        <f t="shared" si="446"/>
        <v>0</v>
      </c>
      <c r="BF460" s="123">
        <f t="shared" si="446"/>
        <v>0</v>
      </c>
      <c r="BG460" s="123">
        <f t="shared" si="446"/>
        <v>0</v>
      </c>
      <c r="BH460" s="123">
        <f t="shared" si="446"/>
        <v>0</v>
      </c>
      <c r="BI460" s="123">
        <f t="shared" si="446"/>
        <v>0</v>
      </c>
      <c r="BJ460" s="123">
        <f t="shared" si="446"/>
        <v>0</v>
      </c>
      <c r="BK460" s="123">
        <f t="shared" si="446"/>
        <v>0</v>
      </c>
      <c r="BL460" s="123">
        <f t="shared" si="446"/>
        <v>0</v>
      </c>
      <c r="BM460" s="123">
        <f t="shared" si="446"/>
        <v>0</v>
      </c>
      <c r="BN460" s="159">
        <f t="shared" si="446"/>
        <v>0</v>
      </c>
    </row>
    <row r="461" spans="32:66" ht="20.100000000000001" customHeight="1" thickBot="1">
      <c r="AF461" s="1552"/>
      <c r="AG461" s="146" t="s">
        <v>868</v>
      </c>
      <c r="AH461" s="139"/>
      <c r="AI461" s="146" t="s">
        <v>1123</v>
      </c>
      <c r="AJ461" s="113">
        <f>INDEX('DEFAULT DATA'!$AJD$9:$AJK$41,START!$C$3,8)</f>
        <v>0</v>
      </c>
      <c r="AK461" s="179">
        <v>0</v>
      </c>
      <c r="AL461" s="160">
        <f t="shared" ref="AL461:BN461" si="447">IF(AND(AL$373&gt;($D$105+2020),AL$373&lt;($E$105+2022)),AK461+(AL$6*$AJ$461*((100-$F$105)/100)*($C$105/100*$B$105)/($E$105-$D$105+1)/1000000),AK461)</f>
        <v>0</v>
      </c>
      <c r="AM461" s="160">
        <f t="shared" si="447"/>
        <v>0</v>
      </c>
      <c r="AN461" s="160">
        <f t="shared" si="447"/>
        <v>0</v>
      </c>
      <c r="AO461" s="160">
        <f t="shared" si="447"/>
        <v>0</v>
      </c>
      <c r="AP461" s="160">
        <f t="shared" si="447"/>
        <v>0</v>
      </c>
      <c r="AQ461" s="160">
        <f t="shared" si="447"/>
        <v>0</v>
      </c>
      <c r="AR461" s="160">
        <f t="shared" si="447"/>
        <v>0</v>
      </c>
      <c r="AS461" s="160">
        <f t="shared" si="447"/>
        <v>0</v>
      </c>
      <c r="AT461" s="160">
        <f t="shared" si="447"/>
        <v>0</v>
      </c>
      <c r="AU461" s="160">
        <f t="shared" si="447"/>
        <v>0</v>
      </c>
      <c r="AV461" s="160">
        <f t="shared" si="447"/>
        <v>0</v>
      </c>
      <c r="AW461" s="160">
        <f t="shared" si="447"/>
        <v>0</v>
      </c>
      <c r="AX461" s="160">
        <f t="shared" si="447"/>
        <v>0</v>
      </c>
      <c r="AY461" s="160">
        <f t="shared" si="447"/>
        <v>0</v>
      </c>
      <c r="AZ461" s="160">
        <f t="shared" si="447"/>
        <v>0</v>
      </c>
      <c r="BA461" s="160">
        <f t="shared" si="447"/>
        <v>0</v>
      </c>
      <c r="BB461" s="160">
        <f t="shared" si="447"/>
        <v>0</v>
      </c>
      <c r="BC461" s="160">
        <f t="shared" si="447"/>
        <v>0</v>
      </c>
      <c r="BD461" s="160">
        <f t="shared" si="447"/>
        <v>0</v>
      </c>
      <c r="BE461" s="160">
        <f t="shared" si="447"/>
        <v>0</v>
      </c>
      <c r="BF461" s="160">
        <f t="shared" si="447"/>
        <v>0</v>
      </c>
      <c r="BG461" s="160">
        <f t="shared" si="447"/>
        <v>0</v>
      </c>
      <c r="BH461" s="160">
        <f t="shared" si="447"/>
        <v>0</v>
      </c>
      <c r="BI461" s="160">
        <f t="shared" si="447"/>
        <v>0</v>
      </c>
      <c r="BJ461" s="160">
        <f t="shared" si="447"/>
        <v>0</v>
      </c>
      <c r="BK461" s="160">
        <f t="shared" si="447"/>
        <v>0</v>
      </c>
      <c r="BL461" s="160">
        <f t="shared" si="447"/>
        <v>0</v>
      </c>
      <c r="BM461" s="160">
        <f t="shared" si="447"/>
        <v>0</v>
      </c>
      <c r="BN461" s="161">
        <f t="shared" si="447"/>
        <v>0</v>
      </c>
    </row>
    <row r="462" spans="32:66" ht="20.100000000000001" customHeight="1">
      <c r="AF462" s="147"/>
      <c r="AG462" s="136" t="s">
        <v>1088</v>
      </c>
      <c r="AH462" s="136"/>
      <c r="AI462" s="136"/>
      <c r="AJ462" s="136"/>
      <c r="AK462" s="177">
        <v>0</v>
      </c>
      <c r="AL462" s="162">
        <f>SUM(AL454:AL461)</f>
        <v>0</v>
      </c>
      <c r="AM462" s="162">
        <f t="shared" ref="AM462:BN462" si="448">SUM(AM454:AM461)</f>
        <v>0</v>
      </c>
      <c r="AN462" s="162">
        <f t="shared" si="448"/>
        <v>0</v>
      </c>
      <c r="AO462" s="162">
        <f t="shared" si="448"/>
        <v>0</v>
      </c>
      <c r="AP462" s="162">
        <f t="shared" si="448"/>
        <v>0</v>
      </c>
      <c r="AQ462" s="162">
        <f t="shared" si="448"/>
        <v>0</v>
      </c>
      <c r="AR462" s="162">
        <f t="shared" si="448"/>
        <v>0</v>
      </c>
      <c r="AS462" s="162">
        <f t="shared" si="448"/>
        <v>0</v>
      </c>
      <c r="AT462" s="162">
        <f t="shared" si="448"/>
        <v>0</v>
      </c>
      <c r="AU462" s="162">
        <f t="shared" si="448"/>
        <v>0</v>
      </c>
      <c r="AV462" s="162">
        <f t="shared" si="448"/>
        <v>0</v>
      </c>
      <c r="AW462" s="162">
        <f t="shared" si="448"/>
        <v>0</v>
      </c>
      <c r="AX462" s="162">
        <f t="shared" si="448"/>
        <v>0</v>
      </c>
      <c r="AY462" s="162">
        <f t="shared" si="448"/>
        <v>0</v>
      </c>
      <c r="AZ462" s="162">
        <f t="shared" si="448"/>
        <v>0</v>
      </c>
      <c r="BA462" s="162">
        <f t="shared" si="448"/>
        <v>0</v>
      </c>
      <c r="BB462" s="162">
        <f t="shared" si="448"/>
        <v>0</v>
      </c>
      <c r="BC462" s="162">
        <f t="shared" si="448"/>
        <v>0</v>
      </c>
      <c r="BD462" s="162">
        <f t="shared" si="448"/>
        <v>0</v>
      </c>
      <c r="BE462" s="162">
        <f t="shared" si="448"/>
        <v>0</v>
      </c>
      <c r="BF462" s="162">
        <f t="shared" si="448"/>
        <v>0</v>
      </c>
      <c r="BG462" s="162">
        <f t="shared" si="448"/>
        <v>0</v>
      </c>
      <c r="BH462" s="162">
        <f t="shared" si="448"/>
        <v>0</v>
      </c>
      <c r="BI462" s="162">
        <f t="shared" si="448"/>
        <v>0</v>
      </c>
      <c r="BJ462" s="162">
        <f t="shared" si="448"/>
        <v>0</v>
      </c>
      <c r="BK462" s="162">
        <f t="shared" si="448"/>
        <v>0</v>
      </c>
      <c r="BL462" s="162">
        <f t="shared" si="448"/>
        <v>0</v>
      </c>
      <c r="BM462" s="162">
        <f t="shared" si="448"/>
        <v>0</v>
      </c>
      <c r="BN462" s="162">
        <f t="shared" si="448"/>
        <v>0</v>
      </c>
    </row>
    <row r="463" spans="32:66" ht="20.100000000000001" customHeight="1" thickBot="1"/>
    <row r="464" spans="32:66" ht="20.100000000000001" customHeight="1">
      <c r="AF464" s="1550" t="s">
        <v>875</v>
      </c>
      <c r="AG464" s="137" t="s">
        <v>578</v>
      </c>
      <c r="AH464" s="138"/>
      <c r="AI464" s="137" t="s">
        <v>1122</v>
      </c>
      <c r="AJ464" s="148">
        <f>INDEX('DEFAULT DATA'!$AJL$9:$AJS$41,START!$C$3,1)</f>
        <v>160</v>
      </c>
      <c r="AK464" s="178">
        <v>0</v>
      </c>
      <c r="AL464" s="163">
        <f t="shared" ref="AL464:BN464" si="449">IF(AND(AL$373&gt;($D$106+2020),AL$373&lt;($E$106+2022)),AK464+(AL$5*$AJ$464*((100-$F$106)/100)*($C$106/100*$B$106)/($E$106-$D$106+1)/1000000),AK464)</f>
        <v>0</v>
      </c>
      <c r="AM464" s="163">
        <f t="shared" si="449"/>
        <v>0</v>
      </c>
      <c r="AN464" s="163">
        <f t="shared" si="449"/>
        <v>0</v>
      </c>
      <c r="AO464" s="163">
        <f t="shared" si="449"/>
        <v>0</v>
      </c>
      <c r="AP464" s="163">
        <f t="shared" si="449"/>
        <v>0</v>
      </c>
      <c r="AQ464" s="163">
        <f t="shared" si="449"/>
        <v>0</v>
      </c>
      <c r="AR464" s="163">
        <f t="shared" si="449"/>
        <v>0</v>
      </c>
      <c r="AS464" s="163">
        <f t="shared" si="449"/>
        <v>0</v>
      </c>
      <c r="AT464" s="163">
        <f t="shared" si="449"/>
        <v>0</v>
      </c>
      <c r="AU464" s="163">
        <f t="shared" si="449"/>
        <v>0</v>
      </c>
      <c r="AV464" s="163">
        <f t="shared" si="449"/>
        <v>0</v>
      </c>
      <c r="AW464" s="163">
        <f t="shared" si="449"/>
        <v>0</v>
      </c>
      <c r="AX464" s="163">
        <f t="shared" si="449"/>
        <v>0</v>
      </c>
      <c r="AY464" s="163">
        <f t="shared" si="449"/>
        <v>0</v>
      </c>
      <c r="AZ464" s="163">
        <f t="shared" si="449"/>
        <v>0</v>
      </c>
      <c r="BA464" s="163">
        <f t="shared" si="449"/>
        <v>0</v>
      </c>
      <c r="BB464" s="163">
        <f t="shared" si="449"/>
        <v>0</v>
      </c>
      <c r="BC464" s="163">
        <f t="shared" si="449"/>
        <v>0</v>
      </c>
      <c r="BD464" s="163">
        <f t="shared" si="449"/>
        <v>0</v>
      </c>
      <c r="BE464" s="163">
        <f t="shared" si="449"/>
        <v>0</v>
      </c>
      <c r="BF464" s="163">
        <f t="shared" si="449"/>
        <v>0</v>
      </c>
      <c r="BG464" s="163">
        <f t="shared" si="449"/>
        <v>0</v>
      </c>
      <c r="BH464" s="163">
        <f t="shared" si="449"/>
        <v>0</v>
      </c>
      <c r="BI464" s="163">
        <f t="shared" si="449"/>
        <v>0</v>
      </c>
      <c r="BJ464" s="163">
        <f t="shared" si="449"/>
        <v>0</v>
      </c>
      <c r="BK464" s="163">
        <f t="shared" si="449"/>
        <v>0</v>
      </c>
      <c r="BL464" s="163">
        <f t="shared" si="449"/>
        <v>0</v>
      </c>
      <c r="BM464" s="163">
        <f t="shared" si="449"/>
        <v>0</v>
      </c>
      <c r="BN464" s="164">
        <f t="shared" si="449"/>
        <v>0</v>
      </c>
    </row>
    <row r="465" spans="32:66" ht="20.100000000000001" customHeight="1">
      <c r="AF465" s="1551"/>
      <c r="AG465" s="107" t="s">
        <v>862</v>
      </c>
      <c r="AH465" s="131"/>
      <c r="AI465" s="107">
        <f>INDEX('DEFAULT DATA'!$WD$9:$WJ$41,START!$C$3,1)</f>
        <v>202</v>
      </c>
      <c r="AJ465" s="63">
        <f>INDEX('DEFAULT DATA'!$AJL$9:$AJS$41,START!$C$3,2)</f>
        <v>17.45</v>
      </c>
      <c r="AK465" s="180">
        <v>0</v>
      </c>
      <c r="AL465" s="123">
        <f t="shared" ref="AL465:BN465" si="450">IF(AND(AL$373&gt;($D$106+2020),AL$373&lt;($E$106+2022)),AK465+($AI$465*$AJ$465*((100-$F$106)/100)*($C$106/100*$B$106)/($E$106-$D$106+1)/1000000),AK465)</f>
        <v>0</v>
      </c>
      <c r="AM465" s="123">
        <f t="shared" si="450"/>
        <v>0</v>
      </c>
      <c r="AN465" s="123">
        <f t="shared" si="450"/>
        <v>0</v>
      </c>
      <c r="AO465" s="123">
        <f t="shared" si="450"/>
        <v>0</v>
      </c>
      <c r="AP465" s="123">
        <f t="shared" si="450"/>
        <v>0</v>
      </c>
      <c r="AQ465" s="123">
        <f t="shared" si="450"/>
        <v>0</v>
      </c>
      <c r="AR465" s="123">
        <f t="shared" si="450"/>
        <v>0</v>
      </c>
      <c r="AS465" s="123">
        <f t="shared" si="450"/>
        <v>0</v>
      </c>
      <c r="AT465" s="123">
        <f t="shared" si="450"/>
        <v>0</v>
      </c>
      <c r="AU465" s="123">
        <f t="shared" si="450"/>
        <v>0</v>
      </c>
      <c r="AV465" s="123">
        <f t="shared" si="450"/>
        <v>0</v>
      </c>
      <c r="AW465" s="123">
        <f t="shared" si="450"/>
        <v>0</v>
      </c>
      <c r="AX465" s="123">
        <f t="shared" si="450"/>
        <v>0</v>
      </c>
      <c r="AY465" s="123">
        <f t="shared" si="450"/>
        <v>0</v>
      </c>
      <c r="AZ465" s="123">
        <f t="shared" si="450"/>
        <v>0</v>
      </c>
      <c r="BA465" s="123">
        <f t="shared" si="450"/>
        <v>0</v>
      </c>
      <c r="BB465" s="123">
        <f t="shared" si="450"/>
        <v>0</v>
      </c>
      <c r="BC465" s="123">
        <f t="shared" si="450"/>
        <v>0</v>
      </c>
      <c r="BD465" s="123">
        <f t="shared" si="450"/>
        <v>0</v>
      </c>
      <c r="BE465" s="123">
        <f t="shared" si="450"/>
        <v>0</v>
      </c>
      <c r="BF465" s="123">
        <f t="shared" si="450"/>
        <v>0</v>
      </c>
      <c r="BG465" s="123">
        <f t="shared" si="450"/>
        <v>0</v>
      </c>
      <c r="BH465" s="123">
        <f t="shared" si="450"/>
        <v>0</v>
      </c>
      <c r="BI465" s="123">
        <f t="shared" si="450"/>
        <v>0</v>
      </c>
      <c r="BJ465" s="123">
        <f t="shared" si="450"/>
        <v>0</v>
      </c>
      <c r="BK465" s="123">
        <f t="shared" si="450"/>
        <v>0</v>
      </c>
      <c r="BL465" s="123">
        <f t="shared" si="450"/>
        <v>0</v>
      </c>
      <c r="BM465" s="123">
        <f t="shared" si="450"/>
        <v>0</v>
      </c>
      <c r="BN465" s="159">
        <f t="shared" si="450"/>
        <v>0</v>
      </c>
    </row>
    <row r="466" spans="32:66" ht="20.100000000000001" customHeight="1">
      <c r="AF466" s="1551"/>
      <c r="AG466" s="107" t="s">
        <v>863</v>
      </c>
      <c r="AH466" s="131"/>
      <c r="AI466" s="107">
        <f>INDEX('DEFAULT DATA'!$WD$9:$WJ$41,START!$C$3,2)</f>
        <v>267</v>
      </c>
      <c r="AJ466" s="63">
        <f>INDEX('DEFAULT DATA'!$AJL$9:$AJS$41,START!$C$3,3)</f>
        <v>14.54</v>
      </c>
      <c r="AK466" s="180">
        <v>0</v>
      </c>
      <c r="AL466" s="123">
        <f t="shared" ref="AL466:BN466" si="451">IF(AND(AL$373&gt;($D$106+2020),AL$373&lt;($E$106+2022)),AK466+($AI$466*$AJ$466*((100-$F$106)/100)*($C$106/100*$B$106)/($E$106-$D$106+1)/1000000),AK466)</f>
        <v>0</v>
      </c>
      <c r="AM466" s="123">
        <f t="shared" si="451"/>
        <v>0</v>
      </c>
      <c r="AN466" s="123">
        <f t="shared" si="451"/>
        <v>0</v>
      </c>
      <c r="AO466" s="123">
        <f t="shared" si="451"/>
        <v>0</v>
      </c>
      <c r="AP466" s="123">
        <f t="shared" si="451"/>
        <v>0</v>
      </c>
      <c r="AQ466" s="123">
        <f t="shared" si="451"/>
        <v>0</v>
      </c>
      <c r="AR466" s="123">
        <f t="shared" si="451"/>
        <v>0</v>
      </c>
      <c r="AS466" s="123">
        <f t="shared" si="451"/>
        <v>0</v>
      </c>
      <c r="AT466" s="123">
        <f t="shared" si="451"/>
        <v>0</v>
      </c>
      <c r="AU466" s="123">
        <f t="shared" si="451"/>
        <v>0</v>
      </c>
      <c r="AV466" s="123">
        <f t="shared" si="451"/>
        <v>0</v>
      </c>
      <c r="AW466" s="123">
        <f t="shared" si="451"/>
        <v>0</v>
      </c>
      <c r="AX466" s="123">
        <f t="shared" si="451"/>
        <v>0</v>
      </c>
      <c r="AY466" s="123">
        <f t="shared" si="451"/>
        <v>0</v>
      </c>
      <c r="AZ466" s="123">
        <f t="shared" si="451"/>
        <v>0</v>
      </c>
      <c r="BA466" s="123">
        <f t="shared" si="451"/>
        <v>0</v>
      </c>
      <c r="BB466" s="123">
        <f t="shared" si="451"/>
        <v>0</v>
      </c>
      <c r="BC466" s="123">
        <f t="shared" si="451"/>
        <v>0</v>
      </c>
      <c r="BD466" s="123">
        <f t="shared" si="451"/>
        <v>0</v>
      </c>
      <c r="BE466" s="123">
        <f t="shared" si="451"/>
        <v>0</v>
      </c>
      <c r="BF466" s="123">
        <f t="shared" si="451"/>
        <v>0</v>
      </c>
      <c r="BG466" s="123">
        <f t="shared" si="451"/>
        <v>0</v>
      </c>
      <c r="BH466" s="123">
        <f t="shared" si="451"/>
        <v>0</v>
      </c>
      <c r="BI466" s="123">
        <f t="shared" si="451"/>
        <v>0</v>
      </c>
      <c r="BJ466" s="123">
        <f t="shared" si="451"/>
        <v>0</v>
      </c>
      <c r="BK466" s="123">
        <f t="shared" si="451"/>
        <v>0</v>
      </c>
      <c r="BL466" s="123">
        <f t="shared" si="451"/>
        <v>0</v>
      </c>
      <c r="BM466" s="123">
        <f t="shared" si="451"/>
        <v>0</v>
      </c>
      <c r="BN466" s="159">
        <f t="shared" si="451"/>
        <v>0</v>
      </c>
    </row>
    <row r="467" spans="32:66" ht="20.100000000000001" customHeight="1">
      <c r="AF467" s="1551"/>
      <c r="AG467" s="107" t="s">
        <v>864</v>
      </c>
      <c r="AH467" s="131"/>
      <c r="AI467" s="107">
        <f>INDEX('DEFAULT DATA'!$WD$9:$WJ$41,START!$C$3,3)</f>
        <v>354</v>
      </c>
      <c r="AJ467" s="63">
        <f>INDEX('DEFAULT DATA'!$AJL$9:$AJS$41,START!$C$3,4)</f>
        <v>0</v>
      </c>
      <c r="AK467" s="180">
        <v>0</v>
      </c>
      <c r="AL467" s="123">
        <f t="shared" ref="AL467:BN467" si="452">IF(AND(AL$373&gt;($D$106+2020),AL$373&lt;($E$106+2022)),AK467+($AI$467*$AJ$467*((100-$F$106)/100)*($C$106/100*$B$106)/($E$106-$D$106+1)/1000000),AK467)</f>
        <v>0</v>
      </c>
      <c r="AM467" s="123">
        <f t="shared" si="452"/>
        <v>0</v>
      </c>
      <c r="AN467" s="123">
        <f t="shared" si="452"/>
        <v>0</v>
      </c>
      <c r="AO467" s="123">
        <f t="shared" si="452"/>
        <v>0</v>
      </c>
      <c r="AP467" s="123">
        <f t="shared" si="452"/>
        <v>0</v>
      </c>
      <c r="AQ467" s="123">
        <f t="shared" si="452"/>
        <v>0</v>
      </c>
      <c r="AR467" s="123">
        <f t="shared" si="452"/>
        <v>0</v>
      </c>
      <c r="AS467" s="123">
        <f t="shared" si="452"/>
        <v>0</v>
      </c>
      <c r="AT467" s="123">
        <f t="shared" si="452"/>
        <v>0</v>
      </c>
      <c r="AU467" s="123">
        <f t="shared" si="452"/>
        <v>0</v>
      </c>
      <c r="AV467" s="123">
        <f t="shared" si="452"/>
        <v>0</v>
      </c>
      <c r="AW467" s="123">
        <f t="shared" si="452"/>
        <v>0</v>
      </c>
      <c r="AX467" s="123">
        <f t="shared" si="452"/>
        <v>0</v>
      </c>
      <c r="AY467" s="123">
        <f t="shared" si="452"/>
        <v>0</v>
      </c>
      <c r="AZ467" s="123">
        <f t="shared" si="452"/>
        <v>0</v>
      </c>
      <c r="BA467" s="123">
        <f t="shared" si="452"/>
        <v>0</v>
      </c>
      <c r="BB467" s="123">
        <f t="shared" si="452"/>
        <v>0</v>
      </c>
      <c r="BC467" s="123">
        <f t="shared" si="452"/>
        <v>0</v>
      </c>
      <c r="BD467" s="123">
        <f t="shared" si="452"/>
        <v>0</v>
      </c>
      <c r="BE467" s="123">
        <f t="shared" si="452"/>
        <v>0</v>
      </c>
      <c r="BF467" s="123">
        <f t="shared" si="452"/>
        <v>0</v>
      </c>
      <c r="BG467" s="123">
        <f t="shared" si="452"/>
        <v>0</v>
      </c>
      <c r="BH467" s="123">
        <f t="shared" si="452"/>
        <v>0</v>
      </c>
      <c r="BI467" s="123">
        <f t="shared" si="452"/>
        <v>0</v>
      </c>
      <c r="BJ467" s="123">
        <f t="shared" si="452"/>
        <v>0</v>
      </c>
      <c r="BK467" s="123">
        <f t="shared" si="452"/>
        <v>0</v>
      </c>
      <c r="BL467" s="123">
        <f t="shared" si="452"/>
        <v>0</v>
      </c>
      <c r="BM467" s="123">
        <f t="shared" si="452"/>
        <v>0</v>
      </c>
      <c r="BN467" s="159">
        <f t="shared" si="452"/>
        <v>0</v>
      </c>
    </row>
    <row r="468" spans="32:66" ht="20.100000000000001" customHeight="1">
      <c r="AF468" s="1551"/>
      <c r="AG468" s="107" t="s">
        <v>865</v>
      </c>
      <c r="AH468" s="131"/>
      <c r="AI468" s="107">
        <f>INDEX('DEFAULT DATA'!$WD$9:$WJ$41,START!$C$3,4)</f>
        <v>382</v>
      </c>
      <c r="AJ468" s="63">
        <f>INDEX('DEFAULT DATA'!$AJL$9:$AJS$41,START!$C$3,5)</f>
        <v>1.36</v>
      </c>
      <c r="AK468" s="180">
        <v>0</v>
      </c>
      <c r="AL468" s="123">
        <f t="shared" ref="AL468:BN468" si="453">IF(AND(AL$373&gt;($D$106+2020),AL$373&lt;($E$106+2022)),AK468+($AI$468*$AJ$468*((100-$F$106)/100)*($C$106/100*$B$106)/($E$106-$D$106+1)/1000000),AK468)</f>
        <v>0</v>
      </c>
      <c r="AM468" s="123">
        <f t="shared" si="453"/>
        <v>0</v>
      </c>
      <c r="AN468" s="123">
        <f t="shared" si="453"/>
        <v>0</v>
      </c>
      <c r="AO468" s="123">
        <f t="shared" si="453"/>
        <v>0</v>
      </c>
      <c r="AP468" s="123">
        <f t="shared" si="453"/>
        <v>0</v>
      </c>
      <c r="AQ468" s="123">
        <f t="shared" si="453"/>
        <v>0</v>
      </c>
      <c r="AR468" s="123">
        <f t="shared" si="453"/>
        <v>0</v>
      </c>
      <c r="AS468" s="123">
        <f t="shared" si="453"/>
        <v>0</v>
      </c>
      <c r="AT468" s="123">
        <f t="shared" si="453"/>
        <v>0</v>
      </c>
      <c r="AU468" s="123">
        <f t="shared" si="453"/>
        <v>0</v>
      </c>
      <c r="AV468" s="123">
        <f t="shared" si="453"/>
        <v>0</v>
      </c>
      <c r="AW468" s="123">
        <f t="shared" si="453"/>
        <v>0</v>
      </c>
      <c r="AX468" s="123">
        <f t="shared" si="453"/>
        <v>0</v>
      </c>
      <c r="AY468" s="123">
        <f t="shared" si="453"/>
        <v>0</v>
      </c>
      <c r="AZ468" s="123">
        <f t="shared" si="453"/>
        <v>0</v>
      </c>
      <c r="BA468" s="123">
        <f t="shared" si="453"/>
        <v>0</v>
      </c>
      <c r="BB468" s="123">
        <f t="shared" si="453"/>
        <v>0</v>
      </c>
      <c r="BC468" s="123">
        <f t="shared" si="453"/>
        <v>0</v>
      </c>
      <c r="BD468" s="123">
        <f t="shared" si="453"/>
        <v>0</v>
      </c>
      <c r="BE468" s="123">
        <f t="shared" si="453"/>
        <v>0</v>
      </c>
      <c r="BF468" s="123">
        <f t="shared" si="453"/>
        <v>0</v>
      </c>
      <c r="BG468" s="123">
        <f t="shared" si="453"/>
        <v>0</v>
      </c>
      <c r="BH468" s="123">
        <f t="shared" si="453"/>
        <v>0</v>
      </c>
      <c r="BI468" s="123">
        <f t="shared" si="453"/>
        <v>0</v>
      </c>
      <c r="BJ468" s="123">
        <f t="shared" si="453"/>
        <v>0</v>
      </c>
      <c r="BK468" s="123">
        <f t="shared" si="453"/>
        <v>0</v>
      </c>
      <c r="BL468" s="123">
        <f t="shared" si="453"/>
        <v>0</v>
      </c>
      <c r="BM468" s="123">
        <f t="shared" si="453"/>
        <v>0</v>
      </c>
      <c r="BN468" s="159">
        <f t="shared" si="453"/>
        <v>0</v>
      </c>
    </row>
    <row r="469" spans="32:66" ht="20.100000000000001" customHeight="1">
      <c r="AF469" s="1551"/>
      <c r="AG469" s="107" t="s">
        <v>866</v>
      </c>
      <c r="AH469" s="131"/>
      <c r="AI469" s="107">
        <f>INDEX('DEFAULT DATA'!$WD$9:$WJ$41,START!$C$3,5)</f>
        <v>403</v>
      </c>
      <c r="AJ469" s="63">
        <f>INDEX('DEFAULT DATA'!$AJL$9:$AJS$41,START!$C$3,6)</f>
        <v>1.65</v>
      </c>
      <c r="AK469" s="180">
        <v>0</v>
      </c>
      <c r="AL469" s="123">
        <f t="shared" ref="AL469:BN469" si="454">IF(AND(AL$373&gt;($D$106+2020),AL$373&lt;($E$106+2022)),AK469+($AI$469*$AJ$469*((100-$F$106)/100)*($C$106/100*$B$106)/($E$106-$D$106+1)/1000000),AK469)</f>
        <v>0</v>
      </c>
      <c r="AM469" s="123">
        <f t="shared" si="454"/>
        <v>0</v>
      </c>
      <c r="AN469" s="123">
        <f t="shared" si="454"/>
        <v>0</v>
      </c>
      <c r="AO469" s="123">
        <f t="shared" si="454"/>
        <v>0</v>
      </c>
      <c r="AP469" s="123">
        <f t="shared" si="454"/>
        <v>0</v>
      </c>
      <c r="AQ469" s="123">
        <f t="shared" si="454"/>
        <v>0</v>
      </c>
      <c r="AR469" s="123">
        <f t="shared" si="454"/>
        <v>0</v>
      </c>
      <c r="AS469" s="123">
        <f t="shared" si="454"/>
        <v>0</v>
      </c>
      <c r="AT469" s="123">
        <f t="shared" si="454"/>
        <v>0</v>
      </c>
      <c r="AU469" s="123">
        <f t="shared" si="454"/>
        <v>0</v>
      </c>
      <c r="AV469" s="123">
        <f t="shared" si="454"/>
        <v>0</v>
      </c>
      <c r="AW469" s="123">
        <f t="shared" si="454"/>
        <v>0</v>
      </c>
      <c r="AX469" s="123">
        <f t="shared" si="454"/>
        <v>0</v>
      </c>
      <c r="AY469" s="123">
        <f t="shared" si="454"/>
        <v>0</v>
      </c>
      <c r="AZ469" s="123">
        <f t="shared" si="454"/>
        <v>0</v>
      </c>
      <c r="BA469" s="123">
        <f t="shared" si="454"/>
        <v>0</v>
      </c>
      <c r="BB469" s="123">
        <f t="shared" si="454"/>
        <v>0</v>
      </c>
      <c r="BC469" s="123">
        <f t="shared" si="454"/>
        <v>0</v>
      </c>
      <c r="BD469" s="123">
        <f t="shared" si="454"/>
        <v>0</v>
      </c>
      <c r="BE469" s="123">
        <f t="shared" si="454"/>
        <v>0</v>
      </c>
      <c r="BF469" s="123">
        <f t="shared" si="454"/>
        <v>0</v>
      </c>
      <c r="BG469" s="123">
        <f t="shared" si="454"/>
        <v>0</v>
      </c>
      <c r="BH469" s="123">
        <f t="shared" si="454"/>
        <v>0</v>
      </c>
      <c r="BI469" s="123">
        <f t="shared" si="454"/>
        <v>0</v>
      </c>
      <c r="BJ469" s="123">
        <f t="shared" si="454"/>
        <v>0</v>
      </c>
      <c r="BK469" s="123">
        <f t="shared" si="454"/>
        <v>0</v>
      </c>
      <c r="BL469" s="123">
        <f t="shared" si="454"/>
        <v>0</v>
      </c>
      <c r="BM469" s="123">
        <f t="shared" si="454"/>
        <v>0</v>
      </c>
      <c r="BN469" s="159">
        <f t="shared" si="454"/>
        <v>0</v>
      </c>
    </row>
    <row r="470" spans="32:66" ht="20.100000000000001" customHeight="1">
      <c r="AF470" s="1551"/>
      <c r="AG470" s="107" t="s">
        <v>867</v>
      </c>
      <c r="AH470" s="131"/>
      <c r="AI470" s="107">
        <f>INDEX('DEFAULT DATA'!$WD$9:$WJ$41,START!$C$3,6)</f>
        <v>0</v>
      </c>
      <c r="AJ470" s="63">
        <f>INDEX('DEFAULT DATA'!$AJL$9:$AJS$41,START!$C$3,7)</f>
        <v>0</v>
      </c>
      <c r="AK470" s="180">
        <v>0</v>
      </c>
      <c r="AL470" s="123">
        <f t="shared" ref="AL470:BN470" si="455">IF(AND(AL$373&gt;($D$106+2020),AL$373&lt;($E$106+2022)),AK470+($AI$470*$AJ$470*((100-$F$106)/100)*($C$106/100*$B$106)/($E$106-$D$106+1)/1000000),AK470)</f>
        <v>0</v>
      </c>
      <c r="AM470" s="123">
        <f t="shared" si="455"/>
        <v>0</v>
      </c>
      <c r="AN470" s="123">
        <f t="shared" si="455"/>
        <v>0</v>
      </c>
      <c r="AO470" s="123">
        <f t="shared" si="455"/>
        <v>0</v>
      </c>
      <c r="AP470" s="123">
        <f t="shared" si="455"/>
        <v>0</v>
      </c>
      <c r="AQ470" s="123">
        <f t="shared" si="455"/>
        <v>0</v>
      </c>
      <c r="AR470" s="123">
        <f t="shared" si="455"/>
        <v>0</v>
      </c>
      <c r="AS470" s="123">
        <f t="shared" si="455"/>
        <v>0</v>
      </c>
      <c r="AT470" s="123">
        <f t="shared" si="455"/>
        <v>0</v>
      </c>
      <c r="AU470" s="123">
        <f t="shared" si="455"/>
        <v>0</v>
      </c>
      <c r="AV470" s="123">
        <f t="shared" si="455"/>
        <v>0</v>
      </c>
      <c r="AW470" s="123">
        <f t="shared" si="455"/>
        <v>0</v>
      </c>
      <c r="AX470" s="123">
        <f t="shared" si="455"/>
        <v>0</v>
      </c>
      <c r="AY470" s="123">
        <f t="shared" si="455"/>
        <v>0</v>
      </c>
      <c r="AZ470" s="123">
        <f t="shared" si="455"/>
        <v>0</v>
      </c>
      <c r="BA470" s="123">
        <f t="shared" si="455"/>
        <v>0</v>
      </c>
      <c r="BB470" s="123">
        <f t="shared" si="455"/>
        <v>0</v>
      </c>
      <c r="BC470" s="123">
        <f t="shared" si="455"/>
        <v>0</v>
      </c>
      <c r="BD470" s="123">
        <f t="shared" si="455"/>
        <v>0</v>
      </c>
      <c r="BE470" s="123">
        <f t="shared" si="455"/>
        <v>0</v>
      </c>
      <c r="BF470" s="123">
        <f t="shared" si="455"/>
        <v>0</v>
      </c>
      <c r="BG470" s="123">
        <f t="shared" si="455"/>
        <v>0</v>
      </c>
      <c r="BH470" s="123">
        <f t="shared" si="455"/>
        <v>0</v>
      </c>
      <c r="BI470" s="123">
        <f t="shared" si="455"/>
        <v>0</v>
      </c>
      <c r="BJ470" s="123">
        <f t="shared" si="455"/>
        <v>0</v>
      </c>
      <c r="BK470" s="123">
        <f t="shared" si="455"/>
        <v>0</v>
      </c>
      <c r="BL470" s="123">
        <f t="shared" si="455"/>
        <v>0</v>
      </c>
      <c r="BM470" s="123">
        <f t="shared" si="455"/>
        <v>0</v>
      </c>
      <c r="BN470" s="159">
        <f t="shared" si="455"/>
        <v>0</v>
      </c>
    </row>
    <row r="471" spans="32:66" ht="20.100000000000001" customHeight="1" thickBot="1">
      <c r="AF471" s="1552"/>
      <c r="AG471" s="146" t="s">
        <v>868</v>
      </c>
      <c r="AH471" s="139"/>
      <c r="AI471" s="146" t="s">
        <v>1123</v>
      </c>
      <c r="AJ471" s="113">
        <f>INDEX('DEFAULT DATA'!$AJL$9:$AJS$41,START!$C$3,8)</f>
        <v>1.8435436106219893E-2</v>
      </c>
      <c r="AK471" s="179">
        <v>0</v>
      </c>
      <c r="AL471" s="160">
        <f t="shared" ref="AL471:BN471" si="456">IF(AND(AL$373&gt;($D$106+2020),AL$373&lt;($E$106+2022)),AK471+(AL$6*$AJ$471*((100-$F$106)/100)*($C$106/100*$B$106)/($E$106-$D$106+1)/1000000),AK471)</f>
        <v>0</v>
      </c>
      <c r="AM471" s="160">
        <f t="shared" si="456"/>
        <v>0</v>
      </c>
      <c r="AN471" s="160">
        <f t="shared" si="456"/>
        <v>0</v>
      </c>
      <c r="AO471" s="160">
        <f t="shared" si="456"/>
        <v>0</v>
      </c>
      <c r="AP471" s="160">
        <f t="shared" si="456"/>
        <v>0</v>
      </c>
      <c r="AQ471" s="160">
        <f t="shared" si="456"/>
        <v>0</v>
      </c>
      <c r="AR471" s="160">
        <f t="shared" si="456"/>
        <v>0</v>
      </c>
      <c r="AS471" s="160">
        <f t="shared" si="456"/>
        <v>0</v>
      </c>
      <c r="AT471" s="160">
        <f t="shared" si="456"/>
        <v>0</v>
      </c>
      <c r="AU471" s="160">
        <f t="shared" si="456"/>
        <v>0</v>
      </c>
      <c r="AV471" s="160">
        <f t="shared" si="456"/>
        <v>0</v>
      </c>
      <c r="AW471" s="160">
        <f t="shared" si="456"/>
        <v>0</v>
      </c>
      <c r="AX471" s="160">
        <f t="shared" si="456"/>
        <v>0</v>
      </c>
      <c r="AY471" s="160">
        <f t="shared" si="456"/>
        <v>0</v>
      </c>
      <c r="AZ471" s="160">
        <f t="shared" si="456"/>
        <v>0</v>
      </c>
      <c r="BA471" s="160">
        <f t="shared" si="456"/>
        <v>0</v>
      </c>
      <c r="BB471" s="160">
        <f t="shared" si="456"/>
        <v>0</v>
      </c>
      <c r="BC471" s="160">
        <f t="shared" si="456"/>
        <v>0</v>
      </c>
      <c r="BD471" s="160">
        <f t="shared" si="456"/>
        <v>0</v>
      </c>
      <c r="BE471" s="160">
        <f t="shared" si="456"/>
        <v>0</v>
      </c>
      <c r="BF471" s="160">
        <f t="shared" si="456"/>
        <v>0</v>
      </c>
      <c r="BG471" s="160">
        <f t="shared" si="456"/>
        <v>0</v>
      </c>
      <c r="BH471" s="160">
        <f t="shared" si="456"/>
        <v>0</v>
      </c>
      <c r="BI471" s="160">
        <f t="shared" si="456"/>
        <v>0</v>
      </c>
      <c r="BJ471" s="160">
        <f t="shared" si="456"/>
        <v>0</v>
      </c>
      <c r="BK471" s="160">
        <f t="shared" si="456"/>
        <v>0</v>
      </c>
      <c r="BL471" s="160">
        <f t="shared" si="456"/>
        <v>0</v>
      </c>
      <c r="BM471" s="160">
        <f t="shared" si="456"/>
        <v>0</v>
      </c>
      <c r="BN471" s="161">
        <f t="shared" si="456"/>
        <v>0</v>
      </c>
    </row>
    <row r="472" spans="32:66" ht="20.100000000000001" customHeight="1">
      <c r="AF472" s="147"/>
      <c r="AG472" s="136" t="s">
        <v>1089</v>
      </c>
      <c r="AH472" s="136"/>
      <c r="AI472" s="136"/>
      <c r="AJ472" s="136"/>
      <c r="AK472" s="177">
        <v>0</v>
      </c>
      <c r="AL472" s="162">
        <f>SUM(AL464:AL471)</f>
        <v>0</v>
      </c>
      <c r="AM472" s="162">
        <f t="shared" ref="AM472:BN472" si="457">SUM(AM464:AM471)</f>
        <v>0</v>
      </c>
      <c r="AN472" s="162">
        <f t="shared" si="457"/>
        <v>0</v>
      </c>
      <c r="AO472" s="162">
        <f t="shared" si="457"/>
        <v>0</v>
      </c>
      <c r="AP472" s="162">
        <f t="shared" si="457"/>
        <v>0</v>
      </c>
      <c r="AQ472" s="162">
        <f t="shared" si="457"/>
        <v>0</v>
      </c>
      <c r="AR472" s="162">
        <f t="shared" si="457"/>
        <v>0</v>
      </c>
      <c r="AS472" s="162">
        <f t="shared" si="457"/>
        <v>0</v>
      </c>
      <c r="AT472" s="162">
        <f t="shared" si="457"/>
        <v>0</v>
      </c>
      <c r="AU472" s="162">
        <f t="shared" si="457"/>
        <v>0</v>
      </c>
      <c r="AV472" s="162">
        <f t="shared" si="457"/>
        <v>0</v>
      </c>
      <c r="AW472" s="162">
        <f t="shared" si="457"/>
        <v>0</v>
      </c>
      <c r="AX472" s="162">
        <f t="shared" si="457"/>
        <v>0</v>
      </c>
      <c r="AY472" s="162">
        <f t="shared" si="457"/>
        <v>0</v>
      </c>
      <c r="AZ472" s="162">
        <f t="shared" si="457"/>
        <v>0</v>
      </c>
      <c r="BA472" s="162">
        <f t="shared" si="457"/>
        <v>0</v>
      </c>
      <c r="BB472" s="162">
        <f t="shared" si="457"/>
        <v>0</v>
      </c>
      <c r="BC472" s="162">
        <f t="shared" si="457"/>
        <v>0</v>
      </c>
      <c r="BD472" s="162">
        <f t="shared" si="457"/>
        <v>0</v>
      </c>
      <c r="BE472" s="162">
        <f t="shared" si="457"/>
        <v>0</v>
      </c>
      <c r="BF472" s="162">
        <f t="shared" si="457"/>
        <v>0</v>
      </c>
      <c r="BG472" s="162">
        <f t="shared" si="457"/>
        <v>0</v>
      </c>
      <c r="BH472" s="162">
        <f t="shared" si="457"/>
        <v>0</v>
      </c>
      <c r="BI472" s="162">
        <f t="shared" si="457"/>
        <v>0</v>
      </c>
      <c r="BJ472" s="162">
        <f t="shared" si="457"/>
        <v>0</v>
      </c>
      <c r="BK472" s="162">
        <f t="shared" si="457"/>
        <v>0</v>
      </c>
      <c r="BL472" s="162">
        <f t="shared" si="457"/>
        <v>0</v>
      </c>
      <c r="BM472" s="162">
        <f t="shared" si="457"/>
        <v>0</v>
      </c>
      <c r="BN472" s="162">
        <f t="shared" si="457"/>
        <v>0</v>
      </c>
    </row>
    <row r="475" spans="32:66" ht="20.100000000000001" customHeight="1">
      <c r="AF475" s="582" t="s">
        <v>2146</v>
      </c>
      <c r="AG475" s="583"/>
      <c r="AH475" s="583"/>
      <c r="AI475" s="583"/>
      <c r="AJ475" s="583"/>
      <c r="AK475" s="583"/>
      <c r="AL475" s="583"/>
      <c r="AM475" s="583"/>
      <c r="AN475" s="583"/>
      <c r="AO475" s="583"/>
      <c r="AP475" s="583"/>
      <c r="AQ475" s="583"/>
      <c r="AR475" s="583"/>
      <c r="AS475" s="583"/>
      <c r="AT475" s="358"/>
      <c r="AU475" s="358"/>
      <c r="AV475" s="358"/>
      <c r="AW475" s="358"/>
      <c r="AX475" s="359"/>
    </row>
    <row r="476" spans="32:66" ht="20.100000000000001" customHeight="1">
      <c r="AF476" s="585" t="s">
        <v>2086</v>
      </c>
      <c r="AG476" s="586"/>
      <c r="AH476" s="586"/>
      <c r="AI476" s="586"/>
      <c r="AJ476" s="586"/>
      <c r="AK476" s="586"/>
      <c r="AL476" s="586"/>
      <c r="AM476" s="586"/>
      <c r="AN476" s="586"/>
      <c r="AO476" s="586"/>
      <c r="AP476" s="586"/>
      <c r="AQ476" s="586"/>
      <c r="AR476" s="586"/>
      <c r="AS476" s="586"/>
      <c r="AT476" s="362"/>
      <c r="AU476" s="362"/>
      <c r="AV476" s="362"/>
      <c r="AW476" s="362"/>
      <c r="AX476" s="363"/>
    </row>
    <row r="477" spans="32:66" ht="20.100000000000001" customHeight="1">
      <c r="AF477" s="585" t="s">
        <v>2087</v>
      </c>
      <c r="AG477" s="586"/>
      <c r="AH477" s="586"/>
      <c r="AI477" s="586"/>
      <c r="AJ477" s="586"/>
      <c r="AK477" s="586"/>
      <c r="AL477" s="586"/>
      <c r="AM477" s="586"/>
      <c r="AN477" s="586"/>
      <c r="AO477" s="586"/>
      <c r="AP477" s="586"/>
      <c r="AQ477" s="586"/>
      <c r="AR477" s="586"/>
      <c r="AS477" s="586"/>
      <c r="AT477" s="362"/>
      <c r="AU477" s="362"/>
      <c r="AV477" s="362"/>
      <c r="AW477" s="362"/>
      <c r="AX477" s="363"/>
    </row>
    <row r="478" spans="32:66" ht="20.100000000000001" customHeight="1">
      <c r="AF478" s="588" t="s">
        <v>2088</v>
      </c>
      <c r="AG478" s="586"/>
      <c r="AH478" s="586"/>
      <c r="AI478" s="586"/>
      <c r="AJ478" s="586"/>
      <c r="AK478" s="586"/>
      <c r="AL478" s="586"/>
      <c r="AM478" s="586"/>
      <c r="AN478" s="586"/>
      <c r="AO478" s="586"/>
      <c r="AP478" s="586"/>
      <c r="AQ478" s="586"/>
      <c r="AR478" s="586"/>
      <c r="AS478" s="586"/>
      <c r="AT478" s="362"/>
      <c r="AU478" s="362"/>
      <c r="AV478" s="362"/>
      <c r="AW478" s="362"/>
      <c r="AX478" s="363"/>
    </row>
    <row r="479" spans="32:66" ht="20.100000000000001" customHeight="1">
      <c r="AF479" s="588" t="s">
        <v>2147</v>
      </c>
      <c r="AG479" s="586"/>
      <c r="AH479" s="586"/>
      <c r="AI479" s="586"/>
      <c r="AJ479" s="586"/>
      <c r="AK479" s="586"/>
      <c r="AL479" s="586"/>
      <c r="AM479" s="586"/>
      <c r="AN479" s="586"/>
      <c r="AO479" s="586"/>
      <c r="AP479" s="586"/>
      <c r="AQ479" s="586"/>
      <c r="AR479" s="586"/>
      <c r="AS479" s="586"/>
      <c r="AT479" s="362"/>
      <c r="AU479" s="362"/>
      <c r="AV479" s="362"/>
      <c r="AW479" s="362"/>
      <c r="AX479" s="363"/>
    </row>
    <row r="480" spans="32:66" ht="20.100000000000001" customHeight="1">
      <c r="AF480" s="588" t="s">
        <v>2148</v>
      </c>
      <c r="AG480" s="586"/>
      <c r="AH480" s="586"/>
      <c r="AI480" s="586"/>
      <c r="AJ480" s="586"/>
      <c r="AK480" s="586"/>
      <c r="AL480" s="586"/>
      <c r="AM480" s="586"/>
      <c r="AN480" s="586"/>
      <c r="AO480" s="586"/>
      <c r="AP480" s="586"/>
      <c r="AQ480" s="586"/>
      <c r="AR480" s="586"/>
      <c r="AS480" s="586"/>
      <c r="AT480" s="362"/>
      <c r="AU480" s="362"/>
      <c r="AV480" s="362"/>
      <c r="AW480" s="362"/>
      <c r="AX480" s="363"/>
    </row>
    <row r="481" spans="13:50" ht="20.100000000000001" customHeight="1">
      <c r="AF481" s="588" t="s">
        <v>2149</v>
      </c>
      <c r="AG481" s="586"/>
      <c r="AH481" s="586"/>
      <c r="AI481" s="586"/>
      <c r="AJ481" s="586"/>
      <c r="AK481" s="586"/>
      <c r="AL481" s="586"/>
      <c r="AM481" s="586"/>
      <c r="AN481" s="586"/>
      <c r="AO481" s="586"/>
      <c r="AP481" s="586"/>
      <c r="AQ481" s="586"/>
      <c r="AR481" s="586"/>
      <c r="AS481" s="586"/>
      <c r="AT481" s="362"/>
      <c r="AU481" s="362"/>
      <c r="AV481" s="362"/>
      <c r="AW481" s="362"/>
      <c r="AX481" s="363"/>
    </row>
    <row r="482" spans="13:50" ht="20.100000000000001" customHeight="1">
      <c r="AF482" s="589" t="s">
        <v>1525</v>
      </c>
      <c r="AG482" s="590">
        <v>1</v>
      </c>
      <c r="AH482" s="586"/>
      <c r="AI482" s="586"/>
      <c r="AJ482" s="586"/>
      <c r="AK482" s="586"/>
      <c r="AL482" s="586"/>
      <c r="AM482" s="586"/>
      <c r="AN482" s="586"/>
      <c r="AO482" s="586"/>
      <c r="AP482" s="586"/>
      <c r="AQ482" s="586"/>
      <c r="AR482" s="586"/>
      <c r="AS482" s="586"/>
      <c r="AT482" s="362"/>
      <c r="AU482" s="362"/>
      <c r="AV482" s="362"/>
      <c r="AW482" s="362"/>
      <c r="AX482" s="363"/>
    </row>
    <row r="483" spans="13:50" ht="20.100000000000001" customHeight="1">
      <c r="M483" s="572"/>
      <c r="N483" s="572"/>
      <c r="O483" s="572"/>
      <c r="P483" s="572"/>
      <c r="Q483" s="572"/>
      <c r="R483" s="572"/>
      <c r="S483" s="572"/>
      <c r="T483" s="572"/>
      <c r="U483" s="572"/>
      <c r="V483" s="572"/>
      <c r="W483" s="572"/>
      <c r="X483" s="572"/>
      <c r="Y483" s="572"/>
      <c r="Z483" s="572"/>
      <c r="AA483" s="572"/>
      <c r="AB483" s="572"/>
      <c r="AC483" s="572"/>
      <c r="AD483" s="572"/>
      <c r="AE483" s="572"/>
      <c r="AF483" s="589" t="s">
        <v>1256</v>
      </c>
      <c r="AG483" s="590">
        <v>2</v>
      </c>
      <c r="AH483" s="586"/>
      <c r="AI483" s="586"/>
      <c r="AJ483" s="586"/>
      <c r="AK483" s="586"/>
      <c r="AL483" s="586"/>
      <c r="AM483" s="586"/>
      <c r="AN483" s="586"/>
      <c r="AO483" s="586"/>
      <c r="AP483" s="586"/>
      <c r="AQ483" s="586"/>
      <c r="AR483" s="586"/>
      <c r="AS483" s="586"/>
      <c r="AT483" s="362"/>
      <c r="AU483" s="362"/>
      <c r="AV483" s="362"/>
      <c r="AW483" s="362"/>
      <c r="AX483" s="363"/>
    </row>
    <row r="484" spans="13:50" ht="20.100000000000001" customHeight="1">
      <c r="AF484" s="589" t="s">
        <v>1284</v>
      </c>
      <c r="AG484" s="590">
        <v>3</v>
      </c>
      <c r="AH484" s="586"/>
      <c r="AI484" s="586"/>
      <c r="AJ484" s="586"/>
      <c r="AK484" s="586"/>
      <c r="AL484" s="586"/>
      <c r="AM484" s="586"/>
      <c r="AN484" s="586"/>
      <c r="AO484" s="586"/>
      <c r="AP484" s="586"/>
      <c r="AQ484" s="586"/>
      <c r="AR484" s="586"/>
      <c r="AS484" s="586"/>
      <c r="AT484" s="362"/>
      <c r="AU484" s="362"/>
      <c r="AV484" s="362"/>
      <c r="AW484" s="362"/>
      <c r="AX484" s="363"/>
    </row>
    <row r="485" spans="13:50" ht="20.100000000000001" customHeight="1">
      <c r="AF485" s="589" t="s">
        <v>1371</v>
      </c>
      <c r="AG485" s="590">
        <v>4</v>
      </c>
      <c r="AH485" s="586"/>
      <c r="AI485" s="586"/>
      <c r="AJ485" s="586"/>
      <c r="AK485" s="586"/>
      <c r="AL485" s="586"/>
      <c r="AM485" s="586"/>
      <c r="AN485" s="586"/>
      <c r="AO485" s="586"/>
      <c r="AP485" s="586"/>
      <c r="AQ485" s="586"/>
      <c r="AR485" s="586"/>
      <c r="AS485" s="586"/>
      <c r="AT485" s="362"/>
      <c r="AU485" s="362"/>
      <c r="AV485" s="362"/>
      <c r="AW485" s="362"/>
      <c r="AX485" s="363"/>
    </row>
    <row r="486" spans="13:50" ht="20.100000000000001" customHeight="1">
      <c r="AF486" s="588" t="s">
        <v>2150</v>
      </c>
      <c r="AG486" s="591"/>
      <c r="AH486" s="586"/>
      <c r="AI486" s="586"/>
      <c r="AJ486" s="586"/>
      <c r="AK486" s="586"/>
      <c r="AL486" s="586"/>
      <c r="AM486" s="586"/>
      <c r="AN486" s="586"/>
      <c r="AO486" s="586"/>
      <c r="AP486" s="586"/>
      <c r="AQ486" s="586"/>
      <c r="AR486" s="586"/>
      <c r="AS486" s="586"/>
      <c r="AT486" s="362"/>
      <c r="AU486" s="362"/>
      <c r="AV486" s="362"/>
      <c r="AW486" s="362"/>
      <c r="AX486" s="363"/>
    </row>
    <row r="487" spans="13:50" ht="20.100000000000001" customHeight="1">
      <c r="AF487" s="589" t="s">
        <v>973</v>
      </c>
      <c r="AG487" s="590">
        <v>1</v>
      </c>
      <c r="AH487" s="586"/>
      <c r="AI487" s="586"/>
      <c r="AJ487" s="586"/>
      <c r="AK487" s="586"/>
      <c r="AL487" s="586"/>
      <c r="AM487" s="586"/>
      <c r="AN487" s="586"/>
      <c r="AO487" s="586"/>
      <c r="AP487" s="586"/>
      <c r="AQ487" s="586"/>
      <c r="AR487" s="586"/>
      <c r="AS487" s="586"/>
      <c r="AT487" s="362"/>
      <c r="AU487" s="362"/>
      <c r="AV487" s="362"/>
      <c r="AW487" s="362"/>
      <c r="AX487" s="363"/>
    </row>
    <row r="488" spans="13:50" ht="20.100000000000001" customHeight="1">
      <c r="AF488" s="589" t="s">
        <v>974</v>
      </c>
      <c r="AG488" s="590">
        <v>2</v>
      </c>
      <c r="AH488" s="586"/>
      <c r="AI488" s="586"/>
      <c r="AJ488" s="586"/>
      <c r="AK488" s="586"/>
      <c r="AL488" s="586"/>
      <c r="AM488" s="586"/>
      <c r="AN488" s="586"/>
      <c r="AO488" s="586"/>
      <c r="AP488" s="586"/>
      <c r="AQ488" s="586"/>
      <c r="AR488" s="586"/>
      <c r="AS488" s="586"/>
      <c r="AT488" s="362"/>
      <c r="AU488" s="362"/>
      <c r="AV488" s="362"/>
      <c r="AW488" s="362"/>
      <c r="AX488" s="363"/>
    </row>
    <row r="489" spans="13:50" ht="20.100000000000001" customHeight="1">
      <c r="AF489" s="589" t="s">
        <v>975</v>
      </c>
      <c r="AG489" s="590">
        <v>3</v>
      </c>
      <c r="AH489" s="586"/>
      <c r="AI489" s="586"/>
      <c r="AJ489" s="586"/>
      <c r="AK489" s="586"/>
      <c r="AL489" s="586"/>
      <c r="AM489" s="586"/>
      <c r="AN489" s="586"/>
      <c r="AO489" s="586"/>
      <c r="AP489" s="586"/>
      <c r="AQ489" s="586"/>
      <c r="AR489" s="586"/>
      <c r="AS489" s="586"/>
      <c r="AT489" s="362"/>
      <c r="AU489" s="362"/>
      <c r="AV489" s="362"/>
      <c r="AW489" s="362"/>
      <c r="AX489" s="363"/>
    </row>
    <row r="490" spans="13:50" ht="20.100000000000001" customHeight="1">
      <c r="AF490" s="589" t="s">
        <v>977</v>
      </c>
      <c r="AG490" s="590">
        <v>4</v>
      </c>
      <c r="AH490" s="586"/>
      <c r="AI490" s="586"/>
      <c r="AJ490" s="586"/>
      <c r="AK490" s="586"/>
      <c r="AL490" s="586"/>
      <c r="AM490" s="586"/>
      <c r="AN490" s="586"/>
      <c r="AO490" s="586"/>
      <c r="AP490" s="586"/>
      <c r="AQ490" s="586"/>
      <c r="AR490" s="586"/>
      <c r="AS490" s="586"/>
      <c r="AT490" s="362"/>
      <c r="AU490" s="362"/>
      <c r="AV490" s="362"/>
      <c r="AW490" s="362"/>
      <c r="AX490" s="363"/>
    </row>
    <row r="491" spans="13:50" ht="20.100000000000001" customHeight="1">
      <c r="AF491" s="589" t="s">
        <v>978</v>
      </c>
      <c r="AG491" s="590">
        <v>5</v>
      </c>
      <c r="AH491" s="586"/>
      <c r="AI491" s="586"/>
      <c r="AJ491" s="586"/>
      <c r="AK491" s="586"/>
      <c r="AL491" s="586"/>
      <c r="AM491" s="586"/>
      <c r="AN491" s="586"/>
      <c r="AO491" s="586"/>
      <c r="AP491" s="586"/>
      <c r="AQ491" s="586"/>
      <c r="AR491" s="586"/>
      <c r="AS491" s="586"/>
      <c r="AT491" s="362"/>
      <c r="AU491" s="362"/>
      <c r="AV491" s="362"/>
      <c r="AW491" s="362"/>
      <c r="AX491" s="363"/>
    </row>
    <row r="492" spans="13:50" ht="20.100000000000001" customHeight="1">
      <c r="AF492" s="589" t="s">
        <v>979</v>
      </c>
      <c r="AG492" s="590">
        <v>6</v>
      </c>
      <c r="AH492" s="586"/>
      <c r="AI492" s="586"/>
      <c r="AJ492" s="586"/>
      <c r="AK492" s="586"/>
      <c r="AL492" s="586"/>
      <c r="AM492" s="586"/>
      <c r="AN492" s="586"/>
      <c r="AO492" s="586"/>
      <c r="AP492" s="586"/>
      <c r="AQ492" s="586"/>
      <c r="AR492" s="586"/>
      <c r="AS492" s="586"/>
      <c r="AT492" s="362"/>
      <c r="AU492" s="362"/>
      <c r="AV492" s="362"/>
      <c r="AW492" s="362"/>
      <c r="AX492" s="363"/>
    </row>
    <row r="493" spans="13:50" ht="20.100000000000001" customHeight="1">
      <c r="AF493" s="589" t="s">
        <v>976</v>
      </c>
      <c r="AG493" s="590">
        <v>7</v>
      </c>
      <c r="AH493" s="586"/>
      <c r="AI493" s="586"/>
      <c r="AJ493" s="586"/>
      <c r="AK493" s="586"/>
      <c r="AL493" s="586"/>
      <c r="AM493" s="586"/>
      <c r="AN493" s="586"/>
      <c r="AO493" s="586"/>
      <c r="AP493" s="586"/>
      <c r="AQ493" s="586"/>
      <c r="AR493" s="586"/>
      <c r="AS493" s="586"/>
      <c r="AT493" s="362"/>
      <c r="AU493" s="362"/>
      <c r="AV493" s="362"/>
      <c r="AW493" s="362"/>
      <c r="AX493" s="363"/>
    </row>
    <row r="494" spans="13:50" ht="20.100000000000001" customHeight="1">
      <c r="AF494" s="592" t="s">
        <v>2067</v>
      </c>
      <c r="AG494" s="593" t="s">
        <v>2069</v>
      </c>
      <c r="AH494" s="586"/>
      <c r="AI494" s="586"/>
      <c r="AJ494" s="586"/>
      <c r="AK494" s="586"/>
      <c r="AL494" s="586"/>
      <c r="AM494" s="586"/>
      <c r="AN494" s="586"/>
      <c r="AO494" s="586"/>
      <c r="AP494" s="586"/>
      <c r="AQ494" s="586"/>
      <c r="AR494" s="586"/>
      <c r="AS494" s="586"/>
      <c r="AT494" s="362"/>
      <c r="AU494" s="362"/>
      <c r="AV494" s="362"/>
      <c r="AW494" s="362"/>
      <c r="AX494" s="363"/>
    </row>
    <row r="495" spans="13:50" ht="20.100000000000001" customHeight="1">
      <c r="AF495" s="592" t="s">
        <v>2151</v>
      </c>
      <c r="AG495" s="591"/>
      <c r="AH495" s="586"/>
      <c r="AI495" s="586"/>
      <c r="AJ495" s="586"/>
      <c r="AK495" s="586"/>
      <c r="AL495" s="591" t="s">
        <v>2152</v>
      </c>
      <c r="AM495" s="586"/>
      <c r="AN495" s="586"/>
      <c r="AO495" s="586"/>
      <c r="AP495" s="586"/>
      <c r="AQ495" s="586"/>
      <c r="AR495" s="586"/>
      <c r="AS495" s="586"/>
      <c r="AT495" s="362"/>
      <c r="AU495" s="362"/>
      <c r="AV495" s="362"/>
      <c r="AW495" s="362"/>
      <c r="AX495" s="363"/>
    </row>
    <row r="496" spans="13:50" ht="20.100000000000001" customHeight="1">
      <c r="AF496" s="592" t="s">
        <v>2068</v>
      </c>
      <c r="AG496" s="591"/>
      <c r="AH496" s="586"/>
      <c r="AI496" s="586"/>
      <c r="AJ496" s="586"/>
      <c r="AK496" s="586"/>
      <c r="AL496" s="591" t="s">
        <v>2079</v>
      </c>
      <c r="AM496" s="586"/>
      <c r="AN496" s="586"/>
      <c r="AO496" s="586"/>
      <c r="AP496" s="586"/>
      <c r="AQ496" s="586"/>
      <c r="AR496" s="586"/>
      <c r="AS496" s="586"/>
      <c r="AT496" s="362"/>
      <c r="AU496" s="362"/>
      <c r="AV496" s="362"/>
      <c r="AW496" s="362"/>
      <c r="AX496" s="363"/>
    </row>
    <row r="497" spans="32:50" ht="20.100000000000001" customHeight="1">
      <c r="AF497" s="592" t="s">
        <v>2083</v>
      </c>
      <c r="AG497" s="591"/>
      <c r="AH497" s="586"/>
      <c r="AI497" s="586"/>
      <c r="AJ497" s="586"/>
      <c r="AK497" s="586"/>
      <c r="AL497" s="591" t="s">
        <v>2084</v>
      </c>
      <c r="AM497" s="586"/>
      <c r="AN497" s="586"/>
      <c r="AO497" s="586"/>
      <c r="AP497" s="586"/>
      <c r="AQ497" s="586"/>
      <c r="AR497" s="586"/>
      <c r="AS497" s="586"/>
      <c r="AT497" s="362"/>
      <c r="AU497" s="362"/>
      <c r="AV497" s="362"/>
      <c r="AW497" s="362"/>
      <c r="AX497" s="363"/>
    </row>
    <row r="498" spans="32:50" ht="20.100000000000001" customHeight="1">
      <c r="AF498" s="594" t="s">
        <v>2070</v>
      </c>
      <c r="AG498" s="591"/>
      <c r="AH498" s="586"/>
      <c r="AI498" s="586"/>
      <c r="AJ498" s="586"/>
      <c r="AK498" s="586"/>
      <c r="AL498" s="1545" t="s">
        <v>2080</v>
      </c>
      <c r="AM498" s="1545"/>
      <c r="AN498" s="1545"/>
      <c r="AO498" s="1545"/>
      <c r="AP498" s="586"/>
      <c r="AQ498" s="586"/>
      <c r="AR498" s="586"/>
      <c r="AS498" s="586"/>
      <c r="AT498" s="362"/>
      <c r="AU498" s="362"/>
      <c r="AV498" s="362"/>
      <c r="AW498" s="362"/>
      <c r="AX498" s="363"/>
    </row>
    <row r="499" spans="32:50" ht="20.100000000000001" customHeight="1">
      <c r="AF499" s="595" t="s">
        <v>2071</v>
      </c>
      <c r="AG499" s="632" t="s">
        <v>2072</v>
      </c>
      <c r="AH499" s="586"/>
      <c r="AI499" s="586"/>
      <c r="AJ499" s="586"/>
      <c r="AK499" s="586"/>
      <c r="AL499" s="1546" t="s">
        <v>2081</v>
      </c>
      <c r="AM499" s="1546"/>
      <c r="AN499" s="1546"/>
      <c r="AO499" s="1546"/>
      <c r="AP499" s="632" t="s">
        <v>2082</v>
      </c>
      <c r="AQ499" s="586"/>
      <c r="AR499" s="586"/>
      <c r="AS499" s="586"/>
      <c r="AT499" s="362"/>
      <c r="AU499" s="362"/>
      <c r="AV499" s="362"/>
      <c r="AW499" s="362"/>
      <c r="AX499" s="363"/>
    </row>
    <row r="500" spans="32:50" ht="20.100000000000001" customHeight="1">
      <c r="AF500" s="592" t="s">
        <v>2145</v>
      </c>
      <c r="AG500" s="591"/>
      <c r="AH500" s="586"/>
      <c r="AI500" s="586"/>
      <c r="AJ500" s="586"/>
      <c r="AK500" s="586"/>
      <c r="AL500" s="591"/>
      <c r="AM500" s="586"/>
      <c r="AN500" s="586"/>
      <c r="AO500" s="586"/>
      <c r="AP500" s="586"/>
      <c r="AQ500" s="586"/>
      <c r="AR500" s="586"/>
      <c r="AS500" s="586"/>
      <c r="AT500" s="362"/>
      <c r="AU500" s="362"/>
      <c r="AV500" s="362"/>
      <c r="AW500" s="362"/>
      <c r="AX500" s="363"/>
    </row>
    <row r="501" spans="32:50" ht="20.100000000000001" customHeight="1">
      <c r="AF501" s="588" t="s">
        <v>2153</v>
      </c>
      <c r="AG501" s="586"/>
      <c r="AH501" s="586"/>
      <c r="AI501" s="586"/>
      <c r="AJ501" s="586"/>
      <c r="AK501" s="586"/>
      <c r="AL501" s="586"/>
      <c r="AM501" s="586"/>
      <c r="AN501" s="586"/>
      <c r="AO501" s="586"/>
      <c r="AP501" s="586"/>
      <c r="AQ501" s="586"/>
      <c r="AR501" s="586"/>
      <c r="AS501" s="586"/>
      <c r="AT501" s="362"/>
      <c r="AU501" s="362"/>
      <c r="AV501" s="362"/>
      <c r="AW501" s="362"/>
      <c r="AX501" s="363"/>
    </row>
    <row r="502" spans="32:50" ht="20.100000000000001" customHeight="1">
      <c r="AF502" s="588"/>
      <c r="AG502" s="586"/>
      <c r="AH502" s="586"/>
      <c r="AI502" s="586"/>
      <c r="AJ502" s="586"/>
      <c r="AK502" s="586"/>
      <c r="AL502" s="586"/>
      <c r="AM502" s="586"/>
      <c r="AN502" s="586"/>
      <c r="AO502" s="586"/>
      <c r="AP502" s="586"/>
      <c r="AQ502" s="586"/>
      <c r="AR502" s="586"/>
      <c r="AS502" s="586"/>
      <c r="AT502" s="362"/>
      <c r="AU502" s="362"/>
      <c r="AV502" s="362"/>
      <c r="AW502" s="362"/>
      <c r="AX502" s="363"/>
    </row>
    <row r="503" spans="32:50" ht="20.100000000000001" customHeight="1">
      <c r="AF503" s="588" t="s">
        <v>2089</v>
      </c>
      <c r="AG503" s="586"/>
      <c r="AH503" s="586"/>
      <c r="AI503" s="586"/>
      <c r="AJ503" s="586"/>
      <c r="AK503" s="586"/>
      <c r="AL503" s="586"/>
      <c r="AM503" s="586"/>
      <c r="AN503" s="586"/>
      <c r="AO503" s="586"/>
      <c r="AP503" s="586"/>
      <c r="AQ503" s="586"/>
      <c r="AR503" s="586"/>
      <c r="AS503" s="586"/>
      <c r="AT503" s="362"/>
      <c r="AU503" s="362"/>
      <c r="AV503" s="362"/>
      <c r="AW503" s="362"/>
      <c r="AX503" s="363"/>
    </row>
    <row r="504" spans="32:50" ht="20.100000000000001" customHeight="1">
      <c r="AF504" s="585" t="s">
        <v>2154</v>
      </c>
      <c r="AG504" s="596"/>
      <c r="AH504" s="586"/>
      <c r="AI504" s="586"/>
      <c r="AJ504" s="586"/>
      <c r="AK504" s="586"/>
      <c r="AL504" s="586"/>
      <c r="AM504" s="586"/>
      <c r="AN504" s="586"/>
      <c r="AO504" s="586"/>
      <c r="AP504" s="586"/>
      <c r="AQ504" s="586"/>
      <c r="AR504" s="586"/>
      <c r="AS504" s="586"/>
      <c r="AT504" s="362"/>
      <c r="AU504" s="362"/>
      <c r="AV504" s="362"/>
      <c r="AW504" s="362"/>
      <c r="AX504" s="363"/>
    </row>
    <row r="505" spans="32:50" ht="20.100000000000001" customHeight="1">
      <c r="AF505" s="588" t="s">
        <v>2073</v>
      </c>
      <c r="AG505" s="596"/>
      <c r="AH505" s="586"/>
      <c r="AI505" s="586"/>
      <c r="AJ505" s="586"/>
      <c r="AK505" s="586"/>
      <c r="AL505" s="586"/>
      <c r="AM505" s="586"/>
      <c r="AN505" s="586"/>
      <c r="AO505" s="586"/>
      <c r="AP505" s="586"/>
      <c r="AQ505" s="586"/>
      <c r="AR505" s="586"/>
      <c r="AS505" s="586"/>
      <c r="AT505" s="362"/>
      <c r="AU505" s="362"/>
      <c r="AV505" s="362"/>
      <c r="AW505" s="362"/>
      <c r="AX505" s="363"/>
    </row>
    <row r="506" spans="32:50" ht="18" customHeight="1">
      <c r="AF506" s="597" t="s">
        <v>2090</v>
      </c>
      <c r="AG506" s="596"/>
      <c r="AH506" s="586"/>
      <c r="AI506" s="586"/>
      <c r="AJ506" s="586"/>
      <c r="AK506" s="586"/>
      <c r="AL506" s="586"/>
      <c r="AM506" s="586"/>
      <c r="AN506" s="586"/>
      <c r="AO506" s="586"/>
      <c r="AP506" s="586"/>
      <c r="AQ506" s="586"/>
      <c r="AR506" s="586"/>
      <c r="AS506" s="586"/>
      <c r="AT506" s="362"/>
      <c r="AU506" s="362"/>
      <c r="AV506" s="362"/>
      <c r="AW506" s="362"/>
      <c r="AX506" s="363"/>
    </row>
    <row r="507" spans="32:50" ht="20.100000000000001" customHeight="1">
      <c r="AF507" s="597" t="s">
        <v>2074</v>
      </c>
      <c r="AG507" s="586"/>
      <c r="AH507" s="586"/>
      <c r="AI507" s="586"/>
      <c r="AJ507" s="586"/>
      <c r="AK507" s="586"/>
      <c r="AL507" s="586"/>
      <c r="AM507" s="586"/>
      <c r="AN507" s="586"/>
      <c r="AO507" s="586"/>
      <c r="AP507" s="586"/>
      <c r="AQ507" s="586"/>
      <c r="AR507" s="586"/>
      <c r="AS507" s="586"/>
      <c r="AT507" s="362"/>
      <c r="AU507" s="362"/>
      <c r="AV507" s="362"/>
      <c r="AW507" s="362"/>
      <c r="AX507" s="363"/>
    </row>
    <row r="508" spans="32:50" ht="20.100000000000001" customHeight="1">
      <c r="AF508" s="597" t="s">
        <v>2075</v>
      </c>
      <c r="AG508" s="586"/>
      <c r="AH508" s="586"/>
      <c r="AI508" s="586"/>
      <c r="AJ508" s="586"/>
      <c r="AK508" s="586"/>
      <c r="AL508" s="586"/>
      <c r="AM508" s="586"/>
      <c r="AN508" s="586"/>
      <c r="AO508" s="586"/>
      <c r="AP508" s="586"/>
      <c r="AQ508" s="586"/>
      <c r="AR508" s="586"/>
      <c r="AS508" s="586"/>
      <c r="AT508" s="362"/>
      <c r="AU508" s="362"/>
      <c r="AV508" s="362"/>
      <c r="AW508" s="362"/>
      <c r="AX508" s="363"/>
    </row>
    <row r="509" spans="32:50" ht="20.100000000000001" customHeight="1">
      <c r="AF509" s="597" t="s">
        <v>2076</v>
      </c>
      <c r="AG509" s="586"/>
      <c r="AH509" s="586"/>
      <c r="AI509" s="586"/>
      <c r="AJ509" s="586"/>
      <c r="AK509" s="586"/>
      <c r="AL509" s="586"/>
      <c r="AM509" s="586"/>
      <c r="AN509" s="586"/>
      <c r="AO509" s="586"/>
      <c r="AP509" s="586"/>
      <c r="AQ509" s="586"/>
      <c r="AR509" s="586"/>
      <c r="AS509" s="586"/>
      <c r="AT509" s="362"/>
      <c r="AU509" s="362"/>
      <c r="AV509" s="362"/>
      <c r="AW509" s="362"/>
      <c r="AX509" s="363"/>
    </row>
    <row r="510" spans="32:50" ht="20.100000000000001" customHeight="1">
      <c r="AF510" s="597" t="s">
        <v>2077</v>
      </c>
      <c r="AG510" s="586"/>
      <c r="AH510" s="586"/>
      <c r="AI510" s="586"/>
      <c r="AJ510" s="586"/>
      <c r="AK510" s="586"/>
      <c r="AL510" s="586"/>
      <c r="AM510" s="586"/>
      <c r="AN510" s="586"/>
      <c r="AO510" s="586"/>
      <c r="AP510" s="586"/>
      <c r="AQ510" s="586"/>
      <c r="AR510" s="586"/>
      <c r="AS510" s="586"/>
      <c r="AT510" s="362"/>
      <c r="AU510" s="362"/>
      <c r="AV510" s="362"/>
      <c r="AW510" s="362"/>
      <c r="AX510" s="363"/>
    </row>
    <row r="511" spans="32:50" ht="20.100000000000001" customHeight="1">
      <c r="AF511" s="598" t="s">
        <v>2078</v>
      </c>
      <c r="AG511" s="599"/>
      <c r="AH511" s="599"/>
      <c r="AI511" s="599"/>
      <c r="AJ511" s="599"/>
      <c r="AK511" s="599"/>
      <c r="AL511" s="599"/>
      <c r="AM511" s="599"/>
      <c r="AN511" s="599"/>
      <c r="AO511" s="599"/>
      <c r="AP511" s="599"/>
      <c r="AQ511" s="599"/>
      <c r="AR511" s="599"/>
      <c r="AS511" s="599"/>
      <c r="AT511" s="365"/>
      <c r="AU511" s="365"/>
      <c r="AV511" s="365"/>
      <c r="AW511" s="365"/>
      <c r="AX511" s="366"/>
    </row>
    <row r="512" spans="32:50" ht="20.100000000000001" customHeight="1">
      <c r="AF512" s="573"/>
    </row>
    <row r="513" spans="11:93" ht="20.100000000000001" customHeight="1">
      <c r="AF513" s="141" t="s">
        <v>1131</v>
      </c>
      <c r="BQ513" s="235" t="s">
        <v>2190</v>
      </c>
    </row>
    <row r="514" spans="11:93" ht="20.100000000000001" customHeight="1" thickBot="1">
      <c r="AF514" s="168" t="s">
        <v>1099</v>
      </c>
      <c r="AG514" s="168"/>
      <c r="AH514" s="169" t="s">
        <v>620</v>
      </c>
      <c r="AI514" s="135" t="s">
        <v>898</v>
      </c>
      <c r="AJ514" s="135" t="s">
        <v>899</v>
      </c>
      <c r="AK514" s="181">
        <v>2021</v>
      </c>
      <c r="AL514" s="135">
        <v>2022</v>
      </c>
      <c r="AM514" s="135">
        <f>AL514+1</f>
        <v>2023</v>
      </c>
      <c r="AN514" s="135">
        <f t="shared" ref="AN514" si="458">AM514+1</f>
        <v>2024</v>
      </c>
      <c r="AO514" s="135">
        <f t="shared" ref="AO514" si="459">AN514+1</f>
        <v>2025</v>
      </c>
      <c r="AP514" s="135">
        <f t="shared" ref="AP514" si="460">AO514+1</f>
        <v>2026</v>
      </c>
      <c r="AQ514" s="135">
        <f t="shared" ref="AQ514" si="461">AP514+1</f>
        <v>2027</v>
      </c>
      <c r="AR514" s="135">
        <f t="shared" ref="AR514" si="462">AQ514+1</f>
        <v>2028</v>
      </c>
      <c r="AS514" s="135">
        <f t="shared" ref="AS514" si="463">AR514+1</f>
        <v>2029</v>
      </c>
      <c r="AT514" s="135">
        <f t="shared" ref="AT514" si="464">AS514+1</f>
        <v>2030</v>
      </c>
      <c r="AU514" s="135">
        <f t="shared" ref="AU514" si="465">AT514+1</f>
        <v>2031</v>
      </c>
      <c r="AV514" s="135">
        <f t="shared" ref="AV514" si="466">AU514+1</f>
        <v>2032</v>
      </c>
      <c r="AW514" s="135">
        <f t="shared" ref="AW514" si="467">AV514+1</f>
        <v>2033</v>
      </c>
      <c r="AX514" s="135">
        <f t="shared" ref="AX514" si="468">AW514+1</f>
        <v>2034</v>
      </c>
      <c r="AY514" s="135">
        <f t="shared" ref="AY514" si="469">AX514+1</f>
        <v>2035</v>
      </c>
      <c r="AZ514" s="135">
        <f t="shared" ref="AZ514" si="470">AY514+1</f>
        <v>2036</v>
      </c>
      <c r="BA514" s="135">
        <f t="shared" ref="BA514" si="471">AZ514+1</f>
        <v>2037</v>
      </c>
      <c r="BB514" s="135">
        <f t="shared" ref="BB514" si="472">BA514+1</f>
        <v>2038</v>
      </c>
      <c r="BC514" s="135">
        <f t="shared" ref="BC514" si="473">BB514+1</f>
        <v>2039</v>
      </c>
      <c r="BD514" s="135">
        <f t="shared" ref="BD514" si="474">BC514+1</f>
        <v>2040</v>
      </c>
      <c r="BE514" s="135">
        <f t="shared" ref="BE514" si="475">BD514+1</f>
        <v>2041</v>
      </c>
      <c r="BF514" s="135">
        <f t="shared" ref="BF514" si="476">BE514+1</f>
        <v>2042</v>
      </c>
      <c r="BG514" s="135">
        <f t="shared" ref="BG514" si="477">BF514+1</f>
        <v>2043</v>
      </c>
      <c r="BH514" s="135">
        <f t="shared" ref="BH514" si="478">BG514+1</f>
        <v>2044</v>
      </c>
      <c r="BI514" s="135">
        <f t="shared" ref="BI514" si="479">BH514+1</f>
        <v>2045</v>
      </c>
      <c r="BJ514" s="135">
        <f t="shared" ref="BJ514" si="480">BI514+1</f>
        <v>2046</v>
      </c>
      <c r="BK514" s="135">
        <f t="shared" ref="BK514" si="481">BJ514+1</f>
        <v>2047</v>
      </c>
      <c r="BL514" s="135">
        <f t="shared" ref="BL514" si="482">BK514+1</f>
        <v>2048</v>
      </c>
      <c r="BM514" s="135">
        <f t="shared" ref="BM514" si="483">BL514+1</f>
        <v>2049</v>
      </c>
      <c r="BN514" s="135">
        <f t="shared" ref="BN514" si="484">BM514+1</f>
        <v>2050</v>
      </c>
      <c r="BQ514" s="130" t="s">
        <v>2177</v>
      </c>
      <c r="CL514" s="386" t="s">
        <v>2091</v>
      </c>
      <c r="CM514" s="6" t="s">
        <v>2092</v>
      </c>
      <c r="CN514" s="6" t="s">
        <v>2172</v>
      </c>
      <c r="CO514" s="245" t="s">
        <v>1224</v>
      </c>
    </row>
    <row r="515" spans="11:93" ht="20.100000000000001" customHeight="1">
      <c r="AF515" s="1550" t="str">
        <f>INDEX('MENU OPTIONS'!B27:B30,A114,1)</f>
        <v>Apartment</v>
      </c>
      <c r="AG515" s="137" t="s">
        <v>578</v>
      </c>
      <c r="AH515" s="137" t="s">
        <v>1122</v>
      </c>
      <c r="AI515" s="165">
        <f>INDEX('DEFAULT DATA'!$YB$9:$AGQ$41,START!$C$3,(1+(($A$114-1)*8)+(($D$114-1)*32)))</f>
        <v>1746.2021292432976</v>
      </c>
      <c r="AJ515" s="165">
        <f>INDEX('DEFAULT DATA'!$YB$9:$AGQ$41,START!$C$3,(1+(($A$114-1)*8)+(($E$114-1)*32)))</f>
        <v>540.88034014281652</v>
      </c>
      <c r="AK515" s="178">
        <v>0</v>
      </c>
      <c r="AL515" s="157">
        <f t="shared" ref="AL515:BN515" si="485">IF(AND(AL$514&gt;($I$114+2020),AL$514&lt;($J$114+2022)),AK515+($C$114*(($AI$515-$AJ$515)+($F$114/100*$AJ$515))/($J$114-$I$114+1)*AL$5/1000000),AK515)</f>
        <v>0</v>
      </c>
      <c r="AM515" s="157">
        <f t="shared" si="485"/>
        <v>0</v>
      </c>
      <c r="AN515" s="157">
        <f t="shared" si="485"/>
        <v>0</v>
      </c>
      <c r="AO515" s="157">
        <f t="shared" si="485"/>
        <v>0</v>
      </c>
      <c r="AP515" s="157">
        <f t="shared" si="485"/>
        <v>0</v>
      </c>
      <c r="AQ515" s="157">
        <f t="shared" si="485"/>
        <v>0</v>
      </c>
      <c r="AR515" s="157">
        <f t="shared" si="485"/>
        <v>0</v>
      </c>
      <c r="AS515" s="157">
        <f t="shared" si="485"/>
        <v>0</v>
      </c>
      <c r="AT515" s="157">
        <f t="shared" si="485"/>
        <v>0</v>
      </c>
      <c r="AU515" s="157">
        <f t="shared" si="485"/>
        <v>0</v>
      </c>
      <c r="AV515" s="157">
        <f t="shared" si="485"/>
        <v>0</v>
      </c>
      <c r="AW515" s="157">
        <f t="shared" si="485"/>
        <v>0</v>
      </c>
      <c r="AX515" s="157">
        <f t="shared" si="485"/>
        <v>0</v>
      </c>
      <c r="AY515" s="157">
        <f t="shared" si="485"/>
        <v>0</v>
      </c>
      <c r="AZ515" s="157">
        <f t="shared" si="485"/>
        <v>0</v>
      </c>
      <c r="BA515" s="157">
        <f t="shared" si="485"/>
        <v>0</v>
      </c>
      <c r="BB515" s="157">
        <f t="shared" si="485"/>
        <v>0</v>
      </c>
      <c r="BC515" s="157">
        <f t="shared" si="485"/>
        <v>0</v>
      </c>
      <c r="BD515" s="157">
        <f t="shared" si="485"/>
        <v>0</v>
      </c>
      <c r="BE515" s="157">
        <f t="shared" si="485"/>
        <v>0</v>
      </c>
      <c r="BF515" s="157">
        <f t="shared" si="485"/>
        <v>0</v>
      </c>
      <c r="BG515" s="157">
        <f t="shared" si="485"/>
        <v>0</v>
      </c>
      <c r="BH515" s="157">
        <f t="shared" si="485"/>
        <v>0</v>
      </c>
      <c r="BI515" s="157">
        <f t="shared" si="485"/>
        <v>0</v>
      </c>
      <c r="BJ515" s="157">
        <f t="shared" si="485"/>
        <v>0</v>
      </c>
      <c r="BK515" s="157">
        <f t="shared" si="485"/>
        <v>0</v>
      </c>
      <c r="BL515" s="157">
        <f t="shared" si="485"/>
        <v>0</v>
      </c>
      <c r="BM515" s="157">
        <f t="shared" si="485"/>
        <v>0</v>
      </c>
      <c r="BN515" s="158">
        <f t="shared" si="485"/>
        <v>0</v>
      </c>
      <c r="BP515" s="367" t="s">
        <v>578</v>
      </c>
      <c r="BQ515" s="1494" t="str">
        <f>CONCATENATE("GHG_",BP515,"a = GHG_",BP515,"a-1 + (C113 * ",CL515," - ",CM515," + F113 / 100 * ",CM515," * ",CO515," / (",CN515,") / 1000000")</f>
        <v>GHG_Electricitya = GHG_Electricitya-1 + (C113 * BUI_COL(51+((A113-1)*8)+((D113-1)*32)) - BUI_COL(51+((A113-1)*8)+((E113-1)*32)) + F113 / 100 * BUI_COL(51+((A113-1)*8)+((E113-1)*32)) * GRID_ELECTRICITY_emission_factora (from row4) / (J113-I113+1) / 1000000</v>
      </c>
      <c r="BR515" s="1494"/>
      <c r="BS515" s="1494"/>
      <c r="BT515" s="1494"/>
      <c r="BU515" s="1494"/>
      <c r="BV515" s="1494"/>
      <c r="BW515" s="1494"/>
      <c r="BX515" s="1494"/>
      <c r="BY515" s="1494"/>
      <c r="BZ515" s="1494"/>
      <c r="CA515" s="1494"/>
      <c r="CB515" s="1494"/>
      <c r="CC515" s="1494"/>
      <c r="CD515" s="1494"/>
      <c r="CE515" s="1494"/>
      <c r="CF515" s="1494"/>
      <c r="CG515" s="1494"/>
      <c r="CH515" s="1494"/>
      <c r="CI515" s="1494"/>
      <c r="CJ515" s="1494"/>
      <c r="CK515" s="1494"/>
      <c r="CL515" s="579" t="s">
        <v>2093</v>
      </c>
      <c r="CM515" s="579" t="s">
        <v>2094</v>
      </c>
      <c r="CN515" s="579" t="s">
        <v>2175</v>
      </c>
      <c r="CO515" s="579" t="s">
        <v>1507</v>
      </c>
    </row>
    <row r="516" spans="11:93" ht="20.100000000000001" customHeight="1">
      <c r="AF516" s="1551"/>
      <c r="AG516" s="107" t="s">
        <v>862</v>
      </c>
      <c r="AH516" s="107">
        <f>INDEX('DEFAULT DATA'!$WD$9:$WJ$41,START!$C$3,1)</f>
        <v>202</v>
      </c>
      <c r="AI516" s="115">
        <f>INDEX('DEFAULT DATA'!$YB$9:$AGQ$41,START!$C$3,(2+(($A$114-1)*8)+(($D$114-1)*32)))</f>
        <v>3991.3191525561083</v>
      </c>
      <c r="AJ516" s="115">
        <f>INDEX('DEFAULT DATA'!$YB$9:$AGQ$41,START!$C$3,(2+(($A$114-1)*8)+(($E$114-1)*32)))</f>
        <v>0</v>
      </c>
      <c r="AK516" s="180">
        <v>0</v>
      </c>
      <c r="AL516" s="123">
        <f t="shared" ref="AL516:BN516" si="486">IF(AND(AL$514&gt;($I$114+2020),AL$514&lt;($J$114+2022)),AK516+($C$114*(($AI$516-$AJ$516)+($F$114/100*$AJ$516))/($J$114-$I$114+1)*$AH$516/1000000),AK516)</f>
        <v>0</v>
      </c>
      <c r="AM516" s="123">
        <f t="shared" si="486"/>
        <v>0</v>
      </c>
      <c r="AN516" s="123">
        <f t="shared" si="486"/>
        <v>0</v>
      </c>
      <c r="AO516" s="123">
        <f t="shared" si="486"/>
        <v>0</v>
      </c>
      <c r="AP516" s="123">
        <f t="shared" si="486"/>
        <v>0</v>
      </c>
      <c r="AQ516" s="123">
        <f t="shared" si="486"/>
        <v>0</v>
      </c>
      <c r="AR516" s="123">
        <f t="shared" si="486"/>
        <v>0</v>
      </c>
      <c r="AS516" s="123">
        <f t="shared" si="486"/>
        <v>0</v>
      </c>
      <c r="AT516" s="123">
        <f t="shared" si="486"/>
        <v>0</v>
      </c>
      <c r="AU516" s="123">
        <f t="shared" si="486"/>
        <v>0</v>
      </c>
      <c r="AV516" s="123">
        <f t="shared" si="486"/>
        <v>0</v>
      </c>
      <c r="AW516" s="123">
        <f t="shared" si="486"/>
        <v>0</v>
      </c>
      <c r="AX516" s="123">
        <f t="shared" si="486"/>
        <v>0</v>
      </c>
      <c r="AY516" s="123">
        <f t="shared" si="486"/>
        <v>0</v>
      </c>
      <c r="AZ516" s="123">
        <f t="shared" si="486"/>
        <v>0</v>
      </c>
      <c r="BA516" s="123">
        <f t="shared" si="486"/>
        <v>0</v>
      </c>
      <c r="BB516" s="123">
        <f t="shared" si="486"/>
        <v>0</v>
      </c>
      <c r="BC516" s="123">
        <f t="shared" si="486"/>
        <v>0</v>
      </c>
      <c r="BD516" s="123">
        <f t="shared" si="486"/>
        <v>0</v>
      </c>
      <c r="BE516" s="123">
        <f t="shared" si="486"/>
        <v>0</v>
      </c>
      <c r="BF516" s="123">
        <f t="shared" si="486"/>
        <v>0</v>
      </c>
      <c r="BG516" s="123">
        <f t="shared" si="486"/>
        <v>0</v>
      </c>
      <c r="BH516" s="123">
        <f t="shared" si="486"/>
        <v>0</v>
      </c>
      <c r="BI516" s="123">
        <f t="shared" si="486"/>
        <v>0</v>
      </c>
      <c r="BJ516" s="123">
        <f t="shared" si="486"/>
        <v>0</v>
      </c>
      <c r="BK516" s="123">
        <f t="shared" si="486"/>
        <v>0</v>
      </c>
      <c r="BL516" s="123">
        <f t="shared" si="486"/>
        <v>0</v>
      </c>
      <c r="BM516" s="123">
        <f t="shared" si="486"/>
        <v>0</v>
      </c>
      <c r="BN516" s="159">
        <f t="shared" si="486"/>
        <v>0</v>
      </c>
      <c r="BP516" s="367" t="s">
        <v>862</v>
      </c>
      <c r="BQ516" s="1494" t="str">
        <f t="shared" ref="BQ516:BQ522" si="487">CONCATENATE("GHG_",BP516,"a = GHG_",BP516,"a-1 + (C113 * ",CL516," - ",CM516," + F113 / 100 * ",CM516," * ",CO516," / (",CN516,") / 1000000")</f>
        <v>GHG_Gasa = GHG_Gasa-1 + (C113 * BUI_COL(52+((A113-1)*8)+((D113-1)*32)) - BUI_COL(52+((A113-1)*8)+((E113-1)*32)) + F113 / 100 * BUI_COL(52+((A113-1)*8)+((E113-1)*32)) * BUI_COL1 / (J113-I113+1) / 1000000</v>
      </c>
      <c r="BR516" s="1494"/>
      <c r="BS516" s="1494"/>
      <c r="BT516" s="1494"/>
      <c r="BU516" s="1494"/>
      <c r="BV516" s="1494"/>
      <c r="BW516" s="1494"/>
      <c r="BX516" s="1494"/>
      <c r="BY516" s="1494"/>
      <c r="BZ516" s="1494"/>
      <c r="CA516" s="1494"/>
      <c r="CB516" s="1494"/>
      <c r="CC516" s="1494"/>
      <c r="CD516" s="1494"/>
      <c r="CE516" s="1494"/>
      <c r="CF516" s="1494"/>
      <c r="CG516" s="1494"/>
      <c r="CH516" s="1494"/>
      <c r="CI516" s="1494"/>
      <c r="CJ516" s="1494"/>
      <c r="CK516" s="1494"/>
      <c r="CL516" s="579" t="s">
        <v>2095</v>
      </c>
      <c r="CM516" s="579" t="s">
        <v>2102</v>
      </c>
      <c r="CN516" s="579" t="s">
        <v>2175</v>
      </c>
      <c r="CO516" s="579" t="s">
        <v>886</v>
      </c>
    </row>
    <row r="517" spans="11:93" ht="20.100000000000001" customHeight="1">
      <c r="AF517" s="1551"/>
      <c r="AG517" s="107" t="s">
        <v>863</v>
      </c>
      <c r="AH517" s="107">
        <f>INDEX('DEFAULT DATA'!$WD$9:$WJ$41,START!$C$3,2)</f>
        <v>267</v>
      </c>
      <c r="AI517" s="115">
        <f>INDEX('DEFAULT DATA'!$YB$9:$AGQ$41,START!$C$3,(3+(($A$114-1)*8)+(($D$114-1)*32)))</f>
        <v>498.91489406951354</v>
      </c>
      <c r="AJ517" s="115">
        <f>INDEX('DEFAULT DATA'!$YB$9:$AGQ$41,START!$C$3,(3+(($A$114-1)*8)+(($E$114-1)*32)))</f>
        <v>0</v>
      </c>
      <c r="AK517" s="180">
        <v>0</v>
      </c>
      <c r="AL517" s="123">
        <f t="shared" ref="AL517:BN517" si="488">IF(AND(AL$514&gt;($I$114+2020),AL$514&lt;($J$114+2022)),AK517+($C$114*(($AI$517-$AJ$517)+($F$114/100*$AJ$517))/($J$114-$I$114+1)*$AH$517/1000000),AK517)</f>
        <v>0</v>
      </c>
      <c r="AM517" s="123">
        <f t="shared" si="488"/>
        <v>0</v>
      </c>
      <c r="AN517" s="123">
        <f t="shared" si="488"/>
        <v>0</v>
      </c>
      <c r="AO517" s="123">
        <f t="shared" si="488"/>
        <v>0</v>
      </c>
      <c r="AP517" s="123">
        <f t="shared" si="488"/>
        <v>0</v>
      </c>
      <c r="AQ517" s="123">
        <f t="shared" si="488"/>
        <v>0</v>
      </c>
      <c r="AR517" s="123">
        <f t="shared" si="488"/>
        <v>0</v>
      </c>
      <c r="AS517" s="123">
        <f t="shared" si="488"/>
        <v>0</v>
      </c>
      <c r="AT517" s="123">
        <f t="shared" si="488"/>
        <v>0</v>
      </c>
      <c r="AU517" s="123">
        <f t="shared" si="488"/>
        <v>0</v>
      </c>
      <c r="AV517" s="123">
        <f t="shared" si="488"/>
        <v>0</v>
      </c>
      <c r="AW517" s="123">
        <f t="shared" si="488"/>
        <v>0</v>
      </c>
      <c r="AX517" s="123">
        <f t="shared" si="488"/>
        <v>0</v>
      </c>
      <c r="AY517" s="123">
        <f t="shared" si="488"/>
        <v>0</v>
      </c>
      <c r="AZ517" s="123">
        <f t="shared" si="488"/>
        <v>0</v>
      </c>
      <c r="BA517" s="123">
        <f t="shared" si="488"/>
        <v>0</v>
      </c>
      <c r="BB517" s="123">
        <f t="shared" si="488"/>
        <v>0</v>
      </c>
      <c r="BC517" s="123">
        <f t="shared" si="488"/>
        <v>0</v>
      </c>
      <c r="BD517" s="123">
        <f t="shared" si="488"/>
        <v>0</v>
      </c>
      <c r="BE517" s="123">
        <f t="shared" si="488"/>
        <v>0</v>
      </c>
      <c r="BF517" s="123">
        <f t="shared" si="488"/>
        <v>0</v>
      </c>
      <c r="BG517" s="123">
        <f t="shared" si="488"/>
        <v>0</v>
      </c>
      <c r="BH517" s="123">
        <f t="shared" si="488"/>
        <v>0</v>
      </c>
      <c r="BI517" s="123">
        <f t="shared" si="488"/>
        <v>0</v>
      </c>
      <c r="BJ517" s="123">
        <f t="shared" si="488"/>
        <v>0</v>
      </c>
      <c r="BK517" s="123">
        <f t="shared" si="488"/>
        <v>0</v>
      </c>
      <c r="BL517" s="123">
        <f t="shared" si="488"/>
        <v>0</v>
      </c>
      <c r="BM517" s="123">
        <f t="shared" si="488"/>
        <v>0</v>
      </c>
      <c r="BN517" s="159">
        <f t="shared" si="488"/>
        <v>0</v>
      </c>
      <c r="BP517" s="367" t="s">
        <v>863</v>
      </c>
      <c r="BQ517" s="1494" t="str">
        <f t="shared" si="487"/>
        <v>GHG_Oila = GHG_Oila-1 + (C113 * BUI_COL(53+((A113-1)*8)+((D113-1)*32)) - BUI_COL(53+((A113-1)*8)+((E113-1)*32)) + F113 / 100 * BUI_COL(53+((A113-1)*8)+((E113-1)*32)) * BUI_COL2 / (J113-I113+1) / 1000000</v>
      </c>
      <c r="BR517" s="1494"/>
      <c r="BS517" s="1494"/>
      <c r="BT517" s="1494"/>
      <c r="BU517" s="1494"/>
      <c r="BV517" s="1494"/>
      <c r="BW517" s="1494"/>
      <c r="BX517" s="1494"/>
      <c r="BY517" s="1494"/>
      <c r="BZ517" s="1494"/>
      <c r="CA517" s="1494"/>
      <c r="CB517" s="1494"/>
      <c r="CC517" s="1494"/>
      <c r="CD517" s="1494"/>
      <c r="CE517" s="1494"/>
      <c r="CF517" s="1494"/>
      <c r="CG517" s="1494"/>
      <c r="CH517" s="1494"/>
      <c r="CI517" s="1494"/>
      <c r="CJ517" s="1494"/>
      <c r="CK517" s="1494"/>
      <c r="CL517" s="579" t="s">
        <v>2096</v>
      </c>
      <c r="CM517" s="579" t="s">
        <v>2103</v>
      </c>
      <c r="CN517" s="579" t="s">
        <v>2175</v>
      </c>
      <c r="CO517" s="579" t="s">
        <v>1247</v>
      </c>
    </row>
    <row r="518" spans="11:93" ht="20.100000000000001" customHeight="1">
      <c r="K518" s="182"/>
      <c r="L518" s="182"/>
      <c r="M518" s="182"/>
      <c r="N518" s="182"/>
      <c r="O518" s="182"/>
      <c r="P518" s="182"/>
      <c r="Q518" s="182"/>
      <c r="R518" s="182"/>
      <c r="S518" s="182"/>
      <c r="T518" s="182"/>
      <c r="U518" s="182"/>
      <c r="V518" s="182"/>
      <c r="W518" s="182"/>
      <c r="X518" s="182"/>
      <c r="Y518" s="182"/>
      <c r="Z518" s="182"/>
      <c r="AA518" s="182"/>
      <c r="AB518" s="182"/>
      <c r="AC518" s="182"/>
      <c r="AD518" s="182"/>
      <c r="AE518" s="182"/>
      <c r="AF518" s="1551"/>
      <c r="AG518" s="107" t="s">
        <v>864</v>
      </c>
      <c r="AH518" s="107">
        <f>INDEX('DEFAULT DATA'!$WD$9:$WJ$41,START!$C$3,3)</f>
        <v>354</v>
      </c>
      <c r="AI518" s="115">
        <f>INDEX('DEFAULT DATA'!$YB$9:$AGQ$41,START!$C$3,(4+(($A$114-1)*8)+(($D$114-1)*32)))</f>
        <v>0</v>
      </c>
      <c r="AJ518" s="115">
        <f>INDEX('DEFAULT DATA'!$YB$9:$AGQ$41,START!$C$3,(4+(($A$114-1)*8)+(($E$114-1)*32)))</f>
        <v>0</v>
      </c>
      <c r="AK518" s="180">
        <v>0</v>
      </c>
      <c r="AL518" s="123">
        <f t="shared" ref="AL518:BN518" si="489">IF(AND(AL$514&gt;($I$114+2020),AL$514&lt;($J$114+2022)),AK518+($C$114*(($AI$518-$AJ$518)+($F$114/100*$AJ$518))/($J$114-$I$114+1)*$AH$518/1000000),AK518)</f>
        <v>0</v>
      </c>
      <c r="AM518" s="123">
        <f t="shared" si="489"/>
        <v>0</v>
      </c>
      <c r="AN518" s="123">
        <f t="shared" si="489"/>
        <v>0</v>
      </c>
      <c r="AO518" s="123">
        <f t="shared" si="489"/>
        <v>0</v>
      </c>
      <c r="AP518" s="123">
        <f t="shared" si="489"/>
        <v>0</v>
      </c>
      <c r="AQ518" s="123">
        <f t="shared" si="489"/>
        <v>0</v>
      </c>
      <c r="AR518" s="123">
        <f t="shared" si="489"/>
        <v>0</v>
      </c>
      <c r="AS518" s="123">
        <f t="shared" si="489"/>
        <v>0</v>
      </c>
      <c r="AT518" s="123">
        <f t="shared" si="489"/>
        <v>0</v>
      </c>
      <c r="AU518" s="123">
        <f t="shared" si="489"/>
        <v>0</v>
      </c>
      <c r="AV518" s="123">
        <f t="shared" si="489"/>
        <v>0</v>
      </c>
      <c r="AW518" s="123">
        <f t="shared" si="489"/>
        <v>0</v>
      </c>
      <c r="AX518" s="123">
        <f t="shared" si="489"/>
        <v>0</v>
      </c>
      <c r="AY518" s="123">
        <f t="shared" si="489"/>
        <v>0</v>
      </c>
      <c r="AZ518" s="123">
        <f t="shared" si="489"/>
        <v>0</v>
      </c>
      <c r="BA518" s="123">
        <f t="shared" si="489"/>
        <v>0</v>
      </c>
      <c r="BB518" s="123">
        <f t="shared" si="489"/>
        <v>0</v>
      </c>
      <c r="BC518" s="123">
        <f t="shared" si="489"/>
        <v>0</v>
      </c>
      <c r="BD518" s="123">
        <f t="shared" si="489"/>
        <v>0</v>
      </c>
      <c r="BE518" s="123">
        <f t="shared" si="489"/>
        <v>0</v>
      </c>
      <c r="BF518" s="123">
        <f t="shared" si="489"/>
        <v>0</v>
      </c>
      <c r="BG518" s="123">
        <f t="shared" si="489"/>
        <v>0</v>
      </c>
      <c r="BH518" s="123">
        <f t="shared" si="489"/>
        <v>0</v>
      </c>
      <c r="BI518" s="123">
        <f t="shared" si="489"/>
        <v>0</v>
      </c>
      <c r="BJ518" s="123">
        <f t="shared" si="489"/>
        <v>0</v>
      </c>
      <c r="BK518" s="123">
        <f t="shared" si="489"/>
        <v>0</v>
      </c>
      <c r="BL518" s="123">
        <f t="shared" si="489"/>
        <v>0</v>
      </c>
      <c r="BM518" s="123">
        <f t="shared" si="489"/>
        <v>0</v>
      </c>
      <c r="BN518" s="159">
        <f t="shared" si="489"/>
        <v>0</v>
      </c>
      <c r="BP518" s="367" t="s">
        <v>864</v>
      </c>
      <c r="BQ518" s="1494" t="str">
        <f t="shared" si="487"/>
        <v>GHG_Coala = GHG_Coala-1 + (C113 * BUI_COL(54+((A113-1)*8)+((D113-1)*32)) - BUI_COL(54+((A113-1)*8)+((E113-1)*32)) + F113 / 100 * BUI_COL(54+((A113-1)*8)+((E113-1)*32)) * BUI_COL3 / (J113-I113+1) / 1000000</v>
      </c>
      <c r="BR518" s="1494"/>
      <c r="BS518" s="1494"/>
      <c r="BT518" s="1494"/>
      <c r="BU518" s="1494"/>
      <c r="BV518" s="1494"/>
      <c r="BW518" s="1494"/>
      <c r="BX518" s="1494"/>
      <c r="BY518" s="1494"/>
      <c r="BZ518" s="1494"/>
      <c r="CA518" s="1494"/>
      <c r="CB518" s="1494"/>
      <c r="CC518" s="1494"/>
      <c r="CD518" s="1494"/>
      <c r="CE518" s="1494"/>
      <c r="CF518" s="1494"/>
      <c r="CG518" s="1494"/>
      <c r="CH518" s="1494"/>
      <c r="CI518" s="1494"/>
      <c r="CJ518" s="1494"/>
      <c r="CK518" s="1494"/>
      <c r="CL518" s="579" t="s">
        <v>2097</v>
      </c>
      <c r="CM518" s="579" t="s">
        <v>2104</v>
      </c>
      <c r="CN518" s="579" t="s">
        <v>2175</v>
      </c>
      <c r="CO518" s="579" t="s">
        <v>1248</v>
      </c>
    </row>
    <row r="519" spans="11:93" ht="20.100000000000001" customHeight="1">
      <c r="AF519" s="1551"/>
      <c r="AG519" s="107" t="s">
        <v>865</v>
      </c>
      <c r="AH519" s="107">
        <f>INDEX('DEFAULT DATA'!$WD$9:$WJ$41,START!$C$3,4)</f>
        <v>382</v>
      </c>
      <c r="AI519" s="115">
        <f>INDEX('DEFAULT DATA'!$YB$9:$AGQ$41,START!$C$3,(5+(($A$114-1)*8)+(($D$114-1)*32)))</f>
        <v>0</v>
      </c>
      <c r="AJ519" s="115">
        <f>INDEX('DEFAULT DATA'!$YB$9:$AGQ$41,START!$C$3,(5+(($A$114-1)*8)+(($E$114-1)*32)))</f>
        <v>0</v>
      </c>
      <c r="AK519" s="180">
        <v>0</v>
      </c>
      <c r="AL519" s="123">
        <f t="shared" ref="AL519:BN519" si="490">IF(AND(AL$514&gt;($I$114+2020),AL$514&lt;($J$114+2022)),AK519+($C$114*(($AI$519-$AJ$519)+($F$114/100*$AJ$519))/($J$114-$I$114+1)*$AH$519/1000000),AK519)</f>
        <v>0</v>
      </c>
      <c r="AM519" s="123">
        <f t="shared" si="490"/>
        <v>0</v>
      </c>
      <c r="AN519" s="123">
        <f t="shared" si="490"/>
        <v>0</v>
      </c>
      <c r="AO519" s="123">
        <f t="shared" si="490"/>
        <v>0</v>
      </c>
      <c r="AP519" s="123">
        <f t="shared" si="490"/>
        <v>0</v>
      </c>
      <c r="AQ519" s="123">
        <f t="shared" si="490"/>
        <v>0</v>
      </c>
      <c r="AR519" s="123">
        <f t="shared" si="490"/>
        <v>0</v>
      </c>
      <c r="AS519" s="123">
        <f t="shared" si="490"/>
        <v>0</v>
      </c>
      <c r="AT519" s="123">
        <f t="shared" si="490"/>
        <v>0</v>
      </c>
      <c r="AU519" s="123">
        <f t="shared" si="490"/>
        <v>0</v>
      </c>
      <c r="AV519" s="123">
        <f t="shared" si="490"/>
        <v>0</v>
      </c>
      <c r="AW519" s="123">
        <f t="shared" si="490"/>
        <v>0</v>
      </c>
      <c r="AX519" s="123">
        <f t="shared" si="490"/>
        <v>0</v>
      </c>
      <c r="AY519" s="123">
        <f t="shared" si="490"/>
        <v>0</v>
      </c>
      <c r="AZ519" s="123">
        <f t="shared" si="490"/>
        <v>0</v>
      </c>
      <c r="BA519" s="123">
        <f t="shared" si="490"/>
        <v>0</v>
      </c>
      <c r="BB519" s="123">
        <f t="shared" si="490"/>
        <v>0</v>
      </c>
      <c r="BC519" s="123">
        <f t="shared" si="490"/>
        <v>0</v>
      </c>
      <c r="BD519" s="123">
        <f t="shared" si="490"/>
        <v>0</v>
      </c>
      <c r="BE519" s="123">
        <f t="shared" si="490"/>
        <v>0</v>
      </c>
      <c r="BF519" s="123">
        <f t="shared" si="490"/>
        <v>0</v>
      </c>
      <c r="BG519" s="123">
        <f t="shared" si="490"/>
        <v>0</v>
      </c>
      <c r="BH519" s="123">
        <f t="shared" si="490"/>
        <v>0</v>
      </c>
      <c r="BI519" s="123">
        <f t="shared" si="490"/>
        <v>0</v>
      </c>
      <c r="BJ519" s="123">
        <f t="shared" si="490"/>
        <v>0</v>
      </c>
      <c r="BK519" s="123">
        <f t="shared" si="490"/>
        <v>0</v>
      </c>
      <c r="BL519" s="123">
        <f t="shared" si="490"/>
        <v>0</v>
      </c>
      <c r="BM519" s="123">
        <f t="shared" si="490"/>
        <v>0</v>
      </c>
      <c r="BN519" s="159">
        <f t="shared" si="490"/>
        <v>0</v>
      </c>
      <c r="BP519" s="367" t="s">
        <v>865</v>
      </c>
      <c r="BQ519" s="1494" t="str">
        <f t="shared" si="487"/>
        <v>GHG_Peata = GHG_Peata-1 + (C113 * BUI_COL(55+((A113-1)*8)+((D113-1)*32)) - BUI_COL(55+((A113-1)*8)+((E113-1)*32)) + F113 / 100 * BUI_COL(55+((A113-1)*8)+((E113-1)*32)) * BUI_COL4 / (J113-I113+1) / 1000000</v>
      </c>
      <c r="BR519" s="1494"/>
      <c r="BS519" s="1494"/>
      <c r="BT519" s="1494"/>
      <c r="BU519" s="1494"/>
      <c r="BV519" s="1494"/>
      <c r="BW519" s="1494"/>
      <c r="BX519" s="1494"/>
      <c r="BY519" s="1494"/>
      <c r="BZ519" s="1494"/>
      <c r="CA519" s="1494"/>
      <c r="CB519" s="1494"/>
      <c r="CC519" s="1494"/>
      <c r="CD519" s="1494"/>
      <c r="CE519" s="1494"/>
      <c r="CF519" s="1494"/>
      <c r="CG519" s="1494"/>
      <c r="CH519" s="1494"/>
      <c r="CI519" s="1494"/>
      <c r="CJ519" s="1494"/>
      <c r="CK519" s="1494"/>
      <c r="CL519" s="579" t="s">
        <v>2098</v>
      </c>
      <c r="CM519" s="579" t="s">
        <v>2105</v>
      </c>
      <c r="CN519" s="579" t="s">
        <v>2175</v>
      </c>
      <c r="CO519" s="579" t="s">
        <v>1249</v>
      </c>
    </row>
    <row r="520" spans="11:93" ht="20.100000000000001" customHeight="1">
      <c r="AF520" s="1551"/>
      <c r="AG520" s="107" t="s">
        <v>866</v>
      </c>
      <c r="AH520" s="107">
        <f>INDEX('DEFAULT DATA'!$WD$9:$WJ$41,START!$C$3,5)</f>
        <v>403</v>
      </c>
      <c r="AI520" s="115">
        <f>INDEX('DEFAULT DATA'!$YB$9:$AGQ$41,START!$C$3,(6+(($A$114-1)*8)+(($D$114-1)*32)))</f>
        <v>0</v>
      </c>
      <c r="AJ520" s="115">
        <f>INDEX('DEFAULT DATA'!$YB$9:$AGQ$41,START!$C$3,(6+(($A$114-1)*8)+(($E$114-1)*32)))</f>
        <v>0</v>
      </c>
      <c r="AK520" s="180">
        <v>0</v>
      </c>
      <c r="AL520" s="123">
        <f t="shared" ref="AL520:BN520" si="491">IF(AND(AL$514&gt;($I$114+2020),AL$514&lt;($J$114+2022)),AK520+($C$114*(($AI$520-$AJ$520)+($F$114/100*$AJ$520))/($J$114-$I$114+1)*$AH$520/1000000),AK520)</f>
        <v>0</v>
      </c>
      <c r="AM520" s="123">
        <f t="shared" si="491"/>
        <v>0</v>
      </c>
      <c r="AN520" s="123">
        <f t="shared" si="491"/>
        <v>0</v>
      </c>
      <c r="AO520" s="123">
        <f t="shared" si="491"/>
        <v>0</v>
      </c>
      <c r="AP520" s="123">
        <f t="shared" si="491"/>
        <v>0</v>
      </c>
      <c r="AQ520" s="123">
        <f t="shared" si="491"/>
        <v>0</v>
      </c>
      <c r="AR520" s="123">
        <f t="shared" si="491"/>
        <v>0</v>
      </c>
      <c r="AS520" s="123">
        <f t="shared" si="491"/>
        <v>0</v>
      </c>
      <c r="AT520" s="123">
        <f t="shared" si="491"/>
        <v>0</v>
      </c>
      <c r="AU520" s="123">
        <f t="shared" si="491"/>
        <v>0</v>
      </c>
      <c r="AV520" s="123">
        <f t="shared" si="491"/>
        <v>0</v>
      </c>
      <c r="AW520" s="123">
        <f t="shared" si="491"/>
        <v>0</v>
      </c>
      <c r="AX520" s="123">
        <f t="shared" si="491"/>
        <v>0</v>
      </c>
      <c r="AY520" s="123">
        <f t="shared" si="491"/>
        <v>0</v>
      </c>
      <c r="AZ520" s="123">
        <f t="shared" si="491"/>
        <v>0</v>
      </c>
      <c r="BA520" s="123">
        <f t="shared" si="491"/>
        <v>0</v>
      </c>
      <c r="BB520" s="123">
        <f t="shared" si="491"/>
        <v>0</v>
      </c>
      <c r="BC520" s="123">
        <f t="shared" si="491"/>
        <v>0</v>
      </c>
      <c r="BD520" s="123">
        <f t="shared" si="491"/>
        <v>0</v>
      </c>
      <c r="BE520" s="123">
        <f t="shared" si="491"/>
        <v>0</v>
      </c>
      <c r="BF520" s="123">
        <f t="shared" si="491"/>
        <v>0</v>
      </c>
      <c r="BG520" s="123">
        <f t="shared" si="491"/>
        <v>0</v>
      </c>
      <c r="BH520" s="123">
        <f t="shared" si="491"/>
        <v>0</v>
      </c>
      <c r="BI520" s="123">
        <f t="shared" si="491"/>
        <v>0</v>
      </c>
      <c r="BJ520" s="123">
        <f t="shared" si="491"/>
        <v>0</v>
      </c>
      <c r="BK520" s="123">
        <f t="shared" si="491"/>
        <v>0</v>
      </c>
      <c r="BL520" s="123">
        <f t="shared" si="491"/>
        <v>0</v>
      </c>
      <c r="BM520" s="123">
        <f t="shared" si="491"/>
        <v>0</v>
      </c>
      <c r="BN520" s="159">
        <f t="shared" si="491"/>
        <v>0</v>
      </c>
      <c r="BP520" s="367" t="s">
        <v>866</v>
      </c>
      <c r="BQ520" s="1494" t="str">
        <f t="shared" si="487"/>
        <v>GHG_Wooda = GHG_Wooda-1 + (C113 * BUI_COL(56+((A113-1)*8)+((D113-1)*32)) - BUI_COL(56+((A113-1)*8)+((E113-1)*32)) + F113 / 100 * BUI_COL(56+((A113-1)*8)+((E113-1)*32)) * BUI_COL5 / (J113-I113+1) / 1000000</v>
      </c>
      <c r="BR520" s="1494"/>
      <c r="BS520" s="1494"/>
      <c r="BT520" s="1494"/>
      <c r="BU520" s="1494"/>
      <c r="BV520" s="1494"/>
      <c r="BW520" s="1494"/>
      <c r="BX520" s="1494"/>
      <c r="BY520" s="1494"/>
      <c r="BZ520" s="1494"/>
      <c r="CA520" s="1494"/>
      <c r="CB520" s="1494"/>
      <c r="CC520" s="1494"/>
      <c r="CD520" s="1494"/>
      <c r="CE520" s="1494"/>
      <c r="CF520" s="1494"/>
      <c r="CG520" s="1494"/>
      <c r="CH520" s="1494"/>
      <c r="CI520" s="1494"/>
      <c r="CJ520" s="1494"/>
      <c r="CK520" s="1494"/>
      <c r="CL520" s="579" t="s">
        <v>2099</v>
      </c>
      <c r="CM520" s="579" t="s">
        <v>2106</v>
      </c>
      <c r="CN520" s="579" t="s">
        <v>2175</v>
      </c>
      <c r="CO520" s="579" t="s">
        <v>1250</v>
      </c>
    </row>
    <row r="521" spans="11:93" ht="20.100000000000001" customHeight="1">
      <c r="AF521" s="1551"/>
      <c r="AG521" s="107" t="s">
        <v>867</v>
      </c>
      <c r="AH521" s="107">
        <f>INDEX('DEFAULT DATA'!$WD$9:$WJ$41,START!$C$3,6)</f>
        <v>0</v>
      </c>
      <c r="AI521" s="115">
        <f>INDEX('DEFAULT DATA'!$YB$9:$AGQ$41,START!$C$3,(7+(($A$114-1)*8)+(($D$114-1)*32)))</f>
        <v>4989.1489406951359</v>
      </c>
      <c r="AJ521" s="115">
        <f>INDEX('DEFAULT DATA'!$YB$9:$AGQ$41,START!$C$3,(7+(($A$114-1)*8)+(($E$114-1)*32)))</f>
        <v>1545.372400408047</v>
      </c>
      <c r="AK521" s="180">
        <v>0</v>
      </c>
      <c r="AL521" s="123">
        <f t="shared" ref="AL521:BN521" si="492">IF(AND(AL$514&gt;($I$114+2020),AL$514&lt;($J$114+2022)),AK521+($C$114*(($AI$521-$AJ$521)+($F$114/100*$AJ$521))/($J$114-$I$114+1)*$AH$521/1000000),AK521)</f>
        <v>0</v>
      </c>
      <c r="AM521" s="123">
        <f t="shared" si="492"/>
        <v>0</v>
      </c>
      <c r="AN521" s="123">
        <f t="shared" si="492"/>
        <v>0</v>
      </c>
      <c r="AO521" s="123">
        <f t="shared" si="492"/>
        <v>0</v>
      </c>
      <c r="AP521" s="123">
        <f t="shared" si="492"/>
        <v>0</v>
      </c>
      <c r="AQ521" s="123">
        <f t="shared" si="492"/>
        <v>0</v>
      </c>
      <c r="AR521" s="123">
        <f t="shared" si="492"/>
        <v>0</v>
      </c>
      <c r="AS521" s="123">
        <f t="shared" si="492"/>
        <v>0</v>
      </c>
      <c r="AT521" s="123">
        <f t="shared" si="492"/>
        <v>0</v>
      </c>
      <c r="AU521" s="123">
        <f t="shared" si="492"/>
        <v>0</v>
      </c>
      <c r="AV521" s="123">
        <f t="shared" si="492"/>
        <v>0</v>
      </c>
      <c r="AW521" s="123">
        <f t="shared" si="492"/>
        <v>0</v>
      </c>
      <c r="AX521" s="123">
        <f t="shared" si="492"/>
        <v>0</v>
      </c>
      <c r="AY521" s="123">
        <f t="shared" si="492"/>
        <v>0</v>
      </c>
      <c r="AZ521" s="123">
        <f t="shared" si="492"/>
        <v>0</v>
      </c>
      <c r="BA521" s="123">
        <f t="shared" si="492"/>
        <v>0</v>
      </c>
      <c r="BB521" s="123">
        <f t="shared" si="492"/>
        <v>0</v>
      </c>
      <c r="BC521" s="123">
        <f t="shared" si="492"/>
        <v>0</v>
      </c>
      <c r="BD521" s="123">
        <f t="shared" si="492"/>
        <v>0</v>
      </c>
      <c r="BE521" s="123">
        <f t="shared" si="492"/>
        <v>0</v>
      </c>
      <c r="BF521" s="123">
        <f t="shared" si="492"/>
        <v>0</v>
      </c>
      <c r="BG521" s="123">
        <f t="shared" si="492"/>
        <v>0</v>
      </c>
      <c r="BH521" s="123">
        <f t="shared" si="492"/>
        <v>0</v>
      </c>
      <c r="BI521" s="123">
        <f t="shared" si="492"/>
        <v>0</v>
      </c>
      <c r="BJ521" s="123">
        <f t="shared" si="492"/>
        <v>0</v>
      </c>
      <c r="BK521" s="123">
        <f t="shared" si="492"/>
        <v>0</v>
      </c>
      <c r="BL521" s="123">
        <f t="shared" si="492"/>
        <v>0</v>
      </c>
      <c r="BM521" s="123">
        <f t="shared" si="492"/>
        <v>0</v>
      </c>
      <c r="BN521" s="159">
        <f t="shared" si="492"/>
        <v>0</v>
      </c>
      <c r="BP521" s="367" t="s">
        <v>867</v>
      </c>
      <c r="BQ521" s="1494" t="str">
        <f t="shared" si="487"/>
        <v>GHG_Renewablea = GHG_Renewablea-1 + (C113 * BUI_COL(57+((A113-1)*8)+((D113-1)*32)) - BUI_COL(57+((A113-1)*8)+((E113-1)*32)) + F113 / 100 * BUI_COL(57+((A113-1)*8)+((E113-1)*32)) * BUI_COL6 / (J113-I113+1) / 1000000</v>
      </c>
      <c r="BR521" s="1494"/>
      <c r="BS521" s="1494"/>
      <c r="BT521" s="1494"/>
      <c r="BU521" s="1494"/>
      <c r="BV521" s="1494"/>
      <c r="BW521" s="1494"/>
      <c r="BX521" s="1494"/>
      <c r="BY521" s="1494"/>
      <c r="BZ521" s="1494"/>
      <c r="CA521" s="1494"/>
      <c r="CB521" s="1494"/>
      <c r="CC521" s="1494"/>
      <c r="CD521" s="1494"/>
      <c r="CE521" s="1494"/>
      <c r="CF521" s="1494"/>
      <c r="CG521" s="1494"/>
      <c r="CH521" s="1494"/>
      <c r="CI521" s="1494"/>
      <c r="CJ521" s="1494"/>
      <c r="CK521" s="1494"/>
      <c r="CL521" s="579" t="s">
        <v>2100</v>
      </c>
      <c r="CM521" s="579" t="s">
        <v>2107</v>
      </c>
      <c r="CN521" s="579" t="s">
        <v>2175</v>
      </c>
      <c r="CO521" s="579" t="s">
        <v>1251</v>
      </c>
    </row>
    <row r="522" spans="11:93" ht="20.100000000000001" customHeight="1" thickBot="1">
      <c r="AF522" s="1552"/>
      <c r="AG522" s="146" t="s">
        <v>868</v>
      </c>
      <c r="AH522" s="146" t="s">
        <v>1123</v>
      </c>
      <c r="AI522" s="170">
        <f>INDEX('DEFAULT DATA'!$YB$9:$AGQ$41,START!$C$3,(8+(($A$114-1)*8)+(($D$114-1)*32)))</f>
        <v>1247.287235173784</v>
      </c>
      <c r="AJ522" s="170">
        <f>INDEX('DEFAULT DATA'!$YB$9:$AGQ$41,START!$C$3,(8+(($A$114-1)*8)+(($E$114-1)*32)))</f>
        <v>386.34310010201176</v>
      </c>
      <c r="AK522" s="183">
        <v>0</v>
      </c>
      <c r="AL522" s="160">
        <f t="shared" ref="AL522:BN522" si="493">IF(AND(AL$514&gt;($I$114+2020),AL$514&lt;($J$114+2022)),AK522+($C$114*(($AI$522-$AJ$522)+($F$114/100*$AJ$522))/($J$114-$I$114+1)*AL$6/1000000),AK522)</f>
        <v>0</v>
      </c>
      <c r="AM522" s="160">
        <f t="shared" si="493"/>
        <v>0</v>
      </c>
      <c r="AN522" s="160">
        <f t="shared" si="493"/>
        <v>0</v>
      </c>
      <c r="AO522" s="160">
        <f t="shared" si="493"/>
        <v>0</v>
      </c>
      <c r="AP522" s="160">
        <f t="shared" si="493"/>
        <v>0</v>
      </c>
      <c r="AQ522" s="160">
        <f t="shared" si="493"/>
        <v>0</v>
      </c>
      <c r="AR522" s="160">
        <f t="shared" si="493"/>
        <v>0</v>
      </c>
      <c r="AS522" s="160">
        <f t="shared" si="493"/>
        <v>0</v>
      </c>
      <c r="AT522" s="160">
        <f t="shared" si="493"/>
        <v>0</v>
      </c>
      <c r="AU522" s="160">
        <f t="shared" si="493"/>
        <v>0</v>
      </c>
      <c r="AV522" s="160">
        <f t="shared" si="493"/>
        <v>0</v>
      </c>
      <c r="AW522" s="160">
        <f t="shared" si="493"/>
        <v>0</v>
      </c>
      <c r="AX522" s="160">
        <f t="shared" si="493"/>
        <v>0</v>
      </c>
      <c r="AY522" s="160">
        <f t="shared" si="493"/>
        <v>0</v>
      </c>
      <c r="AZ522" s="160">
        <f t="shared" si="493"/>
        <v>0</v>
      </c>
      <c r="BA522" s="160">
        <f t="shared" si="493"/>
        <v>0</v>
      </c>
      <c r="BB522" s="160">
        <f t="shared" si="493"/>
        <v>0</v>
      </c>
      <c r="BC522" s="160">
        <f t="shared" si="493"/>
        <v>0</v>
      </c>
      <c r="BD522" s="160">
        <f t="shared" si="493"/>
        <v>0</v>
      </c>
      <c r="BE522" s="160">
        <f t="shared" si="493"/>
        <v>0</v>
      </c>
      <c r="BF522" s="160">
        <f t="shared" si="493"/>
        <v>0</v>
      </c>
      <c r="BG522" s="160">
        <f t="shared" si="493"/>
        <v>0</v>
      </c>
      <c r="BH522" s="160">
        <f t="shared" si="493"/>
        <v>0</v>
      </c>
      <c r="BI522" s="160">
        <f t="shared" si="493"/>
        <v>0</v>
      </c>
      <c r="BJ522" s="160">
        <f t="shared" si="493"/>
        <v>0</v>
      </c>
      <c r="BK522" s="160">
        <f t="shared" si="493"/>
        <v>0</v>
      </c>
      <c r="BL522" s="160">
        <f t="shared" si="493"/>
        <v>0</v>
      </c>
      <c r="BM522" s="160">
        <f t="shared" si="493"/>
        <v>0</v>
      </c>
      <c r="BN522" s="161">
        <f t="shared" si="493"/>
        <v>0</v>
      </c>
      <c r="BP522" s="367" t="s">
        <v>868</v>
      </c>
      <c r="BQ522" s="1494" t="str">
        <f t="shared" si="487"/>
        <v>GHG_Heata = GHG_Heata-1 + (C113 * BUI_COL(58+((A113-1)*8)+((D113-1)*32)) - BUI_COL(58+((A113-1)*8)+((E113-1)*32)) + F113 / 100 * BUI_COL(58+((A113-1)*8)+((E113-1)*32)) * DISTRICT_HEATING_emission_factora (from row 5) / (J113-I113+1) / 1000000</v>
      </c>
      <c r="BR522" s="1494"/>
      <c r="BS522" s="1494"/>
      <c r="BT522" s="1494"/>
      <c r="BU522" s="1494"/>
      <c r="BV522" s="1494"/>
      <c r="BW522" s="1494"/>
      <c r="BX522" s="1494"/>
      <c r="BY522" s="1494"/>
      <c r="BZ522" s="1494"/>
      <c r="CA522" s="1494"/>
      <c r="CB522" s="1494"/>
      <c r="CC522" s="1494"/>
      <c r="CD522" s="1494"/>
      <c r="CE522" s="1494"/>
      <c r="CF522" s="1494"/>
      <c r="CG522" s="1494"/>
      <c r="CH522" s="1494"/>
      <c r="CI522" s="1494"/>
      <c r="CJ522" s="1494"/>
      <c r="CK522" s="1494"/>
      <c r="CL522" s="579" t="s">
        <v>2101</v>
      </c>
      <c r="CM522" s="579" t="s">
        <v>2108</v>
      </c>
      <c r="CN522" s="579" t="s">
        <v>2175</v>
      </c>
      <c r="CO522" s="579" t="s">
        <v>1508</v>
      </c>
    </row>
    <row r="523" spans="11:93" ht="20.100000000000001" customHeight="1">
      <c r="AF523" s="167"/>
      <c r="AG523" s="144" t="s">
        <v>211</v>
      </c>
      <c r="AH523" s="145"/>
      <c r="AI523" s="145"/>
      <c r="AJ523" s="145"/>
      <c r="AK523" s="179">
        <v>0</v>
      </c>
      <c r="AL523" s="162">
        <f>SUM(AL515:AL522)</f>
        <v>0</v>
      </c>
      <c r="AM523" s="162">
        <f t="shared" ref="AM523:BN523" si="494">SUM(AM515:AM522)</f>
        <v>0</v>
      </c>
      <c r="AN523" s="162">
        <f t="shared" si="494"/>
        <v>0</v>
      </c>
      <c r="AO523" s="162">
        <f t="shared" si="494"/>
        <v>0</v>
      </c>
      <c r="AP523" s="162">
        <f t="shared" si="494"/>
        <v>0</v>
      </c>
      <c r="AQ523" s="162">
        <f t="shared" si="494"/>
        <v>0</v>
      </c>
      <c r="AR523" s="162">
        <f t="shared" si="494"/>
        <v>0</v>
      </c>
      <c r="AS523" s="162">
        <f t="shared" si="494"/>
        <v>0</v>
      </c>
      <c r="AT523" s="162">
        <f t="shared" si="494"/>
        <v>0</v>
      </c>
      <c r="AU523" s="162">
        <f t="shared" si="494"/>
        <v>0</v>
      </c>
      <c r="AV523" s="162">
        <f t="shared" si="494"/>
        <v>0</v>
      </c>
      <c r="AW523" s="162">
        <f t="shared" si="494"/>
        <v>0</v>
      </c>
      <c r="AX523" s="162">
        <f t="shared" si="494"/>
        <v>0</v>
      </c>
      <c r="AY523" s="162">
        <f t="shared" si="494"/>
        <v>0</v>
      </c>
      <c r="AZ523" s="162">
        <f t="shared" si="494"/>
        <v>0</v>
      </c>
      <c r="BA523" s="162">
        <f t="shared" si="494"/>
        <v>0</v>
      </c>
      <c r="BB523" s="162">
        <f t="shared" si="494"/>
        <v>0</v>
      </c>
      <c r="BC523" s="162">
        <f t="shared" si="494"/>
        <v>0</v>
      </c>
      <c r="BD523" s="162">
        <f t="shared" si="494"/>
        <v>0</v>
      </c>
      <c r="BE523" s="162">
        <f t="shared" si="494"/>
        <v>0</v>
      </c>
      <c r="BF523" s="162">
        <f t="shared" si="494"/>
        <v>0</v>
      </c>
      <c r="BG523" s="162">
        <f t="shared" si="494"/>
        <v>0</v>
      </c>
      <c r="BH523" s="162">
        <f t="shared" si="494"/>
        <v>0</v>
      </c>
      <c r="BI523" s="162">
        <f t="shared" si="494"/>
        <v>0</v>
      </c>
      <c r="BJ523" s="162">
        <f t="shared" si="494"/>
        <v>0</v>
      </c>
      <c r="BK523" s="162">
        <f t="shared" si="494"/>
        <v>0</v>
      </c>
      <c r="BL523" s="162">
        <f t="shared" si="494"/>
        <v>0</v>
      </c>
      <c r="BM523" s="162">
        <f t="shared" si="494"/>
        <v>0</v>
      </c>
      <c r="BN523" s="162">
        <f t="shared" si="494"/>
        <v>0</v>
      </c>
    </row>
    <row r="525" spans="11:93" ht="20.100000000000001" customHeight="1" thickBot="1">
      <c r="AF525" s="168" t="s">
        <v>1099</v>
      </c>
      <c r="AG525" s="168"/>
      <c r="AH525" s="169" t="s">
        <v>620</v>
      </c>
      <c r="AI525" s="135" t="s">
        <v>898</v>
      </c>
      <c r="AJ525" s="135" t="s">
        <v>899</v>
      </c>
      <c r="AK525" s="181">
        <v>2021</v>
      </c>
      <c r="AL525" s="135">
        <v>2022</v>
      </c>
      <c r="AM525" s="135">
        <v>2023</v>
      </c>
      <c r="AN525" s="135">
        <v>2024</v>
      </c>
      <c r="AO525" s="135">
        <v>2025</v>
      </c>
      <c r="AP525" s="135">
        <v>2026</v>
      </c>
      <c r="AQ525" s="135">
        <v>2027</v>
      </c>
      <c r="AR525" s="135">
        <v>2028</v>
      </c>
      <c r="AS525" s="135">
        <v>2029</v>
      </c>
      <c r="AT525" s="135">
        <v>2030</v>
      </c>
      <c r="AU525" s="135">
        <v>2031</v>
      </c>
      <c r="AV525" s="135">
        <v>2032</v>
      </c>
      <c r="AW525" s="135">
        <v>2033</v>
      </c>
      <c r="AX525" s="135">
        <v>2034</v>
      </c>
      <c r="AY525" s="135">
        <v>2035</v>
      </c>
      <c r="AZ525" s="135">
        <v>2036</v>
      </c>
      <c r="BA525" s="135">
        <v>2037</v>
      </c>
      <c r="BB525" s="135">
        <v>2038</v>
      </c>
      <c r="BC525" s="135">
        <v>2039</v>
      </c>
      <c r="BD525" s="135">
        <v>2040</v>
      </c>
      <c r="BE525" s="135">
        <v>2041</v>
      </c>
      <c r="BF525" s="135">
        <v>2042</v>
      </c>
      <c r="BG525" s="135">
        <v>2043</v>
      </c>
      <c r="BH525" s="135">
        <v>2044</v>
      </c>
      <c r="BI525" s="135">
        <v>2045</v>
      </c>
      <c r="BJ525" s="135">
        <v>2046</v>
      </c>
      <c r="BK525" s="135">
        <v>2047</v>
      </c>
      <c r="BL525" s="135">
        <v>2048</v>
      </c>
      <c r="BM525" s="135">
        <v>2049</v>
      </c>
      <c r="BN525" s="135">
        <v>2050</v>
      </c>
      <c r="BQ525" s="130" t="s">
        <v>2178</v>
      </c>
      <c r="CL525" s="386" t="s">
        <v>2091</v>
      </c>
      <c r="CM525" s="6" t="s">
        <v>2092</v>
      </c>
      <c r="CN525" s="6" t="s">
        <v>2172</v>
      </c>
      <c r="CO525" s="245" t="s">
        <v>1224</v>
      </c>
    </row>
    <row r="526" spans="11:93" ht="20.100000000000001" customHeight="1">
      <c r="AF526" s="1559" t="str">
        <f>INDEX('MENU OPTIONS'!B27:B30,A115,1)</f>
        <v>Detached</v>
      </c>
      <c r="AG526" s="137" t="s">
        <v>578</v>
      </c>
      <c r="AH526" s="137" t="s">
        <v>1122</v>
      </c>
      <c r="AI526" s="165">
        <f>INDEX('DEFAULT DATA'!$YB$9:$AGQ$41,START!$C$3,(1+(($A$115-1)*8)+(($D$115-1)*32)))</f>
        <v>3891.6555932317237</v>
      </c>
      <c r="AJ526" s="165">
        <f>INDEX('DEFAULT DATA'!$YB$9:$AGQ$41,START!$C$3,(1+(($A$115-1)*8)+(($E$115-1)*32)))</f>
        <v>933.89772661810787</v>
      </c>
      <c r="AK526" s="178">
        <v>0</v>
      </c>
      <c r="AL526" s="157">
        <f t="shared" ref="AL526:BN526" si="495">IF(AND(AL$525&gt;($I$115+2020),AL$525&lt;($J$115+2022)),AK526+($C$115*(($AI$526-$AJ$526)+($F$115/100*$AJ$526))/($J$115-$I$115+1)*AL$5/1000000),AK526)</f>
        <v>0</v>
      </c>
      <c r="AM526" s="157">
        <f t="shared" si="495"/>
        <v>0</v>
      </c>
      <c r="AN526" s="157">
        <f t="shared" si="495"/>
        <v>0</v>
      </c>
      <c r="AO526" s="157">
        <f t="shared" si="495"/>
        <v>0</v>
      </c>
      <c r="AP526" s="157">
        <f t="shared" si="495"/>
        <v>0</v>
      </c>
      <c r="AQ526" s="157">
        <f t="shared" si="495"/>
        <v>0</v>
      </c>
      <c r="AR526" s="157">
        <f t="shared" si="495"/>
        <v>0</v>
      </c>
      <c r="AS526" s="157">
        <f t="shared" si="495"/>
        <v>0</v>
      </c>
      <c r="AT526" s="157">
        <f t="shared" si="495"/>
        <v>0</v>
      </c>
      <c r="AU526" s="157">
        <f t="shared" si="495"/>
        <v>0</v>
      </c>
      <c r="AV526" s="157">
        <f t="shared" si="495"/>
        <v>0</v>
      </c>
      <c r="AW526" s="157">
        <f t="shared" si="495"/>
        <v>0</v>
      </c>
      <c r="AX526" s="157">
        <f t="shared" si="495"/>
        <v>0</v>
      </c>
      <c r="AY526" s="157">
        <f t="shared" si="495"/>
        <v>0</v>
      </c>
      <c r="AZ526" s="157">
        <f t="shared" si="495"/>
        <v>0</v>
      </c>
      <c r="BA526" s="157">
        <f t="shared" si="495"/>
        <v>0</v>
      </c>
      <c r="BB526" s="157">
        <f t="shared" si="495"/>
        <v>0</v>
      </c>
      <c r="BC526" s="157">
        <f t="shared" si="495"/>
        <v>0</v>
      </c>
      <c r="BD526" s="157">
        <f t="shared" si="495"/>
        <v>0</v>
      </c>
      <c r="BE526" s="157">
        <f t="shared" si="495"/>
        <v>0</v>
      </c>
      <c r="BF526" s="157">
        <f t="shared" si="495"/>
        <v>0</v>
      </c>
      <c r="BG526" s="157">
        <f t="shared" si="495"/>
        <v>0</v>
      </c>
      <c r="BH526" s="157">
        <f t="shared" si="495"/>
        <v>0</v>
      </c>
      <c r="BI526" s="157">
        <f t="shared" si="495"/>
        <v>0</v>
      </c>
      <c r="BJ526" s="157">
        <f t="shared" si="495"/>
        <v>0</v>
      </c>
      <c r="BK526" s="157">
        <f t="shared" si="495"/>
        <v>0</v>
      </c>
      <c r="BL526" s="157">
        <f t="shared" si="495"/>
        <v>0</v>
      </c>
      <c r="BM526" s="157">
        <f t="shared" si="495"/>
        <v>0</v>
      </c>
      <c r="BN526" s="158">
        <f t="shared" si="495"/>
        <v>0</v>
      </c>
      <c r="BP526" s="367" t="s">
        <v>578</v>
      </c>
      <c r="BQ526" s="1494" t="str">
        <f>CONCATENATE("GHG_",BP526,"a = GHG_",BP526,"a-1 + (C114 * ",CL526," - ",CM526," + F114 / 100 * ",CM526," * ",CO526," / (",CN526,") / 1000000")</f>
        <v>GHG_Electricitya = GHG_Electricitya-1 + (C114 * BUI_COL(51+((A114-1)*8)+((D114-1)*32)) - BUI_COL(51+((A114-1)*8)+((E114-1)*32)) + F114 / 100 * BUI_COL(51+((A114-1)*8)+((E114-1)*32)) * GRID_ELECTRICITY_emission_factora (from row4) / (J114-I114+1) / 1000000</v>
      </c>
      <c r="BR526" s="1494"/>
      <c r="BS526" s="1494"/>
      <c r="BT526" s="1494"/>
      <c r="BU526" s="1494"/>
      <c r="BV526" s="1494"/>
      <c r="BW526" s="1494"/>
      <c r="BX526" s="1494"/>
      <c r="BY526" s="1494"/>
      <c r="BZ526" s="1494"/>
      <c r="CA526" s="1494"/>
      <c r="CB526" s="1494"/>
      <c r="CC526" s="1494"/>
      <c r="CD526" s="1494"/>
      <c r="CE526" s="1494"/>
      <c r="CF526" s="1494"/>
      <c r="CG526" s="1494"/>
      <c r="CH526" s="1494"/>
      <c r="CI526" s="1494"/>
      <c r="CJ526" s="1494"/>
      <c r="CK526" s="1494"/>
      <c r="CL526" s="579" t="s">
        <v>2109</v>
      </c>
      <c r="CM526" s="579" t="s">
        <v>2110</v>
      </c>
      <c r="CN526" s="579" t="s">
        <v>2176</v>
      </c>
      <c r="CO526" s="579" t="s">
        <v>1507</v>
      </c>
    </row>
    <row r="527" spans="11:93" ht="20.100000000000001" customHeight="1">
      <c r="AF527" s="1560"/>
      <c r="AG527" s="107" t="s">
        <v>862</v>
      </c>
      <c r="AH527" s="107">
        <f>INDEX('DEFAULT DATA'!$WD$9:$WJ$41,START!$C$3,1)</f>
        <v>202</v>
      </c>
      <c r="AI527" s="115">
        <f>INDEX('DEFAULT DATA'!$YB$9:$AGQ$41,START!$C$3,(2+(($A$115-1)*8)+(($D$115-1)*32)))</f>
        <v>8895.2127845296527</v>
      </c>
      <c r="AJ527" s="115">
        <f>INDEX('DEFAULT DATA'!$YB$9:$AGQ$41,START!$C$3,(2+(($A$115-1)*8)+(($E$115-1)*32)))</f>
        <v>0</v>
      </c>
      <c r="AK527" s="180">
        <v>0</v>
      </c>
      <c r="AL527" s="123">
        <f t="shared" ref="AL527:BN527" si="496">IF(AND(AL$525&gt;($I$115+2020),AL$525&lt;($J$115+2022)),AK527+($C$115*(($AI$527-$AJ$527)+($F$115/100*$AJ$527))/($J$115-$I$115+1)*$AH$527/1000000),AK527)</f>
        <v>0</v>
      </c>
      <c r="AM527" s="123">
        <f t="shared" si="496"/>
        <v>0</v>
      </c>
      <c r="AN527" s="123">
        <f t="shared" si="496"/>
        <v>0</v>
      </c>
      <c r="AO527" s="123">
        <f t="shared" si="496"/>
        <v>0</v>
      </c>
      <c r="AP527" s="123">
        <f t="shared" si="496"/>
        <v>0</v>
      </c>
      <c r="AQ527" s="123">
        <f t="shared" si="496"/>
        <v>0</v>
      </c>
      <c r="AR527" s="123">
        <f t="shared" si="496"/>
        <v>0</v>
      </c>
      <c r="AS527" s="123">
        <f t="shared" si="496"/>
        <v>0</v>
      </c>
      <c r="AT527" s="123">
        <f t="shared" si="496"/>
        <v>0</v>
      </c>
      <c r="AU527" s="123">
        <f t="shared" si="496"/>
        <v>0</v>
      </c>
      <c r="AV527" s="123">
        <f t="shared" si="496"/>
        <v>0</v>
      </c>
      <c r="AW527" s="123">
        <f t="shared" si="496"/>
        <v>0</v>
      </c>
      <c r="AX527" s="123">
        <f t="shared" si="496"/>
        <v>0</v>
      </c>
      <c r="AY527" s="123">
        <f t="shared" si="496"/>
        <v>0</v>
      </c>
      <c r="AZ527" s="123">
        <f t="shared" si="496"/>
        <v>0</v>
      </c>
      <c r="BA527" s="123">
        <f t="shared" si="496"/>
        <v>0</v>
      </c>
      <c r="BB527" s="123">
        <f t="shared" si="496"/>
        <v>0</v>
      </c>
      <c r="BC527" s="123">
        <f t="shared" si="496"/>
        <v>0</v>
      </c>
      <c r="BD527" s="123">
        <f t="shared" si="496"/>
        <v>0</v>
      </c>
      <c r="BE527" s="123">
        <f t="shared" si="496"/>
        <v>0</v>
      </c>
      <c r="BF527" s="123">
        <f t="shared" si="496"/>
        <v>0</v>
      </c>
      <c r="BG527" s="123">
        <f t="shared" si="496"/>
        <v>0</v>
      </c>
      <c r="BH527" s="123">
        <f t="shared" si="496"/>
        <v>0</v>
      </c>
      <c r="BI527" s="123">
        <f t="shared" si="496"/>
        <v>0</v>
      </c>
      <c r="BJ527" s="123">
        <f t="shared" si="496"/>
        <v>0</v>
      </c>
      <c r="BK527" s="123">
        <f t="shared" si="496"/>
        <v>0</v>
      </c>
      <c r="BL527" s="123">
        <f t="shared" si="496"/>
        <v>0</v>
      </c>
      <c r="BM527" s="123">
        <f t="shared" si="496"/>
        <v>0</v>
      </c>
      <c r="BN527" s="159">
        <f t="shared" si="496"/>
        <v>0</v>
      </c>
      <c r="BP527" s="367" t="s">
        <v>862</v>
      </c>
      <c r="BQ527" s="1494" t="str">
        <f t="shared" ref="BQ527:BQ533" si="497">CONCATENATE("GHG_",BP527,"a = GHG_",BP527,"a-1 + (C114 * ",CL527," - ",CM527," + F114 / 100 * ",CM527," * ",CO527," / (",CN527,") / 1000000")</f>
        <v>GHG_Gasa = GHG_Gasa-1 + (C114 * BUI_COL(51+((A114-1)*8)+((D114-1)*32)) - BUI_COL(51+((A114-1)*8)+((E114-1)*32)) + F114 / 100 * BUI_COL(51+((A114-1)*8)+((E114-1)*32)) * BUI_COL1 / (J114-I114+1) / 1000000</v>
      </c>
      <c r="BR527" s="1494"/>
      <c r="BS527" s="1494"/>
      <c r="BT527" s="1494"/>
      <c r="BU527" s="1494"/>
      <c r="BV527" s="1494"/>
      <c r="BW527" s="1494"/>
      <c r="BX527" s="1494"/>
      <c r="BY527" s="1494"/>
      <c r="BZ527" s="1494"/>
      <c r="CA527" s="1494"/>
      <c r="CB527" s="1494"/>
      <c r="CC527" s="1494"/>
      <c r="CD527" s="1494"/>
      <c r="CE527" s="1494"/>
      <c r="CF527" s="1494"/>
      <c r="CG527" s="1494"/>
      <c r="CH527" s="1494"/>
      <c r="CI527" s="1494"/>
      <c r="CJ527" s="1494"/>
      <c r="CK527" s="1494"/>
      <c r="CL527" s="579" t="s">
        <v>2109</v>
      </c>
      <c r="CM527" s="579" t="s">
        <v>2110</v>
      </c>
      <c r="CN527" s="579" t="s">
        <v>2176</v>
      </c>
      <c r="CO527" s="579" t="s">
        <v>886</v>
      </c>
    </row>
    <row r="528" spans="11:93" ht="20.100000000000001" customHeight="1">
      <c r="AF528" s="1560"/>
      <c r="AG528" s="107" t="s">
        <v>863</v>
      </c>
      <c r="AH528" s="107">
        <f>INDEX('DEFAULT DATA'!$WD$9:$WJ$41,START!$C$3,2)</f>
        <v>267</v>
      </c>
      <c r="AI528" s="115">
        <f>INDEX('DEFAULT DATA'!$YB$9:$AGQ$41,START!$C$3,(3+(($A$115-1)*8)+(($D$115-1)*32)))</f>
        <v>1111.9015980662066</v>
      </c>
      <c r="AJ528" s="115">
        <f>INDEX('DEFAULT DATA'!$YB$9:$AGQ$41,START!$C$3,(3+(($A$115-1)*8)+(($E$115-1)*32)))</f>
        <v>0</v>
      </c>
      <c r="AK528" s="180">
        <v>0</v>
      </c>
      <c r="AL528" s="123">
        <f t="shared" ref="AL528:BN528" si="498">IF(AND(AL$525&gt;($I$115+2020),AL$525&lt;($J$115+2022)),AK528+($C$115*(($AI$528-$AJ$528)+($F$115/100*$AJ$517))/($J$115-$I$115+1)*$AH$528/1000000),AK528)</f>
        <v>0</v>
      </c>
      <c r="AM528" s="123">
        <f t="shared" si="498"/>
        <v>0</v>
      </c>
      <c r="AN528" s="123">
        <f t="shared" si="498"/>
        <v>0</v>
      </c>
      <c r="AO528" s="123">
        <f t="shared" si="498"/>
        <v>0</v>
      </c>
      <c r="AP528" s="123">
        <f t="shared" si="498"/>
        <v>0</v>
      </c>
      <c r="AQ528" s="123">
        <f t="shared" si="498"/>
        <v>0</v>
      </c>
      <c r="AR528" s="123">
        <f t="shared" si="498"/>
        <v>0</v>
      </c>
      <c r="AS528" s="123">
        <f t="shared" si="498"/>
        <v>0</v>
      </c>
      <c r="AT528" s="123">
        <f t="shared" si="498"/>
        <v>0</v>
      </c>
      <c r="AU528" s="123">
        <f t="shared" si="498"/>
        <v>0</v>
      </c>
      <c r="AV528" s="123">
        <f t="shared" si="498"/>
        <v>0</v>
      </c>
      <c r="AW528" s="123">
        <f t="shared" si="498"/>
        <v>0</v>
      </c>
      <c r="AX528" s="123">
        <f t="shared" si="498"/>
        <v>0</v>
      </c>
      <c r="AY528" s="123">
        <f t="shared" si="498"/>
        <v>0</v>
      </c>
      <c r="AZ528" s="123">
        <f t="shared" si="498"/>
        <v>0</v>
      </c>
      <c r="BA528" s="123">
        <f t="shared" si="498"/>
        <v>0</v>
      </c>
      <c r="BB528" s="123">
        <f t="shared" si="498"/>
        <v>0</v>
      </c>
      <c r="BC528" s="123">
        <f t="shared" si="498"/>
        <v>0</v>
      </c>
      <c r="BD528" s="123">
        <f t="shared" si="498"/>
        <v>0</v>
      </c>
      <c r="BE528" s="123">
        <f t="shared" si="498"/>
        <v>0</v>
      </c>
      <c r="BF528" s="123">
        <f t="shared" si="498"/>
        <v>0</v>
      </c>
      <c r="BG528" s="123">
        <f t="shared" si="498"/>
        <v>0</v>
      </c>
      <c r="BH528" s="123">
        <f t="shared" si="498"/>
        <v>0</v>
      </c>
      <c r="BI528" s="123">
        <f t="shared" si="498"/>
        <v>0</v>
      </c>
      <c r="BJ528" s="123">
        <f t="shared" si="498"/>
        <v>0</v>
      </c>
      <c r="BK528" s="123">
        <f t="shared" si="498"/>
        <v>0</v>
      </c>
      <c r="BL528" s="123">
        <f t="shared" si="498"/>
        <v>0</v>
      </c>
      <c r="BM528" s="123">
        <f t="shared" si="498"/>
        <v>0</v>
      </c>
      <c r="BN528" s="159">
        <f t="shared" si="498"/>
        <v>0</v>
      </c>
      <c r="BP528" s="367" t="s">
        <v>863</v>
      </c>
      <c r="BQ528" s="1494" t="str">
        <f t="shared" si="497"/>
        <v>GHG_Oila = GHG_Oila-1 + (C114 * BUI_COL(51+((A114-1)*8)+((D114-1)*32)) - BUI_COL(51+((A114-1)*8)+((E114-1)*32)) + F114 / 100 * BUI_COL(51+((A114-1)*8)+((E114-1)*32)) * BUI_COL2 / (J114-I114+1) / 1000000</v>
      </c>
      <c r="BR528" s="1494"/>
      <c r="BS528" s="1494"/>
      <c r="BT528" s="1494"/>
      <c r="BU528" s="1494"/>
      <c r="BV528" s="1494"/>
      <c r="BW528" s="1494"/>
      <c r="BX528" s="1494"/>
      <c r="BY528" s="1494"/>
      <c r="BZ528" s="1494"/>
      <c r="CA528" s="1494"/>
      <c r="CB528" s="1494"/>
      <c r="CC528" s="1494"/>
      <c r="CD528" s="1494"/>
      <c r="CE528" s="1494"/>
      <c r="CF528" s="1494"/>
      <c r="CG528" s="1494"/>
      <c r="CH528" s="1494"/>
      <c r="CI528" s="1494"/>
      <c r="CJ528" s="1494"/>
      <c r="CK528" s="1494"/>
      <c r="CL528" s="579" t="s">
        <v>2109</v>
      </c>
      <c r="CM528" s="579" t="s">
        <v>2110</v>
      </c>
      <c r="CN528" s="579" t="s">
        <v>2176</v>
      </c>
      <c r="CO528" s="579" t="s">
        <v>1247</v>
      </c>
    </row>
    <row r="529" spans="32:93" ht="20.100000000000001" customHeight="1">
      <c r="AF529" s="1560"/>
      <c r="AG529" s="107" t="s">
        <v>864</v>
      </c>
      <c r="AH529" s="107">
        <f>INDEX('DEFAULT DATA'!$WD$9:$WJ$41,START!$C$3,3)</f>
        <v>354</v>
      </c>
      <c r="AI529" s="115">
        <f>INDEX('DEFAULT DATA'!$YB$9:$AGQ$41,START!$C$3,(4+(($A$115-1)*8)+(($D$115-1)*32)))</f>
        <v>0</v>
      </c>
      <c r="AJ529" s="115">
        <f>INDEX('DEFAULT DATA'!$YB$9:$AGQ$41,START!$C$3,(4+(($A$115-1)*8)+(($E$115-1)*32)))</f>
        <v>0</v>
      </c>
      <c r="AK529" s="180">
        <v>0</v>
      </c>
      <c r="AL529" s="123">
        <f t="shared" ref="AL529:BN529" si="499">IF(AND(AL$525&gt;($I$115+2020),AL$525&lt;($J$115+2022)),AK529+($C$115*(($AI$529-$AJ$529)+($F$115/100*$AJ$529))/($J$115-$I$115+1)*$AH$529/1000000),AK529)</f>
        <v>0</v>
      </c>
      <c r="AM529" s="123">
        <f t="shared" si="499"/>
        <v>0</v>
      </c>
      <c r="AN529" s="123">
        <f t="shared" si="499"/>
        <v>0</v>
      </c>
      <c r="AO529" s="123">
        <f t="shared" si="499"/>
        <v>0</v>
      </c>
      <c r="AP529" s="123">
        <f t="shared" si="499"/>
        <v>0</v>
      </c>
      <c r="AQ529" s="123">
        <f t="shared" si="499"/>
        <v>0</v>
      </c>
      <c r="AR529" s="123">
        <f t="shared" si="499"/>
        <v>0</v>
      </c>
      <c r="AS529" s="123">
        <f t="shared" si="499"/>
        <v>0</v>
      </c>
      <c r="AT529" s="123">
        <f t="shared" si="499"/>
        <v>0</v>
      </c>
      <c r="AU529" s="123">
        <f t="shared" si="499"/>
        <v>0</v>
      </c>
      <c r="AV529" s="123">
        <f t="shared" si="499"/>
        <v>0</v>
      </c>
      <c r="AW529" s="123">
        <f t="shared" si="499"/>
        <v>0</v>
      </c>
      <c r="AX529" s="123">
        <f t="shared" si="499"/>
        <v>0</v>
      </c>
      <c r="AY529" s="123">
        <f t="shared" si="499"/>
        <v>0</v>
      </c>
      <c r="AZ529" s="123">
        <f t="shared" si="499"/>
        <v>0</v>
      </c>
      <c r="BA529" s="123">
        <f t="shared" si="499"/>
        <v>0</v>
      </c>
      <c r="BB529" s="123">
        <f t="shared" si="499"/>
        <v>0</v>
      </c>
      <c r="BC529" s="123">
        <f t="shared" si="499"/>
        <v>0</v>
      </c>
      <c r="BD529" s="123">
        <f t="shared" si="499"/>
        <v>0</v>
      </c>
      <c r="BE529" s="123">
        <f t="shared" si="499"/>
        <v>0</v>
      </c>
      <c r="BF529" s="123">
        <f t="shared" si="499"/>
        <v>0</v>
      </c>
      <c r="BG529" s="123">
        <f t="shared" si="499"/>
        <v>0</v>
      </c>
      <c r="BH529" s="123">
        <f t="shared" si="499"/>
        <v>0</v>
      </c>
      <c r="BI529" s="123">
        <f t="shared" si="499"/>
        <v>0</v>
      </c>
      <c r="BJ529" s="123">
        <f t="shared" si="499"/>
        <v>0</v>
      </c>
      <c r="BK529" s="123">
        <f t="shared" si="499"/>
        <v>0</v>
      </c>
      <c r="BL529" s="123">
        <f t="shared" si="499"/>
        <v>0</v>
      </c>
      <c r="BM529" s="123">
        <f t="shared" si="499"/>
        <v>0</v>
      </c>
      <c r="BN529" s="159">
        <f t="shared" si="499"/>
        <v>0</v>
      </c>
      <c r="BP529" s="367" t="s">
        <v>864</v>
      </c>
      <c r="BQ529" s="1494" t="str">
        <f t="shared" si="497"/>
        <v>GHG_Coala = GHG_Coala-1 + (C114 * BUI_COL(51+((A114-1)*8)+((D114-1)*32)) - BUI_COL(51+((A114-1)*8)+((E114-1)*32)) + F114 / 100 * BUI_COL(51+((A114-1)*8)+((E114-1)*32)) * BUI_COL3 / (J114-I114+1) / 1000000</v>
      </c>
      <c r="BR529" s="1494"/>
      <c r="BS529" s="1494"/>
      <c r="BT529" s="1494"/>
      <c r="BU529" s="1494"/>
      <c r="BV529" s="1494"/>
      <c r="BW529" s="1494"/>
      <c r="BX529" s="1494"/>
      <c r="BY529" s="1494"/>
      <c r="BZ529" s="1494"/>
      <c r="CA529" s="1494"/>
      <c r="CB529" s="1494"/>
      <c r="CC529" s="1494"/>
      <c r="CD529" s="1494"/>
      <c r="CE529" s="1494"/>
      <c r="CF529" s="1494"/>
      <c r="CG529" s="1494"/>
      <c r="CH529" s="1494"/>
      <c r="CI529" s="1494"/>
      <c r="CJ529" s="1494"/>
      <c r="CK529" s="1494"/>
      <c r="CL529" s="579" t="s">
        <v>2109</v>
      </c>
      <c r="CM529" s="579" t="s">
        <v>2110</v>
      </c>
      <c r="CN529" s="579" t="s">
        <v>2176</v>
      </c>
      <c r="CO529" s="579" t="s">
        <v>1248</v>
      </c>
    </row>
    <row r="530" spans="32:93" ht="20.100000000000001" customHeight="1">
      <c r="AF530" s="1560"/>
      <c r="AG530" s="107" t="s">
        <v>865</v>
      </c>
      <c r="AH530" s="107">
        <f>INDEX('DEFAULT DATA'!$WD$9:$WJ$41,START!$C$3,4)</f>
        <v>382</v>
      </c>
      <c r="AI530" s="115">
        <f>INDEX('DEFAULT DATA'!$YB$9:$AGQ$41,START!$C$3,(5+(($A$115-1)*8)+(($D$115-1)*32)))</f>
        <v>0</v>
      </c>
      <c r="AJ530" s="115">
        <f>INDEX('DEFAULT DATA'!$YB$9:$AGQ$41,START!$C$3,(5+(($A$115-1)*8)+(($E$115-1)*32)))</f>
        <v>0</v>
      </c>
      <c r="AK530" s="180">
        <v>0</v>
      </c>
      <c r="AL530" s="123">
        <f t="shared" ref="AL530:BN530" si="500">IF(AND(AL$525&gt;($I$115+2020),AL$525&lt;($J$115+2022)),AK530+($C$115*(($AI$530-$AJ$530)+($F$115/100*$AJ$530))/($J$115-$I$115+1)*$AH$530/1000000),AK530)</f>
        <v>0</v>
      </c>
      <c r="AM530" s="123">
        <f t="shared" si="500"/>
        <v>0</v>
      </c>
      <c r="AN530" s="123">
        <f t="shared" si="500"/>
        <v>0</v>
      </c>
      <c r="AO530" s="123">
        <f t="shared" si="500"/>
        <v>0</v>
      </c>
      <c r="AP530" s="123">
        <f t="shared" si="500"/>
        <v>0</v>
      </c>
      <c r="AQ530" s="123">
        <f t="shared" si="500"/>
        <v>0</v>
      </c>
      <c r="AR530" s="123">
        <f t="shared" si="500"/>
        <v>0</v>
      </c>
      <c r="AS530" s="123">
        <f t="shared" si="500"/>
        <v>0</v>
      </c>
      <c r="AT530" s="123">
        <f t="shared" si="500"/>
        <v>0</v>
      </c>
      <c r="AU530" s="123">
        <f t="shared" si="500"/>
        <v>0</v>
      </c>
      <c r="AV530" s="123">
        <f t="shared" si="500"/>
        <v>0</v>
      </c>
      <c r="AW530" s="123">
        <f t="shared" si="500"/>
        <v>0</v>
      </c>
      <c r="AX530" s="123">
        <f t="shared" si="500"/>
        <v>0</v>
      </c>
      <c r="AY530" s="123">
        <f t="shared" si="500"/>
        <v>0</v>
      </c>
      <c r="AZ530" s="123">
        <f t="shared" si="500"/>
        <v>0</v>
      </c>
      <c r="BA530" s="123">
        <f t="shared" si="500"/>
        <v>0</v>
      </c>
      <c r="BB530" s="123">
        <f t="shared" si="500"/>
        <v>0</v>
      </c>
      <c r="BC530" s="123">
        <f t="shared" si="500"/>
        <v>0</v>
      </c>
      <c r="BD530" s="123">
        <f t="shared" si="500"/>
        <v>0</v>
      </c>
      <c r="BE530" s="123">
        <f t="shared" si="500"/>
        <v>0</v>
      </c>
      <c r="BF530" s="123">
        <f t="shared" si="500"/>
        <v>0</v>
      </c>
      <c r="BG530" s="123">
        <f t="shared" si="500"/>
        <v>0</v>
      </c>
      <c r="BH530" s="123">
        <f t="shared" si="500"/>
        <v>0</v>
      </c>
      <c r="BI530" s="123">
        <f t="shared" si="500"/>
        <v>0</v>
      </c>
      <c r="BJ530" s="123">
        <f t="shared" si="500"/>
        <v>0</v>
      </c>
      <c r="BK530" s="123">
        <f t="shared" si="500"/>
        <v>0</v>
      </c>
      <c r="BL530" s="123">
        <f t="shared" si="500"/>
        <v>0</v>
      </c>
      <c r="BM530" s="123">
        <f t="shared" si="500"/>
        <v>0</v>
      </c>
      <c r="BN530" s="159">
        <f t="shared" si="500"/>
        <v>0</v>
      </c>
      <c r="BP530" s="367" t="s">
        <v>865</v>
      </c>
      <c r="BQ530" s="1494" t="str">
        <f t="shared" si="497"/>
        <v>GHG_Peata = GHG_Peata-1 + (C114 * BUI_COL(51+((A114-1)*8)+((D114-1)*32)) - BUI_COL(51+((A114-1)*8)+((E114-1)*32)) + F114 / 100 * BUI_COL(51+((A114-1)*8)+((E114-1)*32)) * BUI_COL4 / (J114-I114+1) / 1000000</v>
      </c>
      <c r="BR530" s="1494"/>
      <c r="BS530" s="1494"/>
      <c r="BT530" s="1494"/>
      <c r="BU530" s="1494"/>
      <c r="BV530" s="1494"/>
      <c r="BW530" s="1494"/>
      <c r="BX530" s="1494"/>
      <c r="BY530" s="1494"/>
      <c r="BZ530" s="1494"/>
      <c r="CA530" s="1494"/>
      <c r="CB530" s="1494"/>
      <c r="CC530" s="1494"/>
      <c r="CD530" s="1494"/>
      <c r="CE530" s="1494"/>
      <c r="CF530" s="1494"/>
      <c r="CG530" s="1494"/>
      <c r="CH530" s="1494"/>
      <c r="CI530" s="1494"/>
      <c r="CJ530" s="1494"/>
      <c r="CK530" s="1494"/>
      <c r="CL530" s="579" t="s">
        <v>2109</v>
      </c>
      <c r="CM530" s="579" t="s">
        <v>2110</v>
      </c>
      <c r="CN530" s="579" t="s">
        <v>2176</v>
      </c>
      <c r="CO530" s="579" t="s">
        <v>1249</v>
      </c>
    </row>
    <row r="531" spans="32:93" ht="20.100000000000001" customHeight="1">
      <c r="AF531" s="1560"/>
      <c r="AG531" s="107" t="s">
        <v>866</v>
      </c>
      <c r="AH531" s="107">
        <f>INDEX('DEFAULT DATA'!$WD$9:$WJ$41,START!$C$3,5)</f>
        <v>403</v>
      </c>
      <c r="AI531" s="115">
        <f>INDEX('DEFAULT DATA'!$YB$9:$AGQ$41,START!$C$3,(6+(($A$115-1)*8)+(($D$115-1)*32)))</f>
        <v>0</v>
      </c>
      <c r="AJ531" s="115">
        <f>INDEX('DEFAULT DATA'!$YB$9:$AGQ$41,START!$C$3,(6+(($A$115-1)*8)+(($E$115-1)*32)))</f>
        <v>0</v>
      </c>
      <c r="AK531" s="180">
        <v>0</v>
      </c>
      <c r="AL531" s="123">
        <f t="shared" ref="AL531:BN531" si="501">IF(AND(AL$525&gt;($I$115+2020),AL$525&lt;($J$115+2022)),AK531+($C$115*(($AI$531-$AJ$531)+($F$115/100*$AJ$531))/($J$115-$I$115+1)*$AH$531/1000000),AK531)</f>
        <v>0</v>
      </c>
      <c r="AM531" s="123">
        <f t="shared" si="501"/>
        <v>0</v>
      </c>
      <c r="AN531" s="123">
        <f t="shared" si="501"/>
        <v>0</v>
      </c>
      <c r="AO531" s="123">
        <f t="shared" si="501"/>
        <v>0</v>
      </c>
      <c r="AP531" s="123">
        <f t="shared" si="501"/>
        <v>0</v>
      </c>
      <c r="AQ531" s="123">
        <f t="shared" si="501"/>
        <v>0</v>
      </c>
      <c r="AR531" s="123">
        <f t="shared" si="501"/>
        <v>0</v>
      </c>
      <c r="AS531" s="123">
        <f t="shared" si="501"/>
        <v>0</v>
      </c>
      <c r="AT531" s="123">
        <f t="shared" si="501"/>
        <v>0</v>
      </c>
      <c r="AU531" s="123">
        <f t="shared" si="501"/>
        <v>0</v>
      </c>
      <c r="AV531" s="123">
        <f t="shared" si="501"/>
        <v>0</v>
      </c>
      <c r="AW531" s="123">
        <f t="shared" si="501"/>
        <v>0</v>
      </c>
      <c r="AX531" s="123">
        <f t="shared" si="501"/>
        <v>0</v>
      </c>
      <c r="AY531" s="123">
        <f t="shared" si="501"/>
        <v>0</v>
      </c>
      <c r="AZ531" s="123">
        <f t="shared" si="501"/>
        <v>0</v>
      </c>
      <c r="BA531" s="123">
        <f t="shared" si="501"/>
        <v>0</v>
      </c>
      <c r="BB531" s="123">
        <f t="shared" si="501"/>
        <v>0</v>
      </c>
      <c r="BC531" s="123">
        <f t="shared" si="501"/>
        <v>0</v>
      </c>
      <c r="BD531" s="123">
        <f t="shared" si="501"/>
        <v>0</v>
      </c>
      <c r="BE531" s="123">
        <f t="shared" si="501"/>
        <v>0</v>
      </c>
      <c r="BF531" s="123">
        <f t="shared" si="501"/>
        <v>0</v>
      </c>
      <c r="BG531" s="123">
        <f t="shared" si="501"/>
        <v>0</v>
      </c>
      <c r="BH531" s="123">
        <f t="shared" si="501"/>
        <v>0</v>
      </c>
      <c r="BI531" s="123">
        <f t="shared" si="501"/>
        <v>0</v>
      </c>
      <c r="BJ531" s="123">
        <f t="shared" si="501"/>
        <v>0</v>
      </c>
      <c r="BK531" s="123">
        <f t="shared" si="501"/>
        <v>0</v>
      </c>
      <c r="BL531" s="123">
        <f t="shared" si="501"/>
        <v>0</v>
      </c>
      <c r="BM531" s="123">
        <f t="shared" si="501"/>
        <v>0</v>
      </c>
      <c r="BN531" s="159">
        <f t="shared" si="501"/>
        <v>0</v>
      </c>
      <c r="BP531" s="367" t="s">
        <v>866</v>
      </c>
      <c r="BQ531" s="1494" t="str">
        <f t="shared" si="497"/>
        <v>GHG_Wooda = GHG_Wooda-1 + (C114 * BUI_COL(51+((A114-1)*8)+((D114-1)*32)) - BUI_COL(51+((A114-1)*8)+((E114-1)*32)) + F114 / 100 * BUI_COL(51+((A114-1)*8)+((E114-1)*32)) * BUI_COL5 / (J114-I114+1) / 1000000</v>
      </c>
      <c r="BR531" s="1494"/>
      <c r="BS531" s="1494"/>
      <c r="BT531" s="1494"/>
      <c r="BU531" s="1494"/>
      <c r="BV531" s="1494"/>
      <c r="BW531" s="1494"/>
      <c r="BX531" s="1494"/>
      <c r="BY531" s="1494"/>
      <c r="BZ531" s="1494"/>
      <c r="CA531" s="1494"/>
      <c r="CB531" s="1494"/>
      <c r="CC531" s="1494"/>
      <c r="CD531" s="1494"/>
      <c r="CE531" s="1494"/>
      <c r="CF531" s="1494"/>
      <c r="CG531" s="1494"/>
      <c r="CH531" s="1494"/>
      <c r="CI531" s="1494"/>
      <c r="CJ531" s="1494"/>
      <c r="CK531" s="1494"/>
      <c r="CL531" s="579" t="s">
        <v>2109</v>
      </c>
      <c r="CM531" s="579" t="s">
        <v>2110</v>
      </c>
      <c r="CN531" s="579" t="s">
        <v>2176</v>
      </c>
      <c r="CO531" s="579" t="s">
        <v>1250</v>
      </c>
    </row>
    <row r="532" spans="32:93" ht="20.100000000000001" customHeight="1">
      <c r="AF532" s="1560"/>
      <c r="AG532" s="107" t="s">
        <v>867</v>
      </c>
      <c r="AH532" s="107">
        <f>INDEX('DEFAULT DATA'!$WD$9:$WJ$41,START!$C$3,6)</f>
        <v>0</v>
      </c>
      <c r="AI532" s="115">
        <f>INDEX('DEFAULT DATA'!$YB$9:$AGQ$41,START!$C$3,(7+(($A$115-1)*8)+(($D$115-1)*32)))</f>
        <v>11119.015980662067</v>
      </c>
      <c r="AJ532" s="115">
        <f>INDEX('DEFAULT DATA'!$YB$9:$AGQ$41,START!$C$3,(7+(($A$115-1)*8)+(($E$115-1)*32)))</f>
        <v>2668.2792189088791</v>
      </c>
      <c r="AK532" s="180">
        <v>0</v>
      </c>
      <c r="AL532" s="123">
        <f t="shared" ref="AL532:BN532" si="502">IF(AND(AL$525&gt;($I$115+2020),AL$525&lt;($J$115+2022)),AK532+($C$115*(($AI$532-$AJ$532)+($F$115/100*$AJ$532))/($J$115-$I$115+1)*$AH$532/1000000),AK532)</f>
        <v>0</v>
      </c>
      <c r="AM532" s="123">
        <f t="shared" si="502"/>
        <v>0</v>
      </c>
      <c r="AN532" s="123">
        <f t="shared" si="502"/>
        <v>0</v>
      </c>
      <c r="AO532" s="123">
        <f t="shared" si="502"/>
        <v>0</v>
      </c>
      <c r="AP532" s="123">
        <f t="shared" si="502"/>
        <v>0</v>
      </c>
      <c r="AQ532" s="123">
        <f t="shared" si="502"/>
        <v>0</v>
      </c>
      <c r="AR532" s="123">
        <f t="shared" si="502"/>
        <v>0</v>
      </c>
      <c r="AS532" s="123">
        <f t="shared" si="502"/>
        <v>0</v>
      </c>
      <c r="AT532" s="123">
        <f t="shared" si="502"/>
        <v>0</v>
      </c>
      <c r="AU532" s="123">
        <f t="shared" si="502"/>
        <v>0</v>
      </c>
      <c r="AV532" s="123">
        <f t="shared" si="502"/>
        <v>0</v>
      </c>
      <c r="AW532" s="123">
        <f t="shared" si="502"/>
        <v>0</v>
      </c>
      <c r="AX532" s="123">
        <f t="shared" si="502"/>
        <v>0</v>
      </c>
      <c r="AY532" s="123">
        <f t="shared" si="502"/>
        <v>0</v>
      </c>
      <c r="AZ532" s="123">
        <f t="shared" si="502"/>
        <v>0</v>
      </c>
      <c r="BA532" s="123">
        <f t="shared" si="502"/>
        <v>0</v>
      </c>
      <c r="BB532" s="123">
        <f t="shared" si="502"/>
        <v>0</v>
      </c>
      <c r="BC532" s="123">
        <f t="shared" si="502"/>
        <v>0</v>
      </c>
      <c r="BD532" s="123">
        <f t="shared" si="502"/>
        <v>0</v>
      </c>
      <c r="BE532" s="123">
        <f t="shared" si="502"/>
        <v>0</v>
      </c>
      <c r="BF532" s="123">
        <f t="shared" si="502"/>
        <v>0</v>
      </c>
      <c r="BG532" s="123">
        <f t="shared" si="502"/>
        <v>0</v>
      </c>
      <c r="BH532" s="123">
        <f t="shared" si="502"/>
        <v>0</v>
      </c>
      <c r="BI532" s="123">
        <f t="shared" si="502"/>
        <v>0</v>
      </c>
      <c r="BJ532" s="123">
        <f t="shared" si="502"/>
        <v>0</v>
      </c>
      <c r="BK532" s="123">
        <f t="shared" si="502"/>
        <v>0</v>
      </c>
      <c r="BL532" s="123">
        <f t="shared" si="502"/>
        <v>0</v>
      </c>
      <c r="BM532" s="123">
        <f t="shared" si="502"/>
        <v>0</v>
      </c>
      <c r="BN532" s="159">
        <f t="shared" si="502"/>
        <v>0</v>
      </c>
      <c r="BP532" s="367" t="s">
        <v>867</v>
      </c>
      <c r="BQ532" s="1494" t="str">
        <f t="shared" si="497"/>
        <v>GHG_Renewablea = GHG_Renewablea-1 + (C114 * BUI_COL(51+((A114-1)*8)+((D114-1)*32)) - BUI_COL(51+((A114-1)*8)+((E114-1)*32)) + F114 / 100 * BUI_COL(51+((A114-1)*8)+((E114-1)*32)) * BUI_COL6 / (J114-I114+1) / 1000000</v>
      </c>
      <c r="BR532" s="1494"/>
      <c r="BS532" s="1494"/>
      <c r="BT532" s="1494"/>
      <c r="BU532" s="1494"/>
      <c r="BV532" s="1494"/>
      <c r="BW532" s="1494"/>
      <c r="BX532" s="1494"/>
      <c r="BY532" s="1494"/>
      <c r="BZ532" s="1494"/>
      <c r="CA532" s="1494"/>
      <c r="CB532" s="1494"/>
      <c r="CC532" s="1494"/>
      <c r="CD532" s="1494"/>
      <c r="CE532" s="1494"/>
      <c r="CF532" s="1494"/>
      <c r="CG532" s="1494"/>
      <c r="CH532" s="1494"/>
      <c r="CI532" s="1494"/>
      <c r="CJ532" s="1494"/>
      <c r="CK532" s="1494"/>
      <c r="CL532" s="579" t="s">
        <v>2109</v>
      </c>
      <c r="CM532" s="579" t="s">
        <v>2110</v>
      </c>
      <c r="CN532" s="579" t="s">
        <v>2176</v>
      </c>
      <c r="CO532" s="579" t="s">
        <v>1251</v>
      </c>
    </row>
    <row r="533" spans="32:93" ht="20.100000000000001" customHeight="1" thickBot="1">
      <c r="AF533" s="1561"/>
      <c r="AG533" s="146" t="s">
        <v>868</v>
      </c>
      <c r="AH533" s="146" t="s">
        <v>1123</v>
      </c>
      <c r="AI533" s="170">
        <f>INDEX('DEFAULT DATA'!$YB$9:$AGQ$41,START!$C$3,(8+(($A$115-1)*8)+(($D$115-1)*32)))</f>
        <v>2779.7539951655167</v>
      </c>
      <c r="AJ533" s="170">
        <f>INDEX('DEFAULT DATA'!$YB$9:$AGQ$41,START!$C$3,(8+(($A$115-1)*8)+(($E$115-1)*32)))</f>
        <v>667.06980472721978</v>
      </c>
      <c r="AK533" s="183">
        <v>0</v>
      </c>
      <c r="AL533" s="160">
        <f t="shared" ref="AL533:BN533" si="503">IF(AND(AL$525&gt;($I$115+2020),AL$525&lt;($J$115+2022)),AK533+($C$115*(($AI$533-$AJ$533)+($F$115/100*$AJ$533))/($J$115-$I$115+1)*AL$6/1000000),AK533)</f>
        <v>0</v>
      </c>
      <c r="AM533" s="160">
        <f t="shared" si="503"/>
        <v>0</v>
      </c>
      <c r="AN533" s="160">
        <f t="shared" si="503"/>
        <v>0</v>
      </c>
      <c r="AO533" s="160">
        <f t="shared" si="503"/>
        <v>0</v>
      </c>
      <c r="AP533" s="160">
        <f t="shared" si="503"/>
        <v>0</v>
      </c>
      <c r="AQ533" s="160">
        <f t="shared" si="503"/>
        <v>0</v>
      </c>
      <c r="AR533" s="160">
        <f t="shared" si="503"/>
        <v>0</v>
      </c>
      <c r="AS533" s="160">
        <f t="shared" si="503"/>
        <v>0</v>
      </c>
      <c r="AT533" s="160">
        <f t="shared" si="503"/>
        <v>0</v>
      </c>
      <c r="AU533" s="160">
        <f t="shared" si="503"/>
        <v>0</v>
      </c>
      <c r="AV533" s="160">
        <f t="shared" si="503"/>
        <v>0</v>
      </c>
      <c r="AW533" s="160">
        <f t="shared" si="503"/>
        <v>0</v>
      </c>
      <c r="AX533" s="160">
        <f t="shared" si="503"/>
        <v>0</v>
      </c>
      <c r="AY533" s="160">
        <f t="shared" si="503"/>
        <v>0</v>
      </c>
      <c r="AZ533" s="160">
        <f t="shared" si="503"/>
        <v>0</v>
      </c>
      <c r="BA533" s="160">
        <f t="shared" si="503"/>
        <v>0</v>
      </c>
      <c r="BB533" s="160">
        <f t="shared" si="503"/>
        <v>0</v>
      </c>
      <c r="BC533" s="160">
        <f t="shared" si="503"/>
        <v>0</v>
      </c>
      <c r="BD533" s="160">
        <f t="shared" si="503"/>
        <v>0</v>
      </c>
      <c r="BE533" s="160">
        <f t="shared" si="503"/>
        <v>0</v>
      </c>
      <c r="BF533" s="160">
        <f t="shared" si="503"/>
        <v>0</v>
      </c>
      <c r="BG533" s="160">
        <f t="shared" si="503"/>
        <v>0</v>
      </c>
      <c r="BH533" s="160">
        <f t="shared" si="503"/>
        <v>0</v>
      </c>
      <c r="BI533" s="160">
        <f t="shared" si="503"/>
        <v>0</v>
      </c>
      <c r="BJ533" s="160">
        <f t="shared" si="503"/>
        <v>0</v>
      </c>
      <c r="BK533" s="160">
        <f t="shared" si="503"/>
        <v>0</v>
      </c>
      <c r="BL533" s="160">
        <f t="shared" si="503"/>
        <v>0</v>
      </c>
      <c r="BM533" s="160">
        <f t="shared" si="503"/>
        <v>0</v>
      </c>
      <c r="BN533" s="161">
        <f t="shared" si="503"/>
        <v>0</v>
      </c>
      <c r="BP533" s="367" t="s">
        <v>868</v>
      </c>
      <c r="BQ533" s="1494" t="str">
        <f t="shared" si="497"/>
        <v>GHG_Heata = GHG_Heata-1 + (C114 * BUI_COL(51+((A114-1)*8)+((D114-1)*32)) - BUI_COL(51+((A114-1)*8)+((E114-1)*32)) + F114 / 100 * BUI_COL(51+((A114-1)*8)+((E114-1)*32)) * DISTRICT_HEATING_emission_factora (from row 5) / (J114-I114+1) / 1000000</v>
      </c>
      <c r="BR533" s="1494"/>
      <c r="BS533" s="1494"/>
      <c r="BT533" s="1494"/>
      <c r="BU533" s="1494"/>
      <c r="BV533" s="1494"/>
      <c r="BW533" s="1494"/>
      <c r="BX533" s="1494"/>
      <c r="BY533" s="1494"/>
      <c r="BZ533" s="1494"/>
      <c r="CA533" s="1494"/>
      <c r="CB533" s="1494"/>
      <c r="CC533" s="1494"/>
      <c r="CD533" s="1494"/>
      <c r="CE533" s="1494"/>
      <c r="CF533" s="1494"/>
      <c r="CG533" s="1494"/>
      <c r="CH533" s="1494"/>
      <c r="CI533" s="1494"/>
      <c r="CJ533" s="1494"/>
      <c r="CK533" s="1494"/>
      <c r="CL533" s="579" t="s">
        <v>2109</v>
      </c>
      <c r="CM533" s="579" t="s">
        <v>2110</v>
      </c>
      <c r="CN533" s="579" t="s">
        <v>2176</v>
      </c>
      <c r="CO533" s="579" t="s">
        <v>1508</v>
      </c>
    </row>
    <row r="534" spans="32:93" ht="20.100000000000001" customHeight="1">
      <c r="AF534" s="167"/>
      <c r="AG534" s="144" t="s">
        <v>211</v>
      </c>
      <c r="AH534" s="145"/>
      <c r="AI534" s="145"/>
      <c r="AJ534" s="145"/>
      <c r="AK534" s="177">
        <v>0</v>
      </c>
      <c r="AL534" s="162">
        <f>SUM(AL526:AL533)</f>
        <v>0</v>
      </c>
      <c r="AM534" s="162">
        <f t="shared" ref="AM534:BN534" si="504">SUM(AM526:AM533)</f>
        <v>0</v>
      </c>
      <c r="AN534" s="162">
        <f t="shared" si="504"/>
        <v>0</v>
      </c>
      <c r="AO534" s="162">
        <f t="shared" si="504"/>
        <v>0</v>
      </c>
      <c r="AP534" s="162">
        <f t="shared" si="504"/>
        <v>0</v>
      </c>
      <c r="AQ534" s="162">
        <f t="shared" si="504"/>
        <v>0</v>
      </c>
      <c r="AR534" s="162">
        <f t="shared" si="504"/>
        <v>0</v>
      </c>
      <c r="AS534" s="162">
        <f t="shared" si="504"/>
        <v>0</v>
      </c>
      <c r="AT534" s="162">
        <f t="shared" si="504"/>
        <v>0</v>
      </c>
      <c r="AU534" s="162">
        <f t="shared" si="504"/>
        <v>0</v>
      </c>
      <c r="AV534" s="162">
        <f t="shared" si="504"/>
        <v>0</v>
      </c>
      <c r="AW534" s="162">
        <f t="shared" si="504"/>
        <v>0</v>
      </c>
      <c r="AX534" s="162">
        <f t="shared" si="504"/>
        <v>0</v>
      </c>
      <c r="AY534" s="162">
        <f t="shared" si="504"/>
        <v>0</v>
      </c>
      <c r="AZ534" s="162">
        <f t="shared" si="504"/>
        <v>0</v>
      </c>
      <c r="BA534" s="162">
        <f t="shared" si="504"/>
        <v>0</v>
      </c>
      <c r="BB534" s="162">
        <f t="shared" si="504"/>
        <v>0</v>
      </c>
      <c r="BC534" s="162">
        <f t="shared" si="504"/>
        <v>0</v>
      </c>
      <c r="BD534" s="162">
        <f t="shared" si="504"/>
        <v>0</v>
      </c>
      <c r="BE534" s="162">
        <f t="shared" si="504"/>
        <v>0</v>
      </c>
      <c r="BF534" s="162">
        <f t="shared" si="504"/>
        <v>0</v>
      </c>
      <c r="BG534" s="162">
        <f t="shared" si="504"/>
        <v>0</v>
      </c>
      <c r="BH534" s="162">
        <f t="shared" si="504"/>
        <v>0</v>
      </c>
      <c r="BI534" s="162">
        <f t="shared" si="504"/>
        <v>0</v>
      </c>
      <c r="BJ534" s="162">
        <f t="shared" si="504"/>
        <v>0</v>
      </c>
      <c r="BK534" s="162">
        <f t="shared" si="504"/>
        <v>0</v>
      </c>
      <c r="BL534" s="162">
        <f t="shared" si="504"/>
        <v>0</v>
      </c>
      <c r="BM534" s="162">
        <f t="shared" si="504"/>
        <v>0</v>
      </c>
      <c r="BN534" s="162">
        <f t="shared" si="504"/>
        <v>0</v>
      </c>
    </row>
    <row r="536" spans="32:93" ht="20.100000000000001" customHeight="1" thickBot="1">
      <c r="AF536" s="168" t="s">
        <v>1099</v>
      </c>
      <c r="AG536" s="168"/>
      <c r="AH536" s="169" t="s">
        <v>620</v>
      </c>
      <c r="AI536" s="135" t="s">
        <v>898</v>
      </c>
      <c r="AJ536" s="135" t="s">
        <v>899</v>
      </c>
      <c r="AK536" s="181">
        <v>2021</v>
      </c>
      <c r="AL536" s="135">
        <v>2022</v>
      </c>
      <c r="AM536" s="135">
        <v>2023</v>
      </c>
      <c r="AN536" s="135">
        <v>2024</v>
      </c>
      <c r="AO536" s="135">
        <v>2025</v>
      </c>
      <c r="AP536" s="135">
        <v>2026</v>
      </c>
      <c r="AQ536" s="135">
        <v>2027</v>
      </c>
      <c r="AR536" s="135">
        <v>2028</v>
      </c>
      <c r="AS536" s="135">
        <v>2029</v>
      </c>
      <c r="AT536" s="135">
        <v>2030</v>
      </c>
      <c r="AU536" s="135">
        <v>2031</v>
      </c>
      <c r="AV536" s="135">
        <v>2032</v>
      </c>
      <c r="AW536" s="135">
        <v>2033</v>
      </c>
      <c r="AX536" s="135">
        <v>2034</v>
      </c>
      <c r="AY536" s="135">
        <v>2035</v>
      </c>
      <c r="AZ536" s="135">
        <v>2036</v>
      </c>
      <c r="BA536" s="135">
        <v>2037</v>
      </c>
      <c r="BB536" s="135">
        <v>2038</v>
      </c>
      <c r="BC536" s="135">
        <v>2039</v>
      </c>
      <c r="BD536" s="135">
        <v>2040</v>
      </c>
      <c r="BE536" s="135">
        <v>2041</v>
      </c>
      <c r="BF536" s="135">
        <v>2042</v>
      </c>
      <c r="BG536" s="135">
        <v>2043</v>
      </c>
      <c r="BH536" s="135">
        <v>2044</v>
      </c>
      <c r="BI536" s="135">
        <v>2045</v>
      </c>
      <c r="BJ536" s="135">
        <v>2046</v>
      </c>
      <c r="BK536" s="135">
        <v>2047</v>
      </c>
      <c r="BL536" s="135">
        <v>2048</v>
      </c>
      <c r="BM536" s="135">
        <v>2049</v>
      </c>
      <c r="BN536" s="135">
        <v>2050</v>
      </c>
      <c r="BQ536" s="130" t="s">
        <v>2179</v>
      </c>
      <c r="CL536" s="386" t="s">
        <v>2091</v>
      </c>
      <c r="CM536" s="6" t="s">
        <v>2092</v>
      </c>
      <c r="CN536" s="6" t="s">
        <v>2172</v>
      </c>
      <c r="CO536" s="245" t="s">
        <v>1224</v>
      </c>
    </row>
    <row r="537" spans="32:93" ht="20.100000000000001" customHeight="1">
      <c r="AF537" s="1559" t="str">
        <f>INDEX('MENU OPTIONS'!B27:B30,A116,1)</f>
        <v>Terraced</v>
      </c>
      <c r="AG537" s="137" t="s">
        <v>578</v>
      </c>
      <c r="AH537" s="137" t="s">
        <v>1122</v>
      </c>
      <c r="AI537" s="165">
        <f>INDEX('DEFAULT DATA'!$YB$9:$AGQ$41,START!$C$3,(1+(($A$116-1)*8)+(($D$116-1)*32)))</f>
        <v>2417.8925283392368</v>
      </c>
      <c r="AJ537" s="165">
        <f>INDEX('DEFAULT DATA'!$YB$9:$AGQ$41,START!$C$3,(1+(($A$116-1)*8)+(($E$116-1)*32)))</f>
        <v>580.23231535444563</v>
      </c>
      <c r="AK537" s="178">
        <v>0</v>
      </c>
      <c r="AL537" s="157">
        <f t="shared" ref="AL537:BN537" si="505">IF(AND(AL$536&gt;($I$116+2020),AL$536&lt;($J$116+2022)),AK537+(AL$5*($AI$537-$AJ$537)*$C$116*((100-$F$116)/100)/($J$116-$I$116+1)/1000000),AK537)</f>
        <v>0</v>
      </c>
      <c r="AM537" s="157">
        <f t="shared" si="505"/>
        <v>0</v>
      </c>
      <c r="AN537" s="157">
        <f t="shared" si="505"/>
        <v>0</v>
      </c>
      <c r="AO537" s="157">
        <f t="shared" si="505"/>
        <v>0</v>
      </c>
      <c r="AP537" s="157">
        <f t="shared" si="505"/>
        <v>0</v>
      </c>
      <c r="AQ537" s="157">
        <f t="shared" si="505"/>
        <v>0</v>
      </c>
      <c r="AR537" s="157">
        <f t="shared" si="505"/>
        <v>0</v>
      </c>
      <c r="AS537" s="157">
        <f t="shared" si="505"/>
        <v>0</v>
      </c>
      <c r="AT537" s="157">
        <f t="shared" si="505"/>
        <v>0</v>
      </c>
      <c r="AU537" s="157">
        <f t="shared" si="505"/>
        <v>0</v>
      </c>
      <c r="AV537" s="157">
        <f t="shared" si="505"/>
        <v>0</v>
      </c>
      <c r="AW537" s="157">
        <f t="shared" si="505"/>
        <v>0</v>
      </c>
      <c r="AX537" s="157">
        <f t="shared" si="505"/>
        <v>0</v>
      </c>
      <c r="AY537" s="157">
        <f t="shared" si="505"/>
        <v>0</v>
      </c>
      <c r="AZ537" s="157">
        <f t="shared" si="505"/>
        <v>0</v>
      </c>
      <c r="BA537" s="157">
        <f t="shared" si="505"/>
        <v>0</v>
      </c>
      <c r="BB537" s="157">
        <f t="shared" si="505"/>
        <v>0</v>
      </c>
      <c r="BC537" s="157">
        <f t="shared" si="505"/>
        <v>0</v>
      </c>
      <c r="BD537" s="157">
        <f t="shared" si="505"/>
        <v>0</v>
      </c>
      <c r="BE537" s="157">
        <f t="shared" si="505"/>
        <v>0</v>
      </c>
      <c r="BF537" s="157">
        <f t="shared" si="505"/>
        <v>0</v>
      </c>
      <c r="BG537" s="157">
        <f t="shared" si="505"/>
        <v>0</v>
      </c>
      <c r="BH537" s="157">
        <f t="shared" si="505"/>
        <v>0</v>
      </c>
      <c r="BI537" s="157">
        <f t="shared" si="505"/>
        <v>0</v>
      </c>
      <c r="BJ537" s="157">
        <f t="shared" si="505"/>
        <v>0</v>
      </c>
      <c r="BK537" s="157">
        <f t="shared" si="505"/>
        <v>0</v>
      </c>
      <c r="BL537" s="157">
        <f t="shared" si="505"/>
        <v>0</v>
      </c>
      <c r="BM537" s="157">
        <f t="shared" si="505"/>
        <v>0</v>
      </c>
      <c r="BN537" s="158">
        <f t="shared" si="505"/>
        <v>0</v>
      </c>
      <c r="BP537" s="367" t="s">
        <v>578</v>
      </c>
      <c r="BQ537" s="1494" t="str">
        <f>CONCATENATE("GHG_",BP537,"a = GHG_",BP537,"a-1 + (C115 * ",CL537," - ",CM537," + F115 / 100 * ",CM537," * ",CO537," / (",CN537,") / 1000000")</f>
        <v>GHG_Electricitya = GHG_Electricitya-1 + (C115 * BUI_COL(51+((A115-1)*8)+((D115-1)*32)) - BUI_COL(51+((A115-1)*8)+((E115-1)*32)) + F115 / 100 * BUI_COL(51+((A115-1)*8)+((E115-1)*32)) * GRID_ELECTRICITY_emission_factora (from row4) / (J115-I115+1) / 1000000</v>
      </c>
      <c r="BR537" s="1494"/>
      <c r="BS537" s="1494"/>
      <c r="BT537" s="1494"/>
      <c r="BU537" s="1494"/>
      <c r="BV537" s="1494"/>
      <c r="BW537" s="1494"/>
      <c r="BX537" s="1494"/>
      <c r="BY537" s="1494"/>
      <c r="BZ537" s="1494"/>
      <c r="CA537" s="1494"/>
      <c r="CB537" s="1494"/>
      <c r="CC537" s="1494"/>
      <c r="CD537" s="1494"/>
      <c r="CE537" s="1494"/>
      <c r="CF537" s="1494"/>
      <c r="CG537" s="1494"/>
      <c r="CH537" s="1494"/>
      <c r="CI537" s="1494"/>
      <c r="CJ537" s="1494"/>
      <c r="CK537" s="1494"/>
      <c r="CL537" s="579" t="s">
        <v>2111</v>
      </c>
      <c r="CM537" s="579" t="s">
        <v>2112</v>
      </c>
      <c r="CN537" s="579" t="s">
        <v>2180</v>
      </c>
      <c r="CO537" s="579" t="s">
        <v>1507</v>
      </c>
    </row>
    <row r="538" spans="32:93" ht="20.100000000000001" customHeight="1">
      <c r="AF538" s="1560"/>
      <c r="AG538" s="107" t="s">
        <v>862</v>
      </c>
      <c r="AH538" s="107">
        <f>INDEX('DEFAULT DATA'!$WD$9:$WJ$41,START!$C$3,1)</f>
        <v>202</v>
      </c>
      <c r="AI538" s="115">
        <f>INDEX('DEFAULT DATA'!$YB$9:$AGQ$41,START!$C$3,(2+(($A$116-1)*8)+(($D$116-1)*32)))</f>
        <v>5526.6114933468261</v>
      </c>
      <c r="AJ538" s="115">
        <f>INDEX('DEFAULT DATA'!$YB$9:$AGQ$41,START!$C$3,(2+(($A$116-1)*8)+(($E$116-1)*32)))</f>
        <v>0</v>
      </c>
      <c r="AK538" s="180">
        <v>0</v>
      </c>
      <c r="AL538" s="123">
        <f t="shared" ref="AL538:BN538" si="506">IF(AND(AL$536&gt;($I$116+2020),AL$536&lt;($J$116+2022)),AK538+($AH$538*($AI$538-$AJ$538)*$C$116*((100-$F$116)/100)/($J$116-$I$116+1)/1000000),AK538)</f>
        <v>0</v>
      </c>
      <c r="AM538" s="123">
        <f t="shared" si="506"/>
        <v>0</v>
      </c>
      <c r="AN538" s="123">
        <f t="shared" si="506"/>
        <v>0</v>
      </c>
      <c r="AO538" s="123">
        <f t="shared" si="506"/>
        <v>0</v>
      </c>
      <c r="AP538" s="123">
        <f t="shared" si="506"/>
        <v>0</v>
      </c>
      <c r="AQ538" s="123">
        <f t="shared" si="506"/>
        <v>0</v>
      </c>
      <c r="AR538" s="123">
        <f t="shared" si="506"/>
        <v>0</v>
      </c>
      <c r="AS538" s="123">
        <f t="shared" si="506"/>
        <v>0</v>
      </c>
      <c r="AT538" s="123">
        <f t="shared" si="506"/>
        <v>0</v>
      </c>
      <c r="AU538" s="123">
        <f t="shared" si="506"/>
        <v>0</v>
      </c>
      <c r="AV538" s="123">
        <f t="shared" si="506"/>
        <v>0</v>
      </c>
      <c r="AW538" s="123">
        <f t="shared" si="506"/>
        <v>0</v>
      </c>
      <c r="AX538" s="123">
        <f t="shared" si="506"/>
        <v>0</v>
      </c>
      <c r="AY538" s="123">
        <f t="shared" si="506"/>
        <v>0</v>
      </c>
      <c r="AZ538" s="123">
        <f t="shared" si="506"/>
        <v>0</v>
      </c>
      <c r="BA538" s="123">
        <f t="shared" si="506"/>
        <v>0</v>
      </c>
      <c r="BB538" s="123">
        <f t="shared" si="506"/>
        <v>0</v>
      </c>
      <c r="BC538" s="123">
        <f t="shared" si="506"/>
        <v>0</v>
      </c>
      <c r="BD538" s="123">
        <f t="shared" si="506"/>
        <v>0</v>
      </c>
      <c r="BE538" s="123">
        <f t="shared" si="506"/>
        <v>0</v>
      </c>
      <c r="BF538" s="123">
        <f t="shared" si="506"/>
        <v>0</v>
      </c>
      <c r="BG538" s="123">
        <f t="shared" si="506"/>
        <v>0</v>
      </c>
      <c r="BH538" s="123">
        <f t="shared" si="506"/>
        <v>0</v>
      </c>
      <c r="BI538" s="123">
        <f t="shared" si="506"/>
        <v>0</v>
      </c>
      <c r="BJ538" s="123">
        <f t="shared" si="506"/>
        <v>0</v>
      </c>
      <c r="BK538" s="123">
        <f t="shared" si="506"/>
        <v>0</v>
      </c>
      <c r="BL538" s="123">
        <f t="shared" si="506"/>
        <v>0</v>
      </c>
      <c r="BM538" s="123">
        <f t="shared" si="506"/>
        <v>0</v>
      </c>
      <c r="BN538" s="159">
        <f t="shared" si="506"/>
        <v>0</v>
      </c>
      <c r="BP538" s="367" t="s">
        <v>862</v>
      </c>
      <c r="BQ538" s="1494" t="str">
        <f t="shared" ref="BQ538:BQ544" si="507">CONCATENATE("GHG_",BP538,"a = GHG_",BP538,"a-1 + (C115 * ",CL538," - ",CM538," + F115 / 100 * ",CM538," * ",CO538," / (J115-I115+1) / 1000000")</f>
        <v>GHG_Gasa = GHG_Gasa-1 + (C115 * BUI_COL(51+((A115-1)*8)+((D115-1)*32)) - BUI_COL(51+((A115-1)*8)+((E115-1)*32)) + F115 / 100 * BUI_COL(51+((A115-1)*8)+((E115-1)*32)) * BUI_COL1 / (J115-I115+1) / 1000000</v>
      </c>
      <c r="BR538" s="1494"/>
      <c r="BS538" s="1494"/>
      <c r="BT538" s="1494"/>
      <c r="BU538" s="1494"/>
      <c r="BV538" s="1494"/>
      <c r="BW538" s="1494"/>
      <c r="BX538" s="1494"/>
      <c r="BY538" s="1494"/>
      <c r="BZ538" s="1494"/>
      <c r="CA538" s="1494"/>
      <c r="CB538" s="1494"/>
      <c r="CC538" s="1494"/>
      <c r="CD538" s="1494"/>
      <c r="CE538" s="1494"/>
      <c r="CF538" s="1494"/>
      <c r="CG538" s="1494"/>
      <c r="CH538" s="1494"/>
      <c r="CI538" s="1494"/>
      <c r="CJ538" s="1494"/>
      <c r="CK538" s="1494"/>
      <c r="CL538" s="579" t="s">
        <v>2111</v>
      </c>
      <c r="CM538" s="579" t="s">
        <v>2112</v>
      </c>
      <c r="CN538" s="579" t="s">
        <v>2180</v>
      </c>
      <c r="CO538" s="579" t="s">
        <v>886</v>
      </c>
    </row>
    <row r="539" spans="32:93" ht="20.100000000000001" customHeight="1">
      <c r="AF539" s="1560"/>
      <c r="AG539" s="107" t="s">
        <v>863</v>
      </c>
      <c r="AH539" s="107">
        <f>INDEX('DEFAULT DATA'!$WD$9:$WJ$41,START!$C$3,2)</f>
        <v>267</v>
      </c>
      <c r="AI539" s="115">
        <f>INDEX('DEFAULT DATA'!$YB$9:$AGQ$41,START!$C$3,(3+(($A$116-1)*8)+(($D$116-1)*32)))</f>
        <v>690.82643666835327</v>
      </c>
      <c r="AJ539" s="115">
        <f>INDEX('DEFAULT DATA'!$YB$9:$AGQ$41,START!$C$3,(3+(($A$116-1)*8)+(($E$116-1)*32)))</f>
        <v>0</v>
      </c>
      <c r="AK539" s="180">
        <v>0</v>
      </c>
      <c r="AL539" s="123">
        <f t="shared" ref="AL539:BN539" si="508">IF(AND(AL$536&gt;($I$116+2020),AL$536&lt;($J$116+2022)),AK539+($AH$539*($AI$539-$AJ$539)*$C$116*((100-$F$116)/100)/($J$116-$I$116+1)/1000000),AK539)</f>
        <v>0</v>
      </c>
      <c r="AM539" s="123">
        <f t="shared" si="508"/>
        <v>0</v>
      </c>
      <c r="AN539" s="123">
        <f t="shared" si="508"/>
        <v>0</v>
      </c>
      <c r="AO539" s="123">
        <f t="shared" si="508"/>
        <v>0</v>
      </c>
      <c r="AP539" s="123">
        <f t="shared" si="508"/>
        <v>0</v>
      </c>
      <c r="AQ539" s="123">
        <f t="shared" si="508"/>
        <v>0</v>
      </c>
      <c r="AR539" s="123">
        <f t="shared" si="508"/>
        <v>0</v>
      </c>
      <c r="AS539" s="123">
        <f t="shared" si="508"/>
        <v>0</v>
      </c>
      <c r="AT539" s="123">
        <f t="shared" si="508"/>
        <v>0</v>
      </c>
      <c r="AU539" s="123">
        <f t="shared" si="508"/>
        <v>0</v>
      </c>
      <c r="AV539" s="123">
        <f t="shared" si="508"/>
        <v>0</v>
      </c>
      <c r="AW539" s="123">
        <f t="shared" si="508"/>
        <v>0</v>
      </c>
      <c r="AX539" s="123">
        <f t="shared" si="508"/>
        <v>0</v>
      </c>
      <c r="AY539" s="123">
        <f t="shared" si="508"/>
        <v>0</v>
      </c>
      <c r="AZ539" s="123">
        <f t="shared" si="508"/>
        <v>0</v>
      </c>
      <c r="BA539" s="123">
        <f t="shared" si="508"/>
        <v>0</v>
      </c>
      <c r="BB539" s="123">
        <f t="shared" si="508"/>
        <v>0</v>
      </c>
      <c r="BC539" s="123">
        <f t="shared" si="508"/>
        <v>0</v>
      </c>
      <c r="BD539" s="123">
        <f t="shared" si="508"/>
        <v>0</v>
      </c>
      <c r="BE539" s="123">
        <f t="shared" si="508"/>
        <v>0</v>
      </c>
      <c r="BF539" s="123">
        <f t="shared" si="508"/>
        <v>0</v>
      </c>
      <c r="BG539" s="123">
        <f t="shared" si="508"/>
        <v>0</v>
      </c>
      <c r="BH539" s="123">
        <f t="shared" si="508"/>
        <v>0</v>
      </c>
      <c r="BI539" s="123">
        <f t="shared" si="508"/>
        <v>0</v>
      </c>
      <c r="BJ539" s="123">
        <f t="shared" si="508"/>
        <v>0</v>
      </c>
      <c r="BK539" s="123">
        <f t="shared" si="508"/>
        <v>0</v>
      </c>
      <c r="BL539" s="123">
        <f t="shared" si="508"/>
        <v>0</v>
      </c>
      <c r="BM539" s="123">
        <f t="shared" si="508"/>
        <v>0</v>
      </c>
      <c r="BN539" s="159">
        <f t="shared" si="508"/>
        <v>0</v>
      </c>
      <c r="BP539" s="367" t="s">
        <v>863</v>
      </c>
      <c r="BQ539" s="1494" t="str">
        <f t="shared" si="507"/>
        <v>GHG_Oila = GHG_Oila-1 + (C115 * BUI_COL(51+((A115-1)*8)+((D115-1)*32)) - BUI_COL(51+((A115-1)*8)+((E115-1)*32)) + F115 / 100 * BUI_COL(51+((A115-1)*8)+((E115-1)*32)) * BUI_COL2 / (J115-I115+1) / 1000000</v>
      </c>
      <c r="BR539" s="1494"/>
      <c r="BS539" s="1494"/>
      <c r="BT539" s="1494"/>
      <c r="BU539" s="1494"/>
      <c r="BV539" s="1494"/>
      <c r="BW539" s="1494"/>
      <c r="BX539" s="1494"/>
      <c r="BY539" s="1494"/>
      <c r="BZ539" s="1494"/>
      <c r="CA539" s="1494"/>
      <c r="CB539" s="1494"/>
      <c r="CC539" s="1494"/>
      <c r="CD539" s="1494"/>
      <c r="CE539" s="1494"/>
      <c r="CF539" s="1494"/>
      <c r="CG539" s="1494"/>
      <c r="CH539" s="1494"/>
      <c r="CI539" s="1494"/>
      <c r="CJ539" s="1494"/>
      <c r="CK539" s="1494"/>
      <c r="CL539" s="579" t="s">
        <v>2111</v>
      </c>
      <c r="CM539" s="579" t="s">
        <v>2112</v>
      </c>
      <c r="CN539" s="579" t="s">
        <v>2180</v>
      </c>
      <c r="CO539" s="579" t="s">
        <v>1247</v>
      </c>
    </row>
    <row r="540" spans="32:93" ht="20.100000000000001" customHeight="1">
      <c r="AF540" s="1560"/>
      <c r="AG540" s="107" t="s">
        <v>864</v>
      </c>
      <c r="AH540" s="107">
        <f>INDEX('DEFAULT DATA'!$WD$9:$WJ$41,START!$C$3,3)</f>
        <v>354</v>
      </c>
      <c r="AI540" s="115">
        <f>INDEX('DEFAULT DATA'!$YB$9:$AGQ$41,START!$C$3,(4+(($A$116-1)*8)+(($D$116-1)*32)))</f>
        <v>0</v>
      </c>
      <c r="AJ540" s="115">
        <f>INDEX('DEFAULT DATA'!$YB$9:$AGQ$41,START!$C$3,(4+(($A$116-1)*8)+(($E$116-1)*32)))</f>
        <v>0</v>
      </c>
      <c r="AK540" s="180">
        <v>0</v>
      </c>
      <c r="AL540" s="123">
        <f t="shared" ref="AL540:BN540" si="509">IF(AND(AL$536&gt;($I$116+2020),AL$536&lt;($J$116+2022)),AK540+($AH$540*($AI$540-$AJ$540)*$C$116*((100-$F$116)/100)/($J$116-$I$116+1)/1000000),AK540)</f>
        <v>0</v>
      </c>
      <c r="AM540" s="123">
        <f t="shared" si="509"/>
        <v>0</v>
      </c>
      <c r="AN540" s="123">
        <f t="shared" si="509"/>
        <v>0</v>
      </c>
      <c r="AO540" s="123">
        <f t="shared" si="509"/>
        <v>0</v>
      </c>
      <c r="AP540" s="123">
        <f t="shared" si="509"/>
        <v>0</v>
      </c>
      <c r="AQ540" s="123">
        <f t="shared" si="509"/>
        <v>0</v>
      </c>
      <c r="AR540" s="123">
        <f t="shared" si="509"/>
        <v>0</v>
      </c>
      <c r="AS540" s="123">
        <f t="shared" si="509"/>
        <v>0</v>
      </c>
      <c r="AT540" s="123">
        <f t="shared" si="509"/>
        <v>0</v>
      </c>
      <c r="AU540" s="123">
        <f t="shared" si="509"/>
        <v>0</v>
      </c>
      <c r="AV540" s="123">
        <f t="shared" si="509"/>
        <v>0</v>
      </c>
      <c r="AW540" s="123">
        <f t="shared" si="509"/>
        <v>0</v>
      </c>
      <c r="AX540" s="123">
        <f t="shared" si="509"/>
        <v>0</v>
      </c>
      <c r="AY540" s="123">
        <f t="shared" si="509"/>
        <v>0</v>
      </c>
      <c r="AZ540" s="123">
        <f t="shared" si="509"/>
        <v>0</v>
      </c>
      <c r="BA540" s="123">
        <f t="shared" si="509"/>
        <v>0</v>
      </c>
      <c r="BB540" s="123">
        <f t="shared" si="509"/>
        <v>0</v>
      </c>
      <c r="BC540" s="123">
        <f t="shared" si="509"/>
        <v>0</v>
      </c>
      <c r="BD540" s="123">
        <f t="shared" si="509"/>
        <v>0</v>
      </c>
      <c r="BE540" s="123">
        <f t="shared" si="509"/>
        <v>0</v>
      </c>
      <c r="BF540" s="123">
        <f t="shared" si="509"/>
        <v>0</v>
      </c>
      <c r="BG540" s="123">
        <f t="shared" si="509"/>
        <v>0</v>
      </c>
      <c r="BH540" s="123">
        <f t="shared" si="509"/>
        <v>0</v>
      </c>
      <c r="BI540" s="123">
        <f t="shared" si="509"/>
        <v>0</v>
      </c>
      <c r="BJ540" s="123">
        <f t="shared" si="509"/>
        <v>0</v>
      </c>
      <c r="BK540" s="123">
        <f t="shared" si="509"/>
        <v>0</v>
      </c>
      <c r="BL540" s="123">
        <f t="shared" si="509"/>
        <v>0</v>
      </c>
      <c r="BM540" s="123">
        <f t="shared" si="509"/>
        <v>0</v>
      </c>
      <c r="BN540" s="159">
        <f t="shared" si="509"/>
        <v>0</v>
      </c>
      <c r="BP540" s="367" t="s">
        <v>864</v>
      </c>
      <c r="BQ540" s="1494" t="str">
        <f t="shared" si="507"/>
        <v>GHG_Coala = GHG_Coala-1 + (C115 * BUI_COL(51+((A115-1)*8)+((D115-1)*32)) - BUI_COL(51+((A115-1)*8)+((E115-1)*32)) + F115 / 100 * BUI_COL(51+((A115-1)*8)+((E115-1)*32)) * BUI_COL3 / (J115-I115+1) / 1000000</v>
      </c>
      <c r="BR540" s="1494"/>
      <c r="BS540" s="1494"/>
      <c r="BT540" s="1494"/>
      <c r="BU540" s="1494"/>
      <c r="BV540" s="1494"/>
      <c r="BW540" s="1494"/>
      <c r="BX540" s="1494"/>
      <c r="BY540" s="1494"/>
      <c r="BZ540" s="1494"/>
      <c r="CA540" s="1494"/>
      <c r="CB540" s="1494"/>
      <c r="CC540" s="1494"/>
      <c r="CD540" s="1494"/>
      <c r="CE540" s="1494"/>
      <c r="CF540" s="1494"/>
      <c r="CG540" s="1494"/>
      <c r="CH540" s="1494"/>
      <c r="CI540" s="1494"/>
      <c r="CJ540" s="1494"/>
      <c r="CK540" s="1494"/>
      <c r="CL540" s="579" t="s">
        <v>2111</v>
      </c>
      <c r="CM540" s="579" t="s">
        <v>2112</v>
      </c>
      <c r="CN540" s="579" t="s">
        <v>2180</v>
      </c>
      <c r="CO540" s="579" t="s">
        <v>1248</v>
      </c>
    </row>
    <row r="541" spans="32:93" ht="20.100000000000001" customHeight="1">
      <c r="AF541" s="1560"/>
      <c r="AG541" s="107" t="s">
        <v>865</v>
      </c>
      <c r="AH541" s="107">
        <f>INDEX('DEFAULT DATA'!$WD$9:$WJ$41,START!$C$3,4)</f>
        <v>382</v>
      </c>
      <c r="AI541" s="115">
        <f>INDEX('DEFAULT DATA'!$YB$9:$AGQ$41,START!$C$3,(5+(($A$116-1)*8)+(($D$116-1)*32)))</f>
        <v>0</v>
      </c>
      <c r="AJ541" s="115">
        <f>INDEX('DEFAULT DATA'!$YB$9:$AGQ$41,START!$C$3,(5+(($A$116-1)*8)+(($E$116-1)*32)))</f>
        <v>0</v>
      </c>
      <c r="AK541" s="180">
        <v>0</v>
      </c>
      <c r="AL541" s="123">
        <f t="shared" ref="AL541:BN541" si="510">IF(AND(AL$536&gt;($I$116+2020),AL$536&lt;($J$116+2022)),AK541+($AH$541*($AI$541-$AJ$541)*$C$116*((100-$F$116)/100)/($J$116-$I$116+1)/1000000),AK541)</f>
        <v>0</v>
      </c>
      <c r="AM541" s="123">
        <f t="shared" si="510"/>
        <v>0</v>
      </c>
      <c r="AN541" s="123">
        <f t="shared" si="510"/>
        <v>0</v>
      </c>
      <c r="AO541" s="123">
        <f t="shared" si="510"/>
        <v>0</v>
      </c>
      <c r="AP541" s="123">
        <f t="shared" si="510"/>
        <v>0</v>
      </c>
      <c r="AQ541" s="123">
        <f t="shared" si="510"/>
        <v>0</v>
      </c>
      <c r="AR541" s="123">
        <f t="shared" si="510"/>
        <v>0</v>
      </c>
      <c r="AS541" s="123">
        <f t="shared" si="510"/>
        <v>0</v>
      </c>
      <c r="AT541" s="123">
        <f t="shared" si="510"/>
        <v>0</v>
      </c>
      <c r="AU541" s="123">
        <f t="shared" si="510"/>
        <v>0</v>
      </c>
      <c r="AV541" s="123">
        <f t="shared" si="510"/>
        <v>0</v>
      </c>
      <c r="AW541" s="123">
        <f t="shared" si="510"/>
        <v>0</v>
      </c>
      <c r="AX541" s="123">
        <f t="shared" si="510"/>
        <v>0</v>
      </c>
      <c r="AY541" s="123">
        <f t="shared" si="510"/>
        <v>0</v>
      </c>
      <c r="AZ541" s="123">
        <f t="shared" si="510"/>
        <v>0</v>
      </c>
      <c r="BA541" s="123">
        <f t="shared" si="510"/>
        <v>0</v>
      </c>
      <c r="BB541" s="123">
        <f t="shared" si="510"/>
        <v>0</v>
      </c>
      <c r="BC541" s="123">
        <f t="shared" si="510"/>
        <v>0</v>
      </c>
      <c r="BD541" s="123">
        <f t="shared" si="510"/>
        <v>0</v>
      </c>
      <c r="BE541" s="123">
        <f t="shared" si="510"/>
        <v>0</v>
      </c>
      <c r="BF541" s="123">
        <f t="shared" si="510"/>
        <v>0</v>
      </c>
      <c r="BG541" s="123">
        <f t="shared" si="510"/>
        <v>0</v>
      </c>
      <c r="BH541" s="123">
        <f t="shared" si="510"/>
        <v>0</v>
      </c>
      <c r="BI541" s="123">
        <f t="shared" si="510"/>
        <v>0</v>
      </c>
      <c r="BJ541" s="123">
        <f t="shared" si="510"/>
        <v>0</v>
      </c>
      <c r="BK541" s="123">
        <f t="shared" si="510"/>
        <v>0</v>
      </c>
      <c r="BL541" s="123">
        <f t="shared" si="510"/>
        <v>0</v>
      </c>
      <c r="BM541" s="123">
        <f t="shared" si="510"/>
        <v>0</v>
      </c>
      <c r="BN541" s="159">
        <f t="shared" si="510"/>
        <v>0</v>
      </c>
      <c r="BP541" s="367" t="s">
        <v>865</v>
      </c>
      <c r="BQ541" s="1494" t="str">
        <f t="shared" si="507"/>
        <v>GHG_Peata = GHG_Peata-1 + (C115 * BUI_COL(51+((A115-1)*8)+((D115-1)*32)) - BUI_COL(51+((A115-1)*8)+((E115-1)*32)) + F115 / 100 * BUI_COL(51+((A115-1)*8)+((E115-1)*32)) * BUI_COL4 / (J115-I115+1) / 1000000</v>
      </c>
      <c r="BR541" s="1494"/>
      <c r="BS541" s="1494"/>
      <c r="BT541" s="1494"/>
      <c r="BU541" s="1494"/>
      <c r="BV541" s="1494"/>
      <c r="BW541" s="1494"/>
      <c r="BX541" s="1494"/>
      <c r="BY541" s="1494"/>
      <c r="BZ541" s="1494"/>
      <c r="CA541" s="1494"/>
      <c r="CB541" s="1494"/>
      <c r="CC541" s="1494"/>
      <c r="CD541" s="1494"/>
      <c r="CE541" s="1494"/>
      <c r="CF541" s="1494"/>
      <c r="CG541" s="1494"/>
      <c r="CH541" s="1494"/>
      <c r="CI541" s="1494"/>
      <c r="CJ541" s="1494"/>
      <c r="CK541" s="1494"/>
      <c r="CL541" s="579" t="s">
        <v>2111</v>
      </c>
      <c r="CM541" s="579" t="s">
        <v>2112</v>
      </c>
      <c r="CN541" s="579" t="s">
        <v>2180</v>
      </c>
      <c r="CO541" s="579" t="s">
        <v>1249</v>
      </c>
    </row>
    <row r="542" spans="32:93" ht="20.100000000000001" customHeight="1">
      <c r="AF542" s="1560"/>
      <c r="AG542" s="107" t="s">
        <v>866</v>
      </c>
      <c r="AH542" s="107">
        <f>INDEX('DEFAULT DATA'!$WD$9:$WJ$41,START!$C$3,5)</f>
        <v>403</v>
      </c>
      <c r="AI542" s="115">
        <f>INDEX('DEFAULT DATA'!$YB$9:$AGQ$41,START!$C$3,(6+(($A$116-1)*8)+(($D$116-1)*32)))</f>
        <v>0</v>
      </c>
      <c r="AJ542" s="115">
        <f>INDEX('DEFAULT DATA'!$YB$9:$AGQ$41,START!$C$3,(6+(($A$116-1)*8)+(($E$116-1)*32)))</f>
        <v>0</v>
      </c>
      <c r="AK542" s="180">
        <v>0</v>
      </c>
      <c r="AL542" s="123">
        <f t="shared" ref="AL542:BN542" si="511">IF(AND(AL$536&gt;($I$116+2020),AL$536&lt;($J$116+2022)),AK542+($AH$542*($AI$542-$AJ$542)*$C$116*((100-$F$116)/100)/($J$116-$I$116+1)/1000000),AK542)</f>
        <v>0</v>
      </c>
      <c r="AM542" s="123">
        <f t="shared" si="511"/>
        <v>0</v>
      </c>
      <c r="AN542" s="123">
        <f t="shared" si="511"/>
        <v>0</v>
      </c>
      <c r="AO542" s="123">
        <f t="shared" si="511"/>
        <v>0</v>
      </c>
      <c r="AP542" s="123">
        <f t="shared" si="511"/>
        <v>0</v>
      </c>
      <c r="AQ542" s="123">
        <f t="shared" si="511"/>
        <v>0</v>
      </c>
      <c r="AR542" s="123">
        <f t="shared" si="511"/>
        <v>0</v>
      </c>
      <c r="AS542" s="123">
        <f t="shared" si="511"/>
        <v>0</v>
      </c>
      <c r="AT542" s="123">
        <f t="shared" si="511"/>
        <v>0</v>
      </c>
      <c r="AU542" s="123">
        <f t="shared" si="511"/>
        <v>0</v>
      </c>
      <c r="AV542" s="123">
        <f t="shared" si="511"/>
        <v>0</v>
      </c>
      <c r="AW542" s="123">
        <f t="shared" si="511"/>
        <v>0</v>
      </c>
      <c r="AX542" s="123">
        <f t="shared" si="511"/>
        <v>0</v>
      </c>
      <c r="AY542" s="123">
        <f t="shared" si="511"/>
        <v>0</v>
      </c>
      <c r="AZ542" s="123">
        <f t="shared" si="511"/>
        <v>0</v>
      </c>
      <c r="BA542" s="123">
        <f t="shared" si="511"/>
        <v>0</v>
      </c>
      <c r="BB542" s="123">
        <f t="shared" si="511"/>
        <v>0</v>
      </c>
      <c r="BC542" s="123">
        <f t="shared" si="511"/>
        <v>0</v>
      </c>
      <c r="BD542" s="123">
        <f t="shared" si="511"/>
        <v>0</v>
      </c>
      <c r="BE542" s="123">
        <f t="shared" si="511"/>
        <v>0</v>
      </c>
      <c r="BF542" s="123">
        <f t="shared" si="511"/>
        <v>0</v>
      </c>
      <c r="BG542" s="123">
        <f t="shared" si="511"/>
        <v>0</v>
      </c>
      <c r="BH542" s="123">
        <f t="shared" si="511"/>
        <v>0</v>
      </c>
      <c r="BI542" s="123">
        <f t="shared" si="511"/>
        <v>0</v>
      </c>
      <c r="BJ542" s="123">
        <f t="shared" si="511"/>
        <v>0</v>
      </c>
      <c r="BK542" s="123">
        <f t="shared" si="511"/>
        <v>0</v>
      </c>
      <c r="BL542" s="123">
        <f t="shared" si="511"/>
        <v>0</v>
      </c>
      <c r="BM542" s="123">
        <f t="shared" si="511"/>
        <v>0</v>
      </c>
      <c r="BN542" s="159">
        <f t="shared" si="511"/>
        <v>0</v>
      </c>
      <c r="BP542" s="367" t="s">
        <v>866</v>
      </c>
      <c r="BQ542" s="1494" t="str">
        <f t="shared" si="507"/>
        <v>GHG_Wooda = GHG_Wooda-1 + (C115 * BUI_COL(51+((A115-1)*8)+((D115-1)*32)) - BUI_COL(51+((A115-1)*8)+((E115-1)*32)) + F115 / 100 * BUI_COL(51+((A115-1)*8)+((E115-1)*32)) * BUI_COL5 / (J115-I115+1) / 1000000</v>
      </c>
      <c r="BR542" s="1494"/>
      <c r="BS542" s="1494"/>
      <c r="BT542" s="1494"/>
      <c r="BU542" s="1494"/>
      <c r="BV542" s="1494"/>
      <c r="BW542" s="1494"/>
      <c r="BX542" s="1494"/>
      <c r="BY542" s="1494"/>
      <c r="BZ542" s="1494"/>
      <c r="CA542" s="1494"/>
      <c r="CB542" s="1494"/>
      <c r="CC542" s="1494"/>
      <c r="CD542" s="1494"/>
      <c r="CE542" s="1494"/>
      <c r="CF542" s="1494"/>
      <c r="CG542" s="1494"/>
      <c r="CH542" s="1494"/>
      <c r="CI542" s="1494"/>
      <c r="CJ542" s="1494"/>
      <c r="CK542" s="1494"/>
      <c r="CL542" s="579" t="s">
        <v>2111</v>
      </c>
      <c r="CM542" s="579" t="s">
        <v>2112</v>
      </c>
      <c r="CN542" s="579" t="s">
        <v>2180</v>
      </c>
      <c r="CO542" s="579" t="s">
        <v>1250</v>
      </c>
    </row>
    <row r="543" spans="32:93" ht="20.100000000000001" customHeight="1">
      <c r="AF543" s="1560"/>
      <c r="AG543" s="107" t="s">
        <v>867</v>
      </c>
      <c r="AH543" s="107">
        <f>INDEX('DEFAULT DATA'!$WD$9:$WJ$41,START!$C$3,6)</f>
        <v>0</v>
      </c>
      <c r="AI543" s="115">
        <f>INDEX('DEFAULT DATA'!$YB$9:$AGQ$41,START!$C$3,(7+(($A$116-1)*8)+(($D$116-1)*32)))</f>
        <v>6908.2643666835329</v>
      </c>
      <c r="AJ543" s="115">
        <f>INDEX('DEFAULT DATA'!$YB$9:$AGQ$41,START!$C$3,(7+(($A$116-1)*8)+(($E$116-1)*32)))</f>
        <v>1657.8066152984159</v>
      </c>
      <c r="AK543" s="180">
        <v>0</v>
      </c>
      <c r="AL543" s="123">
        <f t="shared" ref="AL543:BN543" si="512">IF(AND(AL$536&gt;($I$116+2020),AL$536&lt;($J$116+2022)),AK543+($AH$543*($AI$543-$AJ$543)*$C$116*((100-$F$116)/100)/($J$116-$I$116+1)/1000000),AK543)</f>
        <v>0</v>
      </c>
      <c r="AM543" s="123">
        <f t="shared" si="512"/>
        <v>0</v>
      </c>
      <c r="AN543" s="123">
        <f t="shared" si="512"/>
        <v>0</v>
      </c>
      <c r="AO543" s="123">
        <f t="shared" si="512"/>
        <v>0</v>
      </c>
      <c r="AP543" s="123">
        <f t="shared" si="512"/>
        <v>0</v>
      </c>
      <c r="AQ543" s="123">
        <f t="shared" si="512"/>
        <v>0</v>
      </c>
      <c r="AR543" s="123">
        <f t="shared" si="512"/>
        <v>0</v>
      </c>
      <c r="AS543" s="123">
        <f t="shared" si="512"/>
        <v>0</v>
      </c>
      <c r="AT543" s="123">
        <f t="shared" si="512"/>
        <v>0</v>
      </c>
      <c r="AU543" s="123">
        <f t="shared" si="512"/>
        <v>0</v>
      </c>
      <c r="AV543" s="123">
        <f t="shared" si="512"/>
        <v>0</v>
      </c>
      <c r="AW543" s="123">
        <f t="shared" si="512"/>
        <v>0</v>
      </c>
      <c r="AX543" s="123">
        <f t="shared" si="512"/>
        <v>0</v>
      </c>
      <c r="AY543" s="123">
        <f t="shared" si="512"/>
        <v>0</v>
      </c>
      <c r="AZ543" s="123">
        <f t="shared" si="512"/>
        <v>0</v>
      </c>
      <c r="BA543" s="123">
        <f t="shared" si="512"/>
        <v>0</v>
      </c>
      <c r="BB543" s="123">
        <f t="shared" si="512"/>
        <v>0</v>
      </c>
      <c r="BC543" s="123">
        <f t="shared" si="512"/>
        <v>0</v>
      </c>
      <c r="BD543" s="123">
        <f t="shared" si="512"/>
        <v>0</v>
      </c>
      <c r="BE543" s="123">
        <f t="shared" si="512"/>
        <v>0</v>
      </c>
      <c r="BF543" s="123">
        <f t="shared" si="512"/>
        <v>0</v>
      </c>
      <c r="BG543" s="123">
        <f t="shared" si="512"/>
        <v>0</v>
      </c>
      <c r="BH543" s="123">
        <f t="shared" si="512"/>
        <v>0</v>
      </c>
      <c r="BI543" s="123">
        <f t="shared" si="512"/>
        <v>0</v>
      </c>
      <c r="BJ543" s="123">
        <f t="shared" si="512"/>
        <v>0</v>
      </c>
      <c r="BK543" s="123">
        <f t="shared" si="512"/>
        <v>0</v>
      </c>
      <c r="BL543" s="123">
        <f t="shared" si="512"/>
        <v>0</v>
      </c>
      <c r="BM543" s="123">
        <f t="shared" si="512"/>
        <v>0</v>
      </c>
      <c r="BN543" s="159">
        <f t="shared" si="512"/>
        <v>0</v>
      </c>
      <c r="BP543" s="367" t="s">
        <v>867</v>
      </c>
      <c r="BQ543" s="1494" t="str">
        <f t="shared" si="507"/>
        <v>GHG_Renewablea = GHG_Renewablea-1 + (C115 * BUI_COL(51+((A115-1)*8)+((D115-1)*32)) - BUI_COL(51+((A115-1)*8)+((E115-1)*32)) + F115 / 100 * BUI_COL(51+((A115-1)*8)+((E115-1)*32)) * BUI_COL6 / (J115-I115+1) / 1000000</v>
      </c>
      <c r="BR543" s="1494"/>
      <c r="BS543" s="1494"/>
      <c r="BT543" s="1494"/>
      <c r="BU543" s="1494"/>
      <c r="BV543" s="1494"/>
      <c r="BW543" s="1494"/>
      <c r="BX543" s="1494"/>
      <c r="BY543" s="1494"/>
      <c r="BZ543" s="1494"/>
      <c r="CA543" s="1494"/>
      <c r="CB543" s="1494"/>
      <c r="CC543" s="1494"/>
      <c r="CD543" s="1494"/>
      <c r="CE543" s="1494"/>
      <c r="CF543" s="1494"/>
      <c r="CG543" s="1494"/>
      <c r="CH543" s="1494"/>
      <c r="CI543" s="1494"/>
      <c r="CJ543" s="1494"/>
      <c r="CK543" s="1494"/>
      <c r="CL543" s="579" t="s">
        <v>2111</v>
      </c>
      <c r="CM543" s="579" t="s">
        <v>2112</v>
      </c>
      <c r="CN543" s="579" t="s">
        <v>2180</v>
      </c>
      <c r="CO543" s="579" t="s">
        <v>1251</v>
      </c>
    </row>
    <row r="544" spans="32:93" ht="20.100000000000001" customHeight="1" thickBot="1">
      <c r="AF544" s="1561"/>
      <c r="AG544" s="146" t="s">
        <v>868</v>
      </c>
      <c r="AH544" s="146" t="s">
        <v>1123</v>
      </c>
      <c r="AI544" s="170">
        <f>INDEX('DEFAULT DATA'!$YB$9:$AGQ$41,START!$C$3,(8+(($A$116-1)*8)+(($D$116-1)*32)))</f>
        <v>1727.0660916708832</v>
      </c>
      <c r="AJ544" s="170">
        <f>INDEX('DEFAULT DATA'!$YB$9:$AGQ$41,START!$C$3,(8+(($A$116-1)*8)+(($E$116-1)*32)))</f>
        <v>414.45165382460397</v>
      </c>
      <c r="AK544" s="183">
        <v>0</v>
      </c>
      <c r="AL544" s="160">
        <f t="shared" ref="AL544:BN544" si="513">IF(AND(AL$536&gt;($I$116+2020),AL$536&lt;($J$116+2022)),AK544+(AL$6*($AI$544-$AJ$544)*$C$116*((100-$F$116)/100)/($J$116-$I$116+1)/1000000),AK544)</f>
        <v>0</v>
      </c>
      <c r="AM544" s="160">
        <f t="shared" si="513"/>
        <v>0</v>
      </c>
      <c r="AN544" s="160">
        <f t="shared" si="513"/>
        <v>0</v>
      </c>
      <c r="AO544" s="160">
        <f t="shared" si="513"/>
        <v>0</v>
      </c>
      <c r="AP544" s="160">
        <f t="shared" si="513"/>
        <v>0</v>
      </c>
      <c r="AQ544" s="160">
        <f t="shared" si="513"/>
        <v>0</v>
      </c>
      <c r="AR544" s="160">
        <f t="shared" si="513"/>
        <v>0</v>
      </c>
      <c r="AS544" s="160">
        <f t="shared" si="513"/>
        <v>0</v>
      </c>
      <c r="AT544" s="160">
        <f t="shared" si="513"/>
        <v>0</v>
      </c>
      <c r="AU544" s="160">
        <f t="shared" si="513"/>
        <v>0</v>
      </c>
      <c r="AV544" s="160">
        <f t="shared" si="513"/>
        <v>0</v>
      </c>
      <c r="AW544" s="160">
        <f t="shared" si="513"/>
        <v>0</v>
      </c>
      <c r="AX544" s="160">
        <f t="shared" si="513"/>
        <v>0</v>
      </c>
      <c r="AY544" s="160">
        <f t="shared" si="513"/>
        <v>0</v>
      </c>
      <c r="AZ544" s="160">
        <f t="shared" si="513"/>
        <v>0</v>
      </c>
      <c r="BA544" s="160">
        <f t="shared" si="513"/>
        <v>0</v>
      </c>
      <c r="BB544" s="160">
        <f t="shared" si="513"/>
        <v>0</v>
      </c>
      <c r="BC544" s="160">
        <f t="shared" si="513"/>
        <v>0</v>
      </c>
      <c r="BD544" s="160">
        <f t="shared" si="513"/>
        <v>0</v>
      </c>
      <c r="BE544" s="160">
        <f t="shared" si="513"/>
        <v>0</v>
      </c>
      <c r="BF544" s="160">
        <f t="shared" si="513"/>
        <v>0</v>
      </c>
      <c r="BG544" s="160">
        <f t="shared" si="513"/>
        <v>0</v>
      </c>
      <c r="BH544" s="160">
        <f t="shared" si="513"/>
        <v>0</v>
      </c>
      <c r="BI544" s="160">
        <f t="shared" si="513"/>
        <v>0</v>
      </c>
      <c r="BJ544" s="160">
        <f t="shared" si="513"/>
        <v>0</v>
      </c>
      <c r="BK544" s="160">
        <f t="shared" si="513"/>
        <v>0</v>
      </c>
      <c r="BL544" s="160">
        <f t="shared" si="513"/>
        <v>0</v>
      </c>
      <c r="BM544" s="160">
        <f t="shared" si="513"/>
        <v>0</v>
      </c>
      <c r="BN544" s="161">
        <f t="shared" si="513"/>
        <v>0</v>
      </c>
      <c r="BP544" s="367" t="s">
        <v>868</v>
      </c>
      <c r="BQ544" s="1494" t="str">
        <f t="shared" si="507"/>
        <v>GHG_Heata = GHG_Heata-1 + (C115 * BUI_COL(51+((A115-1)*8)+((D115-1)*32)) - BUI_COL(51+((A115-1)*8)+((E115-1)*32)) + F115 / 100 * BUI_COL(51+((A115-1)*8)+((E115-1)*32)) * DISTRICT_HEATING_emission_factora (from row 5) / (J115-I115+1) / 1000000</v>
      </c>
      <c r="BR544" s="1494"/>
      <c r="BS544" s="1494"/>
      <c r="BT544" s="1494"/>
      <c r="BU544" s="1494"/>
      <c r="BV544" s="1494"/>
      <c r="BW544" s="1494"/>
      <c r="BX544" s="1494"/>
      <c r="BY544" s="1494"/>
      <c r="BZ544" s="1494"/>
      <c r="CA544" s="1494"/>
      <c r="CB544" s="1494"/>
      <c r="CC544" s="1494"/>
      <c r="CD544" s="1494"/>
      <c r="CE544" s="1494"/>
      <c r="CF544" s="1494"/>
      <c r="CG544" s="1494"/>
      <c r="CH544" s="1494"/>
      <c r="CI544" s="1494"/>
      <c r="CJ544" s="1494"/>
      <c r="CK544" s="1494"/>
      <c r="CL544" s="579" t="s">
        <v>2111</v>
      </c>
      <c r="CM544" s="579" t="s">
        <v>2112</v>
      </c>
      <c r="CN544" s="579" t="s">
        <v>2180</v>
      </c>
      <c r="CO544" s="579" t="s">
        <v>1508</v>
      </c>
    </row>
    <row r="545" spans="32:93" ht="20.100000000000001" customHeight="1">
      <c r="AF545" s="167"/>
      <c r="AG545" s="144" t="s">
        <v>211</v>
      </c>
      <c r="AH545" s="145"/>
      <c r="AI545" s="145"/>
      <c r="AJ545" s="145"/>
      <c r="AK545" s="179">
        <v>0</v>
      </c>
      <c r="AL545" s="162">
        <f>SUM(AL537:AL544)</f>
        <v>0</v>
      </c>
      <c r="AM545" s="162">
        <f t="shared" ref="AM545:BN545" si="514">SUM(AM537:AM544)</f>
        <v>0</v>
      </c>
      <c r="AN545" s="162">
        <f t="shared" si="514"/>
        <v>0</v>
      </c>
      <c r="AO545" s="162">
        <f t="shared" si="514"/>
        <v>0</v>
      </c>
      <c r="AP545" s="162">
        <f t="shared" si="514"/>
        <v>0</v>
      </c>
      <c r="AQ545" s="162">
        <f t="shared" si="514"/>
        <v>0</v>
      </c>
      <c r="AR545" s="162">
        <f t="shared" si="514"/>
        <v>0</v>
      </c>
      <c r="AS545" s="162">
        <f t="shared" si="514"/>
        <v>0</v>
      </c>
      <c r="AT545" s="162">
        <f t="shared" si="514"/>
        <v>0</v>
      </c>
      <c r="AU545" s="162">
        <f t="shared" si="514"/>
        <v>0</v>
      </c>
      <c r="AV545" s="162">
        <f t="shared" si="514"/>
        <v>0</v>
      </c>
      <c r="AW545" s="162">
        <f t="shared" si="514"/>
        <v>0</v>
      </c>
      <c r="AX545" s="162">
        <f t="shared" si="514"/>
        <v>0</v>
      </c>
      <c r="AY545" s="162">
        <f t="shared" si="514"/>
        <v>0</v>
      </c>
      <c r="AZ545" s="162">
        <f t="shared" si="514"/>
        <v>0</v>
      </c>
      <c r="BA545" s="162">
        <f t="shared" si="514"/>
        <v>0</v>
      </c>
      <c r="BB545" s="162">
        <f t="shared" si="514"/>
        <v>0</v>
      </c>
      <c r="BC545" s="162">
        <f t="shared" si="514"/>
        <v>0</v>
      </c>
      <c r="BD545" s="162">
        <f t="shared" si="514"/>
        <v>0</v>
      </c>
      <c r="BE545" s="162">
        <f t="shared" si="514"/>
        <v>0</v>
      </c>
      <c r="BF545" s="162">
        <f t="shared" si="514"/>
        <v>0</v>
      </c>
      <c r="BG545" s="162">
        <f t="shared" si="514"/>
        <v>0</v>
      </c>
      <c r="BH545" s="162">
        <f t="shared" si="514"/>
        <v>0</v>
      </c>
      <c r="BI545" s="162">
        <f t="shared" si="514"/>
        <v>0</v>
      </c>
      <c r="BJ545" s="162">
        <f t="shared" si="514"/>
        <v>0</v>
      </c>
      <c r="BK545" s="162">
        <f t="shared" si="514"/>
        <v>0</v>
      </c>
      <c r="BL545" s="162">
        <f t="shared" si="514"/>
        <v>0</v>
      </c>
      <c r="BM545" s="162">
        <f t="shared" si="514"/>
        <v>0</v>
      </c>
      <c r="BN545" s="162">
        <f t="shared" si="514"/>
        <v>0</v>
      </c>
    </row>
    <row r="547" spans="32:93" ht="20.100000000000001" customHeight="1" thickBot="1">
      <c r="AF547" s="168" t="s">
        <v>1099</v>
      </c>
      <c r="AG547" s="168"/>
      <c r="AH547" s="169" t="s">
        <v>620</v>
      </c>
      <c r="AI547" s="135" t="s">
        <v>898</v>
      </c>
      <c r="AJ547" s="135" t="s">
        <v>899</v>
      </c>
      <c r="AK547" s="181">
        <v>2021</v>
      </c>
      <c r="AL547" s="135">
        <v>2022</v>
      </c>
      <c r="AM547" s="135">
        <v>2023</v>
      </c>
      <c r="AN547" s="135">
        <v>2024</v>
      </c>
      <c r="AO547" s="135">
        <v>2025</v>
      </c>
      <c r="AP547" s="135">
        <v>2026</v>
      </c>
      <c r="AQ547" s="135">
        <v>2027</v>
      </c>
      <c r="AR547" s="135">
        <v>2028</v>
      </c>
      <c r="AS547" s="135">
        <v>2029</v>
      </c>
      <c r="AT547" s="135">
        <v>2030</v>
      </c>
      <c r="AU547" s="135">
        <v>2031</v>
      </c>
      <c r="AV547" s="135">
        <v>2032</v>
      </c>
      <c r="AW547" s="135">
        <v>2033</v>
      </c>
      <c r="AX547" s="135">
        <v>2034</v>
      </c>
      <c r="AY547" s="135">
        <v>2035</v>
      </c>
      <c r="AZ547" s="135">
        <v>2036</v>
      </c>
      <c r="BA547" s="135">
        <v>2037</v>
      </c>
      <c r="BB547" s="135">
        <v>2038</v>
      </c>
      <c r="BC547" s="135">
        <v>2039</v>
      </c>
      <c r="BD547" s="135">
        <v>2040</v>
      </c>
      <c r="BE547" s="135">
        <v>2041</v>
      </c>
      <c r="BF547" s="135">
        <v>2042</v>
      </c>
      <c r="BG547" s="135">
        <v>2043</v>
      </c>
      <c r="BH547" s="135">
        <v>2044</v>
      </c>
      <c r="BI547" s="135">
        <v>2045</v>
      </c>
      <c r="BJ547" s="135">
        <v>2046</v>
      </c>
      <c r="BK547" s="135">
        <v>2047</v>
      </c>
      <c r="BL547" s="135">
        <v>2048</v>
      </c>
      <c r="BM547" s="135">
        <v>2049</v>
      </c>
      <c r="BN547" s="135">
        <v>2050</v>
      </c>
      <c r="BQ547" s="130" t="s">
        <v>2182</v>
      </c>
      <c r="CL547" s="386" t="s">
        <v>2091</v>
      </c>
      <c r="CM547" s="6" t="s">
        <v>2092</v>
      </c>
      <c r="CN547" s="6" t="s">
        <v>2172</v>
      </c>
      <c r="CO547" s="245" t="s">
        <v>1224</v>
      </c>
    </row>
    <row r="548" spans="32:93" ht="20.100000000000001" customHeight="1">
      <c r="AF548" s="1559" t="str">
        <f>INDEX('MENU OPTIONS'!B27:B30,A117,1)</f>
        <v>Terraced</v>
      </c>
      <c r="AG548" s="137" t="s">
        <v>578</v>
      </c>
      <c r="AH548" s="137" t="s">
        <v>1122</v>
      </c>
      <c r="AI548" s="165">
        <f>INDEX('DEFAULT DATA'!$YB$9:$AGQ$41,START!$C$3,(1+(($A$117-1)*8)+(($D$117-1)*32)))</f>
        <v>2417.8925283392368</v>
      </c>
      <c r="AJ548" s="165">
        <f>INDEX('DEFAULT DATA'!$YB$9:$AGQ$41,START!$C$3,(1+(($A$117-1)*8)+(($E$117-1)*32)))</f>
        <v>580.23231535444563</v>
      </c>
      <c r="AK548" s="178">
        <v>0</v>
      </c>
      <c r="AL548" s="157">
        <f t="shared" ref="AL548:BN548" si="515">IF(AND(AL$547&gt;($I$117+2020),AL$547&lt;($J$117+2022)),AK548+(AL$5*($AI$548-$AJ$548)*$C$117*((100-$F$117)/100)/($J$117-$I$117+1)/1000000),AK548)</f>
        <v>0</v>
      </c>
      <c r="AM548" s="157">
        <f t="shared" si="515"/>
        <v>0</v>
      </c>
      <c r="AN548" s="157">
        <f t="shared" si="515"/>
        <v>0</v>
      </c>
      <c r="AO548" s="157">
        <f t="shared" si="515"/>
        <v>0</v>
      </c>
      <c r="AP548" s="157">
        <f t="shared" si="515"/>
        <v>0</v>
      </c>
      <c r="AQ548" s="157">
        <f t="shared" si="515"/>
        <v>0</v>
      </c>
      <c r="AR548" s="157">
        <f t="shared" si="515"/>
        <v>0</v>
      </c>
      <c r="AS548" s="157">
        <f t="shared" si="515"/>
        <v>0</v>
      </c>
      <c r="AT548" s="157">
        <f t="shared" si="515"/>
        <v>0</v>
      </c>
      <c r="AU548" s="157">
        <f t="shared" si="515"/>
        <v>0</v>
      </c>
      <c r="AV548" s="157">
        <f t="shared" si="515"/>
        <v>0</v>
      </c>
      <c r="AW548" s="157">
        <f t="shared" si="515"/>
        <v>0</v>
      </c>
      <c r="AX548" s="157">
        <f t="shared" si="515"/>
        <v>0</v>
      </c>
      <c r="AY548" s="157">
        <f t="shared" si="515"/>
        <v>0</v>
      </c>
      <c r="AZ548" s="157">
        <f t="shared" si="515"/>
        <v>0</v>
      </c>
      <c r="BA548" s="157">
        <f t="shared" si="515"/>
        <v>0</v>
      </c>
      <c r="BB548" s="157">
        <f t="shared" si="515"/>
        <v>0</v>
      </c>
      <c r="BC548" s="157">
        <f t="shared" si="515"/>
        <v>0</v>
      </c>
      <c r="BD548" s="157">
        <f t="shared" si="515"/>
        <v>0</v>
      </c>
      <c r="BE548" s="157">
        <f t="shared" si="515"/>
        <v>0</v>
      </c>
      <c r="BF548" s="157">
        <f t="shared" si="515"/>
        <v>0</v>
      </c>
      <c r="BG548" s="157">
        <f t="shared" si="515"/>
        <v>0</v>
      </c>
      <c r="BH548" s="157">
        <f t="shared" si="515"/>
        <v>0</v>
      </c>
      <c r="BI548" s="157">
        <f t="shared" si="515"/>
        <v>0</v>
      </c>
      <c r="BJ548" s="157">
        <f t="shared" si="515"/>
        <v>0</v>
      </c>
      <c r="BK548" s="157">
        <f t="shared" si="515"/>
        <v>0</v>
      </c>
      <c r="BL548" s="157">
        <f t="shared" si="515"/>
        <v>0</v>
      </c>
      <c r="BM548" s="157">
        <f t="shared" si="515"/>
        <v>0</v>
      </c>
      <c r="BN548" s="158">
        <f t="shared" si="515"/>
        <v>0</v>
      </c>
      <c r="BP548" s="367" t="s">
        <v>578</v>
      </c>
      <c r="BQ548" s="1494" t="str">
        <f>CONCATENATE("GHG_",BP548,"a = GHG_",BP548,"a-1 + (C116 * ",CL548," - ",CM548," + F116 / 100 * ",CM548," * ",CO548," / (",CN548,") / 1000000")</f>
        <v>GHG_Electricitya = GHG_Electricitya-1 + (C116 * BUI_COL(51+((A116-1)*8)+((D116-1)*32)) - BUI_COL(51+((A116-1)*8)+((E116-1)*32)) + F116 / 100 * BUI_COL(51+((A116-1)*8)+((E116-1)*32)) * GRID_ELECTRICITY_emission_factora (from row4) / (J116-I116+1) / 1000000</v>
      </c>
      <c r="BR548" s="1494"/>
      <c r="BS548" s="1494"/>
      <c r="BT548" s="1494"/>
      <c r="BU548" s="1494"/>
      <c r="BV548" s="1494"/>
      <c r="BW548" s="1494"/>
      <c r="BX548" s="1494"/>
      <c r="BY548" s="1494"/>
      <c r="BZ548" s="1494"/>
      <c r="CA548" s="1494"/>
      <c r="CB548" s="1494"/>
      <c r="CC548" s="1494"/>
      <c r="CD548" s="1494"/>
      <c r="CE548" s="1494"/>
      <c r="CF548" s="1494"/>
      <c r="CG548" s="1494"/>
      <c r="CH548" s="1494"/>
      <c r="CI548" s="1494"/>
      <c r="CJ548" s="1494"/>
      <c r="CK548" s="1494"/>
      <c r="CL548" s="579" t="s">
        <v>2113</v>
      </c>
      <c r="CM548" s="579" t="s">
        <v>2114</v>
      </c>
      <c r="CN548" s="579" t="s">
        <v>2181</v>
      </c>
      <c r="CO548" s="579" t="s">
        <v>1507</v>
      </c>
    </row>
    <row r="549" spans="32:93" ht="20.100000000000001" customHeight="1">
      <c r="AF549" s="1560"/>
      <c r="AG549" s="107" t="s">
        <v>862</v>
      </c>
      <c r="AH549" s="107">
        <f>INDEX('DEFAULT DATA'!$WD$9:$WJ$41,START!$C$3,1)</f>
        <v>202</v>
      </c>
      <c r="AI549" s="115">
        <f>INDEX('DEFAULT DATA'!$YB$9:$AGQ$41,START!$C$3,(2+(($A$117-1)*8)+(($D$117-1)*32)))</f>
        <v>5526.6114933468261</v>
      </c>
      <c r="AJ549" s="115">
        <f>INDEX('DEFAULT DATA'!$YB$9:$AGQ$41,START!$C$3,(2+(($A$117-1)*8)+(($E$117-1)*32)))</f>
        <v>0</v>
      </c>
      <c r="AK549" s="180">
        <v>0</v>
      </c>
      <c r="AL549" s="123">
        <f t="shared" ref="AL549:BN549" si="516">IF(AND(AL$547&gt;($I$117+2020),AL$547&lt;($J$117+2022)),AK549+($AH$549*($AI$549-$AJ$549)*$C$117*((100-$F$117)/100)/($J$117-$I$117+1)/1000000),AK549)</f>
        <v>0</v>
      </c>
      <c r="AM549" s="123">
        <f t="shared" si="516"/>
        <v>0</v>
      </c>
      <c r="AN549" s="123">
        <f t="shared" si="516"/>
        <v>0</v>
      </c>
      <c r="AO549" s="123">
        <f t="shared" si="516"/>
        <v>0</v>
      </c>
      <c r="AP549" s="123">
        <f t="shared" si="516"/>
        <v>0</v>
      </c>
      <c r="AQ549" s="123">
        <f t="shared" si="516"/>
        <v>0</v>
      </c>
      <c r="AR549" s="123">
        <f t="shared" si="516"/>
        <v>0</v>
      </c>
      <c r="AS549" s="123">
        <f t="shared" si="516"/>
        <v>0</v>
      </c>
      <c r="AT549" s="123">
        <f t="shared" si="516"/>
        <v>0</v>
      </c>
      <c r="AU549" s="123">
        <f t="shared" si="516"/>
        <v>0</v>
      </c>
      <c r="AV549" s="123">
        <f t="shared" si="516"/>
        <v>0</v>
      </c>
      <c r="AW549" s="123">
        <f t="shared" si="516"/>
        <v>0</v>
      </c>
      <c r="AX549" s="123">
        <f t="shared" si="516"/>
        <v>0</v>
      </c>
      <c r="AY549" s="123">
        <f t="shared" si="516"/>
        <v>0</v>
      </c>
      <c r="AZ549" s="123">
        <f t="shared" si="516"/>
        <v>0</v>
      </c>
      <c r="BA549" s="123">
        <f t="shared" si="516"/>
        <v>0</v>
      </c>
      <c r="BB549" s="123">
        <f t="shared" si="516"/>
        <v>0</v>
      </c>
      <c r="BC549" s="123">
        <f t="shared" si="516"/>
        <v>0</v>
      </c>
      <c r="BD549" s="123">
        <f t="shared" si="516"/>
        <v>0</v>
      </c>
      <c r="BE549" s="123">
        <f t="shared" si="516"/>
        <v>0</v>
      </c>
      <c r="BF549" s="123">
        <f t="shared" si="516"/>
        <v>0</v>
      </c>
      <c r="BG549" s="123">
        <f t="shared" si="516"/>
        <v>0</v>
      </c>
      <c r="BH549" s="123">
        <f t="shared" si="516"/>
        <v>0</v>
      </c>
      <c r="BI549" s="123">
        <f t="shared" si="516"/>
        <v>0</v>
      </c>
      <c r="BJ549" s="123">
        <f t="shared" si="516"/>
        <v>0</v>
      </c>
      <c r="BK549" s="123">
        <f t="shared" si="516"/>
        <v>0</v>
      </c>
      <c r="BL549" s="123">
        <f t="shared" si="516"/>
        <v>0</v>
      </c>
      <c r="BM549" s="123">
        <f t="shared" si="516"/>
        <v>0</v>
      </c>
      <c r="BN549" s="159">
        <f t="shared" si="516"/>
        <v>0</v>
      </c>
      <c r="BP549" s="367" t="s">
        <v>862</v>
      </c>
      <c r="BQ549" s="1494" t="str">
        <f t="shared" ref="BQ549:BQ555" si="517">CONCATENATE("GHG_",BP549,"a = GHG_",BP549,"a-1 + (C116 * ",CL549," - ",CM549," + F116 / 100 * ",CM549," * ",CO549," / (",CN549,") / 1000000")</f>
        <v>GHG_Gasa = GHG_Gasa-1 + (C116 * BUI_COL(51+((A116-1)*8)+((D116-1)*32)) - BUI_COL(51+((A116-1)*8)+((E116-1)*32)) + F116 / 100 * BUI_COL(51+((A116-1)*8)+((E116-1)*32)) * BUI_COL1 / (J116-I116+1) / 1000000</v>
      </c>
      <c r="BR549" s="1494"/>
      <c r="BS549" s="1494"/>
      <c r="BT549" s="1494"/>
      <c r="BU549" s="1494"/>
      <c r="BV549" s="1494"/>
      <c r="BW549" s="1494"/>
      <c r="BX549" s="1494"/>
      <c r="BY549" s="1494"/>
      <c r="BZ549" s="1494"/>
      <c r="CA549" s="1494"/>
      <c r="CB549" s="1494"/>
      <c r="CC549" s="1494"/>
      <c r="CD549" s="1494"/>
      <c r="CE549" s="1494"/>
      <c r="CF549" s="1494"/>
      <c r="CG549" s="1494"/>
      <c r="CH549" s="1494"/>
      <c r="CI549" s="1494"/>
      <c r="CJ549" s="1494"/>
      <c r="CK549" s="1494"/>
      <c r="CL549" s="579" t="s">
        <v>2113</v>
      </c>
      <c r="CM549" s="579" t="s">
        <v>2114</v>
      </c>
      <c r="CN549" s="579" t="s">
        <v>2181</v>
      </c>
      <c r="CO549" s="579" t="s">
        <v>886</v>
      </c>
    </row>
    <row r="550" spans="32:93" ht="20.100000000000001" customHeight="1">
      <c r="AF550" s="1560"/>
      <c r="AG550" s="107" t="s">
        <v>863</v>
      </c>
      <c r="AH550" s="107">
        <f>INDEX('DEFAULT DATA'!$WD$9:$WJ$41,START!$C$3,2)</f>
        <v>267</v>
      </c>
      <c r="AI550" s="115">
        <f>INDEX('DEFAULT DATA'!$YB$9:$AGQ$41,START!$C$3,(3+(($A$117-1)*8)+(($D$117-1)*32)))</f>
        <v>690.82643666835327</v>
      </c>
      <c r="AJ550" s="115">
        <f>INDEX('DEFAULT DATA'!$YB$9:$AGQ$41,START!$C$3,(3+(($A$117-1)*8)+(($E$117-1)*32)))</f>
        <v>0</v>
      </c>
      <c r="AK550" s="180">
        <v>0</v>
      </c>
      <c r="AL550" s="123">
        <f t="shared" ref="AL550:BN550" si="518">IF(AND(AL$547&gt;($I$117+2020),AL$547&lt;($J$117+2022)),AK550+($AH$550*($AI$550-$AJ$550)*$C$117*((100-$F$117)/100)/($J$117-$I$117+1)/1000000),AK550)</f>
        <v>0</v>
      </c>
      <c r="AM550" s="123">
        <f t="shared" si="518"/>
        <v>0</v>
      </c>
      <c r="AN550" s="123">
        <f t="shared" si="518"/>
        <v>0</v>
      </c>
      <c r="AO550" s="123">
        <f t="shared" si="518"/>
        <v>0</v>
      </c>
      <c r="AP550" s="123">
        <f t="shared" si="518"/>
        <v>0</v>
      </c>
      <c r="AQ550" s="123">
        <f t="shared" si="518"/>
        <v>0</v>
      </c>
      <c r="AR550" s="123">
        <f t="shared" si="518"/>
        <v>0</v>
      </c>
      <c r="AS550" s="123">
        <f t="shared" si="518"/>
        <v>0</v>
      </c>
      <c r="AT550" s="123">
        <f t="shared" si="518"/>
        <v>0</v>
      </c>
      <c r="AU550" s="123">
        <f t="shared" si="518"/>
        <v>0</v>
      </c>
      <c r="AV550" s="123">
        <f t="shared" si="518"/>
        <v>0</v>
      </c>
      <c r="AW550" s="123">
        <f t="shared" si="518"/>
        <v>0</v>
      </c>
      <c r="AX550" s="123">
        <f t="shared" si="518"/>
        <v>0</v>
      </c>
      <c r="AY550" s="123">
        <f t="shared" si="518"/>
        <v>0</v>
      </c>
      <c r="AZ550" s="123">
        <f t="shared" si="518"/>
        <v>0</v>
      </c>
      <c r="BA550" s="123">
        <f t="shared" si="518"/>
        <v>0</v>
      </c>
      <c r="BB550" s="123">
        <f t="shared" si="518"/>
        <v>0</v>
      </c>
      <c r="BC550" s="123">
        <f t="shared" si="518"/>
        <v>0</v>
      </c>
      <c r="BD550" s="123">
        <f t="shared" si="518"/>
        <v>0</v>
      </c>
      <c r="BE550" s="123">
        <f t="shared" si="518"/>
        <v>0</v>
      </c>
      <c r="BF550" s="123">
        <f t="shared" si="518"/>
        <v>0</v>
      </c>
      <c r="BG550" s="123">
        <f t="shared" si="518"/>
        <v>0</v>
      </c>
      <c r="BH550" s="123">
        <f t="shared" si="518"/>
        <v>0</v>
      </c>
      <c r="BI550" s="123">
        <f t="shared" si="518"/>
        <v>0</v>
      </c>
      <c r="BJ550" s="123">
        <f t="shared" si="518"/>
        <v>0</v>
      </c>
      <c r="BK550" s="123">
        <f t="shared" si="518"/>
        <v>0</v>
      </c>
      <c r="BL550" s="123">
        <f t="shared" si="518"/>
        <v>0</v>
      </c>
      <c r="BM550" s="123">
        <f t="shared" si="518"/>
        <v>0</v>
      </c>
      <c r="BN550" s="159">
        <f t="shared" si="518"/>
        <v>0</v>
      </c>
      <c r="BP550" s="367" t="s">
        <v>863</v>
      </c>
      <c r="BQ550" s="1494" t="str">
        <f t="shared" si="517"/>
        <v>GHG_Oila = GHG_Oila-1 + (C116 * BUI_COL(51+((A116-1)*8)+((D116-1)*32)) - BUI_COL(51+((A116-1)*8)+((E116-1)*32)) + F116 / 100 * BUI_COL(51+((A116-1)*8)+((E116-1)*32)) * BUI_COL2 / (J116-I116+1) / 1000000</v>
      </c>
      <c r="BR550" s="1494"/>
      <c r="BS550" s="1494"/>
      <c r="BT550" s="1494"/>
      <c r="BU550" s="1494"/>
      <c r="BV550" s="1494"/>
      <c r="BW550" s="1494"/>
      <c r="BX550" s="1494"/>
      <c r="BY550" s="1494"/>
      <c r="BZ550" s="1494"/>
      <c r="CA550" s="1494"/>
      <c r="CB550" s="1494"/>
      <c r="CC550" s="1494"/>
      <c r="CD550" s="1494"/>
      <c r="CE550" s="1494"/>
      <c r="CF550" s="1494"/>
      <c r="CG550" s="1494"/>
      <c r="CH550" s="1494"/>
      <c r="CI550" s="1494"/>
      <c r="CJ550" s="1494"/>
      <c r="CK550" s="1494"/>
      <c r="CL550" s="579" t="s">
        <v>2113</v>
      </c>
      <c r="CM550" s="579" t="s">
        <v>2114</v>
      </c>
      <c r="CN550" s="579" t="s">
        <v>2181</v>
      </c>
      <c r="CO550" s="579" t="s">
        <v>1247</v>
      </c>
    </row>
    <row r="551" spans="32:93" ht="20.100000000000001" customHeight="1">
      <c r="AF551" s="1560"/>
      <c r="AG551" s="107" t="s">
        <v>864</v>
      </c>
      <c r="AH551" s="107">
        <f>INDEX('DEFAULT DATA'!$WD$9:$WJ$41,START!$C$3,3)</f>
        <v>354</v>
      </c>
      <c r="AI551" s="115">
        <f>INDEX('DEFAULT DATA'!$YB$9:$AGQ$41,START!$C$3,(4+(($A$117-1)*8)+(($D$117-1)*32)))</f>
        <v>0</v>
      </c>
      <c r="AJ551" s="115">
        <f>INDEX('DEFAULT DATA'!$YB$9:$AGQ$41,START!$C$3,(4+(($A$117-1)*8)+(($E$117-1)*32)))</f>
        <v>0</v>
      </c>
      <c r="AK551" s="180">
        <v>0</v>
      </c>
      <c r="AL551" s="123">
        <f t="shared" ref="AL551:BN551" si="519">IF(AND(AL$547&gt;($I$117+2020),AL$547&lt;($J$117+2022)),AK551+($AH$551*($AI$551-$AJ$551)*$C$117*((100-$F$117)/100)/($J$117-$I$117+1)/1000000),AK551)</f>
        <v>0</v>
      </c>
      <c r="AM551" s="123">
        <f t="shared" si="519"/>
        <v>0</v>
      </c>
      <c r="AN551" s="123">
        <f t="shared" si="519"/>
        <v>0</v>
      </c>
      <c r="AO551" s="123">
        <f t="shared" si="519"/>
        <v>0</v>
      </c>
      <c r="AP551" s="123">
        <f t="shared" si="519"/>
        <v>0</v>
      </c>
      <c r="AQ551" s="123">
        <f t="shared" si="519"/>
        <v>0</v>
      </c>
      <c r="AR551" s="123">
        <f t="shared" si="519"/>
        <v>0</v>
      </c>
      <c r="AS551" s="123">
        <f t="shared" si="519"/>
        <v>0</v>
      </c>
      <c r="AT551" s="123">
        <f t="shared" si="519"/>
        <v>0</v>
      </c>
      <c r="AU551" s="123">
        <f t="shared" si="519"/>
        <v>0</v>
      </c>
      <c r="AV551" s="123">
        <f t="shared" si="519"/>
        <v>0</v>
      </c>
      <c r="AW551" s="123">
        <f t="shared" si="519"/>
        <v>0</v>
      </c>
      <c r="AX551" s="123">
        <f t="shared" si="519"/>
        <v>0</v>
      </c>
      <c r="AY551" s="123">
        <f t="shared" si="519"/>
        <v>0</v>
      </c>
      <c r="AZ551" s="123">
        <f t="shared" si="519"/>
        <v>0</v>
      </c>
      <c r="BA551" s="123">
        <f t="shared" si="519"/>
        <v>0</v>
      </c>
      <c r="BB551" s="123">
        <f t="shared" si="519"/>
        <v>0</v>
      </c>
      <c r="BC551" s="123">
        <f t="shared" si="519"/>
        <v>0</v>
      </c>
      <c r="BD551" s="123">
        <f t="shared" si="519"/>
        <v>0</v>
      </c>
      <c r="BE551" s="123">
        <f t="shared" si="519"/>
        <v>0</v>
      </c>
      <c r="BF551" s="123">
        <f t="shared" si="519"/>
        <v>0</v>
      </c>
      <c r="BG551" s="123">
        <f t="shared" si="519"/>
        <v>0</v>
      </c>
      <c r="BH551" s="123">
        <f t="shared" si="519"/>
        <v>0</v>
      </c>
      <c r="BI551" s="123">
        <f t="shared" si="519"/>
        <v>0</v>
      </c>
      <c r="BJ551" s="123">
        <f t="shared" si="519"/>
        <v>0</v>
      </c>
      <c r="BK551" s="123">
        <f t="shared" si="519"/>
        <v>0</v>
      </c>
      <c r="BL551" s="123">
        <f t="shared" si="519"/>
        <v>0</v>
      </c>
      <c r="BM551" s="123">
        <f t="shared" si="519"/>
        <v>0</v>
      </c>
      <c r="BN551" s="159">
        <f t="shared" si="519"/>
        <v>0</v>
      </c>
      <c r="BP551" s="367" t="s">
        <v>864</v>
      </c>
      <c r="BQ551" s="1494" t="str">
        <f t="shared" si="517"/>
        <v>GHG_Coala = GHG_Coala-1 + (C116 * BUI_COL(51+((A116-1)*8)+((D116-1)*32)) - BUI_COL(51+((A116-1)*8)+((E116-1)*32)) + F116 / 100 * BUI_COL(51+((A116-1)*8)+((E116-1)*32)) * BUI_COL3 / (J116-I116+1) / 1000000</v>
      </c>
      <c r="BR551" s="1494"/>
      <c r="BS551" s="1494"/>
      <c r="BT551" s="1494"/>
      <c r="BU551" s="1494"/>
      <c r="BV551" s="1494"/>
      <c r="BW551" s="1494"/>
      <c r="BX551" s="1494"/>
      <c r="BY551" s="1494"/>
      <c r="BZ551" s="1494"/>
      <c r="CA551" s="1494"/>
      <c r="CB551" s="1494"/>
      <c r="CC551" s="1494"/>
      <c r="CD551" s="1494"/>
      <c r="CE551" s="1494"/>
      <c r="CF551" s="1494"/>
      <c r="CG551" s="1494"/>
      <c r="CH551" s="1494"/>
      <c r="CI551" s="1494"/>
      <c r="CJ551" s="1494"/>
      <c r="CK551" s="1494"/>
      <c r="CL551" s="579" t="s">
        <v>2113</v>
      </c>
      <c r="CM551" s="579" t="s">
        <v>2114</v>
      </c>
      <c r="CN551" s="579" t="s">
        <v>2181</v>
      </c>
      <c r="CO551" s="579" t="s">
        <v>1248</v>
      </c>
    </row>
    <row r="552" spans="32:93" ht="20.100000000000001" customHeight="1">
      <c r="AF552" s="1560"/>
      <c r="AG552" s="107" t="s">
        <v>865</v>
      </c>
      <c r="AH552" s="107">
        <f>INDEX('DEFAULT DATA'!$WD$9:$WJ$41,START!$C$3,4)</f>
        <v>382</v>
      </c>
      <c r="AI552" s="115">
        <f>INDEX('DEFAULT DATA'!$YB$9:$AGQ$41,START!$C$3,(5+(($A$117-1)*8)+(($D$117-1)*32)))</f>
        <v>0</v>
      </c>
      <c r="AJ552" s="115">
        <f>INDEX('DEFAULT DATA'!$YB$9:$AGQ$41,START!$C$3,(5+(($A$117-1)*8)+(($E$117-1)*32)))</f>
        <v>0</v>
      </c>
      <c r="AK552" s="180">
        <v>0</v>
      </c>
      <c r="AL552" s="123">
        <f t="shared" ref="AL552:BN552" si="520">IF(AND(AL$547&gt;($I$117+2020),AL$547&lt;($J$117+2022)),AK552+($AH$552*($AI$552-$AJ$552)*$C$117*((100-$F$117)/100)/($J$117-$I$117+1)/1000000),AK552)</f>
        <v>0</v>
      </c>
      <c r="AM552" s="123">
        <f t="shared" si="520"/>
        <v>0</v>
      </c>
      <c r="AN552" s="123">
        <f t="shared" si="520"/>
        <v>0</v>
      </c>
      <c r="AO552" s="123">
        <f t="shared" si="520"/>
        <v>0</v>
      </c>
      <c r="AP552" s="123">
        <f t="shared" si="520"/>
        <v>0</v>
      </c>
      <c r="AQ552" s="123">
        <f t="shared" si="520"/>
        <v>0</v>
      </c>
      <c r="AR552" s="123">
        <f t="shared" si="520"/>
        <v>0</v>
      </c>
      <c r="AS552" s="123">
        <f t="shared" si="520"/>
        <v>0</v>
      </c>
      <c r="AT552" s="123">
        <f t="shared" si="520"/>
        <v>0</v>
      </c>
      <c r="AU552" s="123">
        <f t="shared" si="520"/>
        <v>0</v>
      </c>
      <c r="AV552" s="123">
        <f t="shared" si="520"/>
        <v>0</v>
      </c>
      <c r="AW552" s="123">
        <f t="shared" si="520"/>
        <v>0</v>
      </c>
      <c r="AX552" s="123">
        <f t="shared" si="520"/>
        <v>0</v>
      </c>
      <c r="AY552" s="123">
        <f t="shared" si="520"/>
        <v>0</v>
      </c>
      <c r="AZ552" s="123">
        <f t="shared" si="520"/>
        <v>0</v>
      </c>
      <c r="BA552" s="123">
        <f t="shared" si="520"/>
        <v>0</v>
      </c>
      <c r="BB552" s="123">
        <f t="shared" si="520"/>
        <v>0</v>
      </c>
      <c r="BC552" s="123">
        <f t="shared" si="520"/>
        <v>0</v>
      </c>
      <c r="BD552" s="123">
        <f t="shared" si="520"/>
        <v>0</v>
      </c>
      <c r="BE552" s="123">
        <f t="shared" si="520"/>
        <v>0</v>
      </c>
      <c r="BF552" s="123">
        <f t="shared" si="520"/>
        <v>0</v>
      </c>
      <c r="BG552" s="123">
        <f t="shared" si="520"/>
        <v>0</v>
      </c>
      <c r="BH552" s="123">
        <f t="shared" si="520"/>
        <v>0</v>
      </c>
      <c r="BI552" s="123">
        <f t="shared" si="520"/>
        <v>0</v>
      </c>
      <c r="BJ552" s="123">
        <f t="shared" si="520"/>
        <v>0</v>
      </c>
      <c r="BK552" s="123">
        <f t="shared" si="520"/>
        <v>0</v>
      </c>
      <c r="BL552" s="123">
        <f t="shared" si="520"/>
        <v>0</v>
      </c>
      <c r="BM552" s="123">
        <f t="shared" si="520"/>
        <v>0</v>
      </c>
      <c r="BN552" s="159">
        <f t="shared" si="520"/>
        <v>0</v>
      </c>
      <c r="BP552" s="367" t="s">
        <v>865</v>
      </c>
      <c r="BQ552" s="1494" t="str">
        <f t="shared" si="517"/>
        <v>GHG_Peata = GHG_Peata-1 + (C116 * BUI_COL(51+((A116-1)*8)+((D116-1)*32)) - BUI_COL(51+((A116-1)*8)+((E116-1)*32)) + F116 / 100 * BUI_COL(51+((A116-1)*8)+((E116-1)*32)) * BUI_COL4 / (J116-I116+1) / 1000000</v>
      </c>
      <c r="BR552" s="1494"/>
      <c r="BS552" s="1494"/>
      <c r="BT552" s="1494"/>
      <c r="BU552" s="1494"/>
      <c r="BV552" s="1494"/>
      <c r="BW552" s="1494"/>
      <c r="BX552" s="1494"/>
      <c r="BY552" s="1494"/>
      <c r="BZ552" s="1494"/>
      <c r="CA552" s="1494"/>
      <c r="CB552" s="1494"/>
      <c r="CC552" s="1494"/>
      <c r="CD552" s="1494"/>
      <c r="CE552" s="1494"/>
      <c r="CF552" s="1494"/>
      <c r="CG552" s="1494"/>
      <c r="CH552" s="1494"/>
      <c r="CI552" s="1494"/>
      <c r="CJ552" s="1494"/>
      <c r="CK552" s="1494"/>
      <c r="CL552" s="579" t="s">
        <v>2113</v>
      </c>
      <c r="CM552" s="579" t="s">
        <v>2114</v>
      </c>
      <c r="CN552" s="579" t="s">
        <v>2181</v>
      </c>
      <c r="CO552" s="579" t="s">
        <v>1249</v>
      </c>
    </row>
    <row r="553" spans="32:93" ht="20.100000000000001" customHeight="1">
      <c r="AF553" s="1560"/>
      <c r="AG553" s="107" t="s">
        <v>866</v>
      </c>
      <c r="AH553" s="107">
        <f>INDEX('DEFAULT DATA'!$WD$9:$WJ$41,START!$C$3,5)</f>
        <v>403</v>
      </c>
      <c r="AI553" s="115">
        <f>INDEX('DEFAULT DATA'!$YB$9:$AGQ$41,START!$C$3,(6+(($A$117-1)*8)+(($D$117-1)*32)))</f>
        <v>0</v>
      </c>
      <c r="AJ553" s="115">
        <f>INDEX('DEFAULT DATA'!$YB$9:$AGQ$41,START!$C$3,(6+(($A$117-1)*8)+(($E$117-1)*32)))</f>
        <v>0</v>
      </c>
      <c r="AK553" s="180">
        <v>0</v>
      </c>
      <c r="AL553" s="123">
        <f t="shared" ref="AL553:BN553" si="521">IF(AND(AL$547&gt;($I$117+2020),AL$547&lt;($J$117+2022)),AK553+($AH$553*($AI$553-$AJ$553)*$C$117*((100-$F$117)/100)/($J$117-$I$117+1)/1000000),AK553)</f>
        <v>0</v>
      </c>
      <c r="AM553" s="123">
        <f t="shared" si="521"/>
        <v>0</v>
      </c>
      <c r="AN553" s="123">
        <f t="shared" si="521"/>
        <v>0</v>
      </c>
      <c r="AO553" s="123">
        <f t="shared" si="521"/>
        <v>0</v>
      </c>
      <c r="AP553" s="123">
        <f t="shared" si="521"/>
        <v>0</v>
      </c>
      <c r="AQ553" s="123">
        <f t="shared" si="521"/>
        <v>0</v>
      </c>
      <c r="AR553" s="123">
        <f t="shared" si="521"/>
        <v>0</v>
      </c>
      <c r="AS553" s="123">
        <f t="shared" si="521"/>
        <v>0</v>
      </c>
      <c r="AT553" s="123">
        <f t="shared" si="521"/>
        <v>0</v>
      </c>
      <c r="AU553" s="123">
        <f t="shared" si="521"/>
        <v>0</v>
      </c>
      <c r="AV553" s="123">
        <f t="shared" si="521"/>
        <v>0</v>
      </c>
      <c r="AW553" s="123">
        <f t="shared" si="521"/>
        <v>0</v>
      </c>
      <c r="AX553" s="123">
        <f t="shared" si="521"/>
        <v>0</v>
      </c>
      <c r="AY553" s="123">
        <f t="shared" si="521"/>
        <v>0</v>
      </c>
      <c r="AZ553" s="123">
        <f t="shared" si="521"/>
        <v>0</v>
      </c>
      <c r="BA553" s="123">
        <f t="shared" si="521"/>
        <v>0</v>
      </c>
      <c r="BB553" s="123">
        <f t="shared" si="521"/>
        <v>0</v>
      </c>
      <c r="BC553" s="123">
        <f t="shared" si="521"/>
        <v>0</v>
      </c>
      <c r="BD553" s="123">
        <f t="shared" si="521"/>
        <v>0</v>
      </c>
      <c r="BE553" s="123">
        <f t="shared" si="521"/>
        <v>0</v>
      </c>
      <c r="BF553" s="123">
        <f t="shared" si="521"/>
        <v>0</v>
      </c>
      <c r="BG553" s="123">
        <f t="shared" si="521"/>
        <v>0</v>
      </c>
      <c r="BH553" s="123">
        <f t="shared" si="521"/>
        <v>0</v>
      </c>
      <c r="BI553" s="123">
        <f t="shared" si="521"/>
        <v>0</v>
      </c>
      <c r="BJ553" s="123">
        <f t="shared" si="521"/>
        <v>0</v>
      </c>
      <c r="BK553" s="123">
        <f t="shared" si="521"/>
        <v>0</v>
      </c>
      <c r="BL553" s="123">
        <f t="shared" si="521"/>
        <v>0</v>
      </c>
      <c r="BM553" s="123">
        <f t="shared" si="521"/>
        <v>0</v>
      </c>
      <c r="BN553" s="159">
        <f t="shared" si="521"/>
        <v>0</v>
      </c>
      <c r="BP553" s="367" t="s">
        <v>866</v>
      </c>
      <c r="BQ553" s="1494" t="str">
        <f t="shared" si="517"/>
        <v>GHG_Wooda = GHG_Wooda-1 + (C116 * BUI_COL(51+((A116-1)*8)+((D116-1)*32)) - BUI_COL(51+((A116-1)*8)+((E116-1)*32)) + F116 / 100 * BUI_COL(51+((A116-1)*8)+((E116-1)*32)) * BUI_COL5 / (J116-I116+1) / 1000000</v>
      </c>
      <c r="BR553" s="1494"/>
      <c r="BS553" s="1494"/>
      <c r="BT553" s="1494"/>
      <c r="BU553" s="1494"/>
      <c r="BV553" s="1494"/>
      <c r="BW553" s="1494"/>
      <c r="BX553" s="1494"/>
      <c r="BY553" s="1494"/>
      <c r="BZ553" s="1494"/>
      <c r="CA553" s="1494"/>
      <c r="CB553" s="1494"/>
      <c r="CC553" s="1494"/>
      <c r="CD553" s="1494"/>
      <c r="CE553" s="1494"/>
      <c r="CF553" s="1494"/>
      <c r="CG553" s="1494"/>
      <c r="CH553" s="1494"/>
      <c r="CI553" s="1494"/>
      <c r="CJ553" s="1494"/>
      <c r="CK553" s="1494"/>
      <c r="CL553" s="579" t="s">
        <v>2113</v>
      </c>
      <c r="CM553" s="579" t="s">
        <v>2114</v>
      </c>
      <c r="CN553" s="579" t="s">
        <v>2181</v>
      </c>
      <c r="CO553" s="579" t="s">
        <v>1250</v>
      </c>
    </row>
    <row r="554" spans="32:93" ht="20.100000000000001" customHeight="1">
      <c r="AF554" s="1560"/>
      <c r="AG554" s="107" t="s">
        <v>867</v>
      </c>
      <c r="AH554" s="107">
        <f>INDEX('DEFAULT DATA'!$WD$9:$WJ$41,START!$C$3,6)</f>
        <v>0</v>
      </c>
      <c r="AI554" s="115">
        <f>INDEX('DEFAULT DATA'!$YB$9:$AGQ$41,START!$C$3,(7+(($A$117-1)*8)+(($D$117-1)*32)))</f>
        <v>6908.2643666835329</v>
      </c>
      <c r="AJ554" s="115">
        <f>INDEX('DEFAULT DATA'!$YB$9:$AGQ$41,START!$C$3,(7+(($A$117-1)*8)+(($E$117-1)*32)))</f>
        <v>1657.8066152984159</v>
      </c>
      <c r="AK554" s="180">
        <v>0</v>
      </c>
      <c r="AL554" s="123">
        <f t="shared" ref="AL554:BN554" si="522">IF(AND(AL$547&gt;($I$117+2020),AL$547&lt;($J$117+2022)),AK554+($AH$554*($AI$554-$AJ$554)*$C$117*((100-$F$117)/100)/($J$117-$I$117+1)/1000000),AK554)</f>
        <v>0</v>
      </c>
      <c r="AM554" s="123">
        <f t="shared" si="522"/>
        <v>0</v>
      </c>
      <c r="AN554" s="123">
        <f t="shared" si="522"/>
        <v>0</v>
      </c>
      <c r="AO554" s="123">
        <f t="shared" si="522"/>
        <v>0</v>
      </c>
      <c r="AP554" s="123">
        <f t="shared" si="522"/>
        <v>0</v>
      </c>
      <c r="AQ554" s="123">
        <f t="shared" si="522"/>
        <v>0</v>
      </c>
      <c r="AR554" s="123">
        <f t="shared" si="522"/>
        <v>0</v>
      </c>
      <c r="AS554" s="123">
        <f t="shared" si="522"/>
        <v>0</v>
      </c>
      <c r="AT554" s="123">
        <f t="shared" si="522"/>
        <v>0</v>
      </c>
      <c r="AU554" s="123">
        <f t="shared" si="522"/>
        <v>0</v>
      </c>
      <c r="AV554" s="123">
        <f t="shared" si="522"/>
        <v>0</v>
      </c>
      <c r="AW554" s="123">
        <f t="shared" si="522"/>
        <v>0</v>
      </c>
      <c r="AX554" s="123">
        <f t="shared" si="522"/>
        <v>0</v>
      </c>
      <c r="AY554" s="123">
        <f t="shared" si="522"/>
        <v>0</v>
      </c>
      <c r="AZ554" s="123">
        <f t="shared" si="522"/>
        <v>0</v>
      </c>
      <c r="BA554" s="123">
        <f t="shared" si="522"/>
        <v>0</v>
      </c>
      <c r="BB554" s="123">
        <f t="shared" si="522"/>
        <v>0</v>
      </c>
      <c r="BC554" s="123">
        <f t="shared" si="522"/>
        <v>0</v>
      </c>
      <c r="BD554" s="123">
        <f t="shared" si="522"/>
        <v>0</v>
      </c>
      <c r="BE554" s="123">
        <f t="shared" si="522"/>
        <v>0</v>
      </c>
      <c r="BF554" s="123">
        <f t="shared" si="522"/>
        <v>0</v>
      </c>
      <c r="BG554" s="123">
        <f t="shared" si="522"/>
        <v>0</v>
      </c>
      <c r="BH554" s="123">
        <f t="shared" si="522"/>
        <v>0</v>
      </c>
      <c r="BI554" s="123">
        <f t="shared" si="522"/>
        <v>0</v>
      </c>
      <c r="BJ554" s="123">
        <f t="shared" si="522"/>
        <v>0</v>
      </c>
      <c r="BK554" s="123">
        <f t="shared" si="522"/>
        <v>0</v>
      </c>
      <c r="BL554" s="123">
        <f t="shared" si="522"/>
        <v>0</v>
      </c>
      <c r="BM554" s="123">
        <f t="shared" si="522"/>
        <v>0</v>
      </c>
      <c r="BN554" s="159">
        <f t="shared" si="522"/>
        <v>0</v>
      </c>
      <c r="BP554" s="367" t="s">
        <v>867</v>
      </c>
      <c r="BQ554" s="1494" t="str">
        <f t="shared" si="517"/>
        <v>GHG_Renewablea = GHG_Renewablea-1 + (C116 * BUI_COL(51+((A116-1)*8)+((D116-1)*32)) - BUI_COL(51+((A116-1)*8)+((E116-1)*32)) + F116 / 100 * BUI_COL(51+((A116-1)*8)+((E116-1)*32)) * BUI_COL6 / (J116-I116+1) / 1000000</v>
      </c>
      <c r="BR554" s="1494"/>
      <c r="BS554" s="1494"/>
      <c r="BT554" s="1494"/>
      <c r="BU554" s="1494"/>
      <c r="BV554" s="1494"/>
      <c r="BW554" s="1494"/>
      <c r="BX554" s="1494"/>
      <c r="BY554" s="1494"/>
      <c r="BZ554" s="1494"/>
      <c r="CA554" s="1494"/>
      <c r="CB554" s="1494"/>
      <c r="CC554" s="1494"/>
      <c r="CD554" s="1494"/>
      <c r="CE554" s="1494"/>
      <c r="CF554" s="1494"/>
      <c r="CG554" s="1494"/>
      <c r="CH554" s="1494"/>
      <c r="CI554" s="1494"/>
      <c r="CJ554" s="1494"/>
      <c r="CK554" s="1494"/>
      <c r="CL554" s="579" t="s">
        <v>2113</v>
      </c>
      <c r="CM554" s="579" t="s">
        <v>2114</v>
      </c>
      <c r="CN554" s="579" t="s">
        <v>2181</v>
      </c>
      <c r="CO554" s="579" t="s">
        <v>1251</v>
      </c>
    </row>
    <row r="555" spans="32:93" ht="20.100000000000001" customHeight="1" thickBot="1">
      <c r="AF555" s="1561"/>
      <c r="AG555" s="146" t="s">
        <v>868</v>
      </c>
      <c r="AH555" s="146" t="s">
        <v>1123</v>
      </c>
      <c r="AI555" s="170">
        <f>INDEX('DEFAULT DATA'!$YB$9:$AGQ$41,START!$C$3,(8+(($A$117-1)*8)+(($D$117-1)*32)))</f>
        <v>1727.0660916708832</v>
      </c>
      <c r="AJ555" s="170">
        <f>INDEX('DEFAULT DATA'!$YB$9:$AGQ$41,START!$C$3,(8+(($A$117-1)*8)+(($E$117-1)*32)))</f>
        <v>414.45165382460397</v>
      </c>
      <c r="AK555" s="183">
        <v>0</v>
      </c>
      <c r="AL555" s="160">
        <f t="shared" ref="AL555:BN555" si="523">IF(AND(AL$547&gt;($I$117+2020),AL$547&lt;($J$117+2022)),AK555+(AL$6*($AI$555-$AJ$555)*$C$117*((100-$F$117)/100)/($J$117-$I$117+1)/1000000),AK555)</f>
        <v>0</v>
      </c>
      <c r="AM555" s="160">
        <f t="shared" si="523"/>
        <v>0</v>
      </c>
      <c r="AN555" s="160">
        <f t="shared" si="523"/>
        <v>0</v>
      </c>
      <c r="AO555" s="160">
        <f t="shared" si="523"/>
        <v>0</v>
      </c>
      <c r="AP555" s="160">
        <f t="shared" si="523"/>
        <v>0</v>
      </c>
      <c r="AQ555" s="160">
        <f t="shared" si="523"/>
        <v>0</v>
      </c>
      <c r="AR555" s="160">
        <f t="shared" si="523"/>
        <v>0</v>
      </c>
      <c r="AS555" s="160">
        <f t="shared" si="523"/>
        <v>0</v>
      </c>
      <c r="AT555" s="160">
        <f t="shared" si="523"/>
        <v>0</v>
      </c>
      <c r="AU555" s="160">
        <f t="shared" si="523"/>
        <v>0</v>
      </c>
      <c r="AV555" s="160">
        <f t="shared" si="523"/>
        <v>0</v>
      </c>
      <c r="AW555" s="160">
        <f t="shared" si="523"/>
        <v>0</v>
      </c>
      <c r="AX555" s="160">
        <f t="shared" si="523"/>
        <v>0</v>
      </c>
      <c r="AY555" s="160">
        <f t="shared" si="523"/>
        <v>0</v>
      </c>
      <c r="AZ555" s="160">
        <f t="shared" si="523"/>
        <v>0</v>
      </c>
      <c r="BA555" s="160">
        <f t="shared" si="523"/>
        <v>0</v>
      </c>
      <c r="BB555" s="160">
        <f t="shared" si="523"/>
        <v>0</v>
      </c>
      <c r="BC555" s="160">
        <f t="shared" si="523"/>
        <v>0</v>
      </c>
      <c r="BD555" s="160">
        <f t="shared" si="523"/>
        <v>0</v>
      </c>
      <c r="BE555" s="160">
        <f t="shared" si="523"/>
        <v>0</v>
      </c>
      <c r="BF555" s="160">
        <f t="shared" si="523"/>
        <v>0</v>
      </c>
      <c r="BG555" s="160">
        <f t="shared" si="523"/>
        <v>0</v>
      </c>
      <c r="BH555" s="160">
        <f t="shared" si="523"/>
        <v>0</v>
      </c>
      <c r="BI555" s="160">
        <f t="shared" si="523"/>
        <v>0</v>
      </c>
      <c r="BJ555" s="160">
        <f t="shared" si="523"/>
        <v>0</v>
      </c>
      <c r="BK555" s="160">
        <f t="shared" si="523"/>
        <v>0</v>
      </c>
      <c r="BL555" s="160">
        <f t="shared" si="523"/>
        <v>0</v>
      </c>
      <c r="BM555" s="160">
        <f t="shared" si="523"/>
        <v>0</v>
      </c>
      <c r="BN555" s="161">
        <f t="shared" si="523"/>
        <v>0</v>
      </c>
      <c r="BP555" s="367" t="s">
        <v>868</v>
      </c>
      <c r="BQ555" s="1494" t="str">
        <f t="shared" si="517"/>
        <v>GHG_Heata = GHG_Heata-1 + (C116 * BUI_COL(51+((A116-1)*8)+((D116-1)*32)) - BUI_COL(51+((A116-1)*8)+((E116-1)*32)) + F116 / 100 * BUI_COL(51+((A116-1)*8)+((E116-1)*32)) * DISTRICT_HEATING_emission_factora (from row 5) / (J116-I116+1) / 1000000</v>
      </c>
      <c r="BR555" s="1494"/>
      <c r="BS555" s="1494"/>
      <c r="BT555" s="1494"/>
      <c r="BU555" s="1494"/>
      <c r="BV555" s="1494"/>
      <c r="BW555" s="1494"/>
      <c r="BX555" s="1494"/>
      <c r="BY555" s="1494"/>
      <c r="BZ555" s="1494"/>
      <c r="CA555" s="1494"/>
      <c r="CB555" s="1494"/>
      <c r="CC555" s="1494"/>
      <c r="CD555" s="1494"/>
      <c r="CE555" s="1494"/>
      <c r="CF555" s="1494"/>
      <c r="CG555" s="1494"/>
      <c r="CH555" s="1494"/>
      <c r="CI555" s="1494"/>
      <c r="CJ555" s="1494"/>
      <c r="CK555" s="1494"/>
      <c r="CL555" s="579" t="s">
        <v>2113</v>
      </c>
      <c r="CM555" s="579" t="s">
        <v>2114</v>
      </c>
      <c r="CN555" s="579" t="s">
        <v>2181</v>
      </c>
      <c r="CO555" s="579" t="s">
        <v>1508</v>
      </c>
    </row>
    <row r="556" spans="32:93" ht="20.100000000000001" customHeight="1">
      <c r="AF556" s="167"/>
      <c r="AG556" s="144" t="s">
        <v>211</v>
      </c>
      <c r="AH556" s="145"/>
      <c r="AI556" s="145"/>
      <c r="AJ556" s="145"/>
      <c r="AK556" s="179">
        <v>0</v>
      </c>
      <c r="AL556" s="162">
        <f>SUM(AL548:AL555)</f>
        <v>0</v>
      </c>
      <c r="AM556" s="162">
        <f t="shared" ref="AM556:BN556" si="524">SUM(AM548:AM555)</f>
        <v>0</v>
      </c>
      <c r="AN556" s="162">
        <f t="shared" si="524"/>
        <v>0</v>
      </c>
      <c r="AO556" s="162">
        <f t="shared" si="524"/>
        <v>0</v>
      </c>
      <c r="AP556" s="162">
        <f t="shared" si="524"/>
        <v>0</v>
      </c>
      <c r="AQ556" s="162">
        <f t="shared" si="524"/>
        <v>0</v>
      </c>
      <c r="AR556" s="162">
        <f t="shared" si="524"/>
        <v>0</v>
      </c>
      <c r="AS556" s="162">
        <f t="shared" si="524"/>
        <v>0</v>
      </c>
      <c r="AT556" s="162">
        <f t="shared" si="524"/>
        <v>0</v>
      </c>
      <c r="AU556" s="162">
        <f t="shared" si="524"/>
        <v>0</v>
      </c>
      <c r="AV556" s="162">
        <f t="shared" si="524"/>
        <v>0</v>
      </c>
      <c r="AW556" s="162">
        <f t="shared" si="524"/>
        <v>0</v>
      </c>
      <c r="AX556" s="162">
        <f t="shared" si="524"/>
        <v>0</v>
      </c>
      <c r="AY556" s="162">
        <f t="shared" si="524"/>
        <v>0</v>
      </c>
      <c r="AZ556" s="162">
        <f t="shared" si="524"/>
        <v>0</v>
      </c>
      <c r="BA556" s="162">
        <f t="shared" si="524"/>
        <v>0</v>
      </c>
      <c r="BB556" s="162">
        <f t="shared" si="524"/>
        <v>0</v>
      </c>
      <c r="BC556" s="162">
        <f t="shared" si="524"/>
        <v>0</v>
      </c>
      <c r="BD556" s="162">
        <f t="shared" si="524"/>
        <v>0</v>
      </c>
      <c r="BE556" s="162">
        <f t="shared" si="524"/>
        <v>0</v>
      </c>
      <c r="BF556" s="162">
        <f t="shared" si="524"/>
        <v>0</v>
      </c>
      <c r="BG556" s="162">
        <f t="shared" si="524"/>
        <v>0</v>
      </c>
      <c r="BH556" s="162">
        <f t="shared" si="524"/>
        <v>0</v>
      </c>
      <c r="BI556" s="162">
        <f t="shared" si="524"/>
        <v>0</v>
      </c>
      <c r="BJ556" s="162">
        <f t="shared" si="524"/>
        <v>0</v>
      </c>
      <c r="BK556" s="162">
        <f t="shared" si="524"/>
        <v>0</v>
      </c>
      <c r="BL556" s="162">
        <f t="shared" si="524"/>
        <v>0</v>
      </c>
      <c r="BM556" s="162">
        <f t="shared" si="524"/>
        <v>0</v>
      </c>
      <c r="BN556" s="162">
        <f t="shared" si="524"/>
        <v>0</v>
      </c>
    </row>
    <row r="558" spans="32:93" ht="20.100000000000001" customHeight="1" thickBot="1">
      <c r="AF558" s="168" t="s">
        <v>1099</v>
      </c>
      <c r="AG558" s="168"/>
      <c r="AH558" s="169" t="s">
        <v>620</v>
      </c>
      <c r="AI558" s="135" t="s">
        <v>898</v>
      </c>
      <c r="AJ558" s="135" t="s">
        <v>899</v>
      </c>
      <c r="AK558" s="181">
        <v>2021</v>
      </c>
      <c r="AL558" s="135">
        <v>2022</v>
      </c>
      <c r="AM558" s="135">
        <v>2023</v>
      </c>
      <c r="AN558" s="135">
        <v>2024</v>
      </c>
      <c r="AO558" s="135">
        <v>2025</v>
      </c>
      <c r="AP558" s="135">
        <v>2026</v>
      </c>
      <c r="AQ558" s="135">
        <v>2027</v>
      </c>
      <c r="AR558" s="135">
        <v>2028</v>
      </c>
      <c r="AS558" s="135">
        <v>2029</v>
      </c>
      <c r="AT558" s="135">
        <v>2030</v>
      </c>
      <c r="AU558" s="135">
        <v>2031</v>
      </c>
      <c r="AV558" s="135">
        <v>2032</v>
      </c>
      <c r="AW558" s="135">
        <v>2033</v>
      </c>
      <c r="AX558" s="135">
        <v>2034</v>
      </c>
      <c r="AY558" s="135">
        <v>2035</v>
      </c>
      <c r="AZ558" s="135">
        <v>2036</v>
      </c>
      <c r="BA558" s="135">
        <v>2037</v>
      </c>
      <c r="BB558" s="135">
        <v>2038</v>
      </c>
      <c r="BC558" s="135">
        <v>2039</v>
      </c>
      <c r="BD558" s="135">
        <v>2040</v>
      </c>
      <c r="BE558" s="135">
        <v>2041</v>
      </c>
      <c r="BF558" s="135">
        <v>2042</v>
      </c>
      <c r="BG558" s="135">
        <v>2043</v>
      </c>
      <c r="BH558" s="135">
        <v>2044</v>
      </c>
      <c r="BI558" s="135">
        <v>2045</v>
      </c>
      <c r="BJ558" s="135">
        <v>2046</v>
      </c>
      <c r="BK558" s="135">
        <v>2047</v>
      </c>
      <c r="BL558" s="135">
        <v>2048</v>
      </c>
      <c r="BM558" s="135">
        <v>2049</v>
      </c>
      <c r="BN558" s="135">
        <v>2050</v>
      </c>
      <c r="BQ558" s="130" t="s">
        <v>2183</v>
      </c>
      <c r="CL558" s="386" t="s">
        <v>2091</v>
      </c>
      <c r="CM558" s="6" t="s">
        <v>2092</v>
      </c>
      <c r="CN558" s="6" t="s">
        <v>2172</v>
      </c>
      <c r="CO558" s="245" t="s">
        <v>1224</v>
      </c>
    </row>
    <row r="559" spans="32:93" ht="20.100000000000001" customHeight="1">
      <c r="AF559" s="1559" t="str">
        <f>INDEX('MENU OPTIONS'!B27:B30,A118,1)</f>
        <v>Terraced</v>
      </c>
      <c r="AG559" s="137" t="s">
        <v>578</v>
      </c>
      <c r="AH559" s="137" t="s">
        <v>1122</v>
      </c>
      <c r="AI559" s="165">
        <f>INDEX('DEFAULT DATA'!$YB$9:$AGQ$41,START!$C$3,(1+(($A$118-1)*8)+(($D$118-1)*32)))</f>
        <v>2417.8925283392368</v>
      </c>
      <c r="AJ559" s="165">
        <f>INDEX('DEFAULT DATA'!$YB$9:$AGQ$41,START!$C$3,(1+(($A$118-1)*8)+(($E$118-1)*32)))</f>
        <v>580.23231535444563</v>
      </c>
      <c r="AK559" s="178">
        <v>0</v>
      </c>
      <c r="AL559" s="157">
        <f t="shared" ref="AL559:BN559" si="525">IF(AND(AL$558&gt;($I$118+2020),AL$558&lt;($J$118+2022)),AK559+(AL$5*($AI$559-$AJ$559)*$C$118*((100-$F$118)/100)/($J$118-$I$118+1)/1000000),AK559)</f>
        <v>0</v>
      </c>
      <c r="AM559" s="157">
        <f t="shared" si="525"/>
        <v>0</v>
      </c>
      <c r="AN559" s="157">
        <f t="shared" si="525"/>
        <v>0</v>
      </c>
      <c r="AO559" s="157">
        <f t="shared" si="525"/>
        <v>0</v>
      </c>
      <c r="AP559" s="157">
        <f t="shared" si="525"/>
        <v>0</v>
      </c>
      <c r="AQ559" s="157">
        <f t="shared" si="525"/>
        <v>0</v>
      </c>
      <c r="AR559" s="157">
        <f t="shared" si="525"/>
        <v>0</v>
      </c>
      <c r="AS559" s="157">
        <f t="shared" si="525"/>
        <v>0</v>
      </c>
      <c r="AT559" s="157">
        <f t="shared" si="525"/>
        <v>0</v>
      </c>
      <c r="AU559" s="157">
        <f t="shared" si="525"/>
        <v>0</v>
      </c>
      <c r="AV559" s="157">
        <f t="shared" si="525"/>
        <v>0</v>
      </c>
      <c r="AW559" s="157">
        <f t="shared" si="525"/>
        <v>0</v>
      </c>
      <c r="AX559" s="157">
        <f t="shared" si="525"/>
        <v>0</v>
      </c>
      <c r="AY559" s="157">
        <f t="shared" si="525"/>
        <v>0</v>
      </c>
      <c r="AZ559" s="157">
        <f t="shared" si="525"/>
        <v>0</v>
      </c>
      <c r="BA559" s="157">
        <f t="shared" si="525"/>
        <v>0</v>
      </c>
      <c r="BB559" s="157">
        <f t="shared" si="525"/>
        <v>0</v>
      </c>
      <c r="BC559" s="157">
        <f t="shared" si="525"/>
        <v>0</v>
      </c>
      <c r="BD559" s="157">
        <f t="shared" si="525"/>
        <v>0</v>
      </c>
      <c r="BE559" s="157">
        <f t="shared" si="525"/>
        <v>0</v>
      </c>
      <c r="BF559" s="157">
        <f t="shared" si="525"/>
        <v>0</v>
      </c>
      <c r="BG559" s="157">
        <f t="shared" si="525"/>
        <v>0</v>
      </c>
      <c r="BH559" s="157">
        <f t="shared" si="525"/>
        <v>0</v>
      </c>
      <c r="BI559" s="157">
        <f t="shared" si="525"/>
        <v>0</v>
      </c>
      <c r="BJ559" s="157">
        <f t="shared" si="525"/>
        <v>0</v>
      </c>
      <c r="BK559" s="157">
        <f t="shared" si="525"/>
        <v>0</v>
      </c>
      <c r="BL559" s="157">
        <f t="shared" si="525"/>
        <v>0</v>
      </c>
      <c r="BM559" s="157">
        <f t="shared" si="525"/>
        <v>0</v>
      </c>
      <c r="BN559" s="158">
        <f t="shared" si="525"/>
        <v>0</v>
      </c>
      <c r="BP559" s="367" t="s">
        <v>578</v>
      </c>
      <c r="BQ559" s="1494" t="str">
        <f>CONCATENATE("GHG_",BP559,"a = GHG_",BP559,"a-1 + (C117 * ",CL559," - ",CM559," + F117 / 100 * ",CM559," * ",CO559," / (",CN559,") / 1000000")</f>
        <v>GHG_Electricitya = GHG_Electricitya-1 + (C117 * BUI_COL(51+((A117-1)*8)+((D117-1)*32)) - BUI_COL(51+((A117-1)*8)+((E117-1)*32)) + F117 / 100 * BUI_COL(51+((A117-1)*8)+((E117-1)*32)) * GRID_ELECTRICITY_emission_factora (from row4) / (J117-I117+1) / 1000000</v>
      </c>
      <c r="BR559" s="1494"/>
      <c r="BS559" s="1494"/>
      <c r="BT559" s="1494"/>
      <c r="BU559" s="1494"/>
      <c r="BV559" s="1494"/>
      <c r="BW559" s="1494"/>
      <c r="BX559" s="1494"/>
      <c r="BY559" s="1494"/>
      <c r="BZ559" s="1494"/>
      <c r="CA559" s="1494"/>
      <c r="CB559" s="1494"/>
      <c r="CC559" s="1494"/>
      <c r="CD559" s="1494"/>
      <c r="CE559" s="1494"/>
      <c r="CF559" s="1494"/>
      <c r="CG559" s="1494"/>
      <c r="CH559" s="1494"/>
      <c r="CI559" s="1494"/>
      <c r="CJ559" s="1494"/>
      <c r="CK559" s="1494"/>
      <c r="CL559" s="579" t="s">
        <v>2115</v>
      </c>
      <c r="CM559" s="579" t="s">
        <v>2116</v>
      </c>
      <c r="CN559" s="579" t="s">
        <v>2173</v>
      </c>
      <c r="CO559" s="579" t="s">
        <v>1507</v>
      </c>
    </row>
    <row r="560" spans="32:93" ht="20.100000000000001" customHeight="1">
      <c r="AF560" s="1560"/>
      <c r="AG560" s="107" t="s">
        <v>862</v>
      </c>
      <c r="AH560" s="107">
        <f>INDEX('DEFAULT DATA'!$WD$9:$WJ$41,START!$C$3,1)</f>
        <v>202</v>
      </c>
      <c r="AI560" s="115">
        <f>INDEX('DEFAULT DATA'!$YB$9:$AGQ$41,START!$C$3,(2+(($A$118-1)*8)+(($D$118-1)*32)))</f>
        <v>5526.6114933468261</v>
      </c>
      <c r="AJ560" s="115">
        <f>INDEX('DEFAULT DATA'!$YB$9:$AGQ$41,START!$C$3,(2+(($A$118-1)*8)+(($E$118-1)*32)))</f>
        <v>0</v>
      </c>
      <c r="AK560" s="180">
        <v>0</v>
      </c>
      <c r="AL560" s="123">
        <f t="shared" ref="AL560:BN560" si="526">IF(AND(AL$558&gt;($I$118+2020),AL$558&lt;($J$118+2022)),AK560+($AH$560*($AI$560-$AJ$560)*$C$118*((100-$F$118)/100)/($J$118-$I$118+1)/1000000),AK560)</f>
        <v>0</v>
      </c>
      <c r="AM560" s="123">
        <f t="shared" si="526"/>
        <v>0</v>
      </c>
      <c r="AN560" s="123">
        <f t="shared" si="526"/>
        <v>0</v>
      </c>
      <c r="AO560" s="123">
        <f t="shared" si="526"/>
        <v>0</v>
      </c>
      <c r="AP560" s="123">
        <f t="shared" si="526"/>
        <v>0</v>
      </c>
      <c r="AQ560" s="123">
        <f t="shared" si="526"/>
        <v>0</v>
      </c>
      <c r="AR560" s="123">
        <f t="shared" si="526"/>
        <v>0</v>
      </c>
      <c r="AS560" s="123">
        <f t="shared" si="526"/>
        <v>0</v>
      </c>
      <c r="AT560" s="123">
        <f t="shared" si="526"/>
        <v>0</v>
      </c>
      <c r="AU560" s="123">
        <f t="shared" si="526"/>
        <v>0</v>
      </c>
      <c r="AV560" s="123">
        <f t="shared" si="526"/>
        <v>0</v>
      </c>
      <c r="AW560" s="123">
        <f t="shared" si="526"/>
        <v>0</v>
      </c>
      <c r="AX560" s="123">
        <f t="shared" si="526"/>
        <v>0</v>
      </c>
      <c r="AY560" s="123">
        <f t="shared" si="526"/>
        <v>0</v>
      </c>
      <c r="AZ560" s="123">
        <f t="shared" si="526"/>
        <v>0</v>
      </c>
      <c r="BA560" s="123">
        <f t="shared" si="526"/>
        <v>0</v>
      </c>
      <c r="BB560" s="123">
        <f t="shared" si="526"/>
        <v>0</v>
      </c>
      <c r="BC560" s="123">
        <f t="shared" si="526"/>
        <v>0</v>
      </c>
      <c r="BD560" s="123">
        <f t="shared" si="526"/>
        <v>0</v>
      </c>
      <c r="BE560" s="123">
        <f t="shared" si="526"/>
        <v>0</v>
      </c>
      <c r="BF560" s="123">
        <f t="shared" si="526"/>
        <v>0</v>
      </c>
      <c r="BG560" s="123">
        <f t="shared" si="526"/>
        <v>0</v>
      </c>
      <c r="BH560" s="123">
        <f t="shared" si="526"/>
        <v>0</v>
      </c>
      <c r="BI560" s="123">
        <f t="shared" si="526"/>
        <v>0</v>
      </c>
      <c r="BJ560" s="123">
        <f t="shared" si="526"/>
        <v>0</v>
      </c>
      <c r="BK560" s="123">
        <f t="shared" si="526"/>
        <v>0</v>
      </c>
      <c r="BL560" s="123">
        <f t="shared" si="526"/>
        <v>0</v>
      </c>
      <c r="BM560" s="123">
        <f t="shared" si="526"/>
        <v>0</v>
      </c>
      <c r="BN560" s="159">
        <f t="shared" si="526"/>
        <v>0</v>
      </c>
      <c r="BP560" s="367" t="s">
        <v>862</v>
      </c>
      <c r="BQ560" s="1494" t="str">
        <f t="shared" ref="BQ560:BQ566" si="527">CONCATENATE("GHG_",BP560,"a = GHG_",BP560,"a-1 + (C117 * ",CL560," - ",CM560," + F117 / 100 * ",CM560," * ",CO560," / (",CN560,") / 1000000")</f>
        <v>GHG_Gasa = GHG_Gasa-1 + (C117 * BUI_COL(51+((A117-1)*8)+((D117-1)*32)) - BUI_COL(51+((A117-1)*8)+((E117-1)*32)) + F117 / 100 * BUI_COL(51+((A117-1)*8)+((E117-1)*32)) * BUI_COL1 / (J117-I117+1) / 1000000</v>
      </c>
      <c r="BR560" s="1494"/>
      <c r="BS560" s="1494"/>
      <c r="BT560" s="1494"/>
      <c r="BU560" s="1494"/>
      <c r="BV560" s="1494"/>
      <c r="BW560" s="1494"/>
      <c r="BX560" s="1494"/>
      <c r="BY560" s="1494"/>
      <c r="BZ560" s="1494"/>
      <c r="CA560" s="1494"/>
      <c r="CB560" s="1494"/>
      <c r="CC560" s="1494"/>
      <c r="CD560" s="1494"/>
      <c r="CE560" s="1494"/>
      <c r="CF560" s="1494"/>
      <c r="CG560" s="1494"/>
      <c r="CH560" s="1494"/>
      <c r="CI560" s="1494"/>
      <c r="CJ560" s="1494"/>
      <c r="CK560" s="1494"/>
      <c r="CL560" s="579" t="s">
        <v>2115</v>
      </c>
      <c r="CM560" s="579" t="s">
        <v>2116</v>
      </c>
      <c r="CN560" s="579" t="s">
        <v>2173</v>
      </c>
      <c r="CO560" s="579" t="s">
        <v>886</v>
      </c>
    </row>
    <row r="561" spans="32:93" ht="20.100000000000001" customHeight="1">
      <c r="AF561" s="1560"/>
      <c r="AG561" s="107" t="s">
        <v>863</v>
      </c>
      <c r="AH561" s="107">
        <f>INDEX('DEFAULT DATA'!$WD$9:$WJ$41,START!$C$3,2)</f>
        <v>267</v>
      </c>
      <c r="AI561" s="115">
        <f>INDEX('DEFAULT DATA'!$YB$9:$AGQ$41,START!$C$3,(3+(($A$118-1)*8)+(($D$118-1)*32)))</f>
        <v>690.82643666835327</v>
      </c>
      <c r="AJ561" s="115">
        <f>INDEX('DEFAULT DATA'!$YB$9:$AGQ$41,START!$C$3,(3+(($A$118-1)*8)+(($E$118-1)*32)))</f>
        <v>0</v>
      </c>
      <c r="AK561" s="180">
        <v>0</v>
      </c>
      <c r="AL561" s="123">
        <f t="shared" ref="AL561:BN561" si="528">IF(AND(AL$558&gt;($I$118+2020),AL$558&lt;($J$118+2022)),AK561+($AH$561*($AI$561-$AJ$561)*$C$118*((100-$F$118)/100)/($J$118-$I$118+1)/1000000),AK561)</f>
        <v>0</v>
      </c>
      <c r="AM561" s="123">
        <f t="shared" si="528"/>
        <v>0</v>
      </c>
      <c r="AN561" s="123">
        <f t="shared" si="528"/>
        <v>0</v>
      </c>
      <c r="AO561" s="123">
        <f t="shared" si="528"/>
        <v>0</v>
      </c>
      <c r="AP561" s="123">
        <f t="shared" si="528"/>
        <v>0</v>
      </c>
      <c r="AQ561" s="123">
        <f t="shared" si="528"/>
        <v>0</v>
      </c>
      <c r="AR561" s="123">
        <f t="shared" si="528"/>
        <v>0</v>
      </c>
      <c r="AS561" s="123">
        <f t="shared" si="528"/>
        <v>0</v>
      </c>
      <c r="AT561" s="123">
        <f t="shared" si="528"/>
        <v>0</v>
      </c>
      <c r="AU561" s="123">
        <f t="shared" si="528"/>
        <v>0</v>
      </c>
      <c r="AV561" s="123">
        <f t="shared" si="528"/>
        <v>0</v>
      </c>
      <c r="AW561" s="123">
        <f t="shared" si="528"/>
        <v>0</v>
      </c>
      <c r="AX561" s="123">
        <f t="shared" si="528"/>
        <v>0</v>
      </c>
      <c r="AY561" s="123">
        <f t="shared" si="528"/>
        <v>0</v>
      </c>
      <c r="AZ561" s="123">
        <f t="shared" si="528"/>
        <v>0</v>
      </c>
      <c r="BA561" s="123">
        <f t="shared" si="528"/>
        <v>0</v>
      </c>
      <c r="BB561" s="123">
        <f t="shared" si="528"/>
        <v>0</v>
      </c>
      <c r="BC561" s="123">
        <f t="shared" si="528"/>
        <v>0</v>
      </c>
      <c r="BD561" s="123">
        <f t="shared" si="528"/>
        <v>0</v>
      </c>
      <c r="BE561" s="123">
        <f t="shared" si="528"/>
        <v>0</v>
      </c>
      <c r="BF561" s="123">
        <f t="shared" si="528"/>
        <v>0</v>
      </c>
      <c r="BG561" s="123">
        <f t="shared" si="528"/>
        <v>0</v>
      </c>
      <c r="BH561" s="123">
        <f t="shared" si="528"/>
        <v>0</v>
      </c>
      <c r="BI561" s="123">
        <f t="shared" si="528"/>
        <v>0</v>
      </c>
      <c r="BJ561" s="123">
        <f t="shared" si="528"/>
        <v>0</v>
      </c>
      <c r="BK561" s="123">
        <f t="shared" si="528"/>
        <v>0</v>
      </c>
      <c r="BL561" s="123">
        <f t="shared" si="528"/>
        <v>0</v>
      </c>
      <c r="BM561" s="123">
        <f t="shared" si="528"/>
        <v>0</v>
      </c>
      <c r="BN561" s="159">
        <f t="shared" si="528"/>
        <v>0</v>
      </c>
      <c r="BP561" s="367" t="s">
        <v>863</v>
      </c>
      <c r="BQ561" s="1494" t="str">
        <f t="shared" si="527"/>
        <v>GHG_Oila = GHG_Oila-1 + (C117 * BUI_COL(51+((A117-1)*8)+((D117-1)*32)) - BUI_COL(51+((A117-1)*8)+((E117-1)*32)) + F117 / 100 * BUI_COL(51+((A117-1)*8)+((E117-1)*32)) * BUI_COL2 / (J117-I117+1) / 1000000</v>
      </c>
      <c r="BR561" s="1494"/>
      <c r="BS561" s="1494"/>
      <c r="BT561" s="1494"/>
      <c r="BU561" s="1494"/>
      <c r="BV561" s="1494"/>
      <c r="BW561" s="1494"/>
      <c r="BX561" s="1494"/>
      <c r="BY561" s="1494"/>
      <c r="BZ561" s="1494"/>
      <c r="CA561" s="1494"/>
      <c r="CB561" s="1494"/>
      <c r="CC561" s="1494"/>
      <c r="CD561" s="1494"/>
      <c r="CE561" s="1494"/>
      <c r="CF561" s="1494"/>
      <c r="CG561" s="1494"/>
      <c r="CH561" s="1494"/>
      <c r="CI561" s="1494"/>
      <c r="CJ561" s="1494"/>
      <c r="CK561" s="1494"/>
      <c r="CL561" s="579" t="s">
        <v>2115</v>
      </c>
      <c r="CM561" s="579" t="s">
        <v>2116</v>
      </c>
      <c r="CN561" s="579" t="s">
        <v>2173</v>
      </c>
      <c r="CO561" s="579" t="s">
        <v>1247</v>
      </c>
    </row>
    <row r="562" spans="32:93" ht="20.100000000000001" customHeight="1">
      <c r="AF562" s="1560"/>
      <c r="AG562" s="107" t="s">
        <v>864</v>
      </c>
      <c r="AH562" s="107">
        <f>INDEX('DEFAULT DATA'!$WD$9:$WJ$41,START!$C$3,3)</f>
        <v>354</v>
      </c>
      <c r="AI562" s="115">
        <f>INDEX('DEFAULT DATA'!$YB$9:$AGQ$41,START!$C$3,(4+(($A$118-1)*8)+(($D$118-1)*32)))</f>
        <v>0</v>
      </c>
      <c r="AJ562" s="115">
        <f>INDEX('DEFAULT DATA'!$YB$9:$AGQ$41,START!$C$3,(4+(($A$118-1)*8)+(($E$118-1)*32)))</f>
        <v>0</v>
      </c>
      <c r="AK562" s="180">
        <v>0</v>
      </c>
      <c r="AL562" s="123">
        <f t="shared" ref="AL562:BN562" si="529">IF(AND(AL$558&gt;($I$118+2020),AL$558&lt;($J$118+2022)),AK562+($AH$562*($AI$562-$AJ$562)*$C$118*((100-$F$118)/100)/($J$118-$I$118+1)/1000000),AK562)</f>
        <v>0</v>
      </c>
      <c r="AM562" s="123">
        <f t="shared" si="529"/>
        <v>0</v>
      </c>
      <c r="AN562" s="123">
        <f t="shared" si="529"/>
        <v>0</v>
      </c>
      <c r="AO562" s="123">
        <f t="shared" si="529"/>
        <v>0</v>
      </c>
      <c r="AP562" s="123">
        <f t="shared" si="529"/>
        <v>0</v>
      </c>
      <c r="AQ562" s="123">
        <f t="shared" si="529"/>
        <v>0</v>
      </c>
      <c r="AR562" s="123">
        <f t="shared" si="529"/>
        <v>0</v>
      </c>
      <c r="AS562" s="123">
        <f t="shared" si="529"/>
        <v>0</v>
      </c>
      <c r="AT562" s="123">
        <f t="shared" si="529"/>
        <v>0</v>
      </c>
      <c r="AU562" s="123">
        <f t="shared" si="529"/>
        <v>0</v>
      </c>
      <c r="AV562" s="123">
        <f t="shared" si="529"/>
        <v>0</v>
      </c>
      <c r="AW562" s="123">
        <f t="shared" si="529"/>
        <v>0</v>
      </c>
      <c r="AX562" s="123">
        <f t="shared" si="529"/>
        <v>0</v>
      </c>
      <c r="AY562" s="123">
        <f t="shared" si="529"/>
        <v>0</v>
      </c>
      <c r="AZ562" s="123">
        <f t="shared" si="529"/>
        <v>0</v>
      </c>
      <c r="BA562" s="123">
        <f t="shared" si="529"/>
        <v>0</v>
      </c>
      <c r="BB562" s="123">
        <f t="shared" si="529"/>
        <v>0</v>
      </c>
      <c r="BC562" s="123">
        <f t="shared" si="529"/>
        <v>0</v>
      </c>
      <c r="BD562" s="123">
        <f t="shared" si="529"/>
        <v>0</v>
      </c>
      <c r="BE562" s="123">
        <f t="shared" si="529"/>
        <v>0</v>
      </c>
      <c r="BF562" s="123">
        <f t="shared" si="529"/>
        <v>0</v>
      </c>
      <c r="BG562" s="123">
        <f t="shared" si="529"/>
        <v>0</v>
      </c>
      <c r="BH562" s="123">
        <f t="shared" si="529"/>
        <v>0</v>
      </c>
      <c r="BI562" s="123">
        <f t="shared" si="529"/>
        <v>0</v>
      </c>
      <c r="BJ562" s="123">
        <f t="shared" si="529"/>
        <v>0</v>
      </c>
      <c r="BK562" s="123">
        <f t="shared" si="529"/>
        <v>0</v>
      </c>
      <c r="BL562" s="123">
        <f t="shared" si="529"/>
        <v>0</v>
      </c>
      <c r="BM562" s="123">
        <f t="shared" si="529"/>
        <v>0</v>
      </c>
      <c r="BN562" s="159">
        <f t="shared" si="529"/>
        <v>0</v>
      </c>
      <c r="BP562" s="367" t="s">
        <v>864</v>
      </c>
      <c r="BQ562" s="1494" t="str">
        <f t="shared" si="527"/>
        <v>GHG_Coala = GHG_Coala-1 + (C117 * BUI_COL(51+((A117-1)*8)+((D117-1)*32)) - BUI_COL(51+((A117-1)*8)+((E117-1)*32)) + F117 / 100 * BUI_COL(51+((A117-1)*8)+((E117-1)*32)) * BUI_COL3 / (J117-I117+1) / 1000000</v>
      </c>
      <c r="BR562" s="1494"/>
      <c r="BS562" s="1494"/>
      <c r="BT562" s="1494"/>
      <c r="BU562" s="1494"/>
      <c r="BV562" s="1494"/>
      <c r="BW562" s="1494"/>
      <c r="BX562" s="1494"/>
      <c r="BY562" s="1494"/>
      <c r="BZ562" s="1494"/>
      <c r="CA562" s="1494"/>
      <c r="CB562" s="1494"/>
      <c r="CC562" s="1494"/>
      <c r="CD562" s="1494"/>
      <c r="CE562" s="1494"/>
      <c r="CF562" s="1494"/>
      <c r="CG562" s="1494"/>
      <c r="CH562" s="1494"/>
      <c r="CI562" s="1494"/>
      <c r="CJ562" s="1494"/>
      <c r="CK562" s="1494"/>
      <c r="CL562" s="579" t="s">
        <v>2115</v>
      </c>
      <c r="CM562" s="579" t="s">
        <v>2116</v>
      </c>
      <c r="CN562" s="579" t="s">
        <v>2173</v>
      </c>
      <c r="CO562" s="579" t="s">
        <v>1248</v>
      </c>
    </row>
    <row r="563" spans="32:93" ht="20.100000000000001" customHeight="1">
      <c r="AF563" s="1560"/>
      <c r="AG563" s="107" t="s">
        <v>865</v>
      </c>
      <c r="AH563" s="107">
        <f>INDEX('DEFAULT DATA'!$WD$9:$WJ$41,START!$C$3,4)</f>
        <v>382</v>
      </c>
      <c r="AI563" s="115">
        <f>INDEX('DEFAULT DATA'!$YB$9:$AGQ$41,START!$C$3,(5+(($A$118-1)*8)+(($D$118-1)*32)))</f>
        <v>0</v>
      </c>
      <c r="AJ563" s="115">
        <f>INDEX('DEFAULT DATA'!$YB$9:$AGQ$41,START!$C$3,(5+(($A$118-1)*8)+(($E$118-1)*32)))</f>
        <v>0</v>
      </c>
      <c r="AK563" s="180">
        <v>0</v>
      </c>
      <c r="AL563" s="123">
        <f t="shared" ref="AL563:BN563" si="530">IF(AND(AL$558&gt;($I$118+2020),AL$558&lt;($J$118+2022)),AK563+($AH$563*($AI$563-$AJ$563)*$C$118*((100-$F$118)/100)/($J$118-$I$118+1)/1000000),AK563)</f>
        <v>0</v>
      </c>
      <c r="AM563" s="123">
        <f t="shared" si="530"/>
        <v>0</v>
      </c>
      <c r="AN563" s="123">
        <f t="shared" si="530"/>
        <v>0</v>
      </c>
      <c r="AO563" s="123">
        <f t="shared" si="530"/>
        <v>0</v>
      </c>
      <c r="AP563" s="123">
        <f t="shared" si="530"/>
        <v>0</v>
      </c>
      <c r="AQ563" s="123">
        <f t="shared" si="530"/>
        <v>0</v>
      </c>
      <c r="AR563" s="123">
        <f t="shared" si="530"/>
        <v>0</v>
      </c>
      <c r="AS563" s="123">
        <f t="shared" si="530"/>
        <v>0</v>
      </c>
      <c r="AT563" s="123">
        <f t="shared" si="530"/>
        <v>0</v>
      </c>
      <c r="AU563" s="123">
        <f t="shared" si="530"/>
        <v>0</v>
      </c>
      <c r="AV563" s="123">
        <f t="shared" si="530"/>
        <v>0</v>
      </c>
      <c r="AW563" s="123">
        <f t="shared" si="530"/>
        <v>0</v>
      </c>
      <c r="AX563" s="123">
        <f t="shared" si="530"/>
        <v>0</v>
      </c>
      <c r="AY563" s="123">
        <f t="shared" si="530"/>
        <v>0</v>
      </c>
      <c r="AZ563" s="123">
        <f t="shared" si="530"/>
        <v>0</v>
      </c>
      <c r="BA563" s="123">
        <f t="shared" si="530"/>
        <v>0</v>
      </c>
      <c r="BB563" s="123">
        <f t="shared" si="530"/>
        <v>0</v>
      </c>
      <c r="BC563" s="123">
        <f t="shared" si="530"/>
        <v>0</v>
      </c>
      <c r="BD563" s="123">
        <f t="shared" si="530"/>
        <v>0</v>
      </c>
      <c r="BE563" s="123">
        <f t="shared" si="530"/>
        <v>0</v>
      </c>
      <c r="BF563" s="123">
        <f t="shared" si="530"/>
        <v>0</v>
      </c>
      <c r="BG563" s="123">
        <f t="shared" si="530"/>
        <v>0</v>
      </c>
      <c r="BH563" s="123">
        <f t="shared" si="530"/>
        <v>0</v>
      </c>
      <c r="BI563" s="123">
        <f t="shared" si="530"/>
        <v>0</v>
      </c>
      <c r="BJ563" s="123">
        <f t="shared" si="530"/>
        <v>0</v>
      </c>
      <c r="BK563" s="123">
        <f t="shared" si="530"/>
        <v>0</v>
      </c>
      <c r="BL563" s="123">
        <f t="shared" si="530"/>
        <v>0</v>
      </c>
      <c r="BM563" s="123">
        <f t="shared" si="530"/>
        <v>0</v>
      </c>
      <c r="BN563" s="159">
        <f t="shared" si="530"/>
        <v>0</v>
      </c>
      <c r="BP563" s="367" t="s">
        <v>865</v>
      </c>
      <c r="BQ563" s="1494" t="str">
        <f t="shared" si="527"/>
        <v>GHG_Peata = GHG_Peata-1 + (C117 * BUI_COL(51+((A117-1)*8)+((D117-1)*32)) - BUI_COL(51+((A117-1)*8)+((E117-1)*32)) + F117 / 100 * BUI_COL(51+((A117-1)*8)+((E117-1)*32)) * BUI_COL4 / (J117-I117+1) / 1000000</v>
      </c>
      <c r="BR563" s="1494"/>
      <c r="BS563" s="1494"/>
      <c r="BT563" s="1494"/>
      <c r="BU563" s="1494"/>
      <c r="BV563" s="1494"/>
      <c r="BW563" s="1494"/>
      <c r="BX563" s="1494"/>
      <c r="BY563" s="1494"/>
      <c r="BZ563" s="1494"/>
      <c r="CA563" s="1494"/>
      <c r="CB563" s="1494"/>
      <c r="CC563" s="1494"/>
      <c r="CD563" s="1494"/>
      <c r="CE563" s="1494"/>
      <c r="CF563" s="1494"/>
      <c r="CG563" s="1494"/>
      <c r="CH563" s="1494"/>
      <c r="CI563" s="1494"/>
      <c r="CJ563" s="1494"/>
      <c r="CK563" s="1494"/>
      <c r="CL563" s="579" t="s">
        <v>2115</v>
      </c>
      <c r="CM563" s="579" t="s">
        <v>2116</v>
      </c>
      <c r="CN563" s="579" t="s">
        <v>2173</v>
      </c>
      <c r="CO563" s="579" t="s">
        <v>1249</v>
      </c>
    </row>
    <row r="564" spans="32:93" ht="20.100000000000001" customHeight="1">
      <c r="AF564" s="1560"/>
      <c r="AG564" s="107" t="s">
        <v>866</v>
      </c>
      <c r="AH564" s="107">
        <f>INDEX('DEFAULT DATA'!$WD$9:$WJ$41,START!$C$3,5)</f>
        <v>403</v>
      </c>
      <c r="AI564" s="115">
        <f>INDEX('DEFAULT DATA'!$YB$9:$AGQ$41,START!$C$3,(6+(($A$118-1)*8)+(($D$118-1)*32)))</f>
        <v>0</v>
      </c>
      <c r="AJ564" s="115">
        <f>INDEX('DEFAULT DATA'!$YB$9:$AGQ$41,START!$C$3,(6+(($A$118-1)*8)+(($E$118-1)*32)))</f>
        <v>0</v>
      </c>
      <c r="AK564" s="180">
        <v>0</v>
      </c>
      <c r="AL564" s="123">
        <f t="shared" ref="AL564:BN564" si="531">IF(AND(AL$558&gt;($I$118+2020),AL$558&lt;($J$118+2022)),AK564+($AH$564*($AI$564-$AJ$564)*$C$118*((100-$F$118)/100)/($J$118-$I$118+1)/1000000),AK564)</f>
        <v>0</v>
      </c>
      <c r="AM564" s="123">
        <f t="shared" si="531"/>
        <v>0</v>
      </c>
      <c r="AN564" s="123">
        <f t="shared" si="531"/>
        <v>0</v>
      </c>
      <c r="AO564" s="123">
        <f t="shared" si="531"/>
        <v>0</v>
      </c>
      <c r="AP564" s="123">
        <f t="shared" si="531"/>
        <v>0</v>
      </c>
      <c r="AQ564" s="123">
        <f t="shared" si="531"/>
        <v>0</v>
      </c>
      <c r="AR564" s="123">
        <f t="shared" si="531"/>
        <v>0</v>
      </c>
      <c r="AS564" s="123">
        <f t="shared" si="531"/>
        <v>0</v>
      </c>
      <c r="AT564" s="123">
        <f t="shared" si="531"/>
        <v>0</v>
      </c>
      <c r="AU564" s="123">
        <f t="shared" si="531"/>
        <v>0</v>
      </c>
      <c r="AV564" s="123">
        <f t="shared" si="531"/>
        <v>0</v>
      </c>
      <c r="AW564" s="123">
        <f t="shared" si="531"/>
        <v>0</v>
      </c>
      <c r="AX564" s="123">
        <f t="shared" si="531"/>
        <v>0</v>
      </c>
      <c r="AY564" s="123">
        <f t="shared" si="531"/>
        <v>0</v>
      </c>
      <c r="AZ564" s="123">
        <f t="shared" si="531"/>
        <v>0</v>
      </c>
      <c r="BA564" s="123">
        <f t="shared" si="531"/>
        <v>0</v>
      </c>
      <c r="BB564" s="123">
        <f t="shared" si="531"/>
        <v>0</v>
      </c>
      <c r="BC564" s="123">
        <f t="shared" si="531"/>
        <v>0</v>
      </c>
      <c r="BD564" s="123">
        <f t="shared" si="531"/>
        <v>0</v>
      </c>
      <c r="BE564" s="123">
        <f t="shared" si="531"/>
        <v>0</v>
      </c>
      <c r="BF564" s="123">
        <f t="shared" si="531"/>
        <v>0</v>
      </c>
      <c r="BG564" s="123">
        <f t="shared" si="531"/>
        <v>0</v>
      </c>
      <c r="BH564" s="123">
        <f t="shared" si="531"/>
        <v>0</v>
      </c>
      <c r="BI564" s="123">
        <f t="shared" si="531"/>
        <v>0</v>
      </c>
      <c r="BJ564" s="123">
        <f t="shared" si="531"/>
        <v>0</v>
      </c>
      <c r="BK564" s="123">
        <f t="shared" si="531"/>
        <v>0</v>
      </c>
      <c r="BL564" s="123">
        <f t="shared" si="531"/>
        <v>0</v>
      </c>
      <c r="BM564" s="123">
        <f t="shared" si="531"/>
        <v>0</v>
      </c>
      <c r="BN564" s="159">
        <f t="shared" si="531"/>
        <v>0</v>
      </c>
      <c r="BP564" s="367" t="s">
        <v>866</v>
      </c>
      <c r="BQ564" s="1494" t="str">
        <f t="shared" si="527"/>
        <v>GHG_Wooda = GHG_Wooda-1 + (C117 * BUI_COL(51+((A117-1)*8)+((D117-1)*32)) - BUI_COL(51+((A117-1)*8)+((E117-1)*32)) + F117 / 100 * BUI_COL(51+((A117-1)*8)+((E117-1)*32)) * BUI_COL5 / (J117-I117+1) / 1000000</v>
      </c>
      <c r="BR564" s="1494"/>
      <c r="BS564" s="1494"/>
      <c r="BT564" s="1494"/>
      <c r="BU564" s="1494"/>
      <c r="BV564" s="1494"/>
      <c r="BW564" s="1494"/>
      <c r="BX564" s="1494"/>
      <c r="BY564" s="1494"/>
      <c r="BZ564" s="1494"/>
      <c r="CA564" s="1494"/>
      <c r="CB564" s="1494"/>
      <c r="CC564" s="1494"/>
      <c r="CD564" s="1494"/>
      <c r="CE564" s="1494"/>
      <c r="CF564" s="1494"/>
      <c r="CG564" s="1494"/>
      <c r="CH564" s="1494"/>
      <c r="CI564" s="1494"/>
      <c r="CJ564" s="1494"/>
      <c r="CK564" s="1494"/>
      <c r="CL564" s="579" t="s">
        <v>2115</v>
      </c>
      <c r="CM564" s="579" t="s">
        <v>2116</v>
      </c>
      <c r="CN564" s="579" t="s">
        <v>2173</v>
      </c>
      <c r="CO564" s="579" t="s">
        <v>1250</v>
      </c>
    </row>
    <row r="565" spans="32:93" ht="20.100000000000001" customHeight="1">
      <c r="AF565" s="1560"/>
      <c r="AG565" s="107" t="s">
        <v>867</v>
      </c>
      <c r="AH565" s="107">
        <f>INDEX('DEFAULT DATA'!$WD$9:$WJ$41,START!$C$3,6)</f>
        <v>0</v>
      </c>
      <c r="AI565" s="115">
        <f>INDEX('DEFAULT DATA'!$YB$9:$AGQ$41,START!$C$3,(7+(($A$118-1)*8)+(($D$118-1)*32)))</f>
        <v>6908.2643666835329</v>
      </c>
      <c r="AJ565" s="115">
        <f>INDEX('DEFAULT DATA'!$YB$9:$AGQ$41,START!$C$3,(7+(($A$118-1)*8)+(($E$118-1)*32)))</f>
        <v>1657.8066152984159</v>
      </c>
      <c r="AK565" s="180">
        <v>0</v>
      </c>
      <c r="AL565" s="123">
        <f t="shared" ref="AL565:BN565" si="532">IF(AND(AL$558&gt;($I$118+2020),AL$558&lt;($J$118+2022)),AK565+($AH$565*($AI$565-$AJ$565)*$C$118*((100-$F$118)/100)/($J$118-$I$118+1)/1000000),AK565)</f>
        <v>0</v>
      </c>
      <c r="AM565" s="123">
        <f t="shared" si="532"/>
        <v>0</v>
      </c>
      <c r="AN565" s="123">
        <f t="shared" si="532"/>
        <v>0</v>
      </c>
      <c r="AO565" s="123">
        <f t="shared" si="532"/>
        <v>0</v>
      </c>
      <c r="AP565" s="123">
        <f t="shared" si="532"/>
        <v>0</v>
      </c>
      <c r="AQ565" s="123">
        <f t="shared" si="532"/>
        <v>0</v>
      </c>
      <c r="AR565" s="123">
        <f t="shared" si="532"/>
        <v>0</v>
      </c>
      <c r="AS565" s="123">
        <f t="shared" si="532"/>
        <v>0</v>
      </c>
      <c r="AT565" s="123">
        <f t="shared" si="532"/>
        <v>0</v>
      </c>
      <c r="AU565" s="123">
        <f t="shared" si="532"/>
        <v>0</v>
      </c>
      <c r="AV565" s="123">
        <f t="shared" si="532"/>
        <v>0</v>
      </c>
      <c r="AW565" s="123">
        <f t="shared" si="532"/>
        <v>0</v>
      </c>
      <c r="AX565" s="123">
        <f t="shared" si="532"/>
        <v>0</v>
      </c>
      <c r="AY565" s="123">
        <f t="shared" si="532"/>
        <v>0</v>
      </c>
      <c r="AZ565" s="123">
        <f t="shared" si="532"/>
        <v>0</v>
      </c>
      <c r="BA565" s="123">
        <f t="shared" si="532"/>
        <v>0</v>
      </c>
      <c r="BB565" s="123">
        <f t="shared" si="532"/>
        <v>0</v>
      </c>
      <c r="BC565" s="123">
        <f t="shared" si="532"/>
        <v>0</v>
      </c>
      <c r="BD565" s="123">
        <f t="shared" si="532"/>
        <v>0</v>
      </c>
      <c r="BE565" s="123">
        <f t="shared" si="532"/>
        <v>0</v>
      </c>
      <c r="BF565" s="123">
        <f t="shared" si="532"/>
        <v>0</v>
      </c>
      <c r="BG565" s="123">
        <f t="shared" si="532"/>
        <v>0</v>
      </c>
      <c r="BH565" s="123">
        <f t="shared" si="532"/>
        <v>0</v>
      </c>
      <c r="BI565" s="123">
        <f t="shared" si="532"/>
        <v>0</v>
      </c>
      <c r="BJ565" s="123">
        <f t="shared" si="532"/>
        <v>0</v>
      </c>
      <c r="BK565" s="123">
        <f t="shared" si="532"/>
        <v>0</v>
      </c>
      <c r="BL565" s="123">
        <f t="shared" si="532"/>
        <v>0</v>
      </c>
      <c r="BM565" s="123">
        <f t="shared" si="532"/>
        <v>0</v>
      </c>
      <c r="BN565" s="159">
        <f t="shared" si="532"/>
        <v>0</v>
      </c>
      <c r="BP565" s="367" t="s">
        <v>867</v>
      </c>
      <c r="BQ565" s="1494" t="str">
        <f t="shared" si="527"/>
        <v>GHG_Renewablea = GHG_Renewablea-1 + (C117 * BUI_COL(51+((A117-1)*8)+((D117-1)*32)) - BUI_COL(51+((A117-1)*8)+((E117-1)*32)) + F117 / 100 * BUI_COL(51+((A117-1)*8)+((E117-1)*32)) * BUI_COL6 / (J117-I117+1) / 1000000</v>
      </c>
      <c r="BR565" s="1494"/>
      <c r="BS565" s="1494"/>
      <c r="BT565" s="1494"/>
      <c r="BU565" s="1494"/>
      <c r="BV565" s="1494"/>
      <c r="BW565" s="1494"/>
      <c r="BX565" s="1494"/>
      <c r="BY565" s="1494"/>
      <c r="BZ565" s="1494"/>
      <c r="CA565" s="1494"/>
      <c r="CB565" s="1494"/>
      <c r="CC565" s="1494"/>
      <c r="CD565" s="1494"/>
      <c r="CE565" s="1494"/>
      <c r="CF565" s="1494"/>
      <c r="CG565" s="1494"/>
      <c r="CH565" s="1494"/>
      <c r="CI565" s="1494"/>
      <c r="CJ565" s="1494"/>
      <c r="CK565" s="1494"/>
      <c r="CL565" s="579" t="s">
        <v>2115</v>
      </c>
      <c r="CM565" s="579" t="s">
        <v>2116</v>
      </c>
      <c r="CN565" s="579" t="s">
        <v>2173</v>
      </c>
      <c r="CO565" s="579" t="s">
        <v>1251</v>
      </c>
    </row>
    <row r="566" spans="32:93" ht="20.100000000000001" customHeight="1" thickBot="1">
      <c r="AF566" s="1561"/>
      <c r="AG566" s="146" t="s">
        <v>868</v>
      </c>
      <c r="AH566" s="146" t="s">
        <v>1123</v>
      </c>
      <c r="AI566" s="170">
        <f>INDEX('DEFAULT DATA'!$YB$9:$AGQ$41,START!$C$3,(8+(($A$118-1)*8)+(($D$118-1)*32)))</f>
        <v>1727.0660916708832</v>
      </c>
      <c r="AJ566" s="170">
        <f>INDEX('DEFAULT DATA'!$YB$9:$AGQ$41,START!$C$3,(8+(($A$118-1)*8)+(($E$118-1)*32)))</f>
        <v>414.45165382460397</v>
      </c>
      <c r="AK566" s="183">
        <v>0</v>
      </c>
      <c r="AL566" s="160">
        <f t="shared" ref="AL566:BN566" si="533">IF(AND(AL$558&gt;($I$118+2020),AL$558&lt;($J$118+2022)),AK566+(AL$6*($AI$566-$AJ$566)*$C$118*((100-$F$118)/100)/($J$118-$I$118+1)/1000000),AK566)</f>
        <v>0</v>
      </c>
      <c r="AM566" s="160">
        <f t="shared" si="533"/>
        <v>0</v>
      </c>
      <c r="AN566" s="160">
        <f t="shared" si="533"/>
        <v>0</v>
      </c>
      <c r="AO566" s="160">
        <f t="shared" si="533"/>
        <v>0</v>
      </c>
      <c r="AP566" s="160">
        <f t="shared" si="533"/>
        <v>0</v>
      </c>
      <c r="AQ566" s="160">
        <f t="shared" si="533"/>
        <v>0</v>
      </c>
      <c r="AR566" s="160">
        <f t="shared" si="533"/>
        <v>0</v>
      </c>
      <c r="AS566" s="160">
        <f t="shared" si="533"/>
        <v>0</v>
      </c>
      <c r="AT566" s="160">
        <f t="shared" si="533"/>
        <v>0</v>
      </c>
      <c r="AU566" s="160">
        <f t="shared" si="533"/>
        <v>0</v>
      </c>
      <c r="AV566" s="160">
        <f t="shared" si="533"/>
        <v>0</v>
      </c>
      <c r="AW566" s="160">
        <f t="shared" si="533"/>
        <v>0</v>
      </c>
      <c r="AX566" s="160">
        <f t="shared" si="533"/>
        <v>0</v>
      </c>
      <c r="AY566" s="160">
        <f t="shared" si="533"/>
        <v>0</v>
      </c>
      <c r="AZ566" s="160">
        <f t="shared" si="533"/>
        <v>0</v>
      </c>
      <c r="BA566" s="160">
        <f t="shared" si="533"/>
        <v>0</v>
      </c>
      <c r="BB566" s="160">
        <f t="shared" si="533"/>
        <v>0</v>
      </c>
      <c r="BC566" s="160">
        <f t="shared" si="533"/>
        <v>0</v>
      </c>
      <c r="BD566" s="160">
        <f t="shared" si="533"/>
        <v>0</v>
      </c>
      <c r="BE566" s="160">
        <f t="shared" si="533"/>
        <v>0</v>
      </c>
      <c r="BF566" s="160">
        <f t="shared" si="533"/>
        <v>0</v>
      </c>
      <c r="BG566" s="160">
        <f t="shared" si="533"/>
        <v>0</v>
      </c>
      <c r="BH566" s="160">
        <f t="shared" si="533"/>
        <v>0</v>
      </c>
      <c r="BI566" s="160">
        <f t="shared" si="533"/>
        <v>0</v>
      </c>
      <c r="BJ566" s="160">
        <f t="shared" si="533"/>
        <v>0</v>
      </c>
      <c r="BK566" s="160">
        <f t="shared" si="533"/>
        <v>0</v>
      </c>
      <c r="BL566" s="160">
        <f t="shared" si="533"/>
        <v>0</v>
      </c>
      <c r="BM566" s="160">
        <f t="shared" si="533"/>
        <v>0</v>
      </c>
      <c r="BN566" s="161">
        <f t="shared" si="533"/>
        <v>0</v>
      </c>
      <c r="BP566" s="367" t="s">
        <v>868</v>
      </c>
      <c r="BQ566" s="1494" t="str">
        <f t="shared" si="527"/>
        <v>GHG_Heata = GHG_Heata-1 + (C117 * BUI_COL(51+((A117-1)*8)+((D117-1)*32)) - BUI_COL(51+((A117-1)*8)+((E117-1)*32)) + F117 / 100 * BUI_COL(51+((A117-1)*8)+((E117-1)*32)) * DISTRICT_HEATING_emission_factora (from row 5) / (J117-I117+1) / 1000000</v>
      </c>
      <c r="BR566" s="1494"/>
      <c r="BS566" s="1494"/>
      <c r="BT566" s="1494"/>
      <c r="BU566" s="1494"/>
      <c r="BV566" s="1494"/>
      <c r="BW566" s="1494"/>
      <c r="BX566" s="1494"/>
      <c r="BY566" s="1494"/>
      <c r="BZ566" s="1494"/>
      <c r="CA566" s="1494"/>
      <c r="CB566" s="1494"/>
      <c r="CC566" s="1494"/>
      <c r="CD566" s="1494"/>
      <c r="CE566" s="1494"/>
      <c r="CF566" s="1494"/>
      <c r="CG566" s="1494"/>
      <c r="CH566" s="1494"/>
      <c r="CI566" s="1494"/>
      <c r="CJ566" s="1494"/>
      <c r="CK566" s="1494"/>
      <c r="CL566" s="579" t="s">
        <v>2115</v>
      </c>
      <c r="CM566" s="579" t="s">
        <v>2116</v>
      </c>
      <c r="CN566" s="579" t="s">
        <v>2173</v>
      </c>
      <c r="CO566" s="579" t="s">
        <v>1508</v>
      </c>
    </row>
    <row r="567" spans="32:93" ht="20.100000000000001" customHeight="1">
      <c r="AF567" s="167"/>
      <c r="AG567" s="144" t="s">
        <v>211</v>
      </c>
      <c r="AH567" s="145"/>
      <c r="AI567" s="145"/>
      <c r="AJ567" s="145"/>
      <c r="AK567" s="179">
        <v>0</v>
      </c>
      <c r="AL567" s="162">
        <f>SUM(AL559:AL566)</f>
        <v>0</v>
      </c>
      <c r="AM567" s="162">
        <f t="shared" ref="AM567:BN567" si="534">SUM(AM559:AM566)</f>
        <v>0</v>
      </c>
      <c r="AN567" s="162">
        <f t="shared" si="534"/>
        <v>0</v>
      </c>
      <c r="AO567" s="162">
        <f t="shared" si="534"/>
        <v>0</v>
      </c>
      <c r="AP567" s="162">
        <f t="shared" si="534"/>
        <v>0</v>
      </c>
      <c r="AQ567" s="162">
        <f t="shared" si="534"/>
        <v>0</v>
      </c>
      <c r="AR567" s="162">
        <f t="shared" si="534"/>
        <v>0</v>
      </c>
      <c r="AS567" s="162">
        <f t="shared" si="534"/>
        <v>0</v>
      </c>
      <c r="AT567" s="162">
        <f t="shared" si="534"/>
        <v>0</v>
      </c>
      <c r="AU567" s="162">
        <f t="shared" si="534"/>
        <v>0</v>
      </c>
      <c r="AV567" s="162">
        <f t="shared" si="534"/>
        <v>0</v>
      </c>
      <c r="AW567" s="162">
        <f t="shared" si="534"/>
        <v>0</v>
      </c>
      <c r="AX567" s="162">
        <f t="shared" si="534"/>
        <v>0</v>
      </c>
      <c r="AY567" s="162">
        <f t="shared" si="534"/>
        <v>0</v>
      </c>
      <c r="AZ567" s="162">
        <f t="shared" si="534"/>
        <v>0</v>
      </c>
      <c r="BA567" s="162">
        <f t="shared" si="534"/>
        <v>0</v>
      </c>
      <c r="BB567" s="162">
        <f t="shared" si="534"/>
        <v>0</v>
      </c>
      <c r="BC567" s="162">
        <f t="shared" si="534"/>
        <v>0</v>
      </c>
      <c r="BD567" s="162">
        <f t="shared" si="534"/>
        <v>0</v>
      </c>
      <c r="BE567" s="162">
        <f t="shared" si="534"/>
        <v>0</v>
      </c>
      <c r="BF567" s="162">
        <f t="shared" si="534"/>
        <v>0</v>
      </c>
      <c r="BG567" s="162">
        <f t="shared" si="534"/>
        <v>0</v>
      </c>
      <c r="BH567" s="162">
        <f t="shared" si="534"/>
        <v>0</v>
      </c>
      <c r="BI567" s="162">
        <f t="shared" si="534"/>
        <v>0</v>
      </c>
      <c r="BJ567" s="162">
        <f t="shared" si="534"/>
        <v>0</v>
      </c>
      <c r="BK567" s="162">
        <f t="shared" si="534"/>
        <v>0</v>
      </c>
      <c r="BL567" s="162">
        <f t="shared" si="534"/>
        <v>0</v>
      </c>
      <c r="BM567" s="162">
        <f t="shared" si="534"/>
        <v>0</v>
      </c>
      <c r="BN567" s="162">
        <f t="shared" si="534"/>
        <v>0</v>
      </c>
    </row>
    <row r="569" spans="32:93" ht="20.100000000000001" customHeight="1" thickBot="1">
      <c r="AF569" s="168" t="s">
        <v>1099</v>
      </c>
      <c r="AG569" s="168"/>
      <c r="AH569" s="169" t="s">
        <v>620</v>
      </c>
      <c r="AI569" s="135" t="s">
        <v>898</v>
      </c>
      <c r="AJ569" s="135" t="s">
        <v>899</v>
      </c>
      <c r="AK569" s="181">
        <v>2021</v>
      </c>
      <c r="AL569" s="135">
        <v>2022</v>
      </c>
      <c r="AM569" s="135">
        <v>2023</v>
      </c>
      <c r="AN569" s="135">
        <v>2024</v>
      </c>
      <c r="AO569" s="135">
        <v>2025</v>
      </c>
      <c r="AP569" s="135">
        <v>2026</v>
      </c>
      <c r="AQ569" s="135">
        <v>2027</v>
      </c>
      <c r="AR569" s="135">
        <v>2028</v>
      </c>
      <c r="AS569" s="135">
        <v>2029</v>
      </c>
      <c r="AT569" s="135">
        <v>2030</v>
      </c>
      <c r="AU569" s="135">
        <v>2031</v>
      </c>
      <c r="AV569" s="135">
        <v>2032</v>
      </c>
      <c r="AW569" s="135">
        <v>2033</v>
      </c>
      <c r="AX569" s="135">
        <v>2034</v>
      </c>
      <c r="AY569" s="135">
        <v>2035</v>
      </c>
      <c r="AZ569" s="135">
        <v>2036</v>
      </c>
      <c r="BA569" s="135">
        <v>2037</v>
      </c>
      <c r="BB569" s="135">
        <v>2038</v>
      </c>
      <c r="BC569" s="135">
        <v>2039</v>
      </c>
      <c r="BD569" s="135">
        <v>2040</v>
      </c>
      <c r="BE569" s="135">
        <v>2041</v>
      </c>
      <c r="BF569" s="135">
        <v>2042</v>
      </c>
      <c r="BG569" s="135">
        <v>2043</v>
      </c>
      <c r="BH569" s="135">
        <v>2044</v>
      </c>
      <c r="BI569" s="135">
        <v>2045</v>
      </c>
      <c r="BJ569" s="135">
        <v>2046</v>
      </c>
      <c r="BK569" s="135">
        <v>2047</v>
      </c>
      <c r="BL569" s="135">
        <v>2048</v>
      </c>
      <c r="BM569" s="135">
        <v>2049</v>
      </c>
      <c r="BN569" s="135">
        <v>2050</v>
      </c>
      <c r="BQ569" s="130" t="s">
        <v>2184</v>
      </c>
      <c r="CL569" s="386" t="s">
        <v>2091</v>
      </c>
      <c r="CM569" s="6" t="s">
        <v>2092</v>
      </c>
      <c r="CN569" s="6" t="s">
        <v>2172</v>
      </c>
      <c r="CO569" s="245" t="s">
        <v>1224</v>
      </c>
    </row>
    <row r="570" spans="32:93" ht="20.100000000000001" customHeight="1">
      <c r="AF570" s="1559" t="str">
        <f>INDEX('MENU OPTIONS'!B27:B30,A119,1)</f>
        <v>Terraced</v>
      </c>
      <c r="AG570" s="137" t="s">
        <v>578</v>
      </c>
      <c r="AH570" s="137" t="s">
        <v>1122</v>
      </c>
      <c r="AI570" s="165">
        <f>INDEX('DEFAULT DATA'!$YB$9:$AGQ$41,START!$C$3,(1+(($A$119-1)*8)+(($D$119-1)*32)))</f>
        <v>2417.8925283392368</v>
      </c>
      <c r="AJ570" s="165">
        <f>INDEX('DEFAULT DATA'!$YB$9:$AGQ$41,START!$C$3,(1+(($A$119-1)*8)+(($E$119-1)*32)))</f>
        <v>580.23231535444563</v>
      </c>
      <c r="AK570" s="178">
        <v>0</v>
      </c>
      <c r="AL570" s="157">
        <f t="shared" ref="AL570:BN570" si="535">IF(AND(AL$569&gt;($I$119+2020),AL$569&lt;($J$119+2022)),AK570+(AL$5*($AI$570-$AJ$570)*$C$119*((100-$F$119)/100)/($J$119-$I$119+1)/1000000),AK570)</f>
        <v>0</v>
      </c>
      <c r="AM570" s="157">
        <f t="shared" si="535"/>
        <v>0</v>
      </c>
      <c r="AN570" s="157">
        <f t="shared" si="535"/>
        <v>0</v>
      </c>
      <c r="AO570" s="157">
        <f t="shared" si="535"/>
        <v>0</v>
      </c>
      <c r="AP570" s="157">
        <f t="shared" si="535"/>
        <v>0</v>
      </c>
      <c r="AQ570" s="157">
        <f t="shared" si="535"/>
        <v>0</v>
      </c>
      <c r="AR570" s="157">
        <f t="shared" si="535"/>
        <v>0</v>
      </c>
      <c r="AS570" s="157">
        <f t="shared" si="535"/>
        <v>0</v>
      </c>
      <c r="AT570" s="157">
        <f t="shared" si="535"/>
        <v>0</v>
      </c>
      <c r="AU570" s="157">
        <f t="shared" si="535"/>
        <v>0</v>
      </c>
      <c r="AV570" s="157">
        <f t="shared" si="535"/>
        <v>0</v>
      </c>
      <c r="AW570" s="157">
        <f t="shared" si="535"/>
        <v>0</v>
      </c>
      <c r="AX570" s="157">
        <f t="shared" si="535"/>
        <v>0</v>
      </c>
      <c r="AY570" s="157">
        <f t="shared" si="535"/>
        <v>0</v>
      </c>
      <c r="AZ570" s="157">
        <f t="shared" si="535"/>
        <v>0</v>
      </c>
      <c r="BA570" s="157">
        <f t="shared" si="535"/>
        <v>0</v>
      </c>
      <c r="BB570" s="157">
        <f t="shared" si="535"/>
        <v>0</v>
      </c>
      <c r="BC570" s="157">
        <f t="shared" si="535"/>
        <v>0</v>
      </c>
      <c r="BD570" s="157">
        <f t="shared" si="535"/>
        <v>0</v>
      </c>
      <c r="BE570" s="157">
        <f t="shared" si="535"/>
        <v>0</v>
      </c>
      <c r="BF570" s="157">
        <f t="shared" si="535"/>
        <v>0</v>
      </c>
      <c r="BG570" s="157">
        <f t="shared" si="535"/>
        <v>0</v>
      </c>
      <c r="BH570" s="157">
        <f t="shared" si="535"/>
        <v>0</v>
      </c>
      <c r="BI570" s="157">
        <f t="shared" si="535"/>
        <v>0</v>
      </c>
      <c r="BJ570" s="157">
        <f t="shared" si="535"/>
        <v>0</v>
      </c>
      <c r="BK570" s="157">
        <f t="shared" si="535"/>
        <v>0</v>
      </c>
      <c r="BL570" s="157">
        <f t="shared" si="535"/>
        <v>0</v>
      </c>
      <c r="BM570" s="157">
        <f t="shared" si="535"/>
        <v>0</v>
      </c>
      <c r="BN570" s="158">
        <f t="shared" si="535"/>
        <v>0</v>
      </c>
      <c r="BP570" s="367" t="s">
        <v>578</v>
      </c>
      <c r="BQ570" s="1494" t="str">
        <f>CONCATENATE("GHG_",BP570,"a = GHG_",BP570,"a-1 + (C118 * ",CL570," - ",CM570," + F118 / 100 * ",CM570," * ",CO570," / (",CN570,") / 1000000")</f>
        <v>GHG_Electricitya = GHG_Electricitya-1 + (C118 * BUI_COL(51+((A118-1)*8)+((D118-1)*32)) - BUI_COL(51+((A118-1)*8)+((E118-1)*32)) + F118 / 100 * BUI_COL(51+((A118-1)*8)+((E118-1)*32)) * GRID_ELECTRICITY_emission_factora (from row4) / (J118-I118+1) / 1000000</v>
      </c>
      <c r="BR570" s="1494"/>
      <c r="BS570" s="1494"/>
      <c r="BT570" s="1494"/>
      <c r="BU570" s="1494"/>
      <c r="BV570" s="1494"/>
      <c r="BW570" s="1494"/>
      <c r="BX570" s="1494"/>
      <c r="BY570" s="1494"/>
      <c r="BZ570" s="1494"/>
      <c r="CA570" s="1494"/>
      <c r="CB570" s="1494"/>
      <c r="CC570" s="1494"/>
      <c r="CD570" s="1494"/>
      <c r="CE570" s="1494"/>
      <c r="CF570" s="1494"/>
      <c r="CG570" s="1494"/>
      <c r="CH570" s="1494"/>
      <c r="CI570" s="1494"/>
      <c r="CJ570" s="1494"/>
      <c r="CK570" s="1494"/>
      <c r="CL570" s="579" t="s">
        <v>2117</v>
      </c>
      <c r="CM570" s="579" t="s">
        <v>2118</v>
      </c>
      <c r="CN570" s="579" t="s">
        <v>2174</v>
      </c>
      <c r="CO570" s="579" t="s">
        <v>1507</v>
      </c>
    </row>
    <row r="571" spans="32:93" ht="20.100000000000001" customHeight="1">
      <c r="AF571" s="1560"/>
      <c r="AG571" s="107" t="s">
        <v>862</v>
      </c>
      <c r="AH571" s="107">
        <f>INDEX('DEFAULT DATA'!$WD$9:$WJ$41,START!$C$3,1)</f>
        <v>202</v>
      </c>
      <c r="AI571" s="115">
        <f>INDEX('DEFAULT DATA'!$YB$9:$AGQ$41,START!$C$3,(2+(($A$119-1)*8)+(($D$119-1)*32)))</f>
        <v>5526.6114933468261</v>
      </c>
      <c r="AJ571" s="115">
        <f>INDEX('DEFAULT DATA'!$YB$9:$AGQ$41,START!$C$3,(2+(($A$119-1)*8)+(($E$119-1)*32)))</f>
        <v>0</v>
      </c>
      <c r="AK571" s="180">
        <v>0</v>
      </c>
      <c r="AL571" s="123">
        <f t="shared" ref="AL571:BN571" si="536">IF(AND(AL$569&gt;($I$119+2020),AL$569&lt;($J$119+2022)),AK571+($AH$571*($AI$571-$AJ$571)*$C$119*((100-$F$119)/100)/($J$119-$I$119+1)/1000000),AK571)</f>
        <v>0</v>
      </c>
      <c r="AM571" s="123">
        <f t="shared" si="536"/>
        <v>0</v>
      </c>
      <c r="AN571" s="123">
        <f t="shared" si="536"/>
        <v>0</v>
      </c>
      <c r="AO571" s="123">
        <f t="shared" si="536"/>
        <v>0</v>
      </c>
      <c r="AP571" s="123">
        <f t="shared" si="536"/>
        <v>0</v>
      </c>
      <c r="AQ571" s="123">
        <f t="shared" si="536"/>
        <v>0</v>
      </c>
      <c r="AR571" s="123">
        <f t="shared" si="536"/>
        <v>0</v>
      </c>
      <c r="AS571" s="123">
        <f t="shared" si="536"/>
        <v>0</v>
      </c>
      <c r="AT571" s="123">
        <f t="shared" si="536"/>
        <v>0</v>
      </c>
      <c r="AU571" s="123">
        <f t="shared" si="536"/>
        <v>0</v>
      </c>
      <c r="AV571" s="123">
        <f t="shared" si="536"/>
        <v>0</v>
      </c>
      <c r="AW571" s="123">
        <f t="shared" si="536"/>
        <v>0</v>
      </c>
      <c r="AX571" s="123">
        <f t="shared" si="536"/>
        <v>0</v>
      </c>
      <c r="AY571" s="123">
        <f t="shared" si="536"/>
        <v>0</v>
      </c>
      <c r="AZ571" s="123">
        <f t="shared" si="536"/>
        <v>0</v>
      </c>
      <c r="BA571" s="123">
        <f t="shared" si="536"/>
        <v>0</v>
      </c>
      <c r="BB571" s="123">
        <f t="shared" si="536"/>
        <v>0</v>
      </c>
      <c r="BC571" s="123">
        <f t="shared" si="536"/>
        <v>0</v>
      </c>
      <c r="BD571" s="123">
        <f t="shared" si="536"/>
        <v>0</v>
      </c>
      <c r="BE571" s="123">
        <f t="shared" si="536"/>
        <v>0</v>
      </c>
      <c r="BF571" s="123">
        <f t="shared" si="536"/>
        <v>0</v>
      </c>
      <c r="BG571" s="123">
        <f t="shared" si="536"/>
        <v>0</v>
      </c>
      <c r="BH571" s="123">
        <f t="shared" si="536"/>
        <v>0</v>
      </c>
      <c r="BI571" s="123">
        <f t="shared" si="536"/>
        <v>0</v>
      </c>
      <c r="BJ571" s="123">
        <f t="shared" si="536"/>
        <v>0</v>
      </c>
      <c r="BK571" s="123">
        <f t="shared" si="536"/>
        <v>0</v>
      </c>
      <c r="BL571" s="123">
        <f t="shared" si="536"/>
        <v>0</v>
      </c>
      <c r="BM571" s="123">
        <f t="shared" si="536"/>
        <v>0</v>
      </c>
      <c r="BN571" s="159">
        <f t="shared" si="536"/>
        <v>0</v>
      </c>
      <c r="BP571" s="367" t="s">
        <v>862</v>
      </c>
      <c r="BQ571" s="1494" t="str">
        <f t="shared" ref="BQ571:BQ577" si="537">CONCATENATE("GHG_",BP571,"a = GHG_",BP571,"a-1 + (C118 * ",CL571," - ",CM571," + F118 / 100 * ",CM571," * ",CO571," / (",CN571,") / 1000000")</f>
        <v>GHG_Gasa = GHG_Gasa-1 + (C118 * BUI_COL(51+((A118-1)*8)+((D118-1)*32)) - BUI_COL(51+((A118-1)*8)+((E118-1)*32)) + F118 / 100 * BUI_COL(51+((A118-1)*8)+((E118-1)*32)) * BUI_COL1 / (J118-I118+1) / 1000000</v>
      </c>
      <c r="BR571" s="1494"/>
      <c r="BS571" s="1494"/>
      <c r="BT571" s="1494"/>
      <c r="BU571" s="1494"/>
      <c r="BV571" s="1494"/>
      <c r="BW571" s="1494"/>
      <c r="BX571" s="1494"/>
      <c r="BY571" s="1494"/>
      <c r="BZ571" s="1494"/>
      <c r="CA571" s="1494"/>
      <c r="CB571" s="1494"/>
      <c r="CC571" s="1494"/>
      <c r="CD571" s="1494"/>
      <c r="CE571" s="1494"/>
      <c r="CF571" s="1494"/>
      <c r="CG571" s="1494"/>
      <c r="CH571" s="1494"/>
      <c r="CI571" s="1494"/>
      <c r="CJ571" s="1494"/>
      <c r="CK571" s="1494"/>
      <c r="CL571" s="579" t="s">
        <v>2117</v>
      </c>
      <c r="CM571" s="579" t="s">
        <v>2118</v>
      </c>
      <c r="CN571" s="579" t="s">
        <v>2174</v>
      </c>
      <c r="CO571" s="579" t="s">
        <v>886</v>
      </c>
    </row>
    <row r="572" spans="32:93" ht="20.100000000000001" customHeight="1">
      <c r="AF572" s="1560"/>
      <c r="AG572" s="107" t="s">
        <v>863</v>
      </c>
      <c r="AH572" s="107">
        <f>INDEX('DEFAULT DATA'!$WD$9:$WJ$41,START!$C$3,2)</f>
        <v>267</v>
      </c>
      <c r="AI572" s="115">
        <f>INDEX('DEFAULT DATA'!$YB$9:$AGQ$41,START!$C$3,(3+(($A$119-1)*8)+(($D$119-1)*32)))</f>
        <v>690.82643666835327</v>
      </c>
      <c r="AJ572" s="115">
        <f>INDEX('DEFAULT DATA'!$YB$9:$AGQ$41,START!$C$3,(3+(($A$119-1)*8)+(($E$119-1)*32)))</f>
        <v>0</v>
      </c>
      <c r="AK572" s="180">
        <v>0</v>
      </c>
      <c r="AL572" s="123">
        <f t="shared" ref="AL572:BN572" si="538">IF(AND(AL$569&gt;($I$119+2020),AL$569&lt;($J$119+2022)),AK572+($AH$572*($AI$572-$AJ$572)*$C$119*((100-$F$119)/100)/($J$119-$I$119+1)/1000000),AK572)</f>
        <v>0</v>
      </c>
      <c r="AM572" s="123">
        <f t="shared" si="538"/>
        <v>0</v>
      </c>
      <c r="AN572" s="123">
        <f t="shared" si="538"/>
        <v>0</v>
      </c>
      <c r="AO572" s="123">
        <f t="shared" si="538"/>
        <v>0</v>
      </c>
      <c r="AP572" s="123">
        <f t="shared" si="538"/>
        <v>0</v>
      </c>
      <c r="AQ572" s="123">
        <f t="shared" si="538"/>
        <v>0</v>
      </c>
      <c r="AR572" s="123">
        <f t="shared" si="538"/>
        <v>0</v>
      </c>
      <c r="AS572" s="123">
        <f t="shared" si="538"/>
        <v>0</v>
      </c>
      <c r="AT572" s="123">
        <f t="shared" si="538"/>
        <v>0</v>
      </c>
      <c r="AU572" s="123">
        <f t="shared" si="538"/>
        <v>0</v>
      </c>
      <c r="AV572" s="123">
        <f t="shared" si="538"/>
        <v>0</v>
      </c>
      <c r="AW572" s="123">
        <f t="shared" si="538"/>
        <v>0</v>
      </c>
      <c r="AX572" s="123">
        <f t="shared" si="538"/>
        <v>0</v>
      </c>
      <c r="AY572" s="123">
        <f t="shared" si="538"/>
        <v>0</v>
      </c>
      <c r="AZ572" s="123">
        <f t="shared" si="538"/>
        <v>0</v>
      </c>
      <c r="BA572" s="123">
        <f t="shared" si="538"/>
        <v>0</v>
      </c>
      <c r="BB572" s="123">
        <f t="shared" si="538"/>
        <v>0</v>
      </c>
      <c r="BC572" s="123">
        <f t="shared" si="538"/>
        <v>0</v>
      </c>
      <c r="BD572" s="123">
        <f t="shared" si="538"/>
        <v>0</v>
      </c>
      <c r="BE572" s="123">
        <f t="shared" si="538"/>
        <v>0</v>
      </c>
      <c r="BF572" s="123">
        <f t="shared" si="538"/>
        <v>0</v>
      </c>
      <c r="BG572" s="123">
        <f t="shared" si="538"/>
        <v>0</v>
      </c>
      <c r="BH572" s="123">
        <f t="shared" si="538"/>
        <v>0</v>
      </c>
      <c r="BI572" s="123">
        <f t="shared" si="538"/>
        <v>0</v>
      </c>
      <c r="BJ572" s="123">
        <f t="shared" si="538"/>
        <v>0</v>
      </c>
      <c r="BK572" s="123">
        <f t="shared" si="538"/>
        <v>0</v>
      </c>
      <c r="BL572" s="123">
        <f t="shared" si="538"/>
        <v>0</v>
      </c>
      <c r="BM572" s="123">
        <f t="shared" si="538"/>
        <v>0</v>
      </c>
      <c r="BN572" s="159">
        <f t="shared" si="538"/>
        <v>0</v>
      </c>
      <c r="BP572" s="367" t="s">
        <v>863</v>
      </c>
      <c r="BQ572" s="1494" t="str">
        <f t="shared" si="537"/>
        <v>GHG_Oila = GHG_Oila-1 + (C118 * BUI_COL(51+((A118-1)*8)+((D118-1)*32)) - BUI_COL(51+((A118-1)*8)+((E118-1)*32)) + F118 / 100 * BUI_COL(51+((A118-1)*8)+((E118-1)*32)) * BUI_COL2 / (J118-I118+1) / 1000000</v>
      </c>
      <c r="BR572" s="1494"/>
      <c r="BS572" s="1494"/>
      <c r="BT572" s="1494"/>
      <c r="BU572" s="1494"/>
      <c r="BV572" s="1494"/>
      <c r="BW572" s="1494"/>
      <c r="BX572" s="1494"/>
      <c r="BY572" s="1494"/>
      <c r="BZ572" s="1494"/>
      <c r="CA572" s="1494"/>
      <c r="CB572" s="1494"/>
      <c r="CC572" s="1494"/>
      <c r="CD572" s="1494"/>
      <c r="CE572" s="1494"/>
      <c r="CF572" s="1494"/>
      <c r="CG572" s="1494"/>
      <c r="CH572" s="1494"/>
      <c r="CI572" s="1494"/>
      <c r="CJ572" s="1494"/>
      <c r="CK572" s="1494"/>
      <c r="CL572" s="579" t="s">
        <v>2117</v>
      </c>
      <c r="CM572" s="579" t="s">
        <v>2118</v>
      </c>
      <c r="CN572" s="579" t="s">
        <v>2174</v>
      </c>
      <c r="CO572" s="579" t="s">
        <v>1247</v>
      </c>
    </row>
    <row r="573" spans="32:93" ht="20.100000000000001" customHeight="1">
      <c r="AF573" s="1560"/>
      <c r="AG573" s="107" t="s">
        <v>864</v>
      </c>
      <c r="AH573" s="107">
        <f>INDEX('DEFAULT DATA'!$WD$9:$WJ$41,START!$C$3,3)</f>
        <v>354</v>
      </c>
      <c r="AI573" s="115">
        <f>INDEX('DEFAULT DATA'!$YB$9:$AGQ$41,START!$C$3,(4+(($A$119-1)*8)+(($D$119-1)*32)))</f>
        <v>0</v>
      </c>
      <c r="AJ573" s="115">
        <f>INDEX('DEFAULT DATA'!$YB$9:$AGQ$41,START!$C$3,(4+(($A$119-1)*8)+(($E$119-1)*32)))</f>
        <v>0</v>
      </c>
      <c r="AK573" s="180">
        <v>0</v>
      </c>
      <c r="AL573" s="123">
        <f t="shared" ref="AL573:BN573" si="539">IF(AND(AL$569&gt;($I$119+2020),AL$569&lt;($J$119+2022)),AK573+($AH$573*($AI$573-$AJ$573)*$C$119*((100-$F$119)/100)/($J$119-$I$119+1)/1000000),AK573)</f>
        <v>0</v>
      </c>
      <c r="AM573" s="123">
        <f t="shared" si="539"/>
        <v>0</v>
      </c>
      <c r="AN573" s="123">
        <f t="shared" si="539"/>
        <v>0</v>
      </c>
      <c r="AO573" s="123">
        <f t="shared" si="539"/>
        <v>0</v>
      </c>
      <c r="AP573" s="123">
        <f t="shared" si="539"/>
        <v>0</v>
      </c>
      <c r="AQ573" s="123">
        <f t="shared" si="539"/>
        <v>0</v>
      </c>
      <c r="AR573" s="123">
        <f t="shared" si="539"/>
        <v>0</v>
      </c>
      <c r="AS573" s="123">
        <f t="shared" si="539"/>
        <v>0</v>
      </c>
      <c r="AT573" s="123">
        <f t="shared" si="539"/>
        <v>0</v>
      </c>
      <c r="AU573" s="123">
        <f t="shared" si="539"/>
        <v>0</v>
      </c>
      <c r="AV573" s="123">
        <f t="shared" si="539"/>
        <v>0</v>
      </c>
      <c r="AW573" s="123">
        <f t="shared" si="539"/>
        <v>0</v>
      </c>
      <c r="AX573" s="123">
        <f t="shared" si="539"/>
        <v>0</v>
      </c>
      <c r="AY573" s="123">
        <f t="shared" si="539"/>
        <v>0</v>
      </c>
      <c r="AZ573" s="123">
        <f t="shared" si="539"/>
        <v>0</v>
      </c>
      <c r="BA573" s="123">
        <f t="shared" si="539"/>
        <v>0</v>
      </c>
      <c r="BB573" s="123">
        <f t="shared" si="539"/>
        <v>0</v>
      </c>
      <c r="BC573" s="123">
        <f t="shared" si="539"/>
        <v>0</v>
      </c>
      <c r="BD573" s="123">
        <f t="shared" si="539"/>
        <v>0</v>
      </c>
      <c r="BE573" s="123">
        <f t="shared" si="539"/>
        <v>0</v>
      </c>
      <c r="BF573" s="123">
        <f t="shared" si="539"/>
        <v>0</v>
      </c>
      <c r="BG573" s="123">
        <f t="shared" si="539"/>
        <v>0</v>
      </c>
      <c r="BH573" s="123">
        <f t="shared" si="539"/>
        <v>0</v>
      </c>
      <c r="BI573" s="123">
        <f t="shared" si="539"/>
        <v>0</v>
      </c>
      <c r="BJ573" s="123">
        <f t="shared" si="539"/>
        <v>0</v>
      </c>
      <c r="BK573" s="123">
        <f t="shared" si="539"/>
        <v>0</v>
      </c>
      <c r="BL573" s="123">
        <f t="shared" si="539"/>
        <v>0</v>
      </c>
      <c r="BM573" s="123">
        <f t="shared" si="539"/>
        <v>0</v>
      </c>
      <c r="BN573" s="159">
        <f t="shared" si="539"/>
        <v>0</v>
      </c>
      <c r="BP573" s="367" t="s">
        <v>864</v>
      </c>
      <c r="BQ573" s="1494" t="str">
        <f t="shared" si="537"/>
        <v>GHG_Coala = GHG_Coala-1 + (C118 * BUI_COL(51+((A118-1)*8)+((D118-1)*32)) - BUI_COL(51+((A118-1)*8)+((E118-1)*32)) + F118 / 100 * BUI_COL(51+((A118-1)*8)+((E118-1)*32)) * BUI_COL3 / (J118-I118+1) / 1000000</v>
      </c>
      <c r="BR573" s="1494"/>
      <c r="BS573" s="1494"/>
      <c r="BT573" s="1494"/>
      <c r="BU573" s="1494"/>
      <c r="BV573" s="1494"/>
      <c r="BW573" s="1494"/>
      <c r="BX573" s="1494"/>
      <c r="BY573" s="1494"/>
      <c r="BZ573" s="1494"/>
      <c r="CA573" s="1494"/>
      <c r="CB573" s="1494"/>
      <c r="CC573" s="1494"/>
      <c r="CD573" s="1494"/>
      <c r="CE573" s="1494"/>
      <c r="CF573" s="1494"/>
      <c r="CG573" s="1494"/>
      <c r="CH573" s="1494"/>
      <c r="CI573" s="1494"/>
      <c r="CJ573" s="1494"/>
      <c r="CK573" s="1494"/>
      <c r="CL573" s="579" t="s">
        <v>2117</v>
      </c>
      <c r="CM573" s="579" t="s">
        <v>2118</v>
      </c>
      <c r="CN573" s="579" t="s">
        <v>2174</v>
      </c>
      <c r="CO573" s="579" t="s">
        <v>1248</v>
      </c>
    </row>
    <row r="574" spans="32:93" ht="20.100000000000001" customHeight="1">
      <c r="AF574" s="1560"/>
      <c r="AG574" s="107" t="s">
        <v>865</v>
      </c>
      <c r="AH574" s="107">
        <f>INDEX('DEFAULT DATA'!$WD$9:$WJ$41,START!$C$3,4)</f>
        <v>382</v>
      </c>
      <c r="AI574" s="115">
        <f>INDEX('DEFAULT DATA'!$YB$9:$AGQ$41,START!$C$3,(5+(($A$119-1)*8)+(($D$119-1)*32)))</f>
        <v>0</v>
      </c>
      <c r="AJ574" s="115">
        <f>INDEX('DEFAULT DATA'!$YB$9:$AGQ$41,START!$C$3,(5+(($A$119-1)*8)+(($E$119-1)*32)))</f>
        <v>0</v>
      </c>
      <c r="AK574" s="180">
        <v>0</v>
      </c>
      <c r="AL574" s="123">
        <f t="shared" ref="AL574:BN574" si="540">IF(AND(AL$569&gt;($I$119+2020),AL$569&lt;($J$119+2022)),AK574+($AH$574*($AI$574-$AJ$574)*$C$119*((100-$F$119)/100)/($J$119-$I$119+1)/1000000),AK574)</f>
        <v>0</v>
      </c>
      <c r="AM574" s="123">
        <f t="shared" si="540"/>
        <v>0</v>
      </c>
      <c r="AN574" s="123">
        <f t="shared" si="540"/>
        <v>0</v>
      </c>
      <c r="AO574" s="123">
        <f t="shared" si="540"/>
        <v>0</v>
      </c>
      <c r="AP574" s="123">
        <f t="shared" si="540"/>
        <v>0</v>
      </c>
      <c r="AQ574" s="123">
        <f t="shared" si="540"/>
        <v>0</v>
      </c>
      <c r="AR574" s="123">
        <f t="shared" si="540"/>
        <v>0</v>
      </c>
      <c r="AS574" s="123">
        <f t="shared" si="540"/>
        <v>0</v>
      </c>
      <c r="AT574" s="123">
        <f t="shared" si="540"/>
        <v>0</v>
      </c>
      <c r="AU574" s="123">
        <f t="shared" si="540"/>
        <v>0</v>
      </c>
      <c r="AV574" s="123">
        <f t="shared" si="540"/>
        <v>0</v>
      </c>
      <c r="AW574" s="123">
        <f t="shared" si="540"/>
        <v>0</v>
      </c>
      <c r="AX574" s="123">
        <f t="shared" si="540"/>
        <v>0</v>
      </c>
      <c r="AY574" s="123">
        <f t="shared" si="540"/>
        <v>0</v>
      </c>
      <c r="AZ574" s="123">
        <f t="shared" si="540"/>
        <v>0</v>
      </c>
      <c r="BA574" s="123">
        <f t="shared" si="540"/>
        <v>0</v>
      </c>
      <c r="BB574" s="123">
        <f t="shared" si="540"/>
        <v>0</v>
      </c>
      <c r="BC574" s="123">
        <f t="shared" si="540"/>
        <v>0</v>
      </c>
      <c r="BD574" s="123">
        <f t="shared" si="540"/>
        <v>0</v>
      </c>
      <c r="BE574" s="123">
        <f t="shared" si="540"/>
        <v>0</v>
      </c>
      <c r="BF574" s="123">
        <f t="shared" si="540"/>
        <v>0</v>
      </c>
      <c r="BG574" s="123">
        <f t="shared" si="540"/>
        <v>0</v>
      </c>
      <c r="BH574" s="123">
        <f t="shared" si="540"/>
        <v>0</v>
      </c>
      <c r="BI574" s="123">
        <f t="shared" si="540"/>
        <v>0</v>
      </c>
      <c r="BJ574" s="123">
        <f t="shared" si="540"/>
        <v>0</v>
      </c>
      <c r="BK574" s="123">
        <f t="shared" si="540"/>
        <v>0</v>
      </c>
      <c r="BL574" s="123">
        <f t="shared" si="540"/>
        <v>0</v>
      </c>
      <c r="BM574" s="123">
        <f t="shared" si="540"/>
        <v>0</v>
      </c>
      <c r="BN574" s="159">
        <f t="shared" si="540"/>
        <v>0</v>
      </c>
      <c r="BP574" s="367" t="s">
        <v>865</v>
      </c>
      <c r="BQ574" s="1494" t="str">
        <f t="shared" si="537"/>
        <v>GHG_Peata = GHG_Peata-1 + (C118 * BUI_COL(51+((A118-1)*8)+((D118-1)*32)) - BUI_COL(51+((A118-1)*8)+((E118-1)*32)) + F118 / 100 * BUI_COL(51+((A118-1)*8)+((E118-1)*32)) * BUI_COL4 / (J118-I118+1) / 1000000</v>
      </c>
      <c r="BR574" s="1494"/>
      <c r="BS574" s="1494"/>
      <c r="BT574" s="1494"/>
      <c r="BU574" s="1494"/>
      <c r="BV574" s="1494"/>
      <c r="BW574" s="1494"/>
      <c r="BX574" s="1494"/>
      <c r="BY574" s="1494"/>
      <c r="BZ574" s="1494"/>
      <c r="CA574" s="1494"/>
      <c r="CB574" s="1494"/>
      <c r="CC574" s="1494"/>
      <c r="CD574" s="1494"/>
      <c r="CE574" s="1494"/>
      <c r="CF574" s="1494"/>
      <c r="CG574" s="1494"/>
      <c r="CH574" s="1494"/>
      <c r="CI574" s="1494"/>
      <c r="CJ574" s="1494"/>
      <c r="CK574" s="1494"/>
      <c r="CL574" s="579" t="s">
        <v>2117</v>
      </c>
      <c r="CM574" s="579" t="s">
        <v>2118</v>
      </c>
      <c r="CN574" s="579" t="s">
        <v>2174</v>
      </c>
      <c r="CO574" s="579" t="s">
        <v>1249</v>
      </c>
    </row>
    <row r="575" spans="32:93" ht="20.100000000000001" customHeight="1">
      <c r="AF575" s="1560"/>
      <c r="AG575" s="107" t="s">
        <v>866</v>
      </c>
      <c r="AH575" s="107">
        <f>INDEX('DEFAULT DATA'!$WD$9:$WJ$41,START!$C$3,5)</f>
        <v>403</v>
      </c>
      <c r="AI575" s="115">
        <f>INDEX('DEFAULT DATA'!$YB$9:$AGQ$41,START!$C$3,(6+(($A$119-1)*8)+(($D$119-1)*32)))</f>
        <v>0</v>
      </c>
      <c r="AJ575" s="115">
        <f>INDEX('DEFAULT DATA'!$YB$9:$AGQ$41,START!$C$3,(6+(($A$119-1)*8)+(($E$119-1)*32)))</f>
        <v>0</v>
      </c>
      <c r="AK575" s="180">
        <v>0</v>
      </c>
      <c r="AL575" s="123">
        <f t="shared" ref="AL575:BN575" si="541">IF(AND(AL$569&gt;($I$119+2020),AL$569&lt;($J$119+2022)),AK575+($AH$575*($AI$575-$AJ$575)*$C$119*((100-$F$119)/100)/($J$119-$I$119+1)/1000000),AK575)</f>
        <v>0</v>
      </c>
      <c r="AM575" s="123">
        <f t="shared" si="541"/>
        <v>0</v>
      </c>
      <c r="AN575" s="123">
        <f t="shared" si="541"/>
        <v>0</v>
      </c>
      <c r="AO575" s="123">
        <f t="shared" si="541"/>
        <v>0</v>
      </c>
      <c r="AP575" s="123">
        <f t="shared" si="541"/>
        <v>0</v>
      </c>
      <c r="AQ575" s="123">
        <f t="shared" si="541"/>
        <v>0</v>
      </c>
      <c r="AR575" s="123">
        <f t="shared" si="541"/>
        <v>0</v>
      </c>
      <c r="AS575" s="123">
        <f t="shared" si="541"/>
        <v>0</v>
      </c>
      <c r="AT575" s="123">
        <f t="shared" si="541"/>
        <v>0</v>
      </c>
      <c r="AU575" s="123">
        <f t="shared" si="541"/>
        <v>0</v>
      </c>
      <c r="AV575" s="123">
        <f t="shared" si="541"/>
        <v>0</v>
      </c>
      <c r="AW575" s="123">
        <f t="shared" si="541"/>
        <v>0</v>
      </c>
      <c r="AX575" s="123">
        <f t="shared" si="541"/>
        <v>0</v>
      </c>
      <c r="AY575" s="123">
        <f t="shared" si="541"/>
        <v>0</v>
      </c>
      <c r="AZ575" s="123">
        <f t="shared" si="541"/>
        <v>0</v>
      </c>
      <c r="BA575" s="123">
        <f t="shared" si="541"/>
        <v>0</v>
      </c>
      <c r="BB575" s="123">
        <f t="shared" si="541"/>
        <v>0</v>
      </c>
      <c r="BC575" s="123">
        <f t="shared" si="541"/>
        <v>0</v>
      </c>
      <c r="BD575" s="123">
        <f t="shared" si="541"/>
        <v>0</v>
      </c>
      <c r="BE575" s="123">
        <f t="shared" si="541"/>
        <v>0</v>
      </c>
      <c r="BF575" s="123">
        <f t="shared" si="541"/>
        <v>0</v>
      </c>
      <c r="BG575" s="123">
        <f t="shared" si="541"/>
        <v>0</v>
      </c>
      <c r="BH575" s="123">
        <f t="shared" si="541"/>
        <v>0</v>
      </c>
      <c r="BI575" s="123">
        <f t="shared" si="541"/>
        <v>0</v>
      </c>
      <c r="BJ575" s="123">
        <f t="shared" si="541"/>
        <v>0</v>
      </c>
      <c r="BK575" s="123">
        <f t="shared" si="541"/>
        <v>0</v>
      </c>
      <c r="BL575" s="123">
        <f t="shared" si="541"/>
        <v>0</v>
      </c>
      <c r="BM575" s="123">
        <f t="shared" si="541"/>
        <v>0</v>
      </c>
      <c r="BN575" s="159">
        <f t="shared" si="541"/>
        <v>0</v>
      </c>
      <c r="BP575" s="367" t="s">
        <v>866</v>
      </c>
      <c r="BQ575" s="1494" t="str">
        <f t="shared" si="537"/>
        <v>GHG_Wooda = GHG_Wooda-1 + (C118 * BUI_COL(51+((A118-1)*8)+((D118-1)*32)) - BUI_COL(51+((A118-1)*8)+((E118-1)*32)) + F118 / 100 * BUI_COL(51+((A118-1)*8)+((E118-1)*32)) * BUI_COL5 / (J118-I118+1) / 1000000</v>
      </c>
      <c r="BR575" s="1494"/>
      <c r="BS575" s="1494"/>
      <c r="BT575" s="1494"/>
      <c r="BU575" s="1494"/>
      <c r="BV575" s="1494"/>
      <c r="BW575" s="1494"/>
      <c r="BX575" s="1494"/>
      <c r="BY575" s="1494"/>
      <c r="BZ575" s="1494"/>
      <c r="CA575" s="1494"/>
      <c r="CB575" s="1494"/>
      <c r="CC575" s="1494"/>
      <c r="CD575" s="1494"/>
      <c r="CE575" s="1494"/>
      <c r="CF575" s="1494"/>
      <c r="CG575" s="1494"/>
      <c r="CH575" s="1494"/>
      <c r="CI575" s="1494"/>
      <c r="CJ575" s="1494"/>
      <c r="CK575" s="1494"/>
      <c r="CL575" s="579" t="s">
        <v>2117</v>
      </c>
      <c r="CM575" s="579" t="s">
        <v>2118</v>
      </c>
      <c r="CN575" s="579" t="s">
        <v>2174</v>
      </c>
      <c r="CO575" s="579" t="s">
        <v>1250</v>
      </c>
    </row>
    <row r="576" spans="32:93" ht="20.100000000000001" customHeight="1">
      <c r="AF576" s="1560"/>
      <c r="AG576" s="107" t="s">
        <v>867</v>
      </c>
      <c r="AH576" s="107">
        <f>INDEX('DEFAULT DATA'!$WD$9:$WJ$41,START!$C$3,6)</f>
        <v>0</v>
      </c>
      <c r="AI576" s="115">
        <f>INDEX('DEFAULT DATA'!$YB$9:$AGQ$41,START!$C$3,(7+(($A$119-1)*8)+(($D$119-1)*32)))</f>
        <v>6908.2643666835329</v>
      </c>
      <c r="AJ576" s="115">
        <f>INDEX('DEFAULT DATA'!$YB$9:$AGQ$41,START!$C$3,(7+(($A$119-1)*8)+(($E$119-1)*32)))</f>
        <v>1657.8066152984159</v>
      </c>
      <c r="AK576" s="180">
        <v>0</v>
      </c>
      <c r="AL576" s="123">
        <f t="shared" ref="AL576:BN576" si="542">IF(AND(AL$569&gt;($I$119+2020),AL$569&lt;($J$119+2022)),AK576+($AH$576*($AI$576-$AJ$576)*$C$119*((100-$F$119)/100)/($J$119-$I$119+1)/1000000),AK576)</f>
        <v>0</v>
      </c>
      <c r="AM576" s="123">
        <f t="shared" si="542"/>
        <v>0</v>
      </c>
      <c r="AN576" s="123">
        <f t="shared" si="542"/>
        <v>0</v>
      </c>
      <c r="AO576" s="123">
        <f t="shared" si="542"/>
        <v>0</v>
      </c>
      <c r="AP576" s="123">
        <f t="shared" si="542"/>
        <v>0</v>
      </c>
      <c r="AQ576" s="123">
        <f t="shared" si="542"/>
        <v>0</v>
      </c>
      <c r="AR576" s="123">
        <f t="shared" si="542"/>
        <v>0</v>
      </c>
      <c r="AS576" s="123">
        <f t="shared" si="542"/>
        <v>0</v>
      </c>
      <c r="AT576" s="123">
        <f t="shared" si="542"/>
        <v>0</v>
      </c>
      <c r="AU576" s="123">
        <f t="shared" si="542"/>
        <v>0</v>
      </c>
      <c r="AV576" s="123">
        <f t="shared" si="542"/>
        <v>0</v>
      </c>
      <c r="AW576" s="123">
        <f t="shared" si="542"/>
        <v>0</v>
      </c>
      <c r="AX576" s="123">
        <f t="shared" si="542"/>
        <v>0</v>
      </c>
      <c r="AY576" s="123">
        <f t="shared" si="542"/>
        <v>0</v>
      </c>
      <c r="AZ576" s="123">
        <f t="shared" si="542"/>
        <v>0</v>
      </c>
      <c r="BA576" s="123">
        <f t="shared" si="542"/>
        <v>0</v>
      </c>
      <c r="BB576" s="123">
        <f t="shared" si="542"/>
        <v>0</v>
      </c>
      <c r="BC576" s="123">
        <f t="shared" si="542"/>
        <v>0</v>
      </c>
      <c r="BD576" s="123">
        <f t="shared" si="542"/>
        <v>0</v>
      </c>
      <c r="BE576" s="123">
        <f t="shared" si="542"/>
        <v>0</v>
      </c>
      <c r="BF576" s="123">
        <f t="shared" si="542"/>
        <v>0</v>
      </c>
      <c r="BG576" s="123">
        <f t="shared" si="542"/>
        <v>0</v>
      </c>
      <c r="BH576" s="123">
        <f t="shared" si="542"/>
        <v>0</v>
      </c>
      <c r="BI576" s="123">
        <f t="shared" si="542"/>
        <v>0</v>
      </c>
      <c r="BJ576" s="123">
        <f t="shared" si="542"/>
        <v>0</v>
      </c>
      <c r="BK576" s="123">
        <f t="shared" si="542"/>
        <v>0</v>
      </c>
      <c r="BL576" s="123">
        <f t="shared" si="542"/>
        <v>0</v>
      </c>
      <c r="BM576" s="123">
        <f t="shared" si="542"/>
        <v>0</v>
      </c>
      <c r="BN576" s="159">
        <f t="shared" si="542"/>
        <v>0</v>
      </c>
      <c r="BP576" s="367" t="s">
        <v>867</v>
      </c>
      <c r="BQ576" s="1494" t="str">
        <f t="shared" si="537"/>
        <v>GHG_Renewablea = GHG_Renewablea-1 + (C118 * BUI_COL(51+((A118-1)*8)+((D118-1)*32)) - BUI_COL(51+((A118-1)*8)+((E118-1)*32)) + F118 / 100 * BUI_COL(51+((A118-1)*8)+((E118-1)*32)) * BUI_COL6 / (J118-I118+1) / 1000000</v>
      </c>
      <c r="BR576" s="1494"/>
      <c r="BS576" s="1494"/>
      <c r="BT576" s="1494"/>
      <c r="BU576" s="1494"/>
      <c r="BV576" s="1494"/>
      <c r="BW576" s="1494"/>
      <c r="BX576" s="1494"/>
      <c r="BY576" s="1494"/>
      <c r="BZ576" s="1494"/>
      <c r="CA576" s="1494"/>
      <c r="CB576" s="1494"/>
      <c r="CC576" s="1494"/>
      <c r="CD576" s="1494"/>
      <c r="CE576" s="1494"/>
      <c r="CF576" s="1494"/>
      <c r="CG576" s="1494"/>
      <c r="CH576" s="1494"/>
      <c r="CI576" s="1494"/>
      <c r="CJ576" s="1494"/>
      <c r="CK576" s="1494"/>
      <c r="CL576" s="579" t="s">
        <v>2117</v>
      </c>
      <c r="CM576" s="579" t="s">
        <v>2118</v>
      </c>
      <c r="CN576" s="579" t="s">
        <v>2174</v>
      </c>
      <c r="CO576" s="579" t="s">
        <v>1251</v>
      </c>
    </row>
    <row r="577" spans="32:93" ht="20.100000000000001" customHeight="1" thickBot="1">
      <c r="AF577" s="1561"/>
      <c r="AG577" s="146" t="s">
        <v>868</v>
      </c>
      <c r="AH577" s="146" t="s">
        <v>1123</v>
      </c>
      <c r="AI577" s="170">
        <f>INDEX('DEFAULT DATA'!$YB$9:$AGQ$41,START!$C$3,(8+(($A$119-1)*8)+(($D$119-1)*32)))</f>
        <v>1727.0660916708832</v>
      </c>
      <c r="AJ577" s="170">
        <f>INDEX('DEFAULT DATA'!$YB$9:$AGQ$41,START!$C$3,(8+(($A$119-1)*8)+(($E$119-1)*32)))</f>
        <v>414.45165382460397</v>
      </c>
      <c r="AK577" s="183">
        <v>0</v>
      </c>
      <c r="AL577" s="160">
        <f t="shared" ref="AL577:BN577" si="543">IF(AND(AL$569&gt;($I$119+2020),AL$569&lt;($J$119+2022)),AK577+(AL$6*($AI$577-$AJ$577)*$C$119*((100-$F$119)/100)/($J$119-$I$119+1)/1000000),AK577)</f>
        <v>0</v>
      </c>
      <c r="AM577" s="160">
        <f t="shared" si="543"/>
        <v>0</v>
      </c>
      <c r="AN577" s="160">
        <f t="shared" si="543"/>
        <v>0</v>
      </c>
      <c r="AO577" s="160">
        <f t="shared" si="543"/>
        <v>0</v>
      </c>
      <c r="AP577" s="160">
        <f t="shared" si="543"/>
        <v>0</v>
      </c>
      <c r="AQ577" s="160">
        <f t="shared" si="543"/>
        <v>0</v>
      </c>
      <c r="AR577" s="160">
        <f t="shared" si="543"/>
        <v>0</v>
      </c>
      <c r="AS577" s="160">
        <f t="shared" si="543"/>
        <v>0</v>
      </c>
      <c r="AT577" s="160">
        <f t="shared" si="543"/>
        <v>0</v>
      </c>
      <c r="AU577" s="160">
        <f t="shared" si="543"/>
        <v>0</v>
      </c>
      <c r="AV577" s="160">
        <f t="shared" si="543"/>
        <v>0</v>
      </c>
      <c r="AW577" s="160">
        <f t="shared" si="543"/>
        <v>0</v>
      </c>
      <c r="AX577" s="160">
        <f t="shared" si="543"/>
        <v>0</v>
      </c>
      <c r="AY577" s="160">
        <f t="shared" si="543"/>
        <v>0</v>
      </c>
      <c r="AZ577" s="160">
        <f t="shared" si="543"/>
        <v>0</v>
      </c>
      <c r="BA577" s="160">
        <f t="shared" si="543"/>
        <v>0</v>
      </c>
      <c r="BB577" s="160">
        <f t="shared" si="543"/>
        <v>0</v>
      </c>
      <c r="BC577" s="160">
        <f t="shared" si="543"/>
        <v>0</v>
      </c>
      <c r="BD577" s="160">
        <f t="shared" si="543"/>
        <v>0</v>
      </c>
      <c r="BE577" s="160">
        <f t="shared" si="543"/>
        <v>0</v>
      </c>
      <c r="BF577" s="160">
        <f t="shared" si="543"/>
        <v>0</v>
      </c>
      <c r="BG577" s="160">
        <f t="shared" si="543"/>
        <v>0</v>
      </c>
      <c r="BH577" s="160">
        <f t="shared" si="543"/>
        <v>0</v>
      </c>
      <c r="BI577" s="160">
        <f t="shared" si="543"/>
        <v>0</v>
      </c>
      <c r="BJ577" s="160">
        <f t="shared" si="543"/>
        <v>0</v>
      </c>
      <c r="BK577" s="160">
        <f t="shared" si="543"/>
        <v>0</v>
      </c>
      <c r="BL577" s="160">
        <f t="shared" si="543"/>
        <v>0</v>
      </c>
      <c r="BM577" s="160">
        <f t="shared" si="543"/>
        <v>0</v>
      </c>
      <c r="BN577" s="161">
        <f t="shared" si="543"/>
        <v>0</v>
      </c>
      <c r="BP577" s="367" t="s">
        <v>868</v>
      </c>
      <c r="BQ577" s="1494" t="str">
        <f t="shared" si="537"/>
        <v>GHG_Heata = GHG_Heata-1 + (C118 * BUI_COL(51+((A118-1)*8)+((D118-1)*32)) - BUI_COL(51+((A118-1)*8)+((E118-1)*32)) + F118 / 100 * BUI_COL(51+((A118-1)*8)+((E118-1)*32)) * DISTRICT_HEATING_emission_factora (from row 5) / (J118-I118+1) / 1000000</v>
      </c>
      <c r="BR577" s="1494"/>
      <c r="BS577" s="1494"/>
      <c r="BT577" s="1494"/>
      <c r="BU577" s="1494"/>
      <c r="BV577" s="1494"/>
      <c r="BW577" s="1494"/>
      <c r="BX577" s="1494"/>
      <c r="BY577" s="1494"/>
      <c r="BZ577" s="1494"/>
      <c r="CA577" s="1494"/>
      <c r="CB577" s="1494"/>
      <c r="CC577" s="1494"/>
      <c r="CD577" s="1494"/>
      <c r="CE577" s="1494"/>
      <c r="CF577" s="1494"/>
      <c r="CG577" s="1494"/>
      <c r="CH577" s="1494"/>
      <c r="CI577" s="1494"/>
      <c r="CJ577" s="1494"/>
      <c r="CK577" s="1494"/>
      <c r="CL577" s="579" t="s">
        <v>2117</v>
      </c>
      <c r="CM577" s="579" t="s">
        <v>2118</v>
      </c>
      <c r="CN577" s="579" t="s">
        <v>2174</v>
      </c>
      <c r="CO577" s="579" t="s">
        <v>1508</v>
      </c>
    </row>
    <row r="578" spans="32:93" ht="20.100000000000001" customHeight="1">
      <c r="AF578" s="167"/>
      <c r="AG578" s="144" t="s">
        <v>211</v>
      </c>
      <c r="AH578" s="145"/>
      <c r="AI578" s="145"/>
      <c r="AJ578" s="145"/>
      <c r="AK578" s="179">
        <v>0</v>
      </c>
      <c r="AL578" s="162">
        <f>SUM(AL570:AL577)</f>
        <v>0</v>
      </c>
      <c r="AM578" s="162">
        <f t="shared" ref="AM578:BN578" si="544">SUM(AM570:AM577)</f>
        <v>0</v>
      </c>
      <c r="AN578" s="162">
        <f t="shared" si="544"/>
        <v>0</v>
      </c>
      <c r="AO578" s="162">
        <f t="shared" si="544"/>
        <v>0</v>
      </c>
      <c r="AP578" s="162">
        <f t="shared" si="544"/>
        <v>0</v>
      </c>
      <c r="AQ578" s="162">
        <f t="shared" si="544"/>
        <v>0</v>
      </c>
      <c r="AR578" s="162">
        <f t="shared" si="544"/>
        <v>0</v>
      </c>
      <c r="AS578" s="162">
        <f t="shared" si="544"/>
        <v>0</v>
      </c>
      <c r="AT578" s="162">
        <f t="shared" si="544"/>
        <v>0</v>
      </c>
      <c r="AU578" s="162">
        <f t="shared" si="544"/>
        <v>0</v>
      </c>
      <c r="AV578" s="162">
        <f t="shared" si="544"/>
        <v>0</v>
      </c>
      <c r="AW578" s="162">
        <f t="shared" si="544"/>
        <v>0</v>
      </c>
      <c r="AX578" s="162">
        <f t="shared" si="544"/>
        <v>0</v>
      </c>
      <c r="AY578" s="162">
        <f t="shared" si="544"/>
        <v>0</v>
      </c>
      <c r="AZ578" s="162">
        <f t="shared" si="544"/>
        <v>0</v>
      </c>
      <c r="BA578" s="162">
        <f t="shared" si="544"/>
        <v>0</v>
      </c>
      <c r="BB578" s="162">
        <f t="shared" si="544"/>
        <v>0</v>
      </c>
      <c r="BC578" s="162">
        <f t="shared" si="544"/>
        <v>0</v>
      </c>
      <c r="BD578" s="162">
        <f t="shared" si="544"/>
        <v>0</v>
      </c>
      <c r="BE578" s="162">
        <f t="shared" si="544"/>
        <v>0</v>
      </c>
      <c r="BF578" s="162">
        <f t="shared" si="544"/>
        <v>0</v>
      </c>
      <c r="BG578" s="162">
        <f t="shared" si="544"/>
        <v>0</v>
      </c>
      <c r="BH578" s="162">
        <f t="shared" si="544"/>
        <v>0</v>
      </c>
      <c r="BI578" s="162">
        <f t="shared" si="544"/>
        <v>0</v>
      </c>
      <c r="BJ578" s="162">
        <f t="shared" si="544"/>
        <v>0</v>
      </c>
      <c r="BK578" s="162">
        <f t="shared" si="544"/>
        <v>0</v>
      </c>
      <c r="BL578" s="162">
        <f t="shared" si="544"/>
        <v>0</v>
      </c>
      <c r="BM578" s="162">
        <f t="shared" si="544"/>
        <v>0</v>
      </c>
      <c r="BN578" s="162">
        <f t="shared" si="544"/>
        <v>0</v>
      </c>
    </row>
    <row r="580" spans="32:93" ht="20.100000000000001" customHeight="1">
      <c r="AU580" s="630"/>
      <c r="AV580" s="630"/>
      <c r="AW580" s="630"/>
      <c r="AX580" s="630"/>
      <c r="AY580" s="630"/>
    </row>
    <row r="581" spans="32:93" ht="20.100000000000001" customHeight="1">
      <c r="AF581" s="582" t="s">
        <v>2155</v>
      </c>
      <c r="AG581" s="583"/>
      <c r="AH581" s="583"/>
      <c r="AI581" s="583"/>
      <c r="AJ581" s="583"/>
      <c r="AK581" s="583"/>
      <c r="AL581" s="583"/>
      <c r="AM581" s="583"/>
      <c r="AN581" s="583"/>
      <c r="AO581" s="583"/>
      <c r="AP581" s="583"/>
      <c r="AQ581" s="583"/>
      <c r="AR581" s="583"/>
      <c r="AS581" s="358"/>
      <c r="AT581" s="358"/>
      <c r="AU581" s="358"/>
      <c r="AV581" s="358"/>
      <c r="AW581" s="358"/>
      <c r="AX581" s="359"/>
      <c r="AY581" s="630"/>
    </row>
    <row r="582" spans="32:93" ht="20.100000000000001" customHeight="1">
      <c r="AF582" s="585" t="s">
        <v>2119</v>
      </c>
      <c r="AG582" s="586"/>
      <c r="AH582" s="586"/>
      <c r="AI582" s="586"/>
      <c r="AJ582" s="586"/>
      <c r="AK582" s="586"/>
      <c r="AL582" s="586"/>
      <c r="AM582" s="586"/>
      <c r="AN582" s="586"/>
      <c r="AO582" s="586"/>
      <c r="AP582" s="586"/>
      <c r="AQ582" s="586"/>
      <c r="AR582" s="586"/>
      <c r="AS582" s="362"/>
      <c r="AT582" s="362"/>
      <c r="AU582" s="362"/>
      <c r="AV582" s="362"/>
      <c r="AW582" s="362"/>
      <c r="AX582" s="363"/>
      <c r="AY582" s="630"/>
    </row>
    <row r="583" spans="32:93" ht="20.100000000000001" customHeight="1">
      <c r="AF583" s="585" t="s">
        <v>2087</v>
      </c>
      <c r="AG583" s="586"/>
      <c r="AH583" s="586"/>
      <c r="AI583" s="586"/>
      <c r="AJ583" s="586"/>
      <c r="AK583" s="586"/>
      <c r="AL583" s="586"/>
      <c r="AM583" s="586"/>
      <c r="AN583" s="586"/>
      <c r="AO583" s="586"/>
      <c r="AP583" s="586"/>
      <c r="AQ583" s="586"/>
      <c r="AR583" s="586"/>
      <c r="AS583" s="362"/>
      <c r="AT583" s="362"/>
      <c r="AU583" s="362"/>
      <c r="AV583" s="362"/>
      <c r="AW583" s="362"/>
      <c r="AX583" s="363"/>
      <c r="AY583" s="630"/>
    </row>
    <row r="584" spans="32:93" ht="20.100000000000001" customHeight="1">
      <c r="AF584" s="588" t="s">
        <v>2156</v>
      </c>
      <c r="AG584" s="586"/>
      <c r="AH584" s="586"/>
      <c r="AI584" s="586"/>
      <c r="AJ584" s="586"/>
      <c r="AK584" s="586"/>
      <c r="AL584" s="586"/>
      <c r="AM584" s="586"/>
      <c r="AN584" s="586"/>
      <c r="AO584" s="586"/>
      <c r="AP584" s="586"/>
      <c r="AQ584" s="586"/>
      <c r="AR584" s="586"/>
      <c r="AS584" s="362"/>
      <c r="AT584" s="362"/>
      <c r="AU584" s="362"/>
      <c r="AV584" s="362"/>
      <c r="AW584" s="362"/>
      <c r="AX584" s="363"/>
      <c r="AY584" s="630"/>
    </row>
    <row r="585" spans="32:93" ht="19.5" customHeight="1">
      <c r="AF585" s="588" t="s">
        <v>2185</v>
      </c>
      <c r="AG585" s="586"/>
      <c r="AH585" s="586"/>
      <c r="AI585" s="586"/>
      <c r="AJ585" s="586"/>
      <c r="AK585" s="586"/>
      <c r="AL585" s="586"/>
      <c r="AM585" s="586"/>
      <c r="AN585" s="586"/>
      <c r="AO585" s="586"/>
      <c r="AP585" s="586"/>
      <c r="AQ585" s="586"/>
      <c r="AR585" s="586"/>
      <c r="AS585" s="362"/>
      <c r="AT585" s="362"/>
      <c r="AU585" s="362"/>
      <c r="AV585" s="362"/>
      <c r="AW585" s="362"/>
      <c r="AX585" s="363"/>
      <c r="AY585" s="630"/>
    </row>
    <row r="586" spans="32:93" ht="19.5" customHeight="1">
      <c r="AF586" s="588" t="s">
        <v>2158</v>
      </c>
      <c r="AG586" s="586"/>
      <c r="AH586" s="586"/>
      <c r="AI586" s="586"/>
      <c r="AJ586" s="586"/>
      <c r="AK586" s="586"/>
      <c r="AL586" s="586"/>
      <c r="AM586" s="586"/>
      <c r="AN586" s="586"/>
      <c r="AO586" s="586"/>
      <c r="AP586" s="586"/>
      <c r="AQ586" s="586"/>
      <c r="AR586" s="586"/>
      <c r="AS586" s="362"/>
      <c r="AT586" s="362"/>
      <c r="AU586" s="362"/>
      <c r="AV586" s="362"/>
      <c r="AW586" s="362"/>
      <c r="AX586" s="363"/>
      <c r="AY586" s="630"/>
    </row>
    <row r="587" spans="32:93" ht="19.5" customHeight="1">
      <c r="AF587" s="589" t="s">
        <v>2120</v>
      </c>
      <c r="AG587" s="590">
        <v>1</v>
      </c>
      <c r="AH587" s="586"/>
      <c r="AI587" s="586"/>
      <c r="AJ587" s="586"/>
      <c r="AK587" s="586"/>
      <c r="AL587" s="586"/>
      <c r="AM587" s="586"/>
      <c r="AN587" s="586"/>
      <c r="AO587" s="586"/>
      <c r="AP587" s="586"/>
      <c r="AQ587" s="586"/>
      <c r="AR587" s="586"/>
      <c r="AS587" s="362"/>
      <c r="AT587" s="362"/>
      <c r="AU587" s="362"/>
      <c r="AV587" s="362"/>
      <c r="AW587" s="362"/>
      <c r="AX587" s="363"/>
      <c r="AY587" s="630"/>
    </row>
    <row r="588" spans="32:93" ht="19.5" customHeight="1">
      <c r="AF588" s="589" t="s">
        <v>2121</v>
      </c>
      <c r="AG588" s="590">
        <v>2</v>
      </c>
      <c r="AH588" s="586"/>
      <c r="AI588" s="586"/>
      <c r="AJ588" s="586"/>
      <c r="AK588" s="586"/>
      <c r="AL588" s="586"/>
      <c r="AM588" s="586"/>
      <c r="AN588" s="586"/>
      <c r="AO588" s="586"/>
      <c r="AP588" s="586"/>
      <c r="AQ588" s="586"/>
      <c r="AR588" s="586"/>
      <c r="AS588" s="362"/>
      <c r="AT588" s="362"/>
      <c r="AU588" s="362"/>
      <c r="AV588" s="362"/>
      <c r="AW588" s="362"/>
      <c r="AX588" s="363"/>
      <c r="AY588" s="630"/>
    </row>
    <row r="589" spans="32:93" ht="19.5" customHeight="1">
      <c r="AF589" s="589" t="s">
        <v>2122</v>
      </c>
      <c r="AG589" s="590">
        <v>3</v>
      </c>
      <c r="AH589" s="586"/>
      <c r="AI589" s="586"/>
      <c r="AJ589" s="586"/>
      <c r="AK589" s="586"/>
      <c r="AL589" s="586"/>
      <c r="AM589" s="586"/>
      <c r="AN589" s="586"/>
      <c r="AO589" s="586"/>
      <c r="AP589" s="586"/>
      <c r="AQ589" s="586"/>
      <c r="AR589" s="586"/>
      <c r="AS589" s="362"/>
      <c r="AT589" s="362"/>
      <c r="AU589" s="362"/>
      <c r="AV589" s="362"/>
      <c r="AW589" s="362"/>
      <c r="AX589" s="363"/>
      <c r="AY589" s="630"/>
    </row>
    <row r="590" spans="32:93" ht="19.5" customHeight="1">
      <c r="AF590" s="589" t="s">
        <v>2123</v>
      </c>
      <c r="AG590" s="590">
        <v>4</v>
      </c>
      <c r="AH590" s="586"/>
      <c r="AI590" s="586"/>
      <c r="AJ590" s="586"/>
      <c r="AK590" s="586"/>
      <c r="AL590" s="586"/>
      <c r="AM590" s="586"/>
      <c r="AN590" s="586"/>
      <c r="AO590" s="586"/>
      <c r="AP590" s="586"/>
      <c r="AQ590" s="586"/>
      <c r="AR590" s="586"/>
      <c r="AS590" s="362"/>
      <c r="AT590" s="362"/>
      <c r="AU590" s="362"/>
      <c r="AV590" s="362"/>
      <c r="AW590" s="362"/>
      <c r="AX590" s="363"/>
      <c r="AY590" s="630"/>
    </row>
    <row r="591" spans="32:93" ht="19.5" customHeight="1">
      <c r="AF591" s="589" t="s">
        <v>2124</v>
      </c>
      <c r="AG591" s="590">
        <v>5</v>
      </c>
      <c r="AH591" s="586"/>
      <c r="AI591" s="586"/>
      <c r="AJ591" s="586"/>
      <c r="AK591" s="586"/>
      <c r="AL591" s="586"/>
      <c r="AM591" s="586"/>
      <c r="AN591" s="586"/>
      <c r="AO591" s="586"/>
      <c r="AP591" s="586"/>
      <c r="AQ591" s="586"/>
      <c r="AR591" s="586"/>
      <c r="AS591" s="362"/>
      <c r="AT591" s="362"/>
      <c r="AU591" s="362"/>
      <c r="AV591" s="362"/>
      <c r="AW591" s="362"/>
      <c r="AX591" s="363"/>
      <c r="AY591" s="630"/>
    </row>
    <row r="592" spans="32:93" ht="19.5" customHeight="1">
      <c r="AF592" s="589" t="s">
        <v>2125</v>
      </c>
      <c r="AG592" s="590">
        <v>6</v>
      </c>
      <c r="AH592" s="586"/>
      <c r="AI592" s="586"/>
      <c r="AJ592" s="586"/>
      <c r="AK592" s="586"/>
      <c r="AL592" s="586"/>
      <c r="AM592" s="586"/>
      <c r="AN592" s="586"/>
      <c r="AO592" s="586"/>
      <c r="AP592" s="586"/>
      <c r="AQ592" s="586"/>
      <c r="AR592" s="586"/>
      <c r="AS592" s="362"/>
      <c r="AT592" s="362"/>
      <c r="AU592" s="362"/>
      <c r="AV592" s="362"/>
      <c r="AW592" s="362"/>
      <c r="AX592" s="363"/>
      <c r="AY592" s="630"/>
    </row>
    <row r="593" spans="32:51" ht="19.5" customHeight="1">
      <c r="AF593" s="592" t="s">
        <v>2067</v>
      </c>
      <c r="AG593" s="593" t="s">
        <v>2126</v>
      </c>
      <c r="AH593" s="586"/>
      <c r="AI593" s="586"/>
      <c r="AJ593" s="586"/>
      <c r="AK593" s="586"/>
      <c r="AL593" s="586"/>
      <c r="AM593" s="586"/>
      <c r="AN593" s="586"/>
      <c r="AO593" s="586"/>
      <c r="AP593" s="586"/>
      <c r="AQ593" s="586"/>
      <c r="AR593" s="586"/>
      <c r="AS593" s="362"/>
      <c r="AT593" s="362"/>
      <c r="AU593" s="362"/>
      <c r="AV593" s="362"/>
      <c r="AW593" s="362"/>
      <c r="AX593" s="363"/>
      <c r="AY593" s="630"/>
    </row>
    <row r="594" spans="32:51" ht="19.5" customHeight="1">
      <c r="AF594" s="592" t="s">
        <v>2159</v>
      </c>
      <c r="AG594" s="591"/>
      <c r="AH594" s="586"/>
      <c r="AI594" s="586"/>
      <c r="AJ594" s="586"/>
      <c r="AK594" s="586"/>
      <c r="AL594" s="586"/>
      <c r="AM594" s="586"/>
      <c r="AN594" s="586"/>
      <c r="AO594" s="586"/>
      <c r="AP594" s="586"/>
      <c r="AQ594" s="586"/>
      <c r="AR594" s="586"/>
      <c r="AS594" s="362"/>
      <c r="AT594" s="362"/>
      <c r="AU594" s="362"/>
      <c r="AV594" s="362"/>
      <c r="AW594" s="362"/>
      <c r="AX594" s="363"/>
      <c r="AY594" s="630"/>
    </row>
    <row r="595" spans="32:51" ht="19.5" customHeight="1">
      <c r="AF595" s="592" t="s">
        <v>2083</v>
      </c>
      <c r="AG595" s="591"/>
      <c r="AH595" s="586"/>
      <c r="AI595" s="586"/>
      <c r="AJ595" s="586"/>
      <c r="AK595" s="586"/>
      <c r="AL595" s="586"/>
      <c r="AM595" s="586"/>
      <c r="AN595" s="586"/>
      <c r="AO595" s="586"/>
      <c r="AP595" s="586"/>
      <c r="AQ595" s="586"/>
      <c r="AR595" s="586"/>
      <c r="AS595" s="362"/>
      <c r="AT595" s="362"/>
      <c r="AU595" s="362"/>
      <c r="AV595" s="362"/>
      <c r="AW595" s="362"/>
      <c r="AX595" s="363"/>
      <c r="AY595" s="630"/>
    </row>
    <row r="596" spans="32:51" ht="19.5" customHeight="1">
      <c r="AF596" s="594" t="s">
        <v>2127</v>
      </c>
      <c r="AG596" s="591"/>
      <c r="AH596" s="586"/>
      <c r="AI596" s="586"/>
      <c r="AJ596" s="586"/>
      <c r="AK596" s="586"/>
      <c r="AL596" s="586"/>
      <c r="AM596" s="586"/>
      <c r="AN596" s="586"/>
      <c r="AO596" s="586"/>
      <c r="AP596" s="586"/>
      <c r="AQ596" s="586"/>
      <c r="AR596" s="586"/>
      <c r="AS596" s="362"/>
      <c r="AT596" s="362"/>
      <c r="AU596" s="362"/>
      <c r="AV596" s="362"/>
      <c r="AW596" s="362"/>
      <c r="AX596" s="363"/>
      <c r="AY596" s="630"/>
    </row>
    <row r="597" spans="32:51" ht="19.5" customHeight="1">
      <c r="AF597" s="595" t="s">
        <v>2128</v>
      </c>
      <c r="AG597" s="632" t="s">
        <v>2129</v>
      </c>
      <c r="AH597" s="586"/>
      <c r="AI597" s="586"/>
      <c r="AJ597" s="586"/>
      <c r="AK597" s="586"/>
      <c r="AL597" s="586"/>
      <c r="AM597" s="586"/>
      <c r="AN597" s="586"/>
      <c r="AO597" s="586"/>
      <c r="AP597" s="586"/>
      <c r="AQ597" s="586"/>
      <c r="AR597" s="586"/>
      <c r="AS597" s="362"/>
      <c r="AT597" s="362"/>
      <c r="AU597" s="362"/>
      <c r="AV597" s="362"/>
      <c r="AW597" s="362"/>
      <c r="AX597" s="363"/>
      <c r="AY597" s="630"/>
    </row>
    <row r="598" spans="32:51" ht="19.5" customHeight="1">
      <c r="AF598" s="592" t="s">
        <v>2144</v>
      </c>
      <c r="AG598" s="601"/>
      <c r="AH598" s="586"/>
      <c r="AI598" s="586"/>
      <c r="AJ598" s="586"/>
      <c r="AK598" s="586"/>
      <c r="AL598" s="586"/>
      <c r="AM598" s="586"/>
      <c r="AN598" s="586"/>
      <c r="AO598" s="586"/>
      <c r="AP598" s="586"/>
      <c r="AQ598" s="586"/>
      <c r="AR598" s="586"/>
      <c r="AS598" s="362"/>
      <c r="AT598" s="362"/>
      <c r="AU598" s="362"/>
      <c r="AV598" s="362"/>
      <c r="AW598" s="362"/>
      <c r="AX598" s="363"/>
      <c r="AY598" s="630"/>
    </row>
    <row r="599" spans="32:51" ht="19.5" customHeight="1">
      <c r="AF599" s="588" t="s">
        <v>2153</v>
      </c>
      <c r="AG599" s="586"/>
      <c r="AH599" s="586"/>
      <c r="AI599" s="586"/>
      <c r="AJ599" s="586"/>
      <c r="AK599" s="586"/>
      <c r="AL599" s="586"/>
      <c r="AM599" s="586"/>
      <c r="AN599" s="586"/>
      <c r="AO599" s="586"/>
      <c r="AP599" s="586"/>
      <c r="AQ599" s="586"/>
      <c r="AR599" s="586"/>
      <c r="AS599" s="362"/>
      <c r="AT599" s="362"/>
      <c r="AU599" s="362"/>
      <c r="AV599" s="362"/>
      <c r="AW599" s="362"/>
      <c r="AX599" s="363"/>
      <c r="AY599" s="630"/>
    </row>
    <row r="600" spans="32:51" ht="19.5" customHeight="1">
      <c r="AF600" s="588"/>
      <c r="AG600" s="586"/>
      <c r="AH600" s="586"/>
      <c r="AI600" s="586"/>
      <c r="AJ600" s="586"/>
      <c r="AK600" s="586"/>
      <c r="AL600" s="586"/>
      <c r="AM600" s="586"/>
      <c r="AN600" s="586"/>
      <c r="AO600" s="586"/>
      <c r="AP600" s="586"/>
      <c r="AQ600" s="586"/>
      <c r="AR600" s="586"/>
      <c r="AS600" s="362"/>
      <c r="AT600" s="362"/>
      <c r="AU600" s="362"/>
      <c r="AV600" s="362"/>
      <c r="AW600" s="362"/>
      <c r="AX600" s="363"/>
      <c r="AY600" s="630"/>
    </row>
    <row r="601" spans="32:51" ht="19.5" customHeight="1">
      <c r="AF601" s="588" t="s">
        <v>2089</v>
      </c>
      <c r="AG601" s="586"/>
      <c r="AH601" s="586"/>
      <c r="AI601" s="586"/>
      <c r="AJ601" s="586"/>
      <c r="AK601" s="586"/>
      <c r="AL601" s="586"/>
      <c r="AM601" s="586"/>
      <c r="AN601" s="586"/>
      <c r="AO601" s="586"/>
      <c r="AP601" s="586"/>
      <c r="AQ601" s="586"/>
      <c r="AR601" s="586"/>
      <c r="AS601" s="362"/>
      <c r="AT601" s="362"/>
      <c r="AU601" s="362"/>
      <c r="AV601" s="362"/>
      <c r="AW601" s="362"/>
      <c r="AX601" s="363"/>
      <c r="AY601" s="630"/>
    </row>
    <row r="602" spans="32:51" ht="19.5" customHeight="1">
      <c r="AF602" s="585" t="s">
        <v>2186</v>
      </c>
      <c r="AG602" s="586"/>
      <c r="AH602" s="586"/>
      <c r="AI602" s="586"/>
      <c r="AJ602" s="586"/>
      <c r="AK602" s="586"/>
      <c r="AL602" s="586"/>
      <c r="AM602" s="586"/>
      <c r="AN602" s="586"/>
      <c r="AO602" s="586"/>
      <c r="AP602" s="586"/>
      <c r="AQ602" s="586"/>
      <c r="AR602" s="586"/>
      <c r="AS602" s="362"/>
      <c r="AT602" s="362"/>
      <c r="AU602" s="362"/>
      <c r="AV602" s="362"/>
      <c r="AW602" s="362"/>
      <c r="AX602" s="363"/>
      <c r="AY602" s="630"/>
    </row>
    <row r="603" spans="32:51" ht="19.5" customHeight="1">
      <c r="AF603" s="588" t="s">
        <v>2073</v>
      </c>
      <c r="AG603" s="586"/>
      <c r="AH603" s="586"/>
      <c r="AI603" s="586"/>
      <c r="AJ603" s="586"/>
      <c r="AK603" s="586"/>
      <c r="AL603" s="586"/>
      <c r="AM603" s="586"/>
      <c r="AN603" s="586"/>
      <c r="AO603" s="586"/>
      <c r="AP603" s="586"/>
      <c r="AQ603" s="586"/>
      <c r="AR603" s="586"/>
      <c r="AS603" s="362"/>
      <c r="AT603" s="362"/>
      <c r="AU603" s="362"/>
      <c r="AV603" s="362"/>
      <c r="AW603" s="362"/>
      <c r="AX603" s="363"/>
      <c r="AY603" s="630"/>
    </row>
    <row r="604" spans="32:51" ht="19.5" customHeight="1">
      <c r="AF604" s="597" t="s">
        <v>2130</v>
      </c>
      <c r="AG604" s="586"/>
      <c r="AH604" s="586"/>
      <c r="AI604" s="586"/>
      <c r="AJ604" s="586"/>
      <c r="AK604" s="586"/>
      <c r="AL604" s="586"/>
      <c r="AM604" s="586"/>
      <c r="AN604" s="586"/>
      <c r="AO604" s="586"/>
      <c r="AP604" s="586"/>
      <c r="AQ604" s="586"/>
      <c r="AR604" s="586"/>
      <c r="AS604" s="362"/>
      <c r="AT604" s="362"/>
      <c r="AU604" s="362"/>
      <c r="AV604" s="362"/>
      <c r="AW604" s="362"/>
      <c r="AX604" s="363"/>
      <c r="AY604" s="630"/>
    </row>
    <row r="605" spans="32:51" ht="19.5" customHeight="1">
      <c r="AF605" s="597" t="s">
        <v>2131</v>
      </c>
      <c r="AG605" s="586"/>
      <c r="AH605" s="586"/>
      <c r="AI605" s="586"/>
      <c r="AJ605" s="586"/>
      <c r="AK605" s="586"/>
      <c r="AL605" s="586"/>
      <c r="AM605" s="586"/>
      <c r="AN605" s="586"/>
      <c r="AO605" s="586"/>
      <c r="AP605" s="586"/>
      <c r="AQ605" s="586"/>
      <c r="AR605" s="586"/>
      <c r="AS605" s="362"/>
      <c r="AT605" s="362"/>
      <c r="AU605" s="362"/>
      <c r="AV605" s="362"/>
      <c r="AW605" s="362"/>
      <c r="AX605" s="363"/>
      <c r="AY605" s="630"/>
    </row>
    <row r="606" spans="32:51" ht="19.5" customHeight="1">
      <c r="AF606" s="597" t="s">
        <v>2132</v>
      </c>
      <c r="AG606" s="586"/>
      <c r="AH606" s="586"/>
      <c r="AI606" s="586"/>
      <c r="AJ606" s="586"/>
      <c r="AK606" s="586"/>
      <c r="AL606" s="586"/>
      <c r="AM606" s="586"/>
      <c r="AN606" s="586"/>
      <c r="AO606" s="586"/>
      <c r="AP606" s="586"/>
      <c r="AQ606" s="586"/>
      <c r="AR606" s="586"/>
      <c r="AS606" s="362"/>
      <c r="AT606" s="362"/>
      <c r="AU606" s="362"/>
      <c r="AV606" s="362"/>
      <c r="AW606" s="362"/>
      <c r="AX606" s="363"/>
      <c r="AY606" s="630"/>
    </row>
    <row r="607" spans="32:51" ht="19.5" customHeight="1">
      <c r="AF607" s="597" t="s">
        <v>2187</v>
      </c>
      <c r="AG607" s="586"/>
      <c r="AH607" s="586"/>
      <c r="AI607" s="586"/>
      <c r="AJ607" s="586"/>
      <c r="AK607" s="586"/>
      <c r="AL607" s="586"/>
      <c r="AM607" s="586"/>
      <c r="AN607" s="586"/>
      <c r="AO607" s="586"/>
      <c r="AP607" s="586"/>
      <c r="AQ607" s="586"/>
      <c r="AR607" s="586"/>
      <c r="AS607" s="362"/>
      <c r="AT607" s="362"/>
      <c r="AU607" s="362"/>
      <c r="AV607" s="362"/>
      <c r="AW607" s="362"/>
      <c r="AX607" s="363"/>
      <c r="AY607" s="630"/>
    </row>
    <row r="608" spans="32:51" ht="19.5" customHeight="1">
      <c r="AF608" s="597" t="s">
        <v>2075</v>
      </c>
      <c r="AG608" s="586"/>
      <c r="AH608" s="586"/>
      <c r="AI608" s="586"/>
      <c r="AJ608" s="586"/>
      <c r="AK608" s="586"/>
      <c r="AL608" s="586"/>
      <c r="AM608" s="586"/>
      <c r="AN608" s="586"/>
      <c r="AO608" s="586"/>
      <c r="AP608" s="586"/>
      <c r="AQ608" s="586"/>
      <c r="AR608" s="586"/>
      <c r="AS608" s="362"/>
      <c r="AT608" s="362"/>
      <c r="AU608" s="362"/>
      <c r="AV608" s="362"/>
      <c r="AW608" s="362"/>
      <c r="AX608" s="363"/>
      <c r="AY608" s="630"/>
    </row>
    <row r="609" spans="12:94" ht="19.5" customHeight="1">
      <c r="AF609" s="597" t="s">
        <v>2133</v>
      </c>
      <c r="AG609" s="586"/>
      <c r="AH609" s="586"/>
      <c r="AI609" s="586"/>
      <c r="AJ609" s="586"/>
      <c r="AK609" s="586"/>
      <c r="AL609" s="586"/>
      <c r="AM609" s="586"/>
      <c r="AN609" s="586"/>
      <c r="AO609" s="586"/>
      <c r="AP609" s="586"/>
      <c r="AQ609" s="586"/>
      <c r="AR609" s="586"/>
      <c r="AS609" s="362"/>
      <c r="AT609" s="362"/>
      <c r="AU609" s="362"/>
      <c r="AV609" s="362"/>
      <c r="AW609" s="362"/>
      <c r="AX609" s="363"/>
      <c r="AY609" s="630"/>
    </row>
    <row r="610" spans="12:94" ht="19.5" customHeight="1">
      <c r="AF610" s="597" t="s">
        <v>2134</v>
      </c>
      <c r="AG610" s="586"/>
      <c r="AH610" s="586"/>
      <c r="AI610" s="586"/>
      <c r="AJ610" s="586"/>
      <c r="AK610" s="586"/>
      <c r="AL610" s="586"/>
      <c r="AM610" s="586"/>
      <c r="AN610" s="586"/>
      <c r="AO610" s="586"/>
      <c r="AP610" s="586"/>
      <c r="AQ610" s="586"/>
      <c r="AR610" s="586"/>
      <c r="AS610" s="362"/>
      <c r="AT610" s="362"/>
      <c r="AU610" s="362"/>
      <c r="AV610" s="362"/>
      <c r="AW610" s="362"/>
      <c r="AX610" s="363"/>
      <c r="AY610" s="630"/>
    </row>
    <row r="611" spans="12:94" ht="20.100000000000001" customHeight="1">
      <c r="AF611" s="598" t="s">
        <v>2078</v>
      </c>
      <c r="AG611" s="599"/>
      <c r="AH611" s="599"/>
      <c r="AI611" s="599"/>
      <c r="AJ611" s="599"/>
      <c r="AK611" s="599"/>
      <c r="AL611" s="599"/>
      <c r="AM611" s="599"/>
      <c r="AN611" s="599"/>
      <c r="AO611" s="599"/>
      <c r="AP611" s="599"/>
      <c r="AQ611" s="599"/>
      <c r="AR611" s="599"/>
      <c r="AS611" s="365"/>
      <c r="AT611" s="365"/>
      <c r="AU611" s="365"/>
      <c r="AV611" s="365"/>
      <c r="AW611" s="365"/>
      <c r="AX611" s="366"/>
      <c r="AY611" s="630"/>
    </row>
    <row r="612" spans="12:94" ht="20.100000000000001" customHeight="1">
      <c r="AF612" s="581"/>
    </row>
    <row r="613" spans="12:94" ht="20.100000000000001" customHeight="1">
      <c r="AF613" s="141" t="s">
        <v>1132</v>
      </c>
      <c r="BQ613" s="235" t="s">
        <v>2190</v>
      </c>
    </row>
    <row r="614" spans="12:94" ht="20.100000000000001" customHeight="1" thickBot="1">
      <c r="AF614" s="168" t="s">
        <v>1099</v>
      </c>
      <c r="AG614" s="168"/>
      <c r="AH614" s="169" t="s">
        <v>620</v>
      </c>
      <c r="AI614" s="135" t="s">
        <v>898</v>
      </c>
      <c r="AJ614" s="135"/>
      <c r="AK614" s="181">
        <v>2021</v>
      </c>
      <c r="AL614" s="135">
        <v>2022</v>
      </c>
      <c r="AM614" s="135">
        <f>AL614+1</f>
        <v>2023</v>
      </c>
      <c r="AN614" s="135">
        <f t="shared" ref="AN614" si="545">AM614+1</f>
        <v>2024</v>
      </c>
      <c r="AO614" s="135">
        <f t="shared" ref="AO614" si="546">AN614+1</f>
        <v>2025</v>
      </c>
      <c r="AP614" s="135">
        <f t="shared" ref="AP614" si="547">AO614+1</f>
        <v>2026</v>
      </c>
      <c r="AQ614" s="135">
        <f t="shared" ref="AQ614" si="548">AP614+1</f>
        <v>2027</v>
      </c>
      <c r="AR614" s="135">
        <f t="shared" ref="AR614" si="549">AQ614+1</f>
        <v>2028</v>
      </c>
      <c r="AS614" s="135">
        <f t="shared" ref="AS614" si="550">AR614+1</f>
        <v>2029</v>
      </c>
      <c r="AT614" s="135">
        <f t="shared" ref="AT614" si="551">AS614+1</f>
        <v>2030</v>
      </c>
      <c r="AU614" s="135">
        <f t="shared" ref="AU614" si="552">AT614+1</f>
        <v>2031</v>
      </c>
      <c r="AV614" s="135">
        <f t="shared" ref="AV614" si="553">AU614+1</f>
        <v>2032</v>
      </c>
      <c r="AW614" s="135">
        <f t="shared" ref="AW614" si="554">AV614+1</f>
        <v>2033</v>
      </c>
      <c r="AX614" s="135">
        <f t="shared" ref="AX614" si="555">AW614+1</f>
        <v>2034</v>
      </c>
      <c r="AY614" s="135">
        <f t="shared" ref="AY614" si="556">AX614+1</f>
        <v>2035</v>
      </c>
      <c r="AZ614" s="135">
        <f t="shared" ref="AZ614" si="557">AY614+1</f>
        <v>2036</v>
      </c>
      <c r="BA614" s="135">
        <f t="shared" ref="BA614" si="558">AZ614+1</f>
        <v>2037</v>
      </c>
      <c r="BB614" s="135">
        <f t="shared" ref="BB614" si="559">BA614+1</f>
        <v>2038</v>
      </c>
      <c r="BC614" s="135">
        <f t="shared" ref="BC614" si="560">BB614+1</f>
        <v>2039</v>
      </c>
      <c r="BD614" s="135">
        <f t="shared" ref="BD614" si="561">BC614+1</f>
        <v>2040</v>
      </c>
      <c r="BE614" s="135">
        <f t="shared" ref="BE614" si="562">BD614+1</f>
        <v>2041</v>
      </c>
      <c r="BF614" s="135">
        <f t="shared" ref="BF614" si="563">BE614+1</f>
        <v>2042</v>
      </c>
      <c r="BG614" s="135">
        <f t="shared" ref="BG614" si="564">BF614+1</f>
        <v>2043</v>
      </c>
      <c r="BH614" s="135">
        <f t="shared" ref="BH614" si="565">BG614+1</f>
        <v>2044</v>
      </c>
      <c r="BI614" s="135">
        <f t="shared" ref="BI614" si="566">BH614+1</f>
        <v>2045</v>
      </c>
      <c r="BJ614" s="135">
        <f t="shared" ref="BJ614" si="567">BI614+1</f>
        <v>2046</v>
      </c>
      <c r="BK614" s="135">
        <f t="shared" ref="BK614" si="568">BJ614+1</f>
        <v>2047</v>
      </c>
      <c r="BL614" s="135">
        <f t="shared" ref="BL614" si="569">BK614+1</f>
        <v>2048</v>
      </c>
      <c r="BM614" s="135">
        <f t="shared" ref="BM614" si="570">BL614+1</f>
        <v>2049</v>
      </c>
      <c r="BN614" s="135">
        <f t="shared" ref="BN614" si="571">BM614+1</f>
        <v>2050</v>
      </c>
      <c r="BQ614" s="82" t="s">
        <v>2206</v>
      </c>
      <c r="CL614" s="386" t="s">
        <v>2091</v>
      </c>
      <c r="CM614" s="6" t="s">
        <v>2092</v>
      </c>
      <c r="CN614" s="6"/>
      <c r="CO614" s="245" t="s">
        <v>1224</v>
      </c>
      <c r="CP614" s="6" t="s">
        <v>2172</v>
      </c>
    </row>
    <row r="615" spans="12:94" ht="20.100000000000001" customHeight="1">
      <c r="AF615" s="1559" t="str">
        <f>INDEX('MENU OPTIONS'!B31:B36,A124,1)</f>
        <v>Health</v>
      </c>
      <c r="AG615" s="137" t="s">
        <v>578</v>
      </c>
      <c r="AH615" s="137" t="s">
        <v>1122</v>
      </c>
      <c r="AI615" s="196">
        <f>INDEX('DEFAULT DATA'!$AHX$9:$AJS$41,START!$C$3,(1+(($A$124-1)*8)))</f>
        <v>420</v>
      </c>
      <c r="AJ615" s="165"/>
      <c r="AK615" s="178">
        <v>0</v>
      </c>
      <c r="AL615" s="157">
        <f t="shared" ref="AL615:BN615" si="572">IF(AND(AL$614&gt;($I$124+2020),AL$614&lt;($J$124+2022)),AK615+(AL$5*$C$124*$AI$615*((100-$E$124)/100)*((100-$F$124)/100)/($J$124-$I$124+1)/1000000),AK615)</f>
        <v>0</v>
      </c>
      <c r="AM615" s="157">
        <f t="shared" si="572"/>
        <v>0</v>
      </c>
      <c r="AN615" s="157">
        <f t="shared" si="572"/>
        <v>0</v>
      </c>
      <c r="AO615" s="157">
        <f t="shared" si="572"/>
        <v>0</v>
      </c>
      <c r="AP615" s="157">
        <f t="shared" si="572"/>
        <v>0</v>
      </c>
      <c r="AQ615" s="157">
        <f t="shared" si="572"/>
        <v>0</v>
      </c>
      <c r="AR615" s="157">
        <f t="shared" si="572"/>
        <v>0</v>
      </c>
      <c r="AS615" s="157">
        <f t="shared" si="572"/>
        <v>0</v>
      </c>
      <c r="AT615" s="157">
        <f t="shared" si="572"/>
        <v>0</v>
      </c>
      <c r="AU615" s="157">
        <f t="shared" si="572"/>
        <v>0</v>
      </c>
      <c r="AV615" s="157">
        <f t="shared" si="572"/>
        <v>0</v>
      </c>
      <c r="AW615" s="157">
        <f t="shared" si="572"/>
        <v>0</v>
      </c>
      <c r="AX615" s="157">
        <f t="shared" si="572"/>
        <v>0</v>
      </c>
      <c r="AY615" s="157">
        <f t="shared" si="572"/>
        <v>0</v>
      </c>
      <c r="AZ615" s="157">
        <f t="shared" si="572"/>
        <v>0</v>
      </c>
      <c r="BA615" s="157">
        <f t="shared" si="572"/>
        <v>0</v>
      </c>
      <c r="BB615" s="157">
        <f t="shared" si="572"/>
        <v>0</v>
      </c>
      <c r="BC615" s="157">
        <f t="shared" si="572"/>
        <v>0</v>
      </c>
      <c r="BD615" s="157">
        <f t="shared" si="572"/>
        <v>0</v>
      </c>
      <c r="BE615" s="157">
        <f t="shared" si="572"/>
        <v>0</v>
      </c>
      <c r="BF615" s="157">
        <f t="shared" si="572"/>
        <v>0</v>
      </c>
      <c r="BG615" s="157">
        <f t="shared" si="572"/>
        <v>0</v>
      </c>
      <c r="BH615" s="157">
        <f t="shared" si="572"/>
        <v>0</v>
      </c>
      <c r="BI615" s="157">
        <f t="shared" si="572"/>
        <v>0</v>
      </c>
      <c r="BJ615" s="157">
        <f t="shared" si="572"/>
        <v>0</v>
      </c>
      <c r="BK615" s="157">
        <f t="shared" si="572"/>
        <v>0</v>
      </c>
      <c r="BL615" s="157">
        <f t="shared" si="572"/>
        <v>0</v>
      </c>
      <c r="BM615" s="157">
        <f t="shared" si="572"/>
        <v>0</v>
      </c>
      <c r="BN615" s="158">
        <f t="shared" si="572"/>
        <v>0</v>
      </c>
      <c r="BP615" s="367" t="s">
        <v>578</v>
      </c>
      <c r="BQ615" s="1494" t="str">
        <f>CONCATENATE("GHG_",BP615,"a = GHG_",BP615,"a-1 + (C123 * ",CL615," * E123 / 100) + (F123 / 100 * ",CM615,")) * ",CO615," / (",CP615,") / 1000000")</f>
        <v>GHG_Electricitya = GHG_Electricitya-1 + (C123 * BUI_COL (307 + ((A123 - 1) * 8) * E123 / 100) + (F123 / 100 * BUI_COL (307 + ((A123 - 1) * 8) * (100 - E123) / 100)) * GRID_ELECTRICITY_emission_factora (from row4) / (J123-I123+1) / 1000000</v>
      </c>
      <c r="BR615" s="1494"/>
      <c r="BS615" s="1494"/>
      <c r="BT615" s="1494"/>
      <c r="BU615" s="1494"/>
      <c r="BV615" s="1494"/>
      <c r="BW615" s="1494"/>
      <c r="BX615" s="1494"/>
      <c r="BY615" s="1494"/>
      <c r="BZ615" s="1494"/>
      <c r="CA615" s="1494"/>
      <c r="CB615" s="1494"/>
      <c r="CC615" s="1494"/>
      <c r="CD615" s="1494"/>
      <c r="CE615" s="1494"/>
      <c r="CF615" s="1494"/>
      <c r="CG615" s="1494"/>
      <c r="CH615" s="1494"/>
      <c r="CI615" s="1494"/>
      <c r="CJ615" s="1494"/>
      <c r="CK615" s="1494"/>
      <c r="CL615" s="576" t="s">
        <v>2126</v>
      </c>
      <c r="CM615" s="1540" t="s">
        <v>2188</v>
      </c>
      <c r="CN615" s="1541"/>
      <c r="CO615" s="579" t="s">
        <v>1507</v>
      </c>
      <c r="CP615" s="579" t="s">
        <v>2189</v>
      </c>
    </row>
    <row r="616" spans="12:94" ht="20.100000000000001" customHeight="1">
      <c r="AF616" s="1560"/>
      <c r="AG616" s="107" t="s">
        <v>862</v>
      </c>
      <c r="AH616" s="107">
        <f>INDEX('DEFAULT DATA'!$WD$9:$WJ$41,START!$C$3,1)</f>
        <v>202</v>
      </c>
      <c r="AI616" s="195">
        <f>INDEX('DEFAULT DATA'!$AHX$9:$AJS$41,START!$C$3,(2+(($A$124-1)*8)))</f>
        <v>32.409999999999997</v>
      </c>
      <c r="AJ616" s="115"/>
      <c r="AK616" s="180">
        <v>0</v>
      </c>
      <c r="AL616" s="123">
        <f t="shared" ref="AL616:BN616" si="573">IF(AND(AL$614&gt;($I$124+2020),AL$614&lt;($J$124+2022)),AK616+($AH$616*$C$124*$AI$616*((100-$E$124)*((100-$F$124)/100)/100)/($J$124-$I$124+1)/1000000),AK616)</f>
        <v>0</v>
      </c>
      <c r="AM616" s="123">
        <f t="shared" si="573"/>
        <v>0</v>
      </c>
      <c r="AN616" s="123">
        <f t="shared" si="573"/>
        <v>0</v>
      </c>
      <c r="AO616" s="123">
        <f t="shared" si="573"/>
        <v>0</v>
      </c>
      <c r="AP616" s="123">
        <f t="shared" si="573"/>
        <v>0</v>
      </c>
      <c r="AQ616" s="123">
        <f t="shared" si="573"/>
        <v>0</v>
      </c>
      <c r="AR616" s="123">
        <f t="shared" si="573"/>
        <v>0</v>
      </c>
      <c r="AS616" s="123">
        <f t="shared" si="573"/>
        <v>0</v>
      </c>
      <c r="AT616" s="123">
        <f t="shared" si="573"/>
        <v>0</v>
      </c>
      <c r="AU616" s="123">
        <f t="shared" si="573"/>
        <v>0</v>
      </c>
      <c r="AV616" s="123">
        <f t="shared" si="573"/>
        <v>0</v>
      </c>
      <c r="AW616" s="123">
        <f t="shared" si="573"/>
        <v>0</v>
      </c>
      <c r="AX616" s="123">
        <f t="shared" si="573"/>
        <v>0</v>
      </c>
      <c r="AY616" s="123">
        <f t="shared" si="573"/>
        <v>0</v>
      </c>
      <c r="AZ616" s="123">
        <f t="shared" si="573"/>
        <v>0</v>
      </c>
      <c r="BA616" s="123">
        <f t="shared" si="573"/>
        <v>0</v>
      </c>
      <c r="BB616" s="123">
        <f t="shared" si="573"/>
        <v>0</v>
      </c>
      <c r="BC616" s="123">
        <f t="shared" si="573"/>
        <v>0</v>
      </c>
      <c r="BD616" s="123">
        <f t="shared" si="573"/>
        <v>0</v>
      </c>
      <c r="BE616" s="123">
        <f t="shared" si="573"/>
        <v>0</v>
      </c>
      <c r="BF616" s="123">
        <f t="shared" si="573"/>
        <v>0</v>
      </c>
      <c r="BG616" s="123">
        <f t="shared" si="573"/>
        <v>0</v>
      </c>
      <c r="BH616" s="123">
        <f t="shared" si="573"/>
        <v>0</v>
      </c>
      <c r="BI616" s="123">
        <f t="shared" si="573"/>
        <v>0</v>
      </c>
      <c r="BJ616" s="123">
        <f t="shared" si="573"/>
        <v>0</v>
      </c>
      <c r="BK616" s="123">
        <f t="shared" si="573"/>
        <v>0</v>
      </c>
      <c r="BL616" s="123">
        <f t="shared" si="573"/>
        <v>0</v>
      </c>
      <c r="BM616" s="123">
        <f t="shared" si="573"/>
        <v>0</v>
      </c>
      <c r="BN616" s="159">
        <f t="shared" si="573"/>
        <v>0</v>
      </c>
      <c r="BP616" s="367" t="s">
        <v>862</v>
      </c>
      <c r="BQ616" s="1494" t="str">
        <f t="shared" ref="BQ616:BQ622" si="574">CONCATENATE("GHG_",BP616,"a = GHG_",BP616,"a-1 + (C123 * ",CL616," * E123 / 100) + (F123 / 100 * ",CM616,")) * ",CO616," / (",CP616,") / 1000000")</f>
        <v>GHG_Gasa = GHG_Gasa-1 + (C123 * BUI_COL (307 + ((A123 - 1) * 8) * E123 / 100) + (F123 / 100 * BUI_COL (307 + ((A123 - 1) * 8) * (100 - E123) / 100)) * BUI_COL1 / (J123-I123+1) / 1000000</v>
      </c>
      <c r="BR616" s="1494"/>
      <c r="BS616" s="1494"/>
      <c r="BT616" s="1494"/>
      <c r="BU616" s="1494"/>
      <c r="BV616" s="1494"/>
      <c r="BW616" s="1494"/>
      <c r="BX616" s="1494"/>
      <c r="BY616" s="1494"/>
      <c r="BZ616" s="1494"/>
      <c r="CA616" s="1494"/>
      <c r="CB616" s="1494"/>
      <c r="CC616" s="1494"/>
      <c r="CD616" s="1494"/>
      <c r="CE616" s="1494"/>
      <c r="CF616" s="1494"/>
      <c r="CG616" s="1494"/>
      <c r="CH616" s="1494"/>
      <c r="CI616" s="1494"/>
      <c r="CJ616" s="1494"/>
      <c r="CK616" s="1494"/>
      <c r="CL616" s="576" t="s">
        <v>2126</v>
      </c>
      <c r="CM616" s="1540" t="s">
        <v>2188</v>
      </c>
      <c r="CN616" s="1541"/>
      <c r="CO616" s="579" t="s">
        <v>886</v>
      </c>
      <c r="CP616" s="579" t="s">
        <v>2189</v>
      </c>
    </row>
    <row r="617" spans="12:94" ht="20.100000000000001" customHeight="1">
      <c r="AF617" s="1560"/>
      <c r="AG617" s="107" t="s">
        <v>863</v>
      </c>
      <c r="AH617" s="107">
        <f>INDEX('DEFAULT DATA'!$WD$9:$WJ$41,START!$C$3,2)</f>
        <v>267</v>
      </c>
      <c r="AI617" s="195">
        <f>INDEX('DEFAULT DATA'!$AHX$9:$AJS$41,START!$C$3,(3+(($A$124-1)*8)))</f>
        <v>27.01</v>
      </c>
      <c r="AJ617" s="115"/>
      <c r="AK617" s="180">
        <v>0</v>
      </c>
      <c r="AL617" s="123">
        <f t="shared" ref="AL617:BN617" si="575">IF(AND(AL$614&gt;($I$124+2020),AL$614&lt;($J$124+2022)),AK617+($AH$617*$C$124*$AI$617*((100-$E$124)*((100-$F$124)/100)/100)/($J$124-$I$124+1)/1000000),AK617)</f>
        <v>0</v>
      </c>
      <c r="AM617" s="123">
        <f t="shared" si="575"/>
        <v>0</v>
      </c>
      <c r="AN617" s="123">
        <f t="shared" si="575"/>
        <v>0</v>
      </c>
      <c r="AO617" s="123">
        <f t="shared" si="575"/>
        <v>0</v>
      </c>
      <c r="AP617" s="123">
        <f t="shared" si="575"/>
        <v>0</v>
      </c>
      <c r="AQ617" s="123">
        <f t="shared" si="575"/>
        <v>0</v>
      </c>
      <c r="AR617" s="123">
        <f t="shared" si="575"/>
        <v>0</v>
      </c>
      <c r="AS617" s="123">
        <f t="shared" si="575"/>
        <v>0</v>
      </c>
      <c r="AT617" s="123">
        <f t="shared" si="575"/>
        <v>0</v>
      </c>
      <c r="AU617" s="123">
        <f t="shared" si="575"/>
        <v>0</v>
      </c>
      <c r="AV617" s="123">
        <f t="shared" si="575"/>
        <v>0</v>
      </c>
      <c r="AW617" s="123">
        <f t="shared" si="575"/>
        <v>0</v>
      </c>
      <c r="AX617" s="123">
        <f t="shared" si="575"/>
        <v>0</v>
      </c>
      <c r="AY617" s="123">
        <f t="shared" si="575"/>
        <v>0</v>
      </c>
      <c r="AZ617" s="123">
        <f t="shared" si="575"/>
        <v>0</v>
      </c>
      <c r="BA617" s="123">
        <f t="shared" si="575"/>
        <v>0</v>
      </c>
      <c r="BB617" s="123">
        <f t="shared" si="575"/>
        <v>0</v>
      </c>
      <c r="BC617" s="123">
        <f t="shared" si="575"/>
        <v>0</v>
      </c>
      <c r="BD617" s="123">
        <f t="shared" si="575"/>
        <v>0</v>
      </c>
      <c r="BE617" s="123">
        <f t="shared" si="575"/>
        <v>0</v>
      </c>
      <c r="BF617" s="123">
        <f t="shared" si="575"/>
        <v>0</v>
      </c>
      <c r="BG617" s="123">
        <f t="shared" si="575"/>
        <v>0</v>
      </c>
      <c r="BH617" s="123">
        <f t="shared" si="575"/>
        <v>0</v>
      </c>
      <c r="BI617" s="123">
        <f t="shared" si="575"/>
        <v>0</v>
      </c>
      <c r="BJ617" s="123">
        <f t="shared" si="575"/>
        <v>0</v>
      </c>
      <c r="BK617" s="123">
        <f t="shared" si="575"/>
        <v>0</v>
      </c>
      <c r="BL617" s="123">
        <f t="shared" si="575"/>
        <v>0</v>
      </c>
      <c r="BM617" s="123">
        <f t="shared" si="575"/>
        <v>0</v>
      </c>
      <c r="BN617" s="159">
        <f t="shared" si="575"/>
        <v>0</v>
      </c>
      <c r="BP617" s="367" t="s">
        <v>863</v>
      </c>
      <c r="BQ617" s="1494" t="str">
        <f t="shared" si="574"/>
        <v>GHG_Oila = GHG_Oila-1 + (C123 * BUI_COL (307 + ((A123 - 1) * 8) * E123 / 100) + (F123 / 100 * BUI_COL (307 + ((A123 - 1) * 8) * (100 - E123) / 100)) * BUI_COL2 / (J123-I123+1) / 1000000</v>
      </c>
      <c r="BR617" s="1494"/>
      <c r="BS617" s="1494"/>
      <c r="BT617" s="1494"/>
      <c r="BU617" s="1494"/>
      <c r="BV617" s="1494"/>
      <c r="BW617" s="1494"/>
      <c r="BX617" s="1494"/>
      <c r="BY617" s="1494"/>
      <c r="BZ617" s="1494"/>
      <c r="CA617" s="1494"/>
      <c r="CB617" s="1494"/>
      <c r="CC617" s="1494"/>
      <c r="CD617" s="1494"/>
      <c r="CE617" s="1494"/>
      <c r="CF617" s="1494"/>
      <c r="CG617" s="1494"/>
      <c r="CH617" s="1494"/>
      <c r="CI617" s="1494"/>
      <c r="CJ617" s="1494"/>
      <c r="CK617" s="1494"/>
      <c r="CL617" s="576" t="s">
        <v>2126</v>
      </c>
      <c r="CM617" s="1540" t="s">
        <v>2188</v>
      </c>
      <c r="CN617" s="1541"/>
      <c r="CO617" s="579" t="s">
        <v>1247</v>
      </c>
      <c r="CP617" s="579" t="s">
        <v>2189</v>
      </c>
    </row>
    <row r="618" spans="12:94" ht="20.100000000000001" customHeight="1">
      <c r="L618" s="182"/>
      <c r="M618" s="182"/>
      <c r="N618" s="182"/>
      <c r="O618" s="182"/>
      <c r="P618" s="182"/>
      <c r="Q618" s="182"/>
      <c r="R618" s="182"/>
      <c r="S618" s="182"/>
      <c r="T618" s="182"/>
      <c r="U618" s="182"/>
      <c r="V618" s="182"/>
      <c r="W618" s="182"/>
      <c r="X618" s="182"/>
      <c r="Y618" s="182"/>
      <c r="Z618" s="182"/>
      <c r="AA618" s="182"/>
      <c r="AB618" s="182"/>
      <c r="AC618" s="182"/>
      <c r="AD618" s="182"/>
      <c r="AE618" s="182"/>
      <c r="AF618" s="1560"/>
      <c r="AG618" s="107" t="s">
        <v>864</v>
      </c>
      <c r="AH618" s="107">
        <f>INDEX('DEFAULT DATA'!$WD$9:$WJ$41,START!$C$3,3)</f>
        <v>354</v>
      </c>
      <c r="AI618" s="195">
        <f>INDEX('DEFAULT DATA'!$AHX$9:$AJS$41,START!$C$3,(4+(($A$124-1)*8)))</f>
        <v>0</v>
      </c>
      <c r="AJ618" s="115"/>
      <c r="AK618" s="180">
        <v>0</v>
      </c>
      <c r="AL618" s="123">
        <f t="shared" ref="AL618:BN618" si="576">IF(AND(AL$614&gt;($I$124+2020),AL$614&lt;($J$124+2022)),AK618+($AH$618*$C$124*$AI$618*((100-$E$124)*((100-$F$124)/100)/100)/($J$124-$I$124+1)/1000000),AK618)</f>
        <v>0</v>
      </c>
      <c r="AM618" s="123">
        <f t="shared" si="576"/>
        <v>0</v>
      </c>
      <c r="AN618" s="123">
        <f t="shared" si="576"/>
        <v>0</v>
      </c>
      <c r="AO618" s="123">
        <f t="shared" si="576"/>
        <v>0</v>
      </c>
      <c r="AP618" s="123">
        <f t="shared" si="576"/>
        <v>0</v>
      </c>
      <c r="AQ618" s="123">
        <f t="shared" si="576"/>
        <v>0</v>
      </c>
      <c r="AR618" s="123">
        <f t="shared" si="576"/>
        <v>0</v>
      </c>
      <c r="AS618" s="123">
        <f t="shared" si="576"/>
        <v>0</v>
      </c>
      <c r="AT618" s="123">
        <f t="shared" si="576"/>
        <v>0</v>
      </c>
      <c r="AU618" s="123">
        <f t="shared" si="576"/>
        <v>0</v>
      </c>
      <c r="AV618" s="123">
        <f t="shared" si="576"/>
        <v>0</v>
      </c>
      <c r="AW618" s="123">
        <f t="shared" si="576"/>
        <v>0</v>
      </c>
      <c r="AX618" s="123">
        <f t="shared" si="576"/>
        <v>0</v>
      </c>
      <c r="AY618" s="123">
        <f t="shared" si="576"/>
        <v>0</v>
      </c>
      <c r="AZ618" s="123">
        <f t="shared" si="576"/>
        <v>0</v>
      </c>
      <c r="BA618" s="123">
        <f t="shared" si="576"/>
        <v>0</v>
      </c>
      <c r="BB618" s="123">
        <f t="shared" si="576"/>
        <v>0</v>
      </c>
      <c r="BC618" s="123">
        <f t="shared" si="576"/>
        <v>0</v>
      </c>
      <c r="BD618" s="123">
        <f t="shared" si="576"/>
        <v>0</v>
      </c>
      <c r="BE618" s="123">
        <f t="shared" si="576"/>
        <v>0</v>
      </c>
      <c r="BF618" s="123">
        <f t="shared" si="576"/>
        <v>0</v>
      </c>
      <c r="BG618" s="123">
        <f t="shared" si="576"/>
        <v>0</v>
      </c>
      <c r="BH618" s="123">
        <f t="shared" si="576"/>
        <v>0</v>
      </c>
      <c r="BI618" s="123">
        <f t="shared" si="576"/>
        <v>0</v>
      </c>
      <c r="BJ618" s="123">
        <f t="shared" si="576"/>
        <v>0</v>
      </c>
      <c r="BK618" s="123">
        <f t="shared" si="576"/>
        <v>0</v>
      </c>
      <c r="BL618" s="123">
        <f t="shared" si="576"/>
        <v>0</v>
      </c>
      <c r="BM618" s="123">
        <f t="shared" si="576"/>
        <v>0</v>
      </c>
      <c r="BN618" s="159">
        <f t="shared" si="576"/>
        <v>0</v>
      </c>
      <c r="BP618" s="367" t="s">
        <v>864</v>
      </c>
      <c r="BQ618" s="1494" t="str">
        <f t="shared" si="574"/>
        <v>GHG_Coala = GHG_Coala-1 + (C123 * BUI_COL (307 + ((A123 - 1) * 8) * E123 / 100) + (F123 / 100 * BUI_COL (307 + ((A123 - 1) * 8) * (100 - E123) / 100)) * BUI_COL3 / (J123-I123+1) / 1000000</v>
      </c>
      <c r="BR618" s="1494"/>
      <c r="BS618" s="1494"/>
      <c r="BT618" s="1494"/>
      <c r="BU618" s="1494"/>
      <c r="BV618" s="1494"/>
      <c r="BW618" s="1494"/>
      <c r="BX618" s="1494"/>
      <c r="BY618" s="1494"/>
      <c r="BZ618" s="1494"/>
      <c r="CA618" s="1494"/>
      <c r="CB618" s="1494"/>
      <c r="CC618" s="1494"/>
      <c r="CD618" s="1494"/>
      <c r="CE618" s="1494"/>
      <c r="CF618" s="1494"/>
      <c r="CG618" s="1494"/>
      <c r="CH618" s="1494"/>
      <c r="CI618" s="1494"/>
      <c r="CJ618" s="1494"/>
      <c r="CK618" s="1494"/>
      <c r="CL618" s="576" t="s">
        <v>2126</v>
      </c>
      <c r="CM618" s="1540" t="s">
        <v>2188</v>
      </c>
      <c r="CN618" s="1541"/>
      <c r="CO618" s="579" t="s">
        <v>1248</v>
      </c>
      <c r="CP618" s="579" t="s">
        <v>2189</v>
      </c>
    </row>
    <row r="619" spans="12:94" ht="20.100000000000001" customHeight="1">
      <c r="AF619" s="1560"/>
      <c r="AG619" s="107" t="s">
        <v>865</v>
      </c>
      <c r="AH619" s="107">
        <f>INDEX('DEFAULT DATA'!$WD$9:$WJ$41,START!$C$3,4)</f>
        <v>382</v>
      </c>
      <c r="AI619" s="195">
        <f>INDEX('DEFAULT DATA'!$AHX$9:$AJS$41,START!$C$3,(5+(($A$124-1)*8)))</f>
        <v>2.52</v>
      </c>
      <c r="AJ619" s="115"/>
      <c r="AK619" s="180">
        <v>0</v>
      </c>
      <c r="AL619" s="123">
        <f t="shared" ref="AL619:BN619" si="577">IF(AND(AL$614&gt;($I$124+2020),AL$614&lt;($J$124+2022)),AK619+($AH$619*$C$124*$AI$619*((100-$E$124)*((100-$F$124)/100)/100)/($J$124-$I$124+1)/1000000),AK619)</f>
        <v>0</v>
      </c>
      <c r="AM619" s="123">
        <f t="shared" si="577"/>
        <v>0</v>
      </c>
      <c r="AN619" s="123">
        <f t="shared" si="577"/>
        <v>0</v>
      </c>
      <c r="AO619" s="123">
        <f t="shared" si="577"/>
        <v>0</v>
      </c>
      <c r="AP619" s="123">
        <f t="shared" si="577"/>
        <v>0</v>
      </c>
      <c r="AQ619" s="123">
        <f t="shared" si="577"/>
        <v>0</v>
      </c>
      <c r="AR619" s="123">
        <f t="shared" si="577"/>
        <v>0</v>
      </c>
      <c r="AS619" s="123">
        <f t="shared" si="577"/>
        <v>0</v>
      </c>
      <c r="AT619" s="123">
        <f t="shared" si="577"/>
        <v>0</v>
      </c>
      <c r="AU619" s="123">
        <f t="shared" si="577"/>
        <v>0</v>
      </c>
      <c r="AV619" s="123">
        <f t="shared" si="577"/>
        <v>0</v>
      </c>
      <c r="AW619" s="123">
        <f t="shared" si="577"/>
        <v>0</v>
      </c>
      <c r="AX619" s="123">
        <f t="shared" si="577"/>
        <v>0</v>
      </c>
      <c r="AY619" s="123">
        <f t="shared" si="577"/>
        <v>0</v>
      </c>
      <c r="AZ619" s="123">
        <f t="shared" si="577"/>
        <v>0</v>
      </c>
      <c r="BA619" s="123">
        <f t="shared" si="577"/>
        <v>0</v>
      </c>
      <c r="BB619" s="123">
        <f t="shared" si="577"/>
        <v>0</v>
      </c>
      <c r="BC619" s="123">
        <f t="shared" si="577"/>
        <v>0</v>
      </c>
      <c r="BD619" s="123">
        <f t="shared" si="577"/>
        <v>0</v>
      </c>
      <c r="BE619" s="123">
        <f t="shared" si="577"/>
        <v>0</v>
      </c>
      <c r="BF619" s="123">
        <f t="shared" si="577"/>
        <v>0</v>
      </c>
      <c r="BG619" s="123">
        <f t="shared" si="577"/>
        <v>0</v>
      </c>
      <c r="BH619" s="123">
        <f t="shared" si="577"/>
        <v>0</v>
      </c>
      <c r="BI619" s="123">
        <f t="shared" si="577"/>
        <v>0</v>
      </c>
      <c r="BJ619" s="123">
        <f t="shared" si="577"/>
        <v>0</v>
      </c>
      <c r="BK619" s="123">
        <f t="shared" si="577"/>
        <v>0</v>
      </c>
      <c r="BL619" s="123">
        <f t="shared" si="577"/>
        <v>0</v>
      </c>
      <c r="BM619" s="123">
        <f t="shared" si="577"/>
        <v>0</v>
      </c>
      <c r="BN619" s="159">
        <f t="shared" si="577"/>
        <v>0</v>
      </c>
      <c r="BP619" s="367" t="s">
        <v>865</v>
      </c>
      <c r="BQ619" s="1494" t="str">
        <f t="shared" si="574"/>
        <v>GHG_Peata = GHG_Peata-1 + (C123 * BUI_COL (307 + ((A123 - 1) * 8) * E123 / 100) + (F123 / 100 * BUI_COL (307 + ((A123 - 1) * 8) * (100 - E123) / 100)) * BUI_COL4 / (J123-I123+1) / 1000000</v>
      </c>
      <c r="BR619" s="1494"/>
      <c r="BS619" s="1494"/>
      <c r="BT619" s="1494"/>
      <c r="BU619" s="1494"/>
      <c r="BV619" s="1494"/>
      <c r="BW619" s="1494"/>
      <c r="BX619" s="1494"/>
      <c r="BY619" s="1494"/>
      <c r="BZ619" s="1494"/>
      <c r="CA619" s="1494"/>
      <c r="CB619" s="1494"/>
      <c r="CC619" s="1494"/>
      <c r="CD619" s="1494"/>
      <c r="CE619" s="1494"/>
      <c r="CF619" s="1494"/>
      <c r="CG619" s="1494"/>
      <c r="CH619" s="1494"/>
      <c r="CI619" s="1494"/>
      <c r="CJ619" s="1494"/>
      <c r="CK619" s="1494"/>
      <c r="CL619" s="576" t="s">
        <v>2126</v>
      </c>
      <c r="CM619" s="1540" t="s">
        <v>2188</v>
      </c>
      <c r="CN619" s="1541"/>
      <c r="CO619" s="579" t="s">
        <v>1249</v>
      </c>
      <c r="CP619" s="579" t="s">
        <v>2189</v>
      </c>
    </row>
    <row r="620" spans="12:94" ht="20.100000000000001" customHeight="1">
      <c r="AF620" s="1560"/>
      <c r="AG620" s="107" t="s">
        <v>866</v>
      </c>
      <c r="AH620" s="107">
        <f>INDEX('DEFAULT DATA'!$WD$9:$WJ$41,START!$C$3,5)</f>
        <v>403</v>
      </c>
      <c r="AI620" s="195">
        <f>INDEX('DEFAULT DATA'!$AHX$9:$AJS$41,START!$C$3,(6+(($A$124-1)*8)))</f>
        <v>3.06</v>
      </c>
      <c r="AJ620" s="115"/>
      <c r="AK620" s="180">
        <v>0</v>
      </c>
      <c r="AL620" s="123">
        <f t="shared" ref="AL620:BN620" si="578">IF(AND(AL$614&gt;($I$124+2020),AL$614&lt;($J$124+2022)),AK620+($AH$620*$C$124*$AI$620*((100-$E$124)*((100-$F$124)/100)/100)/($J$124-$I$124+1)/1000000),AK620)</f>
        <v>0</v>
      </c>
      <c r="AM620" s="123">
        <f t="shared" si="578"/>
        <v>0</v>
      </c>
      <c r="AN620" s="123">
        <f t="shared" si="578"/>
        <v>0</v>
      </c>
      <c r="AO620" s="123">
        <f t="shared" si="578"/>
        <v>0</v>
      </c>
      <c r="AP620" s="123">
        <f t="shared" si="578"/>
        <v>0</v>
      </c>
      <c r="AQ620" s="123">
        <f t="shared" si="578"/>
        <v>0</v>
      </c>
      <c r="AR620" s="123">
        <f t="shared" si="578"/>
        <v>0</v>
      </c>
      <c r="AS620" s="123">
        <f t="shared" si="578"/>
        <v>0</v>
      </c>
      <c r="AT620" s="123">
        <f t="shared" si="578"/>
        <v>0</v>
      </c>
      <c r="AU620" s="123">
        <f t="shared" si="578"/>
        <v>0</v>
      </c>
      <c r="AV620" s="123">
        <f t="shared" si="578"/>
        <v>0</v>
      </c>
      <c r="AW620" s="123">
        <f t="shared" si="578"/>
        <v>0</v>
      </c>
      <c r="AX620" s="123">
        <f t="shared" si="578"/>
        <v>0</v>
      </c>
      <c r="AY620" s="123">
        <f t="shared" si="578"/>
        <v>0</v>
      </c>
      <c r="AZ620" s="123">
        <f t="shared" si="578"/>
        <v>0</v>
      </c>
      <c r="BA620" s="123">
        <f t="shared" si="578"/>
        <v>0</v>
      </c>
      <c r="BB620" s="123">
        <f t="shared" si="578"/>
        <v>0</v>
      </c>
      <c r="BC620" s="123">
        <f t="shared" si="578"/>
        <v>0</v>
      </c>
      <c r="BD620" s="123">
        <f t="shared" si="578"/>
        <v>0</v>
      </c>
      <c r="BE620" s="123">
        <f t="shared" si="578"/>
        <v>0</v>
      </c>
      <c r="BF620" s="123">
        <f t="shared" si="578"/>
        <v>0</v>
      </c>
      <c r="BG620" s="123">
        <f t="shared" si="578"/>
        <v>0</v>
      </c>
      <c r="BH620" s="123">
        <f t="shared" si="578"/>
        <v>0</v>
      </c>
      <c r="BI620" s="123">
        <f t="shared" si="578"/>
        <v>0</v>
      </c>
      <c r="BJ620" s="123">
        <f t="shared" si="578"/>
        <v>0</v>
      </c>
      <c r="BK620" s="123">
        <f t="shared" si="578"/>
        <v>0</v>
      </c>
      <c r="BL620" s="123">
        <f t="shared" si="578"/>
        <v>0</v>
      </c>
      <c r="BM620" s="123">
        <f t="shared" si="578"/>
        <v>0</v>
      </c>
      <c r="BN620" s="159">
        <f t="shared" si="578"/>
        <v>0</v>
      </c>
      <c r="BP620" s="367" t="s">
        <v>866</v>
      </c>
      <c r="BQ620" s="1494" t="str">
        <f t="shared" si="574"/>
        <v>GHG_Wooda = GHG_Wooda-1 + (C123 * BUI_COL (307 + ((A123 - 1) * 8) * E123 / 100) + (F123 / 100 * BUI_COL (307 + ((A123 - 1) * 8) * (100 - E123) / 100)) * BUI_COL5 / (J123-I123+1) / 1000000</v>
      </c>
      <c r="BR620" s="1494"/>
      <c r="BS620" s="1494"/>
      <c r="BT620" s="1494"/>
      <c r="BU620" s="1494"/>
      <c r="BV620" s="1494"/>
      <c r="BW620" s="1494"/>
      <c r="BX620" s="1494"/>
      <c r="BY620" s="1494"/>
      <c r="BZ620" s="1494"/>
      <c r="CA620" s="1494"/>
      <c r="CB620" s="1494"/>
      <c r="CC620" s="1494"/>
      <c r="CD620" s="1494"/>
      <c r="CE620" s="1494"/>
      <c r="CF620" s="1494"/>
      <c r="CG620" s="1494"/>
      <c r="CH620" s="1494"/>
      <c r="CI620" s="1494"/>
      <c r="CJ620" s="1494"/>
      <c r="CK620" s="1494"/>
      <c r="CL620" s="576" t="s">
        <v>2126</v>
      </c>
      <c r="CM620" s="1540" t="s">
        <v>2188</v>
      </c>
      <c r="CN620" s="1541"/>
      <c r="CO620" s="579" t="s">
        <v>1250</v>
      </c>
      <c r="CP620" s="579" t="s">
        <v>2189</v>
      </c>
    </row>
    <row r="621" spans="12:94" ht="20.100000000000001" customHeight="1">
      <c r="AF621" s="1560"/>
      <c r="AG621" s="107" t="s">
        <v>867</v>
      </c>
      <c r="AH621" s="107">
        <f>INDEX('DEFAULT DATA'!$WD$9:$WJ$41,START!$C$3,6)</f>
        <v>0</v>
      </c>
      <c r="AI621" s="195">
        <f>INDEX('DEFAULT DATA'!$AHX$9:$AJS$41,START!$C$3,(7+(($A$124-1)*8)))</f>
        <v>0</v>
      </c>
      <c r="AJ621" s="115"/>
      <c r="AK621" s="180">
        <v>0</v>
      </c>
      <c r="AL621" s="123">
        <f t="shared" ref="AL621:BN621" si="579">IF(AND(AL$614&gt;($I$124+2020),AL$614&lt;($J$124+2022)),AK621+($AH$621*$C$124*$AI$621*((100-$E$124)*((100-$F$124)/100)/100)/($J$124-$I$124+1)/1000000),AK621)</f>
        <v>0</v>
      </c>
      <c r="AM621" s="123">
        <f t="shared" si="579"/>
        <v>0</v>
      </c>
      <c r="AN621" s="123">
        <f t="shared" si="579"/>
        <v>0</v>
      </c>
      <c r="AO621" s="123">
        <f t="shared" si="579"/>
        <v>0</v>
      </c>
      <c r="AP621" s="123">
        <f t="shared" si="579"/>
        <v>0</v>
      </c>
      <c r="AQ621" s="123">
        <f t="shared" si="579"/>
        <v>0</v>
      </c>
      <c r="AR621" s="123">
        <f t="shared" si="579"/>
        <v>0</v>
      </c>
      <c r="AS621" s="123">
        <f t="shared" si="579"/>
        <v>0</v>
      </c>
      <c r="AT621" s="123">
        <f t="shared" si="579"/>
        <v>0</v>
      </c>
      <c r="AU621" s="123">
        <f t="shared" si="579"/>
        <v>0</v>
      </c>
      <c r="AV621" s="123">
        <f t="shared" si="579"/>
        <v>0</v>
      </c>
      <c r="AW621" s="123">
        <f t="shared" si="579"/>
        <v>0</v>
      </c>
      <c r="AX621" s="123">
        <f t="shared" si="579"/>
        <v>0</v>
      </c>
      <c r="AY621" s="123">
        <f t="shared" si="579"/>
        <v>0</v>
      </c>
      <c r="AZ621" s="123">
        <f t="shared" si="579"/>
        <v>0</v>
      </c>
      <c r="BA621" s="123">
        <f t="shared" si="579"/>
        <v>0</v>
      </c>
      <c r="BB621" s="123">
        <f t="shared" si="579"/>
        <v>0</v>
      </c>
      <c r="BC621" s="123">
        <f t="shared" si="579"/>
        <v>0</v>
      </c>
      <c r="BD621" s="123">
        <f t="shared" si="579"/>
        <v>0</v>
      </c>
      <c r="BE621" s="123">
        <f t="shared" si="579"/>
        <v>0</v>
      </c>
      <c r="BF621" s="123">
        <f t="shared" si="579"/>
        <v>0</v>
      </c>
      <c r="BG621" s="123">
        <f t="shared" si="579"/>
        <v>0</v>
      </c>
      <c r="BH621" s="123">
        <f t="shared" si="579"/>
        <v>0</v>
      </c>
      <c r="BI621" s="123">
        <f t="shared" si="579"/>
        <v>0</v>
      </c>
      <c r="BJ621" s="123">
        <f t="shared" si="579"/>
        <v>0</v>
      </c>
      <c r="BK621" s="123">
        <f t="shared" si="579"/>
        <v>0</v>
      </c>
      <c r="BL621" s="123">
        <f t="shared" si="579"/>
        <v>0</v>
      </c>
      <c r="BM621" s="123">
        <f t="shared" si="579"/>
        <v>0</v>
      </c>
      <c r="BN621" s="159">
        <f t="shared" si="579"/>
        <v>0</v>
      </c>
      <c r="BP621" s="367" t="s">
        <v>867</v>
      </c>
      <c r="BQ621" s="1494" t="str">
        <f t="shared" si="574"/>
        <v>GHG_Renewablea = GHG_Renewablea-1 + (C123 * BUI_COL (307 + ((A123 - 1) * 8) * E123 / 100) + (F123 / 100 * BUI_COL (307 + ((A123 - 1) * 8) * (100 - E123) / 100)) * BUI_COL6 / (J123-I123+1) / 1000000</v>
      </c>
      <c r="BR621" s="1494"/>
      <c r="BS621" s="1494"/>
      <c r="BT621" s="1494"/>
      <c r="BU621" s="1494"/>
      <c r="BV621" s="1494"/>
      <c r="BW621" s="1494"/>
      <c r="BX621" s="1494"/>
      <c r="BY621" s="1494"/>
      <c r="BZ621" s="1494"/>
      <c r="CA621" s="1494"/>
      <c r="CB621" s="1494"/>
      <c r="CC621" s="1494"/>
      <c r="CD621" s="1494"/>
      <c r="CE621" s="1494"/>
      <c r="CF621" s="1494"/>
      <c r="CG621" s="1494"/>
      <c r="CH621" s="1494"/>
      <c r="CI621" s="1494"/>
      <c r="CJ621" s="1494"/>
      <c r="CK621" s="1494"/>
      <c r="CL621" s="576" t="s">
        <v>2126</v>
      </c>
      <c r="CM621" s="1540" t="s">
        <v>2188</v>
      </c>
      <c r="CN621" s="1541"/>
      <c r="CO621" s="579" t="s">
        <v>1251</v>
      </c>
      <c r="CP621" s="579" t="s">
        <v>2189</v>
      </c>
    </row>
    <row r="622" spans="12:94" ht="20.100000000000001" customHeight="1" thickBot="1">
      <c r="AF622" s="1561"/>
      <c r="AG622" s="146" t="s">
        <v>868</v>
      </c>
      <c r="AH622" s="146" t="s">
        <v>1123</v>
      </c>
      <c r="AI622" s="197">
        <f>INDEX('DEFAULT DATA'!$AHX$9:$AJS$41,START!$C$3,(8+(($A$124-1)*8)))</f>
        <v>4.4965266808490847E-2</v>
      </c>
      <c r="AJ622" s="170"/>
      <c r="AK622" s="183">
        <v>0</v>
      </c>
      <c r="AL622" s="160">
        <f t="shared" ref="AL622:BN622" si="580">IF(AND(AL$614&gt;($I$124+2020),AL$614&lt;($J$124+2022)),AK622+(AL$6*$C$124*$AI$622*((100-$E$124)/100)*((100-$F$124)/100)/($J$124-$I$124+1)/1000000),AK622)</f>
        <v>0</v>
      </c>
      <c r="AM622" s="160">
        <f t="shared" si="580"/>
        <v>0</v>
      </c>
      <c r="AN622" s="160">
        <f t="shared" si="580"/>
        <v>0</v>
      </c>
      <c r="AO622" s="160">
        <f t="shared" si="580"/>
        <v>0</v>
      </c>
      <c r="AP622" s="160">
        <f t="shared" si="580"/>
        <v>0</v>
      </c>
      <c r="AQ622" s="160">
        <f t="shared" si="580"/>
        <v>0</v>
      </c>
      <c r="AR622" s="160">
        <f t="shared" si="580"/>
        <v>0</v>
      </c>
      <c r="AS622" s="160">
        <f t="shared" si="580"/>
        <v>0</v>
      </c>
      <c r="AT622" s="160">
        <f t="shared" si="580"/>
        <v>0</v>
      </c>
      <c r="AU622" s="160">
        <f t="shared" si="580"/>
        <v>0</v>
      </c>
      <c r="AV622" s="160">
        <f t="shared" si="580"/>
        <v>0</v>
      </c>
      <c r="AW622" s="160">
        <f t="shared" si="580"/>
        <v>0</v>
      </c>
      <c r="AX622" s="160">
        <f t="shared" si="580"/>
        <v>0</v>
      </c>
      <c r="AY622" s="160">
        <f t="shared" si="580"/>
        <v>0</v>
      </c>
      <c r="AZ622" s="160">
        <f t="shared" si="580"/>
        <v>0</v>
      </c>
      <c r="BA622" s="160">
        <f t="shared" si="580"/>
        <v>0</v>
      </c>
      <c r="BB622" s="160">
        <f t="shared" si="580"/>
        <v>0</v>
      </c>
      <c r="BC622" s="160">
        <f t="shared" si="580"/>
        <v>0</v>
      </c>
      <c r="BD622" s="160">
        <f t="shared" si="580"/>
        <v>0</v>
      </c>
      <c r="BE622" s="160">
        <f t="shared" si="580"/>
        <v>0</v>
      </c>
      <c r="BF622" s="160">
        <f t="shared" si="580"/>
        <v>0</v>
      </c>
      <c r="BG622" s="160">
        <f t="shared" si="580"/>
        <v>0</v>
      </c>
      <c r="BH622" s="160">
        <f t="shared" si="580"/>
        <v>0</v>
      </c>
      <c r="BI622" s="160">
        <f t="shared" si="580"/>
        <v>0</v>
      </c>
      <c r="BJ622" s="160">
        <f t="shared" si="580"/>
        <v>0</v>
      </c>
      <c r="BK622" s="160">
        <f t="shared" si="580"/>
        <v>0</v>
      </c>
      <c r="BL622" s="160">
        <f t="shared" si="580"/>
        <v>0</v>
      </c>
      <c r="BM622" s="160">
        <f t="shared" si="580"/>
        <v>0</v>
      </c>
      <c r="BN622" s="161">
        <f t="shared" si="580"/>
        <v>0</v>
      </c>
      <c r="BP622" s="367" t="s">
        <v>868</v>
      </c>
      <c r="BQ622" s="1494" t="str">
        <f t="shared" si="574"/>
        <v>GHG_Heata = GHG_Heata-1 + (C123 * BUI_COL (307 + ((A123 - 1) * 8) * E123 / 100) + (F123 / 100 * BUI_COL (307 + ((A123 - 1) * 8) * (100 - E123) / 100)) * DISTRICT_HEATING_emission_factora (from row 5) / (J123-I123+1) / 1000000</v>
      </c>
      <c r="BR622" s="1494"/>
      <c r="BS622" s="1494"/>
      <c r="BT622" s="1494"/>
      <c r="BU622" s="1494"/>
      <c r="BV622" s="1494"/>
      <c r="BW622" s="1494"/>
      <c r="BX622" s="1494"/>
      <c r="BY622" s="1494"/>
      <c r="BZ622" s="1494"/>
      <c r="CA622" s="1494"/>
      <c r="CB622" s="1494"/>
      <c r="CC622" s="1494"/>
      <c r="CD622" s="1494"/>
      <c r="CE622" s="1494"/>
      <c r="CF622" s="1494"/>
      <c r="CG622" s="1494"/>
      <c r="CH622" s="1494"/>
      <c r="CI622" s="1494"/>
      <c r="CJ622" s="1494"/>
      <c r="CK622" s="1494"/>
      <c r="CL622" s="576" t="s">
        <v>2126</v>
      </c>
      <c r="CM622" s="1540" t="s">
        <v>2188</v>
      </c>
      <c r="CN622" s="1541"/>
      <c r="CO622" s="579" t="s">
        <v>1508</v>
      </c>
      <c r="CP622" s="579" t="s">
        <v>2189</v>
      </c>
    </row>
    <row r="623" spans="12:94" ht="20.100000000000001" customHeight="1">
      <c r="AF623" s="167"/>
      <c r="AG623" s="144" t="s">
        <v>211</v>
      </c>
      <c r="AH623" s="145"/>
      <c r="AI623" s="198"/>
      <c r="AJ623" s="145"/>
      <c r="AK623" s="179">
        <v>0</v>
      </c>
      <c r="AL623" s="162">
        <f>SUM(AL615:AL622)</f>
        <v>0</v>
      </c>
      <c r="AM623" s="162">
        <f t="shared" ref="AM623" si="581">SUM(AM615:AM622)</f>
        <v>0</v>
      </c>
      <c r="AN623" s="162">
        <f t="shared" ref="AN623" si="582">SUM(AN615:AN622)</f>
        <v>0</v>
      </c>
      <c r="AO623" s="162">
        <f t="shared" ref="AO623" si="583">SUM(AO615:AO622)</f>
        <v>0</v>
      </c>
      <c r="AP623" s="162">
        <f t="shared" ref="AP623" si="584">SUM(AP615:AP622)</f>
        <v>0</v>
      </c>
      <c r="AQ623" s="162">
        <f t="shared" ref="AQ623" si="585">SUM(AQ615:AQ622)</f>
        <v>0</v>
      </c>
      <c r="AR623" s="162">
        <f t="shared" ref="AR623" si="586">SUM(AR615:AR622)</f>
        <v>0</v>
      </c>
      <c r="AS623" s="162">
        <f t="shared" ref="AS623" si="587">SUM(AS615:AS622)</f>
        <v>0</v>
      </c>
      <c r="AT623" s="162">
        <f t="shared" ref="AT623" si="588">SUM(AT615:AT622)</f>
        <v>0</v>
      </c>
      <c r="AU623" s="162">
        <f t="shared" ref="AU623" si="589">SUM(AU615:AU622)</f>
        <v>0</v>
      </c>
      <c r="AV623" s="162">
        <f t="shared" ref="AV623" si="590">SUM(AV615:AV622)</f>
        <v>0</v>
      </c>
      <c r="AW623" s="162">
        <f t="shared" ref="AW623" si="591">SUM(AW615:AW622)</f>
        <v>0</v>
      </c>
      <c r="AX623" s="162">
        <f t="shared" ref="AX623" si="592">SUM(AX615:AX622)</f>
        <v>0</v>
      </c>
      <c r="AY623" s="162">
        <f t="shared" ref="AY623" si="593">SUM(AY615:AY622)</f>
        <v>0</v>
      </c>
      <c r="AZ623" s="162">
        <f t="shared" ref="AZ623" si="594">SUM(AZ615:AZ622)</f>
        <v>0</v>
      </c>
      <c r="BA623" s="162">
        <f t="shared" ref="BA623" si="595">SUM(BA615:BA622)</f>
        <v>0</v>
      </c>
      <c r="BB623" s="162">
        <f t="shared" ref="BB623" si="596">SUM(BB615:BB622)</f>
        <v>0</v>
      </c>
      <c r="BC623" s="162">
        <f t="shared" ref="BC623" si="597">SUM(BC615:BC622)</f>
        <v>0</v>
      </c>
      <c r="BD623" s="162">
        <f t="shared" ref="BD623" si="598">SUM(BD615:BD622)</f>
        <v>0</v>
      </c>
      <c r="BE623" s="162">
        <f t="shared" ref="BE623" si="599">SUM(BE615:BE622)</f>
        <v>0</v>
      </c>
      <c r="BF623" s="162">
        <f t="shared" ref="BF623" si="600">SUM(BF615:BF622)</f>
        <v>0</v>
      </c>
      <c r="BG623" s="162">
        <f t="shared" ref="BG623" si="601">SUM(BG615:BG622)</f>
        <v>0</v>
      </c>
      <c r="BH623" s="162">
        <f t="shared" ref="BH623" si="602">SUM(BH615:BH622)</f>
        <v>0</v>
      </c>
      <c r="BI623" s="162">
        <f t="shared" ref="BI623" si="603">SUM(BI615:BI622)</f>
        <v>0</v>
      </c>
      <c r="BJ623" s="162">
        <f t="shared" ref="BJ623" si="604">SUM(BJ615:BJ622)</f>
        <v>0</v>
      </c>
      <c r="BK623" s="162">
        <f t="shared" ref="BK623" si="605">SUM(BK615:BK622)</f>
        <v>0</v>
      </c>
      <c r="BL623" s="162">
        <f t="shared" ref="BL623" si="606">SUM(BL615:BL622)</f>
        <v>0</v>
      </c>
      <c r="BM623" s="162">
        <f t="shared" ref="BM623" si="607">SUM(BM615:BM622)</f>
        <v>0</v>
      </c>
      <c r="BN623" s="162">
        <f t="shared" ref="BN623" si="608">SUM(BN615:BN622)</f>
        <v>0</v>
      </c>
    </row>
    <row r="624" spans="12:94" ht="20.100000000000001" customHeight="1">
      <c r="AI624" s="199"/>
    </row>
    <row r="625" spans="32:94" ht="20.100000000000001" customHeight="1" thickBot="1">
      <c r="AF625" s="168" t="s">
        <v>1099</v>
      </c>
      <c r="AG625" s="168"/>
      <c r="AH625" s="169" t="s">
        <v>620</v>
      </c>
      <c r="AI625" s="200" t="s">
        <v>898</v>
      </c>
      <c r="AJ625" s="135"/>
      <c r="AK625" s="181">
        <v>2021</v>
      </c>
      <c r="AL625" s="135">
        <v>2022</v>
      </c>
      <c r="AM625" s="135">
        <v>2023</v>
      </c>
      <c r="AN625" s="135">
        <v>2024</v>
      </c>
      <c r="AO625" s="135">
        <v>2025</v>
      </c>
      <c r="AP625" s="135">
        <v>2026</v>
      </c>
      <c r="AQ625" s="135">
        <v>2027</v>
      </c>
      <c r="AR625" s="135">
        <v>2028</v>
      </c>
      <c r="AS625" s="135">
        <v>2029</v>
      </c>
      <c r="AT625" s="135">
        <v>2030</v>
      </c>
      <c r="AU625" s="135">
        <v>2031</v>
      </c>
      <c r="AV625" s="135">
        <v>2032</v>
      </c>
      <c r="AW625" s="135">
        <v>2033</v>
      </c>
      <c r="AX625" s="135">
        <v>2034</v>
      </c>
      <c r="AY625" s="135">
        <v>2035</v>
      </c>
      <c r="AZ625" s="135">
        <v>2036</v>
      </c>
      <c r="BA625" s="135">
        <v>2037</v>
      </c>
      <c r="BB625" s="135">
        <v>2038</v>
      </c>
      <c r="BC625" s="135">
        <v>2039</v>
      </c>
      <c r="BD625" s="135">
        <v>2040</v>
      </c>
      <c r="BE625" s="135">
        <v>2041</v>
      </c>
      <c r="BF625" s="135">
        <v>2042</v>
      </c>
      <c r="BG625" s="135">
        <v>2043</v>
      </c>
      <c r="BH625" s="135">
        <v>2044</v>
      </c>
      <c r="BI625" s="135">
        <v>2045</v>
      </c>
      <c r="BJ625" s="135">
        <v>2046</v>
      </c>
      <c r="BK625" s="135">
        <v>2047</v>
      </c>
      <c r="BL625" s="135">
        <v>2048</v>
      </c>
      <c r="BM625" s="135">
        <v>2049</v>
      </c>
      <c r="BN625" s="135">
        <v>2050</v>
      </c>
      <c r="BQ625" s="82" t="s">
        <v>2207</v>
      </c>
      <c r="BR625" s="250"/>
      <c r="BS625" s="250"/>
      <c r="BT625" s="250"/>
      <c r="BU625" s="250"/>
      <c r="BV625" s="250"/>
      <c r="BW625" s="250"/>
      <c r="BX625" s="250"/>
      <c r="BY625" s="250"/>
      <c r="BZ625" s="250"/>
      <c r="CA625" s="250"/>
      <c r="CB625" s="250"/>
      <c r="CC625" s="250"/>
      <c r="CD625" s="250"/>
      <c r="CE625" s="250"/>
      <c r="CF625" s="250"/>
      <c r="CG625" s="250"/>
      <c r="CH625" s="250"/>
      <c r="CI625" s="250"/>
      <c r="CJ625" s="250"/>
      <c r="CK625" s="250"/>
      <c r="CL625" s="605" t="s">
        <v>2201</v>
      </c>
      <c r="CM625" s="130" t="s">
        <v>2202</v>
      </c>
      <c r="CN625" s="130"/>
      <c r="CO625" s="606" t="s">
        <v>1224</v>
      </c>
      <c r="CP625" s="130" t="s">
        <v>2172</v>
      </c>
    </row>
    <row r="626" spans="32:94" ht="20.100000000000001" customHeight="1">
      <c r="AF626" s="1559" t="str">
        <f>INDEX('MENU OPTIONS'!B31:B36,A125,1)</f>
        <v>Health</v>
      </c>
      <c r="AG626" s="137" t="s">
        <v>578</v>
      </c>
      <c r="AH626" s="137" t="s">
        <v>1122</v>
      </c>
      <c r="AI626" s="196">
        <f>INDEX('DEFAULT DATA'!$AHX$9:$AJS$41,START!$C$3,(1+(($A$125-1)*8)))</f>
        <v>420</v>
      </c>
      <c r="AJ626" s="165"/>
      <c r="AK626" s="178">
        <v>0</v>
      </c>
      <c r="AL626" s="157">
        <f t="shared" ref="AL626:BN626" si="609">IF(AND(AL$625&gt;($I$125+2020),AL$625&lt;($J$125+2022)),AK626+(AL$5*$C$125*$AI$626*((100-$E$125)/100)*((100-$F$125)/100)/($J$125-$I$125+1)/1000000),AK626)</f>
        <v>0</v>
      </c>
      <c r="AM626" s="157">
        <f t="shared" si="609"/>
        <v>0</v>
      </c>
      <c r="AN626" s="157">
        <f t="shared" si="609"/>
        <v>0</v>
      </c>
      <c r="AO626" s="157">
        <f t="shared" si="609"/>
        <v>0</v>
      </c>
      <c r="AP626" s="157">
        <f t="shared" si="609"/>
        <v>0</v>
      </c>
      <c r="AQ626" s="157">
        <f t="shared" si="609"/>
        <v>0</v>
      </c>
      <c r="AR626" s="157">
        <f t="shared" si="609"/>
        <v>0</v>
      </c>
      <c r="AS626" s="157">
        <f t="shared" si="609"/>
        <v>0</v>
      </c>
      <c r="AT626" s="157">
        <f t="shared" si="609"/>
        <v>0</v>
      </c>
      <c r="AU626" s="157">
        <f t="shared" si="609"/>
        <v>0</v>
      </c>
      <c r="AV626" s="157">
        <f t="shared" si="609"/>
        <v>0</v>
      </c>
      <c r="AW626" s="157">
        <f t="shared" si="609"/>
        <v>0</v>
      </c>
      <c r="AX626" s="157">
        <f t="shared" si="609"/>
        <v>0</v>
      </c>
      <c r="AY626" s="157">
        <f t="shared" si="609"/>
        <v>0</v>
      </c>
      <c r="AZ626" s="157">
        <f t="shared" si="609"/>
        <v>0</v>
      </c>
      <c r="BA626" s="157">
        <f t="shared" si="609"/>
        <v>0</v>
      </c>
      <c r="BB626" s="157">
        <f t="shared" si="609"/>
        <v>0</v>
      </c>
      <c r="BC626" s="157">
        <f t="shared" si="609"/>
        <v>0</v>
      </c>
      <c r="BD626" s="157">
        <f t="shared" si="609"/>
        <v>0</v>
      </c>
      <c r="BE626" s="157">
        <f t="shared" si="609"/>
        <v>0</v>
      </c>
      <c r="BF626" s="157">
        <f t="shared" si="609"/>
        <v>0</v>
      </c>
      <c r="BG626" s="157">
        <f t="shared" si="609"/>
        <v>0</v>
      </c>
      <c r="BH626" s="157">
        <f t="shared" si="609"/>
        <v>0</v>
      </c>
      <c r="BI626" s="157">
        <f t="shared" si="609"/>
        <v>0</v>
      </c>
      <c r="BJ626" s="157">
        <f t="shared" si="609"/>
        <v>0</v>
      </c>
      <c r="BK626" s="157">
        <f t="shared" si="609"/>
        <v>0</v>
      </c>
      <c r="BL626" s="157">
        <f t="shared" si="609"/>
        <v>0</v>
      </c>
      <c r="BM626" s="157">
        <f t="shared" si="609"/>
        <v>0</v>
      </c>
      <c r="BN626" s="158">
        <f t="shared" si="609"/>
        <v>0</v>
      </c>
      <c r="BP626" s="367" t="s">
        <v>578</v>
      </c>
      <c r="BQ626" s="1494" t="str">
        <f>CONCATENATE("GHG_",BP626,"a = GHG_",BP626,"a-1 + (C124 * ",CL626," * E124 / 100) + (F124 / 100 * ",CM626,")) * ",CO626," / (",CP626,") / 1000000")</f>
        <v>GHG_Electricitya = GHG_Electricitya-1 + (C124 * BUI_COL (307 + ((A124 - 1) * 8) * E124 / 100) + (F124 / 100 * BUI_COL (307 + ((A124 - 1) * 8) * (100 - E124) / 100)) * GRID_ELECTRICITY_emission_factora (from row4) / (J124-I124+1) / 1000000</v>
      </c>
      <c r="BR626" s="1494"/>
      <c r="BS626" s="1494"/>
      <c r="BT626" s="1494"/>
      <c r="BU626" s="1494"/>
      <c r="BV626" s="1494"/>
      <c r="BW626" s="1494"/>
      <c r="BX626" s="1494"/>
      <c r="BY626" s="1494"/>
      <c r="BZ626" s="1494"/>
      <c r="CA626" s="1494"/>
      <c r="CB626" s="1494"/>
      <c r="CC626" s="1494"/>
      <c r="CD626" s="1494"/>
      <c r="CE626" s="1494"/>
      <c r="CF626" s="1494"/>
      <c r="CG626" s="1494"/>
      <c r="CH626" s="1494"/>
      <c r="CI626" s="1494"/>
      <c r="CJ626" s="1494"/>
      <c r="CK626" s="1494"/>
      <c r="CL626" s="576" t="s">
        <v>2191</v>
      </c>
      <c r="CM626" s="1540" t="s">
        <v>2192</v>
      </c>
      <c r="CN626" s="1541"/>
      <c r="CO626" s="579" t="s">
        <v>1507</v>
      </c>
      <c r="CP626" s="579" t="s">
        <v>2193</v>
      </c>
    </row>
    <row r="627" spans="32:94" ht="20.100000000000001" customHeight="1">
      <c r="AF627" s="1560"/>
      <c r="AG627" s="107" t="s">
        <v>862</v>
      </c>
      <c r="AH627" s="107">
        <f>INDEX('DEFAULT DATA'!$WD$9:$WJ$41,START!$C$3,1)</f>
        <v>202</v>
      </c>
      <c r="AI627" s="195">
        <f>INDEX('DEFAULT DATA'!$AHX$9:$AJS$41,START!$C$3,(2+(($A$125-1)*8)))</f>
        <v>32.409999999999997</v>
      </c>
      <c r="AJ627" s="115"/>
      <c r="AK627" s="180">
        <v>0</v>
      </c>
      <c r="AL627" s="123">
        <f t="shared" ref="AL627:BN627" si="610">IF(AND(AL$625&gt;($I$125+2020),AL$625&lt;($J$125+2022)),AK627+($AH$627*$C$125*$AI$627*((100-$E$125)/100)*((100-$F$125)/100)/($J$125-$I$125+1)/1000000),AK627)</f>
        <v>0</v>
      </c>
      <c r="AM627" s="123">
        <f t="shared" si="610"/>
        <v>0</v>
      </c>
      <c r="AN627" s="123">
        <f t="shared" si="610"/>
        <v>0</v>
      </c>
      <c r="AO627" s="123">
        <f t="shared" si="610"/>
        <v>0</v>
      </c>
      <c r="AP627" s="123">
        <f t="shared" si="610"/>
        <v>0</v>
      </c>
      <c r="AQ627" s="123">
        <f t="shared" si="610"/>
        <v>0</v>
      </c>
      <c r="AR627" s="123">
        <f t="shared" si="610"/>
        <v>0</v>
      </c>
      <c r="AS627" s="123">
        <f t="shared" si="610"/>
        <v>0</v>
      </c>
      <c r="AT627" s="123">
        <f t="shared" si="610"/>
        <v>0</v>
      </c>
      <c r="AU627" s="123">
        <f t="shared" si="610"/>
        <v>0</v>
      </c>
      <c r="AV627" s="123">
        <f t="shared" si="610"/>
        <v>0</v>
      </c>
      <c r="AW627" s="123">
        <f t="shared" si="610"/>
        <v>0</v>
      </c>
      <c r="AX627" s="123">
        <f t="shared" si="610"/>
        <v>0</v>
      </c>
      <c r="AY627" s="123">
        <f t="shared" si="610"/>
        <v>0</v>
      </c>
      <c r="AZ627" s="123">
        <f t="shared" si="610"/>
        <v>0</v>
      </c>
      <c r="BA627" s="123">
        <f t="shared" si="610"/>
        <v>0</v>
      </c>
      <c r="BB627" s="123">
        <f t="shared" si="610"/>
        <v>0</v>
      </c>
      <c r="BC627" s="123">
        <f t="shared" si="610"/>
        <v>0</v>
      </c>
      <c r="BD627" s="123">
        <f t="shared" si="610"/>
        <v>0</v>
      </c>
      <c r="BE627" s="123">
        <f t="shared" si="610"/>
        <v>0</v>
      </c>
      <c r="BF627" s="123">
        <f t="shared" si="610"/>
        <v>0</v>
      </c>
      <c r="BG627" s="123">
        <f t="shared" si="610"/>
        <v>0</v>
      </c>
      <c r="BH627" s="123">
        <f t="shared" si="610"/>
        <v>0</v>
      </c>
      <c r="BI627" s="123">
        <f t="shared" si="610"/>
        <v>0</v>
      </c>
      <c r="BJ627" s="123">
        <f t="shared" si="610"/>
        <v>0</v>
      </c>
      <c r="BK627" s="123">
        <f t="shared" si="610"/>
        <v>0</v>
      </c>
      <c r="BL627" s="123">
        <f t="shared" si="610"/>
        <v>0</v>
      </c>
      <c r="BM627" s="123">
        <f t="shared" si="610"/>
        <v>0</v>
      </c>
      <c r="BN627" s="159">
        <f t="shared" si="610"/>
        <v>0</v>
      </c>
      <c r="BP627" s="367" t="s">
        <v>862</v>
      </c>
      <c r="BQ627" s="1494" t="str">
        <f t="shared" ref="BQ627:BQ633" si="611">CONCATENATE("GHG_",BP627,"a = GHG_",BP627,"a-1 + (C124 * ",CL627," * E124 / 100) + (F124 / 100 * ",CM627,")) * ",CO627," / (",CP627,") / 1000000")</f>
        <v>GHG_Gasa = GHG_Gasa-1 + (C124 * BUI_COL (307 + ((A124 - 1) * 8) * E124 / 100) + (F124 / 100 * BUI_COL (307 + ((A124 - 1) * 8) * (100 - E124) / 101)) * BUI_COL1 / (J124-I124+1) / 1000000</v>
      </c>
      <c r="BR627" s="1494"/>
      <c r="BS627" s="1494"/>
      <c r="BT627" s="1494"/>
      <c r="BU627" s="1494"/>
      <c r="BV627" s="1494"/>
      <c r="BW627" s="1494"/>
      <c r="BX627" s="1494"/>
      <c r="BY627" s="1494"/>
      <c r="BZ627" s="1494"/>
      <c r="CA627" s="1494"/>
      <c r="CB627" s="1494"/>
      <c r="CC627" s="1494"/>
      <c r="CD627" s="1494"/>
      <c r="CE627" s="1494"/>
      <c r="CF627" s="1494"/>
      <c r="CG627" s="1494"/>
      <c r="CH627" s="1494"/>
      <c r="CI627" s="1494"/>
      <c r="CJ627" s="1494"/>
      <c r="CK627" s="1494"/>
      <c r="CL627" s="576" t="s">
        <v>2191</v>
      </c>
      <c r="CM627" s="1540" t="s">
        <v>2194</v>
      </c>
      <c r="CN627" s="1541"/>
      <c r="CO627" s="579" t="s">
        <v>886</v>
      </c>
      <c r="CP627" s="579" t="s">
        <v>2193</v>
      </c>
    </row>
    <row r="628" spans="32:94" ht="20.100000000000001" customHeight="1">
      <c r="AF628" s="1560"/>
      <c r="AG628" s="107" t="s">
        <v>863</v>
      </c>
      <c r="AH628" s="107">
        <f>INDEX('DEFAULT DATA'!$WD$9:$WJ$41,START!$C$3,2)</f>
        <v>267</v>
      </c>
      <c r="AI628" s="195">
        <f>INDEX('DEFAULT DATA'!$AHX$9:$AJS$41,START!$C$3,(3+(($A$125-1)*8)))</f>
        <v>27.01</v>
      </c>
      <c r="AJ628" s="115"/>
      <c r="AK628" s="180">
        <v>0</v>
      </c>
      <c r="AL628" s="123">
        <f t="shared" ref="AL628:BN628" si="612">IF(AND(AL$625&gt;($I$125+2020),AL$625&lt;($J$125+2022)),AK628+($AH$628*$C$125*$AI$628*((100-$E$125)/100)*((100-$F$125)/100)/($J$125-$I$125+1)/1000000),AK628)</f>
        <v>0</v>
      </c>
      <c r="AM628" s="123">
        <f t="shared" si="612"/>
        <v>0</v>
      </c>
      <c r="AN628" s="123">
        <f t="shared" si="612"/>
        <v>0</v>
      </c>
      <c r="AO628" s="123">
        <f t="shared" si="612"/>
        <v>0</v>
      </c>
      <c r="AP628" s="123">
        <f t="shared" si="612"/>
        <v>0</v>
      </c>
      <c r="AQ628" s="123">
        <f t="shared" si="612"/>
        <v>0</v>
      </c>
      <c r="AR628" s="123">
        <f t="shared" si="612"/>
        <v>0</v>
      </c>
      <c r="AS628" s="123">
        <f t="shared" si="612"/>
        <v>0</v>
      </c>
      <c r="AT628" s="123">
        <f t="shared" si="612"/>
        <v>0</v>
      </c>
      <c r="AU628" s="123">
        <f t="shared" si="612"/>
        <v>0</v>
      </c>
      <c r="AV628" s="123">
        <f t="shared" si="612"/>
        <v>0</v>
      </c>
      <c r="AW628" s="123">
        <f t="shared" si="612"/>
        <v>0</v>
      </c>
      <c r="AX628" s="123">
        <f t="shared" si="612"/>
        <v>0</v>
      </c>
      <c r="AY628" s="123">
        <f t="shared" si="612"/>
        <v>0</v>
      </c>
      <c r="AZ628" s="123">
        <f t="shared" si="612"/>
        <v>0</v>
      </c>
      <c r="BA628" s="123">
        <f t="shared" si="612"/>
        <v>0</v>
      </c>
      <c r="BB628" s="123">
        <f t="shared" si="612"/>
        <v>0</v>
      </c>
      <c r="BC628" s="123">
        <f t="shared" si="612"/>
        <v>0</v>
      </c>
      <c r="BD628" s="123">
        <f t="shared" si="612"/>
        <v>0</v>
      </c>
      <c r="BE628" s="123">
        <f t="shared" si="612"/>
        <v>0</v>
      </c>
      <c r="BF628" s="123">
        <f t="shared" si="612"/>
        <v>0</v>
      </c>
      <c r="BG628" s="123">
        <f t="shared" si="612"/>
        <v>0</v>
      </c>
      <c r="BH628" s="123">
        <f t="shared" si="612"/>
        <v>0</v>
      </c>
      <c r="BI628" s="123">
        <f t="shared" si="612"/>
        <v>0</v>
      </c>
      <c r="BJ628" s="123">
        <f t="shared" si="612"/>
        <v>0</v>
      </c>
      <c r="BK628" s="123">
        <f t="shared" si="612"/>
        <v>0</v>
      </c>
      <c r="BL628" s="123">
        <f t="shared" si="612"/>
        <v>0</v>
      </c>
      <c r="BM628" s="123">
        <f t="shared" si="612"/>
        <v>0</v>
      </c>
      <c r="BN628" s="159">
        <f t="shared" si="612"/>
        <v>0</v>
      </c>
      <c r="BP628" s="367" t="s">
        <v>863</v>
      </c>
      <c r="BQ628" s="1494" t="str">
        <f t="shared" si="611"/>
        <v>GHG_Oila = GHG_Oila-1 + (C124 * BUI_COL (307 + ((A124 - 1) * 8) * E124 / 100) + (F124 / 100 * BUI_COL (307 + ((A124 - 1) * 8) * (100 - E124) / 102)) * BUI_COL2 / (J124-I124+1) / 1000000</v>
      </c>
      <c r="BR628" s="1494"/>
      <c r="BS628" s="1494"/>
      <c r="BT628" s="1494"/>
      <c r="BU628" s="1494"/>
      <c r="BV628" s="1494"/>
      <c r="BW628" s="1494"/>
      <c r="BX628" s="1494"/>
      <c r="BY628" s="1494"/>
      <c r="BZ628" s="1494"/>
      <c r="CA628" s="1494"/>
      <c r="CB628" s="1494"/>
      <c r="CC628" s="1494"/>
      <c r="CD628" s="1494"/>
      <c r="CE628" s="1494"/>
      <c r="CF628" s="1494"/>
      <c r="CG628" s="1494"/>
      <c r="CH628" s="1494"/>
      <c r="CI628" s="1494"/>
      <c r="CJ628" s="1494"/>
      <c r="CK628" s="1494"/>
      <c r="CL628" s="576" t="s">
        <v>2191</v>
      </c>
      <c r="CM628" s="1540" t="s">
        <v>2195</v>
      </c>
      <c r="CN628" s="1541"/>
      <c r="CO628" s="579" t="s">
        <v>1247</v>
      </c>
      <c r="CP628" s="579" t="s">
        <v>2193</v>
      </c>
    </row>
    <row r="629" spans="32:94" ht="20.100000000000001" customHeight="1">
      <c r="AF629" s="1560"/>
      <c r="AG629" s="107" t="s">
        <v>864</v>
      </c>
      <c r="AH629" s="107">
        <f>INDEX('DEFAULT DATA'!$WD$9:$WJ$41,START!$C$3,3)</f>
        <v>354</v>
      </c>
      <c r="AI629" s="195">
        <f>INDEX('DEFAULT DATA'!$AHX$9:$AJS$41,START!$C$3,(4+(($A$125-1)*8)))</f>
        <v>0</v>
      </c>
      <c r="AJ629" s="115"/>
      <c r="AK629" s="180">
        <v>0</v>
      </c>
      <c r="AL629" s="123">
        <f t="shared" ref="AL629:BN629" si="613">IF(AND(AL$625&gt;($I$125+2020),AL$625&lt;($J$125+2022)),AK629+($AH$629*$C$125*$AI$629*((100-$E$125)/100)*((100-$F$125)/100)/($J$125-$I$125+1)/1000000),AK629)</f>
        <v>0</v>
      </c>
      <c r="AM629" s="123">
        <f t="shared" si="613"/>
        <v>0</v>
      </c>
      <c r="AN629" s="123">
        <f t="shared" si="613"/>
        <v>0</v>
      </c>
      <c r="AO629" s="123">
        <f t="shared" si="613"/>
        <v>0</v>
      </c>
      <c r="AP629" s="123">
        <f t="shared" si="613"/>
        <v>0</v>
      </c>
      <c r="AQ629" s="123">
        <f t="shared" si="613"/>
        <v>0</v>
      </c>
      <c r="AR629" s="123">
        <f t="shared" si="613"/>
        <v>0</v>
      </c>
      <c r="AS629" s="123">
        <f t="shared" si="613"/>
        <v>0</v>
      </c>
      <c r="AT629" s="123">
        <f t="shared" si="613"/>
        <v>0</v>
      </c>
      <c r="AU629" s="123">
        <f t="shared" si="613"/>
        <v>0</v>
      </c>
      <c r="AV629" s="123">
        <f t="shared" si="613"/>
        <v>0</v>
      </c>
      <c r="AW629" s="123">
        <f t="shared" si="613"/>
        <v>0</v>
      </c>
      <c r="AX629" s="123">
        <f t="shared" si="613"/>
        <v>0</v>
      </c>
      <c r="AY629" s="123">
        <f t="shared" si="613"/>
        <v>0</v>
      </c>
      <c r="AZ629" s="123">
        <f t="shared" si="613"/>
        <v>0</v>
      </c>
      <c r="BA629" s="123">
        <f t="shared" si="613"/>
        <v>0</v>
      </c>
      <c r="BB629" s="123">
        <f t="shared" si="613"/>
        <v>0</v>
      </c>
      <c r="BC629" s="123">
        <f t="shared" si="613"/>
        <v>0</v>
      </c>
      <c r="BD629" s="123">
        <f t="shared" si="613"/>
        <v>0</v>
      </c>
      <c r="BE629" s="123">
        <f t="shared" si="613"/>
        <v>0</v>
      </c>
      <c r="BF629" s="123">
        <f t="shared" si="613"/>
        <v>0</v>
      </c>
      <c r="BG629" s="123">
        <f t="shared" si="613"/>
        <v>0</v>
      </c>
      <c r="BH629" s="123">
        <f t="shared" si="613"/>
        <v>0</v>
      </c>
      <c r="BI629" s="123">
        <f t="shared" si="613"/>
        <v>0</v>
      </c>
      <c r="BJ629" s="123">
        <f t="shared" si="613"/>
        <v>0</v>
      </c>
      <c r="BK629" s="123">
        <f t="shared" si="613"/>
        <v>0</v>
      </c>
      <c r="BL629" s="123">
        <f t="shared" si="613"/>
        <v>0</v>
      </c>
      <c r="BM629" s="123">
        <f t="shared" si="613"/>
        <v>0</v>
      </c>
      <c r="BN629" s="159">
        <f t="shared" si="613"/>
        <v>0</v>
      </c>
      <c r="BP629" s="367" t="s">
        <v>864</v>
      </c>
      <c r="BQ629" s="1494" t="str">
        <f t="shared" si="611"/>
        <v>GHG_Coala = GHG_Coala-1 + (C124 * BUI_COL (307 + ((A124 - 1) * 8) * E124 / 100) + (F124 / 100 * BUI_COL (307 + ((A124 - 1) * 8) * (100 - E124) / 103)) * BUI_COL3 / (J124-I124+1) / 1000000</v>
      </c>
      <c r="BR629" s="1494"/>
      <c r="BS629" s="1494"/>
      <c r="BT629" s="1494"/>
      <c r="BU629" s="1494"/>
      <c r="BV629" s="1494"/>
      <c r="BW629" s="1494"/>
      <c r="BX629" s="1494"/>
      <c r="BY629" s="1494"/>
      <c r="BZ629" s="1494"/>
      <c r="CA629" s="1494"/>
      <c r="CB629" s="1494"/>
      <c r="CC629" s="1494"/>
      <c r="CD629" s="1494"/>
      <c r="CE629" s="1494"/>
      <c r="CF629" s="1494"/>
      <c r="CG629" s="1494"/>
      <c r="CH629" s="1494"/>
      <c r="CI629" s="1494"/>
      <c r="CJ629" s="1494"/>
      <c r="CK629" s="1494"/>
      <c r="CL629" s="576" t="s">
        <v>2191</v>
      </c>
      <c r="CM629" s="1540" t="s">
        <v>2196</v>
      </c>
      <c r="CN629" s="1541"/>
      <c r="CO629" s="579" t="s">
        <v>1248</v>
      </c>
      <c r="CP629" s="579" t="s">
        <v>2193</v>
      </c>
    </row>
    <row r="630" spans="32:94" ht="20.100000000000001" customHeight="1">
      <c r="AF630" s="1560"/>
      <c r="AG630" s="107" t="s">
        <v>865</v>
      </c>
      <c r="AH630" s="107">
        <f>INDEX('DEFAULT DATA'!$WD$9:$WJ$41,START!$C$3,4)</f>
        <v>382</v>
      </c>
      <c r="AI630" s="195">
        <f>INDEX('DEFAULT DATA'!$AHX$9:$AJS$41,START!$C$3,(5+(($A$125-1)*8)))</f>
        <v>2.52</v>
      </c>
      <c r="AJ630" s="115"/>
      <c r="AK630" s="180">
        <v>0</v>
      </c>
      <c r="AL630" s="123">
        <f t="shared" ref="AL630:BN630" si="614">IF(AND(AL$625&gt;($I$125+2020),AL$625&lt;($J$125+2022)),AK630+($AH$630*$C$125*$AI$630*((100-$E$125)/100)*((100-$F$125)/100)/($J$125-$I$125+1)/1000000),AK630)</f>
        <v>0</v>
      </c>
      <c r="AM630" s="123">
        <f t="shared" si="614"/>
        <v>0</v>
      </c>
      <c r="AN630" s="123">
        <f t="shared" si="614"/>
        <v>0</v>
      </c>
      <c r="AO630" s="123">
        <f t="shared" si="614"/>
        <v>0</v>
      </c>
      <c r="AP630" s="123">
        <f t="shared" si="614"/>
        <v>0</v>
      </c>
      <c r="AQ630" s="123">
        <f t="shared" si="614"/>
        <v>0</v>
      </c>
      <c r="AR630" s="123">
        <f t="shared" si="614"/>
        <v>0</v>
      </c>
      <c r="AS630" s="123">
        <f t="shared" si="614"/>
        <v>0</v>
      </c>
      <c r="AT630" s="123">
        <f t="shared" si="614"/>
        <v>0</v>
      </c>
      <c r="AU630" s="123">
        <f t="shared" si="614"/>
        <v>0</v>
      </c>
      <c r="AV630" s="123">
        <f t="shared" si="614"/>
        <v>0</v>
      </c>
      <c r="AW630" s="123">
        <f t="shared" si="614"/>
        <v>0</v>
      </c>
      <c r="AX630" s="123">
        <f t="shared" si="614"/>
        <v>0</v>
      </c>
      <c r="AY630" s="123">
        <f t="shared" si="614"/>
        <v>0</v>
      </c>
      <c r="AZ630" s="123">
        <f t="shared" si="614"/>
        <v>0</v>
      </c>
      <c r="BA630" s="123">
        <f t="shared" si="614"/>
        <v>0</v>
      </c>
      <c r="BB630" s="123">
        <f t="shared" si="614"/>
        <v>0</v>
      </c>
      <c r="BC630" s="123">
        <f t="shared" si="614"/>
        <v>0</v>
      </c>
      <c r="BD630" s="123">
        <f t="shared" si="614"/>
        <v>0</v>
      </c>
      <c r="BE630" s="123">
        <f t="shared" si="614"/>
        <v>0</v>
      </c>
      <c r="BF630" s="123">
        <f t="shared" si="614"/>
        <v>0</v>
      </c>
      <c r="BG630" s="123">
        <f t="shared" si="614"/>
        <v>0</v>
      </c>
      <c r="BH630" s="123">
        <f t="shared" si="614"/>
        <v>0</v>
      </c>
      <c r="BI630" s="123">
        <f t="shared" si="614"/>
        <v>0</v>
      </c>
      <c r="BJ630" s="123">
        <f t="shared" si="614"/>
        <v>0</v>
      </c>
      <c r="BK630" s="123">
        <f t="shared" si="614"/>
        <v>0</v>
      </c>
      <c r="BL630" s="123">
        <f t="shared" si="614"/>
        <v>0</v>
      </c>
      <c r="BM630" s="123">
        <f t="shared" si="614"/>
        <v>0</v>
      </c>
      <c r="BN630" s="159">
        <f t="shared" si="614"/>
        <v>0</v>
      </c>
      <c r="BP630" s="367" t="s">
        <v>865</v>
      </c>
      <c r="BQ630" s="1494" t="str">
        <f t="shared" si="611"/>
        <v>GHG_Peata = GHG_Peata-1 + (C124 * BUI_COL (307 + ((A124 - 1) * 8) * E124 / 100) + (F124 / 100 * BUI_COL (307 + ((A124 - 1) * 8) * (100 - E124) / 104)) * BUI_COL4 / (J124-I124+1) / 1000000</v>
      </c>
      <c r="BR630" s="1494"/>
      <c r="BS630" s="1494"/>
      <c r="BT630" s="1494"/>
      <c r="BU630" s="1494"/>
      <c r="BV630" s="1494"/>
      <c r="BW630" s="1494"/>
      <c r="BX630" s="1494"/>
      <c r="BY630" s="1494"/>
      <c r="BZ630" s="1494"/>
      <c r="CA630" s="1494"/>
      <c r="CB630" s="1494"/>
      <c r="CC630" s="1494"/>
      <c r="CD630" s="1494"/>
      <c r="CE630" s="1494"/>
      <c r="CF630" s="1494"/>
      <c r="CG630" s="1494"/>
      <c r="CH630" s="1494"/>
      <c r="CI630" s="1494"/>
      <c r="CJ630" s="1494"/>
      <c r="CK630" s="1494"/>
      <c r="CL630" s="576" t="s">
        <v>2191</v>
      </c>
      <c r="CM630" s="1540" t="s">
        <v>2197</v>
      </c>
      <c r="CN630" s="1541"/>
      <c r="CO630" s="579" t="s">
        <v>1249</v>
      </c>
      <c r="CP630" s="579" t="s">
        <v>2193</v>
      </c>
    </row>
    <row r="631" spans="32:94" ht="20.100000000000001" customHeight="1">
      <c r="AF631" s="1560"/>
      <c r="AG631" s="107" t="s">
        <v>866</v>
      </c>
      <c r="AH631" s="107">
        <f>INDEX('DEFAULT DATA'!$WD$9:$WJ$41,START!$C$3,5)</f>
        <v>403</v>
      </c>
      <c r="AI631" s="195">
        <f>INDEX('DEFAULT DATA'!$AHX$9:$AJS$41,START!$C$3,(6+(($A$125-1)*8)))</f>
        <v>3.06</v>
      </c>
      <c r="AJ631" s="115"/>
      <c r="AK631" s="180">
        <v>0</v>
      </c>
      <c r="AL631" s="123">
        <f t="shared" ref="AL631:BN631" si="615">IF(AND(AL$625&gt;($I$125+2020),AL$625&lt;($J$125+2022)),AK631+($AH$631*$C$125*$AI$631*((100-$E$125)/100)*((100-$F$125)/100)/($J$125-$I$125+1)/1000000),AK631)</f>
        <v>0</v>
      </c>
      <c r="AM631" s="123">
        <f t="shared" si="615"/>
        <v>0</v>
      </c>
      <c r="AN631" s="123">
        <f t="shared" si="615"/>
        <v>0</v>
      </c>
      <c r="AO631" s="123">
        <f t="shared" si="615"/>
        <v>0</v>
      </c>
      <c r="AP631" s="123">
        <f t="shared" si="615"/>
        <v>0</v>
      </c>
      <c r="AQ631" s="123">
        <f t="shared" si="615"/>
        <v>0</v>
      </c>
      <c r="AR631" s="123">
        <f t="shared" si="615"/>
        <v>0</v>
      </c>
      <c r="AS631" s="123">
        <f t="shared" si="615"/>
        <v>0</v>
      </c>
      <c r="AT631" s="123">
        <f t="shared" si="615"/>
        <v>0</v>
      </c>
      <c r="AU631" s="123">
        <f t="shared" si="615"/>
        <v>0</v>
      </c>
      <c r="AV631" s="123">
        <f t="shared" si="615"/>
        <v>0</v>
      </c>
      <c r="AW631" s="123">
        <f t="shared" si="615"/>
        <v>0</v>
      </c>
      <c r="AX631" s="123">
        <f t="shared" si="615"/>
        <v>0</v>
      </c>
      <c r="AY631" s="123">
        <f t="shared" si="615"/>
        <v>0</v>
      </c>
      <c r="AZ631" s="123">
        <f t="shared" si="615"/>
        <v>0</v>
      </c>
      <c r="BA631" s="123">
        <f t="shared" si="615"/>
        <v>0</v>
      </c>
      <c r="BB631" s="123">
        <f t="shared" si="615"/>
        <v>0</v>
      </c>
      <c r="BC631" s="123">
        <f t="shared" si="615"/>
        <v>0</v>
      </c>
      <c r="BD631" s="123">
        <f t="shared" si="615"/>
        <v>0</v>
      </c>
      <c r="BE631" s="123">
        <f t="shared" si="615"/>
        <v>0</v>
      </c>
      <c r="BF631" s="123">
        <f t="shared" si="615"/>
        <v>0</v>
      </c>
      <c r="BG631" s="123">
        <f t="shared" si="615"/>
        <v>0</v>
      </c>
      <c r="BH631" s="123">
        <f t="shared" si="615"/>
        <v>0</v>
      </c>
      <c r="BI631" s="123">
        <f t="shared" si="615"/>
        <v>0</v>
      </c>
      <c r="BJ631" s="123">
        <f t="shared" si="615"/>
        <v>0</v>
      </c>
      <c r="BK631" s="123">
        <f t="shared" si="615"/>
        <v>0</v>
      </c>
      <c r="BL631" s="123">
        <f t="shared" si="615"/>
        <v>0</v>
      </c>
      <c r="BM631" s="123">
        <f t="shared" si="615"/>
        <v>0</v>
      </c>
      <c r="BN631" s="159">
        <f t="shared" si="615"/>
        <v>0</v>
      </c>
      <c r="BP631" s="367" t="s">
        <v>866</v>
      </c>
      <c r="BQ631" s="1494" t="str">
        <f t="shared" si="611"/>
        <v>GHG_Wooda = GHG_Wooda-1 + (C124 * BUI_COL (307 + ((A124 - 1) * 8) * E124 / 100) + (F124 / 100 * BUI_COL (307 + ((A124 - 1) * 8) * (100 - E124) / 105)) * BUI_COL5 / (J124-I124+1) / 1000000</v>
      </c>
      <c r="BR631" s="1494"/>
      <c r="BS631" s="1494"/>
      <c r="BT631" s="1494"/>
      <c r="BU631" s="1494"/>
      <c r="BV631" s="1494"/>
      <c r="BW631" s="1494"/>
      <c r="BX631" s="1494"/>
      <c r="BY631" s="1494"/>
      <c r="BZ631" s="1494"/>
      <c r="CA631" s="1494"/>
      <c r="CB631" s="1494"/>
      <c r="CC631" s="1494"/>
      <c r="CD631" s="1494"/>
      <c r="CE631" s="1494"/>
      <c r="CF631" s="1494"/>
      <c r="CG631" s="1494"/>
      <c r="CH631" s="1494"/>
      <c r="CI631" s="1494"/>
      <c r="CJ631" s="1494"/>
      <c r="CK631" s="1494"/>
      <c r="CL631" s="576" t="s">
        <v>2191</v>
      </c>
      <c r="CM631" s="1540" t="s">
        <v>2198</v>
      </c>
      <c r="CN631" s="1541"/>
      <c r="CO631" s="579" t="s">
        <v>1250</v>
      </c>
      <c r="CP631" s="579" t="s">
        <v>2193</v>
      </c>
    </row>
    <row r="632" spans="32:94" ht="20.100000000000001" customHeight="1">
      <c r="AF632" s="1560"/>
      <c r="AG632" s="107" t="s">
        <v>867</v>
      </c>
      <c r="AH632" s="107">
        <f>INDEX('DEFAULT DATA'!$WD$9:$WJ$41,START!$C$3,6)</f>
        <v>0</v>
      </c>
      <c r="AI632" s="195">
        <f>INDEX('DEFAULT DATA'!$AHX$9:$AJS$41,START!$C$3,(7+(($A$125-1)*8)))</f>
        <v>0</v>
      </c>
      <c r="AJ632" s="115"/>
      <c r="AK632" s="180">
        <v>0</v>
      </c>
      <c r="AL632" s="123">
        <f t="shared" ref="AL632:BN632" si="616">IF(AND(AL$625&gt;($I$125+2020),AL$625&lt;($J$125+2022)),AK632+($AH$632*$C$125*$AI$632*((100-$E$125)/100)*((100-$F$125)/100)/($J$125-$I$125+1)/1000000),AK632)</f>
        <v>0</v>
      </c>
      <c r="AM632" s="123">
        <f t="shared" si="616"/>
        <v>0</v>
      </c>
      <c r="AN632" s="123">
        <f t="shared" si="616"/>
        <v>0</v>
      </c>
      <c r="AO632" s="123">
        <f t="shared" si="616"/>
        <v>0</v>
      </c>
      <c r="AP632" s="123">
        <f t="shared" si="616"/>
        <v>0</v>
      </c>
      <c r="AQ632" s="123">
        <f t="shared" si="616"/>
        <v>0</v>
      </c>
      <c r="AR632" s="123">
        <f t="shared" si="616"/>
        <v>0</v>
      </c>
      <c r="AS632" s="123">
        <f t="shared" si="616"/>
        <v>0</v>
      </c>
      <c r="AT632" s="123">
        <f t="shared" si="616"/>
        <v>0</v>
      </c>
      <c r="AU632" s="123">
        <f t="shared" si="616"/>
        <v>0</v>
      </c>
      <c r="AV632" s="123">
        <f t="shared" si="616"/>
        <v>0</v>
      </c>
      <c r="AW632" s="123">
        <f t="shared" si="616"/>
        <v>0</v>
      </c>
      <c r="AX632" s="123">
        <f t="shared" si="616"/>
        <v>0</v>
      </c>
      <c r="AY632" s="123">
        <f t="shared" si="616"/>
        <v>0</v>
      </c>
      <c r="AZ632" s="123">
        <f t="shared" si="616"/>
        <v>0</v>
      </c>
      <c r="BA632" s="123">
        <f t="shared" si="616"/>
        <v>0</v>
      </c>
      <c r="BB632" s="123">
        <f t="shared" si="616"/>
        <v>0</v>
      </c>
      <c r="BC632" s="123">
        <f t="shared" si="616"/>
        <v>0</v>
      </c>
      <c r="BD632" s="123">
        <f t="shared" si="616"/>
        <v>0</v>
      </c>
      <c r="BE632" s="123">
        <f t="shared" si="616"/>
        <v>0</v>
      </c>
      <c r="BF632" s="123">
        <f t="shared" si="616"/>
        <v>0</v>
      </c>
      <c r="BG632" s="123">
        <f t="shared" si="616"/>
        <v>0</v>
      </c>
      <c r="BH632" s="123">
        <f t="shared" si="616"/>
        <v>0</v>
      </c>
      <c r="BI632" s="123">
        <f t="shared" si="616"/>
        <v>0</v>
      </c>
      <c r="BJ632" s="123">
        <f t="shared" si="616"/>
        <v>0</v>
      </c>
      <c r="BK632" s="123">
        <f t="shared" si="616"/>
        <v>0</v>
      </c>
      <c r="BL632" s="123">
        <f t="shared" si="616"/>
        <v>0</v>
      </c>
      <c r="BM632" s="123">
        <f t="shared" si="616"/>
        <v>0</v>
      </c>
      <c r="BN632" s="159">
        <f t="shared" si="616"/>
        <v>0</v>
      </c>
      <c r="BP632" s="367" t="s">
        <v>867</v>
      </c>
      <c r="BQ632" s="1494" t="str">
        <f t="shared" si="611"/>
        <v>GHG_Renewablea = GHG_Renewablea-1 + (C124 * BUI_COL (307 + ((A124 - 1) * 8) * E124 / 100) + (F124 / 100 * BUI_COL (307 + ((A124 - 1) * 8) * (100 - E124) / 106)) * BUI_COL6 / (J124-I124+1) / 1000000</v>
      </c>
      <c r="BR632" s="1494"/>
      <c r="BS632" s="1494"/>
      <c r="BT632" s="1494"/>
      <c r="BU632" s="1494"/>
      <c r="BV632" s="1494"/>
      <c r="BW632" s="1494"/>
      <c r="BX632" s="1494"/>
      <c r="BY632" s="1494"/>
      <c r="BZ632" s="1494"/>
      <c r="CA632" s="1494"/>
      <c r="CB632" s="1494"/>
      <c r="CC632" s="1494"/>
      <c r="CD632" s="1494"/>
      <c r="CE632" s="1494"/>
      <c r="CF632" s="1494"/>
      <c r="CG632" s="1494"/>
      <c r="CH632" s="1494"/>
      <c r="CI632" s="1494"/>
      <c r="CJ632" s="1494"/>
      <c r="CK632" s="1494"/>
      <c r="CL632" s="576" t="s">
        <v>2191</v>
      </c>
      <c r="CM632" s="1540" t="s">
        <v>2199</v>
      </c>
      <c r="CN632" s="1541"/>
      <c r="CO632" s="579" t="s">
        <v>1251</v>
      </c>
      <c r="CP632" s="579" t="s">
        <v>2193</v>
      </c>
    </row>
    <row r="633" spans="32:94" ht="20.100000000000001" customHeight="1" thickBot="1">
      <c r="AF633" s="1561"/>
      <c r="AG633" s="146" t="s">
        <v>868</v>
      </c>
      <c r="AH633" s="146" t="s">
        <v>1123</v>
      </c>
      <c r="AI633" s="197">
        <f>INDEX('DEFAULT DATA'!$AHX$9:$AJS$41,START!$C$3,(8+(($A$125-1)*8)))</f>
        <v>4.4965266808490847E-2</v>
      </c>
      <c r="AJ633" s="170"/>
      <c r="AK633" s="183">
        <v>0</v>
      </c>
      <c r="AL633" s="160">
        <f t="shared" ref="AL633:BN633" si="617">IF(AND(AL$625&gt;($I$125+2020),AL$625&lt;($J$125+2022)),AK633+(AL6*$C$125*$AI$633*((100-$E$125)/100)*((100-$F$125)/100)/($J$125-$I$125+1)/1000000),AK633)</f>
        <v>0</v>
      </c>
      <c r="AM633" s="160">
        <f t="shared" si="617"/>
        <v>0</v>
      </c>
      <c r="AN633" s="160">
        <f t="shared" si="617"/>
        <v>0</v>
      </c>
      <c r="AO633" s="160">
        <f t="shared" si="617"/>
        <v>0</v>
      </c>
      <c r="AP633" s="160">
        <f t="shared" si="617"/>
        <v>0</v>
      </c>
      <c r="AQ633" s="160">
        <f t="shared" si="617"/>
        <v>0</v>
      </c>
      <c r="AR633" s="160">
        <f t="shared" si="617"/>
        <v>0</v>
      </c>
      <c r="AS633" s="160">
        <f t="shared" si="617"/>
        <v>0</v>
      </c>
      <c r="AT633" s="160">
        <f t="shared" si="617"/>
        <v>0</v>
      </c>
      <c r="AU633" s="160">
        <f t="shared" si="617"/>
        <v>0</v>
      </c>
      <c r="AV633" s="160">
        <f t="shared" si="617"/>
        <v>0</v>
      </c>
      <c r="AW633" s="160">
        <f t="shared" si="617"/>
        <v>0</v>
      </c>
      <c r="AX633" s="160">
        <f t="shared" si="617"/>
        <v>0</v>
      </c>
      <c r="AY633" s="160">
        <f t="shared" si="617"/>
        <v>0</v>
      </c>
      <c r="AZ633" s="160">
        <f t="shared" si="617"/>
        <v>0</v>
      </c>
      <c r="BA633" s="160">
        <f t="shared" si="617"/>
        <v>0</v>
      </c>
      <c r="BB633" s="160">
        <f t="shared" si="617"/>
        <v>0</v>
      </c>
      <c r="BC633" s="160">
        <f t="shared" si="617"/>
        <v>0</v>
      </c>
      <c r="BD633" s="160">
        <f t="shared" si="617"/>
        <v>0</v>
      </c>
      <c r="BE633" s="160">
        <f t="shared" si="617"/>
        <v>0</v>
      </c>
      <c r="BF633" s="160">
        <f t="shared" si="617"/>
        <v>0</v>
      </c>
      <c r="BG633" s="160">
        <f t="shared" si="617"/>
        <v>0</v>
      </c>
      <c r="BH633" s="160">
        <f t="shared" si="617"/>
        <v>0</v>
      </c>
      <c r="BI633" s="160">
        <f t="shared" si="617"/>
        <v>0</v>
      </c>
      <c r="BJ633" s="160">
        <f t="shared" si="617"/>
        <v>0</v>
      </c>
      <c r="BK633" s="160">
        <f t="shared" si="617"/>
        <v>0</v>
      </c>
      <c r="BL633" s="160">
        <f t="shared" si="617"/>
        <v>0</v>
      </c>
      <c r="BM633" s="160">
        <f t="shared" si="617"/>
        <v>0</v>
      </c>
      <c r="BN633" s="161">
        <f t="shared" si="617"/>
        <v>0</v>
      </c>
      <c r="BP633" s="367" t="s">
        <v>868</v>
      </c>
      <c r="BQ633" s="1494" t="str">
        <f t="shared" si="611"/>
        <v>GHG_Heata = GHG_Heata-1 + (C124 * BUI_COL (307 + ((A124 - 1) * 8) * E124 / 100) + (F124 / 100 * BUI_COL (307 + ((A124 - 1) * 8) * (100 - E124) / 107)) * DISTRICT_HEATING_emission_factora (from row 5) / (J124-I124+1) / 1000000</v>
      </c>
      <c r="BR633" s="1494"/>
      <c r="BS633" s="1494"/>
      <c r="BT633" s="1494"/>
      <c r="BU633" s="1494"/>
      <c r="BV633" s="1494"/>
      <c r="BW633" s="1494"/>
      <c r="BX633" s="1494"/>
      <c r="BY633" s="1494"/>
      <c r="BZ633" s="1494"/>
      <c r="CA633" s="1494"/>
      <c r="CB633" s="1494"/>
      <c r="CC633" s="1494"/>
      <c r="CD633" s="1494"/>
      <c r="CE633" s="1494"/>
      <c r="CF633" s="1494"/>
      <c r="CG633" s="1494"/>
      <c r="CH633" s="1494"/>
      <c r="CI633" s="1494"/>
      <c r="CJ633" s="1494"/>
      <c r="CK633" s="1494"/>
      <c r="CL633" s="576" t="s">
        <v>2191</v>
      </c>
      <c r="CM633" s="1540" t="s">
        <v>2200</v>
      </c>
      <c r="CN633" s="1541"/>
      <c r="CO633" s="579" t="s">
        <v>1508</v>
      </c>
      <c r="CP633" s="579" t="s">
        <v>2193</v>
      </c>
    </row>
    <row r="634" spans="32:94" ht="20.100000000000001" customHeight="1">
      <c r="AF634" s="167"/>
      <c r="AG634" s="144" t="s">
        <v>211</v>
      </c>
      <c r="AH634" s="145"/>
      <c r="AI634" s="198"/>
      <c r="AJ634" s="145"/>
      <c r="AK634" s="179">
        <v>0</v>
      </c>
      <c r="AL634" s="162">
        <f>SUM(AL626:AL633)</f>
        <v>0</v>
      </c>
      <c r="AM634" s="162">
        <f t="shared" ref="AM634" si="618">SUM(AM626:AM633)</f>
        <v>0</v>
      </c>
      <c r="AN634" s="162">
        <f t="shared" ref="AN634" si="619">SUM(AN626:AN633)</f>
        <v>0</v>
      </c>
      <c r="AO634" s="162">
        <f t="shared" ref="AO634" si="620">SUM(AO626:AO633)</f>
        <v>0</v>
      </c>
      <c r="AP634" s="162">
        <f t="shared" ref="AP634" si="621">SUM(AP626:AP633)</f>
        <v>0</v>
      </c>
      <c r="AQ634" s="162">
        <f t="shared" ref="AQ634" si="622">SUM(AQ626:AQ633)</f>
        <v>0</v>
      </c>
      <c r="AR634" s="162">
        <f t="shared" ref="AR634" si="623">SUM(AR626:AR633)</f>
        <v>0</v>
      </c>
      <c r="AS634" s="162">
        <f t="shared" ref="AS634" si="624">SUM(AS626:AS633)</f>
        <v>0</v>
      </c>
      <c r="AT634" s="162">
        <f t="shared" ref="AT634" si="625">SUM(AT626:AT633)</f>
        <v>0</v>
      </c>
      <c r="AU634" s="162">
        <f t="shared" ref="AU634" si="626">SUM(AU626:AU633)</f>
        <v>0</v>
      </c>
      <c r="AV634" s="162">
        <f t="shared" ref="AV634" si="627">SUM(AV626:AV633)</f>
        <v>0</v>
      </c>
      <c r="AW634" s="162">
        <f t="shared" ref="AW634" si="628">SUM(AW626:AW633)</f>
        <v>0</v>
      </c>
      <c r="AX634" s="162">
        <f t="shared" ref="AX634" si="629">SUM(AX626:AX633)</f>
        <v>0</v>
      </c>
      <c r="AY634" s="162">
        <f t="shared" ref="AY634" si="630">SUM(AY626:AY633)</f>
        <v>0</v>
      </c>
      <c r="AZ634" s="162">
        <f t="shared" ref="AZ634" si="631">SUM(AZ626:AZ633)</f>
        <v>0</v>
      </c>
      <c r="BA634" s="162">
        <f t="shared" ref="BA634" si="632">SUM(BA626:BA633)</f>
        <v>0</v>
      </c>
      <c r="BB634" s="162">
        <f t="shared" ref="BB634" si="633">SUM(BB626:BB633)</f>
        <v>0</v>
      </c>
      <c r="BC634" s="162">
        <f t="shared" ref="BC634" si="634">SUM(BC626:BC633)</f>
        <v>0</v>
      </c>
      <c r="BD634" s="162">
        <f t="shared" ref="BD634" si="635">SUM(BD626:BD633)</f>
        <v>0</v>
      </c>
      <c r="BE634" s="162">
        <f t="shared" ref="BE634" si="636">SUM(BE626:BE633)</f>
        <v>0</v>
      </c>
      <c r="BF634" s="162">
        <f t="shared" ref="BF634" si="637">SUM(BF626:BF633)</f>
        <v>0</v>
      </c>
      <c r="BG634" s="162">
        <f t="shared" ref="BG634" si="638">SUM(BG626:BG633)</f>
        <v>0</v>
      </c>
      <c r="BH634" s="162">
        <f t="shared" ref="BH634" si="639">SUM(BH626:BH633)</f>
        <v>0</v>
      </c>
      <c r="BI634" s="162">
        <f t="shared" ref="BI634" si="640">SUM(BI626:BI633)</f>
        <v>0</v>
      </c>
      <c r="BJ634" s="162">
        <f t="shared" ref="BJ634" si="641">SUM(BJ626:BJ633)</f>
        <v>0</v>
      </c>
      <c r="BK634" s="162">
        <f t="shared" ref="BK634" si="642">SUM(BK626:BK633)</f>
        <v>0</v>
      </c>
      <c r="BL634" s="162">
        <f t="shared" ref="BL634" si="643">SUM(BL626:BL633)</f>
        <v>0</v>
      </c>
      <c r="BM634" s="162">
        <f t="shared" ref="BM634" si="644">SUM(BM626:BM633)</f>
        <v>0</v>
      </c>
      <c r="BN634" s="162">
        <f t="shared" ref="BN634" si="645">SUM(BN626:BN633)</f>
        <v>0</v>
      </c>
    </row>
    <row r="635" spans="32:94" ht="20.100000000000001" customHeight="1">
      <c r="AI635" s="199"/>
    </row>
    <row r="636" spans="32:94" ht="20.100000000000001" customHeight="1" thickBot="1">
      <c r="AF636" s="168" t="s">
        <v>1099</v>
      </c>
      <c r="AG636" s="168"/>
      <c r="AH636" s="169" t="s">
        <v>620</v>
      </c>
      <c r="AI636" s="200" t="s">
        <v>898</v>
      </c>
      <c r="AJ636" s="135"/>
      <c r="AK636" s="181">
        <v>2021</v>
      </c>
      <c r="AL636" s="135">
        <v>2022</v>
      </c>
      <c r="AM636" s="135">
        <v>2023</v>
      </c>
      <c r="AN636" s="135">
        <v>2024</v>
      </c>
      <c r="AO636" s="135">
        <v>2025</v>
      </c>
      <c r="AP636" s="135">
        <v>2026</v>
      </c>
      <c r="AQ636" s="135">
        <v>2027</v>
      </c>
      <c r="AR636" s="135">
        <v>2028</v>
      </c>
      <c r="AS636" s="135">
        <v>2029</v>
      </c>
      <c r="AT636" s="135">
        <v>2030</v>
      </c>
      <c r="AU636" s="135">
        <v>2031</v>
      </c>
      <c r="AV636" s="135">
        <v>2032</v>
      </c>
      <c r="AW636" s="135">
        <v>2033</v>
      </c>
      <c r="AX636" s="135">
        <v>2034</v>
      </c>
      <c r="AY636" s="135">
        <v>2035</v>
      </c>
      <c r="AZ636" s="135">
        <v>2036</v>
      </c>
      <c r="BA636" s="135">
        <v>2037</v>
      </c>
      <c r="BB636" s="135">
        <v>2038</v>
      </c>
      <c r="BC636" s="135">
        <v>2039</v>
      </c>
      <c r="BD636" s="135">
        <v>2040</v>
      </c>
      <c r="BE636" s="135">
        <v>2041</v>
      </c>
      <c r="BF636" s="135">
        <v>2042</v>
      </c>
      <c r="BG636" s="135">
        <v>2043</v>
      </c>
      <c r="BH636" s="135">
        <v>2044</v>
      </c>
      <c r="BI636" s="135">
        <v>2045</v>
      </c>
      <c r="BJ636" s="135">
        <v>2046</v>
      </c>
      <c r="BK636" s="135">
        <v>2047</v>
      </c>
      <c r="BL636" s="135">
        <v>2048</v>
      </c>
      <c r="BM636" s="135">
        <v>2049</v>
      </c>
      <c r="BN636" s="135">
        <v>2050</v>
      </c>
      <c r="BQ636" s="82" t="s">
        <v>2208</v>
      </c>
      <c r="BR636" s="250"/>
      <c r="BS636" s="250"/>
      <c r="BT636" s="250"/>
      <c r="BU636" s="250"/>
      <c r="BV636" s="250"/>
      <c r="BW636" s="250"/>
      <c r="BX636" s="250"/>
      <c r="BY636" s="250"/>
      <c r="BZ636" s="250"/>
      <c r="CA636" s="250"/>
      <c r="CB636" s="250"/>
      <c r="CC636" s="250"/>
      <c r="CD636" s="250"/>
      <c r="CE636" s="250"/>
      <c r="CF636" s="250"/>
      <c r="CG636" s="250"/>
      <c r="CH636" s="250"/>
      <c r="CI636" s="250"/>
      <c r="CJ636" s="250"/>
      <c r="CK636" s="250"/>
      <c r="CL636" s="605" t="s">
        <v>2201</v>
      </c>
      <c r="CM636" s="130" t="s">
        <v>2202</v>
      </c>
      <c r="CN636" s="130"/>
      <c r="CO636" s="606" t="s">
        <v>1224</v>
      </c>
      <c r="CP636" s="130" t="s">
        <v>2172</v>
      </c>
    </row>
    <row r="637" spans="32:94" ht="20.100000000000001" customHeight="1">
      <c r="AF637" s="1559" t="str">
        <f>INDEX('MENU OPTIONS'!B31:B36,A126,1)</f>
        <v>Health</v>
      </c>
      <c r="AG637" s="137" t="s">
        <v>578</v>
      </c>
      <c r="AH637" s="137" t="s">
        <v>1122</v>
      </c>
      <c r="AI637" s="196">
        <f>INDEX('DEFAULT DATA'!$AHX$9:$AJS$41,START!$C$3,(1+(($A$126-1)*8)))</f>
        <v>420</v>
      </c>
      <c r="AJ637" s="165"/>
      <c r="AK637" s="178">
        <v>0</v>
      </c>
      <c r="AL637" s="205">
        <f t="shared" ref="AL637:BN637" si="646">IF(AND(AL$636&gt;($I$126+2020),AL$636&lt;($J$126+2022)),AK637+(AL$5*$C$126*$AI$637*((100-$E$126)/100)*((100-$F$126)/100)/($J$126-$I$126+1)/1000000),AK637)</f>
        <v>0</v>
      </c>
      <c r="AM637" s="205">
        <f t="shared" si="646"/>
        <v>0</v>
      </c>
      <c r="AN637" s="205">
        <f t="shared" si="646"/>
        <v>0</v>
      </c>
      <c r="AO637" s="205">
        <f t="shared" si="646"/>
        <v>0</v>
      </c>
      <c r="AP637" s="205">
        <f t="shared" si="646"/>
        <v>0</v>
      </c>
      <c r="AQ637" s="205">
        <f t="shared" si="646"/>
        <v>0</v>
      </c>
      <c r="AR637" s="205">
        <f t="shared" si="646"/>
        <v>0</v>
      </c>
      <c r="AS637" s="205">
        <f t="shared" si="646"/>
        <v>0</v>
      </c>
      <c r="AT637" s="205">
        <f t="shared" si="646"/>
        <v>0</v>
      </c>
      <c r="AU637" s="205">
        <f t="shared" si="646"/>
        <v>0</v>
      </c>
      <c r="AV637" s="205">
        <f t="shared" si="646"/>
        <v>0</v>
      </c>
      <c r="AW637" s="205">
        <f t="shared" si="646"/>
        <v>0</v>
      </c>
      <c r="AX637" s="205">
        <f t="shared" si="646"/>
        <v>0</v>
      </c>
      <c r="AY637" s="205">
        <f t="shared" si="646"/>
        <v>0</v>
      </c>
      <c r="AZ637" s="205">
        <f t="shared" si="646"/>
        <v>0</v>
      </c>
      <c r="BA637" s="205">
        <f t="shared" si="646"/>
        <v>0</v>
      </c>
      <c r="BB637" s="205">
        <f t="shared" si="646"/>
        <v>0</v>
      </c>
      <c r="BC637" s="205">
        <f t="shared" si="646"/>
        <v>0</v>
      </c>
      <c r="BD637" s="205">
        <f t="shared" si="646"/>
        <v>0</v>
      </c>
      <c r="BE637" s="205">
        <f t="shared" si="646"/>
        <v>0</v>
      </c>
      <c r="BF637" s="205">
        <f t="shared" si="646"/>
        <v>0</v>
      </c>
      <c r="BG637" s="205">
        <f t="shared" si="646"/>
        <v>0</v>
      </c>
      <c r="BH637" s="205">
        <f t="shared" si="646"/>
        <v>0</v>
      </c>
      <c r="BI637" s="205">
        <f t="shared" si="646"/>
        <v>0</v>
      </c>
      <c r="BJ637" s="205">
        <f t="shared" si="646"/>
        <v>0</v>
      </c>
      <c r="BK637" s="205">
        <f t="shared" si="646"/>
        <v>0</v>
      </c>
      <c r="BL637" s="205">
        <f t="shared" si="646"/>
        <v>0</v>
      </c>
      <c r="BM637" s="205">
        <f t="shared" si="646"/>
        <v>0</v>
      </c>
      <c r="BN637" s="206">
        <f t="shared" si="646"/>
        <v>0</v>
      </c>
      <c r="BP637" s="367" t="s">
        <v>578</v>
      </c>
      <c r="BQ637" s="1494" t="str">
        <f>CONCATENATE("GHG_",BP637,"a = GHG_",BP637,"a-1 + (C125 * ",CL637," * E125 / 100) + (F125 / 100 * ",CM637,")) * ",CO637," / (",CP637,") / 1000000")</f>
        <v>GHG_Electricitya = GHG_Electricitya-1 + (C125 * BUI_COL (307 + ((A125 - 1) * 8) * E125 / 100) + (F125 / 100 * BUI_COL (307 + ((A125 - 1) * 8) * (100 - E125) / 100)) * GRID_ELECTRICITY_emission_factora (from row4) / (J125-I125+1) / 1000000</v>
      </c>
      <c r="BR637" s="1494"/>
      <c r="BS637" s="1494"/>
      <c r="BT637" s="1494"/>
      <c r="BU637" s="1494"/>
      <c r="BV637" s="1494"/>
      <c r="BW637" s="1494"/>
      <c r="BX637" s="1494"/>
      <c r="BY637" s="1494"/>
      <c r="BZ637" s="1494"/>
      <c r="CA637" s="1494"/>
      <c r="CB637" s="1494"/>
      <c r="CC637" s="1494"/>
      <c r="CD637" s="1494"/>
      <c r="CE637" s="1494"/>
      <c r="CF637" s="1494"/>
      <c r="CG637" s="1494"/>
      <c r="CH637" s="1494"/>
      <c r="CI637" s="1494"/>
      <c r="CJ637" s="1494"/>
      <c r="CK637" s="1494"/>
      <c r="CL637" s="576" t="s">
        <v>2203</v>
      </c>
      <c r="CM637" s="1540" t="s">
        <v>2204</v>
      </c>
      <c r="CN637" s="1541"/>
      <c r="CO637" s="579" t="s">
        <v>1507</v>
      </c>
      <c r="CP637" s="579" t="s">
        <v>2205</v>
      </c>
    </row>
    <row r="638" spans="32:94" ht="20.100000000000001" customHeight="1">
      <c r="AF638" s="1560"/>
      <c r="AG638" s="107" t="s">
        <v>862</v>
      </c>
      <c r="AH638" s="107">
        <f>INDEX('DEFAULT DATA'!$WD$9:$WJ$41,START!$C$3,1)</f>
        <v>202</v>
      </c>
      <c r="AI638" s="195">
        <f>INDEX('DEFAULT DATA'!$AHX$9:$AJS$41,START!$C$3,(2+(($A$126-1)*8)))</f>
        <v>32.409999999999997</v>
      </c>
      <c r="AJ638" s="115"/>
      <c r="AK638" s="180">
        <v>0</v>
      </c>
      <c r="AL638" s="123">
        <f t="shared" ref="AL638:BN638" si="647">IF(AND(AL$636&gt;($I$126+2020),AL$636&lt;($J$126+2022)),AK638+($AH$638*$C$126*$AI$638*((100-$E$126)*((100-$F$126)/100)/100)/($J$126-$I$126+1)/1000000),AK638)</f>
        <v>0</v>
      </c>
      <c r="AM638" s="123">
        <f t="shared" si="647"/>
        <v>0</v>
      </c>
      <c r="AN638" s="123">
        <f t="shared" si="647"/>
        <v>0</v>
      </c>
      <c r="AO638" s="123">
        <f t="shared" si="647"/>
        <v>0</v>
      </c>
      <c r="AP638" s="123">
        <f t="shared" si="647"/>
        <v>0</v>
      </c>
      <c r="AQ638" s="123">
        <f t="shared" si="647"/>
        <v>0</v>
      </c>
      <c r="AR638" s="123">
        <f t="shared" si="647"/>
        <v>0</v>
      </c>
      <c r="AS638" s="123">
        <f t="shared" si="647"/>
        <v>0</v>
      </c>
      <c r="AT638" s="123">
        <f t="shared" si="647"/>
        <v>0</v>
      </c>
      <c r="AU638" s="123">
        <f t="shared" si="647"/>
        <v>0</v>
      </c>
      <c r="AV638" s="123">
        <f t="shared" si="647"/>
        <v>0</v>
      </c>
      <c r="AW638" s="123">
        <f t="shared" si="647"/>
        <v>0</v>
      </c>
      <c r="AX638" s="123">
        <f t="shared" si="647"/>
        <v>0</v>
      </c>
      <c r="AY638" s="123">
        <f t="shared" si="647"/>
        <v>0</v>
      </c>
      <c r="AZ638" s="123">
        <f t="shared" si="647"/>
        <v>0</v>
      </c>
      <c r="BA638" s="123">
        <f t="shared" si="647"/>
        <v>0</v>
      </c>
      <c r="BB638" s="123">
        <f t="shared" si="647"/>
        <v>0</v>
      </c>
      <c r="BC638" s="123">
        <f t="shared" si="647"/>
        <v>0</v>
      </c>
      <c r="BD638" s="123">
        <f t="shared" si="647"/>
        <v>0</v>
      </c>
      <c r="BE638" s="123">
        <f t="shared" si="647"/>
        <v>0</v>
      </c>
      <c r="BF638" s="123">
        <f t="shared" si="647"/>
        <v>0</v>
      </c>
      <c r="BG638" s="123">
        <f t="shared" si="647"/>
        <v>0</v>
      </c>
      <c r="BH638" s="123">
        <f t="shared" si="647"/>
        <v>0</v>
      </c>
      <c r="BI638" s="123">
        <f t="shared" si="647"/>
        <v>0</v>
      </c>
      <c r="BJ638" s="123">
        <f t="shared" si="647"/>
        <v>0</v>
      </c>
      <c r="BK638" s="123">
        <f t="shared" si="647"/>
        <v>0</v>
      </c>
      <c r="BL638" s="123">
        <f t="shared" si="647"/>
        <v>0</v>
      </c>
      <c r="BM638" s="123">
        <f t="shared" si="647"/>
        <v>0</v>
      </c>
      <c r="BN638" s="159">
        <f t="shared" si="647"/>
        <v>0</v>
      </c>
      <c r="BP638" s="367" t="s">
        <v>862</v>
      </c>
      <c r="BQ638" s="1494" t="str">
        <f t="shared" ref="BQ638:BQ644" si="648">CONCATENATE("GHG_",BP638,"a = GHG_",BP638,"a-1 + (C125 * ",CL638," * E125 / 100) + (F125 / 100 * ",CM638,")) * ",CO638," / (",CP638,") / 1000000")</f>
        <v>GHG_Gasa = GHG_Gasa-1 + (C125 * BUI_COL (307 + ((A125 - 1) * 8) * E125 / 100) + (F125 / 100 * BUI_COL (307 + ((A125 - 1) * 8) * (100 - E125) / 100)) * BUI_COL1 / (J125-I125+1) / 1000000</v>
      </c>
      <c r="BR638" s="1494"/>
      <c r="BS638" s="1494"/>
      <c r="BT638" s="1494"/>
      <c r="BU638" s="1494"/>
      <c r="BV638" s="1494"/>
      <c r="BW638" s="1494"/>
      <c r="BX638" s="1494"/>
      <c r="BY638" s="1494"/>
      <c r="BZ638" s="1494"/>
      <c r="CA638" s="1494"/>
      <c r="CB638" s="1494"/>
      <c r="CC638" s="1494"/>
      <c r="CD638" s="1494"/>
      <c r="CE638" s="1494"/>
      <c r="CF638" s="1494"/>
      <c r="CG638" s="1494"/>
      <c r="CH638" s="1494"/>
      <c r="CI638" s="1494"/>
      <c r="CJ638" s="1494"/>
      <c r="CK638" s="1494"/>
      <c r="CL638" s="576" t="s">
        <v>2203</v>
      </c>
      <c r="CM638" s="1540" t="s">
        <v>2204</v>
      </c>
      <c r="CN638" s="1541"/>
      <c r="CO638" s="579" t="s">
        <v>886</v>
      </c>
      <c r="CP638" s="579" t="s">
        <v>2205</v>
      </c>
    </row>
    <row r="639" spans="32:94" ht="20.100000000000001" customHeight="1">
      <c r="AF639" s="1560"/>
      <c r="AG639" s="107" t="s">
        <v>863</v>
      </c>
      <c r="AH639" s="107">
        <f>INDEX('DEFAULT DATA'!$WD$9:$WJ$41,START!$C$3,2)</f>
        <v>267</v>
      </c>
      <c r="AI639" s="195">
        <f>INDEX('DEFAULT DATA'!$AHX$9:$AJS$41,START!$C$3,(3+(($A$126-1)*8)))</f>
        <v>27.01</v>
      </c>
      <c r="AJ639" s="115"/>
      <c r="AK639" s="180">
        <v>0</v>
      </c>
      <c r="AL639" s="123">
        <f t="shared" ref="AL639:BN639" si="649">IF(AND(AL$636&gt;($I$126+2020),AL$636&lt;($J$126+2022)),AK639+($AH$639*$C$126*$AI$639*((100-$E$126)*((100-$F$126)/100)/100)/($J$126-$I$126+1)/1000000),AK639)</f>
        <v>0</v>
      </c>
      <c r="AM639" s="123">
        <f t="shared" si="649"/>
        <v>0</v>
      </c>
      <c r="AN639" s="123">
        <f t="shared" si="649"/>
        <v>0</v>
      </c>
      <c r="AO639" s="123">
        <f t="shared" si="649"/>
        <v>0</v>
      </c>
      <c r="AP639" s="123">
        <f t="shared" si="649"/>
        <v>0</v>
      </c>
      <c r="AQ639" s="123">
        <f t="shared" si="649"/>
        <v>0</v>
      </c>
      <c r="AR639" s="123">
        <f t="shared" si="649"/>
        <v>0</v>
      </c>
      <c r="AS639" s="123">
        <f t="shared" si="649"/>
        <v>0</v>
      </c>
      <c r="AT639" s="123">
        <f t="shared" si="649"/>
        <v>0</v>
      </c>
      <c r="AU639" s="123">
        <f t="shared" si="649"/>
        <v>0</v>
      </c>
      <c r="AV639" s="123">
        <f t="shared" si="649"/>
        <v>0</v>
      </c>
      <c r="AW639" s="123">
        <f t="shared" si="649"/>
        <v>0</v>
      </c>
      <c r="AX639" s="123">
        <f t="shared" si="649"/>
        <v>0</v>
      </c>
      <c r="AY639" s="123">
        <f t="shared" si="649"/>
        <v>0</v>
      </c>
      <c r="AZ639" s="123">
        <f t="shared" si="649"/>
        <v>0</v>
      </c>
      <c r="BA639" s="123">
        <f t="shared" si="649"/>
        <v>0</v>
      </c>
      <c r="BB639" s="123">
        <f t="shared" si="649"/>
        <v>0</v>
      </c>
      <c r="BC639" s="123">
        <f t="shared" si="649"/>
        <v>0</v>
      </c>
      <c r="BD639" s="123">
        <f t="shared" si="649"/>
        <v>0</v>
      </c>
      <c r="BE639" s="123">
        <f t="shared" si="649"/>
        <v>0</v>
      </c>
      <c r="BF639" s="123">
        <f t="shared" si="649"/>
        <v>0</v>
      </c>
      <c r="BG639" s="123">
        <f t="shared" si="649"/>
        <v>0</v>
      </c>
      <c r="BH639" s="123">
        <f t="shared" si="649"/>
        <v>0</v>
      </c>
      <c r="BI639" s="123">
        <f t="shared" si="649"/>
        <v>0</v>
      </c>
      <c r="BJ639" s="123">
        <f t="shared" si="649"/>
        <v>0</v>
      </c>
      <c r="BK639" s="123">
        <f t="shared" si="649"/>
        <v>0</v>
      </c>
      <c r="BL639" s="123">
        <f t="shared" si="649"/>
        <v>0</v>
      </c>
      <c r="BM639" s="123">
        <f t="shared" si="649"/>
        <v>0</v>
      </c>
      <c r="BN639" s="159">
        <f t="shared" si="649"/>
        <v>0</v>
      </c>
      <c r="BP639" s="367" t="s">
        <v>863</v>
      </c>
      <c r="BQ639" s="1494" t="str">
        <f t="shared" si="648"/>
        <v>GHG_Oila = GHG_Oila-1 + (C125 * BUI_COL (307 + ((A125 - 1) * 8) * E125 / 100) + (F125 / 100 * BUI_COL (307 + ((A125 - 1) * 8) * (100 - E125) / 100)) * BUI_COL2 / (J125-I125+1) / 1000000</v>
      </c>
      <c r="BR639" s="1494"/>
      <c r="BS639" s="1494"/>
      <c r="BT639" s="1494"/>
      <c r="BU639" s="1494"/>
      <c r="BV639" s="1494"/>
      <c r="BW639" s="1494"/>
      <c r="BX639" s="1494"/>
      <c r="BY639" s="1494"/>
      <c r="BZ639" s="1494"/>
      <c r="CA639" s="1494"/>
      <c r="CB639" s="1494"/>
      <c r="CC639" s="1494"/>
      <c r="CD639" s="1494"/>
      <c r="CE639" s="1494"/>
      <c r="CF639" s="1494"/>
      <c r="CG639" s="1494"/>
      <c r="CH639" s="1494"/>
      <c r="CI639" s="1494"/>
      <c r="CJ639" s="1494"/>
      <c r="CK639" s="1494"/>
      <c r="CL639" s="576" t="s">
        <v>2203</v>
      </c>
      <c r="CM639" s="1540" t="s">
        <v>2204</v>
      </c>
      <c r="CN639" s="1541"/>
      <c r="CO639" s="579" t="s">
        <v>1247</v>
      </c>
      <c r="CP639" s="579" t="s">
        <v>2205</v>
      </c>
    </row>
    <row r="640" spans="32:94" ht="20.100000000000001" customHeight="1">
      <c r="AF640" s="1560"/>
      <c r="AG640" s="107" t="s">
        <v>864</v>
      </c>
      <c r="AH640" s="107">
        <f>INDEX('DEFAULT DATA'!$WD$9:$WJ$41,START!$C$3,3)</f>
        <v>354</v>
      </c>
      <c r="AI640" s="195">
        <f>INDEX('DEFAULT DATA'!$AHX$9:$AJS$41,START!$C$3,(4+(($A$126-1)*8)))</f>
        <v>0</v>
      </c>
      <c r="AJ640" s="115"/>
      <c r="AK640" s="180">
        <v>0</v>
      </c>
      <c r="AL640" s="123">
        <f t="shared" ref="AL640:BN640" si="650">IF(AND(AL$636&gt;($I$126+2020),AL$636&lt;($J$126+2022)),AK640+($AH$640*$C$126*$AI$640*((100-$E$126)*((100-$F$126)/100)/100)/($J$126-$I$126+1)/1000000),AK640)</f>
        <v>0</v>
      </c>
      <c r="AM640" s="123">
        <f t="shared" si="650"/>
        <v>0</v>
      </c>
      <c r="AN640" s="123">
        <f t="shared" si="650"/>
        <v>0</v>
      </c>
      <c r="AO640" s="123">
        <f t="shared" si="650"/>
        <v>0</v>
      </c>
      <c r="AP640" s="123">
        <f t="shared" si="650"/>
        <v>0</v>
      </c>
      <c r="AQ640" s="123">
        <f t="shared" si="650"/>
        <v>0</v>
      </c>
      <c r="AR640" s="123">
        <f t="shared" si="650"/>
        <v>0</v>
      </c>
      <c r="AS640" s="123">
        <f t="shared" si="650"/>
        <v>0</v>
      </c>
      <c r="AT640" s="123">
        <f t="shared" si="650"/>
        <v>0</v>
      </c>
      <c r="AU640" s="123">
        <f t="shared" si="650"/>
        <v>0</v>
      </c>
      <c r="AV640" s="123">
        <f t="shared" si="650"/>
        <v>0</v>
      </c>
      <c r="AW640" s="123">
        <f t="shared" si="650"/>
        <v>0</v>
      </c>
      <c r="AX640" s="123">
        <f t="shared" si="650"/>
        <v>0</v>
      </c>
      <c r="AY640" s="123">
        <f t="shared" si="650"/>
        <v>0</v>
      </c>
      <c r="AZ640" s="123">
        <f t="shared" si="650"/>
        <v>0</v>
      </c>
      <c r="BA640" s="123">
        <f t="shared" si="650"/>
        <v>0</v>
      </c>
      <c r="BB640" s="123">
        <f t="shared" si="650"/>
        <v>0</v>
      </c>
      <c r="BC640" s="123">
        <f t="shared" si="650"/>
        <v>0</v>
      </c>
      <c r="BD640" s="123">
        <f t="shared" si="650"/>
        <v>0</v>
      </c>
      <c r="BE640" s="123">
        <f t="shared" si="650"/>
        <v>0</v>
      </c>
      <c r="BF640" s="123">
        <f t="shared" si="650"/>
        <v>0</v>
      </c>
      <c r="BG640" s="123">
        <f t="shared" si="650"/>
        <v>0</v>
      </c>
      <c r="BH640" s="123">
        <f t="shared" si="650"/>
        <v>0</v>
      </c>
      <c r="BI640" s="123">
        <f t="shared" si="650"/>
        <v>0</v>
      </c>
      <c r="BJ640" s="123">
        <f t="shared" si="650"/>
        <v>0</v>
      </c>
      <c r="BK640" s="123">
        <f t="shared" si="650"/>
        <v>0</v>
      </c>
      <c r="BL640" s="123">
        <f t="shared" si="650"/>
        <v>0</v>
      </c>
      <c r="BM640" s="123">
        <f t="shared" si="650"/>
        <v>0</v>
      </c>
      <c r="BN640" s="159">
        <f t="shared" si="650"/>
        <v>0</v>
      </c>
      <c r="BP640" s="367" t="s">
        <v>864</v>
      </c>
      <c r="BQ640" s="1494" t="str">
        <f t="shared" si="648"/>
        <v>GHG_Coala = GHG_Coala-1 + (C125 * BUI_COL (307 + ((A125 - 1) * 8) * E125 / 100) + (F125 / 100 * BUI_COL (307 + ((A125 - 1) * 8) * (100 - E125) / 100)) * BUI_COL3 / (J125-I125+1) / 1000000</v>
      </c>
      <c r="BR640" s="1494"/>
      <c r="BS640" s="1494"/>
      <c r="BT640" s="1494"/>
      <c r="BU640" s="1494"/>
      <c r="BV640" s="1494"/>
      <c r="BW640" s="1494"/>
      <c r="BX640" s="1494"/>
      <c r="BY640" s="1494"/>
      <c r="BZ640" s="1494"/>
      <c r="CA640" s="1494"/>
      <c r="CB640" s="1494"/>
      <c r="CC640" s="1494"/>
      <c r="CD640" s="1494"/>
      <c r="CE640" s="1494"/>
      <c r="CF640" s="1494"/>
      <c r="CG640" s="1494"/>
      <c r="CH640" s="1494"/>
      <c r="CI640" s="1494"/>
      <c r="CJ640" s="1494"/>
      <c r="CK640" s="1494"/>
      <c r="CL640" s="576" t="s">
        <v>2203</v>
      </c>
      <c r="CM640" s="1540" t="s">
        <v>2204</v>
      </c>
      <c r="CN640" s="1541"/>
      <c r="CO640" s="579" t="s">
        <v>1248</v>
      </c>
      <c r="CP640" s="579" t="s">
        <v>2205</v>
      </c>
    </row>
    <row r="641" spans="32:94" ht="20.100000000000001" customHeight="1">
      <c r="AF641" s="1560"/>
      <c r="AG641" s="107" t="s">
        <v>865</v>
      </c>
      <c r="AH641" s="107">
        <f>INDEX('DEFAULT DATA'!$WD$9:$WJ$41,START!$C$3,4)</f>
        <v>382</v>
      </c>
      <c r="AI641" s="195">
        <f>INDEX('DEFAULT DATA'!$AHX$9:$AJS$41,START!$C$3,(5+(($A$126-1)*8)))</f>
        <v>2.52</v>
      </c>
      <c r="AJ641" s="115"/>
      <c r="AK641" s="180">
        <v>0</v>
      </c>
      <c r="AL641" s="123">
        <f t="shared" ref="AL641:BN641" si="651">IF(AND(AL$636&gt;($I$126+2020),AL$636&lt;($J$126+2022)),AK641+($AH$641*$C$126*$AI$641*((100-$E$126)*((100-$F$126)/100)/100)/($J$126-$I$126+1)/1000000),AK641)</f>
        <v>0</v>
      </c>
      <c r="AM641" s="123">
        <f t="shared" si="651"/>
        <v>0</v>
      </c>
      <c r="AN641" s="123">
        <f t="shared" si="651"/>
        <v>0</v>
      </c>
      <c r="AO641" s="123">
        <f t="shared" si="651"/>
        <v>0</v>
      </c>
      <c r="AP641" s="123">
        <f t="shared" si="651"/>
        <v>0</v>
      </c>
      <c r="AQ641" s="123">
        <f t="shared" si="651"/>
        <v>0</v>
      </c>
      <c r="AR641" s="123">
        <f t="shared" si="651"/>
        <v>0</v>
      </c>
      <c r="AS641" s="123">
        <f t="shared" si="651"/>
        <v>0</v>
      </c>
      <c r="AT641" s="123">
        <f t="shared" si="651"/>
        <v>0</v>
      </c>
      <c r="AU641" s="123">
        <f t="shared" si="651"/>
        <v>0</v>
      </c>
      <c r="AV641" s="123">
        <f t="shared" si="651"/>
        <v>0</v>
      </c>
      <c r="AW641" s="123">
        <f t="shared" si="651"/>
        <v>0</v>
      </c>
      <c r="AX641" s="123">
        <f t="shared" si="651"/>
        <v>0</v>
      </c>
      <c r="AY641" s="123">
        <f t="shared" si="651"/>
        <v>0</v>
      </c>
      <c r="AZ641" s="123">
        <f t="shared" si="651"/>
        <v>0</v>
      </c>
      <c r="BA641" s="123">
        <f t="shared" si="651"/>
        <v>0</v>
      </c>
      <c r="BB641" s="123">
        <f t="shared" si="651"/>
        <v>0</v>
      </c>
      <c r="BC641" s="123">
        <f t="shared" si="651"/>
        <v>0</v>
      </c>
      <c r="BD641" s="123">
        <f t="shared" si="651"/>
        <v>0</v>
      </c>
      <c r="BE641" s="123">
        <f t="shared" si="651"/>
        <v>0</v>
      </c>
      <c r="BF641" s="123">
        <f t="shared" si="651"/>
        <v>0</v>
      </c>
      <c r="BG641" s="123">
        <f t="shared" si="651"/>
        <v>0</v>
      </c>
      <c r="BH641" s="123">
        <f t="shared" si="651"/>
        <v>0</v>
      </c>
      <c r="BI641" s="123">
        <f t="shared" si="651"/>
        <v>0</v>
      </c>
      <c r="BJ641" s="123">
        <f t="shared" si="651"/>
        <v>0</v>
      </c>
      <c r="BK641" s="123">
        <f t="shared" si="651"/>
        <v>0</v>
      </c>
      <c r="BL641" s="123">
        <f t="shared" si="651"/>
        <v>0</v>
      </c>
      <c r="BM641" s="123">
        <f t="shared" si="651"/>
        <v>0</v>
      </c>
      <c r="BN641" s="159">
        <f t="shared" si="651"/>
        <v>0</v>
      </c>
      <c r="BP641" s="367" t="s">
        <v>865</v>
      </c>
      <c r="BQ641" s="1494" t="str">
        <f t="shared" si="648"/>
        <v>GHG_Peata = GHG_Peata-1 + (C125 * BUI_COL (307 + ((A125 - 1) * 8) * E125 / 100) + (F125 / 100 * BUI_COL (307 + ((A125 - 1) * 8) * (100 - E125) / 100)) * BUI_COL4 / (J125-I125+1) / 1000000</v>
      </c>
      <c r="BR641" s="1494"/>
      <c r="BS641" s="1494"/>
      <c r="BT641" s="1494"/>
      <c r="BU641" s="1494"/>
      <c r="BV641" s="1494"/>
      <c r="BW641" s="1494"/>
      <c r="BX641" s="1494"/>
      <c r="BY641" s="1494"/>
      <c r="BZ641" s="1494"/>
      <c r="CA641" s="1494"/>
      <c r="CB641" s="1494"/>
      <c r="CC641" s="1494"/>
      <c r="CD641" s="1494"/>
      <c r="CE641" s="1494"/>
      <c r="CF641" s="1494"/>
      <c r="CG641" s="1494"/>
      <c r="CH641" s="1494"/>
      <c r="CI641" s="1494"/>
      <c r="CJ641" s="1494"/>
      <c r="CK641" s="1494"/>
      <c r="CL641" s="576" t="s">
        <v>2203</v>
      </c>
      <c r="CM641" s="1540" t="s">
        <v>2204</v>
      </c>
      <c r="CN641" s="1541"/>
      <c r="CO641" s="579" t="s">
        <v>1249</v>
      </c>
      <c r="CP641" s="579" t="s">
        <v>2205</v>
      </c>
    </row>
    <row r="642" spans="32:94" ht="20.100000000000001" customHeight="1">
      <c r="AF642" s="1560"/>
      <c r="AG642" s="107" t="s">
        <v>866</v>
      </c>
      <c r="AH642" s="107">
        <f>INDEX('DEFAULT DATA'!$WD$9:$WJ$41,START!$C$3,5)</f>
        <v>403</v>
      </c>
      <c r="AI642" s="195">
        <f>INDEX('DEFAULT DATA'!$AHX$9:$AJS$41,START!$C$3,(6+(($A$126-1)*8)))</f>
        <v>3.06</v>
      </c>
      <c r="AJ642" s="115"/>
      <c r="AK642" s="180">
        <v>0</v>
      </c>
      <c r="AL642" s="123">
        <f t="shared" ref="AL642:BN642" si="652">IF(AND(AL$636&gt;($I$126+2020),AL$636&lt;($J$126+2022)),AK642+($AH$642*$C$126*$AI$642*((100-$E$126)/100)*((100-$F$126)/100)/($J$126-$I$126+1)/1000000),AK642)</f>
        <v>0</v>
      </c>
      <c r="AM642" s="123">
        <f t="shared" si="652"/>
        <v>0</v>
      </c>
      <c r="AN642" s="123">
        <f t="shared" si="652"/>
        <v>0</v>
      </c>
      <c r="AO642" s="123">
        <f t="shared" si="652"/>
        <v>0</v>
      </c>
      <c r="AP642" s="123">
        <f t="shared" si="652"/>
        <v>0</v>
      </c>
      <c r="AQ642" s="123">
        <f t="shared" si="652"/>
        <v>0</v>
      </c>
      <c r="AR642" s="123">
        <f t="shared" si="652"/>
        <v>0</v>
      </c>
      <c r="AS642" s="123">
        <f t="shared" si="652"/>
        <v>0</v>
      </c>
      <c r="AT642" s="123">
        <f t="shared" si="652"/>
        <v>0</v>
      </c>
      <c r="AU642" s="123">
        <f t="shared" si="652"/>
        <v>0</v>
      </c>
      <c r="AV642" s="123">
        <f t="shared" si="652"/>
        <v>0</v>
      </c>
      <c r="AW642" s="123">
        <f t="shared" si="652"/>
        <v>0</v>
      </c>
      <c r="AX642" s="123">
        <f t="shared" si="652"/>
        <v>0</v>
      </c>
      <c r="AY642" s="123">
        <f t="shared" si="652"/>
        <v>0</v>
      </c>
      <c r="AZ642" s="123">
        <f t="shared" si="652"/>
        <v>0</v>
      </c>
      <c r="BA642" s="123">
        <f t="shared" si="652"/>
        <v>0</v>
      </c>
      <c r="BB642" s="123">
        <f t="shared" si="652"/>
        <v>0</v>
      </c>
      <c r="BC642" s="123">
        <f t="shared" si="652"/>
        <v>0</v>
      </c>
      <c r="BD642" s="123">
        <f t="shared" si="652"/>
        <v>0</v>
      </c>
      <c r="BE642" s="123">
        <f t="shared" si="652"/>
        <v>0</v>
      </c>
      <c r="BF642" s="123">
        <f t="shared" si="652"/>
        <v>0</v>
      </c>
      <c r="BG642" s="123">
        <f t="shared" si="652"/>
        <v>0</v>
      </c>
      <c r="BH642" s="123">
        <f t="shared" si="652"/>
        <v>0</v>
      </c>
      <c r="BI642" s="123">
        <f t="shared" si="652"/>
        <v>0</v>
      </c>
      <c r="BJ642" s="123">
        <f t="shared" si="652"/>
        <v>0</v>
      </c>
      <c r="BK642" s="123">
        <f t="shared" si="652"/>
        <v>0</v>
      </c>
      <c r="BL642" s="123">
        <f t="shared" si="652"/>
        <v>0</v>
      </c>
      <c r="BM642" s="123">
        <f t="shared" si="652"/>
        <v>0</v>
      </c>
      <c r="BN642" s="159">
        <f t="shared" si="652"/>
        <v>0</v>
      </c>
      <c r="BP642" s="367" t="s">
        <v>866</v>
      </c>
      <c r="BQ642" s="1494" t="str">
        <f t="shared" si="648"/>
        <v>GHG_Wooda = GHG_Wooda-1 + (C125 * BUI_COL (307 + ((A125 - 1) * 8) * E125 / 100) + (F125 / 100 * BUI_COL (307 + ((A125 - 1) * 8) * (100 - E125) / 100)) * BUI_COL5 / (J125-I125+1) / 1000000</v>
      </c>
      <c r="BR642" s="1494"/>
      <c r="BS642" s="1494"/>
      <c r="BT642" s="1494"/>
      <c r="BU642" s="1494"/>
      <c r="BV642" s="1494"/>
      <c r="BW642" s="1494"/>
      <c r="BX642" s="1494"/>
      <c r="BY642" s="1494"/>
      <c r="BZ642" s="1494"/>
      <c r="CA642" s="1494"/>
      <c r="CB642" s="1494"/>
      <c r="CC642" s="1494"/>
      <c r="CD642" s="1494"/>
      <c r="CE642" s="1494"/>
      <c r="CF642" s="1494"/>
      <c r="CG642" s="1494"/>
      <c r="CH642" s="1494"/>
      <c r="CI642" s="1494"/>
      <c r="CJ642" s="1494"/>
      <c r="CK642" s="1494"/>
      <c r="CL642" s="576" t="s">
        <v>2203</v>
      </c>
      <c r="CM642" s="1540" t="s">
        <v>2204</v>
      </c>
      <c r="CN642" s="1541"/>
      <c r="CO642" s="579" t="s">
        <v>1250</v>
      </c>
      <c r="CP642" s="579" t="s">
        <v>2205</v>
      </c>
    </row>
    <row r="643" spans="32:94" ht="20.100000000000001" customHeight="1">
      <c r="AF643" s="1560"/>
      <c r="AG643" s="107" t="s">
        <v>867</v>
      </c>
      <c r="AH643" s="107">
        <f>INDEX('DEFAULT DATA'!$WD$9:$WJ$41,START!$C$3,6)</f>
        <v>0</v>
      </c>
      <c r="AI643" s="195">
        <f>INDEX('DEFAULT DATA'!$AHX$9:$AJS$41,START!$C$3,(7+(($A$126-1)*8)))</f>
        <v>0</v>
      </c>
      <c r="AJ643" s="115"/>
      <c r="AK643" s="180">
        <v>0</v>
      </c>
      <c r="AL643" s="123">
        <f t="shared" ref="AL643:BN643" si="653">IF(AND(AL$636&gt;($I$126+2020),AL$636&lt;($J$126+2022)),AK643+($AH$643*$C$126*$AI$643*((100-$E$126)/100)*((100-$F$126)/100)/($J$126-$I$126+1)/1000000),AK643)</f>
        <v>0</v>
      </c>
      <c r="AM643" s="123">
        <f t="shared" si="653"/>
        <v>0</v>
      </c>
      <c r="AN643" s="123">
        <f t="shared" si="653"/>
        <v>0</v>
      </c>
      <c r="AO643" s="123">
        <f t="shared" si="653"/>
        <v>0</v>
      </c>
      <c r="AP643" s="123">
        <f t="shared" si="653"/>
        <v>0</v>
      </c>
      <c r="AQ643" s="123">
        <f t="shared" si="653"/>
        <v>0</v>
      </c>
      <c r="AR643" s="123">
        <f t="shared" si="653"/>
        <v>0</v>
      </c>
      <c r="AS643" s="123">
        <f t="shared" si="653"/>
        <v>0</v>
      </c>
      <c r="AT643" s="123">
        <f t="shared" si="653"/>
        <v>0</v>
      </c>
      <c r="AU643" s="123">
        <f t="shared" si="653"/>
        <v>0</v>
      </c>
      <c r="AV643" s="123">
        <f t="shared" si="653"/>
        <v>0</v>
      </c>
      <c r="AW643" s="123">
        <f t="shared" si="653"/>
        <v>0</v>
      </c>
      <c r="AX643" s="123">
        <f t="shared" si="653"/>
        <v>0</v>
      </c>
      <c r="AY643" s="123">
        <f t="shared" si="653"/>
        <v>0</v>
      </c>
      <c r="AZ643" s="123">
        <f t="shared" si="653"/>
        <v>0</v>
      </c>
      <c r="BA643" s="123">
        <f t="shared" si="653"/>
        <v>0</v>
      </c>
      <c r="BB643" s="123">
        <f t="shared" si="653"/>
        <v>0</v>
      </c>
      <c r="BC643" s="123">
        <f t="shared" si="653"/>
        <v>0</v>
      </c>
      <c r="BD643" s="123">
        <f t="shared" si="653"/>
        <v>0</v>
      </c>
      <c r="BE643" s="123">
        <f t="shared" si="653"/>
        <v>0</v>
      </c>
      <c r="BF643" s="123">
        <f t="shared" si="653"/>
        <v>0</v>
      </c>
      <c r="BG643" s="123">
        <f t="shared" si="653"/>
        <v>0</v>
      </c>
      <c r="BH643" s="123">
        <f t="shared" si="653"/>
        <v>0</v>
      </c>
      <c r="BI643" s="123">
        <f t="shared" si="653"/>
        <v>0</v>
      </c>
      <c r="BJ643" s="123">
        <f t="shared" si="653"/>
        <v>0</v>
      </c>
      <c r="BK643" s="123">
        <f t="shared" si="653"/>
        <v>0</v>
      </c>
      <c r="BL643" s="123">
        <f t="shared" si="653"/>
        <v>0</v>
      </c>
      <c r="BM643" s="123">
        <f t="shared" si="653"/>
        <v>0</v>
      </c>
      <c r="BN643" s="159">
        <f t="shared" si="653"/>
        <v>0</v>
      </c>
      <c r="BP643" s="367" t="s">
        <v>867</v>
      </c>
      <c r="BQ643" s="1494" t="str">
        <f t="shared" si="648"/>
        <v>GHG_Renewablea = GHG_Renewablea-1 + (C125 * BUI_COL (307 + ((A125 - 1) * 8) * E125 / 100) + (F125 / 100 * BUI_COL (307 + ((A125 - 1) * 8) * (100 - E125) / 100)) * BUI_COL6 / (J125-I125+1) / 1000000</v>
      </c>
      <c r="BR643" s="1494"/>
      <c r="BS643" s="1494"/>
      <c r="BT643" s="1494"/>
      <c r="BU643" s="1494"/>
      <c r="BV643" s="1494"/>
      <c r="BW643" s="1494"/>
      <c r="BX643" s="1494"/>
      <c r="BY643" s="1494"/>
      <c r="BZ643" s="1494"/>
      <c r="CA643" s="1494"/>
      <c r="CB643" s="1494"/>
      <c r="CC643" s="1494"/>
      <c r="CD643" s="1494"/>
      <c r="CE643" s="1494"/>
      <c r="CF643" s="1494"/>
      <c r="CG643" s="1494"/>
      <c r="CH643" s="1494"/>
      <c r="CI643" s="1494"/>
      <c r="CJ643" s="1494"/>
      <c r="CK643" s="1494"/>
      <c r="CL643" s="576" t="s">
        <v>2203</v>
      </c>
      <c r="CM643" s="1540" t="s">
        <v>2204</v>
      </c>
      <c r="CN643" s="1541"/>
      <c r="CO643" s="579" t="s">
        <v>1251</v>
      </c>
      <c r="CP643" s="579" t="s">
        <v>2205</v>
      </c>
    </row>
    <row r="644" spans="32:94" ht="20.100000000000001" customHeight="1" thickBot="1">
      <c r="AF644" s="1561"/>
      <c r="AG644" s="146" t="s">
        <v>868</v>
      </c>
      <c r="AH644" s="146" t="s">
        <v>1123</v>
      </c>
      <c r="AI644" s="197">
        <f>INDEX('DEFAULT DATA'!$AHX$9:$AJS$41,START!$C$3,(8+(($A$126-1)*8)))</f>
        <v>4.4965266808490847E-2</v>
      </c>
      <c r="AJ644" s="170"/>
      <c r="AK644" s="183">
        <v>0</v>
      </c>
      <c r="AL644" s="160">
        <f t="shared" ref="AL644:BN644" si="654">IF(AND(AL$636&gt;($I$126+2020),AL$636&lt;($J$126+2022)),AK644+(AL$6*$C$126*$AI$644*((100-$E$126)/100)*((100-$F$126)/100)/($J$126-$I$126+1)/1000000),AK644)</f>
        <v>0</v>
      </c>
      <c r="AM644" s="160">
        <f t="shared" si="654"/>
        <v>0</v>
      </c>
      <c r="AN644" s="160">
        <f t="shared" si="654"/>
        <v>0</v>
      </c>
      <c r="AO644" s="160">
        <f t="shared" si="654"/>
        <v>0</v>
      </c>
      <c r="AP644" s="160">
        <f t="shared" si="654"/>
        <v>0</v>
      </c>
      <c r="AQ644" s="160">
        <f t="shared" si="654"/>
        <v>0</v>
      </c>
      <c r="AR644" s="160">
        <f t="shared" si="654"/>
        <v>0</v>
      </c>
      <c r="AS644" s="160">
        <f t="shared" si="654"/>
        <v>0</v>
      </c>
      <c r="AT644" s="160">
        <f t="shared" si="654"/>
        <v>0</v>
      </c>
      <c r="AU644" s="160">
        <f t="shared" si="654"/>
        <v>0</v>
      </c>
      <c r="AV644" s="160">
        <f t="shared" si="654"/>
        <v>0</v>
      </c>
      <c r="AW644" s="160">
        <f t="shared" si="654"/>
        <v>0</v>
      </c>
      <c r="AX644" s="160">
        <f t="shared" si="654"/>
        <v>0</v>
      </c>
      <c r="AY644" s="160">
        <f t="shared" si="654"/>
        <v>0</v>
      </c>
      <c r="AZ644" s="160">
        <f t="shared" si="654"/>
        <v>0</v>
      </c>
      <c r="BA644" s="160">
        <f t="shared" si="654"/>
        <v>0</v>
      </c>
      <c r="BB644" s="160">
        <f t="shared" si="654"/>
        <v>0</v>
      </c>
      <c r="BC644" s="160">
        <f t="shared" si="654"/>
        <v>0</v>
      </c>
      <c r="BD644" s="160">
        <f t="shared" si="654"/>
        <v>0</v>
      </c>
      <c r="BE644" s="160">
        <f t="shared" si="654"/>
        <v>0</v>
      </c>
      <c r="BF644" s="160">
        <f t="shared" si="654"/>
        <v>0</v>
      </c>
      <c r="BG644" s="160">
        <f t="shared" si="654"/>
        <v>0</v>
      </c>
      <c r="BH644" s="160">
        <f t="shared" si="654"/>
        <v>0</v>
      </c>
      <c r="BI644" s="160">
        <f t="shared" si="654"/>
        <v>0</v>
      </c>
      <c r="BJ644" s="160">
        <f t="shared" si="654"/>
        <v>0</v>
      </c>
      <c r="BK644" s="160">
        <f t="shared" si="654"/>
        <v>0</v>
      </c>
      <c r="BL644" s="160">
        <f t="shared" si="654"/>
        <v>0</v>
      </c>
      <c r="BM644" s="160">
        <f t="shared" si="654"/>
        <v>0</v>
      </c>
      <c r="BN644" s="161">
        <f t="shared" si="654"/>
        <v>0</v>
      </c>
      <c r="BP644" s="367" t="s">
        <v>868</v>
      </c>
      <c r="BQ644" s="1494" t="str">
        <f t="shared" si="648"/>
        <v>GHG_Heata = GHG_Heata-1 + (C125 * BUI_COL (307 + ((A125 - 1) * 8) * E125 / 100) + (F125 / 100 * BUI_COL (307 + ((A125 - 1) * 8) * (100 - E125) / 100)) * DISTRICT_HEATING_emission_factora (from row 5) / (J125-I125+1) / 1000000</v>
      </c>
      <c r="BR644" s="1494"/>
      <c r="BS644" s="1494"/>
      <c r="BT644" s="1494"/>
      <c r="BU644" s="1494"/>
      <c r="BV644" s="1494"/>
      <c r="BW644" s="1494"/>
      <c r="BX644" s="1494"/>
      <c r="BY644" s="1494"/>
      <c r="BZ644" s="1494"/>
      <c r="CA644" s="1494"/>
      <c r="CB644" s="1494"/>
      <c r="CC644" s="1494"/>
      <c r="CD644" s="1494"/>
      <c r="CE644" s="1494"/>
      <c r="CF644" s="1494"/>
      <c r="CG644" s="1494"/>
      <c r="CH644" s="1494"/>
      <c r="CI644" s="1494"/>
      <c r="CJ644" s="1494"/>
      <c r="CK644" s="1494"/>
      <c r="CL644" s="576" t="s">
        <v>2203</v>
      </c>
      <c r="CM644" s="1540" t="s">
        <v>2204</v>
      </c>
      <c r="CN644" s="1541"/>
      <c r="CO644" s="579" t="s">
        <v>1508</v>
      </c>
      <c r="CP644" s="579" t="s">
        <v>2205</v>
      </c>
    </row>
    <row r="645" spans="32:94" ht="20.100000000000001" customHeight="1">
      <c r="AF645" s="167"/>
      <c r="AG645" s="144" t="s">
        <v>211</v>
      </c>
      <c r="AH645" s="145"/>
      <c r="AI645" s="198"/>
      <c r="AJ645" s="145"/>
      <c r="AK645" s="179">
        <v>0</v>
      </c>
      <c r="AL645" s="162">
        <f>SUM(AL637:AL644)</f>
        <v>0</v>
      </c>
      <c r="AM645" s="162">
        <f t="shared" ref="AM645" si="655">SUM(AM637:AM644)</f>
        <v>0</v>
      </c>
      <c r="AN645" s="162">
        <f t="shared" ref="AN645" si="656">SUM(AN637:AN644)</f>
        <v>0</v>
      </c>
      <c r="AO645" s="162">
        <f t="shared" ref="AO645" si="657">SUM(AO637:AO644)</f>
        <v>0</v>
      </c>
      <c r="AP645" s="162">
        <f t="shared" ref="AP645" si="658">SUM(AP637:AP644)</f>
        <v>0</v>
      </c>
      <c r="AQ645" s="162">
        <f t="shared" ref="AQ645" si="659">SUM(AQ637:AQ644)</f>
        <v>0</v>
      </c>
      <c r="AR645" s="162">
        <f t="shared" ref="AR645" si="660">SUM(AR637:AR644)</f>
        <v>0</v>
      </c>
      <c r="AS645" s="162">
        <f t="shared" ref="AS645" si="661">SUM(AS637:AS644)</f>
        <v>0</v>
      </c>
      <c r="AT645" s="162">
        <f t="shared" ref="AT645" si="662">SUM(AT637:AT644)</f>
        <v>0</v>
      </c>
      <c r="AU645" s="162">
        <f t="shared" ref="AU645" si="663">SUM(AU637:AU644)</f>
        <v>0</v>
      </c>
      <c r="AV645" s="162">
        <f t="shared" ref="AV645" si="664">SUM(AV637:AV644)</f>
        <v>0</v>
      </c>
      <c r="AW645" s="162">
        <f t="shared" ref="AW645" si="665">SUM(AW637:AW644)</f>
        <v>0</v>
      </c>
      <c r="AX645" s="162">
        <f t="shared" ref="AX645" si="666">SUM(AX637:AX644)</f>
        <v>0</v>
      </c>
      <c r="AY645" s="162">
        <f t="shared" ref="AY645" si="667">SUM(AY637:AY644)</f>
        <v>0</v>
      </c>
      <c r="AZ645" s="162">
        <f t="shared" ref="AZ645" si="668">SUM(AZ637:AZ644)</f>
        <v>0</v>
      </c>
      <c r="BA645" s="162">
        <f t="shared" ref="BA645" si="669">SUM(BA637:BA644)</f>
        <v>0</v>
      </c>
      <c r="BB645" s="162">
        <f t="shared" ref="BB645" si="670">SUM(BB637:BB644)</f>
        <v>0</v>
      </c>
      <c r="BC645" s="162">
        <f t="shared" ref="BC645" si="671">SUM(BC637:BC644)</f>
        <v>0</v>
      </c>
      <c r="BD645" s="162">
        <f t="shared" ref="BD645" si="672">SUM(BD637:BD644)</f>
        <v>0</v>
      </c>
      <c r="BE645" s="162">
        <f t="shared" ref="BE645" si="673">SUM(BE637:BE644)</f>
        <v>0</v>
      </c>
      <c r="BF645" s="162">
        <f t="shared" ref="BF645" si="674">SUM(BF637:BF644)</f>
        <v>0</v>
      </c>
      <c r="BG645" s="162">
        <f t="shared" ref="BG645" si="675">SUM(BG637:BG644)</f>
        <v>0</v>
      </c>
      <c r="BH645" s="162">
        <f t="shared" ref="BH645" si="676">SUM(BH637:BH644)</f>
        <v>0</v>
      </c>
      <c r="BI645" s="162">
        <f t="shared" ref="BI645" si="677">SUM(BI637:BI644)</f>
        <v>0</v>
      </c>
      <c r="BJ645" s="162">
        <f t="shared" ref="BJ645" si="678">SUM(BJ637:BJ644)</f>
        <v>0</v>
      </c>
      <c r="BK645" s="162">
        <f t="shared" ref="BK645" si="679">SUM(BK637:BK644)</f>
        <v>0</v>
      </c>
      <c r="BL645" s="162">
        <f t="shared" ref="BL645" si="680">SUM(BL637:BL644)</f>
        <v>0</v>
      </c>
      <c r="BM645" s="162">
        <f t="shared" ref="BM645" si="681">SUM(BM637:BM644)</f>
        <v>0</v>
      </c>
      <c r="BN645" s="162">
        <f t="shared" ref="BN645" si="682">SUM(BN637:BN644)</f>
        <v>0</v>
      </c>
    </row>
    <row r="646" spans="32:94" ht="20.100000000000001" customHeight="1">
      <c r="AI646" s="199"/>
    </row>
    <row r="647" spans="32:94" ht="20.100000000000001" customHeight="1" thickBot="1">
      <c r="AF647" s="168" t="s">
        <v>1099</v>
      </c>
      <c r="AG647" s="168"/>
      <c r="AH647" s="169" t="s">
        <v>620</v>
      </c>
      <c r="AI647" s="200" t="s">
        <v>898</v>
      </c>
      <c r="AJ647" s="135"/>
      <c r="AK647" s="181">
        <v>2021</v>
      </c>
      <c r="AL647" s="135">
        <v>2022</v>
      </c>
      <c r="AM647" s="135">
        <v>2023</v>
      </c>
      <c r="AN647" s="135">
        <v>2024</v>
      </c>
      <c r="AO647" s="135">
        <v>2025</v>
      </c>
      <c r="AP647" s="135">
        <v>2026</v>
      </c>
      <c r="AQ647" s="135">
        <v>2027</v>
      </c>
      <c r="AR647" s="135">
        <v>2028</v>
      </c>
      <c r="AS647" s="135">
        <v>2029</v>
      </c>
      <c r="AT647" s="135">
        <v>2030</v>
      </c>
      <c r="AU647" s="135">
        <v>2031</v>
      </c>
      <c r="AV647" s="135">
        <v>2032</v>
      </c>
      <c r="AW647" s="135">
        <v>2033</v>
      </c>
      <c r="AX647" s="135">
        <v>2034</v>
      </c>
      <c r="AY647" s="135">
        <v>2035</v>
      </c>
      <c r="AZ647" s="135">
        <v>2036</v>
      </c>
      <c r="BA647" s="135">
        <v>2037</v>
      </c>
      <c r="BB647" s="135">
        <v>2038</v>
      </c>
      <c r="BC647" s="135">
        <v>2039</v>
      </c>
      <c r="BD647" s="135">
        <v>2040</v>
      </c>
      <c r="BE647" s="135">
        <v>2041</v>
      </c>
      <c r="BF647" s="135">
        <v>2042</v>
      </c>
      <c r="BG647" s="135">
        <v>2043</v>
      </c>
      <c r="BH647" s="135">
        <v>2044</v>
      </c>
      <c r="BI647" s="135">
        <v>2045</v>
      </c>
      <c r="BJ647" s="135">
        <v>2046</v>
      </c>
      <c r="BK647" s="135">
        <v>2047</v>
      </c>
      <c r="BL647" s="135">
        <v>2048</v>
      </c>
      <c r="BM647" s="135">
        <v>2049</v>
      </c>
      <c r="BN647" s="135">
        <v>2050</v>
      </c>
      <c r="BQ647" s="82" t="s">
        <v>2209</v>
      </c>
      <c r="BR647" s="250"/>
      <c r="BS647" s="250"/>
      <c r="BT647" s="250"/>
      <c r="BU647" s="250"/>
      <c r="BV647" s="250"/>
      <c r="BW647" s="250"/>
      <c r="BX647" s="250"/>
      <c r="BY647" s="250"/>
      <c r="BZ647" s="250"/>
      <c r="CA647" s="250"/>
      <c r="CB647" s="250"/>
      <c r="CC647" s="250"/>
      <c r="CD647" s="250"/>
      <c r="CE647" s="250"/>
      <c r="CF647" s="250"/>
      <c r="CG647" s="250"/>
      <c r="CH647" s="250"/>
      <c r="CI647" s="250"/>
      <c r="CJ647" s="250"/>
      <c r="CK647" s="250"/>
      <c r="CL647" s="605" t="s">
        <v>2201</v>
      </c>
      <c r="CM647" s="130" t="s">
        <v>2202</v>
      </c>
      <c r="CN647" s="130"/>
      <c r="CO647" s="606" t="s">
        <v>1224</v>
      </c>
      <c r="CP647" s="130" t="s">
        <v>2172</v>
      </c>
    </row>
    <row r="648" spans="32:94" ht="20.100000000000001" customHeight="1">
      <c r="AF648" s="1559" t="str">
        <f>INDEX('MENU OPTIONS'!B31:B36,A127,1)</f>
        <v>Health</v>
      </c>
      <c r="AG648" s="137" t="s">
        <v>578</v>
      </c>
      <c r="AH648" s="137" t="s">
        <v>1122</v>
      </c>
      <c r="AI648" s="196">
        <f>INDEX('DEFAULT DATA'!$AHX$9:$AJS$41,START!$C$3,(1+(($A$127-1)*8)))</f>
        <v>420</v>
      </c>
      <c r="AJ648" s="165"/>
      <c r="AK648" s="178">
        <v>0</v>
      </c>
      <c r="AL648" s="157">
        <f t="shared" ref="AL648:BN648" si="683">IF(AND(AL$647&gt;($I$127+2020),AL$647&lt;($J$127+2022)),AK648+(AL$5*$C$127*$AI$648*((100-$E$127)/100)*((100-$F$127)/100)/($J$127-$I$127+1)/1000000),AK648)</f>
        <v>0</v>
      </c>
      <c r="AM648" s="157">
        <f t="shared" si="683"/>
        <v>0</v>
      </c>
      <c r="AN648" s="157">
        <f t="shared" si="683"/>
        <v>0</v>
      </c>
      <c r="AO648" s="157">
        <f t="shared" si="683"/>
        <v>0</v>
      </c>
      <c r="AP648" s="157">
        <f t="shared" si="683"/>
        <v>0</v>
      </c>
      <c r="AQ648" s="157">
        <f t="shared" si="683"/>
        <v>0</v>
      </c>
      <c r="AR648" s="157">
        <f t="shared" si="683"/>
        <v>0</v>
      </c>
      <c r="AS648" s="157">
        <f t="shared" si="683"/>
        <v>0</v>
      </c>
      <c r="AT648" s="157">
        <f t="shared" si="683"/>
        <v>0</v>
      </c>
      <c r="AU648" s="157">
        <f t="shared" si="683"/>
        <v>0</v>
      </c>
      <c r="AV648" s="157">
        <f t="shared" si="683"/>
        <v>0</v>
      </c>
      <c r="AW648" s="157">
        <f t="shared" si="683"/>
        <v>0</v>
      </c>
      <c r="AX648" s="157">
        <f t="shared" si="683"/>
        <v>0</v>
      </c>
      <c r="AY648" s="157">
        <f t="shared" si="683"/>
        <v>0</v>
      </c>
      <c r="AZ648" s="157">
        <f t="shared" si="683"/>
        <v>0</v>
      </c>
      <c r="BA648" s="157">
        <f t="shared" si="683"/>
        <v>0</v>
      </c>
      <c r="BB648" s="157">
        <f t="shared" si="683"/>
        <v>0</v>
      </c>
      <c r="BC648" s="157">
        <f t="shared" si="683"/>
        <v>0</v>
      </c>
      <c r="BD648" s="157">
        <f t="shared" si="683"/>
        <v>0</v>
      </c>
      <c r="BE648" s="157">
        <f t="shared" si="683"/>
        <v>0</v>
      </c>
      <c r="BF648" s="157">
        <f t="shared" si="683"/>
        <v>0</v>
      </c>
      <c r="BG648" s="157">
        <f t="shared" si="683"/>
        <v>0</v>
      </c>
      <c r="BH648" s="157">
        <f t="shared" si="683"/>
        <v>0</v>
      </c>
      <c r="BI648" s="157">
        <f t="shared" si="683"/>
        <v>0</v>
      </c>
      <c r="BJ648" s="157">
        <f t="shared" si="683"/>
        <v>0</v>
      </c>
      <c r="BK648" s="157">
        <f t="shared" si="683"/>
        <v>0</v>
      </c>
      <c r="BL648" s="157">
        <f t="shared" si="683"/>
        <v>0</v>
      </c>
      <c r="BM648" s="157">
        <f t="shared" si="683"/>
        <v>0</v>
      </c>
      <c r="BN648" s="158">
        <f t="shared" si="683"/>
        <v>0</v>
      </c>
      <c r="BP648" s="367" t="s">
        <v>578</v>
      </c>
      <c r="BQ648" s="1494" t="str">
        <f>CONCATENATE("GHG_",BP648,"a = GHG_",BP648,"a-1 + (C126 * ",CL648," * E126 / 100) + (F126 / 100 * ",CM648,")) * ",CO648," / (",CP648,") / 1000000")</f>
        <v>GHG_Electricitya = GHG_Electricitya-1 + (C126 * BUI_COL (307 + ((A126 - 1) * 8) * E126 / 100) + (F126 / 100 * BUI_COL (307 + ((A126 - 1) * 8) * (100 - E126) / 100)) * GRID_ELECTRICITY_emission_factora (from row4) / (J126-I126+1) / 1000000</v>
      </c>
      <c r="BR648" s="1494"/>
      <c r="BS648" s="1494"/>
      <c r="BT648" s="1494"/>
      <c r="BU648" s="1494"/>
      <c r="BV648" s="1494"/>
      <c r="BW648" s="1494"/>
      <c r="BX648" s="1494"/>
      <c r="BY648" s="1494"/>
      <c r="BZ648" s="1494"/>
      <c r="CA648" s="1494"/>
      <c r="CB648" s="1494"/>
      <c r="CC648" s="1494"/>
      <c r="CD648" s="1494"/>
      <c r="CE648" s="1494"/>
      <c r="CF648" s="1494"/>
      <c r="CG648" s="1494"/>
      <c r="CH648" s="1494"/>
      <c r="CI648" s="1494"/>
      <c r="CJ648" s="1494"/>
      <c r="CK648" s="1494"/>
      <c r="CL648" s="576" t="s">
        <v>2210</v>
      </c>
      <c r="CM648" s="1540" t="s">
        <v>2211</v>
      </c>
      <c r="CN648" s="1541"/>
      <c r="CO648" s="579" t="s">
        <v>1507</v>
      </c>
      <c r="CP648" s="579" t="s">
        <v>2212</v>
      </c>
    </row>
    <row r="649" spans="32:94" ht="20.100000000000001" customHeight="1">
      <c r="AF649" s="1560"/>
      <c r="AG649" s="107" t="s">
        <v>862</v>
      </c>
      <c r="AH649" s="107">
        <f>INDEX('DEFAULT DATA'!$WD$9:$WJ$41,START!$C$3,1)</f>
        <v>202</v>
      </c>
      <c r="AI649" s="195">
        <f>INDEX('DEFAULT DATA'!$AHX$9:$AJS$41,START!$C$3,(2+(($A$127-1)*8)))</f>
        <v>32.409999999999997</v>
      </c>
      <c r="AJ649" s="115"/>
      <c r="AK649" s="180">
        <v>0</v>
      </c>
      <c r="AL649" s="123">
        <f t="shared" ref="AL649:BN649" si="684">IF(AND(AL$647&gt;($I$127+2020),AL$647&lt;($J$127+2022)),AK649+($AH$649*$C$127*$AI$649*((100-$E$125)/100)*((100-$F$127)/100)/($J$127-$I$127+1)/1000000),AK649)</f>
        <v>0</v>
      </c>
      <c r="AM649" s="123">
        <f t="shared" si="684"/>
        <v>0</v>
      </c>
      <c r="AN649" s="123">
        <f t="shared" si="684"/>
        <v>0</v>
      </c>
      <c r="AO649" s="123">
        <f t="shared" si="684"/>
        <v>0</v>
      </c>
      <c r="AP649" s="123">
        <f t="shared" si="684"/>
        <v>0</v>
      </c>
      <c r="AQ649" s="123">
        <f t="shared" si="684"/>
        <v>0</v>
      </c>
      <c r="AR649" s="123">
        <f t="shared" si="684"/>
        <v>0</v>
      </c>
      <c r="AS649" s="123">
        <f t="shared" si="684"/>
        <v>0</v>
      </c>
      <c r="AT649" s="123">
        <f t="shared" si="684"/>
        <v>0</v>
      </c>
      <c r="AU649" s="123">
        <f t="shared" si="684"/>
        <v>0</v>
      </c>
      <c r="AV649" s="123">
        <f t="shared" si="684"/>
        <v>0</v>
      </c>
      <c r="AW649" s="123">
        <f t="shared" si="684"/>
        <v>0</v>
      </c>
      <c r="AX649" s="123">
        <f t="shared" si="684"/>
        <v>0</v>
      </c>
      <c r="AY649" s="123">
        <f t="shared" si="684"/>
        <v>0</v>
      </c>
      <c r="AZ649" s="123">
        <f t="shared" si="684"/>
        <v>0</v>
      </c>
      <c r="BA649" s="123">
        <f t="shared" si="684"/>
        <v>0</v>
      </c>
      <c r="BB649" s="123">
        <f t="shared" si="684"/>
        <v>0</v>
      </c>
      <c r="BC649" s="123">
        <f t="shared" si="684"/>
        <v>0</v>
      </c>
      <c r="BD649" s="123">
        <f t="shared" si="684"/>
        <v>0</v>
      </c>
      <c r="BE649" s="123">
        <f t="shared" si="684"/>
        <v>0</v>
      </c>
      <c r="BF649" s="123">
        <f t="shared" si="684"/>
        <v>0</v>
      </c>
      <c r="BG649" s="123">
        <f t="shared" si="684"/>
        <v>0</v>
      </c>
      <c r="BH649" s="123">
        <f t="shared" si="684"/>
        <v>0</v>
      </c>
      <c r="BI649" s="123">
        <f t="shared" si="684"/>
        <v>0</v>
      </c>
      <c r="BJ649" s="123">
        <f t="shared" si="684"/>
        <v>0</v>
      </c>
      <c r="BK649" s="123">
        <f t="shared" si="684"/>
        <v>0</v>
      </c>
      <c r="BL649" s="123">
        <f t="shared" si="684"/>
        <v>0</v>
      </c>
      <c r="BM649" s="123">
        <f t="shared" si="684"/>
        <v>0</v>
      </c>
      <c r="BN649" s="159">
        <f t="shared" si="684"/>
        <v>0</v>
      </c>
      <c r="BP649" s="367" t="s">
        <v>862</v>
      </c>
      <c r="BQ649" s="1494" t="str">
        <f t="shared" ref="BQ649:BQ655" si="685">CONCATENATE("GHG_",BP649,"a = GHG_",BP649,"a-1 + (C126 * ",CL649," * E126 / 100) + (F126 / 100 * ",CM649,")) * ",CO649," / (",CP649,") / 1000000")</f>
        <v>GHG_Gasa = GHG_Gasa-1 + (C126 * BUI_COL (307 + ((A126 - 1) * 8) * E126 / 100) + (F126 / 100 * BUI_COL (307 + ((A126 - 1) * 8) * (100 - E126) / 100)) * BUI_COL1 / (J126-I126+1) / 1000000</v>
      </c>
      <c r="BR649" s="1494"/>
      <c r="BS649" s="1494"/>
      <c r="BT649" s="1494"/>
      <c r="BU649" s="1494"/>
      <c r="BV649" s="1494"/>
      <c r="BW649" s="1494"/>
      <c r="BX649" s="1494"/>
      <c r="BY649" s="1494"/>
      <c r="BZ649" s="1494"/>
      <c r="CA649" s="1494"/>
      <c r="CB649" s="1494"/>
      <c r="CC649" s="1494"/>
      <c r="CD649" s="1494"/>
      <c r="CE649" s="1494"/>
      <c r="CF649" s="1494"/>
      <c r="CG649" s="1494"/>
      <c r="CH649" s="1494"/>
      <c r="CI649" s="1494"/>
      <c r="CJ649" s="1494"/>
      <c r="CK649" s="1494"/>
      <c r="CL649" s="576" t="s">
        <v>2210</v>
      </c>
      <c r="CM649" s="1540" t="s">
        <v>2211</v>
      </c>
      <c r="CN649" s="1541"/>
      <c r="CO649" s="579" t="s">
        <v>886</v>
      </c>
      <c r="CP649" s="579" t="s">
        <v>2212</v>
      </c>
    </row>
    <row r="650" spans="32:94" ht="20.100000000000001" customHeight="1">
      <c r="AF650" s="1560"/>
      <c r="AG650" s="107" t="s">
        <v>863</v>
      </c>
      <c r="AH650" s="107">
        <f>INDEX('DEFAULT DATA'!$WD$9:$WJ$41,START!$C$3,2)</f>
        <v>267</v>
      </c>
      <c r="AI650" s="195">
        <f>INDEX('DEFAULT DATA'!$AHX$9:$AJS$41,START!$C$3,(3+(($A$127-1)*8)))</f>
        <v>27.01</v>
      </c>
      <c r="AJ650" s="115"/>
      <c r="AK650" s="180">
        <v>0</v>
      </c>
      <c r="AL650" s="123">
        <f t="shared" ref="AL650:BN650" si="686">IF(AND(AL$647&gt;($I$127+2020),AL$647&lt;($J$127+2022)),AK650+($AH$650*$C$127*$AI$650*((100-$E$125)/100)*((100-$F$127)/100)/($J$127-$I$127+1)/1000000),AK650)</f>
        <v>0</v>
      </c>
      <c r="AM650" s="123">
        <f t="shared" si="686"/>
        <v>0</v>
      </c>
      <c r="AN650" s="123">
        <f t="shared" si="686"/>
        <v>0</v>
      </c>
      <c r="AO650" s="123">
        <f t="shared" si="686"/>
        <v>0</v>
      </c>
      <c r="AP650" s="123">
        <f t="shared" si="686"/>
        <v>0</v>
      </c>
      <c r="AQ650" s="123">
        <f t="shared" si="686"/>
        <v>0</v>
      </c>
      <c r="AR650" s="123">
        <f t="shared" si="686"/>
        <v>0</v>
      </c>
      <c r="AS650" s="123">
        <f t="shared" si="686"/>
        <v>0</v>
      </c>
      <c r="AT650" s="123">
        <f t="shared" si="686"/>
        <v>0</v>
      </c>
      <c r="AU650" s="123">
        <f t="shared" si="686"/>
        <v>0</v>
      </c>
      <c r="AV650" s="123">
        <f t="shared" si="686"/>
        <v>0</v>
      </c>
      <c r="AW650" s="123">
        <f t="shared" si="686"/>
        <v>0</v>
      </c>
      <c r="AX650" s="123">
        <f t="shared" si="686"/>
        <v>0</v>
      </c>
      <c r="AY650" s="123">
        <f t="shared" si="686"/>
        <v>0</v>
      </c>
      <c r="AZ650" s="123">
        <f t="shared" si="686"/>
        <v>0</v>
      </c>
      <c r="BA650" s="123">
        <f t="shared" si="686"/>
        <v>0</v>
      </c>
      <c r="BB650" s="123">
        <f t="shared" si="686"/>
        <v>0</v>
      </c>
      <c r="BC650" s="123">
        <f t="shared" si="686"/>
        <v>0</v>
      </c>
      <c r="BD650" s="123">
        <f t="shared" si="686"/>
        <v>0</v>
      </c>
      <c r="BE650" s="123">
        <f t="shared" si="686"/>
        <v>0</v>
      </c>
      <c r="BF650" s="123">
        <f t="shared" si="686"/>
        <v>0</v>
      </c>
      <c r="BG650" s="123">
        <f t="shared" si="686"/>
        <v>0</v>
      </c>
      <c r="BH650" s="123">
        <f t="shared" si="686"/>
        <v>0</v>
      </c>
      <c r="BI650" s="123">
        <f t="shared" si="686"/>
        <v>0</v>
      </c>
      <c r="BJ650" s="123">
        <f t="shared" si="686"/>
        <v>0</v>
      </c>
      <c r="BK650" s="123">
        <f t="shared" si="686"/>
        <v>0</v>
      </c>
      <c r="BL650" s="123">
        <f t="shared" si="686"/>
        <v>0</v>
      </c>
      <c r="BM650" s="123">
        <f t="shared" si="686"/>
        <v>0</v>
      </c>
      <c r="BN650" s="159">
        <f t="shared" si="686"/>
        <v>0</v>
      </c>
      <c r="BP650" s="367" t="s">
        <v>863</v>
      </c>
      <c r="BQ650" s="1494" t="str">
        <f t="shared" si="685"/>
        <v>GHG_Oila = GHG_Oila-1 + (C126 * BUI_COL (307 + ((A126 - 1) * 8) * E126 / 100) + (F126 / 100 * BUI_COL (307 + ((A126 - 1) * 8) * (100 - E126) / 100)) * BUI_COL2 / (J126-I126+1) / 1000000</v>
      </c>
      <c r="BR650" s="1494"/>
      <c r="BS650" s="1494"/>
      <c r="BT650" s="1494"/>
      <c r="BU650" s="1494"/>
      <c r="BV650" s="1494"/>
      <c r="BW650" s="1494"/>
      <c r="BX650" s="1494"/>
      <c r="BY650" s="1494"/>
      <c r="BZ650" s="1494"/>
      <c r="CA650" s="1494"/>
      <c r="CB650" s="1494"/>
      <c r="CC650" s="1494"/>
      <c r="CD650" s="1494"/>
      <c r="CE650" s="1494"/>
      <c r="CF650" s="1494"/>
      <c r="CG650" s="1494"/>
      <c r="CH650" s="1494"/>
      <c r="CI650" s="1494"/>
      <c r="CJ650" s="1494"/>
      <c r="CK650" s="1494"/>
      <c r="CL650" s="576" t="s">
        <v>2210</v>
      </c>
      <c r="CM650" s="1540" t="s">
        <v>2211</v>
      </c>
      <c r="CN650" s="1541"/>
      <c r="CO650" s="579" t="s">
        <v>1247</v>
      </c>
      <c r="CP650" s="579" t="s">
        <v>2212</v>
      </c>
    </row>
    <row r="651" spans="32:94" ht="20.100000000000001" customHeight="1">
      <c r="AF651" s="1560"/>
      <c r="AG651" s="107" t="s">
        <v>864</v>
      </c>
      <c r="AH651" s="107">
        <f>INDEX('DEFAULT DATA'!$WD$9:$WJ$41,START!$C$3,3)</f>
        <v>354</v>
      </c>
      <c r="AI651" s="195">
        <f>INDEX('DEFAULT DATA'!$AHX$9:$AJS$41,START!$C$3,(4+(($A$127-1)*8)))</f>
        <v>0</v>
      </c>
      <c r="AJ651" s="115"/>
      <c r="AK651" s="180">
        <v>0</v>
      </c>
      <c r="AL651" s="123">
        <f t="shared" ref="AL651:BN651" si="687">IF(AND(AL$647&gt;($I$127+2020),AL$647&lt;($J$127+2022)),AK651+($AH$651*$C$127*$AI$651*((100-$E$125)/100)*((100-$F$127)/100)/($J$127-$I$127+1)/1000000),AK651)</f>
        <v>0</v>
      </c>
      <c r="AM651" s="123">
        <f t="shared" si="687"/>
        <v>0</v>
      </c>
      <c r="AN651" s="123">
        <f t="shared" si="687"/>
        <v>0</v>
      </c>
      <c r="AO651" s="123">
        <f t="shared" si="687"/>
        <v>0</v>
      </c>
      <c r="AP651" s="123">
        <f t="shared" si="687"/>
        <v>0</v>
      </c>
      <c r="AQ651" s="123">
        <f t="shared" si="687"/>
        <v>0</v>
      </c>
      <c r="AR651" s="123">
        <f t="shared" si="687"/>
        <v>0</v>
      </c>
      <c r="AS651" s="123">
        <f t="shared" si="687"/>
        <v>0</v>
      </c>
      <c r="AT651" s="123">
        <f t="shared" si="687"/>
        <v>0</v>
      </c>
      <c r="AU651" s="123">
        <f t="shared" si="687"/>
        <v>0</v>
      </c>
      <c r="AV651" s="123">
        <f t="shared" si="687"/>
        <v>0</v>
      </c>
      <c r="AW651" s="123">
        <f t="shared" si="687"/>
        <v>0</v>
      </c>
      <c r="AX651" s="123">
        <f t="shared" si="687"/>
        <v>0</v>
      </c>
      <c r="AY651" s="123">
        <f t="shared" si="687"/>
        <v>0</v>
      </c>
      <c r="AZ651" s="123">
        <f t="shared" si="687"/>
        <v>0</v>
      </c>
      <c r="BA651" s="123">
        <f t="shared" si="687"/>
        <v>0</v>
      </c>
      <c r="BB651" s="123">
        <f t="shared" si="687"/>
        <v>0</v>
      </c>
      <c r="BC651" s="123">
        <f t="shared" si="687"/>
        <v>0</v>
      </c>
      <c r="BD651" s="123">
        <f t="shared" si="687"/>
        <v>0</v>
      </c>
      <c r="BE651" s="123">
        <f t="shared" si="687"/>
        <v>0</v>
      </c>
      <c r="BF651" s="123">
        <f t="shared" si="687"/>
        <v>0</v>
      </c>
      <c r="BG651" s="123">
        <f t="shared" si="687"/>
        <v>0</v>
      </c>
      <c r="BH651" s="123">
        <f t="shared" si="687"/>
        <v>0</v>
      </c>
      <c r="BI651" s="123">
        <f t="shared" si="687"/>
        <v>0</v>
      </c>
      <c r="BJ651" s="123">
        <f t="shared" si="687"/>
        <v>0</v>
      </c>
      <c r="BK651" s="123">
        <f t="shared" si="687"/>
        <v>0</v>
      </c>
      <c r="BL651" s="123">
        <f t="shared" si="687"/>
        <v>0</v>
      </c>
      <c r="BM651" s="123">
        <f t="shared" si="687"/>
        <v>0</v>
      </c>
      <c r="BN651" s="159">
        <f t="shared" si="687"/>
        <v>0</v>
      </c>
      <c r="BP651" s="367" t="s">
        <v>864</v>
      </c>
      <c r="BQ651" s="1494" t="str">
        <f t="shared" si="685"/>
        <v>GHG_Coala = GHG_Coala-1 + (C126 * BUI_COL (307 + ((A126 - 1) * 8) * E126 / 100) + (F126 / 100 * BUI_COL (307 + ((A126 - 1) * 8) * (100 - E126) / 100)) * BUI_COL3 / (J126-I126+1) / 1000000</v>
      </c>
      <c r="BR651" s="1494"/>
      <c r="BS651" s="1494"/>
      <c r="BT651" s="1494"/>
      <c r="BU651" s="1494"/>
      <c r="BV651" s="1494"/>
      <c r="BW651" s="1494"/>
      <c r="BX651" s="1494"/>
      <c r="BY651" s="1494"/>
      <c r="BZ651" s="1494"/>
      <c r="CA651" s="1494"/>
      <c r="CB651" s="1494"/>
      <c r="CC651" s="1494"/>
      <c r="CD651" s="1494"/>
      <c r="CE651" s="1494"/>
      <c r="CF651" s="1494"/>
      <c r="CG651" s="1494"/>
      <c r="CH651" s="1494"/>
      <c r="CI651" s="1494"/>
      <c r="CJ651" s="1494"/>
      <c r="CK651" s="1494"/>
      <c r="CL651" s="576" t="s">
        <v>2210</v>
      </c>
      <c r="CM651" s="1540" t="s">
        <v>2211</v>
      </c>
      <c r="CN651" s="1541"/>
      <c r="CO651" s="579" t="s">
        <v>1248</v>
      </c>
      <c r="CP651" s="579" t="s">
        <v>2212</v>
      </c>
    </row>
    <row r="652" spans="32:94" ht="20.100000000000001" customHeight="1">
      <c r="AF652" s="1560"/>
      <c r="AG652" s="107" t="s">
        <v>865</v>
      </c>
      <c r="AH652" s="107">
        <f>INDEX('DEFAULT DATA'!$WD$9:$WJ$41,START!$C$3,4)</f>
        <v>382</v>
      </c>
      <c r="AI652" s="195">
        <f>INDEX('DEFAULT DATA'!$AHX$9:$AJS$41,START!$C$3,(5+(($A$127-1)*8)))</f>
        <v>2.52</v>
      </c>
      <c r="AJ652" s="115"/>
      <c r="AK652" s="180">
        <v>0</v>
      </c>
      <c r="AL652" s="123">
        <f t="shared" ref="AL652:BN652" si="688">IF(AND(AL$647&gt;($I$127+2020),AL$647&lt;($J$127+2022)),AK652+($AH$652*$C$127*$AI$652*((100-$E$125)/100)*((100-$F$127)/100)/($J$127-$I$127+1)/1000000),AK652)</f>
        <v>0</v>
      </c>
      <c r="AM652" s="123">
        <f t="shared" si="688"/>
        <v>0</v>
      </c>
      <c r="AN652" s="123">
        <f t="shared" si="688"/>
        <v>0</v>
      </c>
      <c r="AO652" s="123">
        <f t="shared" si="688"/>
        <v>0</v>
      </c>
      <c r="AP652" s="123">
        <f t="shared" si="688"/>
        <v>0</v>
      </c>
      <c r="AQ652" s="123">
        <f t="shared" si="688"/>
        <v>0</v>
      </c>
      <c r="AR652" s="123">
        <f t="shared" si="688"/>
        <v>0</v>
      </c>
      <c r="AS652" s="123">
        <f t="shared" si="688"/>
        <v>0</v>
      </c>
      <c r="AT652" s="123">
        <f t="shared" si="688"/>
        <v>0</v>
      </c>
      <c r="AU652" s="123">
        <f t="shared" si="688"/>
        <v>0</v>
      </c>
      <c r="AV652" s="123">
        <f t="shared" si="688"/>
        <v>0</v>
      </c>
      <c r="AW652" s="123">
        <f t="shared" si="688"/>
        <v>0</v>
      </c>
      <c r="AX652" s="123">
        <f t="shared" si="688"/>
        <v>0</v>
      </c>
      <c r="AY652" s="123">
        <f t="shared" si="688"/>
        <v>0</v>
      </c>
      <c r="AZ652" s="123">
        <f t="shared" si="688"/>
        <v>0</v>
      </c>
      <c r="BA652" s="123">
        <f t="shared" si="688"/>
        <v>0</v>
      </c>
      <c r="BB652" s="123">
        <f t="shared" si="688"/>
        <v>0</v>
      </c>
      <c r="BC652" s="123">
        <f t="shared" si="688"/>
        <v>0</v>
      </c>
      <c r="BD652" s="123">
        <f t="shared" si="688"/>
        <v>0</v>
      </c>
      <c r="BE652" s="123">
        <f t="shared" si="688"/>
        <v>0</v>
      </c>
      <c r="BF652" s="123">
        <f t="shared" si="688"/>
        <v>0</v>
      </c>
      <c r="BG652" s="123">
        <f t="shared" si="688"/>
        <v>0</v>
      </c>
      <c r="BH652" s="123">
        <f t="shared" si="688"/>
        <v>0</v>
      </c>
      <c r="BI652" s="123">
        <f t="shared" si="688"/>
        <v>0</v>
      </c>
      <c r="BJ652" s="123">
        <f t="shared" si="688"/>
        <v>0</v>
      </c>
      <c r="BK652" s="123">
        <f t="shared" si="688"/>
        <v>0</v>
      </c>
      <c r="BL652" s="123">
        <f t="shared" si="688"/>
        <v>0</v>
      </c>
      <c r="BM652" s="123">
        <f t="shared" si="688"/>
        <v>0</v>
      </c>
      <c r="BN652" s="159">
        <f t="shared" si="688"/>
        <v>0</v>
      </c>
      <c r="BP652" s="367" t="s">
        <v>865</v>
      </c>
      <c r="BQ652" s="1494" t="str">
        <f t="shared" si="685"/>
        <v>GHG_Peata = GHG_Peata-1 + (C126 * BUI_COL (307 + ((A126 - 1) * 8) * E126 / 100) + (F126 / 100 * BUI_COL (307 + ((A126 - 1) * 8) * (100 - E126) / 100)) * BUI_COL4 / (J126-I126+1) / 1000000</v>
      </c>
      <c r="BR652" s="1494"/>
      <c r="BS652" s="1494"/>
      <c r="BT652" s="1494"/>
      <c r="BU652" s="1494"/>
      <c r="BV652" s="1494"/>
      <c r="BW652" s="1494"/>
      <c r="BX652" s="1494"/>
      <c r="BY652" s="1494"/>
      <c r="BZ652" s="1494"/>
      <c r="CA652" s="1494"/>
      <c r="CB652" s="1494"/>
      <c r="CC652" s="1494"/>
      <c r="CD652" s="1494"/>
      <c r="CE652" s="1494"/>
      <c r="CF652" s="1494"/>
      <c r="CG652" s="1494"/>
      <c r="CH652" s="1494"/>
      <c r="CI652" s="1494"/>
      <c r="CJ652" s="1494"/>
      <c r="CK652" s="1494"/>
      <c r="CL652" s="576" t="s">
        <v>2210</v>
      </c>
      <c r="CM652" s="1540" t="s">
        <v>2211</v>
      </c>
      <c r="CN652" s="1541"/>
      <c r="CO652" s="579" t="s">
        <v>1249</v>
      </c>
      <c r="CP652" s="579" t="s">
        <v>2212</v>
      </c>
    </row>
    <row r="653" spans="32:94" ht="20.100000000000001" customHeight="1">
      <c r="AF653" s="1560"/>
      <c r="AG653" s="107" t="s">
        <v>866</v>
      </c>
      <c r="AH653" s="107">
        <f>INDEX('DEFAULT DATA'!$WD$9:$WJ$41,START!$C$3,5)</f>
        <v>403</v>
      </c>
      <c r="AI653" s="195">
        <f>INDEX('DEFAULT DATA'!$AHX$9:$AJS$41,START!$C$3,(6+(($A$127-1)*8)))</f>
        <v>3.06</v>
      </c>
      <c r="AJ653" s="115"/>
      <c r="AK653" s="180">
        <v>0</v>
      </c>
      <c r="AL653" s="123">
        <f t="shared" ref="AL653:BN653" si="689">IF(AND(AL$647&gt;($I$127+2020),AL$647&lt;($J$127+2022)),AK653+($AH$653*$C$127*$AI$653*((100-$E$125)/100)*((100-$F$127)/100)/($J$127-$I$127+1)/1000000),AK653)</f>
        <v>0</v>
      </c>
      <c r="AM653" s="123">
        <f t="shared" si="689"/>
        <v>0</v>
      </c>
      <c r="AN653" s="123">
        <f t="shared" si="689"/>
        <v>0</v>
      </c>
      <c r="AO653" s="123">
        <f t="shared" si="689"/>
        <v>0</v>
      </c>
      <c r="AP653" s="123">
        <f t="shared" si="689"/>
        <v>0</v>
      </c>
      <c r="AQ653" s="123">
        <f t="shared" si="689"/>
        <v>0</v>
      </c>
      <c r="AR653" s="123">
        <f t="shared" si="689"/>
        <v>0</v>
      </c>
      <c r="AS653" s="123">
        <f t="shared" si="689"/>
        <v>0</v>
      </c>
      <c r="AT653" s="123">
        <f t="shared" si="689"/>
        <v>0</v>
      </c>
      <c r="AU653" s="123">
        <f t="shared" si="689"/>
        <v>0</v>
      </c>
      <c r="AV653" s="123">
        <f t="shared" si="689"/>
        <v>0</v>
      </c>
      <c r="AW653" s="123">
        <f t="shared" si="689"/>
        <v>0</v>
      </c>
      <c r="AX653" s="123">
        <f t="shared" si="689"/>
        <v>0</v>
      </c>
      <c r="AY653" s="123">
        <f t="shared" si="689"/>
        <v>0</v>
      </c>
      <c r="AZ653" s="123">
        <f t="shared" si="689"/>
        <v>0</v>
      </c>
      <c r="BA653" s="123">
        <f t="shared" si="689"/>
        <v>0</v>
      </c>
      <c r="BB653" s="123">
        <f t="shared" si="689"/>
        <v>0</v>
      </c>
      <c r="BC653" s="123">
        <f t="shared" si="689"/>
        <v>0</v>
      </c>
      <c r="BD653" s="123">
        <f t="shared" si="689"/>
        <v>0</v>
      </c>
      <c r="BE653" s="123">
        <f t="shared" si="689"/>
        <v>0</v>
      </c>
      <c r="BF653" s="123">
        <f t="shared" si="689"/>
        <v>0</v>
      </c>
      <c r="BG653" s="123">
        <f t="shared" si="689"/>
        <v>0</v>
      </c>
      <c r="BH653" s="123">
        <f t="shared" si="689"/>
        <v>0</v>
      </c>
      <c r="BI653" s="123">
        <f t="shared" si="689"/>
        <v>0</v>
      </c>
      <c r="BJ653" s="123">
        <f t="shared" si="689"/>
        <v>0</v>
      </c>
      <c r="BK653" s="123">
        <f t="shared" si="689"/>
        <v>0</v>
      </c>
      <c r="BL653" s="123">
        <f t="shared" si="689"/>
        <v>0</v>
      </c>
      <c r="BM653" s="123">
        <f t="shared" si="689"/>
        <v>0</v>
      </c>
      <c r="BN653" s="159">
        <f t="shared" si="689"/>
        <v>0</v>
      </c>
      <c r="BP653" s="367" t="s">
        <v>866</v>
      </c>
      <c r="BQ653" s="1494" t="str">
        <f t="shared" si="685"/>
        <v>GHG_Wooda = GHG_Wooda-1 + (C126 * BUI_COL (307 + ((A126 - 1) * 8) * E126 / 100) + (F126 / 100 * BUI_COL (307 + ((A126 - 1) * 8) * (100 - E126) / 100)) * BUI_COL5 / (J126-I126+1) / 1000000</v>
      </c>
      <c r="BR653" s="1494"/>
      <c r="BS653" s="1494"/>
      <c r="BT653" s="1494"/>
      <c r="BU653" s="1494"/>
      <c r="BV653" s="1494"/>
      <c r="BW653" s="1494"/>
      <c r="BX653" s="1494"/>
      <c r="BY653" s="1494"/>
      <c r="BZ653" s="1494"/>
      <c r="CA653" s="1494"/>
      <c r="CB653" s="1494"/>
      <c r="CC653" s="1494"/>
      <c r="CD653" s="1494"/>
      <c r="CE653" s="1494"/>
      <c r="CF653" s="1494"/>
      <c r="CG653" s="1494"/>
      <c r="CH653" s="1494"/>
      <c r="CI653" s="1494"/>
      <c r="CJ653" s="1494"/>
      <c r="CK653" s="1494"/>
      <c r="CL653" s="576" t="s">
        <v>2210</v>
      </c>
      <c r="CM653" s="1540" t="s">
        <v>2211</v>
      </c>
      <c r="CN653" s="1541"/>
      <c r="CO653" s="579" t="s">
        <v>1250</v>
      </c>
      <c r="CP653" s="579" t="s">
        <v>2212</v>
      </c>
    </row>
    <row r="654" spans="32:94" ht="20.100000000000001" customHeight="1">
      <c r="AF654" s="1560"/>
      <c r="AG654" s="107" t="s">
        <v>867</v>
      </c>
      <c r="AH654" s="107">
        <f>INDEX('DEFAULT DATA'!$WD$9:$WJ$41,START!$C$3,6)</f>
        <v>0</v>
      </c>
      <c r="AI654" s="195">
        <f>INDEX('DEFAULT DATA'!$AHX$9:$AJS$41,START!$C$3,(7+(($A$127-1)*8)))</f>
        <v>0</v>
      </c>
      <c r="AJ654" s="115"/>
      <c r="AK654" s="180">
        <v>0</v>
      </c>
      <c r="AL654" s="123">
        <f t="shared" ref="AL654:BN654" si="690">IF(AND(AL$647&gt;($I$127+2020),AL$647&lt;($J$127+2022)),AK654+($AH$654*$C$127*$AI$654*((100-$E$125)/100)*((100-$F$127)/100)/($J$127-$I$127+1)/1000000),AK654)</f>
        <v>0</v>
      </c>
      <c r="AM654" s="123">
        <f t="shared" si="690"/>
        <v>0</v>
      </c>
      <c r="AN654" s="123">
        <f t="shared" si="690"/>
        <v>0</v>
      </c>
      <c r="AO654" s="123">
        <f t="shared" si="690"/>
        <v>0</v>
      </c>
      <c r="AP654" s="123">
        <f t="shared" si="690"/>
        <v>0</v>
      </c>
      <c r="AQ654" s="123">
        <f t="shared" si="690"/>
        <v>0</v>
      </c>
      <c r="AR654" s="123">
        <f t="shared" si="690"/>
        <v>0</v>
      </c>
      <c r="AS654" s="123">
        <f t="shared" si="690"/>
        <v>0</v>
      </c>
      <c r="AT654" s="123">
        <f t="shared" si="690"/>
        <v>0</v>
      </c>
      <c r="AU654" s="123">
        <f t="shared" si="690"/>
        <v>0</v>
      </c>
      <c r="AV654" s="123">
        <f t="shared" si="690"/>
        <v>0</v>
      </c>
      <c r="AW654" s="123">
        <f t="shared" si="690"/>
        <v>0</v>
      </c>
      <c r="AX654" s="123">
        <f t="shared" si="690"/>
        <v>0</v>
      </c>
      <c r="AY654" s="123">
        <f t="shared" si="690"/>
        <v>0</v>
      </c>
      <c r="AZ654" s="123">
        <f t="shared" si="690"/>
        <v>0</v>
      </c>
      <c r="BA654" s="123">
        <f t="shared" si="690"/>
        <v>0</v>
      </c>
      <c r="BB654" s="123">
        <f t="shared" si="690"/>
        <v>0</v>
      </c>
      <c r="BC654" s="123">
        <f t="shared" si="690"/>
        <v>0</v>
      </c>
      <c r="BD654" s="123">
        <f t="shared" si="690"/>
        <v>0</v>
      </c>
      <c r="BE654" s="123">
        <f t="shared" si="690"/>
        <v>0</v>
      </c>
      <c r="BF654" s="123">
        <f t="shared" si="690"/>
        <v>0</v>
      </c>
      <c r="BG654" s="123">
        <f t="shared" si="690"/>
        <v>0</v>
      </c>
      <c r="BH654" s="123">
        <f t="shared" si="690"/>
        <v>0</v>
      </c>
      <c r="BI654" s="123">
        <f t="shared" si="690"/>
        <v>0</v>
      </c>
      <c r="BJ654" s="123">
        <f t="shared" si="690"/>
        <v>0</v>
      </c>
      <c r="BK654" s="123">
        <f t="shared" si="690"/>
        <v>0</v>
      </c>
      <c r="BL654" s="123">
        <f t="shared" si="690"/>
        <v>0</v>
      </c>
      <c r="BM654" s="123">
        <f t="shared" si="690"/>
        <v>0</v>
      </c>
      <c r="BN654" s="159">
        <f t="shared" si="690"/>
        <v>0</v>
      </c>
      <c r="BP654" s="367" t="s">
        <v>867</v>
      </c>
      <c r="BQ654" s="1494" t="str">
        <f t="shared" si="685"/>
        <v>GHG_Renewablea = GHG_Renewablea-1 + (C126 * BUI_COL (307 + ((A126 - 1) * 8) * E126 / 100) + (F126 / 100 * BUI_COL (307 + ((A126 - 1) * 8) * (100 - E126) / 100)) * BUI_COL6 / (J126-I126+1) / 1000000</v>
      </c>
      <c r="BR654" s="1494"/>
      <c r="BS654" s="1494"/>
      <c r="BT654" s="1494"/>
      <c r="BU654" s="1494"/>
      <c r="BV654" s="1494"/>
      <c r="BW654" s="1494"/>
      <c r="BX654" s="1494"/>
      <c r="BY654" s="1494"/>
      <c r="BZ654" s="1494"/>
      <c r="CA654" s="1494"/>
      <c r="CB654" s="1494"/>
      <c r="CC654" s="1494"/>
      <c r="CD654" s="1494"/>
      <c r="CE654" s="1494"/>
      <c r="CF654" s="1494"/>
      <c r="CG654" s="1494"/>
      <c r="CH654" s="1494"/>
      <c r="CI654" s="1494"/>
      <c r="CJ654" s="1494"/>
      <c r="CK654" s="1494"/>
      <c r="CL654" s="576" t="s">
        <v>2210</v>
      </c>
      <c r="CM654" s="1540" t="s">
        <v>2211</v>
      </c>
      <c r="CN654" s="1541"/>
      <c r="CO654" s="579" t="s">
        <v>1251</v>
      </c>
      <c r="CP654" s="579" t="s">
        <v>2212</v>
      </c>
    </row>
    <row r="655" spans="32:94" ht="20.100000000000001" customHeight="1" thickBot="1">
      <c r="AF655" s="1561"/>
      <c r="AG655" s="146" t="s">
        <v>868</v>
      </c>
      <c r="AH655" s="146" t="s">
        <v>1123</v>
      </c>
      <c r="AI655" s="197">
        <f>INDEX('DEFAULT DATA'!$AHX$9:$AJS$41,START!$C$3,(8+(($A$127-1)*8)))</f>
        <v>4.4965266808490847E-2</v>
      </c>
      <c r="AJ655" s="170"/>
      <c r="AK655" s="183">
        <v>0</v>
      </c>
      <c r="AL655" s="160">
        <f t="shared" ref="AL655:BN655" si="691">IF(AND(AL$647&gt;($I$127+2020),AL$647&lt;($J$127+2022)),AK655+(AL$6*$C$127*$AI$655*((100-$E$125)/100)*((100-$F$127)/100)/($J$127-$I$127+1)/1000000),AK655)</f>
        <v>0</v>
      </c>
      <c r="AM655" s="160">
        <f t="shared" si="691"/>
        <v>0</v>
      </c>
      <c r="AN655" s="160">
        <f t="shared" si="691"/>
        <v>0</v>
      </c>
      <c r="AO655" s="160">
        <f t="shared" si="691"/>
        <v>0</v>
      </c>
      <c r="AP655" s="160">
        <f t="shared" si="691"/>
        <v>0</v>
      </c>
      <c r="AQ655" s="160">
        <f t="shared" si="691"/>
        <v>0</v>
      </c>
      <c r="AR655" s="160">
        <f t="shared" si="691"/>
        <v>0</v>
      </c>
      <c r="AS655" s="160">
        <f t="shared" si="691"/>
        <v>0</v>
      </c>
      <c r="AT655" s="160">
        <f t="shared" si="691"/>
        <v>0</v>
      </c>
      <c r="AU655" s="160">
        <f t="shared" si="691"/>
        <v>0</v>
      </c>
      <c r="AV655" s="160">
        <f t="shared" si="691"/>
        <v>0</v>
      </c>
      <c r="AW655" s="160">
        <f t="shared" si="691"/>
        <v>0</v>
      </c>
      <c r="AX655" s="160">
        <f t="shared" si="691"/>
        <v>0</v>
      </c>
      <c r="AY655" s="160">
        <f t="shared" si="691"/>
        <v>0</v>
      </c>
      <c r="AZ655" s="160">
        <f t="shared" si="691"/>
        <v>0</v>
      </c>
      <c r="BA655" s="160">
        <f t="shared" si="691"/>
        <v>0</v>
      </c>
      <c r="BB655" s="160">
        <f t="shared" si="691"/>
        <v>0</v>
      </c>
      <c r="BC655" s="160">
        <f t="shared" si="691"/>
        <v>0</v>
      </c>
      <c r="BD655" s="160">
        <f t="shared" si="691"/>
        <v>0</v>
      </c>
      <c r="BE655" s="160">
        <f t="shared" si="691"/>
        <v>0</v>
      </c>
      <c r="BF655" s="160">
        <f t="shared" si="691"/>
        <v>0</v>
      </c>
      <c r="BG655" s="160">
        <f t="shared" si="691"/>
        <v>0</v>
      </c>
      <c r="BH655" s="160">
        <f t="shared" si="691"/>
        <v>0</v>
      </c>
      <c r="BI655" s="160">
        <f t="shared" si="691"/>
        <v>0</v>
      </c>
      <c r="BJ655" s="160">
        <f t="shared" si="691"/>
        <v>0</v>
      </c>
      <c r="BK655" s="160">
        <f t="shared" si="691"/>
        <v>0</v>
      </c>
      <c r="BL655" s="160">
        <f t="shared" si="691"/>
        <v>0</v>
      </c>
      <c r="BM655" s="160">
        <f t="shared" si="691"/>
        <v>0</v>
      </c>
      <c r="BN655" s="161">
        <f t="shared" si="691"/>
        <v>0</v>
      </c>
      <c r="BP655" s="367" t="s">
        <v>868</v>
      </c>
      <c r="BQ655" s="1494" t="str">
        <f t="shared" si="685"/>
        <v>GHG_Heata = GHG_Heata-1 + (C126 * BUI_COL (307 + ((A126 - 1) * 8) * E126 / 100) + (F126 / 100 * BUI_COL (307 + ((A126 - 1) * 8) * (100 - E126) / 100)) * DISTRICT_HEATING_emission_factora (from row 5) / (J126-I126+1) / 1000000</v>
      </c>
      <c r="BR655" s="1494"/>
      <c r="BS655" s="1494"/>
      <c r="BT655" s="1494"/>
      <c r="BU655" s="1494"/>
      <c r="BV655" s="1494"/>
      <c r="BW655" s="1494"/>
      <c r="BX655" s="1494"/>
      <c r="BY655" s="1494"/>
      <c r="BZ655" s="1494"/>
      <c r="CA655" s="1494"/>
      <c r="CB655" s="1494"/>
      <c r="CC655" s="1494"/>
      <c r="CD655" s="1494"/>
      <c r="CE655" s="1494"/>
      <c r="CF655" s="1494"/>
      <c r="CG655" s="1494"/>
      <c r="CH655" s="1494"/>
      <c r="CI655" s="1494"/>
      <c r="CJ655" s="1494"/>
      <c r="CK655" s="1494"/>
      <c r="CL655" s="576" t="s">
        <v>2210</v>
      </c>
      <c r="CM655" s="1540" t="s">
        <v>2211</v>
      </c>
      <c r="CN655" s="1541"/>
      <c r="CO655" s="579" t="s">
        <v>1508</v>
      </c>
      <c r="CP655" s="579" t="s">
        <v>2212</v>
      </c>
    </row>
    <row r="656" spans="32:94" ht="20.100000000000001" customHeight="1">
      <c r="AF656" s="167"/>
      <c r="AG656" s="144" t="s">
        <v>211</v>
      </c>
      <c r="AH656" s="145"/>
      <c r="AI656" s="198"/>
      <c r="AJ656" s="145"/>
      <c r="AK656" s="179">
        <v>0</v>
      </c>
      <c r="AL656" s="162">
        <f>SUM(AL648:AL655)</f>
        <v>0</v>
      </c>
      <c r="AM656" s="162">
        <f t="shared" ref="AM656" si="692">SUM(AM648:AM655)</f>
        <v>0</v>
      </c>
      <c r="AN656" s="162">
        <f t="shared" ref="AN656" si="693">SUM(AN648:AN655)</f>
        <v>0</v>
      </c>
      <c r="AO656" s="162">
        <f t="shared" ref="AO656" si="694">SUM(AO648:AO655)</f>
        <v>0</v>
      </c>
      <c r="AP656" s="162">
        <f t="shared" ref="AP656" si="695">SUM(AP648:AP655)</f>
        <v>0</v>
      </c>
      <c r="AQ656" s="162">
        <f t="shared" ref="AQ656" si="696">SUM(AQ648:AQ655)</f>
        <v>0</v>
      </c>
      <c r="AR656" s="162">
        <f t="shared" ref="AR656" si="697">SUM(AR648:AR655)</f>
        <v>0</v>
      </c>
      <c r="AS656" s="162">
        <f t="shared" ref="AS656" si="698">SUM(AS648:AS655)</f>
        <v>0</v>
      </c>
      <c r="AT656" s="162">
        <f t="shared" ref="AT656" si="699">SUM(AT648:AT655)</f>
        <v>0</v>
      </c>
      <c r="AU656" s="162">
        <f t="shared" ref="AU656" si="700">SUM(AU648:AU655)</f>
        <v>0</v>
      </c>
      <c r="AV656" s="162">
        <f t="shared" ref="AV656" si="701">SUM(AV648:AV655)</f>
        <v>0</v>
      </c>
      <c r="AW656" s="162">
        <f t="shared" ref="AW656" si="702">SUM(AW648:AW655)</f>
        <v>0</v>
      </c>
      <c r="AX656" s="162">
        <f t="shared" ref="AX656" si="703">SUM(AX648:AX655)</f>
        <v>0</v>
      </c>
      <c r="AY656" s="162">
        <f t="shared" ref="AY656" si="704">SUM(AY648:AY655)</f>
        <v>0</v>
      </c>
      <c r="AZ656" s="162">
        <f t="shared" ref="AZ656" si="705">SUM(AZ648:AZ655)</f>
        <v>0</v>
      </c>
      <c r="BA656" s="162">
        <f t="shared" ref="BA656" si="706">SUM(BA648:BA655)</f>
        <v>0</v>
      </c>
      <c r="BB656" s="162">
        <f t="shared" ref="BB656" si="707">SUM(BB648:BB655)</f>
        <v>0</v>
      </c>
      <c r="BC656" s="162">
        <f t="shared" ref="BC656" si="708">SUM(BC648:BC655)</f>
        <v>0</v>
      </c>
      <c r="BD656" s="162">
        <f t="shared" ref="BD656" si="709">SUM(BD648:BD655)</f>
        <v>0</v>
      </c>
      <c r="BE656" s="162">
        <f t="shared" ref="BE656" si="710">SUM(BE648:BE655)</f>
        <v>0</v>
      </c>
      <c r="BF656" s="162">
        <f t="shared" ref="BF656" si="711">SUM(BF648:BF655)</f>
        <v>0</v>
      </c>
      <c r="BG656" s="162">
        <f t="shared" ref="BG656" si="712">SUM(BG648:BG655)</f>
        <v>0</v>
      </c>
      <c r="BH656" s="162">
        <f t="shared" ref="BH656" si="713">SUM(BH648:BH655)</f>
        <v>0</v>
      </c>
      <c r="BI656" s="162">
        <f t="shared" ref="BI656" si="714">SUM(BI648:BI655)</f>
        <v>0</v>
      </c>
      <c r="BJ656" s="162">
        <f t="shared" ref="BJ656" si="715">SUM(BJ648:BJ655)</f>
        <v>0</v>
      </c>
      <c r="BK656" s="162">
        <f t="shared" ref="BK656" si="716">SUM(BK648:BK655)</f>
        <v>0</v>
      </c>
      <c r="BL656" s="162">
        <f t="shared" ref="BL656" si="717">SUM(BL648:BL655)</f>
        <v>0</v>
      </c>
      <c r="BM656" s="162">
        <f t="shared" ref="BM656" si="718">SUM(BM648:BM655)</f>
        <v>0</v>
      </c>
      <c r="BN656" s="162">
        <f t="shared" ref="BN656" si="719">SUM(BN648:BN655)</f>
        <v>0</v>
      </c>
    </row>
    <row r="657" spans="32:94" ht="20.100000000000001" customHeight="1">
      <c r="AI657" s="199"/>
    </row>
    <row r="658" spans="32:94" ht="20.100000000000001" customHeight="1" thickBot="1">
      <c r="AF658" s="168" t="s">
        <v>1099</v>
      </c>
      <c r="AG658" s="168"/>
      <c r="AH658" s="169" t="s">
        <v>620</v>
      </c>
      <c r="AI658" s="200" t="s">
        <v>898</v>
      </c>
      <c r="AJ658" s="135"/>
      <c r="AK658" s="181">
        <v>2021</v>
      </c>
      <c r="AL658" s="135">
        <v>2022</v>
      </c>
      <c r="AM658" s="135">
        <v>2023</v>
      </c>
      <c r="AN658" s="135">
        <v>2024</v>
      </c>
      <c r="AO658" s="135">
        <v>2025</v>
      </c>
      <c r="AP658" s="135">
        <v>2026</v>
      </c>
      <c r="AQ658" s="135">
        <v>2027</v>
      </c>
      <c r="AR658" s="135">
        <v>2028</v>
      </c>
      <c r="AS658" s="135">
        <v>2029</v>
      </c>
      <c r="AT658" s="135">
        <v>2030</v>
      </c>
      <c r="AU658" s="135">
        <v>2031</v>
      </c>
      <c r="AV658" s="135">
        <v>2032</v>
      </c>
      <c r="AW658" s="135">
        <v>2033</v>
      </c>
      <c r="AX658" s="135">
        <v>2034</v>
      </c>
      <c r="AY658" s="135">
        <v>2035</v>
      </c>
      <c r="AZ658" s="135">
        <v>2036</v>
      </c>
      <c r="BA658" s="135">
        <v>2037</v>
      </c>
      <c r="BB658" s="135">
        <v>2038</v>
      </c>
      <c r="BC658" s="135">
        <v>2039</v>
      </c>
      <c r="BD658" s="135">
        <v>2040</v>
      </c>
      <c r="BE658" s="135">
        <v>2041</v>
      </c>
      <c r="BF658" s="135">
        <v>2042</v>
      </c>
      <c r="BG658" s="135">
        <v>2043</v>
      </c>
      <c r="BH658" s="135">
        <v>2044</v>
      </c>
      <c r="BI658" s="135">
        <v>2045</v>
      </c>
      <c r="BJ658" s="135">
        <v>2046</v>
      </c>
      <c r="BK658" s="135">
        <v>2047</v>
      </c>
      <c r="BL658" s="135">
        <v>2048</v>
      </c>
      <c r="BM658" s="135">
        <v>2049</v>
      </c>
      <c r="BN658" s="135">
        <v>2050</v>
      </c>
      <c r="BQ658" s="82" t="s">
        <v>2213</v>
      </c>
      <c r="BR658" s="250"/>
      <c r="BS658" s="250"/>
      <c r="BT658" s="250"/>
      <c r="BU658" s="250"/>
      <c r="BV658" s="250"/>
      <c r="BW658" s="250"/>
      <c r="BX658" s="250"/>
      <c r="BY658" s="250"/>
      <c r="BZ658" s="250"/>
      <c r="CA658" s="250"/>
      <c r="CB658" s="250"/>
      <c r="CC658" s="250"/>
      <c r="CD658" s="250"/>
      <c r="CE658" s="250"/>
      <c r="CF658" s="250"/>
      <c r="CG658" s="250"/>
      <c r="CH658" s="250"/>
      <c r="CI658" s="250"/>
      <c r="CJ658" s="250"/>
      <c r="CK658" s="250"/>
      <c r="CL658" s="605" t="s">
        <v>2201</v>
      </c>
      <c r="CM658" s="130" t="s">
        <v>2202</v>
      </c>
      <c r="CN658" s="130"/>
      <c r="CO658" s="606" t="s">
        <v>1224</v>
      </c>
      <c r="CP658" s="130" t="s">
        <v>2172</v>
      </c>
    </row>
    <row r="659" spans="32:94" ht="20.100000000000001" customHeight="1">
      <c r="AF659" s="1559" t="str">
        <f>INDEX('MENU OPTIONS'!B31:B36,A128,1)</f>
        <v>Health</v>
      </c>
      <c r="AG659" s="137" t="s">
        <v>578</v>
      </c>
      <c r="AH659" s="137" t="s">
        <v>1122</v>
      </c>
      <c r="AI659" s="196">
        <f>INDEX('DEFAULT DATA'!$AHX$9:$AJS$41,START!$C$3,(1+(($A$128-1)*8)))</f>
        <v>420</v>
      </c>
      <c r="AJ659" s="165"/>
      <c r="AK659" s="178">
        <v>0</v>
      </c>
      <c r="AL659" s="157">
        <f t="shared" ref="AL659:BN659" si="720">IF(AND(AL$658&gt;($I$128+2020),AL$658&lt;($J$128+2022)),AK659+(AL$5*$C$128*$AI$659*((100-$E$128)/100)*((100-$F$128)/100)/($J$128-$I$128+1)/1000000),AK659)</f>
        <v>0</v>
      </c>
      <c r="AM659" s="157">
        <f t="shared" si="720"/>
        <v>0</v>
      </c>
      <c r="AN659" s="157">
        <f t="shared" si="720"/>
        <v>0</v>
      </c>
      <c r="AO659" s="157">
        <f t="shared" si="720"/>
        <v>0</v>
      </c>
      <c r="AP659" s="157">
        <f t="shared" si="720"/>
        <v>0</v>
      </c>
      <c r="AQ659" s="157">
        <f t="shared" si="720"/>
        <v>0</v>
      </c>
      <c r="AR659" s="157">
        <f t="shared" si="720"/>
        <v>0</v>
      </c>
      <c r="AS659" s="157">
        <f t="shared" si="720"/>
        <v>0</v>
      </c>
      <c r="AT659" s="157">
        <f t="shared" si="720"/>
        <v>0</v>
      </c>
      <c r="AU659" s="157">
        <f t="shared" si="720"/>
        <v>0</v>
      </c>
      <c r="AV659" s="157">
        <f t="shared" si="720"/>
        <v>0</v>
      </c>
      <c r="AW659" s="157">
        <f t="shared" si="720"/>
        <v>0</v>
      </c>
      <c r="AX659" s="157">
        <f t="shared" si="720"/>
        <v>0</v>
      </c>
      <c r="AY659" s="157">
        <f t="shared" si="720"/>
        <v>0</v>
      </c>
      <c r="AZ659" s="157">
        <f t="shared" si="720"/>
        <v>0</v>
      </c>
      <c r="BA659" s="157">
        <f t="shared" si="720"/>
        <v>0</v>
      </c>
      <c r="BB659" s="157">
        <f t="shared" si="720"/>
        <v>0</v>
      </c>
      <c r="BC659" s="157">
        <f t="shared" si="720"/>
        <v>0</v>
      </c>
      <c r="BD659" s="157">
        <f t="shared" si="720"/>
        <v>0</v>
      </c>
      <c r="BE659" s="157">
        <f t="shared" si="720"/>
        <v>0</v>
      </c>
      <c r="BF659" s="157">
        <f t="shared" si="720"/>
        <v>0</v>
      </c>
      <c r="BG659" s="157">
        <f t="shared" si="720"/>
        <v>0</v>
      </c>
      <c r="BH659" s="157">
        <f t="shared" si="720"/>
        <v>0</v>
      </c>
      <c r="BI659" s="157">
        <f t="shared" si="720"/>
        <v>0</v>
      </c>
      <c r="BJ659" s="157">
        <f t="shared" si="720"/>
        <v>0</v>
      </c>
      <c r="BK659" s="157">
        <f t="shared" si="720"/>
        <v>0</v>
      </c>
      <c r="BL659" s="157">
        <f t="shared" si="720"/>
        <v>0</v>
      </c>
      <c r="BM659" s="157">
        <f t="shared" si="720"/>
        <v>0</v>
      </c>
      <c r="BN659" s="158">
        <f t="shared" si="720"/>
        <v>0</v>
      </c>
      <c r="BP659" s="367" t="s">
        <v>578</v>
      </c>
      <c r="BQ659" s="1494" t="str">
        <f>CONCATENATE("GHG_",BP659,"a = GHG_",BP659,"a-1 + (C127 * ",CL659," * E127 / 100) + (F127 / 100 * ",CM659,")) * ",CO659," / (",CP659,") / 1000000")</f>
        <v>GHG_Electricitya = GHG_Electricitya-1 + (C127 * BUI_COL (307 + ((A127 - 1) * 8) * E127 / 100) + (F127 / 100 * BUI_COL (307 + ((A127 - 1) * 8) * (100 - E127) / 100)) * GRID_ELECTRICITY_emission_factora (from row4) / (J127-I127+1) / 1000000</v>
      </c>
      <c r="BR659" s="1494"/>
      <c r="BS659" s="1494"/>
      <c r="BT659" s="1494"/>
      <c r="BU659" s="1494"/>
      <c r="BV659" s="1494"/>
      <c r="BW659" s="1494"/>
      <c r="BX659" s="1494"/>
      <c r="BY659" s="1494"/>
      <c r="BZ659" s="1494"/>
      <c r="CA659" s="1494"/>
      <c r="CB659" s="1494"/>
      <c r="CC659" s="1494"/>
      <c r="CD659" s="1494"/>
      <c r="CE659" s="1494"/>
      <c r="CF659" s="1494"/>
      <c r="CG659" s="1494"/>
      <c r="CH659" s="1494"/>
      <c r="CI659" s="1494"/>
      <c r="CJ659" s="1494"/>
      <c r="CK659" s="1494"/>
      <c r="CL659" s="576" t="s">
        <v>2214</v>
      </c>
      <c r="CM659" s="1540" t="s">
        <v>2215</v>
      </c>
      <c r="CN659" s="1541"/>
      <c r="CO659" s="579" t="s">
        <v>1507</v>
      </c>
      <c r="CP659" s="579" t="s">
        <v>2216</v>
      </c>
    </row>
    <row r="660" spans="32:94" ht="20.100000000000001" customHeight="1">
      <c r="AF660" s="1560"/>
      <c r="AG660" s="107" t="s">
        <v>862</v>
      </c>
      <c r="AH660" s="107">
        <f>INDEX('DEFAULT DATA'!$WD$9:$WJ$41,START!$C$3,1)</f>
        <v>202</v>
      </c>
      <c r="AI660" s="195">
        <f>INDEX('DEFAULT DATA'!$AHX$9:$AJS$41,START!$C$3,(2+(($A$128-1)*8)))</f>
        <v>32.409999999999997</v>
      </c>
      <c r="AJ660" s="115"/>
      <c r="AK660" s="180">
        <v>0</v>
      </c>
      <c r="AL660" s="123">
        <f t="shared" ref="AL660:BN660" si="721">IF(AND(AL$658&gt;($I$128+2020),AL$658&lt;($J$128+2022)),AK660+($AH$660*$C$128*$AI$660*((100-$E$128)/100)*((100-$F$128)/100)/($J$128-$I$128+1)/1000000),AK660)</f>
        <v>0</v>
      </c>
      <c r="AM660" s="123">
        <f t="shared" si="721"/>
        <v>0</v>
      </c>
      <c r="AN660" s="123">
        <f t="shared" si="721"/>
        <v>0</v>
      </c>
      <c r="AO660" s="123">
        <f t="shared" si="721"/>
        <v>0</v>
      </c>
      <c r="AP660" s="123">
        <f t="shared" si="721"/>
        <v>0</v>
      </c>
      <c r="AQ660" s="123">
        <f t="shared" si="721"/>
        <v>0</v>
      </c>
      <c r="AR660" s="123">
        <f t="shared" si="721"/>
        <v>0</v>
      </c>
      <c r="AS660" s="123">
        <f t="shared" si="721"/>
        <v>0</v>
      </c>
      <c r="AT660" s="123">
        <f t="shared" si="721"/>
        <v>0</v>
      </c>
      <c r="AU660" s="123">
        <f t="shared" si="721"/>
        <v>0</v>
      </c>
      <c r="AV660" s="123">
        <f t="shared" si="721"/>
        <v>0</v>
      </c>
      <c r="AW660" s="123">
        <f t="shared" si="721"/>
        <v>0</v>
      </c>
      <c r="AX660" s="123">
        <f t="shared" si="721"/>
        <v>0</v>
      </c>
      <c r="AY660" s="123">
        <f t="shared" si="721"/>
        <v>0</v>
      </c>
      <c r="AZ660" s="123">
        <f t="shared" si="721"/>
        <v>0</v>
      </c>
      <c r="BA660" s="123">
        <f t="shared" si="721"/>
        <v>0</v>
      </c>
      <c r="BB660" s="123">
        <f t="shared" si="721"/>
        <v>0</v>
      </c>
      <c r="BC660" s="123">
        <f t="shared" si="721"/>
        <v>0</v>
      </c>
      <c r="BD660" s="123">
        <f t="shared" si="721"/>
        <v>0</v>
      </c>
      <c r="BE660" s="123">
        <f t="shared" si="721"/>
        <v>0</v>
      </c>
      <c r="BF660" s="123">
        <f t="shared" si="721"/>
        <v>0</v>
      </c>
      <c r="BG660" s="123">
        <f t="shared" si="721"/>
        <v>0</v>
      </c>
      <c r="BH660" s="123">
        <f t="shared" si="721"/>
        <v>0</v>
      </c>
      <c r="BI660" s="123">
        <f t="shared" si="721"/>
        <v>0</v>
      </c>
      <c r="BJ660" s="123">
        <f t="shared" si="721"/>
        <v>0</v>
      </c>
      <c r="BK660" s="123">
        <f t="shared" si="721"/>
        <v>0</v>
      </c>
      <c r="BL660" s="123">
        <f t="shared" si="721"/>
        <v>0</v>
      </c>
      <c r="BM660" s="123">
        <f t="shared" si="721"/>
        <v>0</v>
      </c>
      <c r="BN660" s="159">
        <f t="shared" si="721"/>
        <v>0</v>
      </c>
      <c r="BP660" s="367" t="s">
        <v>862</v>
      </c>
      <c r="BQ660" s="1494" t="str">
        <f t="shared" ref="BQ660:BQ666" si="722">CONCATENATE("GHG_",BP660,"a = GHG_",BP660,"a-1 + (C127 * ",CL660," * E127 / 100) + (F127 / 100 * ",CM660,")) * ",CO660," / (",CP660,") / 1000000")</f>
        <v>GHG_Gasa = GHG_Gasa-1 + (C127 * BUI_COL (307 + ((A127 - 1) * 8) * E127 / 100) + (F127 / 100 * BUI_COL (307 + ((A127 - 1) * 8) * (100 - E127) / 100)) * BUI_COL1 / (J127-I127+1) / 1000000</v>
      </c>
      <c r="BR660" s="1494"/>
      <c r="BS660" s="1494"/>
      <c r="BT660" s="1494"/>
      <c r="BU660" s="1494"/>
      <c r="BV660" s="1494"/>
      <c r="BW660" s="1494"/>
      <c r="BX660" s="1494"/>
      <c r="BY660" s="1494"/>
      <c r="BZ660" s="1494"/>
      <c r="CA660" s="1494"/>
      <c r="CB660" s="1494"/>
      <c r="CC660" s="1494"/>
      <c r="CD660" s="1494"/>
      <c r="CE660" s="1494"/>
      <c r="CF660" s="1494"/>
      <c r="CG660" s="1494"/>
      <c r="CH660" s="1494"/>
      <c r="CI660" s="1494"/>
      <c r="CJ660" s="1494"/>
      <c r="CK660" s="1494"/>
      <c r="CL660" s="576" t="s">
        <v>2214</v>
      </c>
      <c r="CM660" s="1540" t="s">
        <v>2215</v>
      </c>
      <c r="CN660" s="1541"/>
      <c r="CO660" s="579" t="s">
        <v>886</v>
      </c>
      <c r="CP660" s="579" t="s">
        <v>2216</v>
      </c>
    </row>
    <row r="661" spans="32:94" ht="20.100000000000001" customHeight="1">
      <c r="AF661" s="1560"/>
      <c r="AG661" s="107" t="s">
        <v>863</v>
      </c>
      <c r="AH661" s="107">
        <f>INDEX('DEFAULT DATA'!$WD$9:$WJ$41,START!$C$3,2)</f>
        <v>267</v>
      </c>
      <c r="AI661" s="195">
        <f>INDEX('DEFAULT DATA'!$AHX$9:$AJS$41,START!$C$3,(3+(($A$128-1)*8)))</f>
        <v>27.01</v>
      </c>
      <c r="AJ661" s="115"/>
      <c r="AK661" s="180">
        <v>0</v>
      </c>
      <c r="AL661" s="123">
        <f t="shared" ref="AL661:BN661" si="723">IF(AND(AL$658&gt;($I$128+2020),AL$658&lt;($J$128+2022)),AK661+($AH$661*$C$128*$AI$661*((100-$E$128)/100)*((100-$F$128)/100)/($J$128-$I$128+1)/1000000),AK661)</f>
        <v>0</v>
      </c>
      <c r="AM661" s="123">
        <f t="shared" si="723"/>
        <v>0</v>
      </c>
      <c r="AN661" s="123">
        <f t="shared" si="723"/>
        <v>0</v>
      </c>
      <c r="AO661" s="123">
        <f t="shared" si="723"/>
        <v>0</v>
      </c>
      <c r="AP661" s="123">
        <f t="shared" si="723"/>
        <v>0</v>
      </c>
      <c r="AQ661" s="123">
        <f t="shared" si="723"/>
        <v>0</v>
      </c>
      <c r="AR661" s="123">
        <f t="shared" si="723"/>
        <v>0</v>
      </c>
      <c r="AS661" s="123">
        <f t="shared" si="723"/>
        <v>0</v>
      </c>
      <c r="AT661" s="123">
        <f t="shared" si="723"/>
        <v>0</v>
      </c>
      <c r="AU661" s="123">
        <f t="shared" si="723"/>
        <v>0</v>
      </c>
      <c r="AV661" s="123">
        <f t="shared" si="723"/>
        <v>0</v>
      </c>
      <c r="AW661" s="123">
        <f t="shared" si="723"/>
        <v>0</v>
      </c>
      <c r="AX661" s="123">
        <f t="shared" si="723"/>
        <v>0</v>
      </c>
      <c r="AY661" s="123">
        <f t="shared" si="723"/>
        <v>0</v>
      </c>
      <c r="AZ661" s="123">
        <f t="shared" si="723"/>
        <v>0</v>
      </c>
      <c r="BA661" s="123">
        <f t="shared" si="723"/>
        <v>0</v>
      </c>
      <c r="BB661" s="123">
        <f t="shared" si="723"/>
        <v>0</v>
      </c>
      <c r="BC661" s="123">
        <f t="shared" si="723"/>
        <v>0</v>
      </c>
      <c r="BD661" s="123">
        <f t="shared" si="723"/>
        <v>0</v>
      </c>
      <c r="BE661" s="123">
        <f t="shared" si="723"/>
        <v>0</v>
      </c>
      <c r="BF661" s="123">
        <f t="shared" si="723"/>
        <v>0</v>
      </c>
      <c r="BG661" s="123">
        <f t="shared" si="723"/>
        <v>0</v>
      </c>
      <c r="BH661" s="123">
        <f t="shared" si="723"/>
        <v>0</v>
      </c>
      <c r="BI661" s="123">
        <f t="shared" si="723"/>
        <v>0</v>
      </c>
      <c r="BJ661" s="123">
        <f t="shared" si="723"/>
        <v>0</v>
      </c>
      <c r="BK661" s="123">
        <f t="shared" si="723"/>
        <v>0</v>
      </c>
      <c r="BL661" s="123">
        <f t="shared" si="723"/>
        <v>0</v>
      </c>
      <c r="BM661" s="123">
        <f t="shared" si="723"/>
        <v>0</v>
      </c>
      <c r="BN661" s="159">
        <f t="shared" si="723"/>
        <v>0</v>
      </c>
      <c r="BP661" s="367" t="s">
        <v>863</v>
      </c>
      <c r="BQ661" s="1494" t="str">
        <f t="shared" si="722"/>
        <v>GHG_Oila = GHG_Oila-1 + (C127 * BUI_COL (307 + ((A127 - 1) * 8) * E127 / 100) + (F127 / 100 * BUI_COL (307 + ((A127 - 1) * 8) * (100 - E127) / 100)) * BUI_COL2 / (J127-I127+1) / 1000000</v>
      </c>
      <c r="BR661" s="1494"/>
      <c r="BS661" s="1494"/>
      <c r="BT661" s="1494"/>
      <c r="BU661" s="1494"/>
      <c r="BV661" s="1494"/>
      <c r="BW661" s="1494"/>
      <c r="BX661" s="1494"/>
      <c r="BY661" s="1494"/>
      <c r="BZ661" s="1494"/>
      <c r="CA661" s="1494"/>
      <c r="CB661" s="1494"/>
      <c r="CC661" s="1494"/>
      <c r="CD661" s="1494"/>
      <c r="CE661" s="1494"/>
      <c r="CF661" s="1494"/>
      <c r="CG661" s="1494"/>
      <c r="CH661" s="1494"/>
      <c r="CI661" s="1494"/>
      <c r="CJ661" s="1494"/>
      <c r="CK661" s="1494"/>
      <c r="CL661" s="576" t="s">
        <v>2214</v>
      </c>
      <c r="CM661" s="1540" t="s">
        <v>2215</v>
      </c>
      <c r="CN661" s="1541"/>
      <c r="CO661" s="579" t="s">
        <v>1247</v>
      </c>
      <c r="CP661" s="579" t="s">
        <v>2216</v>
      </c>
    </row>
    <row r="662" spans="32:94" ht="20.100000000000001" customHeight="1">
      <c r="AF662" s="1560"/>
      <c r="AG662" s="107" t="s">
        <v>864</v>
      </c>
      <c r="AH662" s="107">
        <f>INDEX('DEFAULT DATA'!$WD$9:$WJ$41,START!$C$3,3)</f>
        <v>354</v>
      </c>
      <c r="AI662" s="195">
        <f>INDEX('DEFAULT DATA'!$AHX$9:$AJS$41,START!$C$3,(4+(($A$128-1)*8)))</f>
        <v>0</v>
      </c>
      <c r="AJ662" s="115"/>
      <c r="AK662" s="180">
        <v>0</v>
      </c>
      <c r="AL662" s="123">
        <f t="shared" ref="AL662:BN662" si="724">IF(AND(AL$658&gt;($I$128+2020),AL$658&lt;($J$128+2022)),AK662+($AH$662*$C$128*$AI$662*((100-$E$128)/100)*((100-$F$128)/100)/($J$128-$I$128+1)/1000000),AK662)</f>
        <v>0</v>
      </c>
      <c r="AM662" s="123">
        <f t="shared" si="724"/>
        <v>0</v>
      </c>
      <c r="AN662" s="123">
        <f t="shared" si="724"/>
        <v>0</v>
      </c>
      <c r="AO662" s="123">
        <f t="shared" si="724"/>
        <v>0</v>
      </c>
      <c r="AP662" s="123">
        <f t="shared" si="724"/>
        <v>0</v>
      </c>
      <c r="AQ662" s="123">
        <f t="shared" si="724"/>
        <v>0</v>
      </c>
      <c r="AR662" s="123">
        <f t="shared" si="724"/>
        <v>0</v>
      </c>
      <c r="AS662" s="123">
        <f t="shared" si="724"/>
        <v>0</v>
      </c>
      <c r="AT662" s="123">
        <f t="shared" si="724"/>
        <v>0</v>
      </c>
      <c r="AU662" s="123">
        <f t="shared" si="724"/>
        <v>0</v>
      </c>
      <c r="AV662" s="123">
        <f t="shared" si="724"/>
        <v>0</v>
      </c>
      <c r="AW662" s="123">
        <f t="shared" si="724"/>
        <v>0</v>
      </c>
      <c r="AX662" s="123">
        <f t="shared" si="724"/>
        <v>0</v>
      </c>
      <c r="AY662" s="123">
        <f t="shared" si="724"/>
        <v>0</v>
      </c>
      <c r="AZ662" s="123">
        <f t="shared" si="724"/>
        <v>0</v>
      </c>
      <c r="BA662" s="123">
        <f t="shared" si="724"/>
        <v>0</v>
      </c>
      <c r="BB662" s="123">
        <f t="shared" si="724"/>
        <v>0</v>
      </c>
      <c r="BC662" s="123">
        <f t="shared" si="724"/>
        <v>0</v>
      </c>
      <c r="BD662" s="123">
        <f t="shared" si="724"/>
        <v>0</v>
      </c>
      <c r="BE662" s="123">
        <f t="shared" si="724"/>
        <v>0</v>
      </c>
      <c r="BF662" s="123">
        <f t="shared" si="724"/>
        <v>0</v>
      </c>
      <c r="BG662" s="123">
        <f t="shared" si="724"/>
        <v>0</v>
      </c>
      <c r="BH662" s="123">
        <f t="shared" si="724"/>
        <v>0</v>
      </c>
      <c r="BI662" s="123">
        <f t="shared" si="724"/>
        <v>0</v>
      </c>
      <c r="BJ662" s="123">
        <f t="shared" si="724"/>
        <v>0</v>
      </c>
      <c r="BK662" s="123">
        <f t="shared" si="724"/>
        <v>0</v>
      </c>
      <c r="BL662" s="123">
        <f t="shared" si="724"/>
        <v>0</v>
      </c>
      <c r="BM662" s="123">
        <f t="shared" si="724"/>
        <v>0</v>
      </c>
      <c r="BN662" s="159">
        <f t="shared" si="724"/>
        <v>0</v>
      </c>
      <c r="BP662" s="367" t="s">
        <v>864</v>
      </c>
      <c r="BQ662" s="1494" t="str">
        <f t="shared" si="722"/>
        <v>GHG_Coala = GHG_Coala-1 + (C127 * BUI_COL (307 + ((A127 - 1) * 8) * E127 / 100) + (F127 / 100 * BUI_COL (307 + ((A127 - 1) * 8) * (100 - E127) / 100)) * BUI_COL3 / (J127-I127+1) / 1000000</v>
      </c>
      <c r="BR662" s="1494"/>
      <c r="BS662" s="1494"/>
      <c r="BT662" s="1494"/>
      <c r="BU662" s="1494"/>
      <c r="BV662" s="1494"/>
      <c r="BW662" s="1494"/>
      <c r="BX662" s="1494"/>
      <c r="BY662" s="1494"/>
      <c r="BZ662" s="1494"/>
      <c r="CA662" s="1494"/>
      <c r="CB662" s="1494"/>
      <c r="CC662" s="1494"/>
      <c r="CD662" s="1494"/>
      <c r="CE662" s="1494"/>
      <c r="CF662" s="1494"/>
      <c r="CG662" s="1494"/>
      <c r="CH662" s="1494"/>
      <c r="CI662" s="1494"/>
      <c r="CJ662" s="1494"/>
      <c r="CK662" s="1494"/>
      <c r="CL662" s="576" t="s">
        <v>2214</v>
      </c>
      <c r="CM662" s="1540" t="s">
        <v>2215</v>
      </c>
      <c r="CN662" s="1541"/>
      <c r="CO662" s="579" t="s">
        <v>1248</v>
      </c>
      <c r="CP662" s="579" t="s">
        <v>2216</v>
      </c>
    </row>
    <row r="663" spans="32:94" ht="20.100000000000001" customHeight="1">
      <c r="AF663" s="1560"/>
      <c r="AG663" s="107" t="s">
        <v>865</v>
      </c>
      <c r="AH663" s="107">
        <f>INDEX('DEFAULT DATA'!$WD$9:$WJ$41,START!$C$3,4)</f>
        <v>382</v>
      </c>
      <c r="AI663" s="195">
        <f>INDEX('DEFAULT DATA'!$AHX$9:$AJS$41,START!$C$3,(5+(($A$128-1)*8)))</f>
        <v>2.52</v>
      </c>
      <c r="AJ663" s="115"/>
      <c r="AK663" s="180">
        <v>0</v>
      </c>
      <c r="AL663" s="123">
        <f t="shared" ref="AL663:BN663" si="725">IF(AND(AL$658&gt;($I$128+2020),AL$658&lt;($J$128+2022)),AK663+($AH$663*$C$128*$AI$663*((100-$E$128)/100)*((100-$F$128)/100)/($J$128-$I$128+1)/1000000),AK663)</f>
        <v>0</v>
      </c>
      <c r="AM663" s="123">
        <f t="shared" si="725"/>
        <v>0</v>
      </c>
      <c r="AN663" s="123">
        <f t="shared" si="725"/>
        <v>0</v>
      </c>
      <c r="AO663" s="123">
        <f t="shared" si="725"/>
        <v>0</v>
      </c>
      <c r="AP663" s="123">
        <f t="shared" si="725"/>
        <v>0</v>
      </c>
      <c r="AQ663" s="123">
        <f t="shared" si="725"/>
        <v>0</v>
      </c>
      <c r="AR663" s="123">
        <f t="shared" si="725"/>
        <v>0</v>
      </c>
      <c r="AS663" s="123">
        <f t="shared" si="725"/>
        <v>0</v>
      </c>
      <c r="AT663" s="123">
        <f t="shared" si="725"/>
        <v>0</v>
      </c>
      <c r="AU663" s="123">
        <f t="shared" si="725"/>
        <v>0</v>
      </c>
      <c r="AV663" s="123">
        <f t="shared" si="725"/>
        <v>0</v>
      </c>
      <c r="AW663" s="123">
        <f t="shared" si="725"/>
        <v>0</v>
      </c>
      <c r="AX663" s="123">
        <f t="shared" si="725"/>
        <v>0</v>
      </c>
      <c r="AY663" s="123">
        <f t="shared" si="725"/>
        <v>0</v>
      </c>
      <c r="AZ663" s="123">
        <f t="shared" si="725"/>
        <v>0</v>
      </c>
      <c r="BA663" s="123">
        <f t="shared" si="725"/>
        <v>0</v>
      </c>
      <c r="BB663" s="123">
        <f t="shared" si="725"/>
        <v>0</v>
      </c>
      <c r="BC663" s="123">
        <f t="shared" si="725"/>
        <v>0</v>
      </c>
      <c r="BD663" s="123">
        <f t="shared" si="725"/>
        <v>0</v>
      </c>
      <c r="BE663" s="123">
        <f t="shared" si="725"/>
        <v>0</v>
      </c>
      <c r="BF663" s="123">
        <f t="shared" si="725"/>
        <v>0</v>
      </c>
      <c r="BG663" s="123">
        <f t="shared" si="725"/>
        <v>0</v>
      </c>
      <c r="BH663" s="123">
        <f t="shared" si="725"/>
        <v>0</v>
      </c>
      <c r="BI663" s="123">
        <f t="shared" si="725"/>
        <v>0</v>
      </c>
      <c r="BJ663" s="123">
        <f t="shared" si="725"/>
        <v>0</v>
      </c>
      <c r="BK663" s="123">
        <f t="shared" si="725"/>
        <v>0</v>
      </c>
      <c r="BL663" s="123">
        <f t="shared" si="725"/>
        <v>0</v>
      </c>
      <c r="BM663" s="123">
        <f t="shared" si="725"/>
        <v>0</v>
      </c>
      <c r="BN663" s="159">
        <f t="shared" si="725"/>
        <v>0</v>
      </c>
      <c r="BP663" s="367" t="s">
        <v>865</v>
      </c>
      <c r="BQ663" s="1494" t="str">
        <f t="shared" si="722"/>
        <v>GHG_Peata = GHG_Peata-1 + (C127 * BUI_COL (307 + ((A127 - 1) * 8) * E127 / 100) + (F127 / 100 * BUI_COL (307 + ((A127 - 1) * 8) * (100 - E127) / 100)) * BUI_COL4 / (J127-I127+1) / 1000000</v>
      </c>
      <c r="BR663" s="1494"/>
      <c r="BS663" s="1494"/>
      <c r="BT663" s="1494"/>
      <c r="BU663" s="1494"/>
      <c r="BV663" s="1494"/>
      <c r="BW663" s="1494"/>
      <c r="BX663" s="1494"/>
      <c r="BY663" s="1494"/>
      <c r="BZ663" s="1494"/>
      <c r="CA663" s="1494"/>
      <c r="CB663" s="1494"/>
      <c r="CC663" s="1494"/>
      <c r="CD663" s="1494"/>
      <c r="CE663" s="1494"/>
      <c r="CF663" s="1494"/>
      <c r="CG663" s="1494"/>
      <c r="CH663" s="1494"/>
      <c r="CI663" s="1494"/>
      <c r="CJ663" s="1494"/>
      <c r="CK663" s="1494"/>
      <c r="CL663" s="576" t="s">
        <v>2214</v>
      </c>
      <c r="CM663" s="1540" t="s">
        <v>2215</v>
      </c>
      <c r="CN663" s="1541"/>
      <c r="CO663" s="579" t="s">
        <v>1249</v>
      </c>
      <c r="CP663" s="579" t="s">
        <v>2216</v>
      </c>
    </row>
    <row r="664" spans="32:94" ht="20.100000000000001" customHeight="1">
      <c r="AF664" s="1560"/>
      <c r="AG664" s="107" t="s">
        <v>866</v>
      </c>
      <c r="AH664" s="107">
        <f>INDEX('DEFAULT DATA'!$WD$9:$WJ$41,START!$C$3,5)</f>
        <v>403</v>
      </c>
      <c r="AI664" s="195">
        <f>INDEX('DEFAULT DATA'!$AHX$9:$AJS$41,START!$C$3,(6+(($A$128-1)*8)))</f>
        <v>3.06</v>
      </c>
      <c r="AJ664" s="115"/>
      <c r="AK664" s="180">
        <v>0</v>
      </c>
      <c r="AL664" s="123">
        <f t="shared" ref="AL664:BN664" si="726">IF(AND(AL$658&gt;($I$128+2020),AL$658&lt;($J$128+2022)),AK664+($AH$664*$C$128*$AI$664*((100-$E$128)/100)*((100-$F$128)/100)/($J$128-$I$128+1)/1000000),AK664)</f>
        <v>0</v>
      </c>
      <c r="AM664" s="123">
        <f t="shared" si="726"/>
        <v>0</v>
      </c>
      <c r="AN664" s="123">
        <f t="shared" si="726"/>
        <v>0</v>
      </c>
      <c r="AO664" s="123">
        <f t="shared" si="726"/>
        <v>0</v>
      </c>
      <c r="AP664" s="123">
        <f t="shared" si="726"/>
        <v>0</v>
      </c>
      <c r="AQ664" s="123">
        <f t="shared" si="726"/>
        <v>0</v>
      </c>
      <c r="AR664" s="123">
        <f t="shared" si="726"/>
        <v>0</v>
      </c>
      <c r="AS664" s="123">
        <f t="shared" si="726"/>
        <v>0</v>
      </c>
      <c r="AT664" s="123">
        <f t="shared" si="726"/>
        <v>0</v>
      </c>
      <c r="AU664" s="123">
        <f t="shared" si="726"/>
        <v>0</v>
      </c>
      <c r="AV664" s="123">
        <f t="shared" si="726"/>
        <v>0</v>
      </c>
      <c r="AW664" s="123">
        <f t="shared" si="726"/>
        <v>0</v>
      </c>
      <c r="AX664" s="123">
        <f t="shared" si="726"/>
        <v>0</v>
      </c>
      <c r="AY664" s="123">
        <f t="shared" si="726"/>
        <v>0</v>
      </c>
      <c r="AZ664" s="123">
        <f t="shared" si="726"/>
        <v>0</v>
      </c>
      <c r="BA664" s="123">
        <f t="shared" si="726"/>
        <v>0</v>
      </c>
      <c r="BB664" s="123">
        <f t="shared" si="726"/>
        <v>0</v>
      </c>
      <c r="BC664" s="123">
        <f t="shared" si="726"/>
        <v>0</v>
      </c>
      <c r="BD664" s="123">
        <f t="shared" si="726"/>
        <v>0</v>
      </c>
      <c r="BE664" s="123">
        <f t="shared" si="726"/>
        <v>0</v>
      </c>
      <c r="BF664" s="123">
        <f t="shared" si="726"/>
        <v>0</v>
      </c>
      <c r="BG664" s="123">
        <f t="shared" si="726"/>
        <v>0</v>
      </c>
      <c r="BH664" s="123">
        <f t="shared" si="726"/>
        <v>0</v>
      </c>
      <c r="BI664" s="123">
        <f t="shared" si="726"/>
        <v>0</v>
      </c>
      <c r="BJ664" s="123">
        <f t="shared" si="726"/>
        <v>0</v>
      </c>
      <c r="BK664" s="123">
        <f t="shared" si="726"/>
        <v>0</v>
      </c>
      <c r="BL664" s="123">
        <f t="shared" si="726"/>
        <v>0</v>
      </c>
      <c r="BM664" s="123">
        <f t="shared" si="726"/>
        <v>0</v>
      </c>
      <c r="BN664" s="159">
        <f t="shared" si="726"/>
        <v>0</v>
      </c>
      <c r="BP664" s="367" t="s">
        <v>866</v>
      </c>
      <c r="BQ664" s="1494" t="str">
        <f t="shared" si="722"/>
        <v>GHG_Wooda = GHG_Wooda-1 + (C127 * BUI_COL (307 + ((A127 - 1) * 8) * E127 / 100) + (F127 / 100 * BUI_COL (307 + ((A127 - 1) * 8) * (100 - E127) / 100)) * BUI_COL5 / (J127-I127+1) / 1000000</v>
      </c>
      <c r="BR664" s="1494"/>
      <c r="BS664" s="1494"/>
      <c r="BT664" s="1494"/>
      <c r="BU664" s="1494"/>
      <c r="BV664" s="1494"/>
      <c r="BW664" s="1494"/>
      <c r="BX664" s="1494"/>
      <c r="BY664" s="1494"/>
      <c r="BZ664" s="1494"/>
      <c r="CA664" s="1494"/>
      <c r="CB664" s="1494"/>
      <c r="CC664" s="1494"/>
      <c r="CD664" s="1494"/>
      <c r="CE664" s="1494"/>
      <c r="CF664" s="1494"/>
      <c r="CG664" s="1494"/>
      <c r="CH664" s="1494"/>
      <c r="CI664" s="1494"/>
      <c r="CJ664" s="1494"/>
      <c r="CK664" s="1494"/>
      <c r="CL664" s="576" t="s">
        <v>2214</v>
      </c>
      <c r="CM664" s="1540" t="s">
        <v>2215</v>
      </c>
      <c r="CN664" s="1541"/>
      <c r="CO664" s="579" t="s">
        <v>1250</v>
      </c>
      <c r="CP664" s="579" t="s">
        <v>2216</v>
      </c>
    </row>
    <row r="665" spans="32:94" ht="20.100000000000001" customHeight="1">
      <c r="AF665" s="1560"/>
      <c r="AG665" s="107" t="s">
        <v>867</v>
      </c>
      <c r="AH665" s="107">
        <f>INDEX('DEFAULT DATA'!$WD$9:$WJ$41,START!$C$3,6)</f>
        <v>0</v>
      </c>
      <c r="AI665" s="195">
        <f>INDEX('DEFAULT DATA'!$AHX$9:$AJS$41,START!$C$3,(7+(($A$128-1)*8)))</f>
        <v>0</v>
      </c>
      <c r="AJ665" s="115"/>
      <c r="AK665" s="180">
        <v>0</v>
      </c>
      <c r="AL665" s="123">
        <f t="shared" ref="AL665:BN665" si="727">IF(AND(AL$658&gt;($I$128+2020),AL$658&lt;($J$128+2022)),AK665+($AH$665*$C$128*$AI$665*((100-$E$128)/100)*((100-$F$128)/100)/($J$128-$I$128+1)/1000000),AK665)</f>
        <v>0</v>
      </c>
      <c r="AM665" s="123">
        <f t="shared" si="727"/>
        <v>0</v>
      </c>
      <c r="AN665" s="123">
        <f t="shared" si="727"/>
        <v>0</v>
      </c>
      <c r="AO665" s="123">
        <f t="shared" si="727"/>
        <v>0</v>
      </c>
      <c r="AP665" s="123">
        <f t="shared" si="727"/>
        <v>0</v>
      </c>
      <c r="AQ665" s="123">
        <f t="shared" si="727"/>
        <v>0</v>
      </c>
      <c r="AR665" s="123">
        <f t="shared" si="727"/>
        <v>0</v>
      </c>
      <c r="AS665" s="123">
        <f t="shared" si="727"/>
        <v>0</v>
      </c>
      <c r="AT665" s="123">
        <f t="shared" si="727"/>
        <v>0</v>
      </c>
      <c r="AU665" s="123">
        <f t="shared" si="727"/>
        <v>0</v>
      </c>
      <c r="AV665" s="123">
        <f t="shared" si="727"/>
        <v>0</v>
      </c>
      <c r="AW665" s="123">
        <f t="shared" si="727"/>
        <v>0</v>
      </c>
      <c r="AX665" s="123">
        <f t="shared" si="727"/>
        <v>0</v>
      </c>
      <c r="AY665" s="123">
        <f t="shared" si="727"/>
        <v>0</v>
      </c>
      <c r="AZ665" s="123">
        <f t="shared" si="727"/>
        <v>0</v>
      </c>
      <c r="BA665" s="123">
        <f t="shared" si="727"/>
        <v>0</v>
      </c>
      <c r="BB665" s="123">
        <f t="shared" si="727"/>
        <v>0</v>
      </c>
      <c r="BC665" s="123">
        <f t="shared" si="727"/>
        <v>0</v>
      </c>
      <c r="BD665" s="123">
        <f t="shared" si="727"/>
        <v>0</v>
      </c>
      <c r="BE665" s="123">
        <f t="shared" si="727"/>
        <v>0</v>
      </c>
      <c r="BF665" s="123">
        <f t="shared" si="727"/>
        <v>0</v>
      </c>
      <c r="BG665" s="123">
        <f t="shared" si="727"/>
        <v>0</v>
      </c>
      <c r="BH665" s="123">
        <f t="shared" si="727"/>
        <v>0</v>
      </c>
      <c r="BI665" s="123">
        <f t="shared" si="727"/>
        <v>0</v>
      </c>
      <c r="BJ665" s="123">
        <f t="shared" si="727"/>
        <v>0</v>
      </c>
      <c r="BK665" s="123">
        <f t="shared" si="727"/>
        <v>0</v>
      </c>
      <c r="BL665" s="123">
        <f t="shared" si="727"/>
        <v>0</v>
      </c>
      <c r="BM665" s="123">
        <f t="shared" si="727"/>
        <v>0</v>
      </c>
      <c r="BN665" s="159">
        <f t="shared" si="727"/>
        <v>0</v>
      </c>
      <c r="BP665" s="367" t="s">
        <v>867</v>
      </c>
      <c r="BQ665" s="1494" t="str">
        <f t="shared" si="722"/>
        <v>GHG_Renewablea = GHG_Renewablea-1 + (C127 * BUI_COL (307 + ((A127 - 1) * 8) * E127 / 100) + (F127 / 100 * BUI_COL (307 + ((A127 - 1) * 8) * (100 - E127) / 100)) * BUI_COL6 / (J127-I127+1) / 1000000</v>
      </c>
      <c r="BR665" s="1494"/>
      <c r="BS665" s="1494"/>
      <c r="BT665" s="1494"/>
      <c r="BU665" s="1494"/>
      <c r="BV665" s="1494"/>
      <c r="BW665" s="1494"/>
      <c r="BX665" s="1494"/>
      <c r="BY665" s="1494"/>
      <c r="BZ665" s="1494"/>
      <c r="CA665" s="1494"/>
      <c r="CB665" s="1494"/>
      <c r="CC665" s="1494"/>
      <c r="CD665" s="1494"/>
      <c r="CE665" s="1494"/>
      <c r="CF665" s="1494"/>
      <c r="CG665" s="1494"/>
      <c r="CH665" s="1494"/>
      <c r="CI665" s="1494"/>
      <c r="CJ665" s="1494"/>
      <c r="CK665" s="1494"/>
      <c r="CL665" s="576" t="s">
        <v>2214</v>
      </c>
      <c r="CM665" s="1540" t="s">
        <v>2215</v>
      </c>
      <c r="CN665" s="1541"/>
      <c r="CO665" s="579" t="s">
        <v>1251</v>
      </c>
      <c r="CP665" s="579" t="s">
        <v>2216</v>
      </c>
    </row>
    <row r="666" spans="32:94" ht="20.100000000000001" customHeight="1" thickBot="1">
      <c r="AF666" s="1561"/>
      <c r="AG666" s="146" t="s">
        <v>868</v>
      </c>
      <c r="AH666" s="146" t="s">
        <v>1123</v>
      </c>
      <c r="AI666" s="197">
        <f>INDEX('DEFAULT DATA'!$AHX$9:$AJS$41,START!$C$3,(8+(($A$128-1)*8)))</f>
        <v>4.4965266808490847E-2</v>
      </c>
      <c r="AJ666" s="170"/>
      <c r="AK666" s="183">
        <v>0</v>
      </c>
      <c r="AL666" s="160">
        <f t="shared" ref="AL666:BN666" si="728">IF(AND(AL$658&gt;($I$128+2020),AL$658&lt;($J$128+2022)),AK666+(AL$6*$C$128*$AI$666*((100-$E$128)/100)*((100-$F$128)/100)/($J$128-$I$128+1)/1000000),AK666)</f>
        <v>0</v>
      </c>
      <c r="AM666" s="160">
        <f t="shared" si="728"/>
        <v>0</v>
      </c>
      <c r="AN666" s="160">
        <f t="shared" si="728"/>
        <v>0</v>
      </c>
      <c r="AO666" s="160">
        <f t="shared" si="728"/>
        <v>0</v>
      </c>
      <c r="AP666" s="160">
        <f t="shared" si="728"/>
        <v>0</v>
      </c>
      <c r="AQ666" s="160">
        <f t="shared" si="728"/>
        <v>0</v>
      </c>
      <c r="AR666" s="160">
        <f t="shared" si="728"/>
        <v>0</v>
      </c>
      <c r="AS666" s="160">
        <f t="shared" si="728"/>
        <v>0</v>
      </c>
      <c r="AT666" s="160">
        <f t="shared" si="728"/>
        <v>0</v>
      </c>
      <c r="AU666" s="160">
        <f t="shared" si="728"/>
        <v>0</v>
      </c>
      <c r="AV666" s="160">
        <f t="shared" si="728"/>
        <v>0</v>
      </c>
      <c r="AW666" s="160">
        <f t="shared" si="728"/>
        <v>0</v>
      </c>
      <c r="AX666" s="160">
        <f t="shared" si="728"/>
        <v>0</v>
      </c>
      <c r="AY666" s="160">
        <f t="shared" si="728"/>
        <v>0</v>
      </c>
      <c r="AZ666" s="160">
        <f t="shared" si="728"/>
        <v>0</v>
      </c>
      <c r="BA666" s="160">
        <f t="shared" si="728"/>
        <v>0</v>
      </c>
      <c r="BB666" s="160">
        <f t="shared" si="728"/>
        <v>0</v>
      </c>
      <c r="BC666" s="160">
        <f t="shared" si="728"/>
        <v>0</v>
      </c>
      <c r="BD666" s="160">
        <f t="shared" si="728"/>
        <v>0</v>
      </c>
      <c r="BE666" s="160">
        <f t="shared" si="728"/>
        <v>0</v>
      </c>
      <c r="BF666" s="160">
        <f t="shared" si="728"/>
        <v>0</v>
      </c>
      <c r="BG666" s="160">
        <f t="shared" si="728"/>
        <v>0</v>
      </c>
      <c r="BH666" s="160">
        <f t="shared" si="728"/>
        <v>0</v>
      </c>
      <c r="BI666" s="160">
        <f t="shared" si="728"/>
        <v>0</v>
      </c>
      <c r="BJ666" s="160">
        <f t="shared" si="728"/>
        <v>0</v>
      </c>
      <c r="BK666" s="160">
        <f t="shared" si="728"/>
        <v>0</v>
      </c>
      <c r="BL666" s="160">
        <f t="shared" si="728"/>
        <v>0</v>
      </c>
      <c r="BM666" s="160">
        <f t="shared" si="728"/>
        <v>0</v>
      </c>
      <c r="BN666" s="161">
        <f t="shared" si="728"/>
        <v>0</v>
      </c>
      <c r="BP666" s="367" t="s">
        <v>868</v>
      </c>
      <c r="BQ666" s="1494" t="str">
        <f t="shared" si="722"/>
        <v>GHG_Heata = GHG_Heata-1 + (C127 * BUI_COL (307 + ((A127 - 1) * 8) * E127 / 100) + (F127 / 100 * BUI_COL (307 + ((A127 - 1) * 8) * (100 - E127) / 100)) * DISTRICT_HEATING_emission_factora (from row 5) / (J127-I127+1) / 1000000</v>
      </c>
      <c r="BR666" s="1494"/>
      <c r="BS666" s="1494"/>
      <c r="BT666" s="1494"/>
      <c r="BU666" s="1494"/>
      <c r="BV666" s="1494"/>
      <c r="BW666" s="1494"/>
      <c r="BX666" s="1494"/>
      <c r="BY666" s="1494"/>
      <c r="BZ666" s="1494"/>
      <c r="CA666" s="1494"/>
      <c r="CB666" s="1494"/>
      <c r="CC666" s="1494"/>
      <c r="CD666" s="1494"/>
      <c r="CE666" s="1494"/>
      <c r="CF666" s="1494"/>
      <c r="CG666" s="1494"/>
      <c r="CH666" s="1494"/>
      <c r="CI666" s="1494"/>
      <c r="CJ666" s="1494"/>
      <c r="CK666" s="1494"/>
      <c r="CL666" s="576" t="s">
        <v>2214</v>
      </c>
      <c r="CM666" s="1540" t="s">
        <v>2215</v>
      </c>
      <c r="CN666" s="1541"/>
      <c r="CO666" s="579" t="s">
        <v>1508</v>
      </c>
      <c r="CP666" s="579" t="s">
        <v>2216</v>
      </c>
    </row>
    <row r="667" spans="32:94" ht="20.100000000000001" customHeight="1">
      <c r="AF667" s="167"/>
      <c r="AG667" s="144" t="s">
        <v>211</v>
      </c>
      <c r="AH667" s="145"/>
      <c r="AI667" s="198"/>
      <c r="AJ667" s="145"/>
      <c r="AK667" s="179">
        <v>0</v>
      </c>
      <c r="AL667" s="162">
        <f>SUM(AL659:AL666)</f>
        <v>0</v>
      </c>
      <c r="AM667" s="162">
        <f t="shared" ref="AM667" si="729">SUM(AM659:AM666)</f>
        <v>0</v>
      </c>
      <c r="AN667" s="162">
        <f t="shared" ref="AN667" si="730">SUM(AN659:AN666)</f>
        <v>0</v>
      </c>
      <c r="AO667" s="162">
        <f t="shared" ref="AO667" si="731">SUM(AO659:AO666)</f>
        <v>0</v>
      </c>
      <c r="AP667" s="162">
        <f t="shared" ref="AP667" si="732">SUM(AP659:AP666)</f>
        <v>0</v>
      </c>
      <c r="AQ667" s="162">
        <f t="shared" ref="AQ667" si="733">SUM(AQ659:AQ666)</f>
        <v>0</v>
      </c>
      <c r="AR667" s="162">
        <f t="shared" ref="AR667" si="734">SUM(AR659:AR666)</f>
        <v>0</v>
      </c>
      <c r="AS667" s="162">
        <f t="shared" ref="AS667" si="735">SUM(AS659:AS666)</f>
        <v>0</v>
      </c>
      <c r="AT667" s="162">
        <f t="shared" ref="AT667" si="736">SUM(AT659:AT666)</f>
        <v>0</v>
      </c>
      <c r="AU667" s="162">
        <f t="shared" ref="AU667" si="737">SUM(AU659:AU666)</f>
        <v>0</v>
      </c>
      <c r="AV667" s="162">
        <f t="shared" ref="AV667" si="738">SUM(AV659:AV666)</f>
        <v>0</v>
      </c>
      <c r="AW667" s="162">
        <f t="shared" ref="AW667" si="739">SUM(AW659:AW666)</f>
        <v>0</v>
      </c>
      <c r="AX667" s="162">
        <f t="shared" ref="AX667" si="740">SUM(AX659:AX666)</f>
        <v>0</v>
      </c>
      <c r="AY667" s="162">
        <f t="shared" ref="AY667" si="741">SUM(AY659:AY666)</f>
        <v>0</v>
      </c>
      <c r="AZ667" s="162">
        <f t="shared" ref="AZ667" si="742">SUM(AZ659:AZ666)</f>
        <v>0</v>
      </c>
      <c r="BA667" s="162">
        <f t="shared" ref="BA667" si="743">SUM(BA659:BA666)</f>
        <v>0</v>
      </c>
      <c r="BB667" s="162">
        <f t="shared" ref="BB667" si="744">SUM(BB659:BB666)</f>
        <v>0</v>
      </c>
      <c r="BC667" s="162">
        <f t="shared" ref="BC667" si="745">SUM(BC659:BC666)</f>
        <v>0</v>
      </c>
      <c r="BD667" s="162">
        <f t="shared" ref="BD667" si="746">SUM(BD659:BD666)</f>
        <v>0</v>
      </c>
      <c r="BE667" s="162">
        <f t="shared" ref="BE667" si="747">SUM(BE659:BE666)</f>
        <v>0</v>
      </c>
      <c r="BF667" s="162">
        <f t="shared" ref="BF667" si="748">SUM(BF659:BF666)</f>
        <v>0</v>
      </c>
      <c r="BG667" s="162">
        <f t="shared" ref="BG667" si="749">SUM(BG659:BG666)</f>
        <v>0</v>
      </c>
      <c r="BH667" s="162">
        <f t="shared" ref="BH667" si="750">SUM(BH659:BH666)</f>
        <v>0</v>
      </c>
      <c r="BI667" s="162">
        <f t="shared" ref="BI667" si="751">SUM(BI659:BI666)</f>
        <v>0</v>
      </c>
      <c r="BJ667" s="162">
        <f t="shared" ref="BJ667" si="752">SUM(BJ659:BJ666)</f>
        <v>0</v>
      </c>
      <c r="BK667" s="162">
        <f t="shared" ref="BK667" si="753">SUM(BK659:BK666)</f>
        <v>0</v>
      </c>
      <c r="BL667" s="162">
        <f t="shared" ref="BL667" si="754">SUM(BL659:BL666)</f>
        <v>0</v>
      </c>
      <c r="BM667" s="162">
        <f t="shared" ref="BM667" si="755">SUM(BM659:BM666)</f>
        <v>0</v>
      </c>
      <c r="BN667" s="162">
        <f t="shared" ref="BN667" si="756">SUM(BN659:BN666)</f>
        <v>0</v>
      </c>
    </row>
    <row r="668" spans="32:94" ht="20.100000000000001" customHeight="1">
      <c r="AI668" s="199"/>
    </row>
    <row r="669" spans="32:94" ht="20.100000000000001" customHeight="1" thickBot="1">
      <c r="AF669" s="168" t="s">
        <v>1099</v>
      </c>
      <c r="AG669" s="168"/>
      <c r="AH669" s="169" t="s">
        <v>620</v>
      </c>
      <c r="AI669" s="200" t="s">
        <v>898</v>
      </c>
      <c r="AJ669" s="135"/>
      <c r="AK669" s="181">
        <v>2021</v>
      </c>
      <c r="AL669" s="135">
        <v>2022</v>
      </c>
      <c r="AM669" s="135">
        <v>2023</v>
      </c>
      <c r="AN669" s="135">
        <v>2024</v>
      </c>
      <c r="AO669" s="135">
        <v>2025</v>
      </c>
      <c r="AP669" s="135">
        <v>2026</v>
      </c>
      <c r="AQ669" s="135">
        <v>2027</v>
      </c>
      <c r="AR669" s="135">
        <v>2028</v>
      </c>
      <c r="AS669" s="135">
        <v>2029</v>
      </c>
      <c r="AT669" s="135">
        <v>2030</v>
      </c>
      <c r="AU669" s="135">
        <v>2031</v>
      </c>
      <c r="AV669" s="135">
        <v>2032</v>
      </c>
      <c r="AW669" s="135">
        <v>2033</v>
      </c>
      <c r="AX669" s="135">
        <v>2034</v>
      </c>
      <c r="AY669" s="135">
        <v>2035</v>
      </c>
      <c r="AZ669" s="135">
        <v>2036</v>
      </c>
      <c r="BA669" s="135">
        <v>2037</v>
      </c>
      <c r="BB669" s="135">
        <v>2038</v>
      </c>
      <c r="BC669" s="135">
        <v>2039</v>
      </c>
      <c r="BD669" s="135">
        <v>2040</v>
      </c>
      <c r="BE669" s="135">
        <v>2041</v>
      </c>
      <c r="BF669" s="135">
        <v>2042</v>
      </c>
      <c r="BG669" s="135">
        <v>2043</v>
      </c>
      <c r="BH669" s="135">
        <v>2044</v>
      </c>
      <c r="BI669" s="135">
        <v>2045</v>
      </c>
      <c r="BJ669" s="135">
        <v>2046</v>
      </c>
      <c r="BK669" s="135">
        <v>2047</v>
      </c>
      <c r="BL669" s="135">
        <v>2048</v>
      </c>
      <c r="BM669" s="135">
        <v>2049</v>
      </c>
      <c r="BN669" s="135">
        <v>2050</v>
      </c>
      <c r="BQ669" s="82" t="s">
        <v>2217</v>
      </c>
      <c r="BR669" s="250"/>
      <c r="BS669" s="250"/>
      <c r="BT669" s="250"/>
      <c r="BU669" s="250"/>
      <c r="BV669" s="250"/>
      <c r="BW669" s="250"/>
      <c r="BX669" s="250"/>
      <c r="BY669" s="250"/>
      <c r="BZ669" s="250"/>
      <c r="CA669" s="250"/>
      <c r="CB669" s="250"/>
      <c r="CC669" s="250"/>
      <c r="CD669" s="250"/>
      <c r="CE669" s="250"/>
      <c r="CF669" s="250"/>
      <c r="CG669" s="250"/>
      <c r="CH669" s="250"/>
      <c r="CI669" s="250"/>
      <c r="CJ669" s="250"/>
      <c r="CK669" s="250"/>
      <c r="CL669" s="605" t="s">
        <v>2201</v>
      </c>
      <c r="CM669" s="130" t="s">
        <v>2202</v>
      </c>
      <c r="CN669" s="130"/>
      <c r="CO669" s="606" t="s">
        <v>1224</v>
      </c>
      <c r="CP669" s="130" t="s">
        <v>2172</v>
      </c>
    </row>
    <row r="670" spans="32:94" ht="20.100000000000001" customHeight="1">
      <c r="AF670" s="1559" t="str">
        <f>INDEX('MENU OPTIONS'!B31:B36,A129,1)</f>
        <v>Health</v>
      </c>
      <c r="AG670" s="137" t="s">
        <v>578</v>
      </c>
      <c r="AH670" s="137" t="s">
        <v>1122</v>
      </c>
      <c r="AI670" s="196">
        <f>INDEX('DEFAULT DATA'!$AHX$9:$AJS$41,START!$C$3,(1+(($A$129-1)*8)))</f>
        <v>420</v>
      </c>
      <c r="AJ670" s="165"/>
      <c r="AK670" s="178">
        <v>0</v>
      </c>
      <c r="AL670" s="157">
        <f t="shared" ref="AL670:BN670" si="757">IF(AND(AL$669&gt;($I$129+2020),AL$669&lt;($J$129+2022)),AK670+(AL$5*$C$129*$AI$670*((100-$E$129)/100)*((100-$F$129)/100)/($J$129-$I$129+1)/1000000),AK670)</f>
        <v>0</v>
      </c>
      <c r="AM670" s="157">
        <f t="shared" si="757"/>
        <v>0</v>
      </c>
      <c r="AN670" s="157">
        <f t="shared" si="757"/>
        <v>0</v>
      </c>
      <c r="AO670" s="157">
        <f t="shared" si="757"/>
        <v>0</v>
      </c>
      <c r="AP670" s="157">
        <f t="shared" si="757"/>
        <v>0</v>
      </c>
      <c r="AQ670" s="157">
        <f t="shared" si="757"/>
        <v>0</v>
      </c>
      <c r="AR670" s="157">
        <f t="shared" si="757"/>
        <v>0</v>
      </c>
      <c r="AS670" s="157">
        <f t="shared" si="757"/>
        <v>0</v>
      </c>
      <c r="AT670" s="157">
        <f t="shared" si="757"/>
        <v>0</v>
      </c>
      <c r="AU670" s="157">
        <f t="shared" si="757"/>
        <v>0</v>
      </c>
      <c r="AV670" s="157">
        <f t="shared" si="757"/>
        <v>0</v>
      </c>
      <c r="AW670" s="157">
        <f t="shared" si="757"/>
        <v>0</v>
      </c>
      <c r="AX670" s="157">
        <f t="shared" si="757"/>
        <v>0</v>
      </c>
      <c r="AY670" s="157">
        <f t="shared" si="757"/>
        <v>0</v>
      </c>
      <c r="AZ670" s="157">
        <f t="shared" si="757"/>
        <v>0</v>
      </c>
      <c r="BA670" s="157">
        <f t="shared" si="757"/>
        <v>0</v>
      </c>
      <c r="BB670" s="157">
        <f t="shared" si="757"/>
        <v>0</v>
      </c>
      <c r="BC670" s="157">
        <f t="shared" si="757"/>
        <v>0</v>
      </c>
      <c r="BD670" s="157">
        <f t="shared" si="757"/>
        <v>0</v>
      </c>
      <c r="BE670" s="157">
        <f t="shared" si="757"/>
        <v>0</v>
      </c>
      <c r="BF670" s="157">
        <f t="shared" si="757"/>
        <v>0</v>
      </c>
      <c r="BG670" s="157">
        <f t="shared" si="757"/>
        <v>0</v>
      </c>
      <c r="BH670" s="157">
        <f t="shared" si="757"/>
        <v>0</v>
      </c>
      <c r="BI670" s="157">
        <f t="shared" si="757"/>
        <v>0</v>
      </c>
      <c r="BJ670" s="157">
        <f t="shared" si="757"/>
        <v>0</v>
      </c>
      <c r="BK670" s="157">
        <f t="shared" si="757"/>
        <v>0</v>
      </c>
      <c r="BL670" s="157">
        <f t="shared" si="757"/>
        <v>0</v>
      </c>
      <c r="BM670" s="157">
        <f t="shared" si="757"/>
        <v>0</v>
      </c>
      <c r="BN670" s="158">
        <f t="shared" si="757"/>
        <v>0</v>
      </c>
      <c r="BP670" s="367" t="s">
        <v>578</v>
      </c>
      <c r="BQ670" s="1494" t="str">
        <f>CONCATENATE("GHG_",BP670,"a = GHG_",BP670,"a-1 + (C128 * ",CL670," * E128 / 100) + (F128 / 100 * ",CM670,")) * ",CO670," / (",CP670,") / 1000000")</f>
        <v>GHG_Electricitya = GHG_Electricitya-1 + (C128 * BUI_COL (307 + ((A128 - 1) * 8) * E128 / 100) + (F128 / 100 * BUI_COL (307 + ((A128 - 1) * 8) * (100 - E128) / 100)) * GRID_ELECTRICITY_emission_factora (from row4) / (J128-I128+1) / 1000000</v>
      </c>
      <c r="BR670" s="1494"/>
      <c r="BS670" s="1494"/>
      <c r="BT670" s="1494"/>
      <c r="BU670" s="1494"/>
      <c r="BV670" s="1494"/>
      <c r="BW670" s="1494"/>
      <c r="BX670" s="1494"/>
      <c r="BY670" s="1494"/>
      <c r="BZ670" s="1494"/>
      <c r="CA670" s="1494"/>
      <c r="CB670" s="1494"/>
      <c r="CC670" s="1494"/>
      <c r="CD670" s="1494"/>
      <c r="CE670" s="1494"/>
      <c r="CF670" s="1494"/>
      <c r="CG670" s="1494"/>
      <c r="CH670" s="1494"/>
      <c r="CI670" s="1494"/>
      <c r="CJ670" s="1494"/>
      <c r="CK670" s="1494"/>
      <c r="CL670" s="576" t="s">
        <v>2218</v>
      </c>
      <c r="CM670" s="1536" t="s">
        <v>2219</v>
      </c>
      <c r="CN670" s="1537"/>
      <c r="CO670" s="367" t="s">
        <v>2221</v>
      </c>
      <c r="CP670" s="367" t="s">
        <v>2220</v>
      </c>
    </row>
    <row r="671" spans="32:94" ht="20.100000000000001" customHeight="1">
      <c r="AF671" s="1560"/>
      <c r="AG671" s="107" t="s">
        <v>862</v>
      </c>
      <c r="AH671" s="107">
        <f>INDEX('DEFAULT DATA'!$WD$9:$WJ$41,START!$C$3,1)</f>
        <v>202</v>
      </c>
      <c r="AI671" s="195">
        <f>INDEX('DEFAULT DATA'!$AHX$9:$AJS$41,START!$C$3,(2+(($A$129-1)*8)))</f>
        <v>32.409999999999997</v>
      </c>
      <c r="AJ671" s="115"/>
      <c r="AK671" s="180">
        <v>0</v>
      </c>
      <c r="AL671" s="123">
        <f t="shared" ref="AL671:BN671" si="758">IF(AND(AL$669&gt;($I$129+2020),AL$669&lt;($J$129+2022)),AK671+($AH$671*$C$129*$AI$671*((100-$E$129)/100)*((100-$F$129)/100)/($J$129-$I$129+1)/1000000),AK671)</f>
        <v>0</v>
      </c>
      <c r="AM671" s="123">
        <f t="shared" si="758"/>
        <v>0</v>
      </c>
      <c r="AN671" s="123">
        <f t="shared" si="758"/>
        <v>0</v>
      </c>
      <c r="AO671" s="123">
        <f t="shared" si="758"/>
        <v>0</v>
      </c>
      <c r="AP671" s="123">
        <f t="shared" si="758"/>
        <v>0</v>
      </c>
      <c r="AQ671" s="123">
        <f t="shared" si="758"/>
        <v>0</v>
      </c>
      <c r="AR671" s="123">
        <f t="shared" si="758"/>
        <v>0</v>
      </c>
      <c r="AS671" s="123">
        <f t="shared" si="758"/>
        <v>0</v>
      </c>
      <c r="AT671" s="123">
        <f t="shared" si="758"/>
        <v>0</v>
      </c>
      <c r="AU671" s="123">
        <f t="shared" si="758"/>
        <v>0</v>
      </c>
      <c r="AV671" s="123">
        <f t="shared" si="758"/>
        <v>0</v>
      </c>
      <c r="AW671" s="123">
        <f t="shared" si="758"/>
        <v>0</v>
      </c>
      <c r="AX671" s="123">
        <f t="shared" si="758"/>
        <v>0</v>
      </c>
      <c r="AY671" s="123">
        <f t="shared" si="758"/>
        <v>0</v>
      </c>
      <c r="AZ671" s="123">
        <f t="shared" si="758"/>
        <v>0</v>
      </c>
      <c r="BA671" s="123">
        <f t="shared" si="758"/>
        <v>0</v>
      </c>
      <c r="BB671" s="123">
        <f t="shared" si="758"/>
        <v>0</v>
      </c>
      <c r="BC671" s="123">
        <f t="shared" si="758"/>
        <v>0</v>
      </c>
      <c r="BD671" s="123">
        <f t="shared" si="758"/>
        <v>0</v>
      </c>
      <c r="BE671" s="123">
        <f t="shared" si="758"/>
        <v>0</v>
      </c>
      <c r="BF671" s="123">
        <f t="shared" si="758"/>
        <v>0</v>
      </c>
      <c r="BG671" s="123">
        <f t="shared" si="758"/>
        <v>0</v>
      </c>
      <c r="BH671" s="123">
        <f t="shared" si="758"/>
        <v>0</v>
      </c>
      <c r="BI671" s="123">
        <f t="shared" si="758"/>
        <v>0</v>
      </c>
      <c r="BJ671" s="123">
        <f t="shared" si="758"/>
        <v>0</v>
      </c>
      <c r="BK671" s="123">
        <f t="shared" si="758"/>
        <v>0</v>
      </c>
      <c r="BL671" s="123">
        <f t="shared" si="758"/>
        <v>0</v>
      </c>
      <c r="BM671" s="123">
        <f t="shared" si="758"/>
        <v>0</v>
      </c>
      <c r="BN671" s="159">
        <f t="shared" si="758"/>
        <v>0</v>
      </c>
      <c r="BP671" s="367" t="s">
        <v>862</v>
      </c>
      <c r="BQ671" s="1494" t="str">
        <f t="shared" ref="BQ671:BQ677" si="759">CONCATENATE("GHG_",BP671,"a = GHG_",BP671,"a-1 + (C128 * ",CL671," * E128 / 100) + (F128 / 100 * ",CM671,")) * ",CO671," / (",CP671,") / 1000000")</f>
        <v>GHG_Gasa = GHG_Gasa-1 + (C128 * BUI_COL (307 + ((A128 - 1) * 8) * E128 / 100) + (F128 / 100 * BUI_COL (307 + ((A128 - 1) * 8) * (100 - E128) / 100)) * BUI_COL1 / (J128-I128+1) / 1000000</v>
      </c>
      <c r="BR671" s="1494"/>
      <c r="BS671" s="1494"/>
      <c r="BT671" s="1494"/>
      <c r="BU671" s="1494"/>
      <c r="BV671" s="1494"/>
      <c r="BW671" s="1494"/>
      <c r="BX671" s="1494"/>
      <c r="BY671" s="1494"/>
      <c r="BZ671" s="1494"/>
      <c r="CA671" s="1494"/>
      <c r="CB671" s="1494"/>
      <c r="CC671" s="1494"/>
      <c r="CD671" s="1494"/>
      <c r="CE671" s="1494"/>
      <c r="CF671" s="1494"/>
      <c r="CG671" s="1494"/>
      <c r="CH671" s="1494"/>
      <c r="CI671" s="1494"/>
      <c r="CJ671" s="1494"/>
      <c r="CK671" s="1494"/>
      <c r="CL671" s="576" t="s">
        <v>2218</v>
      </c>
      <c r="CM671" s="1536" t="s">
        <v>2219</v>
      </c>
      <c r="CN671" s="1537"/>
      <c r="CO671" s="367" t="s">
        <v>886</v>
      </c>
      <c r="CP671" s="367" t="s">
        <v>2220</v>
      </c>
    </row>
    <row r="672" spans="32:94" ht="20.100000000000001" customHeight="1">
      <c r="AF672" s="1560"/>
      <c r="AG672" s="107" t="s">
        <v>863</v>
      </c>
      <c r="AH672" s="107">
        <f>INDEX('DEFAULT DATA'!$WD$9:$WJ$41,START!$C$3,2)</f>
        <v>267</v>
      </c>
      <c r="AI672" s="195">
        <f>INDEX('DEFAULT DATA'!$AHX$9:$AJS$41,START!$C$3,(3+(($A$129-1)*8)))</f>
        <v>27.01</v>
      </c>
      <c r="AJ672" s="115"/>
      <c r="AK672" s="180">
        <v>0</v>
      </c>
      <c r="AL672" s="123">
        <f t="shared" ref="AL672:BN672" si="760">IF(AND(AL$669&gt;($I$129+2020),AL$669&lt;($J$129+2022)),AK672+($AH$672*$C$129*$AI$672*((100-$E$129)/100)*((100-$F$129)/100)/($J$129-$I$129+1)/1000000),AK672)</f>
        <v>0</v>
      </c>
      <c r="AM672" s="123">
        <f t="shared" si="760"/>
        <v>0</v>
      </c>
      <c r="AN672" s="123">
        <f t="shared" si="760"/>
        <v>0</v>
      </c>
      <c r="AO672" s="123">
        <f t="shared" si="760"/>
        <v>0</v>
      </c>
      <c r="AP672" s="123">
        <f t="shared" si="760"/>
        <v>0</v>
      </c>
      <c r="AQ672" s="123">
        <f t="shared" si="760"/>
        <v>0</v>
      </c>
      <c r="AR672" s="123">
        <f t="shared" si="760"/>
        <v>0</v>
      </c>
      <c r="AS672" s="123">
        <f t="shared" si="760"/>
        <v>0</v>
      </c>
      <c r="AT672" s="123">
        <f t="shared" si="760"/>
        <v>0</v>
      </c>
      <c r="AU672" s="123">
        <f t="shared" si="760"/>
        <v>0</v>
      </c>
      <c r="AV672" s="123">
        <f t="shared" si="760"/>
        <v>0</v>
      </c>
      <c r="AW672" s="123">
        <f t="shared" si="760"/>
        <v>0</v>
      </c>
      <c r="AX672" s="123">
        <f t="shared" si="760"/>
        <v>0</v>
      </c>
      <c r="AY672" s="123">
        <f t="shared" si="760"/>
        <v>0</v>
      </c>
      <c r="AZ672" s="123">
        <f t="shared" si="760"/>
        <v>0</v>
      </c>
      <c r="BA672" s="123">
        <f t="shared" si="760"/>
        <v>0</v>
      </c>
      <c r="BB672" s="123">
        <f t="shared" si="760"/>
        <v>0</v>
      </c>
      <c r="BC672" s="123">
        <f t="shared" si="760"/>
        <v>0</v>
      </c>
      <c r="BD672" s="123">
        <f t="shared" si="760"/>
        <v>0</v>
      </c>
      <c r="BE672" s="123">
        <f t="shared" si="760"/>
        <v>0</v>
      </c>
      <c r="BF672" s="123">
        <f t="shared" si="760"/>
        <v>0</v>
      </c>
      <c r="BG672" s="123">
        <f t="shared" si="760"/>
        <v>0</v>
      </c>
      <c r="BH672" s="123">
        <f t="shared" si="760"/>
        <v>0</v>
      </c>
      <c r="BI672" s="123">
        <f t="shared" si="760"/>
        <v>0</v>
      </c>
      <c r="BJ672" s="123">
        <f t="shared" si="760"/>
        <v>0</v>
      </c>
      <c r="BK672" s="123">
        <f t="shared" si="760"/>
        <v>0</v>
      </c>
      <c r="BL672" s="123">
        <f t="shared" si="760"/>
        <v>0</v>
      </c>
      <c r="BM672" s="123">
        <f t="shared" si="760"/>
        <v>0</v>
      </c>
      <c r="BN672" s="159">
        <f t="shared" si="760"/>
        <v>0</v>
      </c>
      <c r="BP672" s="367" t="s">
        <v>863</v>
      </c>
      <c r="BQ672" s="1494" t="str">
        <f t="shared" si="759"/>
        <v>GHG_Oila = GHG_Oila-1 + (C128 * BUI_COL (307 + ((A128 - 1) * 8) * E128 / 100) + (F128 / 100 * BUI_COL (307 + ((A128 - 1) * 8) * (100 - E128) / 100)) * BUI_COL2 / (J128-I128+1) / 1000000</v>
      </c>
      <c r="BR672" s="1494"/>
      <c r="BS672" s="1494"/>
      <c r="BT672" s="1494"/>
      <c r="BU672" s="1494"/>
      <c r="BV672" s="1494"/>
      <c r="BW672" s="1494"/>
      <c r="BX672" s="1494"/>
      <c r="BY672" s="1494"/>
      <c r="BZ672" s="1494"/>
      <c r="CA672" s="1494"/>
      <c r="CB672" s="1494"/>
      <c r="CC672" s="1494"/>
      <c r="CD672" s="1494"/>
      <c r="CE672" s="1494"/>
      <c r="CF672" s="1494"/>
      <c r="CG672" s="1494"/>
      <c r="CH672" s="1494"/>
      <c r="CI672" s="1494"/>
      <c r="CJ672" s="1494"/>
      <c r="CK672" s="1494"/>
      <c r="CL672" s="576" t="s">
        <v>2218</v>
      </c>
      <c r="CM672" s="1536" t="s">
        <v>2219</v>
      </c>
      <c r="CN672" s="1537"/>
      <c r="CO672" s="367" t="s">
        <v>1247</v>
      </c>
      <c r="CP672" s="367" t="s">
        <v>2220</v>
      </c>
    </row>
    <row r="673" spans="32:94" ht="20.100000000000001" customHeight="1">
      <c r="AF673" s="1560"/>
      <c r="AG673" s="107" t="s">
        <v>864</v>
      </c>
      <c r="AH673" s="107">
        <f>INDEX('DEFAULT DATA'!$WD$9:$WJ$41,START!$C$3,3)</f>
        <v>354</v>
      </c>
      <c r="AI673" s="195">
        <f>INDEX('DEFAULT DATA'!$AHX$9:$AJS$41,START!$C$3,(4+(($A$129-1)*8)))</f>
        <v>0</v>
      </c>
      <c r="AJ673" s="115"/>
      <c r="AK673" s="180">
        <v>0</v>
      </c>
      <c r="AL673" s="123">
        <f t="shared" ref="AL673:BN673" si="761">IF(AND(AL$669&gt;($I$129+2020),AL$669&lt;($J$129+2022)),AK673+($AH$673*$C$129*$AI$673*((100-$E$129)/100)*((100-$F$129)/100)/($J$129-$I$129+1)/1000000),AK673)</f>
        <v>0</v>
      </c>
      <c r="AM673" s="123">
        <f t="shared" si="761"/>
        <v>0</v>
      </c>
      <c r="AN673" s="123">
        <f t="shared" si="761"/>
        <v>0</v>
      </c>
      <c r="AO673" s="123">
        <f t="shared" si="761"/>
        <v>0</v>
      </c>
      <c r="AP673" s="123">
        <f t="shared" si="761"/>
        <v>0</v>
      </c>
      <c r="AQ673" s="123">
        <f t="shared" si="761"/>
        <v>0</v>
      </c>
      <c r="AR673" s="123">
        <f t="shared" si="761"/>
        <v>0</v>
      </c>
      <c r="AS673" s="123">
        <f t="shared" si="761"/>
        <v>0</v>
      </c>
      <c r="AT673" s="123">
        <f t="shared" si="761"/>
        <v>0</v>
      </c>
      <c r="AU673" s="123">
        <f t="shared" si="761"/>
        <v>0</v>
      </c>
      <c r="AV673" s="123">
        <f t="shared" si="761"/>
        <v>0</v>
      </c>
      <c r="AW673" s="123">
        <f t="shared" si="761"/>
        <v>0</v>
      </c>
      <c r="AX673" s="123">
        <f t="shared" si="761"/>
        <v>0</v>
      </c>
      <c r="AY673" s="123">
        <f t="shared" si="761"/>
        <v>0</v>
      </c>
      <c r="AZ673" s="123">
        <f t="shared" si="761"/>
        <v>0</v>
      </c>
      <c r="BA673" s="123">
        <f t="shared" si="761"/>
        <v>0</v>
      </c>
      <c r="BB673" s="123">
        <f t="shared" si="761"/>
        <v>0</v>
      </c>
      <c r="BC673" s="123">
        <f t="shared" si="761"/>
        <v>0</v>
      </c>
      <c r="BD673" s="123">
        <f t="shared" si="761"/>
        <v>0</v>
      </c>
      <c r="BE673" s="123">
        <f t="shared" si="761"/>
        <v>0</v>
      </c>
      <c r="BF673" s="123">
        <f t="shared" si="761"/>
        <v>0</v>
      </c>
      <c r="BG673" s="123">
        <f t="shared" si="761"/>
        <v>0</v>
      </c>
      <c r="BH673" s="123">
        <f t="shared" si="761"/>
        <v>0</v>
      </c>
      <c r="BI673" s="123">
        <f t="shared" si="761"/>
        <v>0</v>
      </c>
      <c r="BJ673" s="123">
        <f t="shared" si="761"/>
        <v>0</v>
      </c>
      <c r="BK673" s="123">
        <f t="shared" si="761"/>
        <v>0</v>
      </c>
      <c r="BL673" s="123">
        <f t="shared" si="761"/>
        <v>0</v>
      </c>
      <c r="BM673" s="123">
        <f t="shared" si="761"/>
        <v>0</v>
      </c>
      <c r="BN673" s="159">
        <f t="shared" si="761"/>
        <v>0</v>
      </c>
      <c r="BP673" s="367" t="s">
        <v>864</v>
      </c>
      <c r="BQ673" s="1494" t="str">
        <f t="shared" si="759"/>
        <v>GHG_Coala = GHG_Coala-1 + (C128 * BUI_COL (307 + ((A128 - 1) * 8) * E128 / 100) + (F128 / 100 * BUI_COL (307 + ((A128 - 1) * 8) * (100 - E128) / 100)) * BUI_COL3 / (J128-I128+1) / 1000000</v>
      </c>
      <c r="BR673" s="1494"/>
      <c r="BS673" s="1494"/>
      <c r="BT673" s="1494"/>
      <c r="BU673" s="1494"/>
      <c r="BV673" s="1494"/>
      <c r="BW673" s="1494"/>
      <c r="BX673" s="1494"/>
      <c r="BY673" s="1494"/>
      <c r="BZ673" s="1494"/>
      <c r="CA673" s="1494"/>
      <c r="CB673" s="1494"/>
      <c r="CC673" s="1494"/>
      <c r="CD673" s="1494"/>
      <c r="CE673" s="1494"/>
      <c r="CF673" s="1494"/>
      <c r="CG673" s="1494"/>
      <c r="CH673" s="1494"/>
      <c r="CI673" s="1494"/>
      <c r="CJ673" s="1494"/>
      <c r="CK673" s="1494"/>
      <c r="CL673" s="576" t="s">
        <v>2218</v>
      </c>
      <c r="CM673" s="1536" t="s">
        <v>2219</v>
      </c>
      <c r="CN673" s="1537"/>
      <c r="CO673" s="367" t="s">
        <v>1248</v>
      </c>
      <c r="CP673" s="367" t="s">
        <v>2220</v>
      </c>
    </row>
    <row r="674" spans="32:94" ht="20.100000000000001" customHeight="1">
      <c r="AF674" s="1560"/>
      <c r="AG674" s="107" t="s">
        <v>865</v>
      </c>
      <c r="AH674" s="107">
        <f>INDEX('DEFAULT DATA'!$WD$9:$WJ$41,START!$C$3,4)</f>
        <v>382</v>
      </c>
      <c r="AI674" s="195">
        <f>INDEX('DEFAULT DATA'!$AHX$9:$AJS$41,START!$C$3,(5+(($A$129-1)*8)))</f>
        <v>2.52</v>
      </c>
      <c r="AJ674" s="115"/>
      <c r="AK674" s="180">
        <v>0</v>
      </c>
      <c r="AL674" s="123">
        <f t="shared" ref="AL674:BN674" si="762">IF(AND(AL$669&gt;($I$129+2020),AL$669&lt;($J$129+2022)),AK674+($AH$674*$C$129*$AI$674*((100-$E$129)/100)*((100-$F$129)/100)/($J$129-$I$129+1)/1000000),AK674)</f>
        <v>0</v>
      </c>
      <c r="AM674" s="123">
        <f t="shared" si="762"/>
        <v>0</v>
      </c>
      <c r="AN674" s="123">
        <f t="shared" si="762"/>
        <v>0</v>
      </c>
      <c r="AO674" s="123">
        <f t="shared" si="762"/>
        <v>0</v>
      </c>
      <c r="AP674" s="123">
        <f t="shared" si="762"/>
        <v>0</v>
      </c>
      <c r="AQ674" s="123">
        <f t="shared" si="762"/>
        <v>0</v>
      </c>
      <c r="AR674" s="123">
        <f t="shared" si="762"/>
        <v>0</v>
      </c>
      <c r="AS674" s="123">
        <f t="shared" si="762"/>
        <v>0</v>
      </c>
      <c r="AT674" s="123">
        <f t="shared" si="762"/>
        <v>0</v>
      </c>
      <c r="AU674" s="123">
        <f t="shared" si="762"/>
        <v>0</v>
      </c>
      <c r="AV674" s="123">
        <f t="shared" si="762"/>
        <v>0</v>
      </c>
      <c r="AW674" s="123">
        <f t="shared" si="762"/>
        <v>0</v>
      </c>
      <c r="AX674" s="123">
        <f t="shared" si="762"/>
        <v>0</v>
      </c>
      <c r="AY674" s="123">
        <f t="shared" si="762"/>
        <v>0</v>
      </c>
      <c r="AZ674" s="123">
        <f t="shared" si="762"/>
        <v>0</v>
      </c>
      <c r="BA674" s="123">
        <f t="shared" si="762"/>
        <v>0</v>
      </c>
      <c r="BB674" s="123">
        <f t="shared" si="762"/>
        <v>0</v>
      </c>
      <c r="BC674" s="123">
        <f t="shared" si="762"/>
        <v>0</v>
      </c>
      <c r="BD674" s="123">
        <f t="shared" si="762"/>
        <v>0</v>
      </c>
      <c r="BE674" s="123">
        <f t="shared" si="762"/>
        <v>0</v>
      </c>
      <c r="BF674" s="123">
        <f t="shared" si="762"/>
        <v>0</v>
      </c>
      <c r="BG674" s="123">
        <f t="shared" si="762"/>
        <v>0</v>
      </c>
      <c r="BH674" s="123">
        <f t="shared" si="762"/>
        <v>0</v>
      </c>
      <c r="BI674" s="123">
        <f t="shared" si="762"/>
        <v>0</v>
      </c>
      <c r="BJ674" s="123">
        <f t="shared" si="762"/>
        <v>0</v>
      </c>
      <c r="BK674" s="123">
        <f t="shared" si="762"/>
        <v>0</v>
      </c>
      <c r="BL674" s="123">
        <f t="shared" si="762"/>
        <v>0</v>
      </c>
      <c r="BM674" s="123">
        <f t="shared" si="762"/>
        <v>0</v>
      </c>
      <c r="BN674" s="159">
        <f t="shared" si="762"/>
        <v>0</v>
      </c>
      <c r="BP674" s="367" t="s">
        <v>865</v>
      </c>
      <c r="BQ674" s="1494" t="str">
        <f t="shared" si="759"/>
        <v>GHG_Peata = GHG_Peata-1 + (C128 * BUI_COL (307 + ((A128 - 1) * 8) * E128 / 100) + (F128 / 100 * BUI_COL (307 + ((A128 - 1) * 8) * (100 - E128) / 100)) * BUI_COL4 / (J128-I128+1) / 1000000</v>
      </c>
      <c r="BR674" s="1494"/>
      <c r="BS674" s="1494"/>
      <c r="BT674" s="1494"/>
      <c r="BU674" s="1494"/>
      <c r="BV674" s="1494"/>
      <c r="BW674" s="1494"/>
      <c r="BX674" s="1494"/>
      <c r="BY674" s="1494"/>
      <c r="BZ674" s="1494"/>
      <c r="CA674" s="1494"/>
      <c r="CB674" s="1494"/>
      <c r="CC674" s="1494"/>
      <c r="CD674" s="1494"/>
      <c r="CE674" s="1494"/>
      <c r="CF674" s="1494"/>
      <c r="CG674" s="1494"/>
      <c r="CH674" s="1494"/>
      <c r="CI674" s="1494"/>
      <c r="CJ674" s="1494"/>
      <c r="CK674" s="1494"/>
      <c r="CL674" s="576" t="s">
        <v>2218</v>
      </c>
      <c r="CM674" s="1536" t="s">
        <v>2219</v>
      </c>
      <c r="CN674" s="1537"/>
      <c r="CO674" s="367" t="s">
        <v>1249</v>
      </c>
      <c r="CP674" s="367" t="s">
        <v>2220</v>
      </c>
    </row>
    <row r="675" spans="32:94" ht="20.100000000000001" customHeight="1">
      <c r="AF675" s="1560"/>
      <c r="AG675" s="107" t="s">
        <v>866</v>
      </c>
      <c r="AH675" s="107">
        <f>INDEX('DEFAULT DATA'!$WD$9:$WJ$41,START!$C$3,5)</f>
        <v>403</v>
      </c>
      <c r="AI675" s="195">
        <f>INDEX('DEFAULT DATA'!$AHX$9:$AJS$41,START!$C$3,(6+(($A$129-1)*8)))</f>
        <v>3.06</v>
      </c>
      <c r="AJ675" s="115"/>
      <c r="AK675" s="180">
        <v>0</v>
      </c>
      <c r="AL675" s="123">
        <f t="shared" ref="AL675:BN675" si="763">IF(AND(AL$669&gt;($I$129+2020),AL$669&lt;($J$129+2022)),AK675+($AH$675*$C$129*$AI$675*((100-$E$129)/100)*((100-$F$129)/100)/($J$129-$I$129+1)/1000000),AK675)</f>
        <v>0</v>
      </c>
      <c r="AM675" s="123">
        <f t="shared" si="763"/>
        <v>0</v>
      </c>
      <c r="AN675" s="123">
        <f t="shared" si="763"/>
        <v>0</v>
      </c>
      <c r="AO675" s="123">
        <f t="shared" si="763"/>
        <v>0</v>
      </c>
      <c r="AP675" s="123">
        <f t="shared" si="763"/>
        <v>0</v>
      </c>
      <c r="AQ675" s="123">
        <f t="shared" si="763"/>
        <v>0</v>
      </c>
      <c r="AR675" s="123">
        <f t="shared" si="763"/>
        <v>0</v>
      </c>
      <c r="AS675" s="123">
        <f t="shared" si="763"/>
        <v>0</v>
      </c>
      <c r="AT675" s="123">
        <f t="shared" si="763"/>
        <v>0</v>
      </c>
      <c r="AU675" s="123">
        <f t="shared" si="763"/>
        <v>0</v>
      </c>
      <c r="AV675" s="123">
        <f t="shared" si="763"/>
        <v>0</v>
      </c>
      <c r="AW675" s="123">
        <f t="shared" si="763"/>
        <v>0</v>
      </c>
      <c r="AX675" s="123">
        <f t="shared" si="763"/>
        <v>0</v>
      </c>
      <c r="AY675" s="123">
        <f t="shared" si="763"/>
        <v>0</v>
      </c>
      <c r="AZ675" s="123">
        <f t="shared" si="763"/>
        <v>0</v>
      </c>
      <c r="BA675" s="123">
        <f t="shared" si="763"/>
        <v>0</v>
      </c>
      <c r="BB675" s="123">
        <f t="shared" si="763"/>
        <v>0</v>
      </c>
      <c r="BC675" s="123">
        <f t="shared" si="763"/>
        <v>0</v>
      </c>
      <c r="BD675" s="123">
        <f t="shared" si="763"/>
        <v>0</v>
      </c>
      <c r="BE675" s="123">
        <f t="shared" si="763"/>
        <v>0</v>
      </c>
      <c r="BF675" s="123">
        <f t="shared" si="763"/>
        <v>0</v>
      </c>
      <c r="BG675" s="123">
        <f t="shared" si="763"/>
        <v>0</v>
      </c>
      <c r="BH675" s="123">
        <f t="shared" si="763"/>
        <v>0</v>
      </c>
      <c r="BI675" s="123">
        <f t="shared" si="763"/>
        <v>0</v>
      </c>
      <c r="BJ675" s="123">
        <f t="shared" si="763"/>
        <v>0</v>
      </c>
      <c r="BK675" s="123">
        <f t="shared" si="763"/>
        <v>0</v>
      </c>
      <c r="BL675" s="123">
        <f t="shared" si="763"/>
        <v>0</v>
      </c>
      <c r="BM675" s="123">
        <f t="shared" si="763"/>
        <v>0</v>
      </c>
      <c r="BN675" s="159">
        <f t="shared" si="763"/>
        <v>0</v>
      </c>
      <c r="BP675" s="367" t="s">
        <v>866</v>
      </c>
      <c r="BQ675" s="1494" t="str">
        <f t="shared" si="759"/>
        <v>GHG_Wooda = GHG_Wooda-1 + (C128 * BUI_COL (307 + ((A128 - 1) * 8) * E128 / 100) + (F128 / 100 * BUI_COL (307 + ((A128 - 1) * 8) * (100 - E128) / 100)) * BUI_COL5 / (J128-I128+1) / 1000000</v>
      </c>
      <c r="BR675" s="1494"/>
      <c r="BS675" s="1494"/>
      <c r="BT675" s="1494"/>
      <c r="BU675" s="1494"/>
      <c r="BV675" s="1494"/>
      <c r="BW675" s="1494"/>
      <c r="BX675" s="1494"/>
      <c r="BY675" s="1494"/>
      <c r="BZ675" s="1494"/>
      <c r="CA675" s="1494"/>
      <c r="CB675" s="1494"/>
      <c r="CC675" s="1494"/>
      <c r="CD675" s="1494"/>
      <c r="CE675" s="1494"/>
      <c r="CF675" s="1494"/>
      <c r="CG675" s="1494"/>
      <c r="CH675" s="1494"/>
      <c r="CI675" s="1494"/>
      <c r="CJ675" s="1494"/>
      <c r="CK675" s="1494"/>
      <c r="CL675" s="576" t="s">
        <v>2218</v>
      </c>
      <c r="CM675" s="1536" t="s">
        <v>2219</v>
      </c>
      <c r="CN675" s="1537"/>
      <c r="CO675" s="367" t="s">
        <v>1250</v>
      </c>
      <c r="CP675" s="367" t="s">
        <v>2220</v>
      </c>
    </row>
    <row r="676" spans="32:94" ht="20.100000000000001" customHeight="1">
      <c r="AF676" s="1560"/>
      <c r="AG676" s="107" t="s">
        <v>867</v>
      </c>
      <c r="AH676" s="107">
        <f>INDEX('DEFAULT DATA'!$WD$9:$WJ$41,START!$C$3,6)</f>
        <v>0</v>
      </c>
      <c r="AI676" s="195">
        <f>INDEX('DEFAULT DATA'!$AHX$9:$AJS$41,START!$C$3,(7+(($A$129-1)*8)))</f>
        <v>0</v>
      </c>
      <c r="AJ676" s="115"/>
      <c r="AK676" s="180">
        <v>0</v>
      </c>
      <c r="AL676" s="123">
        <f t="shared" ref="AL676:BN676" si="764">IF(AND(AL$669&gt;($I$129+2020),AL$669&lt;($J$129+2022)),AK676+($AH$676*$C$129*$AI$676*((100-$E$129)/100)*((100-$F$129)/100)/($J$129-$I$129+1)/1000000),AK676)</f>
        <v>0</v>
      </c>
      <c r="AM676" s="123">
        <f t="shared" si="764"/>
        <v>0</v>
      </c>
      <c r="AN676" s="123">
        <f t="shared" si="764"/>
        <v>0</v>
      </c>
      <c r="AO676" s="123">
        <f t="shared" si="764"/>
        <v>0</v>
      </c>
      <c r="AP676" s="123">
        <f t="shared" si="764"/>
        <v>0</v>
      </c>
      <c r="AQ676" s="123">
        <f t="shared" si="764"/>
        <v>0</v>
      </c>
      <c r="AR676" s="123">
        <f t="shared" si="764"/>
        <v>0</v>
      </c>
      <c r="AS676" s="123">
        <f t="shared" si="764"/>
        <v>0</v>
      </c>
      <c r="AT676" s="123">
        <f t="shared" si="764"/>
        <v>0</v>
      </c>
      <c r="AU676" s="123">
        <f t="shared" si="764"/>
        <v>0</v>
      </c>
      <c r="AV676" s="123">
        <f t="shared" si="764"/>
        <v>0</v>
      </c>
      <c r="AW676" s="123">
        <f t="shared" si="764"/>
        <v>0</v>
      </c>
      <c r="AX676" s="123">
        <f t="shared" si="764"/>
        <v>0</v>
      </c>
      <c r="AY676" s="123">
        <f t="shared" si="764"/>
        <v>0</v>
      </c>
      <c r="AZ676" s="123">
        <f t="shared" si="764"/>
        <v>0</v>
      </c>
      <c r="BA676" s="123">
        <f t="shared" si="764"/>
        <v>0</v>
      </c>
      <c r="BB676" s="123">
        <f t="shared" si="764"/>
        <v>0</v>
      </c>
      <c r="BC676" s="123">
        <f t="shared" si="764"/>
        <v>0</v>
      </c>
      <c r="BD676" s="123">
        <f t="shared" si="764"/>
        <v>0</v>
      </c>
      <c r="BE676" s="123">
        <f t="shared" si="764"/>
        <v>0</v>
      </c>
      <c r="BF676" s="123">
        <f t="shared" si="764"/>
        <v>0</v>
      </c>
      <c r="BG676" s="123">
        <f t="shared" si="764"/>
        <v>0</v>
      </c>
      <c r="BH676" s="123">
        <f t="shared" si="764"/>
        <v>0</v>
      </c>
      <c r="BI676" s="123">
        <f t="shared" si="764"/>
        <v>0</v>
      </c>
      <c r="BJ676" s="123">
        <f t="shared" si="764"/>
        <v>0</v>
      </c>
      <c r="BK676" s="123">
        <f t="shared" si="764"/>
        <v>0</v>
      </c>
      <c r="BL676" s="123">
        <f t="shared" si="764"/>
        <v>0</v>
      </c>
      <c r="BM676" s="123">
        <f t="shared" si="764"/>
        <v>0</v>
      </c>
      <c r="BN676" s="159">
        <f t="shared" si="764"/>
        <v>0</v>
      </c>
      <c r="BP676" s="367" t="s">
        <v>867</v>
      </c>
      <c r="BQ676" s="1494" t="str">
        <f t="shared" si="759"/>
        <v>GHG_Renewablea = GHG_Renewablea-1 + (C128 * BUI_COL (307 + ((A128 - 1) * 8) * E128 / 100) + (F128 / 100 * BUI_COL (307 + ((A128 - 1) * 8) * (100 - E128) / 100)) * BUI_COL6 / (J128-I128+1) / 1000000</v>
      </c>
      <c r="BR676" s="1494"/>
      <c r="BS676" s="1494"/>
      <c r="BT676" s="1494"/>
      <c r="BU676" s="1494"/>
      <c r="BV676" s="1494"/>
      <c r="BW676" s="1494"/>
      <c r="BX676" s="1494"/>
      <c r="BY676" s="1494"/>
      <c r="BZ676" s="1494"/>
      <c r="CA676" s="1494"/>
      <c r="CB676" s="1494"/>
      <c r="CC676" s="1494"/>
      <c r="CD676" s="1494"/>
      <c r="CE676" s="1494"/>
      <c r="CF676" s="1494"/>
      <c r="CG676" s="1494"/>
      <c r="CH676" s="1494"/>
      <c r="CI676" s="1494"/>
      <c r="CJ676" s="1494"/>
      <c r="CK676" s="1494"/>
      <c r="CL676" s="576" t="s">
        <v>2218</v>
      </c>
      <c r="CM676" s="1536" t="s">
        <v>2219</v>
      </c>
      <c r="CN676" s="1537"/>
      <c r="CO676" s="367" t="s">
        <v>1251</v>
      </c>
      <c r="CP676" s="367" t="s">
        <v>2220</v>
      </c>
    </row>
    <row r="677" spans="32:94" ht="20.100000000000001" customHeight="1" thickBot="1">
      <c r="AF677" s="1561"/>
      <c r="AG677" s="146" t="s">
        <v>868</v>
      </c>
      <c r="AH677" s="146" t="s">
        <v>1123</v>
      </c>
      <c r="AI677" s="197">
        <f>INDEX('DEFAULT DATA'!$AHX$9:$AJS$41,START!$C$3,(8+(($A$129-1)*8)))</f>
        <v>4.4965266808490847E-2</v>
      </c>
      <c r="AJ677" s="170"/>
      <c r="AK677" s="183">
        <v>0</v>
      </c>
      <c r="AL677" s="160">
        <f t="shared" ref="AL677:BN677" si="765">IF(AND(AL$669&gt;($I$129+2020),AL$669&lt;($J$129+2022)),AK677+(AL$6*$C$129*$AI$677*((100-$E$129)/100)*((100-$F$129)/100)/($J$129-$I$129+1)/1000000),AK677)</f>
        <v>0</v>
      </c>
      <c r="AM677" s="160">
        <f t="shared" si="765"/>
        <v>0</v>
      </c>
      <c r="AN677" s="160">
        <f t="shared" si="765"/>
        <v>0</v>
      </c>
      <c r="AO677" s="160">
        <f t="shared" si="765"/>
        <v>0</v>
      </c>
      <c r="AP677" s="160">
        <f t="shared" si="765"/>
        <v>0</v>
      </c>
      <c r="AQ677" s="160">
        <f t="shared" si="765"/>
        <v>0</v>
      </c>
      <c r="AR677" s="160">
        <f t="shared" si="765"/>
        <v>0</v>
      </c>
      <c r="AS677" s="160">
        <f t="shared" si="765"/>
        <v>0</v>
      </c>
      <c r="AT677" s="160">
        <f t="shared" si="765"/>
        <v>0</v>
      </c>
      <c r="AU677" s="160">
        <f t="shared" si="765"/>
        <v>0</v>
      </c>
      <c r="AV677" s="160">
        <f t="shared" si="765"/>
        <v>0</v>
      </c>
      <c r="AW677" s="160">
        <f t="shared" si="765"/>
        <v>0</v>
      </c>
      <c r="AX677" s="160">
        <f t="shared" si="765"/>
        <v>0</v>
      </c>
      <c r="AY677" s="160">
        <f t="shared" si="765"/>
        <v>0</v>
      </c>
      <c r="AZ677" s="160">
        <f t="shared" si="765"/>
        <v>0</v>
      </c>
      <c r="BA677" s="160">
        <f t="shared" si="765"/>
        <v>0</v>
      </c>
      <c r="BB677" s="160">
        <f t="shared" si="765"/>
        <v>0</v>
      </c>
      <c r="BC677" s="160">
        <f t="shared" si="765"/>
        <v>0</v>
      </c>
      <c r="BD677" s="160">
        <f t="shared" si="765"/>
        <v>0</v>
      </c>
      <c r="BE677" s="160">
        <f t="shared" si="765"/>
        <v>0</v>
      </c>
      <c r="BF677" s="160">
        <f t="shared" si="765"/>
        <v>0</v>
      </c>
      <c r="BG677" s="160">
        <f t="shared" si="765"/>
        <v>0</v>
      </c>
      <c r="BH677" s="160">
        <f t="shared" si="765"/>
        <v>0</v>
      </c>
      <c r="BI677" s="160">
        <f t="shared" si="765"/>
        <v>0</v>
      </c>
      <c r="BJ677" s="160">
        <f t="shared" si="765"/>
        <v>0</v>
      </c>
      <c r="BK677" s="160">
        <f t="shared" si="765"/>
        <v>0</v>
      </c>
      <c r="BL677" s="160">
        <f t="shared" si="765"/>
        <v>0</v>
      </c>
      <c r="BM677" s="160">
        <f t="shared" si="765"/>
        <v>0</v>
      </c>
      <c r="BN677" s="161">
        <f t="shared" si="765"/>
        <v>0</v>
      </c>
      <c r="BP677" s="367" t="s">
        <v>868</v>
      </c>
      <c r="BQ677" s="1494" t="str">
        <f t="shared" si="759"/>
        <v>GHG_Heata = GHG_Heata-1 + (C128 * BUI_COL (307 + ((A128 - 1) * 8) * E128 / 100) + (F128 / 100 * BUI_COL (307 + ((A128 - 1) * 8) * (100 - E128) / 100)) * DISTRICT_HEATING_emission_factora (from row 5) / (J128-I128+1) / 1000000</v>
      </c>
      <c r="BR677" s="1494"/>
      <c r="BS677" s="1494"/>
      <c r="BT677" s="1494"/>
      <c r="BU677" s="1494"/>
      <c r="BV677" s="1494"/>
      <c r="BW677" s="1494"/>
      <c r="BX677" s="1494"/>
      <c r="BY677" s="1494"/>
      <c r="BZ677" s="1494"/>
      <c r="CA677" s="1494"/>
      <c r="CB677" s="1494"/>
      <c r="CC677" s="1494"/>
      <c r="CD677" s="1494"/>
      <c r="CE677" s="1494"/>
      <c r="CF677" s="1494"/>
      <c r="CG677" s="1494"/>
      <c r="CH677" s="1494"/>
      <c r="CI677" s="1494"/>
      <c r="CJ677" s="1494"/>
      <c r="CK677" s="1494"/>
      <c r="CL677" s="576" t="s">
        <v>2218</v>
      </c>
      <c r="CM677" s="1538" t="s">
        <v>2219</v>
      </c>
      <c r="CN677" s="1539"/>
      <c r="CO677" s="367" t="s">
        <v>2222</v>
      </c>
      <c r="CP677" s="367" t="s">
        <v>2220</v>
      </c>
    </row>
    <row r="678" spans="32:94" ht="20.100000000000001" customHeight="1">
      <c r="AF678" s="167"/>
      <c r="AG678" s="144" t="s">
        <v>211</v>
      </c>
      <c r="AH678" s="145"/>
      <c r="AI678" s="145"/>
      <c r="AJ678" s="145"/>
      <c r="AK678" s="179">
        <v>0</v>
      </c>
      <c r="AL678" s="162">
        <f>SUM(AL670:AL677)</f>
        <v>0</v>
      </c>
      <c r="AM678" s="162">
        <f t="shared" ref="AM678" si="766">SUM(AM670:AM677)</f>
        <v>0</v>
      </c>
      <c r="AN678" s="162">
        <f t="shared" ref="AN678" si="767">SUM(AN670:AN677)</f>
        <v>0</v>
      </c>
      <c r="AO678" s="162">
        <f t="shared" ref="AO678" si="768">SUM(AO670:AO677)</f>
        <v>0</v>
      </c>
      <c r="AP678" s="162">
        <f t="shared" ref="AP678" si="769">SUM(AP670:AP677)</f>
        <v>0</v>
      </c>
      <c r="AQ678" s="162">
        <f t="shared" ref="AQ678" si="770">SUM(AQ670:AQ677)</f>
        <v>0</v>
      </c>
      <c r="AR678" s="162">
        <f t="shared" ref="AR678" si="771">SUM(AR670:AR677)</f>
        <v>0</v>
      </c>
      <c r="AS678" s="162">
        <f t="shared" ref="AS678" si="772">SUM(AS670:AS677)</f>
        <v>0</v>
      </c>
      <c r="AT678" s="162">
        <f t="shared" ref="AT678" si="773">SUM(AT670:AT677)</f>
        <v>0</v>
      </c>
      <c r="AU678" s="162">
        <f t="shared" ref="AU678" si="774">SUM(AU670:AU677)</f>
        <v>0</v>
      </c>
      <c r="AV678" s="162">
        <f t="shared" ref="AV678" si="775">SUM(AV670:AV677)</f>
        <v>0</v>
      </c>
      <c r="AW678" s="162">
        <f t="shared" ref="AW678" si="776">SUM(AW670:AW677)</f>
        <v>0</v>
      </c>
      <c r="AX678" s="162">
        <f t="shared" ref="AX678" si="777">SUM(AX670:AX677)</f>
        <v>0</v>
      </c>
      <c r="AY678" s="162">
        <f t="shared" ref="AY678" si="778">SUM(AY670:AY677)</f>
        <v>0</v>
      </c>
      <c r="AZ678" s="162">
        <f t="shared" ref="AZ678" si="779">SUM(AZ670:AZ677)</f>
        <v>0</v>
      </c>
      <c r="BA678" s="162">
        <f t="shared" ref="BA678" si="780">SUM(BA670:BA677)</f>
        <v>0</v>
      </c>
      <c r="BB678" s="162">
        <f t="shared" ref="BB678" si="781">SUM(BB670:BB677)</f>
        <v>0</v>
      </c>
      <c r="BC678" s="162">
        <f t="shared" ref="BC678" si="782">SUM(BC670:BC677)</f>
        <v>0</v>
      </c>
      <c r="BD678" s="162">
        <f t="shared" ref="BD678" si="783">SUM(BD670:BD677)</f>
        <v>0</v>
      </c>
      <c r="BE678" s="162">
        <f t="shared" ref="BE678" si="784">SUM(BE670:BE677)</f>
        <v>0</v>
      </c>
      <c r="BF678" s="162">
        <f t="shared" ref="BF678" si="785">SUM(BF670:BF677)</f>
        <v>0</v>
      </c>
      <c r="BG678" s="162">
        <f t="shared" ref="BG678" si="786">SUM(BG670:BG677)</f>
        <v>0</v>
      </c>
      <c r="BH678" s="162">
        <f t="shared" ref="BH678" si="787">SUM(BH670:BH677)</f>
        <v>0</v>
      </c>
      <c r="BI678" s="162">
        <f t="shared" ref="BI678" si="788">SUM(BI670:BI677)</f>
        <v>0</v>
      </c>
      <c r="BJ678" s="162">
        <f t="shared" ref="BJ678" si="789">SUM(BJ670:BJ677)</f>
        <v>0</v>
      </c>
      <c r="BK678" s="162">
        <f t="shared" ref="BK678" si="790">SUM(BK670:BK677)</f>
        <v>0</v>
      </c>
      <c r="BL678" s="162">
        <f t="shared" ref="BL678" si="791">SUM(BL670:BL677)</f>
        <v>0</v>
      </c>
      <c r="BM678" s="162">
        <f t="shared" ref="BM678" si="792">SUM(BM670:BM677)</f>
        <v>0</v>
      </c>
      <c r="BN678" s="162">
        <f t="shared" ref="BN678" si="793">SUM(BN670:BN677)</f>
        <v>0</v>
      </c>
      <c r="CM678" s="1535"/>
      <c r="CN678" s="1535"/>
    </row>
    <row r="680" spans="32:94" ht="20.100000000000001" customHeight="1">
      <c r="AF680" s="582" t="s">
        <v>2139</v>
      </c>
      <c r="AG680" s="583"/>
      <c r="AH680" s="583"/>
      <c r="AI680" s="583"/>
      <c r="AJ680" s="583"/>
      <c r="AK680" s="583"/>
      <c r="AL680" s="583"/>
      <c r="AM680" s="583"/>
      <c r="AN680" s="583"/>
      <c r="AO680" s="583"/>
      <c r="AP680" s="583"/>
      <c r="AQ680" s="584"/>
      <c r="AR680" s="82"/>
      <c r="AS680" s="82"/>
      <c r="AT680" s="82"/>
    </row>
    <row r="681" spans="32:94" ht="20.100000000000001" customHeight="1">
      <c r="AF681" s="585" t="s">
        <v>2135</v>
      </c>
      <c r="AG681" s="586"/>
      <c r="AH681" s="586"/>
      <c r="AI681" s="586"/>
      <c r="AJ681" s="586"/>
      <c r="AK681" s="586"/>
      <c r="AL681" s="586"/>
      <c r="AM681" s="586"/>
      <c r="AN681" s="586"/>
      <c r="AO681" s="586"/>
      <c r="AP681" s="586"/>
      <c r="AQ681" s="587"/>
      <c r="AR681" s="82"/>
      <c r="AS681" s="82"/>
      <c r="AT681" s="82"/>
    </row>
    <row r="682" spans="32:94" ht="20.100000000000001" customHeight="1">
      <c r="AF682" s="597" t="s">
        <v>2137</v>
      </c>
      <c r="AG682" s="586"/>
      <c r="AH682" s="586"/>
      <c r="AI682" s="586"/>
      <c r="AJ682" s="586"/>
      <c r="AK682" s="586"/>
      <c r="AL682" s="586"/>
      <c r="AM682" s="586"/>
      <c r="AN682" s="586"/>
      <c r="AO682" s="586"/>
      <c r="AP682" s="586"/>
      <c r="AQ682" s="587"/>
      <c r="AR682" s="82"/>
      <c r="AS682" s="82"/>
      <c r="AT682" s="82"/>
    </row>
    <row r="683" spans="32:94" ht="20.100000000000001" customHeight="1">
      <c r="AF683" s="585" t="s">
        <v>2136</v>
      </c>
      <c r="AG683" s="586"/>
      <c r="AH683" s="586"/>
      <c r="AI683" s="586"/>
      <c r="AJ683" s="586"/>
      <c r="AK683" s="586"/>
      <c r="AL683" s="586"/>
      <c r="AM683" s="586"/>
      <c r="AN683" s="586"/>
      <c r="AO683" s="586"/>
      <c r="AP683" s="586"/>
      <c r="AQ683" s="587"/>
      <c r="AR683" s="82"/>
      <c r="AS683" s="82"/>
      <c r="AT683" s="82"/>
    </row>
    <row r="684" spans="32:94" ht="20.100000000000001" customHeight="1">
      <c r="AF684" s="597" t="s">
        <v>2138</v>
      </c>
      <c r="AG684" s="586"/>
      <c r="AH684" s="586"/>
      <c r="AI684" s="586"/>
      <c r="AJ684" s="586"/>
      <c r="AK684" s="586"/>
      <c r="AL684" s="586"/>
      <c r="AM684" s="586"/>
      <c r="AN684" s="586"/>
      <c r="AO684" s="586"/>
      <c r="AP684" s="586"/>
      <c r="AQ684" s="587"/>
      <c r="AR684" s="82"/>
      <c r="AS684" s="82"/>
      <c r="AT684" s="82"/>
    </row>
    <row r="685" spans="32:94" ht="20.100000000000001" customHeight="1">
      <c r="AF685" s="588" t="s">
        <v>2166</v>
      </c>
      <c r="AG685" s="586"/>
      <c r="AH685" s="586"/>
      <c r="AI685" s="586"/>
      <c r="AJ685" s="586"/>
      <c r="AK685" s="586"/>
      <c r="AL685" s="586"/>
      <c r="AM685" s="586"/>
      <c r="AN685" s="586"/>
      <c r="AO685" s="586"/>
      <c r="AP685" s="586"/>
      <c r="AQ685" s="587"/>
      <c r="AR685" s="82"/>
      <c r="AS685" s="82"/>
      <c r="AT685" s="82"/>
    </row>
    <row r="686" spans="32:94" ht="20.100000000000001" customHeight="1">
      <c r="AF686" s="588" t="s">
        <v>2157</v>
      </c>
      <c r="AG686" s="586"/>
      <c r="AH686" s="586"/>
      <c r="AI686" s="586"/>
      <c r="AJ686" s="586"/>
      <c r="AK686" s="586"/>
      <c r="AL686" s="586"/>
      <c r="AM686" s="586"/>
      <c r="AN686" s="586"/>
      <c r="AO686" s="586"/>
      <c r="AP686" s="586"/>
      <c r="AQ686" s="587"/>
      <c r="AR686" s="82"/>
      <c r="AS686" s="82"/>
      <c r="AT686" s="82"/>
    </row>
    <row r="687" spans="32:94" ht="20.100000000000001" customHeight="1">
      <c r="AF687" s="588" t="s">
        <v>2236</v>
      </c>
      <c r="AG687" s="586"/>
      <c r="AH687" s="586"/>
      <c r="AI687" s="586"/>
      <c r="AJ687" s="586"/>
      <c r="AK687" s="586"/>
      <c r="AL687" s="586"/>
      <c r="AM687" s="586"/>
      <c r="AN687" s="586"/>
      <c r="AO687" s="586"/>
      <c r="AP687" s="586"/>
      <c r="AQ687" s="587"/>
      <c r="AR687" s="82"/>
      <c r="AS687" s="82"/>
      <c r="AT687" s="82"/>
    </row>
    <row r="688" spans="32:94" ht="20.100000000000001" customHeight="1">
      <c r="AF688" s="589" t="s">
        <v>1525</v>
      </c>
      <c r="AG688" s="590">
        <v>1</v>
      </c>
      <c r="AH688" s="586"/>
      <c r="AI688" s="586"/>
      <c r="AJ688" s="586"/>
      <c r="AK688" s="586"/>
      <c r="AL688" s="586"/>
      <c r="AM688" s="586"/>
      <c r="AN688" s="586"/>
      <c r="AO688" s="586"/>
      <c r="AP688" s="586"/>
      <c r="AQ688" s="587"/>
      <c r="AR688" s="82"/>
      <c r="AS688" s="82"/>
      <c r="AT688" s="82"/>
    </row>
    <row r="689" spans="32:46" ht="20.100000000000001" customHeight="1">
      <c r="AF689" s="589" t="s">
        <v>1256</v>
      </c>
      <c r="AG689" s="590">
        <v>2</v>
      </c>
      <c r="AH689" s="586"/>
      <c r="AI689" s="586"/>
      <c r="AJ689" s="586"/>
      <c r="AK689" s="586"/>
      <c r="AL689" s="586"/>
      <c r="AM689" s="586"/>
      <c r="AN689" s="586"/>
      <c r="AO689" s="586"/>
      <c r="AP689" s="586"/>
      <c r="AQ689" s="587"/>
      <c r="AR689" s="82"/>
      <c r="AS689" s="82"/>
      <c r="AT689" s="82"/>
    </row>
    <row r="690" spans="32:46" ht="20.100000000000001" customHeight="1">
      <c r="AF690" s="589" t="s">
        <v>1284</v>
      </c>
      <c r="AG690" s="590">
        <v>3</v>
      </c>
      <c r="AH690" s="586"/>
      <c r="AI690" s="586"/>
      <c r="AJ690" s="586"/>
      <c r="AK690" s="586"/>
      <c r="AL690" s="586"/>
      <c r="AM690" s="586"/>
      <c r="AN690" s="586"/>
      <c r="AO690" s="586"/>
      <c r="AP690" s="586"/>
      <c r="AQ690" s="587"/>
      <c r="AR690" s="82"/>
      <c r="AS690" s="82"/>
      <c r="AT690" s="82"/>
    </row>
    <row r="691" spans="32:46" ht="20.100000000000001" customHeight="1">
      <c r="AF691" s="589" t="s">
        <v>1371</v>
      </c>
      <c r="AG691" s="590">
        <v>4</v>
      </c>
      <c r="AH691" s="586"/>
      <c r="AI691" s="586"/>
      <c r="AJ691" s="586"/>
      <c r="AK691" s="586"/>
      <c r="AL691" s="586"/>
      <c r="AM691" s="586"/>
      <c r="AN691" s="586"/>
      <c r="AO691" s="586"/>
      <c r="AP691" s="586"/>
      <c r="AQ691" s="587"/>
      <c r="AR691" s="82"/>
      <c r="AS691" s="82"/>
      <c r="AT691" s="82"/>
    </row>
    <row r="692" spans="32:46" ht="20.100000000000001" customHeight="1">
      <c r="AF692" s="589" t="s">
        <v>2120</v>
      </c>
      <c r="AG692" s="590">
        <v>5</v>
      </c>
      <c r="AH692" s="586"/>
      <c r="AI692" s="586"/>
      <c r="AJ692" s="586"/>
      <c r="AK692" s="586"/>
      <c r="AL692" s="586"/>
      <c r="AM692" s="586"/>
      <c r="AN692" s="586"/>
      <c r="AO692" s="586"/>
      <c r="AP692" s="586"/>
      <c r="AQ692" s="587"/>
      <c r="AR692" s="82"/>
      <c r="AS692" s="82"/>
      <c r="AT692" s="82"/>
    </row>
    <row r="693" spans="32:46" ht="20.100000000000001" customHeight="1">
      <c r="AF693" s="589" t="s">
        <v>2121</v>
      </c>
      <c r="AG693" s="590">
        <v>6</v>
      </c>
      <c r="AH693" s="586"/>
      <c r="AI693" s="586"/>
      <c r="AJ693" s="586"/>
      <c r="AK693" s="586"/>
      <c r="AL693" s="586"/>
      <c r="AM693" s="586"/>
      <c r="AN693" s="586"/>
      <c r="AO693" s="586"/>
      <c r="AP693" s="586"/>
      <c r="AQ693" s="587"/>
      <c r="AR693" s="82"/>
      <c r="AS693" s="82"/>
      <c r="AT693" s="82"/>
    </row>
    <row r="694" spans="32:46" ht="20.100000000000001" customHeight="1">
      <c r="AF694" s="589" t="s">
        <v>2122</v>
      </c>
      <c r="AG694" s="590">
        <v>7</v>
      </c>
      <c r="AH694" s="586"/>
      <c r="AI694" s="586"/>
      <c r="AJ694" s="586"/>
      <c r="AK694" s="586"/>
      <c r="AL694" s="586"/>
      <c r="AM694" s="586"/>
      <c r="AN694" s="586"/>
      <c r="AO694" s="586"/>
      <c r="AP694" s="586"/>
      <c r="AQ694" s="587"/>
      <c r="AR694" s="82"/>
      <c r="AS694" s="82"/>
      <c r="AT694" s="82"/>
    </row>
    <row r="695" spans="32:46" ht="20.100000000000001" customHeight="1">
      <c r="AF695" s="589" t="s">
        <v>2123</v>
      </c>
      <c r="AG695" s="590">
        <v>8</v>
      </c>
      <c r="AH695" s="586"/>
      <c r="AI695" s="586"/>
      <c r="AJ695" s="586"/>
      <c r="AK695" s="586"/>
      <c r="AL695" s="586"/>
      <c r="AM695" s="586"/>
      <c r="AN695" s="586"/>
      <c r="AO695" s="586"/>
      <c r="AP695" s="586"/>
      <c r="AQ695" s="587"/>
      <c r="AR695" s="82"/>
      <c r="AS695" s="82"/>
      <c r="AT695" s="82"/>
    </row>
    <row r="696" spans="32:46" ht="20.100000000000001" customHeight="1">
      <c r="AF696" s="589" t="s">
        <v>2124</v>
      </c>
      <c r="AG696" s="590">
        <v>9</v>
      </c>
      <c r="AH696" s="586"/>
      <c r="AI696" s="586"/>
      <c r="AJ696" s="586"/>
      <c r="AK696" s="586"/>
      <c r="AL696" s="586"/>
      <c r="AM696" s="586"/>
      <c r="AN696" s="586"/>
      <c r="AO696" s="586"/>
      <c r="AP696" s="586"/>
      <c r="AQ696" s="587"/>
      <c r="AR696" s="82"/>
      <c r="AS696" s="82"/>
      <c r="AT696" s="82"/>
    </row>
    <row r="697" spans="32:46" ht="20.100000000000001" customHeight="1">
      <c r="AF697" s="589" t="s">
        <v>2125</v>
      </c>
      <c r="AG697" s="590">
        <v>10</v>
      </c>
      <c r="AH697" s="586"/>
      <c r="AI697" s="586"/>
      <c r="AJ697" s="586"/>
      <c r="AK697" s="586"/>
      <c r="AL697" s="586"/>
      <c r="AM697" s="586"/>
      <c r="AN697" s="586"/>
      <c r="AO697" s="586"/>
      <c r="AP697" s="586"/>
      <c r="AQ697" s="587"/>
      <c r="AR697" s="82"/>
      <c r="AS697" s="82"/>
      <c r="AT697" s="82"/>
    </row>
    <row r="698" spans="32:46" ht="20.100000000000001" customHeight="1">
      <c r="AF698" s="592" t="s">
        <v>2067</v>
      </c>
      <c r="AG698" s="593" t="s">
        <v>2140</v>
      </c>
      <c r="AH698" s="586"/>
      <c r="AI698" s="586"/>
      <c r="AJ698" s="586"/>
      <c r="AK698" s="586" t="s">
        <v>2237</v>
      </c>
      <c r="AL698" s="586"/>
      <c r="AM698" s="593" t="s">
        <v>2238</v>
      </c>
      <c r="AN698" s="586"/>
      <c r="AO698" s="586"/>
      <c r="AP698" s="586"/>
      <c r="AQ698" s="587"/>
      <c r="AR698" s="82"/>
      <c r="AS698" s="82"/>
      <c r="AT698" s="82"/>
    </row>
    <row r="699" spans="32:46" ht="20.100000000000001" customHeight="1">
      <c r="AF699" s="592" t="s">
        <v>2167</v>
      </c>
      <c r="AG699" s="591"/>
      <c r="AH699" s="586"/>
      <c r="AI699" s="586"/>
      <c r="AJ699" s="586"/>
      <c r="AK699" s="586"/>
      <c r="AL699" s="586"/>
      <c r="AM699" s="586"/>
      <c r="AN699" s="586"/>
      <c r="AO699" s="586"/>
      <c r="AP699" s="586"/>
      <c r="AQ699" s="587"/>
      <c r="AR699" s="82"/>
      <c r="AS699" s="82"/>
      <c r="AT699" s="82"/>
    </row>
    <row r="700" spans="32:46" ht="20.100000000000001" customHeight="1">
      <c r="AF700" s="592" t="s">
        <v>2083</v>
      </c>
      <c r="AG700" s="591"/>
      <c r="AH700" s="586"/>
      <c r="AI700" s="586"/>
      <c r="AJ700" s="586"/>
      <c r="AK700" s="586"/>
      <c r="AL700" s="586"/>
      <c r="AM700" s="586"/>
      <c r="AN700" s="586"/>
      <c r="AO700" s="586"/>
      <c r="AP700" s="586"/>
      <c r="AQ700" s="587"/>
      <c r="AR700" s="82"/>
      <c r="AS700" s="82"/>
      <c r="AT700" s="82"/>
    </row>
    <row r="701" spans="32:46" ht="20.100000000000001" customHeight="1">
      <c r="AF701" s="594" t="s">
        <v>2141</v>
      </c>
      <c r="AG701" s="591"/>
      <c r="AH701" s="586"/>
      <c r="AI701" s="586"/>
      <c r="AJ701" s="586"/>
      <c r="AK701" s="586"/>
      <c r="AL701" s="586"/>
      <c r="AM701" s="586"/>
      <c r="AN701" s="586"/>
      <c r="AO701" s="586"/>
      <c r="AP701" s="586"/>
      <c r="AQ701" s="587"/>
      <c r="AR701" s="82"/>
      <c r="AS701" s="82"/>
      <c r="AT701" s="82"/>
    </row>
    <row r="702" spans="32:46" ht="20.100000000000001" customHeight="1">
      <c r="AF702" s="595" t="s">
        <v>2142</v>
      </c>
      <c r="AG702" s="577" t="s">
        <v>2129</v>
      </c>
      <c r="AH702" s="586"/>
      <c r="AI702" s="586"/>
      <c r="AJ702" s="586"/>
      <c r="AK702" s="586"/>
      <c r="AL702" s="586"/>
      <c r="AM702" s="586"/>
      <c r="AN702" s="586"/>
      <c r="AO702" s="586"/>
      <c r="AP702" s="586"/>
      <c r="AQ702" s="587"/>
      <c r="AR702" s="82"/>
      <c r="AS702" s="82"/>
      <c r="AT702" s="82"/>
    </row>
    <row r="703" spans="32:46" ht="20.100000000000001" customHeight="1">
      <c r="AF703" s="592" t="s">
        <v>2143</v>
      </c>
      <c r="AG703" s="601"/>
      <c r="AH703" s="586"/>
      <c r="AI703" s="586"/>
      <c r="AJ703" s="586"/>
      <c r="AK703" s="586"/>
      <c r="AL703" s="586"/>
      <c r="AM703" s="586"/>
      <c r="AN703" s="586"/>
      <c r="AO703" s="586"/>
      <c r="AP703" s="586"/>
      <c r="AQ703" s="587"/>
      <c r="AR703" s="82"/>
      <c r="AS703" s="82"/>
      <c r="AT703" s="82"/>
    </row>
    <row r="704" spans="32:46" ht="20.100000000000001" customHeight="1">
      <c r="AF704" s="588" t="s">
        <v>2153</v>
      </c>
      <c r="AG704" s="586"/>
      <c r="AH704" s="586"/>
      <c r="AI704" s="586"/>
      <c r="AJ704" s="586"/>
      <c r="AK704" s="586"/>
      <c r="AL704" s="586"/>
      <c r="AM704" s="586"/>
      <c r="AN704" s="586"/>
      <c r="AO704" s="586"/>
      <c r="AP704" s="586"/>
      <c r="AQ704" s="587"/>
      <c r="AR704" s="82"/>
      <c r="AS704" s="82"/>
      <c r="AT704" s="82"/>
    </row>
    <row r="705" spans="32:89" ht="20.100000000000001" customHeight="1">
      <c r="AF705" s="588" t="s">
        <v>2160</v>
      </c>
      <c r="AG705" s="586"/>
      <c r="AH705" s="586"/>
      <c r="AI705" s="586"/>
      <c r="AJ705" s="586"/>
      <c r="AK705" s="586"/>
      <c r="AL705" s="586"/>
      <c r="AM705" s="586"/>
      <c r="AN705" s="586"/>
      <c r="AO705" s="586"/>
      <c r="AP705" s="586"/>
      <c r="AQ705" s="587"/>
      <c r="AR705" s="82"/>
      <c r="AS705" s="82"/>
      <c r="AT705" s="82"/>
    </row>
    <row r="706" spans="32:89" ht="20.100000000000001" customHeight="1">
      <c r="AF706" s="588" t="s">
        <v>2161</v>
      </c>
      <c r="AG706" s="586"/>
      <c r="AH706" s="586"/>
      <c r="AI706" s="586"/>
      <c r="AJ706" s="586"/>
      <c r="AK706" s="586"/>
      <c r="AL706" s="586"/>
      <c r="AM706" s="586"/>
      <c r="AN706" s="586"/>
      <c r="AO706" s="586"/>
      <c r="AP706" s="586"/>
      <c r="AQ706" s="587"/>
      <c r="AR706" s="82"/>
      <c r="AS706" s="82"/>
      <c r="AT706" s="82"/>
    </row>
    <row r="707" spans="32:89" ht="20.100000000000001" customHeight="1">
      <c r="AF707" s="588"/>
      <c r="AG707" s="586"/>
      <c r="AH707" s="586"/>
      <c r="AI707" s="586"/>
      <c r="AJ707" s="586"/>
      <c r="AK707" s="586"/>
      <c r="AL707" s="586"/>
      <c r="AM707" s="586"/>
      <c r="AN707" s="586"/>
      <c r="AO707" s="586"/>
      <c r="AP707" s="586"/>
      <c r="AQ707" s="587"/>
      <c r="AR707" s="82"/>
      <c r="AS707" s="82"/>
      <c r="AT707" s="82"/>
    </row>
    <row r="708" spans="32:89" ht="20.100000000000001" customHeight="1">
      <c r="AF708" s="588" t="s">
        <v>2089</v>
      </c>
      <c r="AG708" s="586"/>
      <c r="AH708" s="586"/>
      <c r="AI708" s="586"/>
      <c r="AJ708" s="586"/>
      <c r="AK708" s="586"/>
      <c r="AL708" s="586"/>
      <c r="AM708" s="586"/>
      <c r="AN708" s="586"/>
      <c r="AO708" s="586"/>
      <c r="AP708" s="586"/>
      <c r="AQ708" s="587"/>
      <c r="AR708" s="82"/>
      <c r="AS708" s="82"/>
      <c r="AT708" s="82"/>
    </row>
    <row r="709" spans="32:89" ht="20.100000000000001" customHeight="1">
      <c r="AF709" s="585" t="s">
        <v>2165</v>
      </c>
      <c r="AG709" s="586"/>
      <c r="AH709" s="586"/>
      <c r="AI709" s="586"/>
      <c r="AJ709" s="586"/>
      <c r="AK709" s="586"/>
      <c r="AL709" s="586"/>
      <c r="AM709" s="586"/>
      <c r="AN709" s="586"/>
      <c r="AO709" s="586"/>
      <c r="AP709" s="586"/>
      <c r="AQ709" s="587"/>
      <c r="AR709" s="82"/>
      <c r="AS709" s="82"/>
      <c r="AT709" s="82"/>
    </row>
    <row r="710" spans="32:89" ht="20.100000000000001" customHeight="1">
      <c r="AF710" s="588" t="s">
        <v>2073</v>
      </c>
      <c r="AG710" s="586"/>
      <c r="AH710" s="586"/>
      <c r="AI710" s="586"/>
      <c r="AJ710" s="586"/>
      <c r="AK710" s="586"/>
      <c r="AL710" s="586"/>
      <c r="AM710" s="586"/>
      <c r="AN710" s="586"/>
      <c r="AO710" s="586"/>
      <c r="AP710" s="586"/>
      <c r="AQ710" s="587"/>
      <c r="AR710" s="82"/>
      <c r="AS710" s="82"/>
      <c r="AT710" s="82"/>
    </row>
    <row r="711" spans="32:89" ht="20.100000000000001" customHeight="1">
      <c r="AF711" s="597" t="s">
        <v>2162</v>
      </c>
      <c r="AG711" s="586"/>
      <c r="AH711" s="586"/>
      <c r="AI711" s="586"/>
      <c r="AJ711" s="586"/>
      <c r="AK711" s="586"/>
      <c r="AL711" s="586"/>
      <c r="AM711" s="586"/>
      <c r="AN711" s="586"/>
      <c r="AO711" s="586"/>
      <c r="AP711" s="586"/>
      <c r="AQ711" s="587"/>
      <c r="AR711" s="82"/>
      <c r="AS711" s="82"/>
      <c r="AT711" s="82"/>
    </row>
    <row r="712" spans="32:89" ht="20.100000000000001" customHeight="1">
      <c r="AF712" s="597" t="s">
        <v>2074</v>
      </c>
      <c r="AG712" s="586"/>
      <c r="AH712" s="586"/>
      <c r="AI712" s="586"/>
      <c r="AJ712" s="586"/>
      <c r="AK712" s="586"/>
      <c r="AL712" s="586"/>
      <c r="AM712" s="586"/>
      <c r="AN712" s="586"/>
      <c r="AO712" s="586"/>
      <c r="AP712" s="586"/>
      <c r="AQ712" s="587"/>
      <c r="AR712" s="82"/>
      <c r="AS712" s="82"/>
      <c r="AT712" s="82"/>
    </row>
    <row r="713" spans="32:89" ht="20.100000000000001" customHeight="1">
      <c r="AF713" s="597" t="s">
        <v>2163</v>
      </c>
      <c r="AG713" s="586"/>
      <c r="AH713" s="586"/>
      <c r="AI713" s="586"/>
      <c r="AJ713" s="586"/>
      <c r="AK713" s="586"/>
      <c r="AL713" s="586"/>
      <c r="AM713" s="586"/>
      <c r="AN713" s="586"/>
      <c r="AO713" s="586"/>
      <c r="AP713" s="586"/>
      <c r="AQ713" s="587"/>
      <c r="AR713" s="82"/>
      <c r="AS713" s="82"/>
      <c r="AT713" s="82"/>
    </row>
    <row r="714" spans="32:89" ht="20.100000000000001" customHeight="1">
      <c r="AF714" s="597" t="s">
        <v>2164</v>
      </c>
      <c r="AG714" s="586"/>
      <c r="AH714" s="586"/>
      <c r="AI714" s="586"/>
      <c r="AJ714" s="586"/>
      <c r="AK714" s="586"/>
      <c r="AL714" s="586"/>
      <c r="AM714" s="586"/>
      <c r="AN714" s="586"/>
      <c r="AO714" s="586"/>
      <c r="AP714" s="586"/>
      <c r="AQ714" s="587"/>
      <c r="AR714" s="82"/>
      <c r="AS714" s="82"/>
      <c r="AT714" s="82"/>
    </row>
    <row r="715" spans="32:89" ht="20.100000000000001" customHeight="1">
      <c r="AF715" s="597" t="s">
        <v>2078</v>
      </c>
      <c r="AG715" s="586"/>
      <c r="AH715" s="586"/>
      <c r="AI715" s="586"/>
      <c r="AJ715" s="586"/>
      <c r="AK715" s="586"/>
      <c r="AL715" s="586"/>
      <c r="AM715" s="586"/>
      <c r="AN715" s="586"/>
      <c r="AO715" s="586"/>
      <c r="AP715" s="586"/>
      <c r="AQ715" s="587"/>
      <c r="AR715" s="82"/>
      <c r="AS715" s="82"/>
      <c r="AT715" s="82"/>
    </row>
    <row r="716" spans="32:89" ht="20.100000000000001" customHeight="1">
      <c r="AF716" s="597"/>
      <c r="AG716" s="586"/>
      <c r="AH716" s="586"/>
      <c r="AI716" s="586"/>
      <c r="AJ716" s="586"/>
      <c r="AK716" s="586"/>
      <c r="AL716" s="586"/>
      <c r="AM716" s="586"/>
      <c r="AN716" s="586"/>
      <c r="AO716" s="586"/>
      <c r="AP716" s="586"/>
      <c r="AQ716" s="587"/>
      <c r="AR716" s="82"/>
      <c r="AS716" s="82"/>
      <c r="AT716" s="82"/>
    </row>
    <row r="717" spans="32:89" ht="20.100000000000001" customHeight="1">
      <c r="AF717" s="603" t="s">
        <v>2170</v>
      </c>
      <c r="AG717" s="599"/>
      <c r="AH717" s="599"/>
      <c r="AI717" s="599"/>
      <c r="AJ717" s="599"/>
      <c r="AK717" s="599"/>
      <c r="AL717" s="599"/>
      <c r="AM717" s="599"/>
      <c r="AN717" s="599"/>
      <c r="AO717" s="599"/>
      <c r="AP717" s="599"/>
      <c r="AQ717" s="600"/>
      <c r="AR717" s="82"/>
      <c r="AS717" s="82"/>
      <c r="AT717" s="82"/>
    </row>
    <row r="719" spans="32:89" ht="20.100000000000001" customHeight="1">
      <c r="AF719" s="141" t="s">
        <v>1138</v>
      </c>
      <c r="BQ719" s="246"/>
      <c r="CI719" s="235" t="s">
        <v>2245</v>
      </c>
    </row>
    <row r="720" spans="32:89" ht="20.100000000000001" customHeight="1" thickBot="1">
      <c r="AF720" s="168" t="s">
        <v>1140</v>
      </c>
      <c r="AG720" s="168"/>
      <c r="AH720" s="169" t="s">
        <v>620</v>
      </c>
      <c r="AI720" s="1542" t="s">
        <v>2168</v>
      </c>
      <c r="AJ720" s="1543"/>
      <c r="AK720" s="181">
        <v>2021</v>
      </c>
      <c r="AL720" s="135">
        <v>2022</v>
      </c>
      <c r="AM720" s="135">
        <f>AL720+1</f>
        <v>2023</v>
      </c>
      <c r="AN720" s="135">
        <f t="shared" ref="AN720" si="794">AM720+1</f>
        <v>2024</v>
      </c>
      <c r="AO720" s="135">
        <f t="shared" ref="AO720" si="795">AN720+1</f>
        <v>2025</v>
      </c>
      <c r="AP720" s="135">
        <f t="shared" ref="AP720" si="796">AO720+1</f>
        <v>2026</v>
      </c>
      <c r="AQ720" s="135">
        <f t="shared" ref="AQ720" si="797">AP720+1</f>
        <v>2027</v>
      </c>
      <c r="AR720" s="135">
        <f t="shared" ref="AR720" si="798">AQ720+1</f>
        <v>2028</v>
      </c>
      <c r="AS720" s="135">
        <f t="shared" ref="AS720" si="799">AR720+1</f>
        <v>2029</v>
      </c>
      <c r="AT720" s="135">
        <f t="shared" ref="AT720" si="800">AS720+1</f>
        <v>2030</v>
      </c>
      <c r="AU720" s="135">
        <f t="shared" ref="AU720" si="801">AT720+1</f>
        <v>2031</v>
      </c>
      <c r="AV720" s="135">
        <f t="shared" ref="AV720" si="802">AU720+1</f>
        <v>2032</v>
      </c>
      <c r="AW720" s="135">
        <f t="shared" ref="AW720" si="803">AV720+1</f>
        <v>2033</v>
      </c>
      <c r="AX720" s="135">
        <f t="shared" ref="AX720" si="804">AW720+1</f>
        <v>2034</v>
      </c>
      <c r="AY720" s="135">
        <f t="shared" ref="AY720" si="805">AX720+1</f>
        <v>2035</v>
      </c>
      <c r="AZ720" s="135">
        <f t="shared" ref="AZ720" si="806">AY720+1</f>
        <v>2036</v>
      </c>
      <c r="BA720" s="135">
        <f t="shared" ref="BA720" si="807">AZ720+1</f>
        <v>2037</v>
      </c>
      <c r="BB720" s="135">
        <f t="shared" ref="BB720" si="808">BA720+1</f>
        <v>2038</v>
      </c>
      <c r="BC720" s="135">
        <f t="shared" ref="BC720" si="809">BB720+1</f>
        <v>2039</v>
      </c>
      <c r="BD720" s="135">
        <f t="shared" ref="BD720" si="810">BC720+1</f>
        <v>2040</v>
      </c>
      <c r="BE720" s="135">
        <f t="shared" ref="BE720" si="811">BD720+1</f>
        <v>2041</v>
      </c>
      <c r="BF720" s="135">
        <f t="shared" ref="BF720" si="812">BE720+1</f>
        <v>2042</v>
      </c>
      <c r="BG720" s="135">
        <f t="shared" ref="BG720" si="813">BF720+1</f>
        <v>2043</v>
      </c>
      <c r="BH720" s="135">
        <f t="shared" ref="BH720" si="814">BG720+1</f>
        <v>2044</v>
      </c>
      <c r="BI720" s="135">
        <f t="shared" ref="BI720" si="815">BH720+1</f>
        <v>2045</v>
      </c>
      <c r="BJ720" s="135">
        <f t="shared" ref="BJ720" si="816">BI720+1</f>
        <v>2046</v>
      </c>
      <c r="BK720" s="135">
        <f t="shared" ref="BK720" si="817">BJ720+1</f>
        <v>2047</v>
      </c>
      <c r="BL720" s="135">
        <f t="shared" ref="BL720" si="818">BK720+1</f>
        <v>2048</v>
      </c>
      <c r="BM720" s="135">
        <f t="shared" ref="BM720" si="819">BL720+1</f>
        <v>2049</v>
      </c>
      <c r="BN720" s="135">
        <f t="shared" ref="BN720" si="820">BM720+1</f>
        <v>2050</v>
      </c>
      <c r="BQ720" s="82" t="s">
        <v>2239</v>
      </c>
      <c r="BR720" s="250"/>
      <c r="BS720" s="250"/>
      <c r="BT720" s="250"/>
      <c r="BU720" s="250"/>
      <c r="BV720" s="250"/>
      <c r="BW720" s="250"/>
      <c r="BX720" s="250"/>
      <c r="BY720" s="250"/>
      <c r="BZ720" s="250"/>
      <c r="CA720" s="250"/>
      <c r="CB720" s="250"/>
      <c r="CC720" s="250"/>
      <c r="CD720" s="250"/>
      <c r="CE720" s="250"/>
      <c r="CF720" s="250"/>
      <c r="CG720" s="250"/>
      <c r="CH720" s="250"/>
      <c r="CI720" s="605" t="s">
        <v>1393</v>
      </c>
      <c r="CJ720" s="130" t="s">
        <v>2172</v>
      </c>
      <c r="CK720" s="606" t="s">
        <v>1224</v>
      </c>
    </row>
    <row r="721" spans="11:90" ht="20.100000000000001" customHeight="1">
      <c r="AF721" s="97" t="str">
        <f>CONCATENATE("conversions from ",INDEX('MENU OPTIONS'!$B$27:$B$36,$A$135,1))</f>
        <v>conversions from Industrial</v>
      </c>
      <c r="AG721" s="137" t="s">
        <v>578</v>
      </c>
      <c r="AH721" s="137" t="s">
        <v>1122</v>
      </c>
      <c r="AI721" s="602">
        <f>INDEX('DEFAULT DATA'!$AGR$9:$AJS$41,START!$C$3,(1+(($A$135-1)*8)))/IF($A$135&lt;5,INDEX('DEFAULT DATA'!$XS$9:$XV$41,START!$C$3,$A$135),1)</f>
        <v>129.6</v>
      </c>
      <c r="AJ721" s="202"/>
      <c r="AK721" s="178">
        <v>0</v>
      </c>
      <c r="AL721" s="157">
        <f t="shared" ref="AL721:BN721" si="821">IF(AND(AL$720&gt;($I$135+2020),AL$720&lt;($J$135+2022)),AK721+(AL$5*$E$135*$AI$721/($J$135-$I$135+1)/1000000),AK721)</f>
        <v>0</v>
      </c>
      <c r="AM721" s="157">
        <f t="shared" si="821"/>
        <v>0</v>
      </c>
      <c r="AN721" s="157">
        <f t="shared" si="821"/>
        <v>0</v>
      </c>
      <c r="AO721" s="157">
        <f t="shared" si="821"/>
        <v>0</v>
      </c>
      <c r="AP721" s="157">
        <f t="shared" si="821"/>
        <v>0</v>
      </c>
      <c r="AQ721" s="157">
        <f t="shared" si="821"/>
        <v>0</v>
      </c>
      <c r="AR721" s="157">
        <f t="shared" si="821"/>
        <v>0</v>
      </c>
      <c r="AS721" s="157">
        <f t="shared" si="821"/>
        <v>0</v>
      </c>
      <c r="AT721" s="157">
        <f t="shared" si="821"/>
        <v>0</v>
      </c>
      <c r="AU721" s="157">
        <f t="shared" si="821"/>
        <v>0</v>
      </c>
      <c r="AV721" s="157">
        <f t="shared" si="821"/>
        <v>0</v>
      </c>
      <c r="AW721" s="157">
        <f t="shared" si="821"/>
        <v>0</v>
      </c>
      <c r="AX721" s="157">
        <f t="shared" si="821"/>
        <v>0</v>
      </c>
      <c r="AY721" s="157">
        <f t="shared" si="821"/>
        <v>0</v>
      </c>
      <c r="AZ721" s="157">
        <f t="shared" si="821"/>
        <v>0</v>
      </c>
      <c r="BA721" s="157">
        <f t="shared" si="821"/>
        <v>0</v>
      </c>
      <c r="BB721" s="157">
        <f t="shared" si="821"/>
        <v>0</v>
      </c>
      <c r="BC721" s="157">
        <f t="shared" si="821"/>
        <v>0</v>
      </c>
      <c r="BD721" s="157">
        <f t="shared" si="821"/>
        <v>0</v>
      </c>
      <c r="BE721" s="157">
        <f t="shared" si="821"/>
        <v>0</v>
      </c>
      <c r="BF721" s="157">
        <f t="shared" si="821"/>
        <v>0</v>
      </c>
      <c r="BG721" s="157">
        <f t="shared" si="821"/>
        <v>0</v>
      </c>
      <c r="BH721" s="157">
        <f t="shared" si="821"/>
        <v>0</v>
      </c>
      <c r="BI721" s="157">
        <f t="shared" si="821"/>
        <v>0</v>
      </c>
      <c r="BJ721" s="157">
        <f t="shared" si="821"/>
        <v>0</v>
      </c>
      <c r="BK721" s="157">
        <f t="shared" si="821"/>
        <v>0</v>
      </c>
      <c r="BL721" s="157">
        <f t="shared" si="821"/>
        <v>0</v>
      </c>
      <c r="BM721" s="157">
        <f t="shared" si="821"/>
        <v>0</v>
      </c>
      <c r="BN721" s="158">
        <f t="shared" si="821"/>
        <v>0</v>
      </c>
      <c r="BP721" s="367" t="s">
        <v>578</v>
      </c>
      <c r="BQ721" s="1536" t="str">
        <f>CONCATENATE("GHG_",BP721,"a = GHG_",BP721,"a-1 + (E134 * ",CI721," * ",CK721," / (",CJ721,") / 1000000)")</f>
        <v>GHG_Electricitya = GHG_Electricitya-1 + (E134 * BUI_COL (307 + ((A134 - 1) * 8) * GRID_ELECTRICITY_emission_factora (from row4) / (J134-I134+1) / 1000000)</v>
      </c>
      <c r="BR721" s="1544"/>
      <c r="BS721" s="1544"/>
      <c r="BT721" s="1544"/>
      <c r="BU721" s="1544"/>
      <c r="BV721" s="1544"/>
      <c r="BW721" s="1544"/>
      <c r="BX721" s="1544"/>
      <c r="BY721" s="1544"/>
      <c r="BZ721" s="1544"/>
      <c r="CA721" s="1544"/>
      <c r="CB721" s="1544"/>
      <c r="CC721" s="1544"/>
      <c r="CD721" s="1544"/>
      <c r="CE721" s="1544"/>
      <c r="CF721" s="1544"/>
      <c r="CG721" s="1544"/>
      <c r="CH721" s="1537"/>
      <c r="CI721" s="576" t="s">
        <v>2223</v>
      </c>
      <c r="CJ721" s="367" t="s">
        <v>2224</v>
      </c>
      <c r="CK721" s="367" t="s">
        <v>2221</v>
      </c>
      <c r="CL721" s="580"/>
    </row>
    <row r="722" spans="11:90" ht="20.100000000000001" customHeight="1">
      <c r="AF722" s="190"/>
      <c r="AG722" s="107" t="s">
        <v>862</v>
      </c>
      <c r="AH722" s="107">
        <f>INDEX('DEFAULT DATA'!$WD$9:$WJ$41,START!$C$3,1)</f>
        <v>202</v>
      </c>
      <c r="AI722" s="432">
        <f>INDEX('DEFAULT DATA'!$AGR$9:$AJS$41,START!$C$3,(2+(($A$135-1)*8)))/IF($A$135&lt;5,INDEX('DEFAULT DATA'!$XS$9:$XV$41,START!$C$3,$A$135),1)</f>
        <v>96.93</v>
      </c>
      <c r="AJ722" s="201"/>
      <c r="AK722" s="180">
        <v>0</v>
      </c>
      <c r="AL722" s="123">
        <f t="shared" ref="AL722:BN722" si="822">IF(AND(AL$720&gt;($I$135+2020),AL$720&lt;($J$135+2022)),AK722+($AH$722*$E$135*$AI$722/($J$135-$I$135+1)/1000000),AK722)</f>
        <v>0</v>
      </c>
      <c r="AM722" s="123">
        <f t="shared" si="822"/>
        <v>0</v>
      </c>
      <c r="AN722" s="123">
        <f t="shared" si="822"/>
        <v>0</v>
      </c>
      <c r="AO722" s="123">
        <f t="shared" si="822"/>
        <v>0</v>
      </c>
      <c r="AP722" s="123">
        <f t="shared" si="822"/>
        <v>0</v>
      </c>
      <c r="AQ722" s="123">
        <f t="shared" si="822"/>
        <v>0</v>
      </c>
      <c r="AR722" s="123">
        <f t="shared" si="822"/>
        <v>0</v>
      </c>
      <c r="AS722" s="123">
        <f t="shared" si="822"/>
        <v>0</v>
      </c>
      <c r="AT722" s="123">
        <f t="shared" si="822"/>
        <v>0</v>
      </c>
      <c r="AU722" s="123">
        <f t="shared" si="822"/>
        <v>0</v>
      </c>
      <c r="AV722" s="123">
        <f t="shared" si="822"/>
        <v>0</v>
      </c>
      <c r="AW722" s="123">
        <f t="shared" si="822"/>
        <v>0</v>
      </c>
      <c r="AX722" s="123">
        <f t="shared" si="822"/>
        <v>0</v>
      </c>
      <c r="AY722" s="123">
        <f t="shared" si="822"/>
        <v>0</v>
      </c>
      <c r="AZ722" s="123">
        <f t="shared" si="822"/>
        <v>0</v>
      </c>
      <c r="BA722" s="123">
        <f t="shared" si="822"/>
        <v>0</v>
      </c>
      <c r="BB722" s="123">
        <f t="shared" si="822"/>
        <v>0</v>
      </c>
      <c r="BC722" s="123">
        <f t="shared" si="822"/>
        <v>0</v>
      </c>
      <c r="BD722" s="123">
        <f t="shared" si="822"/>
        <v>0</v>
      </c>
      <c r="BE722" s="123">
        <f t="shared" si="822"/>
        <v>0</v>
      </c>
      <c r="BF722" s="123">
        <f t="shared" si="822"/>
        <v>0</v>
      </c>
      <c r="BG722" s="123">
        <f t="shared" si="822"/>
        <v>0</v>
      </c>
      <c r="BH722" s="123">
        <f t="shared" si="822"/>
        <v>0</v>
      </c>
      <c r="BI722" s="123">
        <f t="shared" si="822"/>
        <v>0</v>
      </c>
      <c r="BJ722" s="123">
        <f t="shared" si="822"/>
        <v>0</v>
      </c>
      <c r="BK722" s="123">
        <f t="shared" si="822"/>
        <v>0</v>
      </c>
      <c r="BL722" s="123">
        <f t="shared" si="822"/>
        <v>0</v>
      </c>
      <c r="BM722" s="123">
        <f t="shared" si="822"/>
        <v>0</v>
      </c>
      <c r="BN722" s="159">
        <f t="shared" si="822"/>
        <v>0</v>
      </c>
      <c r="BP722" s="367" t="s">
        <v>862</v>
      </c>
      <c r="BQ722" s="1536" t="str">
        <f t="shared" ref="BQ722:BQ728" si="823">CONCATENATE("GHG_",BP722,"a = GHG_",BP722,"a-1 + (E134 * ",CI722," * ",CK722," / (",CJ722,") / 1000000)")</f>
        <v>GHG_Gasa = GHG_Gasa-1 + (E134 * BUI_COL (307 + ((A134 - 1) * 8) * BUI_COL1 / (J134-I134+1) / 1000000)</v>
      </c>
      <c r="BR722" s="1544"/>
      <c r="BS722" s="1544"/>
      <c r="BT722" s="1544"/>
      <c r="BU722" s="1544"/>
      <c r="BV722" s="1544"/>
      <c r="BW722" s="1544"/>
      <c r="BX722" s="1544"/>
      <c r="BY722" s="1544"/>
      <c r="BZ722" s="1544"/>
      <c r="CA722" s="1544"/>
      <c r="CB722" s="1544"/>
      <c r="CC722" s="1544"/>
      <c r="CD722" s="1544"/>
      <c r="CE722" s="1544"/>
      <c r="CF722" s="1544"/>
      <c r="CG722" s="1544"/>
      <c r="CH722" s="1537"/>
      <c r="CI722" s="578" t="s">
        <v>2223</v>
      </c>
      <c r="CJ722" s="367" t="s">
        <v>2224</v>
      </c>
      <c r="CK722" s="367" t="s">
        <v>886</v>
      </c>
      <c r="CL722" s="580"/>
    </row>
    <row r="723" spans="11:90" ht="20.100000000000001" customHeight="1">
      <c r="AF723" s="190"/>
      <c r="AG723" s="107" t="s">
        <v>863</v>
      </c>
      <c r="AH723" s="107">
        <f>INDEX('DEFAULT DATA'!$WD$9:$WJ$41,START!$C$3,2)</f>
        <v>267</v>
      </c>
      <c r="AI723" s="432">
        <f>INDEX('DEFAULT DATA'!$AGR$9:$AJS$41,START!$C$3,(3+(($A$135-1)*8)))/IF($A$135&lt;5,INDEX('DEFAULT DATA'!$XS$9:$XV$41,START!$C$3,$A$135),1)</f>
        <v>80.78</v>
      </c>
      <c r="AJ723" s="201"/>
      <c r="AK723" s="180">
        <v>0</v>
      </c>
      <c r="AL723" s="123">
        <f t="shared" ref="AL723:BN723" si="824">IF(AND(AL$720&gt;($I$135+2020),AL$720&lt;($J$135+2022)),AK723+($AH$723*$E$135*$AI$723/($J$135-$I$135+1)/1000000),AK723)</f>
        <v>0</v>
      </c>
      <c r="AM723" s="123">
        <f t="shared" si="824"/>
        <v>0</v>
      </c>
      <c r="AN723" s="123">
        <f t="shared" si="824"/>
        <v>0</v>
      </c>
      <c r="AO723" s="123">
        <f t="shared" si="824"/>
        <v>0</v>
      </c>
      <c r="AP723" s="123">
        <f t="shared" si="824"/>
        <v>0</v>
      </c>
      <c r="AQ723" s="123">
        <f t="shared" si="824"/>
        <v>0</v>
      </c>
      <c r="AR723" s="123">
        <f t="shared" si="824"/>
        <v>0</v>
      </c>
      <c r="AS723" s="123">
        <f t="shared" si="824"/>
        <v>0</v>
      </c>
      <c r="AT723" s="123">
        <f t="shared" si="824"/>
        <v>0</v>
      </c>
      <c r="AU723" s="123">
        <f t="shared" si="824"/>
        <v>0</v>
      </c>
      <c r="AV723" s="123">
        <f t="shared" si="824"/>
        <v>0</v>
      </c>
      <c r="AW723" s="123">
        <f t="shared" si="824"/>
        <v>0</v>
      </c>
      <c r="AX723" s="123">
        <f t="shared" si="824"/>
        <v>0</v>
      </c>
      <c r="AY723" s="123">
        <f t="shared" si="824"/>
        <v>0</v>
      </c>
      <c r="AZ723" s="123">
        <f t="shared" si="824"/>
        <v>0</v>
      </c>
      <c r="BA723" s="123">
        <f t="shared" si="824"/>
        <v>0</v>
      </c>
      <c r="BB723" s="123">
        <f t="shared" si="824"/>
        <v>0</v>
      </c>
      <c r="BC723" s="123">
        <f t="shared" si="824"/>
        <v>0</v>
      </c>
      <c r="BD723" s="123">
        <f t="shared" si="824"/>
        <v>0</v>
      </c>
      <c r="BE723" s="123">
        <f t="shared" si="824"/>
        <v>0</v>
      </c>
      <c r="BF723" s="123">
        <f t="shared" si="824"/>
        <v>0</v>
      </c>
      <c r="BG723" s="123">
        <f t="shared" si="824"/>
        <v>0</v>
      </c>
      <c r="BH723" s="123">
        <f t="shared" si="824"/>
        <v>0</v>
      </c>
      <c r="BI723" s="123">
        <f t="shared" si="824"/>
        <v>0</v>
      </c>
      <c r="BJ723" s="123">
        <f t="shared" si="824"/>
        <v>0</v>
      </c>
      <c r="BK723" s="123">
        <f t="shared" si="824"/>
        <v>0</v>
      </c>
      <c r="BL723" s="123">
        <f t="shared" si="824"/>
        <v>0</v>
      </c>
      <c r="BM723" s="123">
        <f t="shared" si="824"/>
        <v>0</v>
      </c>
      <c r="BN723" s="159">
        <f t="shared" si="824"/>
        <v>0</v>
      </c>
      <c r="BP723" s="367" t="s">
        <v>863</v>
      </c>
      <c r="BQ723" s="1536" t="str">
        <f t="shared" si="823"/>
        <v>GHG_Oila = GHG_Oila-1 + (E134 * BUI_COL (307 + ((A134 - 1) * 8) * BUI_COL2 / (J134-I134+1) / 1000000)</v>
      </c>
      <c r="BR723" s="1544"/>
      <c r="BS723" s="1544"/>
      <c r="BT723" s="1544"/>
      <c r="BU723" s="1544"/>
      <c r="BV723" s="1544"/>
      <c r="BW723" s="1544"/>
      <c r="BX723" s="1544"/>
      <c r="BY723" s="1544"/>
      <c r="BZ723" s="1544"/>
      <c r="CA723" s="1544"/>
      <c r="CB723" s="1544"/>
      <c r="CC723" s="1544"/>
      <c r="CD723" s="1544"/>
      <c r="CE723" s="1544"/>
      <c r="CF723" s="1544"/>
      <c r="CG723" s="1544"/>
      <c r="CH723" s="1537"/>
      <c r="CI723" s="578" t="s">
        <v>2223</v>
      </c>
      <c r="CJ723" s="367" t="s">
        <v>2224</v>
      </c>
      <c r="CK723" s="367" t="s">
        <v>1247</v>
      </c>
      <c r="CL723" s="580"/>
    </row>
    <row r="724" spans="11:90" ht="20.100000000000001" customHeight="1">
      <c r="K724" s="182"/>
      <c r="L724" s="182"/>
      <c r="M724" s="182"/>
      <c r="N724" s="182"/>
      <c r="O724" s="182"/>
      <c r="P724" s="182"/>
      <c r="Q724" s="182"/>
      <c r="R724" s="182"/>
      <c r="S724" s="182"/>
      <c r="T724" s="182"/>
      <c r="U724" s="182"/>
      <c r="V724" s="182"/>
      <c r="W724" s="182"/>
      <c r="X724" s="182"/>
      <c r="Y724" s="182"/>
      <c r="Z724" s="182"/>
      <c r="AA724" s="182"/>
      <c r="AB724" s="182"/>
      <c r="AC724" s="182"/>
      <c r="AD724" s="182"/>
      <c r="AE724" s="182"/>
      <c r="AF724" s="190"/>
      <c r="AG724" s="107" t="s">
        <v>864</v>
      </c>
      <c r="AH724" s="107">
        <f>INDEX('DEFAULT DATA'!$WD$9:$WJ$41,START!$C$3,3)</f>
        <v>354</v>
      </c>
      <c r="AI724" s="432">
        <f>INDEX('DEFAULT DATA'!$AGR$9:$AJS$41,START!$C$3,(4+(($A$135-1)*8)))/IF($A$135&lt;5,INDEX('DEFAULT DATA'!$XS$9:$XV$41,START!$C$3,$A$135),1)</f>
        <v>0</v>
      </c>
      <c r="AJ724" s="201"/>
      <c r="AK724" s="180">
        <v>0</v>
      </c>
      <c r="AL724" s="123">
        <f t="shared" ref="AL724:BN724" si="825">IF(AND(AL$720&gt;($I$135+2020),AL$720&lt;($J$135+2022)),AK724+($AH$724*$E$135*$AI$724/($J$135-$I$135+1)/1000000),AK724)</f>
        <v>0</v>
      </c>
      <c r="AM724" s="123">
        <f t="shared" si="825"/>
        <v>0</v>
      </c>
      <c r="AN724" s="123">
        <f t="shared" si="825"/>
        <v>0</v>
      </c>
      <c r="AO724" s="123">
        <f t="shared" si="825"/>
        <v>0</v>
      </c>
      <c r="AP724" s="123">
        <f t="shared" si="825"/>
        <v>0</v>
      </c>
      <c r="AQ724" s="123">
        <f t="shared" si="825"/>
        <v>0</v>
      </c>
      <c r="AR724" s="123">
        <f t="shared" si="825"/>
        <v>0</v>
      </c>
      <c r="AS724" s="123">
        <f t="shared" si="825"/>
        <v>0</v>
      </c>
      <c r="AT724" s="123">
        <f t="shared" si="825"/>
        <v>0</v>
      </c>
      <c r="AU724" s="123">
        <f t="shared" si="825"/>
        <v>0</v>
      </c>
      <c r="AV724" s="123">
        <f t="shared" si="825"/>
        <v>0</v>
      </c>
      <c r="AW724" s="123">
        <f t="shared" si="825"/>
        <v>0</v>
      </c>
      <c r="AX724" s="123">
        <f t="shared" si="825"/>
        <v>0</v>
      </c>
      <c r="AY724" s="123">
        <f t="shared" si="825"/>
        <v>0</v>
      </c>
      <c r="AZ724" s="123">
        <f t="shared" si="825"/>
        <v>0</v>
      </c>
      <c r="BA724" s="123">
        <f t="shared" si="825"/>
        <v>0</v>
      </c>
      <c r="BB724" s="123">
        <f t="shared" si="825"/>
        <v>0</v>
      </c>
      <c r="BC724" s="123">
        <f t="shared" si="825"/>
        <v>0</v>
      </c>
      <c r="BD724" s="123">
        <f t="shared" si="825"/>
        <v>0</v>
      </c>
      <c r="BE724" s="123">
        <f t="shared" si="825"/>
        <v>0</v>
      </c>
      <c r="BF724" s="123">
        <f t="shared" si="825"/>
        <v>0</v>
      </c>
      <c r="BG724" s="123">
        <f t="shared" si="825"/>
        <v>0</v>
      </c>
      <c r="BH724" s="123">
        <f t="shared" si="825"/>
        <v>0</v>
      </c>
      <c r="BI724" s="123">
        <f t="shared" si="825"/>
        <v>0</v>
      </c>
      <c r="BJ724" s="123">
        <f t="shared" si="825"/>
        <v>0</v>
      </c>
      <c r="BK724" s="123">
        <f t="shared" si="825"/>
        <v>0</v>
      </c>
      <c r="BL724" s="123">
        <f t="shared" si="825"/>
        <v>0</v>
      </c>
      <c r="BM724" s="123">
        <f t="shared" si="825"/>
        <v>0</v>
      </c>
      <c r="BN724" s="159">
        <f t="shared" si="825"/>
        <v>0</v>
      </c>
      <c r="BP724" s="367" t="s">
        <v>864</v>
      </c>
      <c r="BQ724" s="1536" t="str">
        <f t="shared" si="823"/>
        <v>GHG_Coala = GHG_Coala-1 + (E134 * BUI_COL (307 + ((A134 - 1) * 8) * BUI_COL3 / (J134-I134+1) / 1000000)</v>
      </c>
      <c r="BR724" s="1544"/>
      <c r="BS724" s="1544"/>
      <c r="BT724" s="1544"/>
      <c r="BU724" s="1544"/>
      <c r="BV724" s="1544"/>
      <c r="BW724" s="1544"/>
      <c r="BX724" s="1544"/>
      <c r="BY724" s="1544"/>
      <c r="BZ724" s="1544"/>
      <c r="CA724" s="1544"/>
      <c r="CB724" s="1544"/>
      <c r="CC724" s="1544"/>
      <c r="CD724" s="1544"/>
      <c r="CE724" s="1544"/>
      <c r="CF724" s="1544"/>
      <c r="CG724" s="1544"/>
      <c r="CH724" s="1537"/>
      <c r="CI724" s="578" t="s">
        <v>2223</v>
      </c>
      <c r="CJ724" s="367" t="s">
        <v>2224</v>
      </c>
      <c r="CK724" s="367" t="s">
        <v>1248</v>
      </c>
      <c r="CL724" s="580"/>
    </row>
    <row r="725" spans="11:90" ht="20.100000000000001" customHeight="1">
      <c r="AF725" s="190"/>
      <c r="AG725" s="107" t="s">
        <v>865</v>
      </c>
      <c r="AH725" s="107">
        <f>INDEX('DEFAULT DATA'!$WD$9:$WJ$41,START!$C$3,4)</f>
        <v>382</v>
      </c>
      <c r="AI725" s="432">
        <f>INDEX('DEFAULT DATA'!$AGR$9:$AJS$41,START!$C$3,(5+(($A$135-1)*8)))/IF($A$135&lt;5,INDEX('DEFAULT DATA'!$XS$9:$XV$41,START!$C$3,$A$135),1)</f>
        <v>7.54</v>
      </c>
      <c r="AJ725" s="201"/>
      <c r="AK725" s="180">
        <v>0</v>
      </c>
      <c r="AL725" s="123">
        <f t="shared" ref="AL725:BN725" si="826">IF(AND(AL$720&gt;($I$135+2020),AL$720&lt;($J$135+2022)),AK725+($AH$725*$E$135*$AI$725/($J$135-$I$135+1)/1000000),AK725)</f>
        <v>0</v>
      </c>
      <c r="AM725" s="123">
        <f t="shared" si="826"/>
        <v>0</v>
      </c>
      <c r="AN725" s="123">
        <f t="shared" si="826"/>
        <v>0</v>
      </c>
      <c r="AO725" s="123">
        <f t="shared" si="826"/>
        <v>0</v>
      </c>
      <c r="AP725" s="123">
        <f t="shared" si="826"/>
        <v>0</v>
      </c>
      <c r="AQ725" s="123">
        <f t="shared" si="826"/>
        <v>0</v>
      </c>
      <c r="AR725" s="123">
        <f t="shared" si="826"/>
        <v>0</v>
      </c>
      <c r="AS725" s="123">
        <f t="shared" si="826"/>
        <v>0</v>
      </c>
      <c r="AT725" s="123">
        <f t="shared" si="826"/>
        <v>0</v>
      </c>
      <c r="AU725" s="123">
        <f t="shared" si="826"/>
        <v>0</v>
      </c>
      <c r="AV725" s="123">
        <f t="shared" si="826"/>
        <v>0</v>
      </c>
      <c r="AW725" s="123">
        <f t="shared" si="826"/>
        <v>0</v>
      </c>
      <c r="AX725" s="123">
        <f t="shared" si="826"/>
        <v>0</v>
      </c>
      <c r="AY725" s="123">
        <f t="shared" si="826"/>
        <v>0</v>
      </c>
      <c r="AZ725" s="123">
        <f t="shared" si="826"/>
        <v>0</v>
      </c>
      <c r="BA725" s="123">
        <f t="shared" si="826"/>
        <v>0</v>
      </c>
      <c r="BB725" s="123">
        <f t="shared" si="826"/>
        <v>0</v>
      </c>
      <c r="BC725" s="123">
        <f t="shared" si="826"/>
        <v>0</v>
      </c>
      <c r="BD725" s="123">
        <f t="shared" si="826"/>
        <v>0</v>
      </c>
      <c r="BE725" s="123">
        <f t="shared" si="826"/>
        <v>0</v>
      </c>
      <c r="BF725" s="123">
        <f t="shared" si="826"/>
        <v>0</v>
      </c>
      <c r="BG725" s="123">
        <f t="shared" si="826"/>
        <v>0</v>
      </c>
      <c r="BH725" s="123">
        <f t="shared" si="826"/>
        <v>0</v>
      </c>
      <c r="BI725" s="123">
        <f t="shared" si="826"/>
        <v>0</v>
      </c>
      <c r="BJ725" s="123">
        <f t="shared" si="826"/>
        <v>0</v>
      </c>
      <c r="BK725" s="123">
        <f t="shared" si="826"/>
        <v>0</v>
      </c>
      <c r="BL725" s="123">
        <f t="shared" si="826"/>
        <v>0</v>
      </c>
      <c r="BM725" s="123">
        <f t="shared" si="826"/>
        <v>0</v>
      </c>
      <c r="BN725" s="159">
        <f t="shared" si="826"/>
        <v>0</v>
      </c>
      <c r="BP725" s="367" t="s">
        <v>865</v>
      </c>
      <c r="BQ725" s="1536" t="str">
        <f t="shared" si="823"/>
        <v>GHG_Peata = GHG_Peata-1 + (E134 * BUI_COL (307 + ((A134 - 1) * 8) * BUI_COL4 / (J134-I134+1) / 1000000)</v>
      </c>
      <c r="BR725" s="1544"/>
      <c r="BS725" s="1544"/>
      <c r="BT725" s="1544"/>
      <c r="BU725" s="1544"/>
      <c r="BV725" s="1544"/>
      <c r="BW725" s="1544"/>
      <c r="BX725" s="1544"/>
      <c r="BY725" s="1544"/>
      <c r="BZ725" s="1544"/>
      <c r="CA725" s="1544"/>
      <c r="CB725" s="1544"/>
      <c r="CC725" s="1544"/>
      <c r="CD725" s="1544"/>
      <c r="CE725" s="1544"/>
      <c r="CF725" s="1544"/>
      <c r="CG725" s="1544"/>
      <c r="CH725" s="1537"/>
      <c r="CI725" s="578" t="s">
        <v>2223</v>
      </c>
      <c r="CJ725" s="367" t="s">
        <v>2224</v>
      </c>
      <c r="CK725" s="367" t="s">
        <v>1249</v>
      </c>
      <c r="CL725" s="580"/>
    </row>
    <row r="726" spans="11:90" ht="20.100000000000001" customHeight="1">
      <c r="AF726" s="190"/>
      <c r="AG726" s="107" t="s">
        <v>866</v>
      </c>
      <c r="AH726" s="107">
        <f>INDEX('DEFAULT DATA'!$WD$9:$WJ$41,START!$C$3,5)</f>
        <v>403</v>
      </c>
      <c r="AI726" s="432">
        <f>INDEX('DEFAULT DATA'!$AGR$9:$AJS$41,START!$C$3,(6+(($A$135-1)*8)))/IF($A$135&lt;5,INDEX('DEFAULT DATA'!$XS$9:$XV$41,START!$C$3,$A$135),1)</f>
        <v>9.15</v>
      </c>
      <c r="AJ726" s="201"/>
      <c r="AK726" s="180">
        <v>0</v>
      </c>
      <c r="AL726" s="123">
        <f t="shared" ref="AL726:BN726" si="827">IF(AND(AL$720&gt;($I$135+2020),AL$720&lt;($J$135+2022)),AK726+($AH$726*$E$135*$AI$726/($J$135-$I$135+1)/1000000),AK726)</f>
        <v>0</v>
      </c>
      <c r="AM726" s="123">
        <f t="shared" si="827"/>
        <v>0</v>
      </c>
      <c r="AN726" s="123">
        <f t="shared" si="827"/>
        <v>0</v>
      </c>
      <c r="AO726" s="123">
        <f t="shared" si="827"/>
        <v>0</v>
      </c>
      <c r="AP726" s="123">
        <f t="shared" si="827"/>
        <v>0</v>
      </c>
      <c r="AQ726" s="123">
        <f t="shared" si="827"/>
        <v>0</v>
      </c>
      <c r="AR726" s="123">
        <f t="shared" si="827"/>
        <v>0</v>
      </c>
      <c r="AS726" s="123">
        <f t="shared" si="827"/>
        <v>0</v>
      </c>
      <c r="AT726" s="123">
        <f t="shared" si="827"/>
        <v>0</v>
      </c>
      <c r="AU726" s="123">
        <f t="shared" si="827"/>
        <v>0</v>
      </c>
      <c r="AV726" s="123">
        <f t="shared" si="827"/>
        <v>0</v>
      </c>
      <c r="AW726" s="123">
        <f t="shared" si="827"/>
        <v>0</v>
      </c>
      <c r="AX726" s="123">
        <f t="shared" si="827"/>
        <v>0</v>
      </c>
      <c r="AY726" s="123">
        <f t="shared" si="827"/>
        <v>0</v>
      </c>
      <c r="AZ726" s="123">
        <f t="shared" si="827"/>
        <v>0</v>
      </c>
      <c r="BA726" s="123">
        <f t="shared" si="827"/>
        <v>0</v>
      </c>
      <c r="BB726" s="123">
        <f t="shared" si="827"/>
        <v>0</v>
      </c>
      <c r="BC726" s="123">
        <f t="shared" si="827"/>
        <v>0</v>
      </c>
      <c r="BD726" s="123">
        <f t="shared" si="827"/>
        <v>0</v>
      </c>
      <c r="BE726" s="123">
        <f t="shared" si="827"/>
        <v>0</v>
      </c>
      <c r="BF726" s="123">
        <f t="shared" si="827"/>
        <v>0</v>
      </c>
      <c r="BG726" s="123">
        <f t="shared" si="827"/>
        <v>0</v>
      </c>
      <c r="BH726" s="123">
        <f t="shared" si="827"/>
        <v>0</v>
      </c>
      <c r="BI726" s="123">
        <f t="shared" si="827"/>
        <v>0</v>
      </c>
      <c r="BJ726" s="123">
        <f t="shared" si="827"/>
        <v>0</v>
      </c>
      <c r="BK726" s="123">
        <f t="shared" si="827"/>
        <v>0</v>
      </c>
      <c r="BL726" s="123">
        <f t="shared" si="827"/>
        <v>0</v>
      </c>
      <c r="BM726" s="123">
        <f t="shared" si="827"/>
        <v>0</v>
      </c>
      <c r="BN726" s="159">
        <f t="shared" si="827"/>
        <v>0</v>
      </c>
      <c r="BP726" s="367" t="s">
        <v>866</v>
      </c>
      <c r="BQ726" s="1536" t="str">
        <f t="shared" si="823"/>
        <v>GHG_Wooda = GHG_Wooda-1 + (E134 * BUI_COL (307 + ((A134 - 1) * 8) * BUI_COL5 / (J134-I134+1) / 1000000)</v>
      </c>
      <c r="BR726" s="1544"/>
      <c r="BS726" s="1544"/>
      <c r="BT726" s="1544"/>
      <c r="BU726" s="1544"/>
      <c r="BV726" s="1544"/>
      <c r="BW726" s="1544"/>
      <c r="BX726" s="1544"/>
      <c r="BY726" s="1544"/>
      <c r="BZ726" s="1544"/>
      <c r="CA726" s="1544"/>
      <c r="CB726" s="1544"/>
      <c r="CC726" s="1544"/>
      <c r="CD726" s="1544"/>
      <c r="CE726" s="1544"/>
      <c r="CF726" s="1544"/>
      <c r="CG726" s="1544"/>
      <c r="CH726" s="1537"/>
      <c r="CI726" s="578" t="s">
        <v>2223</v>
      </c>
      <c r="CJ726" s="367" t="s">
        <v>2224</v>
      </c>
      <c r="CK726" s="367" t="s">
        <v>1250</v>
      </c>
      <c r="CL726" s="580"/>
    </row>
    <row r="727" spans="11:90" ht="20.100000000000001" customHeight="1">
      <c r="AF727" s="190"/>
      <c r="AG727" s="107" t="s">
        <v>867</v>
      </c>
      <c r="AH727" s="107">
        <f>INDEX('DEFAULT DATA'!$WD$9:$WJ$41,START!$C$3,6)</f>
        <v>0</v>
      </c>
      <c r="AI727" s="432">
        <f>INDEX('DEFAULT DATA'!$AGR$9:$AJS$41,START!$C$3,(7+(($A$135-1)*8)))/IF($A$135&lt;5,INDEX('DEFAULT DATA'!$XS$9:$XV$41,START!$C$3,$A$135),1)</f>
        <v>0</v>
      </c>
      <c r="AJ727" s="201"/>
      <c r="AK727" s="180">
        <v>0</v>
      </c>
      <c r="AL727" s="123">
        <f t="shared" ref="AL727:BN727" si="828">IF(AND(AL$720&gt;($I$135+2020),AL$720&lt;($J$135+2022)),AK727+($AH$727*$E$135*$AI$727/($J$135-$I$135+1)/1000000),AK727)</f>
        <v>0</v>
      </c>
      <c r="AM727" s="123">
        <f t="shared" si="828"/>
        <v>0</v>
      </c>
      <c r="AN727" s="123">
        <f t="shared" si="828"/>
        <v>0</v>
      </c>
      <c r="AO727" s="123">
        <f t="shared" si="828"/>
        <v>0</v>
      </c>
      <c r="AP727" s="123">
        <f t="shared" si="828"/>
        <v>0</v>
      </c>
      <c r="AQ727" s="123">
        <f t="shared" si="828"/>
        <v>0</v>
      </c>
      <c r="AR727" s="123">
        <f t="shared" si="828"/>
        <v>0</v>
      </c>
      <c r="AS727" s="123">
        <f t="shared" si="828"/>
        <v>0</v>
      </c>
      <c r="AT727" s="123">
        <f t="shared" si="828"/>
        <v>0</v>
      </c>
      <c r="AU727" s="123">
        <f t="shared" si="828"/>
        <v>0</v>
      </c>
      <c r="AV727" s="123">
        <f t="shared" si="828"/>
        <v>0</v>
      </c>
      <c r="AW727" s="123">
        <f t="shared" si="828"/>
        <v>0</v>
      </c>
      <c r="AX727" s="123">
        <f t="shared" si="828"/>
        <v>0</v>
      </c>
      <c r="AY727" s="123">
        <f t="shared" si="828"/>
        <v>0</v>
      </c>
      <c r="AZ727" s="123">
        <f t="shared" si="828"/>
        <v>0</v>
      </c>
      <c r="BA727" s="123">
        <f t="shared" si="828"/>
        <v>0</v>
      </c>
      <c r="BB727" s="123">
        <f t="shared" si="828"/>
        <v>0</v>
      </c>
      <c r="BC727" s="123">
        <f t="shared" si="828"/>
        <v>0</v>
      </c>
      <c r="BD727" s="123">
        <f t="shared" si="828"/>
        <v>0</v>
      </c>
      <c r="BE727" s="123">
        <f t="shared" si="828"/>
        <v>0</v>
      </c>
      <c r="BF727" s="123">
        <f t="shared" si="828"/>
        <v>0</v>
      </c>
      <c r="BG727" s="123">
        <f t="shared" si="828"/>
        <v>0</v>
      </c>
      <c r="BH727" s="123">
        <f t="shared" si="828"/>
        <v>0</v>
      </c>
      <c r="BI727" s="123">
        <f t="shared" si="828"/>
        <v>0</v>
      </c>
      <c r="BJ727" s="123">
        <f t="shared" si="828"/>
        <v>0</v>
      </c>
      <c r="BK727" s="123">
        <f t="shared" si="828"/>
        <v>0</v>
      </c>
      <c r="BL727" s="123">
        <f t="shared" si="828"/>
        <v>0</v>
      </c>
      <c r="BM727" s="123">
        <f t="shared" si="828"/>
        <v>0</v>
      </c>
      <c r="BN727" s="159">
        <f t="shared" si="828"/>
        <v>0</v>
      </c>
      <c r="BP727" s="367" t="s">
        <v>867</v>
      </c>
      <c r="BQ727" s="1536" t="str">
        <f t="shared" si="823"/>
        <v>GHG_Renewablea = GHG_Renewablea-1 + (E134 * BUI_COL (307 + ((A134 - 1) * 8) * BUI_COL6 / (J134-I134+1) / 1000000)</v>
      </c>
      <c r="BR727" s="1544"/>
      <c r="BS727" s="1544"/>
      <c r="BT727" s="1544"/>
      <c r="BU727" s="1544"/>
      <c r="BV727" s="1544"/>
      <c r="BW727" s="1544"/>
      <c r="BX727" s="1544"/>
      <c r="BY727" s="1544"/>
      <c r="BZ727" s="1544"/>
      <c r="CA727" s="1544"/>
      <c r="CB727" s="1544"/>
      <c r="CC727" s="1544"/>
      <c r="CD727" s="1544"/>
      <c r="CE727" s="1544"/>
      <c r="CF727" s="1544"/>
      <c r="CG727" s="1544"/>
      <c r="CH727" s="1537"/>
      <c r="CI727" s="578" t="s">
        <v>2223</v>
      </c>
      <c r="CJ727" s="367" t="s">
        <v>2224</v>
      </c>
      <c r="CK727" s="367" t="s">
        <v>1251</v>
      </c>
      <c r="CL727" s="580"/>
    </row>
    <row r="728" spans="11:90" ht="20.100000000000001" customHeight="1" thickBot="1">
      <c r="AF728" s="191"/>
      <c r="AG728" s="146" t="s">
        <v>868</v>
      </c>
      <c r="AH728" s="146" t="s">
        <v>1123</v>
      </c>
      <c r="AI728" s="451">
        <f>INDEX('DEFAULT DATA'!$AGR$9:$AJS$41,START!$C$3,(8+(($A$135-1)*8)))/IF($A$135&lt;5,INDEX('DEFAULT DATA'!$XS$9:$XV$41,START!$C$3,$A$135),1)</f>
        <v>0</v>
      </c>
      <c r="AJ728" s="203"/>
      <c r="AK728" s="183">
        <v>0</v>
      </c>
      <c r="AL728" s="160">
        <f t="shared" ref="AL728:BN728" si="829">IF(AND(AL$720&gt;($I$135+2020),AL$720&lt;($J$135+2022)),AK728+(AL$6*$E$135*$AI$728/($J$135-$I$135+1)/1000000),AK728)</f>
        <v>0</v>
      </c>
      <c r="AM728" s="160">
        <f t="shared" si="829"/>
        <v>0</v>
      </c>
      <c r="AN728" s="160">
        <f t="shared" si="829"/>
        <v>0</v>
      </c>
      <c r="AO728" s="160">
        <f t="shared" si="829"/>
        <v>0</v>
      </c>
      <c r="AP728" s="160">
        <f t="shared" si="829"/>
        <v>0</v>
      </c>
      <c r="AQ728" s="160">
        <f t="shared" si="829"/>
        <v>0</v>
      </c>
      <c r="AR728" s="160">
        <f t="shared" si="829"/>
        <v>0</v>
      </c>
      <c r="AS728" s="160">
        <f t="shared" si="829"/>
        <v>0</v>
      </c>
      <c r="AT728" s="160">
        <f t="shared" si="829"/>
        <v>0</v>
      </c>
      <c r="AU728" s="160">
        <f t="shared" si="829"/>
        <v>0</v>
      </c>
      <c r="AV728" s="160">
        <f t="shared" si="829"/>
        <v>0</v>
      </c>
      <c r="AW728" s="160">
        <f t="shared" si="829"/>
        <v>0</v>
      </c>
      <c r="AX728" s="160">
        <f t="shared" si="829"/>
        <v>0</v>
      </c>
      <c r="AY728" s="160">
        <f t="shared" si="829"/>
        <v>0</v>
      </c>
      <c r="AZ728" s="160">
        <f t="shared" si="829"/>
        <v>0</v>
      </c>
      <c r="BA728" s="160">
        <f t="shared" si="829"/>
        <v>0</v>
      </c>
      <c r="BB728" s="160">
        <f t="shared" si="829"/>
        <v>0</v>
      </c>
      <c r="BC728" s="160">
        <f t="shared" si="829"/>
        <v>0</v>
      </c>
      <c r="BD728" s="160">
        <f t="shared" si="829"/>
        <v>0</v>
      </c>
      <c r="BE728" s="160">
        <f t="shared" si="829"/>
        <v>0</v>
      </c>
      <c r="BF728" s="160">
        <f t="shared" si="829"/>
        <v>0</v>
      </c>
      <c r="BG728" s="160">
        <f t="shared" si="829"/>
        <v>0</v>
      </c>
      <c r="BH728" s="160">
        <f t="shared" si="829"/>
        <v>0</v>
      </c>
      <c r="BI728" s="160">
        <f t="shared" si="829"/>
        <v>0</v>
      </c>
      <c r="BJ728" s="160">
        <f t="shared" si="829"/>
        <v>0</v>
      </c>
      <c r="BK728" s="160">
        <f t="shared" si="829"/>
        <v>0</v>
      </c>
      <c r="BL728" s="160">
        <f t="shared" si="829"/>
        <v>0</v>
      </c>
      <c r="BM728" s="160">
        <f t="shared" si="829"/>
        <v>0</v>
      </c>
      <c r="BN728" s="161">
        <f t="shared" si="829"/>
        <v>0</v>
      </c>
      <c r="BP728" s="367" t="s">
        <v>868</v>
      </c>
      <c r="BQ728" s="1536" t="str">
        <f t="shared" si="823"/>
        <v>GHG_Heata = GHG_Heata-1 + (E134 * BUI_COL (307 + ((A134 - 1) * 8) * DISTRICT_HEATING_emission_factora (from row 5) / (J134-I134+1) / 1000000)</v>
      </c>
      <c r="BR728" s="1544"/>
      <c r="BS728" s="1544"/>
      <c r="BT728" s="1544"/>
      <c r="BU728" s="1544"/>
      <c r="BV728" s="1544"/>
      <c r="BW728" s="1544"/>
      <c r="BX728" s="1544"/>
      <c r="BY728" s="1544"/>
      <c r="BZ728" s="1544"/>
      <c r="CA728" s="1544"/>
      <c r="CB728" s="1544"/>
      <c r="CC728" s="1544"/>
      <c r="CD728" s="1544"/>
      <c r="CE728" s="1544"/>
      <c r="CF728" s="1544"/>
      <c r="CG728" s="1544"/>
      <c r="CH728" s="1537"/>
      <c r="CI728" s="578" t="s">
        <v>2223</v>
      </c>
      <c r="CJ728" s="367" t="s">
        <v>2224</v>
      </c>
      <c r="CK728" s="367" t="s">
        <v>2222</v>
      </c>
      <c r="CL728" s="580"/>
    </row>
    <row r="729" spans="11:90" ht="20.100000000000001" customHeight="1">
      <c r="AF729" s="167"/>
      <c r="AG729" s="144" t="s">
        <v>211</v>
      </c>
      <c r="AH729" s="145"/>
      <c r="AI729" s="198"/>
      <c r="AJ729" s="145"/>
      <c r="AK729" s="179">
        <v>0</v>
      </c>
      <c r="AL729" s="162">
        <f>SUM(AL721:AL728)</f>
        <v>0</v>
      </c>
      <c r="AM729" s="162">
        <f t="shared" ref="AM729:BN729" si="830">SUM(AM721:AM728)</f>
        <v>0</v>
      </c>
      <c r="AN729" s="162">
        <f t="shared" si="830"/>
        <v>0</v>
      </c>
      <c r="AO729" s="162">
        <f t="shared" si="830"/>
        <v>0</v>
      </c>
      <c r="AP729" s="162">
        <f t="shared" si="830"/>
        <v>0</v>
      </c>
      <c r="AQ729" s="162">
        <f t="shared" si="830"/>
        <v>0</v>
      </c>
      <c r="AR729" s="162">
        <f t="shared" si="830"/>
        <v>0</v>
      </c>
      <c r="AS729" s="162">
        <f t="shared" si="830"/>
        <v>0</v>
      </c>
      <c r="AT729" s="162">
        <f t="shared" si="830"/>
        <v>0</v>
      </c>
      <c r="AU729" s="162">
        <f t="shared" si="830"/>
        <v>0</v>
      </c>
      <c r="AV729" s="162">
        <f t="shared" si="830"/>
        <v>0</v>
      </c>
      <c r="AW729" s="162">
        <f t="shared" si="830"/>
        <v>0</v>
      </c>
      <c r="AX729" s="162">
        <f t="shared" si="830"/>
        <v>0</v>
      </c>
      <c r="AY729" s="162">
        <f t="shared" si="830"/>
        <v>0</v>
      </c>
      <c r="AZ729" s="162">
        <f t="shared" si="830"/>
        <v>0</v>
      </c>
      <c r="BA729" s="162">
        <f t="shared" si="830"/>
        <v>0</v>
      </c>
      <c r="BB729" s="162">
        <f t="shared" si="830"/>
        <v>0</v>
      </c>
      <c r="BC729" s="162">
        <f t="shared" si="830"/>
        <v>0</v>
      </c>
      <c r="BD729" s="162">
        <f t="shared" si="830"/>
        <v>0</v>
      </c>
      <c r="BE729" s="162">
        <f t="shared" si="830"/>
        <v>0</v>
      </c>
      <c r="BF729" s="162">
        <f t="shared" si="830"/>
        <v>0</v>
      </c>
      <c r="BG729" s="162">
        <f t="shared" si="830"/>
        <v>0</v>
      </c>
      <c r="BH729" s="162">
        <f t="shared" si="830"/>
        <v>0</v>
      </c>
      <c r="BI729" s="162">
        <f t="shared" si="830"/>
        <v>0</v>
      </c>
      <c r="BJ729" s="162">
        <f t="shared" si="830"/>
        <v>0</v>
      </c>
      <c r="BK729" s="162">
        <f t="shared" si="830"/>
        <v>0</v>
      </c>
      <c r="BL729" s="162">
        <f t="shared" si="830"/>
        <v>0</v>
      </c>
      <c r="BM729" s="162">
        <f t="shared" si="830"/>
        <v>0</v>
      </c>
      <c r="BN729" s="162">
        <f t="shared" si="830"/>
        <v>0</v>
      </c>
    </row>
    <row r="730" spans="11:90" ht="20.100000000000001" customHeight="1">
      <c r="AI730" s="199"/>
    </row>
    <row r="731" spans="11:90" ht="20.100000000000001" customHeight="1" thickBot="1">
      <c r="AF731" s="168" t="s">
        <v>1140</v>
      </c>
      <c r="AG731" s="168"/>
      <c r="AH731" s="169" t="s">
        <v>620</v>
      </c>
      <c r="AI731" s="1542" t="s">
        <v>2168</v>
      </c>
      <c r="AJ731" s="1543"/>
      <c r="AK731" s="181">
        <v>2021</v>
      </c>
      <c r="AL731" s="135">
        <v>2022</v>
      </c>
      <c r="AM731" s="135">
        <v>2023</v>
      </c>
      <c r="AN731" s="135">
        <v>2024</v>
      </c>
      <c r="AO731" s="135">
        <v>2025</v>
      </c>
      <c r="AP731" s="135">
        <v>2026</v>
      </c>
      <c r="AQ731" s="135">
        <v>2027</v>
      </c>
      <c r="AR731" s="135">
        <v>2028</v>
      </c>
      <c r="AS731" s="135">
        <v>2029</v>
      </c>
      <c r="AT731" s="135">
        <v>2030</v>
      </c>
      <c r="AU731" s="135">
        <v>2031</v>
      </c>
      <c r="AV731" s="135">
        <v>2032</v>
      </c>
      <c r="AW731" s="135">
        <v>2033</v>
      </c>
      <c r="AX731" s="135">
        <v>2034</v>
      </c>
      <c r="AY731" s="135">
        <v>2035</v>
      </c>
      <c r="AZ731" s="135">
        <v>2036</v>
      </c>
      <c r="BA731" s="135">
        <v>2037</v>
      </c>
      <c r="BB731" s="135">
        <v>2038</v>
      </c>
      <c r="BC731" s="135">
        <v>2039</v>
      </c>
      <c r="BD731" s="135">
        <v>2040</v>
      </c>
      <c r="BE731" s="135">
        <v>2041</v>
      </c>
      <c r="BF731" s="135">
        <v>2042</v>
      </c>
      <c r="BG731" s="135">
        <v>2043</v>
      </c>
      <c r="BH731" s="135">
        <v>2044</v>
      </c>
      <c r="BI731" s="135">
        <v>2045</v>
      </c>
      <c r="BJ731" s="135">
        <v>2046</v>
      </c>
      <c r="BK731" s="135">
        <v>2047</v>
      </c>
      <c r="BL731" s="135">
        <v>2048</v>
      </c>
      <c r="BM731" s="135">
        <v>2049</v>
      </c>
      <c r="BN731" s="135">
        <v>2050</v>
      </c>
      <c r="BQ731" s="82" t="s">
        <v>2240</v>
      </c>
      <c r="BR731" s="250"/>
      <c r="BS731" s="250"/>
      <c r="BT731" s="250"/>
      <c r="BU731" s="250"/>
      <c r="BV731" s="250"/>
      <c r="BW731" s="250"/>
      <c r="BX731" s="250"/>
      <c r="BY731" s="250"/>
      <c r="BZ731" s="250"/>
      <c r="CA731" s="250"/>
      <c r="CB731" s="250"/>
      <c r="CC731" s="250"/>
      <c r="CD731" s="250"/>
      <c r="CE731" s="250"/>
      <c r="CF731" s="250"/>
      <c r="CG731" s="250"/>
      <c r="CH731" s="250"/>
      <c r="CI731" s="605" t="s">
        <v>1393</v>
      </c>
      <c r="CJ731" s="130" t="s">
        <v>2172</v>
      </c>
      <c r="CK731" s="606" t="s">
        <v>1224</v>
      </c>
    </row>
    <row r="732" spans="11:90" ht="20.100000000000001" customHeight="1">
      <c r="AF732" s="97" t="str">
        <f>CONCATENATE("conversion from ",INDEX('MENU OPTIONS'!$B$27:$B$36,$A$136,1))</f>
        <v>conversion from Apartment</v>
      </c>
      <c r="AG732" s="137" t="s">
        <v>578</v>
      </c>
      <c r="AH732" s="137" t="s">
        <v>1122</v>
      </c>
      <c r="AI732" s="602">
        <f>INDEX('DEFAULT DATA'!$AGR$9:$AJS$41,START!$C$3,(1+(($A$136-1)*8)))/IF($A$136&lt;5,INDEX('DEFAULT DATA'!$XS$9:$XV$41,START!$C$3,$A$136),1)</f>
        <v>40.242039951707838</v>
      </c>
      <c r="AJ732" s="202"/>
      <c r="AK732" s="178">
        <v>0</v>
      </c>
      <c r="AL732" s="157">
        <f t="shared" ref="AL732:BN732" si="831">IF(AND(AL$731&gt;($I$136+2020),AL$731&lt;($J$136+2022)),AK732+(AL$5*$E$136*$AI$732/($J$136-$I$136+1)/1000000),AK732)</f>
        <v>0</v>
      </c>
      <c r="AM732" s="157">
        <f t="shared" si="831"/>
        <v>0</v>
      </c>
      <c r="AN732" s="157">
        <f t="shared" si="831"/>
        <v>0</v>
      </c>
      <c r="AO732" s="157">
        <f t="shared" si="831"/>
        <v>0</v>
      </c>
      <c r="AP732" s="157">
        <f t="shared" si="831"/>
        <v>0</v>
      </c>
      <c r="AQ732" s="157">
        <f t="shared" si="831"/>
        <v>0</v>
      </c>
      <c r="AR732" s="157">
        <f t="shared" si="831"/>
        <v>0</v>
      </c>
      <c r="AS732" s="157">
        <f t="shared" si="831"/>
        <v>0</v>
      </c>
      <c r="AT732" s="157">
        <f t="shared" si="831"/>
        <v>0</v>
      </c>
      <c r="AU732" s="157">
        <f t="shared" si="831"/>
        <v>0</v>
      </c>
      <c r="AV732" s="157">
        <f t="shared" si="831"/>
        <v>0</v>
      </c>
      <c r="AW732" s="157">
        <f t="shared" si="831"/>
        <v>0</v>
      </c>
      <c r="AX732" s="157">
        <f t="shared" si="831"/>
        <v>0</v>
      </c>
      <c r="AY732" s="157">
        <f t="shared" si="831"/>
        <v>0</v>
      </c>
      <c r="AZ732" s="157">
        <f t="shared" si="831"/>
        <v>0</v>
      </c>
      <c r="BA732" s="157">
        <f t="shared" si="831"/>
        <v>0</v>
      </c>
      <c r="BB732" s="157">
        <f t="shared" si="831"/>
        <v>0</v>
      </c>
      <c r="BC732" s="157">
        <f t="shared" si="831"/>
        <v>0</v>
      </c>
      <c r="BD732" s="157">
        <f t="shared" si="831"/>
        <v>0</v>
      </c>
      <c r="BE732" s="157">
        <f t="shared" si="831"/>
        <v>0</v>
      </c>
      <c r="BF732" s="157">
        <f t="shared" si="831"/>
        <v>0</v>
      </c>
      <c r="BG732" s="157">
        <f t="shared" si="831"/>
        <v>0</v>
      </c>
      <c r="BH732" s="157">
        <f t="shared" si="831"/>
        <v>0</v>
      </c>
      <c r="BI732" s="157">
        <f t="shared" si="831"/>
        <v>0</v>
      </c>
      <c r="BJ732" s="157">
        <f t="shared" si="831"/>
        <v>0</v>
      </c>
      <c r="BK732" s="157">
        <f t="shared" si="831"/>
        <v>0</v>
      </c>
      <c r="BL732" s="157">
        <f t="shared" si="831"/>
        <v>0</v>
      </c>
      <c r="BM732" s="157">
        <f t="shared" si="831"/>
        <v>0</v>
      </c>
      <c r="BN732" s="158">
        <f t="shared" si="831"/>
        <v>0</v>
      </c>
      <c r="BP732" s="367" t="s">
        <v>578</v>
      </c>
      <c r="BQ732" s="1536" t="str">
        <f>CONCATENATE("GHG_",BP732,"a = GHG_",BP732,"a-1 + (E135 * ",CI732," * ",CK732," / (",CJ732,") / 1000000)")</f>
        <v>GHG_Electricitya = GHG_Electricitya-1 + (E135 * BUI_COL (307 + ((A135 - 1) * 8) * GRID_ELECTRICITY_emission_factora (from row4) / (J135-I135+1) / 1000000)</v>
      </c>
      <c r="BR732" s="1544"/>
      <c r="BS732" s="1544"/>
      <c r="BT732" s="1544"/>
      <c r="BU732" s="1544"/>
      <c r="BV732" s="1544"/>
      <c r="BW732" s="1544"/>
      <c r="BX732" s="1544"/>
      <c r="BY732" s="1544"/>
      <c r="BZ732" s="1544"/>
      <c r="CA732" s="1544"/>
      <c r="CB732" s="1544"/>
      <c r="CC732" s="1544"/>
      <c r="CD732" s="1544"/>
      <c r="CE732" s="1544"/>
      <c r="CF732" s="1544"/>
      <c r="CG732" s="1544"/>
      <c r="CH732" s="1537"/>
      <c r="CI732" s="578" t="s">
        <v>2225</v>
      </c>
      <c r="CJ732" s="367" t="s">
        <v>2226</v>
      </c>
      <c r="CK732" s="367" t="s">
        <v>2221</v>
      </c>
      <c r="CL732" s="580"/>
    </row>
    <row r="733" spans="11:90" ht="20.100000000000001" customHeight="1">
      <c r="AF733" s="190"/>
      <c r="AG733" s="107" t="s">
        <v>862</v>
      </c>
      <c r="AH733" s="107">
        <f>INDEX('DEFAULT DATA'!$WD$9:$WJ$41,START!$C$3,1)</f>
        <v>202</v>
      </c>
      <c r="AI733" s="432">
        <f>INDEX('DEFAULT DATA'!$AGR$9:$AJS$41,START!$C$3,(2+(($A$136-1)*8)))/IF($A$136&lt;5,INDEX('DEFAULT DATA'!$XS$9:$XV$41,START!$C$3,$A$136),1)</f>
        <v>91.981805603903624</v>
      </c>
      <c r="AJ733" s="201"/>
      <c r="AK733" s="180">
        <v>0</v>
      </c>
      <c r="AL733" s="123">
        <f t="shared" ref="AL733:BN733" si="832">IF(AND(AL$731&gt;($I$136+2020),AL$731&lt;($J$136+2022)),AK733+($AH$733*$E$136*$AI$733/($J$136-$I$136+1)/1000000),AK733)</f>
        <v>0</v>
      </c>
      <c r="AM733" s="123">
        <f t="shared" si="832"/>
        <v>0</v>
      </c>
      <c r="AN733" s="123">
        <f t="shared" si="832"/>
        <v>0</v>
      </c>
      <c r="AO733" s="123">
        <f t="shared" si="832"/>
        <v>0</v>
      </c>
      <c r="AP733" s="123">
        <f t="shared" si="832"/>
        <v>0</v>
      </c>
      <c r="AQ733" s="123">
        <f t="shared" si="832"/>
        <v>0</v>
      </c>
      <c r="AR733" s="123">
        <f t="shared" si="832"/>
        <v>0</v>
      </c>
      <c r="AS733" s="123">
        <f t="shared" si="832"/>
        <v>0</v>
      </c>
      <c r="AT733" s="123">
        <f t="shared" si="832"/>
        <v>0</v>
      </c>
      <c r="AU733" s="123">
        <f t="shared" si="832"/>
        <v>0</v>
      </c>
      <c r="AV733" s="123">
        <f t="shared" si="832"/>
        <v>0</v>
      </c>
      <c r="AW733" s="123">
        <f t="shared" si="832"/>
        <v>0</v>
      </c>
      <c r="AX733" s="123">
        <f t="shared" si="832"/>
        <v>0</v>
      </c>
      <c r="AY733" s="123">
        <f t="shared" si="832"/>
        <v>0</v>
      </c>
      <c r="AZ733" s="123">
        <f t="shared" si="832"/>
        <v>0</v>
      </c>
      <c r="BA733" s="123">
        <f t="shared" si="832"/>
        <v>0</v>
      </c>
      <c r="BB733" s="123">
        <f t="shared" si="832"/>
        <v>0</v>
      </c>
      <c r="BC733" s="123">
        <f t="shared" si="832"/>
        <v>0</v>
      </c>
      <c r="BD733" s="123">
        <f t="shared" si="832"/>
        <v>0</v>
      </c>
      <c r="BE733" s="123">
        <f t="shared" si="832"/>
        <v>0</v>
      </c>
      <c r="BF733" s="123">
        <f t="shared" si="832"/>
        <v>0</v>
      </c>
      <c r="BG733" s="123">
        <f t="shared" si="832"/>
        <v>0</v>
      </c>
      <c r="BH733" s="123">
        <f t="shared" si="832"/>
        <v>0</v>
      </c>
      <c r="BI733" s="123">
        <f t="shared" si="832"/>
        <v>0</v>
      </c>
      <c r="BJ733" s="123">
        <f t="shared" si="832"/>
        <v>0</v>
      </c>
      <c r="BK733" s="123">
        <f t="shared" si="832"/>
        <v>0</v>
      </c>
      <c r="BL733" s="123">
        <f t="shared" si="832"/>
        <v>0</v>
      </c>
      <c r="BM733" s="123">
        <f t="shared" si="832"/>
        <v>0</v>
      </c>
      <c r="BN733" s="159">
        <f t="shared" si="832"/>
        <v>0</v>
      </c>
      <c r="BP733" s="367" t="s">
        <v>862</v>
      </c>
      <c r="BQ733" s="1536" t="str">
        <f t="shared" ref="BQ733:BQ738" si="833">CONCATENATE("GHG_",BP733,"a = GHG_",BP733,"a-1 + (E135 * ",CI733," * ",CK733," / (",CJ733,") / 1000000)")</f>
        <v>GHG_Gasa = GHG_Gasa-1 + (E135 * BUI_COL (307 + ((A135 - 1) * 8) * BUI_COL1 / (J135-I135+1) / 1000000)</v>
      </c>
      <c r="BR733" s="1544"/>
      <c r="BS733" s="1544"/>
      <c r="BT733" s="1544"/>
      <c r="BU733" s="1544"/>
      <c r="BV733" s="1544"/>
      <c r="BW733" s="1544"/>
      <c r="BX733" s="1544"/>
      <c r="BY733" s="1544"/>
      <c r="BZ733" s="1544"/>
      <c r="CA733" s="1544"/>
      <c r="CB733" s="1544"/>
      <c r="CC733" s="1544"/>
      <c r="CD733" s="1544"/>
      <c r="CE733" s="1544"/>
      <c r="CF733" s="1544"/>
      <c r="CG733" s="1544"/>
      <c r="CH733" s="1537"/>
      <c r="CI733" s="578" t="s">
        <v>2225</v>
      </c>
      <c r="CJ733" s="367" t="s">
        <v>2226</v>
      </c>
      <c r="CK733" s="367" t="s">
        <v>886</v>
      </c>
      <c r="CL733" s="580"/>
    </row>
    <row r="734" spans="11:90" ht="20.100000000000001" customHeight="1">
      <c r="AF734" s="190"/>
      <c r="AG734" s="107" t="s">
        <v>863</v>
      </c>
      <c r="AH734" s="107">
        <f>INDEX('DEFAULT DATA'!$WD$9:$WJ$41,START!$C$3,2)</f>
        <v>267</v>
      </c>
      <c r="AI734" s="432">
        <f>INDEX('DEFAULT DATA'!$AGR$9:$AJS$41,START!$C$3,(3+(($A$136-1)*8)))/IF($A$136&lt;5,INDEX('DEFAULT DATA'!$XS$9:$XV$41,START!$C$3,$A$136),1)</f>
        <v>11.497725700487953</v>
      </c>
      <c r="AJ734" s="201"/>
      <c r="AK734" s="180">
        <v>0</v>
      </c>
      <c r="AL734" s="123">
        <f t="shared" ref="AL734:BN734" si="834">IF(AND(AL$731&gt;($I$136+2020),AL$731&lt;($J$136+2022)),AK734+($AH$734*$E$136*$AI$734/($J$136-$I$136+1)/1000000),AK734)</f>
        <v>0</v>
      </c>
      <c r="AM734" s="123">
        <f t="shared" si="834"/>
        <v>0</v>
      </c>
      <c r="AN734" s="123">
        <f t="shared" si="834"/>
        <v>0</v>
      </c>
      <c r="AO734" s="123">
        <f t="shared" si="834"/>
        <v>0</v>
      </c>
      <c r="AP734" s="123">
        <f t="shared" si="834"/>
        <v>0</v>
      </c>
      <c r="AQ734" s="123">
        <f t="shared" si="834"/>
        <v>0</v>
      </c>
      <c r="AR734" s="123">
        <f t="shared" si="834"/>
        <v>0</v>
      </c>
      <c r="AS734" s="123">
        <f t="shared" si="834"/>
        <v>0</v>
      </c>
      <c r="AT734" s="123">
        <f t="shared" si="834"/>
        <v>0</v>
      </c>
      <c r="AU734" s="123">
        <f t="shared" si="834"/>
        <v>0</v>
      </c>
      <c r="AV734" s="123">
        <f t="shared" si="834"/>
        <v>0</v>
      </c>
      <c r="AW734" s="123">
        <f t="shared" si="834"/>
        <v>0</v>
      </c>
      <c r="AX734" s="123">
        <f t="shared" si="834"/>
        <v>0</v>
      </c>
      <c r="AY734" s="123">
        <f t="shared" si="834"/>
        <v>0</v>
      </c>
      <c r="AZ734" s="123">
        <f t="shared" si="834"/>
        <v>0</v>
      </c>
      <c r="BA734" s="123">
        <f t="shared" si="834"/>
        <v>0</v>
      </c>
      <c r="BB734" s="123">
        <f t="shared" si="834"/>
        <v>0</v>
      </c>
      <c r="BC734" s="123">
        <f t="shared" si="834"/>
        <v>0</v>
      </c>
      <c r="BD734" s="123">
        <f t="shared" si="834"/>
        <v>0</v>
      </c>
      <c r="BE734" s="123">
        <f t="shared" si="834"/>
        <v>0</v>
      </c>
      <c r="BF734" s="123">
        <f t="shared" si="834"/>
        <v>0</v>
      </c>
      <c r="BG734" s="123">
        <f t="shared" si="834"/>
        <v>0</v>
      </c>
      <c r="BH734" s="123">
        <f t="shared" si="834"/>
        <v>0</v>
      </c>
      <c r="BI734" s="123">
        <f t="shared" si="834"/>
        <v>0</v>
      </c>
      <c r="BJ734" s="123">
        <f t="shared" si="834"/>
        <v>0</v>
      </c>
      <c r="BK734" s="123">
        <f t="shared" si="834"/>
        <v>0</v>
      </c>
      <c r="BL734" s="123">
        <f t="shared" si="834"/>
        <v>0</v>
      </c>
      <c r="BM734" s="123">
        <f t="shared" si="834"/>
        <v>0</v>
      </c>
      <c r="BN734" s="159">
        <f t="shared" si="834"/>
        <v>0</v>
      </c>
      <c r="BP734" s="367" t="s">
        <v>863</v>
      </c>
      <c r="BQ734" s="1536" t="str">
        <f t="shared" si="833"/>
        <v>GHG_Oila = GHG_Oila-1 + (E135 * BUI_COL (307 + ((A135 - 1) * 8) * BUI_COL2 / (J135-I135+1) / 1000000)</v>
      </c>
      <c r="BR734" s="1544"/>
      <c r="BS734" s="1544"/>
      <c r="BT734" s="1544"/>
      <c r="BU734" s="1544"/>
      <c r="BV734" s="1544"/>
      <c r="BW734" s="1544"/>
      <c r="BX734" s="1544"/>
      <c r="BY734" s="1544"/>
      <c r="BZ734" s="1544"/>
      <c r="CA734" s="1544"/>
      <c r="CB734" s="1544"/>
      <c r="CC734" s="1544"/>
      <c r="CD734" s="1544"/>
      <c r="CE734" s="1544"/>
      <c r="CF734" s="1544"/>
      <c r="CG734" s="1544"/>
      <c r="CH734" s="1537"/>
      <c r="CI734" s="578" t="s">
        <v>2225</v>
      </c>
      <c r="CJ734" s="367" t="s">
        <v>2226</v>
      </c>
      <c r="CK734" s="367" t="s">
        <v>1247</v>
      </c>
      <c r="CL734" s="580"/>
    </row>
    <row r="735" spans="11:90" ht="20.100000000000001" customHeight="1">
      <c r="AF735" s="190"/>
      <c r="AG735" s="107" t="s">
        <v>864</v>
      </c>
      <c r="AH735" s="107">
        <f>INDEX('DEFAULT DATA'!$WD$9:$WJ$41,START!$C$3,3)</f>
        <v>354</v>
      </c>
      <c r="AI735" s="432">
        <f>INDEX('DEFAULT DATA'!$AGR$9:$AJS$41,START!$C$3,(4+(($A$136-1)*8)))/IF($A$136&lt;5,INDEX('DEFAULT DATA'!$XS$9:$XV$41,START!$C$3,$A$136),1)</f>
        <v>0</v>
      </c>
      <c r="AJ735" s="201"/>
      <c r="AK735" s="180">
        <v>0</v>
      </c>
      <c r="AL735" s="123">
        <f t="shared" ref="AL735:BN735" si="835">IF(AND(AL$731&gt;($I$136+2020),AL$731&lt;($J$136+2022)),AK735+($AH$735*$E$136*$AI$735/($J$136-$I$136+1)/1000000),AK735)</f>
        <v>0</v>
      </c>
      <c r="AM735" s="123">
        <f t="shared" si="835"/>
        <v>0</v>
      </c>
      <c r="AN735" s="123">
        <f t="shared" si="835"/>
        <v>0</v>
      </c>
      <c r="AO735" s="123">
        <f t="shared" si="835"/>
        <v>0</v>
      </c>
      <c r="AP735" s="123">
        <f t="shared" si="835"/>
        <v>0</v>
      </c>
      <c r="AQ735" s="123">
        <f t="shared" si="835"/>
        <v>0</v>
      </c>
      <c r="AR735" s="123">
        <f t="shared" si="835"/>
        <v>0</v>
      </c>
      <c r="AS735" s="123">
        <f t="shared" si="835"/>
        <v>0</v>
      </c>
      <c r="AT735" s="123">
        <f t="shared" si="835"/>
        <v>0</v>
      </c>
      <c r="AU735" s="123">
        <f t="shared" si="835"/>
        <v>0</v>
      </c>
      <c r="AV735" s="123">
        <f t="shared" si="835"/>
        <v>0</v>
      </c>
      <c r="AW735" s="123">
        <f t="shared" si="835"/>
        <v>0</v>
      </c>
      <c r="AX735" s="123">
        <f t="shared" si="835"/>
        <v>0</v>
      </c>
      <c r="AY735" s="123">
        <f t="shared" si="835"/>
        <v>0</v>
      </c>
      <c r="AZ735" s="123">
        <f t="shared" si="835"/>
        <v>0</v>
      </c>
      <c r="BA735" s="123">
        <f t="shared" si="835"/>
        <v>0</v>
      </c>
      <c r="BB735" s="123">
        <f t="shared" si="835"/>
        <v>0</v>
      </c>
      <c r="BC735" s="123">
        <f t="shared" si="835"/>
        <v>0</v>
      </c>
      <c r="BD735" s="123">
        <f t="shared" si="835"/>
        <v>0</v>
      </c>
      <c r="BE735" s="123">
        <f t="shared" si="835"/>
        <v>0</v>
      </c>
      <c r="BF735" s="123">
        <f t="shared" si="835"/>
        <v>0</v>
      </c>
      <c r="BG735" s="123">
        <f t="shared" si="835"/>
        <v>0</v>
      </c>
      <c r="BH735" s="123">
        <f t="shared" si="835"/>
        <v>0</v>
      </c>
      <c r="BI735" s="123">
        <f t="shared" si="835"/>
        <v>0</v>
      </c>
      <c r="BJ735" s="123">
        <f t="shared" si="835"/>
        <v>0</v>
      </c>
      <c r="BK735" s="123">
        <f t="shared" si="835"/>
        <v>0</v>
      </c>
      <c r="BL735" s="123">
        <f t="shared" si="835"/>
        <v>0</v>
      </c>
      <c r="BM735" s="123">
        <f t="shared" si="835"/>
        <v>0</v>
      </c>
      <c r="BN735" s="159">
        <f t="shared" si="835"/>
        <v>0</v>
      </c>
      <c r="BP735" s="367" t="s">
        <v>864</v>
      </c>
      <c r="BQ735" s="1536" t="str">
        <f t="shared" si="833"/>
        <v>GHG_Coala = GHG_Coala-1 + (E135 * BUI_COL (307 + ((A135 - 1) * 8) * BUI_COL3 / (J135-I135+1) / 1000000)</v>
      </c>
      <c r="BR735" s="1544"/>
      <c r="BS735" s="1544"/>
      <c r="BT735" s="1544"/>
      <c r="BU735" s="1544"/>
      <c r="BV735" s="1544"/>
      <c r="BW735" s="1544"/>
      <c r="BX735" s="1544"/>
      <c r="BY735" s="1544"/>
      <c r="BZ735" s="1544"/>
      <c r="CA735" s="1544"/>
      <c r="CB735" s="1544"/>
      <c r="CC735" s="1544"/>
      <c r="CD735" s="1544"/>
      <c r="CE735" s="1544"/>
      <c r="CF735" s="1544"/>
      <c r="CG735" s="1544"/>
      <c r="CH735" s="1537"/>
      <c r="CI735" s="578" t="s">
        <v>2225</v>
      </c>
      <c r="CJ735" s="367" t="s">
        <v>2226</v>
      </c>
      <c r="CK735" s="367" t="s">
        <v>1248</v>
      </c>
      <c r="CL735" s="580"/>
    </row>
    <row r="736" spans="11:90" ht="20.100000000000001" customHeight="1">
      <c r="AF736" s="190"/>
      <c r="AG736" s="107" t="s">
        <v>865</v>
      </c>
      <c r="AH736" s="107">
        <f>INDEX('DEFAULT DATA'!$WD$9:$WJ$41,START!$C$3,4)</f>
        <v>382</v>
      </c>
      <c r="AI736" s="432">
        <f>INDEX('DEFAULT DATA'!$AGR$9:$AJS$41,START!$C$3,(5+(($A$136-1)*8)))/IF($A$136&lt;5,INDEX('DEFAULT DATA'!$XS$9:$XV$41,START!$C$3,$A$136),1)</f>
        <v>0</v>
      </c>
      <c r="AJ736" s="201"/>
      <c r="AK736" s="180">
        <v>0</v>
      </c>
      <c r="AL736" s="123">
        <f t="shared" ref="AL736:BN736" si="836">IF(AND(AL$731&gt;($I$136+2020),AL$731&lt;($J$136+2022)),AK736+($AH$736*$E$136*$AI$736/($J$136-$I$136+1)/1000000),AK736)</f>
        <v>0</v>
      </c>
      <c r="AM736" s="123">
        <f t="shared" si="836"/>
        <v>0</v>
      </c>
      <c r="AN736" s="123">
        <f t="shared" si="836"/>
        <v>0</v>
      </c>
      <c r="AO736" s="123">
        <f t="shared" si="836"/>
        <v>0</v>
      </c>
      <c r="AP736" s="123">
        <f t="shared" si="836"/>
        <v>0</v>
      </c>
      <c r="AQ736" s="123">
        <f t="shared" si="836"/>
        <v>0</v>
      </c>
      <c r="AR736" s="123">
        <f t="shared" si="836"/>
        <v>0</v>
      </c>
      <c r="AS736" s="123">
        <f t="shared" si="836"/>
        <v>0</v>
      </c>
      <c r="AT736" s="123">
        <f t="shared" si="836"/>
        <v>0</v>
      </c>
      <c r="AU736" s="123">
        <f t="shared" si="836"/>
        <v>0</v>
      </c>
      <c r="AV736" s="123">
        <f t="shared" si="836"/>
        <v>0</v>
      </c>
      <c r="AW736" s="123">
        <f t="shared" si="836"/>
        <v>0</v>
      </c>
      <c r="AX736" s="123">
        <f t="shared" si="836"/>
        <v>0</v>
      </c>
      <c r="AY736" s="123">
        <f t="shared" si="836"/>
        <v>0</v>
      </c>
      <c r="AZ736" s="123">
        <f t="shared" si="836"/>
        <v>0</v>
      </c>
      <c r="BA736" s="123">
        <f t="shared" si="836"/>
        <v>0</v>
      </c>
      <c r="BB736" s="123">
        <f t="shared" si="836"/>
        <v>0</v>
      </c>
      <c r="BC736" s="123">
        <f t="shared" si="836"/>
        <v>0</v>
      </c>
      <c r="BD736" s="123">
        <f t="shared" si="836"/>
        <v>0</v>
      </c>
      <c r="BE736" s="123">
        <f t="shared" si="836"/>
        <v>0</v>
      </c>
      <c r="BF736" s="123">
        <f t="shared" si="836"/>
        <v>0</v>
      </c>
      <c r="BG736" s="123">
        <f t="shared" si="836"/>
        <v>0</v>
      </c>
      <c r="BH736" s="123">
        <f t="shared" si="836"/>
        <v>0</v>
      </c>
      <c r="BI736" s="123">
        <f t="shared" si="836"/>
        <v>0</v>
      </c>
      <c r="BJ736" s="123">
        <f t="shared" si="836"/>
        <v>0</v>
      </c>
      <c r="BK736" s="123">
        <f t="shared" si="836"/>
        <v>0</v>
      </c>
      <c r="BL736" s="123">
        <f t="shared" si="836"/>
        <v>0</v>
      </c>
      <c r="BM736" s="123">
        <f t="shared" si="836"/>
        <v>0</v>
      </c>
      <c r="BN736" s="159">
        <f t="shared" si="836"/>
        <v>0</v>
      </c>
      <c r="BP736" s="367" t="s">
        <v>865</v>
      </c>
      <c r="BQ736" s="1536" t="str">
        <f t="shared" si="833"/>
        <v>GHG_Peata = GHG_Peata-1 + (E135 * BUI_COL (307 + ((A135 - 1) * 8) * BUI_COL4 / (J135-I135+1) / 1000000)</v>
      </c>
      <c r="BR736" s="1544"/>
      <c r="BS736" s="1544"/>
      <c r="BT736" s="1544"/>
      <c r="BU736" s="1544"/>
      <c r="BV736" s="1544"/>
      <c r="BW736" s="1544"/>
      <c r="BX736" s="1544"/>
      <c r="BY736" s="1544"/>
      <c r="BZ736" s="1544"/>
      <c r="CA736" s="1544"/>
      <c r="CB736" s="1544"/>
      <c r="CC736" s="1544"/>
      <c r="CD736" s="1544"/>
      <c r="CE736" s="1544"/>
      <c r="CF736" s="1544"/>
      <c r="CG736" s="1544"/>
      <c r="CH736" s="1537"/>
      <c r="CI736" s="578" t="s">
        <v>2225</v>
      </c>
      <c r="CJ736" s="367" t="s">
        <v>2226</v>
      </c>
      <c r="CK736" s="367" t="s">
        <v>1249</v>
      </c>
      <c r="CL736" s="580"/>
    </row>
    <row r="737" spans="32:90" ht="20.100000000000001" customHeight="1">
      <c r="AF737" s="190"/>
      <c r="AG737" s="107" t="s">
        <v>866</v>
      </c>
      <c r="AH737" s="107">
        <f>INDEX('DEFAULT DATA'!$WD$9:$WJ$41,START!$C$3,5)</f>
        <v>403</v>
      </c>
      <c r="AI737" s="432">
        <f>INDEX('DEFAULT DATA'!$AGR$9:$AJS$41,START!$C$3,(6+(($A$136-1)*8)))/IF($A$136&lt;5,INDEX('DEFAULT DATA'!$XS$9:$XV$41,START!$C$3,$A$136),1)</f>
        <v>0</v>
      </c>
      <c r="AJ737" s="201"/>
      <c r="AK737" s="180">
        <v>0</v>
      </c>
      <c r="AL737" s="123">
        <f t="shared" ref="AL737:BN737" si="837">IF(AND(AL$731&gt;($I$136+2020),AL$731&lt;($J$136+2022)),AK737+($AH$737*$E$136*$AI$737/($J$136-$I$136+1)/1000000),AK737)</f>
        <v>0</v>
      </c>
      <c r="AM737" s="123">
        <f t="shared" si="837"/>
        <v>0</v>
      </c>
      <c r="AN737" s="123">
        <f t="shared" si="837"/>
        <v>0</v>
      </c>
      <c r="AO737" s="123">
        <f t="shared" si="837"/>
        <v>0</v>
      </c>
      <c r="AP737" s="123">
        <f t="shared" si="837"/>
        <v>0</v>
      </c>
      <c r="AQ737" s="123">
        <f t="shared" si="837"/>
        <v>0</v>
      </c>
      <c r="AR737" s="123">
        <f t="shared" si="837"/>
        <v>0</v>
      </c>
      <c r="AS737" s="123">
        <f t="shared" si="837"/>
        <v>0</v>
      </c>
      <c r="AT737" s="123">
        <f t="shared" si="837"/>
        <v>0</v>
      </c>
      <c r="AU737" s="123">
        <f t="shared" si="837"/>
        <v>0</v>
      </c>
      <c r="AV737" s="123">
        <f t="shared" si="837"/>
        <v>0</v>
      </c>
      <c r="AW737" s="123">
        <f t="shared" si="837"/>
        <v>0</v>
      </c>
      <c r="AX737" s="123">
        <f t="shared" si="837"/>
        <v>0</v>
      </c>
      <c r="AY737" s="123">
        <f t="shared" si="837"/>
        <v>0</v>
      </c>
      <c r="AZ737" s="123">
        <f t="shared" si="837"/>
        <v>0</v>
      </c>
      <c r="BA737" s="123">
        <f t="shared" si="837"/>
        <v>0</v>
      </c>
      <c r="BB737" s="123">
        <f t="shared" si="837"/>
        <v>0</v>
      </c>
      <c r="BC737" s="123">
        <f t="shared" si="837"/>
        <v>0</v>
      </c>
      <c r="BD737" s="123">
        <f t="shared" si="837"/>
        <v>0</v>
      </c>
      <c r="BE737" s="123">
        <f t="shared" si="837"/>
        <v>0</v>
      </c>
      <c r="BF737" s="123">
        <f t="shared" si="837"/>
        <v>0</v>
      </c>
      <c r="BG737" s="123">
        <f t="shared" si="837"/>
        <v>0</v>
      </c>
      <c r="BH737" s="123">
        <f t="shared" si="837"/>
        <v>0</v>
      </c>
      <c r="BI737" s="123">
        <f t="shared" si="837"/>
        <v>0</v>
      </c>
      <c r="BJ737" s="123">
        <f t="shared" si="837"/>
        <v>0</v>
      </c>
      <c r="BK737" s="123">
        <f t="shared" si="837"/>
        <v>0</v>
      </c>
      <c r="BL737" s="123">
        <f t="shared" si="837"/>
        <v>0</v>
      </c>
      <c r="BM737" s="123">
        <f t="shared" si="837"/>
        <v>0</v>
      </c>
      <c r="BN737" s="159">
        <f t="shared" si="837"/>
        <v>0</v>
      </c>
      <c r="BP737" s="367" t="s">
        <v>866</v>
      </c>
      <c r="BQ737" s="1536" t="str">
        <f t="shared" si="833"/>
        <v>GHG_Wooda = GHG_Wooda-1 + (E135 * BUI_COL (307 + ((A135 - 1) * 8) * BUI_COL5 / (J135-I135+1) / 1000000)</v>
      </c>
      <c r="BR737" s="1544"/>
      <c r="BS737" s="1544"/>
      <c r="BT737" s="1544"/>
      <c r="BU737" s="1544"/>
      <c r="BV737" s="1544"/>
      <c r="BW737" s="1544"/>
      <c r="BX737" s="1544"/>
      <c r="BY737" s="1544"/>
      <c r="BZ737" s="1544"/>
      <c r="CA737" s="1544"/>
      <c r="CB737" s="1544"/>
      <c r="CC737" s="1544"/>
      <c r="CD737" s="1544"/>
      <c r="CE737" s="1544"/>
      <c r="CF737" s="1544"/>
      <c r="CG737" s="1544"/>
      <c r="CH737" s="1537"/>
      <c r="CI737" s="578" t="s">
        <v>2225</v>
      </c>
      <c r="CJ737" s="367" t="s">
        <v>2226</v>
      </c>
      <c r="CK737" s="367" t="s">
        <v>1250</v>
      </c>
      <c r="CL737" s="580"/>
    </row>
    <row r="738" spans="32:90" ht="20.100000000000001" customHeight="1">
      <c r="AF738" s="190"/>
      <c r="AG738" s="107" t="s">
        <v>867</v>
      </c>
      <c r="AH738" s="107">
        <f>INDEX('DEFAULT DATA'!$WD$9:$WJ$41,START!$C$3,6)</f>
        <v>0</v>
      </c>
      <c r="AI738" s="432">
        <f>INDEX('DEFAULT DATA'!$AGR$9:$AJS$41,START!$C$3,(7+(($A$136-1)*8)))/IF($A$136&lt;5,INDEX('DEFAULT DATA'!$XS$9:$XV$41,START!$C$3,$A$136),1)</f>
        <v>114.97725700487953</v>
      </c>
      <c r="AJ738" s="201"/>
      <c r="AK738" s="180">
        <v>0</v>
      </c>
      <c r="AL738" s="123">
        <f t="shared" ref="AL738:BN738" si="838">IF(AND(AL$731&gt;($I$136+2020),AL$731&lt;($J$136+2022)),AK738+($AH$738*$E$136*$AI$738/($J$136-$I$136+1)/1000000),AK738)</f>
        <v>0</v>
      </c>
      <c r="AM738" s="123">
        <f t="shared" si="838"/>
        <v>0</v>
      </c>
      <c r="AN738" s="123">
        <f t="shared" si="838"/>
        <v>0</v>
      </c>
      <c r="AO738" s="123">
        <f t="shared" si="838"/>
        <v>0</v>
      </c>
      <c r="AP738" s="123">
        <f t="shared" si="838"/>
        <v>0</v>
      </c>
      <c r="AQ738" s="123">
        <f t="shared" si="838"/>
        <v>0</v>
      </c>
      <c r="AR738" s="123">
        <f t="shared" si="838"/>
        <v>0</v>
      </c>
      <c r="AS738" s="123">
        <f t="shared" si="838"/>
        <v>0</v>
      </c>
      <c r="AT738" s="123">
        <f t="shared" si="838"/>
        <v>0</v>
      </c>
      <c r="AU738" s="123">
        <f t="shared" si="838"/>
        <v>0</v>
      </c>
      <c r="AV738" s="123">
        <f t="shared" si="838"/>
        <v>0</v>
      </c>
      <c r="AW738" s="123">
        <f t="shared" si="838"/>
        <v>0</v>
      </c>
      <c r="AX738" s="123">
        <f t="shared" si="838"/>
        <v>0</v>
      </c>
      <c r="AY738" s="123">
        <f t="shared" si="838"/>
        <v>0</v>
      </c>
      <c r="AZ738" s="123">
        <f t="shared" si="838"/>
        <v>0</v>
      </c>
      <c r="BA738" s="123">
        <f t="shared" si="838"/>
        <v>0</v>
      </c>
      <c r="BB738" s="123">
        <f t="shared" si="838"/>
        <v>0</v>
      </c>
      <c r="BC738" s="123">
        <f t="shared" si="838"/>
        <v>0</v>
      </c>
      <c r="BD738" s="123">
        <f t="shared" si="838"/>
        <v>0</v>
      </c>
      <c r="BE738" s="123">
        <f t="shared" si="838"/>
        <v>0</v>
      </c>
      <c r="BF738" s="123">
        <f t="shared" si="838"/>
        <v>0</v>
      </c>
      <c r="BG738" s="123">
        <f t="shared" si="838"/>
        <v>0</v>
      </c>
      <c r="BH738" s="123">
        <f t="shared" si="838"/>
        <v>0</v>
      </c>
      <c r="BI738" s="123">
        <f t="shared" si="838"/>
        <v>0</v>
      </c>
      <c r="BJ738" s="123">
        <f t="shared" si="838"/>
        <v>0</v>
      </c>
      <c r="BK738" s="123">
        <f t="shared" si="838"/>
        <v>0</v>
      </c>
      <c r="BL738" s="123">
        <f t="shared" si="838"/>
        <v>0</v>
      </c>
      <c r="BM738" s="123">
        <f t="shared" si="838"/>
        <v>0</v>
      </c>
      <c r="BN738" s="159">
        <f t="shared" si="838"/>
        <v>0</v>
      </c>
      <c r="BP738" s="367" t="s">
        <v>867</v>
      </c>
      <c r="BQ738" s="1536" t="str">
        <f t="shared" si="833"/>
        <v>GHG_Renewablea = GHG_Renewablea-1 + (E135 * BUI_COL (307 + ((A135 - 1) * 8) * BUI_COL6 / (J135-I135+1) / 1000000)</v>
      </c>
      <c r="BR738" s="1544"/>
      <c r="BS738" s="1544"/>
      <c r="BT738" s="1544"/>
      <c r="BU738" s="1544"/>
      <c r="BV738" s="1544"/>
      <c r="BW738" s="1544"/>
      <c r="BX738" s="1544"/>
      <c r="BY738" s="1544"/>
      <c r="BZ738" s="1544"/>
      <c r="CA738" s="1544"/>
      <c r="CB738" s="1544"/>
      <c r="CC738" s="1544"/>
      <c r="CD738" s="1544"/>
      <c r="CE738" s="1544"/>
      <c r="CF738" s="1544"/>
      <c r="CG738" s="1544"/>
      <c r="CH738" s="1537"/>
      <c r="CI738" s="578" t="s">
        <v>2225</v>
      </c>
      <c r="CJ738" s="367" t="s">
        <v>2226</v>
      </c>
      <c r="CK738" s="367" t="s">
        <v>1251</v>
      </c>
      <c r="CL738" s="580"/>
    </row>
    <row r="739" spans="32:90" ht="20.100000000000001" customHeight="1" thickBot="1">
      <c r="AF739" s="191"/>
      <c r="AG739" s="146" t="s">
        <v>868</v>
      </c>
      <c r="AH739" s="146" t="s">
        <v>1123</v>
      </c>
      <c r="AI739" s="451">
        <f>INDEX('DEFAULT DATA'!$AGR$9:$AJS$41,START!$C$3,(8+(($A$136-1)*8)))/IF($A$136&lt;5,INDEX('DEFAULT DATA'!$XS$9:$XV$41,START!$C$3,$A$136),1)</f>
        <v>28.744314251219883</v>
      </c>
      <c r="AJ739" s="203"/>
      <c r="AK739" s="183">
        <v>0</v>
      </c>
      <c r="AL739" s="160">
        <f t="shared" ref="AL739:BN739" si="839">IF(AND(AL$731&gt;($I$136+2020),AL$731&lt;($J$136+2022)),AK739+(AL$6*$E$136*$AI$739/($J$136-$I$136+1)/1000000),AK739)</f>
        <v>0</v>
      </c>
      <c r="AM739" s="160">
        <f t="shared" si="839"/>
        <v>0</v>
      </c>
      <c r="AN739" s="160">
        <f t="shared" si="839"/>
        <v>0</v>
      </c>
      <c r="AO739" s="160">
        <f t="shared" si="839"/>
        <v>0</v>
      </c>
      <c r="AP739" s="160">
        <f t="shared" si="839"/>
        <v>0</v>
      </c>
      <c r="AQ739" s="160">
        <f t="shared" si="839"/>
        <v>0</v>
      </c>
      <c r="AR739" s="160">
        <f t="shared" si="839"/>
        <v>0</v>
      </c>
      <c r="AS739" s="160">
        <f t="shared" si="839"/>
        <v>0</v>
      </c>
      <c r="AT739" s="160">
        <f t="shared" si="839"/>
        <v>0</v>
      </c>
      <c r="AU739" s="160">
        <f t="shared" si="839"/>
        <v>0</v>
      </c>
      <c r="AV739" s="160">
        <f t="shared" si="839"/>
        <v>0</v>
      </c>
      <c r="AW739" s="160">
        <f t="shared" si="839"/>
        <v>0</v>
      </c>
      <c r="AX739" s="160">
        <f t="shared" si="839"/>
        <v>0</v>
      </c>
      <c r="AY739" s="160">
        <f t="shared" si="839"/>
        <v>0</v>
      </c>
      <c r="AZ739" s="160">
        <f t="shared" si="839"/>
        <v>0</v>
      </c>
      <c r="BA739" s="160">
        <f t="shared" si="839"/>
        <v>0</v>
      </c>
      <c r="BB739" s="160">
        <f t="shared" si="839"/>
        <v>0</v>
      </c>
      <c r="BC739" s="160">
        <f t="shared" si="839"/>
        <v>0</v>
      </c>
      <c r="BD739" s="160">
        <f t="shared" si="839"/>
        <v>0</v>
      </c>
      <c r="BE739" s="160">
        <f t="shared" si="839"/>
        <v>0</v>
      </c>
      <c r="BF739" s="160">
        <f t="shared" si="839"/>
        <v>0</v>
      </c>
      <c r="BG739" s="160">
        <f t="shared" si="839"/>
        <v>0</v>
      </c>
      <c r="BH739" s="160">
        <f t="shared" si="839"/>
        <v>0</v>
      </c>
      <c r="BI739" s="160">
        <f t="shared" si="839"/>
        <v>0</v>
      </c>
      <c r="BJ739" s="160">
        <f t="shared" si="839"/>
        <v>0</v>
      </c>
      <c r="BK739" s="160">
        <f t="shared" si="839"/>
        <v>0</v>
      </c>
      <c r="BL739" s="160">
        <f t="shared" si="839"/>
        <v>0</v>
      </c>
      <c r="BM739" s="160">
        <f t="shared" si="839"/>
        <v>0</v>
      </c>
      <c r="BN739" s="161">
        <f t="shared" si="839"/>
        <v>0</v>
      </c>
      <c r="BP739" s="367" t="s">
        <v>868</v>
      </c>
      <c r="BQ739" s="1536" t="str">
        <f>CONCATENATE("GHG_",BP739,"a = GHG_",BP739,"a-1 + (E135 * ",CI739," * ",CK739," / (",CJ739,") / 1000000)")</f>
        <v>GHG_Heata = GHG_Heata-1 + (E135 * BUI_COL (307 + ((A135 - 1) * 8) * DISTRICT_HEATING_emission_factora (from row 5) / (J135-I135+1) / 1000000)</v>
      </c>
      <c r="BR739" s="1544"/>
      <c r="BS739" s="1544"/>
      <c r="BT739" s="1544"/>
      <c r="BU739" s="1544"/>
      <c r="BV739" s="1544"/>
      <c r="BW739" s="1544"/>
      <c r="BX739" s="1544"/>
      <c r="BY739" s="1544"/>
      <c r="BZ739" s="1544"/>
      <c r="CA739" s="1544"/>
      <c r="CB739" s="1544"/>
      <c r="CC739" s="1544"/>
      <c r="CD739" s="1544"/>
      <c r="CE739" s="1544"/>
      <c r="CF739" s="1544"/>
      <c r="CG739" s="1544"/>
      <c r="CH739" s="1537"/>
      <c r="CI739" s="578" t="s">
        <v>2225</v>
      </c>
      <c r="CJ739" s="367" t="s">
        <v>2226</v>
      </c>
      <c r="CK739" s="367" t="s">
        <v>2222</v>
      </c>
      <c r="CL739" s="580"/>
    </row>
    <row r="740" spans="32:90" ht="20.100000000000001" customHeight="1">
      <c r="AF740" s="167"/>
      <c r="AG740" s="144" t="s">
        <v>211</v>
      </c>
      <c r="AH740" s="145"/>
      <c r="AI740" s="198"/>
      <c r="AJ740" s="145"/>
      <c r="AK740" s="179">
        <v>0</v>
      </c>
      <c r="AL740" s="162">
        <f>SUM(AL732:AL739)</f>
        <v>0</v>
      </c>
      <c r="AM740" s="162">
        <f t="shared" ref="AM740:BN740" si="840">SUM(AM732:AM739)</f>
        <v>0</v>
      </c>
      <c r="AN740" s="162">
        <f t="shared" si="840"/>
        <v>0</v>
      </c>
      <c r="AO740" s="162">
        <f t="shared" si="840"/>
        <v>0</v>
      </c>
      <c r="AP740" s="162">
        <f t="shared" si="840"/>
        <v>0</v>
      </c>
      <c r="AQ740" s="162">
        <f t="shared" si="840"/>
        <v>0</v>
      </c>
      <c r="AR740" s="162">
        <f t="shared" si="840"/>
        <v>0</v>
      </c>
      <c r="AS740" s="162">
        <f t="shared" si="840"/>
        <v>0</v>
      </c>
      <c r="AT740" s="162">
        <f t="shared" si="840"/>
        <v>0</v>
      </c>
      <c r="AU740" s="162">
        <f t="shared" si="840"/>
        <v>0</v>
      </c>
      <c r="AV740" s="162">
        <f t="shared" si="840"/>
        <v>0</v>
      </c>
      <c r="AW740" s="162">
        <f t="shared" si="840"/>
        <v>0</v>
      </c>
      <c r="AX740" s="162">
        <f t="shared" si="840"/>
        <v>0</v>
      </c>
      <c r="AY740" s="162">
        <f t="shared" si="840"/>
        <v>0</v>
      </c>
      <c r="AZ740" s="162">
        <f t="shared" si="840"/>
        <v>0</v>
      </c>
      <c r="BA740" s="162">
        <f t="shared" si="840"/>
        <v>0</v>
      </c>
      <c r="BB740" s="162">
        <f t="shared" si="840"/>
        <v>0</v>
      </c>
      <c r="BC740" s="162">
        <f t="shared" si="840"/>
        <v>0</v>
      </c>
      <c r="BD740" s="162">
        <f t="shared" si="840"/>
        <v>0</v>
      </c>
      <c r="BE740" s="162">
        <f t="shared" si="840"/>
        <v>0</v>
      </c>
      <c r="BF740" s="162">
        <f t="shared" si="840"/>
        <v>0</v>
      </c>
      <c r="BG740" s="162">
        <f t="shared" si="840"/>
        <v>0</v>
      </c>
      <c r="BH740" s="162">
        <f t="shared" si="840"/>
        <v>0</v>
      </c>
      <c r="BI740" s="162">
        <f t="shared" si="840"/>
        <v>0</v>
      </c>
      <c r="BJ740" s="162">
        <f t="shared" si="840"/>
        <v>0</v>
      </c>
      <c r="BK740" s="162">
        <f t="shared" si="840"/>
        <v>0</v>
      </c>
      <c r="BL740" s="162">
        <f t="shared" si="840"/>
        <v>0</v>
      </c>
      <c r="BM740" s="162">
        <f t="shared" si="840"/>
        <v>0</v>
      </c>
      <c r="BN740" s="162">
        <f t="shared" si="840"/>
        <v>0</v>
      </c>
    </row>
    <row r="741" spans="32:90" ht="20.100000000000001" customHeight="1">
      <c r="AI741" s="199"/>
    </row>
    <row r="742" spans="32:90" ht="20.100000000000001" customHeight="1" thickBot="1">
      <c r="AF742" s="168" t="s">
        <v>1140</v>
      </c>
      <c r="AG742" s="168"/>
      <c r="AH742" s="169" t="s">
        <v>620</v>
      </c>
      <c r="AI742" s="1542" t="s">
        <v>2168</v>
      </c>
      <c r="AJ742" s="1543"/>
      <c r="AK742" s="181">
        <v>2021</v>
      </c>
      <c r="AL742" s="135">
        <v>2022</v>
      </c>
      <c r="AM742" s="135">
        <v>2023</v>
      </c>
      <c r="AN742" s="135">
        <v>2024</v>
      </c>
      <c r="AO742" s="135">
        <v>2025</v>
      </c>
      <c r="AP742" s="135">
        <v>2026</v>
      </c>
      <c r="AQ742" s="135">
        <v>2027</v>
      </c>
      <c r="AR742" s="135">
        <v>2028</v>
      </c>
      <c r="AS742" s="135">
        <v>2029</v>
      </c>
      <c r="AT742" s="135">
        <v>2030</v>
      </c>
      <c r="AU742" s="135">
        <v>2031</v>
      </c>
      <c r="AV742" s="135">
        <v>2032</v>
      </c>
      <c r="AW742" s="135">
        <v>2033</v>
      </c>
      <c r="AX742" s="135">
        <v>2034</v>
      </c>
      <c r="AY742" s="135">
        <v>2035</v>
      </c>
      <c r="AZ742" s="135">
        <v>2036</v>
      </c>
      <c r="BA742" s="135">
        <v>2037</v>
      </c>
      <c r="BB742" s="135">
        <v>2038</v>
      </c>
      <c r="BC742" s="135">
        <v>2039</v>
      </c>
      <c r="BD742" s="135">
        <v>2040</v>
      </c>
      <c r="BE742" s="135">
        <v>2041</v>
      </c>
      <c r="BF742" s="135">
        <v>2042</v>
      </c>
      <c r="BG742" s="135">
        <v>2043</v>
      </c>
      <c r="BH742" s="135">
        <v>2044</v>
      </c>
      <c r="BI742" s="135">
        <v>2045</v>
      </c>
      <c r="BJ742" s="135">
        <v>2046</v>
      </c>
      <c r="BK742" s="135">
        <v>2047</v>
      </c>
      <c r="BL742" s="135">
        <v>2048</v>
      </c>
      <c r="BM742" s="135">
        <v>2049</v>
      </c>
      <c r="BN742" s="135">
        <v>2050</v>
      </c>
      <c r="BQ742" s="82" t="s">
        <v>2241</v>
      </c>
      <c r="BR742" s="250"/>
      <c r="BS742" s="250"/>
      <c r="BT742" s="250"/>
      <c r="BU742" s="250"/>
      <c r="BV742" s="250"/>
      <c r="BW742" s="250"/>
      <c r="BX742" s="250"/>
      <c r="BY742" s="250"/>
      <c r="BZ742" s="250"/>
      <c r="CA742" s="250"/>
      <c r="CB742" s="250"/>
      <c r="CC742" s="250"/>
      <c r="CD742" s="250"/>
      <c r="CE742" s="250"/>
      <c r="CF742" s="250"/>
      <c r="CG742" s="250"/>
      <c r="CH742" s="250"/>
      <c r="CI742" s="605" t="s">
        <v>1393</v>
      </c>
      <c r="CJ742" s="130" t="s">
        <v>2172</v>
      </c>
      <c r="CK742" s="606" t="s">
        <v>1224</v>
      </c>
    </row>
    <row r="743" spans="32:90" ht="20.100000000000001" customHeight="1">
      <c r="AF743" s="97" t="str">
        <f>CONCATENATE("conversion from ",INDEX('MENU OPTIONS'!$B$27:$B$36,$A$137,1))</f>
        <v>conversion from Apartment</v>
      </c>
      <c r="AG743" s="137" t="s">
        <v>578</v>
      </c>
      <c r="AH743" s="137" t="s">
        <v>1122</v>
      </c>
      <c r="AI743" s="602">
        <f>INDEX('DEFAULT DATA'!$AGR$9:$AJS$41,START!$C$3,(1+(($A$137-1)*8)))/IF($A$137&lt;5,INDEX('DEFAULT DATA'!$XS$9:$XV$41,START!$C$3,$A$137),1)</f>
        <v>40.242039951707838</v>
      </c>
      <c r="AJ743" s="165"/>
      <c r="AK743" s="178">
        <v>0</v>
      </c>
      <c r="AL743" s="157">
        <f t="shared" ref="AL743:BN743" si="841">IF(AND(AL$742&gt;($I$137+2020),AL$742&lt;($J$137+2022)),AK743+(AL$5*$E$137*$AI$743/($J$137-$I$137+1)/1000000),AK743)</f>
        <v>0</v>
      </c>
      <c r="AM743" s="157">
        <f t="shared" si="841"/>
        <v>0</v>
      </c>
      <c r="AN743" s="157">
        <f t="shared" si="841"/>
        <v>0</v>
      </c>
      <c r="AO743" s="157">
        <f t="shared" si="841"/>
        <v>0</v>
      </c>
      <c r="AP743" s="157">
        <f t="shared" si="841"/>
        <v>0</v>
      </c>
      <c r="AQ743" s="157">
        <f t="shared" si="841"/>
        <v>0</v>
      </c>
      <c r="AR743" s="157">
        <f t="shared" si="841"/>
        <v>0</v>
      </c>
      <c r="AS743" s="157">
        <f t="shared" si="841"/>
        <v>0</v>
      </c>
      <c r="AT743" s="157">
        <f t="shared" si="841"/>
        <v>0</v>
      </c>
      <c r="AU743" s="157">
        <f t="shared" si="841"/>
        <v>0</v>
      </c>
      <c r="AV743" s="157">
        <f t="shared" si="841"/>
        <v>0</v>
      </c>
      <c r="AW743" s="157">
        <f t="shared" si="841"/>
        <v>0</v>
      </c>
      <c r="AX743" s="157">
        <f t="shared" si="841"/>
        <v>0</v>
      </c>
      <c r="AY743" s="157">
        <f t="shared" si="841"/>
        <v>0</v>
      </c>
      <c r="AZ743" s="157">
        <f t="shared" si="841"/>
        <v>0</v>
      </c>
      <c r="BA743" s="157">
        <f t="shared" si="841"/>
        <v>0</v>
      </c>
      <c r="BB743" s="157">
        <f t="shared" si="841"/>
        <v>0</v>
      </c>
      <c r="BC743" s="157">
        <f t="shared" si="841"/>
        <v>0</v>
      </c>
      <c r="BD743" s="157">
        <f t="shared" si="841"/>
        <v>0</v>
      </c>
      <c r="BE743" s="157">
        <f t="shared" si="841"/>
        <v>0</v>
      </c>
      <c r="BF743" s="157">
        <f t="shared" si="841"/>
        <v>0</v>
      </c>
      <c r="BG743" s="157">
        <f t="shared" si="841"/>
        <v>0</v>
      </c>
      <c r="BH743" s="157">
        <f t="shared" si="841"/>
        <v>0</v>
      </c>
      <c r="BI743" s="157">
        <f t="shared" si="841"/>
        <v>0</v>
      </c>
      <c r="BJ743" s="157">
        <f t="shared" si="841"/>
        <v>0</v>
      </c>
      <c r="BK743" s="157">
        <f t="shared" si="841"/>
        <v>0</v>
      </c>
      <c r="BL743" s="157">
        <f t="shared" si="841"/>
        <v>0</v>
      </c>
      <c r="BM743" s="157">
        <f t="shared" si="841"/>
        <v>0</v>
      </c>
      <c r="BN743" s="158">
        <f t="shared" si="841"/>
        <v>0</v>
      </c>
      <c r="BP743" s="367" t="s">
        <v>578</v>
      </c>
      <c r="BQ743" s="1536" t="str">
        <f>CONCATENATE("GHG_",BP743,"a = GHG_",BP743,"a-1 + (E136 * ",CI743," * ",CK743," / (",CJ743,") / 1000000)")</f>
        <v>GHG_Electricitya = GHG_Electricitya-1 + (E136 * BUI_COL (307 + ((A136 - 1) * 8) * GRID_ELECTRICITY_emission_factora (from row4) / (J136-I136+1) / 1000000)</v>
      </c>
      <c r="BR743" s="1544"/>
      <c r="BS743" s="1544"/>
      <c r="BT743" s="1544"/>
      <c r="BU743" s="1544"/>
      <c r="BV743" s="1544"/>
      <c r="BW743" s="1544"/>
      <c r="BX743" s="1544"/>
      <c r="BY743" s="1544"/>
      <c r="BZ743" s="1544"/>
      <c r="CA743" s="1544"/>
      <c r="CB743" s="1544"/>
      <c r="CC743" s="1544"/>
      <c r="CD743" s="1544"/>
      <c r="CE743" s="1544"/>
      <c r="CF743" s="1544"/>
      <c r="CG743" s="1544"/>
      <c r="CH743" s="1537"/>
      <c r="CI743" s="578" t="s">
        <v>2227</v>
      </c>
      <c r="CJ743" s="367" t="s">
        <v>2228</v>
      </c>
      <c r="CK743" s="367" t="s">
        <v>2221</v>
      </c>
      <c r="CL743" s="580"/>
    </row>
    <row r="744" spans="32:90" ht="20.100000000000001" customHeight="1">
      <c r="AF744" s="190"/>
      <c r="AG744" s="107" t="s">
        <v>862</v>
      </c>
      <c r="AH744" s="107">
        <f>INDEX('DEFAULT DATA'!$WD$9:$WJ$41,START!$C$3,1)</f>
        <v>202</v>
      </c>
      <c r="AI744" s="432">
        <f>INDEX('DEFAULT DATA'!$AGR$9:$AJS$41,START!$C$3,(2+(($A$137-1)*8)))/IF($A$137&lt;5,INDEX('DEFAULT DATA'!$XS$9:$XV$41,START!$C$3,$A$137),1)</f>
        <v>91.981805603903624</v>
      </c>
      <c r="AJ744" s="115"/>
      <c r="AK744" s="180">
        <v>0</v>
      </c>
      <c r="AL744" s="123">
        <f t="shared" ref="AL744:BN744" si="842">IF(AND(AL$742&gt;($I$137+2020),AL$742&lt;($J$137+2022)),AK744+($AH$744*$E$137*$AI$744/($J$137-$I$137+1)/1000000),AK744)</f>
        <v>0</v>
      </c>
      <c r="AM744" s="123">
        <f t="shared" si="842"/>
        <v>0</v>
      </c>
      <c r="AN744" s="123">
        <f t="shared" si="842"/>
        <v>0</v>
      </c>
      <c r="AO744" s="123">
        <f t="shared" si="842"/>
        <v>0</v>
      </c>
      <c r="AP744" s="123">
        <f t="shared" si="842"/>
        <v>0</v>
      </c>
      <c r="AQ744" s="123">
        <f t="shared" si="842"/>
        <v>0</v>
      </c>
      <c r="AR744" s="123">
        <f t="shared" si="842"/>
        <v>0</v>
      </c>
      <c r="AS744" s="123">
        <f t="shared" si="842"/>
        <v>0</v>
      </c>
      <c r="AT744" s="123">
        <f t="shared" si="842"/>
        <v>0</v>
      </c>
      <c r="AU744" s="123">
        <f t="shared" si="842"/>
        <v>0</v>
      </c>
      <c r="AV744" s="123">
        <f t="shared" si="842"/>
        <v>0</v>
      </c>
      <c r="AW744" s="123">
        <f t="shared" si="842"/>
        <v>0</v>
      </c>
      <c r="AX744" s="123">
        <f t="shared" si="842"/>
        <v>0</v>
      </c>
      <c r="AY744" s="123">
        <f t="shared" si="842"/>
        <v>0</v>
      </c>
      <c r="AZ744" s="123">
        <f t="shared" si="842"/>
        <v>0</v>
      </c>
      <c r="BA744" s="123">
        <f t="shared" si="842"/>
        <v>0</v>
      </c>
      <c r="BB744" s="123">
        <f t="shared" si="842"/>
        <v>0</v>
      </c>
      <c r="BC744" s="123">
        <f t="shared" si="842"/>
        <v>0</v>
      </c>
      <c r="BD744" s="123">
        <f t="shared" si="842"/>
        <v>0</v>
      </c>
      <c r="BE744" s="123">
        <f t="shared" si="842"/>
        <v>0</v>
      </c>
      <c r="BF744" s="123">
        <f t="shared" si="842"/>
        <v>0</v>
      </c>
      <c r="BG744" s="123">
        <f t="shared" si="842"/>
        <v>0</v>
      </c>
      <c r="BH744" s="123">
        <f t="shared" si="842"/>
        <v>0</v>
      </c>
      <c r="BI744" s="123">
        <f t="shared" si="842"/>
        <v>0</v>
      </c>
      <c r="BJ744" s="123">
        <f t="shared" si="842"/>
        <v>0</v>
      </c>
      <c r="BK744" s="123">
        <f t="shared" si="842"/>
        <v>0</v>
      </c>
      <c r="BL744" s="123">
        <f t="shared" si="842"/>
        <v>0</v>
      </c>
      <c r="BM744" s="123">
        <f t="shared" si="842"/>
        <v>0</v>
      </c>
      <c r="BN744" s="159">
        <f t="shared" si="842"/>
        <v>0</v>
      </c>
      <c r="BP744" s="367" t="s">
        <v>862</v>
      </c>
      <c r="BQ744" s="1536" t="str">
        <f t="shared" ref="BQ744:BQ749" si="843">CONCATENATE("GHG_",BP744,"a = GHG_",BP744,"a-1 + (E136 * ",CI744," * ",CK744," / (",CJ744,") / 1000000)")</f>
        <v>GHG_Gasa = GHG_Gasa-1 + (E136 * BUI_COL (307 + ((A136 - 1) * 8) * BUI_COL1 / (J136-I136+1) / 1000000)</v>
      </c>
      <c r="BR744" s="1544"/>
      <c r="BS744" s="1544"/>
      <c r="BT744" s="1544"/>
      <c r="BU744" s="1544"/>
      <c r="BV744" s="1544"/>
      <c r="BW744" s="1544"/>
      <c r="BX744" s="1544"/>
      <c r="BY744" s="1544"/>
      <c r="BZ744" s="1544"/>
      <c r="CA744" s="1544"/>
      <c r="CB744" s="1544"/>
      <c r="CC744" s="1544"/>
      <c r="CD744" s="1544"/>
      <c r="CE744" s="1544"/>
      <c r="CF744" s="1544"/>
      <c r="CG744" s="1544"/>
      <c r="CH744" s="1537"/>
      <c r="CI744" s="578" t="s">
        <v>2227</v>
      </c>
      <c r="CJ744" s="367" t="s">
        <v>2228</v>
      </c>
      <c r="CK744" s="367" t="s">
        <v>886</v>
      </c>
      <c r="CL744" s="580"/>
    </row>
    <row r="745" spans="32:90" ht="20.100000000000001" customHeight="1">
      <c r="AF745" s="27"/>
      <c r="AG745" s="107" t="s">
        <v>863</v>
      </c>
      <c r="AH745" s="107">
        <f>INDEX('DEFAULT DATA'!$WD$9:$WJ$41,START!$C$3,2)</f>
        <v>267</v>
      </c>
      <c r="AI745" s="432">
        <f>INDEX('DEFAULT DATA'!$AGR$9:$AJS$41,START!$C$3,(3+(($A$137-1)*8)))/IF($A$137&lt;5,INDEX('DEFAULT DATA'!$XS$9:$XV$41,START!$C$3,$A$137),1)</f>
        <v>11.497725700487953</v>
      </c>
      <c r="AJ745" s="115"/>
      <c r="AK745" s="180">
        <v>0</v>
      </c>
      <c r="AL745" s="123">
        <f t="shared" ref="AL745:BN745" si="844">IF(AND(AL$742&gt;($I$137+2020),AL$742&lt;($J$137+2022)),AK745+($AH$745*$E$137*$AI$745/($J$137-$I$137+1)/1000000),AK745)</f>
        <v>0</v>
      </c>
      <c r="AM745" s="123">
        <f t="shared" si="844"/>
        <v>0</v>
      </c>
      <c r="AN745" s="123">
        <f t="shared" si="844"/>
        <v>0</v>
      </c>
      <c r="AO745" s="123">
        <f t="shared" si="844"/>
        <v>0</v>
      </c>
      <c r="AP745" s="123">
        <f t="shared" si="844"/>
        <v>0</v>
      </c>
      <c r="AQ745" s="123">
        <f t="shared" si="844"/>
        <v>0</v>
      </c>
      <c r="AR745" s="123">
        <f t="shared" si="844"/>
        <v>0</v>
      </c>
      <c r="AS745" s="123">
        <f t="shared" si="844"/>
        <v>0</v>
      </c>
      <c r="AT745" s="123">
        <f t="shared" si="844"/>
        <v>0</v>
      </c>
      <c r="AU745" s="123">
        <f t="shared" si="844"/>
        <v>0</v>
      </c>
      <c r="AV745" s="123">
        <f t="shared" si="844"/>
        <v>0</v>
      </c>
      <c r="AW745" s="123">
        <f t="shared" si="844"/>
        <v>0</v>
      </c>
      <c r="AX745" s="123">
        <f t="shared" si="844"/>
        <v>0</v>
      </c>
      <c r="AY745" s="123">
        <f t="shared" si="844"/>
        <v>0</v>
      </c>
      <c r="AZ745" s="123">
        <f t="shared" si="844"/>
        <v>0</v>
      </c>
      <c r="BA745" s="123">
        <f t="shared" si="844"/>
        <v>0</v>
      </c>
      <c r="BB745" s="123">
        <f t="shared" si="844"/>
        <v>0</v>
      </c>
      <c r="BC745" s="123">
        <f t="shared" si="844"/>
        <v>0</v>
      </c>
      <c r="BD745" s="123">
        <f t="shared" si="844"/>
        <v>0</v>
      </c>
      <c r="BE745" s="123">
        <f t="shared" si="844"/>
        <v>0</v>
      </c>
      <c r="BF745" s="123">
        <f t="shared" si="844"/>
        <v>0</v>
      </c>
      <c r="BG745" s="123">
        <f t="shared" si="844"/>
        <v>0</v>
      </c>
      <c r="BH745" s="123">
        <f t="shared" si="844"/>
        <v>0</v>
      </c>
      <c r="BI745" s="123">
        <f t="shared" si="844"/>
        <v>0</v>
      </c>
      <c r="BJ745" s="123">
        <f t="shared" si="844"/>
        <v>0</v>
      </c>
      <c r="BK745" s="123">
        <f t="shared" si="844"/>
        <v>0</v>
      </c>
      <c r="BL745" s="123">
        <f t="shared" si="844"/>
        <v>0</v>
      </c>
      <c r="BM745" s="123">
        <f t="shared" si="844"/>
        <v>0</v>
      </c>
      <c r="BN745" s="159">
        <f t="shared" si="844"/>
        <v>0</v>
      </c>
      <c r="BP745" s="367" t="s">
        <v>863</v>
      </c>
      <c r="BQ745" s="1536" t="str">
        <f t="shared" si="843"/>
        <v>GHG_Oila = GHG_Oila-1 + (E136 * BUI_COL (307 + ((A136 - 1) * 8) * BUI_COL2 / (J136-I136+1) / 1000000)</v>
      </c>
      <c r="BR745" s="1544"/>
      <c r="BS745" s="1544"/>
      <c r="BT745" s="1544"/>
      <c r="BU745" s="1544"/>
      <c r="BV745" s="1544"/>
      <c r="BW745" s="1544"/>
      <c r="BX745" s="1544"/>
      <c r="BY745" s="1544"/>
      <c r="BZ745" s="1544"/>
      <c r="CA745" s="1544"/>
      <c r="CB745" s="1544"/>
      <c r="CC745" s="1544"/>
      <c r="CD745" s="1544"/>
      <c r="CE745" s="1544"/>
      <c r="CF745" s="1544"/>
      <c r="CG745" s="1544"/>
      <c r="CH745" s="1537"/>
      <c r="CI745" s="578" t="s">
        <v>2227</v>
      </c>
      <c r="CJ745" s="367" t="s">
        <v>2228</v>
      </c>
      <c r="CK745" s="367" t="s">
        <v>1247</v>
      </c>
      <c r="CL745" s="580"/>
    </row>
    <row r="746" spans="32:90" ht="20.100000000000001" customHeight="1">
      <c r="AF746" s="27"/>
      <c r="AG746" s="107" t="s">
        <v>864</v>
      </c>
      <c r="AH746" s="107">
        <f>INDEX('DEFAULT DATA'!$WD$9:$WJ$41,START!$C$3,3)</f>
        <v>354</v>
      </c>
      <c r="AI746" s="432">
        <f>INDEX('DEFAULT DATA'!$AGR$9:$AJS$41,START!$C$3,(4+(($A$137-1)*8)))/IF($A$137&lt;5,INDEX('DEFAULT DATA'!$XS$9:$XV$41,START!$C$3,$A$137),1)</f>
        <v>0</v>
      </c>
      <c r="AJ746" s="115"/>
      <c r="AK746" s="180">
        <v>0</v>
      </c>
      <c r="AL746" s="123">
        <f t="shared" ref="AL746:BN746" si="845">IF(AND(AL$742&gt;($I$137+2020),AL$742&lt;($J$137+2022)),AK746+($AH$746*$E$137*$AI$746/($J$137-$I$137+1)/1000000),AK746)</f>
        <v>0</v>
      </c>
      <c r="AM746" s="123">
        <f t="shared" si="845"/>
        <v>0</v>
      </c>
      <c r="AN746" s="123">
        <f t="shared" si="845"/>
        <v>0</v>
      </c>
      <c r="AO746" s="123">
        <f t="shared" si="845"/>
        <v>0</v>
      </c>
      <c r="AP746" s="123">
        <f t="shared" si="845"/>
        <v>0</v>
      </c>
      <c r="AQ746" s="123">
        <f t="shared" si="845"/>
        <v>0</v>
      </c>
      <c r="AR746" s="123">
        <f t="shared" si="845"/>
        <v>0</v>
      </c>
      <c r="AS746" s="123">
        <f t="shared" si="845"/>
        <v>0</v>
      </c>
      <c r="AT746" s="123">
        <f t="shared" si="845"/>
        <v>0</v>
      </c>
      <c r="AU746" s="123">
        <f t="shared" si="845"/>
        <v>0</v>
      </c>
      <c r="AV746" s="123">
        <f t="shared" si="845"/>
        <v>0</v>
      </c>
      <c r="AW746" s="123">
        <f t="shared" si="845"/>
        <v>0</v>
      </c>
      <c r="AX746" s="123">
        <f t="shared" si="845"/>
        <v>0</v>
      </c>
      <c r="AY746" s="123">
        <f t="shared" si="845"/>
        <v>0</v>
      </c>
      <c r="AZ746" s="123">
        <f t="shared" si="845"/>
        <v>0</v>
      </c>
      <c r="BA746" s="123">
        <f t="shared" si="845"/>
        <v>0</v>
      </c>
      <c r="BB746" s="123">
        <f t="shared" si="845"/>
        <v>0</v>
      </c>
      <c r="BC746" s="123">
        <f t="shared" si="845"/>
        <v>0</v>
      </c>
      <c r="BD746" s="123">
        <f t="shared" si="845"/>
        <v>0</v>
      </c>
      <c r="BE746" s="123">
        <f t="shared" si="845"/>
        <v>0</v>
      </c>
      <c r="BF746" s="123">
        <f t="shared" si="845"/>
        <v>0</v>
      </c>
      <c r="BG746" s="123">
        <f t="shared" si="845"/>
        <v>0</v>
      </c>
      <c r="BH746" s="123">
        <f t="shared" si="845"/>
        <v>0</v>
      </c>
      <c r="BI746" s="123">
        <f t="shared" si="845"/>
        <v>0</v>
      </c>
      <c r="BJ746" s="123">
        <f t="shared" si="845"/>
        <v>0</v>
      </c>
      <c r="BK746" s="123">
        <f t="shared" si="845"/>
        <v>0</v>
      </c>
      <c r="BL746" s="123">
        <f t="shared" si="845"/>
        <v>0</v>
      </c>
      <c r="BM746" s="123">
        <f t="shared" si="845"/>
        <v>0</v>
      </c>
      <c r="BN746" s="159">
        <f t="shared" si="845"/>
        <v>0</v>
      </c>
      <c r="BP746" s="367" t="s">
        <v>864</v>
      </c>
      <c r="BQ746" s="1536" t="str">
        <f t="shared" si="843"/>
        <v>GHG_Coala = GHG_Coala-1 + (E136 * BUI_COL (307 + ((A136 - 1) * 8) * BUI_COL3 / (J136-I136+1) / 1000000)</v>
      </c>
      <c r="BR746" s="1544"/>
      <c r="BS746" s="1544"/>
      <c r="BT746" s="1544"/>
      <c r="BU746" s="1544"/>
      <c r="BV746" s="1544"/>
      <c r="BW746" s="1544"/>
      <c r="BX746" s="1544"/>
      <c r="BY746" s="1544"/>
      <c r="BZ746" s="1544"/>
      <c r="CA746" s="1544"/>
      <c r="CB746" s="1544"/>
      <c r="CC746" s="1544"/>
      <c r="CD746" s="1544"/>
      <c r="CE746" s="1544"/>
      <c r="CF746" s="1544"/>
      <c r="CG746" s="1544"/>
      <c r="CH746" s="1537"/>
      <c r="CI746" s="578" t="s">
        <v>2227</v>
      </c>
      <c r="CJ746" s="367" t="s">
        <v>2228</v>
      </c>
      <c r="CK746" s="367" t="s">
        <v>1248</v>
      </c>
      <c r="CL746" s="580"/>
    </row>
    <row r="747" spans="32:90" ht="20.100000000000001" customHeight="1">
      <c r="AF747" s="190"/>
      <c r="AG747" s="107" t="s">
        <v>865</v>
      </c>
      <c r="AH747" s="107">
        <f>INDEX('DEFAULT DATA'!$WD$9:$WJ$41,START!$C$3,4)</f>
        <v>382</v>
      </c>
      <c r="AI747" s="432">
        <f>INDEX('DEFAULT DATA'!$AGR$9:$AJS$41,START!$C$3,(5+(($A$137-1)*8)))/IF($A$137&lt;5,INDEX('DEFAULT DATA'!$XS$9:$XV$41,START!$C$3,$A$137),1)</f>
        <v>0</v>
      </c>
      <c r="AJ747" s="115"/>
      <c r="AK747" s="180">
        <v>0</v>
      </c>
      <c r="AL747" s="123">
        <f t="shared" ref="AL747:BN747" si="846">IF(AND(AL$742&gt;($I$137+2020),AL$742&lt;($J$137+2022)),AK747+($AH$747*$E$137*$AI$747/($J$137-$I$137+1)/1000000),AK747)</f>
        <v>0</v>
      </c>
      <c r="AM747" s="123">
        <f t="shared" si="846"/>
        <v>0</v>
      </c>
      <c r="AN747" s="123">
        <f t="shared" si="846"/>
        <v>0</v>
      </c>
      <c r="AO747" s="123">
        <f t="shared" si="846"/>
        <v>0</v>
      </c>
      <c r="AP747" s="123">
        <f t="shared" si="846"/>
        <v>0</v>
      </c>
      <c r="AQ747" s="123">
        <f t="shared" si="846"/>
        <v>0</v>
      </c>
      <c r="AR747" s="123">
        <f t="shared" si="846"/>
        <v>0</v>
      </c>
      <c r="AS747" s="123">
        <f t="shared" si="846"/>
        <v>0</v>
      </c>
      <c r="AT747" s="123">
        <f t="shared" si="846"/>
        <v>0</v>
      </c>
      <c r="AU747" s="123">
        <f t="shared" si="846"/>
        <v>0</v>
      </c>
      <c r="AV747" s="123">
        <f t="shared" si="846"/>
        <v>0</v>
      </c>
      <c r="AW747" s="123">
        <f t="shared" si="846"/>
        <v>0</v>
      </c>
      <c r="AX747" s="123">
        <f t="shared" si="846"/>
        <v>0</v>
      </c>
      <c r="AY747" s="123">
        <f t="shared" si="846"/>
        <v>0</v>
      </c>
      <c r="AZ747" s="123">
        <f t="shared" si="846"/>
        <v>0</v>
      </c>
      <c r="BA747" s="123">
        <f t="shared" si="846"/>
        <v>0</v>
      </c>
      <c r="BB747" s="123">
        <f t="shared" si="846"/>
        <v>0</v>
      </c>
      <c r="BC747" s="123">
        <f t="shared" si="846"/>
        <v>0</v>
      </c>
      <c r="BD747" s="123">
        <f t="shared" si="846"/>
        <v>0</v>
      </c>
      <c r="BE747" s="123">
        <f t="shared" si="846"/>
        <v>0</v>
      </c>
      <c r="BF747" s="123">
        <f t="shared" si="846"/>
        <v>0</v>
      </c>
      <c r="BG747" s="123">
        <f t="shared" si="846"/>
        <v>0</v>
      </c>
      <c r="BH747" s="123">
        <f t="shared" si="846"/>
        <v>0</v>
      </c>
      <c r="BI747" s="123">
        <f t="shared" si="846"/>
        <v>0</v>
      </c>
      <c r="BJ747" s="123">
        <f t="shared" si="846"/>
        <v>0</v>
      </c>
      <c r="BK747" s="123">
        <f t="shared" si="846"/>
        <v>0</v>
      </c>
      <c r="BL747" s="123">
        <f t="shared" si="846"/>
        <v>0</v>
      </c>
      <c r="BM747" s="123">
        <f t="shared" si="846"/>
        <v>0</v>
      </c>
      <c r="BN747" s="159">
        <f t="shared" si="846"/>
        <v>0</v>
      </c>
      <c r="BP747" s="367" t="s">
        <v>865</v>
      </c>
      <c r="BQ747" s="1536" t="str">
        <f t="shared" si="843"/>
        <v>GHG_Peata = GHG_Peata-1 + (E136 * BUI_COL (307 + ((A136 - 1) * 8) * BUI_COL4 / (J136-I136+1) / 1000000)</v>
      </c>
      <c r="BR747" s="1544"/>
      <c r="BS747" s="1544"/>
      <c r="BT747" s="1544"/>
      <c r="BU747" s="1544"/>
      <c r="BV747" s="1544"/>
      <c r="BW747" s="1544"/>
      <c r="BX747" s="1544"/>
      <c r="BY747" s="1544"/>
      <c r="BZ747" s="1544"/>
      <c r="CA747" s="1544"/>
      <c r="CB747" s="1544"/>
      <c r="CC747" s="1544"/>
      <c r="CD747" s="1544"/>
      <c r="CE747" s="1544"/>
      <c r="CF747" s="1544"/>
      <c r="CG747" s="1544"/>
      <c r="CH747" s="1537"/>
      <c r="CI747" s="578" t="s">
        <v>2227</v>
      </c>
      <c r="CJ747" s="367" t="s">
        <v>2228</v>
      </c>
      <c r="CK747" s="367" t="s">
        <v>1249</v>
      </c>
      <c r="CL747" s="580"/>
    </row>
    <row r="748" spans="32:90" ht="20.100000000000001" customHeight="1">
      <c r="AF748" s="190"/>
      <c r="AG748" s="107" t="s">
        <v>866</v>
      </c>
      <c r="AH748" s="107">
        <f>INDEX('DEFAULT DATA'!$WD$9:$WJ$41,START!$C$3,5)</f>
        <v>403</v>
      </c>
      <c r="AI748" s="432">
        <f>INDEX('DEFAULT DATA'!$AGR$9:$AJS$41,START!$C$3,(6+(($A$137-1)*8)))/IF($A$137&lt;5,INDEX('DEFAULT DATA'!$XS$9:$XV$41,START!$C$3,$A$137),1)</f>
        <v>0</v>
      </c>
      <c r="AJ748" s="115"/>
      <c r="AK748" s="180">
        <v>0</v>
      </c>
      <c r="AL748" s="123">
        <f t="shared" ref="AL748:BN748" si="847">IF(AND(AL$742&gt;($I$137+2020),AL$742&lt;($J$137+2022)),AK748+($AH$748*$E$137*$AI$748/($J$137-$I$137+1)/1000000),AK748)</f>
        <v>0</v>
      </c>
      <c r="AM748" s="123">
        <f t="shared" si="847"/>
        <v>0</v>
      </c>
      <c r="AN748" s="123">
        <f t="shared" si="847"/>
        <v>0</v>
      </c>
      <c r="AO748" s="123">
        <f t="shared" si="847"/>
        <v>0</v>
      </c>
      <c r="AP748" s="123">
        <f t="shared" si="847"/>
        <v>0</v>
      </c>
      <c r="AQ748" s="123">
        <f t="shared" si="847"/>
        <v>0</v>
      </c>
      <c r="AR748" s="123">
        <f t="shared" si="847"/>
        <v>0</v>
      </c>
      <c r="AS748" s="123">
        <f t="shared" si="847"/>
        <v>0</v>
      </c>
      <c r="AT748" s="123">
        <f t="shared" si="847"/>
        <v>0</v>
      </c>
      <c r="AU748" s="123">
        <f t="shared" si="847"/>
        <v>0</v>
      </c>
      <c r="AV748" s="123">
        <f t="shared" si="847"/>
        <v>0</v>
      </c>
      <c r="AW748" s="123">
        <f t="shared" si="847"/>
        <v>0</v>
      </c>
      <c r="AX748" s="123">
        <f t="shared" si="847"/>
        <v>0</v>
      </c>
      <c r="AY748" s="123">
        <f t="shared" si="847"/>
        <v>0</v>
      </c>
      <c r="AZ748" s="123">
        <f t="shared" si="847"/>
        <v>0</v>
      </c>
      <c r="BA748" s="123">
        <f t="shared" si="847"/>
        <v>0</v>
      </c>
      <c r="BB748" s="123">
        <f t="shared" si="847"/>
        <v>0</v>
      </c>
      <c r="BC748" s="123">
        <f t="shared" si="847"/>
        <v>0</v>
      </c>
      <c r="BD748" s="123">
        <f t="shared" si="847"/>
        <v>0</v>
      </c>
      <c r="BE748" s="123">
        <f t="shared" si="847"/>
        <v>0</v>
      </c>
      <c r="BF748" s="123">
        <f t="shared" si="847"/>
        <v>0</v>
      </c>
      <c r="BG748" s="123">
        <f t="shared" si="847"/>
        <v>0</v>
      </c>
      <c r="BH748" s="123">
        <f t="shared" si="847"/>
        <v>0</v>
      </c>
      <c r="BI748" s="123">
        <f t="shared" si="847"/>
        <v>0</v>
      </c>
      <c r="BJ748" s="123">
        <f t="shared" si="847"/>
        <v>0</v>
      </c>
      <c r="BK748" s="123">
        <f t="shared" si="847"/>
        <v>0</v>
      </c>
      <c r="BL748" s="123">
        <f t="shared" si="847"/>
        <v>0</v>
      </c>
      <c r="BM748" s="123">
        <f t="shared" si="847"/>
        <v>0</v>
      </c>
      <c r="BN748" s="159">
        <f t="shared" si="847"/>
        <v>0</v>
      </c>
      <c r="BP748" s="367" t="s">
        <v>866</v>
      </c>
      <c r="BQ748" s="1536" t="str">
        <f t="shared" si="843"/>
        <v>GHG_Wooda = GHG_Wooda-1 + (E136 * BUI_COL (307 + ((A136 - 1) * 8) * BUI_COL5 / (J136-I136+1) / 1000000)</v>
      </c>
      <c r="BR748" s="1544"/>
      <c r="BS748" s="1544"/>
      <c r="BT748" s="1544"/>
      <c r="BU748" s="1544"/>
      <c r="BV748" s="1544"/>
      <c r="BW748" s="1544"/>
      <c r="BX748" s="1544"/>
      <c r="BY748" s="1544"/>
      <c r="BZ748" s="1544"/>
      <c r="CA748" s="1544"/>
      <c r="CB748" s="1544"/>
      <c r="CC748" s="1544"/>
      <c r="CD748" s="1544"/>
      <c r="CE748" s="1544"/>
      <c r="CF748" s="1544"/>
      <c r="CG748" s="1544"/>
      <c r="CH748" s="1537"/>
      <c r="CI748" s="578" t="s">
        <v>2227</v>
      </c>
      <c r="CJ748" s="367" t="s">
        <v>2228</v>
      </c>
      <c r="CK748" s="367" t="s">
        <v>1250</v>
      </c>
      <c r="CL748" s="580"/>
    </row>
    <row r="749" spans="32:90" ht="20.100000000000001" customHeight="1">
      <c r="AF749" s="190"/>
      <c r="AG749" s="107" t="s">
        <v>867</v>
      </c>
      <c r="AH749" s="107">
        <f>INDEX('DEFAULT DATA'!$WD$9:$WJ$41,START!$C$3,6)</f>
        <v>0</v>
      </c>
      <c r="AI749" s="432">
        <f>INDEX('DEFAULT DATA'!$AGR$9:$AJS$41,START!$C$3,(7+(($A$137-1)*8)))/IF($A$137&lt;5,INDEX('DEFAULT DATA'!$XS$9:$XV$41,START!$C$3,$A$137),1)</f>
        <v>114.97725700487953</v>
      </c>
      <c r="AJ749" s="115"/>
      <c r="AK749" s="180">
        <v>0</v>
      </c>
      <c r="AL749" s="123">
        <f t="shared" ref="AL749:BN749" si="848">IF(AND(AL$742&gt;($I$137+2020),AL$742&lt;($J$137+2022)),AK749+($AH$749*$E$137*$AI$749/($J$137-$I$137+1)/1000000),AK749)</f>
        <v>0</v>
      </c>
      <c r="AM749" s="123">
        <f t="shared" si="848"/>
        <v>0</v>
      </c>
      <c r="AN749" s="123">
        <f t="shared" si="848"/>
        <v>0</v>
      </c>
      <c r="AO749" s="123">
        <f t="shared" si="848"/>
        <v>0</v>
      </c>
      <c r="AP749" s="123">
        <f t="shared" si="848"/>
        <v>0</v>
      </c>
      <c r="AQ749" s="123">
        <f t="shared" si="848"/>
        <v>0</v>
      </c>
      <c r="AR749" s="123">
        <f t="shared" si="848"/>
        <v>0</v>
      </c>
      <c r="AS749" s="123">
        <f t="shared" si="848"/>
        <v>0</v>
      </c>
      <c r="AT749" s="123">
        <f t="shared" si="848"/>
        <v>0</v>
      </c>
      <c r="AU749" s="123">
        <f t="shared" si="848"/>
        <v>0</v>
      </c>
      <c r="AV749" s="123">
        <f t="shared" si="848"/>
        <v>0</v>
      </c>
      <c r="AW749" s="123">
        <f t="shared" si="848"/>
        <v>0</v>
      </c>
      <c r="AX749" s="123">
        <f t="shared" si="848"/>
        <v>0</v>
      </c>
      <c r="AY749" s="123">
        <f t="shared" si="848"/>
        <v>0</v>
      </c>
      <c r="AZ749" s="123">
        <f t="shared" si="848"/>
        <v>0</v>
      </c>
      <c r="BA749" s="123">
        <f t="shared" si="848"/>
        <v>0</v>
      </c>
      <c r="BB749" s="123">
        <f t="shared" si="848"/>
        <v>0</v>
      </c>
      <c r="BC749" s="123">
        <f t="shared" si="848"/>
        <v>0</v>
      </c>
      <c r="BD749" s="123">
        <f t="shared" si="848"/>
        <v>0</v>
      </c>
      <c r="BE749" s="123">
        <f t="shared" si="848"/>
        <v>0</v>
      </c>
      <c r="BF749" s="123">
        <f t="shared" si="848"/>
        <v>0</v>
      </c>
      <c r="BG749" s="123">
        <f t="shared" si="848"/>
        <v>0</v>
      </c>
      <c r="BH749" s="123">
        <f t="shared" si="848"/>
        <v>0</v>
      </c>
      <c r="BI749" s="123">
        <f t="shared" si="848"/>
        <v>0</v>
      </c>
      <c r="BJ749" s="123">
        <f t="shared" si="848"/>
        <v>0</v>
      </c>
      <c r="BK749" s="123">
        <f t="shared" si="848"/>
        <v>0</v>
      </c>
      <c r="BL749" s="123">
        <f t="shared" si="848"/>
        <v>0</v>
      </c>
      <c r="BM749" s="123">
        <f t="shared" si="848"/>
        <v>0</v>
      </c>
      <c r="BN749" s="159">
        <f t="shared" si="848"/>
        <v>0</v>
      </c>
      <c r="BP749" s="367" t="s">
        <v>867</v>
      </c>
      <c r="BQ749" s="1536" t="str">
        <f t="shared" si="843"/>
        <v>GHG_Renewablea = GHG_Renewablea-1 + (E136 * BUI_COL (307 + ((A136 - 1) * 8) * BUI_COL6 / (J136-I136+1) / 1000000)</v>
      </c>
      <c r="BR749" s="1544"/>
      <c r="BS749" s="1544"/>
      <c r="BT749" s="1544"/>
      <c r="BU749" s="1544"/>
      <c r="BV749" s="1544"/>
      <c r="BW749" s="1544"/>
      <c r="BX749" s="1544"/>
      <c r="BY749" s="1544"/>
      <c r="BZ749" s="1544"/>
      <c r="CA749" s="1544"/>
      <c r="CB749" s="1544"/>
      <c r="CC749" s="1544"/>
      <c r="CD749" s="1544"/>
      <c r="CE749" s="1544"/>
      <c r="CF749" s="1544"/>
      <c r="CG749" s="1544"/>
      <c r="CH749" s="1537"/>
      <c r="CI749" s="578" t="s">
        <v>2227</v>
      </c>
      <c r="CJ749" s="367" t="s">
        <v>2228</v>
      </c>
      <c r="CK749" s="367" t="s">
        <v>1251</v>
      </c>
      <c r="CL749" s="580"/>
    </row>
    <row r="750" spans="32:90" ht="20.100000000000001" customHeight="1" thickBot="1">
      <c r="AF750" s="191"/>
      <c r="AG750" s="146" t="s">
        <v>868</v>
      </c>
      <c r="AH750" s="146" t="s">
        <v>1123</v>
      </c>
      <c r="AI750" s="451">
        <f>INDEX('DEFAULT DATA'!$AGR$9:$AJS$41,START!$C$3,(8+(($A$137-1)*8)))/IF($A$137&lt;5,INDEX('DEFAULT DATA'!$XS$9:$XV$41,START!$C$3,$A$137),1)</f>
        <v>28.744314251219883</v>
      </c>
      <c r="AJ750" s="170"/>
      <c r="AK750" s="183">
        <v>0</v>
      </c>
      <c r="AL750" s="160">
        <f t="shared" ref="AL750:BN750" si="849">IF(AND(AL$742&gt;($I$137+2020),AL$742&lt;($J$137+2022)),AK750+(AL$6*$E$137*$AI$750/($J$137-$I$137+1)/1000000),AK750)</f>
        <v>0</v>
      </c>
      <c r="AM750" s="160">
        <f t="shared" si="849"/>
        <v>0</v>
      </c>
      <c r="AN750" s="160">
        <f t="shared" si="849"/>
        <v>0</v>
      </c>
      <c r="AO750" s="160">
        <f t="shared" si="849"/>
        <v>0</v>
      </c>
      <c r="AP750" s="160">
        <f t="shared" si="849"/>
        <v>0</v>
      </c>
      <c r="AQ750" s="160">
        <f t="shared" si="849"/>
        <v>0</v>
      </c>
      <c r="AR750" s="160">
        <f t="shared" si="849"/>
        <v>0</v>
      </c>
      <c r="AS750" s="160">
        <f t="shared" si="849"/>
        <v>0</v>
      </c>
      <c r="AT750" s="160">
        <f t="shared" si="849"/>
        <v>0</v>
      </c>
      <c r="AU750" s="160">
        <f t="shared" si="849"/>
        <v>0</v>
      </c>
      <c r="AV750" s="160">
        <f t="shared" si="849"/>
        <v>0</v>
      </c>
      <c r="AW750" s="160">
        <f t="shared" si="849"/>
        <v>0</v>
      </c>
      <c r="AX750" s="160">
        <f t="shared" si="849"/>
        <v>0</v>
      </c>
      <c r="AY750" s="160">
        <f t="shared" si="849"/>
        <v>0</v>
      </c>
      <c r="AZ750" s="160">
        <f t="shared" si="849"/>
        <v>0</v>
      </c>
      <c r="BA750" s="160">
        <f t="shared" si="849"/>
        <v>0</v>
      </c>
      <c r="BB750" s="160">
        <f t="shared" si="849"/>
        <v>0</v>
      </c>
      <c r="BC750" s="160">
        <f t="shared" si="849"/>
        <v>0</v>
      </c>
      <c r="BD750" s="160">
        <f t="shared" si="849"/>
        <v>0</v>
      </c>
      <c r="BE750" s="160">
        <f t="shared" si="849"/>
        <v>0</v>
      </c>
      <c r="BF750" s="160">
        <f t="shared" si="849"/>
        <v>0</v>
      </c>
      <c r="BG750" s="160">
        <f t="shared" si="849"/>
        <v>0</v>
      </c>
      <c r="BH750" s="160">
        <f t="shared" si="849"/>
        <v>0</v>
      </c>
      <c r="BI750" s="160">
        <f t="shared" si="849"/>
        <v>0</v>
      </c>
      <c r="BJ750" s="160">
        <f t="shared" si="849"/>
        <v>0</v>
      </c>
      <c r="BK750" s="160">
        <f t="shared" si="849"/>
        <v>0</v>
      </c>
      <c r="BL750" s="160">
        <f t="shared" si="849"/>
        <v>0</v>
      </c>
      <c r="BM750" s="160">
        <f t="shared" si="849"/>
        <v>0</v>
      </c>
      <c r="BN750" s="161">
        <f t="shared" si="849"/>
        <v>0</v>
      </c>
      <c r="BP750" s="367" t="s">
        <v>868</v>
      </c>
      <c r="BQ750" s="1536" t="str">
        <f>CONCATENATE("GHG_",BP750,"a = GHG_",BP750,"a-1 + (E136 * ",CI750," * ",CK750," / (",CJ750,") / 1000000)")</f>
        <v>GHG_Heata = GHG_Heata-1 + (E136 * BUI_COL (307 + ((A136 - 1) * 8) * DISTRICT_HEATING_emission_factora (from row 5) / (J136-I136+1) / 1000000)</v>
      </c>
      <c r="BR750" s="1544"/>
      <c r="BS750" s="1544"/>
      <c r="BT750" s="1544"/>
      <c r="BU750" s="1544"/>
      <c r="BV750" s="1544"/>
      <c r="BW750" s="1544"/>
      <c r="BX750" s="1544"/>
      <c r="BY750" s="1544"/>
      <c r="BZ750" s="1544"/>
      <c r="CA750" s="1544"/>
      <c r="CB750" s="1544"/>
      <c r="CC750" s="1544"/>
      <c r="CD750" s="1544"/>
      <c r="CE750" s="1544"/>
      <c r="CF750" s="1544"/>
      <c r="CG750" s="1544"/>
      <c r="CH750" s="1537"/>
      <c r="CI750" s="578" t="s">
        <v>2227</v>
      </c>
      <c r="CJ750" s="367" t="s">
        <v>2228</v>
      </c>
      <c r="CK750" s="367" t="s">
        <v>2222</v>
      </c>
      <c r="CL750" s="580"/>
    </row>
    <row r="751" spans="32:90" ht="20.100000000000001" customHeight="1">
      <c r="AF751" s="167"/>
      <c r="AG751" s="144" t="s">
        <v>211</v>
      </c>
      <c r="AH751" s="145"/>
      <c r="AI751" s="198"/>
      <c r="AJ751" s="145"/>
      <c r="AK751" s="179">
        <v>0</v>
      </c>
      <c r="AL751" s="162">
        <f>SUM(AL743:AL750)</f>
        <v>0</v>
      </c>
      <c r="AM751" s="162">
        <f t="shared" ref="AM751:BN751" si="850">SUM(AM743:AM750)</f>
        <v>0</v>
      </c>
      <c r="AN751" s="162">
        <f t="shared" si="850"/>
        <v>0</v>
      </c>
      <c r="AO751" s="162">
        <f t="shared" si="850"/>
        <v>0</v>
      </c>
      <c r="AP751" s="162">
        <f t="shared" si="850"/>
        <v>0</v>
      </c>
      <c r="AQ751" s="162">
        <f t="shared" si="850"/>
        <v>0</v>
      </c>
      <c r="AR751" s="162">
        <f t="shared" si="850"/>
        <v>0</v>
      </c>
      <c r="AS751" s="162">
        <f t="shared" si="850"/>
        <v>0</v>
      </c>
      <c r="AT751" s="162">
        <f t="shared" si="850"/>
        <v>0</v>
      </c>
      <c r="AU751" s="162">
        <f t="shared" si="850"/>
        <v>0</v>
      </c>
      <c r="AV751" s="162">
        <f t="shared" si="850"/>
        <v>0</v>
      </c>
      <c r="AW751" s="162">
        <f t="shared" si="850"/>
        <v>0</v>
      </c>
      <c r="AX751" s="162">
        <f t="shared" si="850"/>
        <v>0</v>
      </c>
      <c r="AY751" s="162">
        <f t="shared" si="850"/>
        <v>0</v>
      </c>
      <c r="AZ751" s="162">
        <f t="shared" si="850"/>
        <v>0</v>
      </c>
      <c r="BA751" s="162">
        <f t="shared" si="850"/>
        <v>0</v>
      </c>
      <c r="BB751" s="162">
        <f t="shared" si="850"/>
        <v>0</v>
      </c>
      <c r="BC751" s="162">
        <f t="shared" si="850"/>
        <v>0</v>
      </c>
      <c r="BD751" s="162">
        <f t="shared" si="850"/>
        <v>0</v>
      </c>
      <c r="BE751" s="162">
        <f t="shared" si="850"/>
        <v>0</v>
      </c>
      <c r="BF751" s="162">
        <f t="shared" si="850"/>
        <v>0</v>
      </c>
      <c r="BG751" s="162">
        <f t="shared" si="850"/>
        <v>0</v>
      </c>
      <c r="BH751" s="162">
        <f t="shared" si="850"/>
        <v>0</v>
      </c>
      <c r="BI751" s="162">
        <f t="shared" si="850"/>
        <v>0</v>
      </c>
      <c r="BJ751" s="162">
        <f t="shared" si="850"/>
        <v>0</v>
      </c>
      <c r="BK751" s="162">
        <f t="shared" si="850"/>
        <v>0</v>
      </c>
      <c r="BL751" s="162">
        <f t="shared" si="850"/>
        <v>0</v>
      </c>
      <c r="BM751" s="162">
        <f t="shared" si="850"/>
        <v>0</v>
      </c>
      <c r="BN751" s="162">
        <f t="shared" si="850"/>
        <v>0</v>
      </c>
    </row>
    <row r="752" spans="32:90" ht="20.100000000000001" customHeight="1">
      <c r="AI752" s="199"/>
    </row>
    <row r="753" spans="32:90" ht="20.100000000000001" customHeight="1" thickBot="1">
      <c r="AF753" s="168" t="s">
        <v>1140</v>
      </c>
      <c r="AG753" s="168"/>
      <c r="AH753" s="169" t="s">
        <v>620</v>
      </c>
      <c r="AI753" s="1542" t="s">
        <v>2168</v>
      </c>
      <c r="AJ753" s="1543"/>
      <c r="AK753" s="181">
        <v>2021</v>
      </c>
      <c r="AL753" s="135">
        <v>2022</v>
      </c>
      <c r="AM753" s="135">
        <v>2023</v>
      </c>
      <c r="AN753" s="135">
        <v>2024</v>
      </c>
      <c r="AO753" s="135">
        <v>2025</v>
      </c>
      <c r="AP753" s="135">
        <v>2026</v>
      </c>
      <c r="AQ753" s="135">
        <v>2027</v>
      </c>
      <c r="AR753" s="135">
        <v>2028</v>
      </c>
      <c r="AS753" s="135">
        <v>2029</v>
      </c>
      <c r="AT753" s="135">
        <v>2030</v>
      </c>
      <c r="AU753" s="135">
        <v>2031</v>
      </c>
      <c r="AV753" s="135">
        <v>2032</v>
      </c>
      <c r="AW753" s="135">
        <v>2033</v>
      </c>
      <c r="AX753" s="135">
        <v>2034</v>
      </c>
      <c r="AY753" s="135">
        <v>2035</v>
      </c>
      <c r="AZ753" s="135">
        <v>2036</v>
      </c>
      <c r="BA753" s="135">
        <v>2037</v>
      </c>
      <c r="BB753" s="135">
        <v>2038</v>
      </c>
      <c r="BC753" s="135">
        <v>2039</v>
      </c>
      <c r="BD753" s="135">
        <v>2040</v>
      </c>
      <c r="BE753" s="135">
        <v>2041</v>
      </c>
      <c r="BF753" s="135">
        <v>2042</v>
      </c>
      <c r="BG753" s="135">
        <v>2043</v>
      </c>
      <c r="BH753" s="135">
        <v>2044</v>
      </c>
      <c r="BI753" s="135">
        <v>2045</v>
      </c>
      <c r="BJ753" s="135">
        <v>2046</v>
      </c>
      <c r="BK753" s="135">
        <v>2047</v>
      </c>
      <c r="BL753" s="135">
        <v>2048</v>
      </c>
      <c r="BM753" s="135">
        <v>2049</v>
      </c>
      <c r="BN753" s="135">
        <v>2050</v>
      </c>
      <c r="BQ753" s="82" t="s">
        <v>2242</v>
      </c>
      <c r="BR753" s="250"/>
      <c r="BS753" s="250"/>
      <c r="BT753" s="250"/>
      <c r="BU753" s="250"/>
      <c r="BV753" s="250"/>
      <c r="BW753" s="250"/>
      <c r="BX753" s="250"/>
      <c r="BY753" s="250"/>
      <c r="BZ753" s="250"/>
      <c r="CA753" s="250"/>
      <c r="CB753" s="250"/>
      <c r="CC753" s="250"/>
      <c r="CD753" s="250"/>
      <c r="CE753" s="250"/>
      <c r="CF753" s="250"/>
      <c r="CG753" s="250"/>
      <c r="CH753" s="250"/>
      <c r="CI753" s="605" t="s">
        <v>1393</v>
      </c>
      <c r="CJ753" s="130" t="s">
        <v>2172</v>
      </c>
      <c r="CK753" s="606" t="s">
        <v>1224</v>
      </c>
    </row>
    <row r="754" spans="32:90" ht="20.100000000000001" customHeight="1">
      <c r="AF754" s="97" t="str">
        <f>CONCATENATE("conversion from ",INDEX('MENU OPTIONS'!$B$27:$B$36,$A$138,1))</f>
        <v>conversion from Apartment</v>
      </c>
      <c r="AG754" s="137" t="s">
        <v>578</v>
      </c>
      <c r="AH754" s="137" t="s">
        <v>1122</v>
      </c>
      <c r="AI754" s="602">
        <f>INDEX('DEFAULT DATA'!$AGR$9:$AJS$41,START!$C$3,(1+(($A$138-1)*8)))/IF($A$138&lt;5,INDEX('DEFAULT DATA'!$XS$9:$XV$41,START!$C$3,$A$138),1)</f>
        <v>40.242039951707838</v>
      </c>
      <c r="AJ754" s="165"/>
      <c r="AK754" s="178">
        <v>0</v>
      </c>
      <c r="AL754" s="157">
        <f t="shared" ref="AL754:BN754" si="851">IF(AND(AL$753&gt;($I$138+2020),AL$753&lt;($J$138+2022)),AK754+(AL$5*$E$138*$AI$754/($J$138-$I$138+1)/1000000),AK754)</f>
        <v>0</v>
      </c>
      <c r="AM754" s="157">
        <f t="shared" si="851"/>
        <v>0</v>
      </c>
      <c r="AN754" s="157">
        <f t="shared" si="851"/>
        <v>0</v>
      </c>
      <c r="AO754" s="157">
        <f t="shared" si="851"/>
        <v>0</v>
      </c>
      <c r="AP754" s="157">
        <f t="shared" si="851"/>
        <v>0</v>
      </c>
      <c r="AQ754" s="157">
        <f t="shared" si="851"/>
        <v>0</v>
      </c>
      <c r="AR754" s="157">
        <f t="shared" si="851"/>
        <v>0</v>
      </c>
      <c r="AS754" s="157">
        <f t="shared" si="851"/>
        <v>0</v>
      </c>
      <c r="AT754" s="157">
        <f t="shared" si="851"/>
        <v>0</v>
      </c>
      <c r="AU754" s="157">
        <f t="shared" si="851"/>
        <v>0</v>
      </c>
      <c r="AV754" s="157">
        <f t="shared" si="851"/>
        <v>0</v>
      </c>
      <c r="AW754" s="157">
        <f t="shared" si="851"/>
        <v>0</v>
      </c>
      <c r="AX754" s="157">
        <f t="shared" si="851"/>
        <v>0</v>
      </c>
      <c r="AY754" s="157">
        <f t="shared" si="851"/>
        <v>0</v>
      </c>
      <c r="AZ754" s="157">
        <f t="shared" si="851"/>
        <v>0</v>
      </c>
      <c r="BA754" s="157">
        <f t="shared" si="851"/>
        <v>0</v>
      </c>
      <c r="BB754" s="157">
        <f t="shared" si="851"/>
        <v>0</v>
      </c>
      <c r="BC754" s="157">
        <f t="shared" si="851"/>
        <v>0</v>
      </c>
      <c r="BD754" s="157">
        <f t="shared" si="851"/>
        <v>0</v>
      </c>
      <c r="BE754" s="157">
        <f t="shared" si="851"/>
        <v>0</v>
      </c>
      <c r="BF754" s="157">
        <f t="shared" si="851"/>
        <v>0</v>
      </c>
      <c r="BG754" s="157">
        <f t="shared" si="851"/>
        <v>0</v>
      </c>
      <c r="BH754" s="157">
        <f t="shared" si="851"/>
        <v>0</v>
      </c>
      <c r="BI754" s="157">
        <f t="shared" si="851"/>
        <v>0</v>
      </c>
      <c r="BJ754" s="157">
        <f t="shared" si="851"/>
        <v>0</v>
      </c>
      <c r="BK754" s="157">
        <f t="shared" si="851"/>
        <v>0</v>
      </c>
      <c r="BL754" s="157">
        <f t="shared" si="851"/>
        <v>0</v>
      </c>
      <c r="BM754" s="157">
        <f t="shared" si="851"/>
        <v>0</v>
      </c>
      <c r="BN754" s="158">
        <f t="shared" si="851"/>
        <v>0</v>
      </c>
      <c r="BP754" s="367" t="s">
        <v>578</v>
      </c>
      <c r="BQ754" s="1536" t="str">
        <f>CONCATENATE("GHG_",BP754,"a = GHG_",BP754,"a-1 + (E137 * ",CI754," * ",CK754," / (",CJ754,") / 1000000)")</f>
        <v>GHG_Electricitya = GHG_Electricitya-1 + (E137 * BUI_COL (307 + ((A137 - 1) * 8) * GRID_ELECTRICITY_emission_factora (from row4) / (J137-I137+1) / 1000000)</v>
      </c>
      <c r="BR754" s="1544"/>
      <c r="BS754" s="1544"/>
      <c r="BT754" s="1544"/>
      <c r="BU754" s="1544"/>
      <c r="BV754" s="1544"/>
      <c r="BW754" s="1544"/>
      <c r="BX754" s="1544"/>
      <c r="BY754" s="1544"/>
      <c r="BZ754" s="1544"/>
      <c r="CA754" s="1544"/>
      <c r="CB754" s="1544"/>
      <c r="CC754" s="1544"/>
      <c r="CD754" s="1544"/>
      <c r="CE754" s="1544"/>
      <c r="CF754" s="1544"/>
      <c r="CG754" s="1544"/>
      <c r="CH754" s="1537"/>
      <c r="CI754" s="578" t="s">
        <v>2229</v>
      </c>
      <c r="CJ754" s="367" t="s">
        <v>2230</v>
      </c>
      <c r="CK754" s="367" t="s">
        <v>2221</v>
      </c>
      <c r="CL754" s="580"/>
    </row>
    <row r="755" spans="32:90" ht="20.100000000000001" customHeight="1">
      <c r="AF755" s="190"/>
      <c r="AG755" s="107" t="s">
        <v>862</v>
      </c>
      <c r="AH755" s="107">
        <f>INDEX('DEFAULT DATA'!$WD$9:$WJ$41,START!$C$3,1)</f>
        <v>202</v>
      </c>
      <c r="AI755" s="432">
        <f>INDEX('DEFAULT DATA'!$AGR$9:$AJS$41,START!$C$3,(2+(($A$138-1)*8)))/IF($A$138&lt;5,INDEX('DEFAULT DATA'!$XS$9:$XV$41,START!$C$3,$A$138),1)</f>
        <v>91.981805603903624</v>
      </c>
      <c r="AJ755" s="115"/>
      <c r="AK755" s="180">
        <v>0</v>
      </c>
      <c r="AL755" s="123">
        <f t="shared" ref="AL755:BN755" si="852">IF(AND(AL$753&gt;($I$138+2020),AL$753&lt;($J$138+2022)),AK755+($AH$755*$E$138*$AI$755/($J$138-$I$138+1)/1000000),AK755)</f>
        <v>0</v>
      </c>
      <c r="AM755" s="123">
        <f t="shared" si="852"/>
        <v>0</v>
      </c>
      <c r="AN755" s="123">
        <f t="shared" si="852"/>
        <v>0</v>
      </c>
      <c r="AO755" s="123">
        <f t="shared" si="852"/>
        <v>0</v>
      </c>
      <c r="AP755" s="123">
        <f t="shared" si="852"/>
        <v>0</v>
      </c>
      <c r="AQ755" s="123">
        <f t="shared" si="852"/>
        <v>0</v>
      </c>
      <c r="AR755" s="123">
        <f t="shared" si="852"/>
        <v>0</v>
      </c>
      <c r="AS755" s="123">
        <f t="shared" si="852"/>
        <v>0</v>
      </c>
      <c r="AT755" s="123">
        <f t="shared" si="852"/>
        <v>0</v>
      </c>
      <c r="AU755" s="123">
        <f t="shared" si="852"/>
        <v>0</v>
      </c>
      <c r="AV755" s="123">
        <f t="shared" si="852"/>
        <v>0</v>
      </c>
      <c r="AW755" s="123">
        <f t="shared" si="852"/>
        <v>0</v>
      </c>
      <c r="AX755" s="123">
        <f t="shared" si="852"/>
        <v>0</v>
      </c>
      <c r="AY755" s="123">
        <f t="shared" si="852"/>
        <v>0</v>
      </c>
      <c r="AZ755" s="123">
        <f t="shared" si="852"/>
        <v>0</v>
      </c>
      <c r="BA755" s="123">
        <f t="shared" si="852"/>
        <v>0</v>
      </c>
      <c r="BB755" s="123">
        <f t="shared" si="852"/>
        <v>0</v>
      </c>
      <c r="BC755" s="123">
        <f t="shared" si="852"/>
        <v>0</v>
      </c>
      <c r="BD755" s="123">
        <f t="shared" si="852"/>
        <v>0</v>
      </c>
      <c r="BE755" s="123">
        <f t="shared" si="852"/>
        <v>0</v>
      </c>
      <c r="BF755" s="123">
        <f t="shared" si="852"/>
        <v>0</v>
      </c>
      <c r="BG755" s="123">
        <f t="shared" si="852"/>
        <v>0</v>
      </c>
      <c r="BH755" s="123">
        <f t="shared" si="852"/>
        <v>0</v>
      </c>
      <c r="BI755" s="123">
        <f t="shared" si="852"/>
        <v>0</v>
      </c>
      <c r="BJ755" s="123">
        <f t="shared" si="852"/>
        <v>0</v>
      </c>
      <c r="BK755" s="123">
        <f t="shared" si="852"/>
        <v>0</v>
      </c>
      <c r="BL755" s="123">
        <f t="shared" si="852"/>
        <v>0</v>
      </c>
      <c r="BM755" s="123">
        <f t="shared" si="852"/>
        <v>0</v>
      </c>
      <c r="BN755" s="159">
        <f t="shared" si="852"/>
        <v>0</v>
      </c>
      <c r="BP755" s="367" t="s">
        <v>862</v>
      </c>
      <c r="BQ755" s="1536" t="str">
        <f t="shared" ref="BQ755:BQ761" si="853">CONCATENATE("GHG_",BP755,"a = GHG_",BP755,"a-1 + (E137 * ",CI755," * ",CK755," / (",CJ755,") / 1000000)")</f>
        <v>GHG_Gasa = GHG_Gasa-1 + (E137 * BUI_COL (307 + ((A137 - 1) * 8) * BUI_COL1 / (J137-I137+1) / 1000000)</v>
      </c>
      <c r="BR755" s="1544"/>
      <c r="BS755" s="1544"/>
      <c r="BT755" s="1544"/>
      <c r="BU755" s="1544"/>
      <c r="BV755" s="1544"/>
      <c r="BW755" s="1544"/>
      <c r="BX755" s="1544"/>
      <c r="BY755" s="1544"/>
      <c r="BZ755" s="1544"/>
      <c r="CA755" s="1544"/>
      <c r="CB755" s="1544"/>
      <c r="CC755" s="1544"/>
      <c r="CD755" s="1544"/>
      <c r="CE755" s="1544"/>
      <c r="CF755" s="1544"/>
      <c r="CG755" s="1544"/>
      <c r="CH755" s="1537"/>
      <c r="CI755" s="578" t="s">
        <v>2229</v>
      </c>
      <c r="CJ755" s="367" t="s">
        <v>2230</v>
      </c>
      <c r="CK755" s="367" t="s">
        <v>886</v>
      </c>
      <c r="CL755" s="580"/>
    </row>
    <row r="756" spans="32:90" ht="20.100000000000001" customHeight="1">
      <c r="AF756" s="27"/>
      <c r="AG756" s="107" t="s">
        <v>863</v>
      </c>
      <c r="AH756" s="107">
        <f>INDEX('DEFAULT DATA'!$WD$9:$WJ$41,START!$C$3,2)</f>
        <v>267</v>
      </c>
      <c r="AI756" s="432">
        <f>INDEX('DEFAULT DATA'!$AGR$9:$AJS$41,START!$C$3,(3+(($A$138-1)*8)))/IF($A$138&lt;5,INDEX('DEFAULT DATA'!$XS$9:$XV$41,START!$C$3,$A$138),1)</f>
        <v>11.497725700487953</v>
      </c>
      <c r="AJ756" s="115"/>
      <c r="AK756" s="180">
        <v>0</v>
      </c>
      <c r="AL756" s="123">
        <f t="shared" ref="AL756:BN756" si="854">IF(AND(AL$753&gt;($I$138+2020),AL$753&lt;($J$138+2022)),AK756+($AH$756*$E$138*$AI$756/($J$138-$I$138+1)/1000000),AK756)</f>
        <v>0</v>
      </c>
      <c r="AM756" s="123">
        <f t="shared" si="854"/>
        <v>0</v>
      </c>
      <c r="AN756" s="123">
        <f t="shared" si="854"/>
        <v>0</v>
      </c>
      <c r="AO756" s="123">
        <f t="shared" si="854"/>
        <v>0</v>
      </c>
      <c r="AP756" s="123">
        <f t="shared" si="854"/>
        <v>0</v>
      </c>
      <c r="AQ756" s="123">
        <f t="shared" si="854"/>
        <v>0</v>
      </c>
      <c r="AR756" s="123">
        <f t="shared" si="854"/>
        <v>0</v>
      </c>
      <c r="AS756" s="123">
        <f t="shared" si="854"/>
        <v>0</v>
      </c>
      <c r="AT756" s="123">
        <f t="shared" si="854"/>
        <v>0</v>
      </c>
      <c r="AU756" s="123">
        <f t="shared" si="854"/>
        <v>0</v>
      </c>
      <c r="AV756" s="123">
        <f t="shared" si="854"/>
        <v>0</v>
      </c>
      <c r="AW756" s="123">
        <f t="shared" si="854"/>
        <v>0</v>
      </c>
      <c r="AX756" s="123">
        <f t="shared" si="854"/>
        <v>0</v>
      </c>
      <c r="AY756" s="123">
        <f t="shared" si="854"/>
        <v>0</v>
      </c>
      <c r="AZ756" s="123">
        <f t="shared" si="854"/>
        <v>0</v>
      </c>
      <c r="BA756" s="123">
        <f t="shared" si="854"/>
        <v>0</v>
      </c>
      <c r="BB756" s="123">
        <f t="shared" si="854"/>
        <v>0</v>
      </c>
      <c r="BC756" s="123">
        <f t="shared" si="854"/>
        <v>0</v>
      </c>
      <c r="BD756" s="123">
        <f t="shared" si="854"/>
        <v>0</v>
      </c>
      <c r="BE756" s="123">
        <f t="shared" si="854"/>
        <v>0</v>
      </c>
      <c r="BF756" s="123">
        <f t="shared" si="854"/>
        <v>0</v>
      </c>
      <c r="BG756" s="123">
        <f t="shared" si="854"/>
        <v>0</v>
      </c>
      <c r="BH756" s="123">
        <f t="shared" si="854"/>
        <v>0</v>
      </c>
      <c r="BI756" s="123">
        <f t="shared" si="854"/>
        <v>0</v>
      </c>
      <c r="BJ756" s="123">
        <f t="shared" si="854"/>
        <v>0</v>
      </c>
      <c r="BK756" s="123">
        <f t="shared" si="854"/>
        <v>0</v>
      </c>
      <c r="BL756" s="123">
        <f t="shared" si="854"/>
        <v>0</v>
      </c>
      <c r="BM756" s="123">
        <f t="shared" si="854"/>
        <v>0</v>
      </c>
      <c r="BN756" s="159">
        <f t="shared" si="854"/>
        <v>0</v>
      </c>
      <c r="BP756" s="367" t="s">
        <v>863</v>
      </c>
      <c r="BQ756" s="1536" t="str">
        <f t="shared" si="853"/>
        <v>GHG_Oila = GHG_Oila-1 + (E137 * BUI_COL (307 + ((A137 - 1) * 8) * BUI_COL2 / (J137-I137+1) / 1000000)</v>
      </c>
      <c r="BR756" s="1544"/>
      <c r="BS756" s="1544"/>
      <c r="BT756" s="1544"/>
      <c r="BU756" s="1544"/>
      <c r="BV756" s="1544"/>
      <c r="BW756" s="1544"/>
      <c r="BX756" s="1544"/>
      <c r="BY756" s="1544"/>
      <c r="BZ756" s="1544"/>
      <c r="CA756" s="1544"/>
      <c r="CB756" s="1544"/>
      <c r="CC756" s="1544"/>
      <c r="CD756" s="1544"/>
      <c r="CE756" s="1544"/>
      <c r="CF756" s="1544"/>
      <c r="CG756" s="1544"/>
      <c r="CH756" s="1537"/>
      <c r="CI756" s="578" t="s">
        <v>2229</v>
      </c>
      <c r="CJ756" s="367" t="s">
        <v>2230</v>
      </c>
      <c r="CK756" s="367" t="s">
        <v>1247</v>
      </c>
      <c r="CL756" s="580"/>
    </row>
    <row r="757" spans="32:90" ht="20.100000000000001" customHeight="1">
      <c r="AF757" s="27"/>
      <c r="AG757" s="107" t="s">
        <v>864</v>
      </c>
      <c r="AH757" s="107">
        <f>INDEX('DEFAULT DATA'!$WD$9:$WJ$41,START!$C$3,3)</f>
        <v>354</v>
      </c>
      <c r="AI757" s="432">
        <f>INDEX('DEFAULT DATA'!$AGR$9:$AJS$41,START!$C$3,(4+(($A$138-1)*8)))/IF($A$138&lt;5,INDEX('DEFAULT DATA'!$XS$9:$XV$41,START!$C$3,$A$138),1)</f>
        <v>0</v>
      </c>
      <c r="AJ757" s="115"/>
      <c r="AK757" s="180">
        <v>0</v>
      </c>
      <c r="AL757" s="123">
        <f t="shared" ref="AL757:BN757" si="855">IF(AND(AL$753&gt;($I$138+2020),AL$753&lt;($J$138+2022)),AK757+($AH$757*$E$138*$AI$757/($J$138-$I$138+1)/1000000),AK757)</f>
        <v>0</v>
      </c>
      <c r="AM757" s="123">
        <f t="shared" si="855"/>
        <v>0</v>
      </c>
      <c r="AN757" s="123">
        <f t="shared" si="855"/>
        <v>0</v>
      </c>
      <c r="AO757" s="123">
        <f t="shared" si="855"/>
        <v>0</v>
      </c>
      <c r="AP757" s="123">
        <f t="shared" si="855"/>
        <v>0</v>
      </c>
      <c r="AQ757" s="123">
        <f t="shared" si="855"/>
        <v>0</v>
      </c>
      <c r="AR757" s="123">
        <f t="shared" si="855"/>
        <v>0</v>
      </c>
      <c r="AS757" s="123">
        <f t="shared" si="855"/>
        <v>0</v>
      </c>
      <c r="AT757" s="123">
        <f t="shared" si="855"/>
        <v>0</v>
      </c>
      <c r="AU757" s="123">
        <f t="shared" si="855"/>
        <v>0</v>
      </c>
      <c r="AV757" s="123">
        <f t="shared" si="855"/>
        <v>0</v>
      </c>
      <c r="AW757" s="123">
        <f t="shared" si="855"/>
        <v>0</v>
      </c>
      <c r="AX757" s="123">
        <f t="shared" si="855"/>
        <v>0</v>
      </c>
      <c r="AY757" s="123">
        <f t="shared" si="855"/>
        <v>0</v>
      </c>
      <c r="AZ757" s="123">
        <f t="shared" si="855"/>
        <v>0</v>
      </c>
      <c r="BA757" s="123">
        <f t="shared" si="855"/>
        <v>0</v>
      </c>
      <c r="BB757" s="123">
        <f t="shared" si="855"/>
        <v>0</v>
      </c>
      <c r="BC757" s="123">
        <f t="shared" si="855"/>
        <v>0</v>
      </c>
      <c r="BD757" s="123">
        <f t="shared" si="855"/>
        <v>0</v>
      </c>
      <c r="BE757" s="123">
        <f t="shared" si="855"/>
        <v>0</v>
      </c>
      <c r="BF757" s="123">
        <f t="shared" si="855"/>
        <v>0</v>
      </c>
      <c r="BG757" s="123">
        <f t="shared" si="855"/>
        <v>0</v>
      </c>
      <c r="BH757" s="123">
        <f t="shared" si="855"/>
        <v>0</v>
      </c>
      <c r="BI757" s="123">
        <f t="shared" si="855"/>
        <v>0</v>
      </c>
      <c r="BJ757" s="123">
        <f t="shared" si="855"/>
        <v>0</v>
      </c>
      <c r="BK757" s="123">
        <f t="shared" si="855"/>
        <v>0</v>
      </c>
      <c r="BL757" s="123">
        <f t="shared" si="855"/>
        <v>0</v>
      </c>
      <c r="BM757" s="123">
        <f t="shared" si="855"/>
        <v>0</v>
      </c>
      <c r="BN757" s="159">
        <f t="shared" si="855"/>
        <v>0</v>
      </c>
      <c r="BP757" s="367" t="s">
        <v>864</v>
      </c>
      <c r="BQ757" s="1536" t="str">
        <f t="shared" si="853"/>
        <v>GHG_Coala = GHG_Coala-1 + (E137 * BUI_COL (307 + ((A137 - 1) * 8) * BUI_COL3 / (J137-I137+1) / 1000000)</v>
      </c>
      <c r="BR757" s="1544"/>
      <c r="BS757" s="1544"/>
      <c r="BT757" s="1544"/>
      <c r="BU757" s="1544"/>
      <c r="BV757" s="1544"/>
      <c r="BW757" s="1544"/>
      <c r="BX757" s="1544"/>
      <c r="BY757" s="1544"/>
      <c r="BZ757" s="1544"/>
      <c r="CA757" s="1544"/>
      <c r="CB757" s="1544"/>
      <c r="CC757" s="1544"/>
      <c r="CD757" s="1544"/>
      <c r="CE757" s="1544"/>
      <c r="CF757" s="1544"/>
      <c r="CG757" s="1544"/>
      <c r="CH757" s="1537"/>
      <c r="CI757" s="578" t="s">
        <v>2229</v>
      </c>
      <c r="CJ757" s="367" t="s">
        <v>2230</v>
      </c>
      <c r="CK757" s="367" t="s">
        <v>1248</v>
      </c>
      <c r="CL757" s="580"/>
    </row>
    <row r="758" spans="32:90" ht="20.100000000000001" customHeight="1">
      <c r="AF758" s="190"/>
      <c r="AG758" s="107" t="s">
        <v>865</v>
      </c>
      <c r="AH758" s="107">
        <f>INDEX('DEFAULT DATA'!$WD$9:$WJ$41,START!$C$3,4)</f>
        <v>382</v>
      </c>
      <c r="AI758" s="432">
        <f>INDEX('DEFAULT DATA'!$AGR$9:$AJS$41,START!$C$3,(5+(($A$138-1)*8)))/IF($A$138&lt;5,INDEX('DEFAULT DATA'!$XS$9:$XV$41,START!$C$3,$A$138),1)</f>
        <v>0</v>
      </c>
      <c r="AJ758" s="115"/>
      <c r="AK758" s="180">
        <v>0</v>
      </c>
      <c r="AL758" s="123">
        <f t="shared" ref="AL758:BN758" si="856">IF(AND(AL$753&gt;($I$138+2020),AL$753&lt;($J$138+2022)),AK758+($AH$758*$E$138*$AI$758/($J$138-$I$138+1)/1000000),AK758)</f>
        <v>0</v>
      </c>
      <c r="AM758" s="123">
        <f t="shared" si="856"/>
        <v>0</v>
      </c>
      <c r="AN758" s="123">
        <f t="shared" si="856"/>
        <v>0</v>
      </c>
      <c r="AO758" s="123">
        <f t="shared" si="856"/>
        <v>0</v>
      </c>
      <c r="AP758" s="123">
        <f t="shared" si="856"/>
        <v>0</v>
      </c>
      <c r="AQ758" s="123">
        <f t="shared" si="856"/>
        <v>0</v>
      </c>
      <c r="AR758" s="123">
        <f t="shared" si="856"/>
        <v>0</v>
      </c>
      <c r="AS758" s="123">
        <f t="shared" si="856"/>
        <v>0</v>
      </c>
      <c r="AT758" s="123">
        <f t="shared" si="856"/>
        <v>0</v>
      </c>
      <c r="AU758" s="123">
        <f t="shared" si="856"/>
        <v>0</v>
      </c>
      <c r="AV758" s="123">
        <f t="shared" si="856"/>
        <v>0</v>
      </c>
      <c r="AW758" s="123">
        <f t="shared" si="856"/>
        <v>0</v>
      </c>
      <c r="AX758" s="123">
        <f t="shared" si="856"/>
        <v>0</v>
      </c>
      <c r="AY758" s="123">
        <f t="shared" si="856"/>
        <v>0</v>
      </c>
      <c r="AZ758" s="123">
        <f t="shared" si="856"/>
        <v>0</v>
      </c>
      <c r="BA758" s="123">
        <f t="shared" si="856"/>
        <v>0</v>
      </c>
      <c r="BB758" s="123">
        <f t="shared" si="856"/>
        <v>0</v>
      </c>
      <c r="BC758" s="123">
        <f t="shared" si="856"/>
        <v>0</v>
      </c>
      <c r="BD758" s="123">
        <f t="shared" si="856"/>
        <v>0</v>
      </c>
      <c r="BE758" s="123">
        <f t="shared" si="856"/>
        <v>0</v>
      </c>
      <c r="BF758" s="123">
        <f t="shared" si="856"/>
        <v>0</v>
      </c>
      <c r="BG758" s="123">
        <f t="shared" si="856"/>
        <v>0</v>
      </c>
      <c r="BH758" s="123">
        <f t="shared" si="856"/>
        <v>0</v>
      </c>
      <c r="BI758" s="123">
        <f t="shared" si="856"/>
        <v>0</v>
      </c>
      <c r="BJ758" s="123">
        <f t="shared" si="856"/>
        <v>0</v>
      </c>
      <c r="BK758" s="123">
        <f t="shared" si="856"/>
        <v>0</v>
      </c>
      <c r="BL758" s="123">
        <f t="shared" si="856"/>
        <v>0</v>
      </c>
      <c r="BM758" s="123">
        <f t="shared" si="856"/>
        <v>0</v>
      </c>
      <c r="BN758" s="159">
        <f t="shared" si="856"/>
        <v>0</v>
      </c>
      <c r="BP758" s="367" t="s">
        <v>865</v>
      </c>
      <c r="BQ758" s="1536" t="str">
        <f t="shared" si="853"/>
        <v>GHG_Peata = GHG_Peata-1 + (E137 * BUI_COL (307 + ((A137 - 1) * 8) * BUI_COL4 / (J137-I137+1) / 1000000)</v>
      </c>
      <c r="BR758" s="1544"/>
      <c r="BS758" s="1544"/>
      <c r="BT758" s="1544"/>
      <c r="BU758" s="1544"/>
      <c r="BV758" s="1544"/>
      <c r="BW758" s="1544"/>
      <c r="BX758" s="1544"/>
      <c r="BY758" s="1544"/>
      <c r="BZ758" s="1544"/>
      <c r="CA758" s="1544"/>
      <c r="CB758" s="1544"/>
      <c r="CC758" s="1544"/>
      <c r="CD758" s="1544"/>
      <c r="CE758" s="1544"/>
      <c r="CF758" s="1544"/>
      <c r="CG758" s="1544"/>
      <c r="CH758" s="1537"/>
      <c r="CI758" s="578" t="s">
        <v>2229</v>
      </c>
      <c r="CJ758" s="367" t="s">
        <v>2230</v>
      </c>
      <c r="CK758" s="367" t="s">
        <v>1249</v>
      </c>
      <c r="CL758" s="580"/>
    </row>
    <row r="759" spans="32:90" ht="20.100000000000001" customHeight="1">
      <c r="AF759" s="190"/>
      <c r="AG759" s="107" t="s">
        <v>866</v>
      </c>
      <c r="AH759" s="107">
        <f>INDEX('DEFAULT DATA'!$WD$9:$WJ$41,START!$C$3,5)</f>
        <v>403</v>
      </c>
      <c r="AI759" s="432">
        <f>INDEX('DEFAULT DATA'!$AGR$9:$AJS$41,START!$C$3,(6+(($A$138-1)*8)))/IF($A$138&lt;5,INDEX('DEFAULT DATA'!$XS$9:$XV$41,START!$C$3,$A$138),1)</f>
        <v>0</v>
      </c>
      <c r="AJ759" s="115"/>
      <c r="AK759" s="180">
        <v>0</v>
      </c>
      <c r="AL759" s="123">
        <f t="shared" ref="AL759:BN759" si="857">IF(AND(AL$753&gt;($I$138+2020),AL$753&lt;($J$138+2022)),AK759+($AH$759*$E$138*$AI$759/($J$138-$I$138+1)/1000000),AK759)</f>
        <v>0</v>
      </c>
      <c r="AM759" s="123">
        <f t="shared" si="857"/>
        <v>0</v>
      </c>
      <c r="AN759" s="123">
        <f t="shared" si="857"/>
        <v>0</v>
      </c>
      <c r="AO759" s="123">
        <f t="shared" si="857"/>
        <v>0</v>
      </c>
      <c r="AP759" s="123">
        <f t="shared" si="857"/>
        <v>0</v>
      </c>
      <c r="AQ759" s="123">
        <f t="shared" si="857"/>
        <v>0</v>
      </c>
      <c r="AR759" s="123">
        <f t="shared" si="857"/>
        <v>0</v>
      </c>
      <c r="AS759" s="123">
        <f t="shared" si="857"/>
        <v>0</v>
      </c>
      <c r="AT759" s="123">
        <f t="shared" si="857"/>
        <v>0</v>
      </c>
      <c r="AU759" s="123">
        <f t="shared" si="857"/>
        <v>0</v>
      </c>
      <c r="AV759" s="123">
        <f t="shared" si="857"/>
        <v>0</v>
      </c>
      <c r="AW759" s="123">
        <f t="shared" si="857"/>
        <v>0</v>
      </c>
      <c r="AX759" s="123">
        <f t="shared" si="857"/>
        <v>0</v>
      </c>
      <c r="AY759" s="123">
        <f t="shared" si="857"/>
        <v>0</v>
      </c>
      <c r="AZ759" s="123">
        <f t="shared" si="857"/>
        <v>0</v>
      </c>
      <c r="BA759" s="123">
        <f t="shared" si="857"/>
        <v>0</v>
      </c>
      <c r="BB759" s="123">
        <f t="shared" si="857"/>
        <v>0</v>
      </c>
      <c r="BC759" s="123">
        <f t="shared" si="857"/>
        <v>0</v>
      </c>
      <c r="BD759" s="123">
        <f t="shared" si="857"/>
        <v>0</v>
      </c>
      <c r="BE759" s="123">
        <f t="shared" si="857"/>
        <v>0</v>
      </c>
      <c r="BF759" s="123">
        <f t="shared" si="857"/>
        <v>0</v>
      </c>
      <c r="BG759" s="123">
        <f t="shared" si="857"/>
        <v>0</v>
      </c>
      <c r="BH759" s="123">
        <f t="shared" si="857"/>
        <v>0</v>
      </c>
      <c r="BI759" s="123">
        <f t="shared" si="857"/>
        <v>0</v>
      </c>
      <c r="BJ759" s="123">
        <f t="shared" si="857"/>
        <v>0</v>
      </c>
      <c r="BK759" s="123">
        <f t="shared" si="857"/>
        <v>0</v>
      </c>
      <c r="BL759" s="123">
        <f t="shared" si="857"/>
        <v>0</v>
      </c>
      <c r="BM759" s="123">
        <f t="shared" si="857"/>
        <v>0</v>
      </c>
      <c r="BN759" s="159">
        <f t="shared" si="857"/>
        <v>0</v>
      </c>
      <c r="BP759" s="367" t="s">
        <v>866</v>
      </c>
      <c r="BQ759" s="1536" t="str">
        <f t="shared" si="853"/>
        <v>GHG_Wooda = GHG_Wooda-1 + (E137 * BUI_COL (307 + ((A137 - 1) * 8) * BUI_COL5 / (J137-I137+1) / 1000000)</v>
      </c>
      <c r="BR759" s="1544"/>
      <c r="BS759" s="1544"/>
      <c r="BT759" s="1544"/>
      <c r="BU759" s="1544"/>
      <c r="BV759" s="1544"/>
      <c r="BW759" s="1544"/>
      <c r="BX759" s="1544"/>
      <c r="BY759" s="1544"/>
      <c r="BZ759" s="1544"/>
      <c r="CA759" s="1544"/>
      <c r="CB759" s="1544"/>
      <c r="CC759" s="1544"/>
      <c r="CD759" s="1544"/>
      <c r="CE759" s="1544"/>
      <c r="CF759" s="1544"/>
      <c r="CG759" s="1544"/>
      <c r="CH759" s="1537"/>
      <c r="CI759" s="578" t="s">
        <v>2229</v>
      </c>
      <c r="CJ759" s="367" t="s">
        <v>2230</v>
      </c>
      <c r="CK759" s="367" t="s">
        <v>1250</v>
      </c>
      <c r="CL759" s="580"/>
    </row>
    <row r="760" spans="32:90" ht="20.100000000000001" customHeight="1">
      <c r="AF760" s="190"/>
      <c r="AG760" s="107" t="s">
        <v>867</v>
      </c>
      <c r="AH760" s="107">
        <f>INDEX('DEFAULT DATA'!$WD$9:$WJ$41,START!$C$3,6)</f>
        <v>0</v>
      </c>
      <c r="AI760" s="432">
        <f>INDEX('DEFAULT DATA'!$AGR$9:$AJS$41,START!$C$3,(7+(($A$138-1)*8)))/IF($A$138&lt;5,INDEX('DEFAULT DATA'!$XS$9:$XV$41,START!$C$3,$A$138),1)</f>
        <v>114.97725700487953</v>
      </c>
      <c r="AJ760" s="115"/>
      <c r="AK760" s="180">
        <v>0</v>
      </c>
      <c r="AL760" s="123">
        <f t="shared" ref="AL760:BN760" si="858">IF(AND(AL$753&gt;($I$138+2020),AL$753&lt;($J$138+2022)),AK760+($AH$760*$E$138*$AI$760/($J$138-$I$138+1)/1000000),AK760)</f>
        <v>0</v>
      </c>
      <c r="AM760" s="123">
        <f t="shared" si="858"/>
        <v>0</v>
      </c>
      <c r="AN760" s="123">
        <f t="shared" si="858"/>
        <v>0</v>
      </c>
      <c r="AO760" s="123">
        <f t="shared" si="858"/>
        <v>0</v>
      </c>
      <c r="AP760" s="123">
        <f t="shared" si="858"/>
        <v>0</v>
      </c>
      <c r="AQ760" s="123">
        <f t="shared" si="858"/>
        <v>0</v>
      </c>
      <c r="AR760" s="123">
        <f t="shared" si="858"/>
        <v>0</v>
      </c>
      <c r="AS760" s="123">
        <f t="shared" si="858"/>
        <v>0</v>
      </c>
      <c r="AT760" s="123">
        <f t="shared" si="858"/>
        <v>0</v>
      </c>
      <c r="AU760" s="123">
        <f t="shared" si="858"/>
        <v>0</v>
      </c>
      <c r="AV760" s="123">
        <f t="shared" si="858"/>
        <v>0</v>
      </c>
      <c r="AW760" s="123">
        <f t="shared" si="858"/>
        <v>0</v>
      </c>
      <c r="AX760" s="123">
        <f t="shared" si="858"/>
        <v>0</v>
      </c>
      <c r="AY760" s="123">
        <f t="shared" si="858"/>
        <v>0</v>
      </c>
      <c r="AZ760" s="123">
        <f t="shared" si="858"/>
        <v>0</v>
      </c>
      <c r="BA760" s="123">
        <f t="shared" si="858"/>
        <v>0</v>
      </c>
      <c r="BB760" s="123">
        <f t="shared" si="858"/>
        <v>0</v>
      </c>
      <c r="BC760" s="123">
        <f t="shared" si="858"/>
        <v>0</v>
      </c>
      <c r="BD760" s="123">
        <f t="shared" si="858"/>
        <v>0</v>
      </c>
      <c r="BE760" s="123">
        <f t="shared" si="858"/>
        <v>0</v>
      </c>
      <c r="BF760" s="123">
        <f t="shared" si="858"/>
        <v>0</v>
      </c>
      <c r="BG760" s="123">
        <f t="shared" si="858"/>
        <v>0</v>
      </c>
      <c r="BH760" s="123">
        <f t="shared" si="858"/>
        <v>0</v>
      </c>
      <c r="BI760" s="123">
        <f t="shared" si="858"/>
        <v>0</v>
      </c>
      <c r="BJ760" s="123">
        <f t="shared" si="858"/>
        <v>0</v>
      </c>
      <c r="BK760" s="123">
        <f t="shared" si="858"/>
        <v>0</v>
      </c>
      <c r="BL760" s="123">
        <f t="shared" si="858"/>
        <v>0</v>
      </c>
      <c r="BM760" s="123">
        <f t="shared" si="858"/>
        <v>0</v>
      </c>
      <c r="BN760" s="159">
        <f t="shared" si="858"/>
        <v>0</v>
      </c>
      <c r="BP760" s="367" t="s">
        <v>867</v>
      </c>
      <c r="BQ760" s="1536" t="str">
        <f t="shared" si="853"/>
        <v>GHG_Renewablea = GHG_Renewablea-1 + (E137 * BUI_COL (307 + ((A137 - 1) * 8) * BUI_COL6 / (J137-I137+1) / 1000000)</v>
      </c>
      <c r="BR760" s="1544"/>
      <c r="BS760" s="1544"/>
      <c r="BT760" s="1544"/>
      <c r="BU760" s="1544"/>
      <c r="BV760" s="1544"/>
      <c r="BW760" s="1544"/>
      <c r="BX760" s="1544"/>
      <c r="BY760" s="1544"/>
      <c r="BZ760" s="1544"/>
      <c r="CA760" s="1544"/>
      <c r="CB760" s="1544"/>
      <c r="CC760" s="1544"/>
      <c r="CD760" s="1544"/>
      <c r="CE760" s="1544"/>
      <c r="CF760" s="1544"/>
      <c r="CG760" s="1544"/>
      <c r="CH760" s="1537"/>
      <c r="CI760" s="578" t="s">
        <v>2229</v>
      </c>
      <c r="CJ760" s="367" t="s">
        <v>2230</v>
      </c>
      <c r="CK760" s="367" t="s">
        <v>1251</v>
      </c>
      <c r="CL760" s="580"/>
    </row>
    <row r="761" spans="32:90" ht="20.100000000000001" customHeight="1" thickBot="1">
      <c r="AF761" s="191"/>
      <c r="AG761" s="146" t="s">
        <v>868</v>
      </c>
      <c r="AH761" s="146" t="s">
        <v>1123</v>
      </c>
      <c r="AI761" s="451">
        <f>INDEX('DEFAULT DATA'!$AGR$9:$AJS$41,START!$C$3,(8+(($A$138-1)*8)))/IF($A$138&lt;5,INDEX('DEFAULT DATA'!$XS$9:$XV$41,START!$C$3,$A$138),1)</f>
        <v>28.744314251219883</v>
      </c>
      <c r="AJ761" s="170"/>
      <c r="AK761" s="183">
        <v>0</v>
      </c>
      <c r="AL761" s="160">
        <f t="shared" ref="AL761:BN761" si="859">IF(AND(AL$753&gt;($I$138+2020),AL$753&lt;($J$138+2022)),AK761+(AL$6*$E$138*$AI$761/($J$138-$I$138+1)/1000000),AK761)</f>
        <v>0</v>
      </c>
      <c r="AM761" s="160">
        <f t="shared" si="859"/>
        <v>0</v>
      </c>
      <c r="AN761" s="160">
        <f t="shared" si="859"/>
        <v>0</v>
      </c>
      <c r="AO761" s="160">
        <f t="shared" si="859"/>
        <v>0</v>
      </c>
      <c r="AP761" s="160">
        <f t="shared" si="859"/>
        <v>0</v>
      </c>
      <c r="AQ761" s="160">
        <f t="shared" si="859"/>
        <v>0</v>
      </c>
      <c r="AR761" s="160">
        <f t="shared" si="859"/>
        <v>0</v>
      </c>
      <c r="AS761" s="160">
        <f t="shared" si="859"/>
        <v>0</v>
      </c>
      <c r="AT761" s="160">
        <f t="shared" si="859"/>
        <v>0</v>
      </c>
      <c r="AU761" s="160">
        <f t="shared" si="859"/>
        <v>0</v>
      </c>
      <c r="AV761" s="160">
        <f t="shared" si="859"/>
        <v>0</v>
      </c>
      <c r="AW761" s="160">
        <f t="shared" si="859"/>
        <v>0</v>
      </c>
      <c r="AX761" s="160">
        <f t="shared" si="859"/>
        <v>0</v>
      </c>
      <c r="AY761" s="160">
        <f t="shared" si="859"/>
        <v>0</v>
      </c>
      <c r="AZ761" s="160">
        <f t="shared" si="859"/>
        <v>0</v>
      </c>
      <c r="BA761" s="160">
        <f t="shared" si="859"/>
        <v>0</v>
      </c>
      <c r="BB761" s="160">
        <f t="shared" si="859"/>
        <v>0</v>
      </c>
      <c r="BC761" s="160">
        <f t="shared" si="859"/>
        <v>0</v>
      </c>
      <c r="BD761" s="160">
        <f t="shared" si="859"/>
        <v>0</v>
      </c>
      <c r="BE761" s="160">
        <f t="shared" si="859"/>
        <v>0</v>
      </c>
      <c r="BF761" s="160">
        <f t="shared" si="859"/>
        <v>0</v>
      </c>
      <c r="BG761" s="160">
        <f t="shared" si="859"/>
        <v>0</v>
      </c>
      <c r="BH761" s="160">
        <f t="shared" si="859"/>
        <v>0</v>
      </c>
      <c r="BI761" s="160">
        <f t="shared" si="859"/>
        <v>0</v>
      </c>
      <c r="BJ761" s="160">
        <f t="shared" si="859"/>
        <v>0</v>
      </c>
      <c r="BK761" s="160">
        <f t="shared" si="859"/>
        <v>0</v>
      </c>
      <c r="BL761" s="160">
        <f t="shared" si="859"/>
        <v>0</v>
      </c>
      <c r="BM761" s="160">
        <f t="shared" si="859"/>
        <v>0</v>
      </c>
      <c r="BN761" s="161">
        <f t="shared" si="859"/>
        <v>0</v>
      </c>
      <c r="BP761" s="367" t="s">
        <v>868</v>
      </c>
      <c r="BQ761" s="1536" t="str">
        <f t="shared" si="853"/>
        <v>GHG_Heata = GHG_Heata-1 + (E137 * BUI_COL (307 + ((A137 - 1) * 8) * DISTRICT_HEATING_emission_factora (from row 5) / (J137-I137+1) / 1000000)</v>
      </c>
      <c r="BR761" s="1544"/>
      <c r="BS761" s="1544"/>
      <c r="BT761" s="1544"/>
      <c r="BU761" s="1544"/>
      <c r="BV761" s="1544"/>
      <c r="BW761" s="1544"/>
      <c r="BX761" s="1544"/>
      <c r="BY761" s="1544"/>
      <c r="BZ761" s="1544"/>
      <c r="CA761" s="1544"/>
      <c r="CB761" s="1544"/>
      <c r="CC761" s="1544"/>
      <c r="CD761" s="1544"/>
      <c r="CE761" s="1544"/>
      <c r="CF761" s="1544"/>
      <c r="CG761" s="1544"/>
      <c r="CH761" s="1537"/>
      <c r="CI761" s="578" t="s">
        <v>2229</v>
      </c>
      <c r="CJ761" s="367" t="s">
        <v>2230</v>
      </c>
      <c r="CK761" s="367" t="s">
        <v>2222</v>
      </c>
      <c r="CL761" s="580"/>
    </row>
    <row r="762" spans="32:90" ht="20.100000000000001" customHeight="1">
      <c r="AF762" s="167"/>
      <c r="AG762" s="144" t="s">
        <v>211</v>
      </c>
      <c r="AH762" s="145"/>
      <c r="AI762" s="198"/>
      <c r="AJ762" s="145"/>
      <c r="AK762" s="179">
        <v>0</v>
      </c>
      <c r="AL762" s="162">
        <f>SUM(AL754:AL761)</f>
        <v>0</v>
      </c>
      <c r="AM762" s="162">
        <f t="shared" ref="AM762:BN762" si="860">SUM(AM754:AM761)</f>
        <v>0</v>
      </c>
      <c r="AN762" s="162">
        <f t="shared" si="860"/>
        <v>0</v>
      </c>
      <c r="AO762" s="162">
        <f t="shared" si="860"/>
        <v>0</v>
      </c>
      <c r="AP762" s="162">
        <f t="shared" si="860"/>
        <v>0</v>
      </c>
      <c r="AQ762" s="162">
        <f t="shared" si="860"/>
        <v>0</v>
      </c>
      <c r="AR762" s="162">
        <f t="shared" si="860"/>
        <v>0</v>
      </c>
      <c r="AS762" s="162">
        <f t="shared" si="860"/>
        <v>0</v>
      </c>
      <c r="AT762" s="162">
        <f t="shared" si="860"/>
        <v>0</v>
      </c>
      <c r="AU762" s="162">
        <f t="shared" si="860"/>
        <v>0</v>
      </c>
      <c r="AV762" s="162">
        <f t="shared" si="860"/>
        <v>0</v>
      </c>
      <c r="AW762" s="162">
        <f t="shared" si="860"/>
        <v>0</v>
      </c>
      <c r="AX762" s="162">
        <f t="shared" si="860"/>
        <v>0</v>
      </c>
      <c r="AY762" s="162">
        <f t="shared" si="860"/>
        <v>0</v>
      </c>
      <c r="AZ762" s="162">
        <f t="shared" si="860"/>
        <v>0</v>
      </c>
      <c r="BA762" s="162">
        <f t="shared" si="860"/>
        <v>0</v>
      </c>
      <c r="BB762" s="162">
        <f t="shared" si="860"/>
        <v>0</v>
      </c>
      <c r="BC762" s="162">
        <f t="shared" si="860"/>
        <v>0</v>
      </c>
      <c r="BD762" s="162">
        <f t="shared" si="860"/>
        <v>0</v>
      </c>
      <c r="BE762" s="162">
        <f t="shared" si="860"/>
        <v>0</v>
      </c>
      <c r="BF762" s="162">
        <f t="shared" si="860"/>
        <v>0</v>
      </c>
      <c r="BG762" s="162">
        <f t="shared" si="860"/>
        <v>0</v>
      </c>
      <c r="BH762" s="162">
        <f t="shared" si="860"/>
        <v>0</v>
      </c>
      <c r="BI762" s="162">
        <f t="shared" si="860"/>
        <v>0</v>
      </c>
      <c r="BJ762" s="162">
        <f t="shared" si="860"/>
        <v>0</v>
      </c>
      <c r="BK762" s="162">
        <f t="shared" si="860"/>
        <v>0</v>
      </c>
      <c r="BL762" s="162">
        <f t="shared" si="860"/>
        <v>0</v>
      </c>
      <c r="BM762" s="162">
        <f t="shared" si="860"/>
        <v>0</v>
      </c>
      <c r="BN762" s="162">
        <f t="shared" si="860"/>
        <v>0</v>
      </c>
    </row>
    <row r="763" spans="32:90" ht="20.100000000000001" customHeight="1">
      <c r="AI763" s="199"/>
    </row>
    <row r="764" spans="32:90" ht="20.100000000000001" customHeight="1" thickBot="1">
      <c r="AF764" s="168" t="s">
        <v>1140</v>
      </c>
      <c r="AG764" s="168"/>
      <c r="AH764" s="169" t="s">
        <v>620</v>
      </c>
      <c r="AI764" s="1542" t="s">
        <v>2168</v>
      </c>
      <c r="AJ764" s="1543"/>
      <c r="AK764" s="181">
        <v>2021</v>
      </c>
      <c r="AL764" s="135">
        <v>2022</v>
      </c>
      <c r="AM764" s="135">
        <v>2023</v>
      </c>
      <c r="AN764" s="135">
        <v>2024</v>
      </c>
      <c r="AO764" s="135">
        <v>2025</v>
      </c>
      <c r="AP764" s="135">
        <v>2026</v>
      </c>
      <c r="AQ764" s="135">
        <v>2027</v>
      </c>
      <c r="AR764" s="135">
        <v>2028</v>
      </c>
      <c r="AS764" s="135">
        <v>2029</v>
      </c>
      <c r="AT764" s="135">
        <v>2030</v>
      </c>
      <c r="AU764" s="135">
        <v>2031</v>
      </c>
      <c r="AV764" s="135">
        <v>2032</v>
      </c>
      <c r="AW764" s="135">
        <v>2033</v>
      </c>
      <c r="AX764" s="135">
        <v>2034</v>
      </c>
      <c r="AY764" s="135">
        <v>2035</v>
      </c>
      <c r="AZ764" s="135">
        <v>2036</v>
      </c>
      <c r="BA764" s="135">
        <v>2037</v>
      </c>
      <c r="BB764" s="135">
        <v>2038</v>
      </c>
      <c r="BC764" s="135">
        <v>2039</v>
      </c>
      <c r="BD764" s="135">
        <v>2040</v>
      </c>
      <c r="BE764" s="135">
        <v>2041</v>
      </c>
      <c r="BF764" s="135">
        <v>2042</v>
      </c>
      <c r="BG764" s="135">
        <v>2043</v>
      </c>
      <c r="BH764" s="135">
        <v>2044</v>
      </c>
      <c r="BI764" s="135">
        <v>2045</v>
      </c>
      <c r="BJ764" s="135">
        <v>2046</v>
      </c>
      <c r="BK764" s="135">
        <v>2047</v>
      </c>
      <c r="BL764" s="135">
        <v>2048</v>
      </c>
      <c r="BM764" s="135">
        <v>2049</v>
      </c>
      <c r="BN764" s="135">
        <v>2050</v>
      </c>
      <c r="BQ764" s="82" t="s">
        <v>2243</v>
      </c>
      <c r="BR764" s="250"/>
      <c r="BS764" s="250"/>
      <c r="BT764" s="250"/>
      <c r="BU764" s="250"/>
      <c r="BV764" s="250"/>
      <c r="BW764" s="250"/>
      <c r="BX764" s="250"/>
      <c r="BY764" s="250"/>
      <c r="BZ764" s="250"/>
      <c r="CA764" s="250"/>
      <c r="CB764" s="250"/>
      <c r="CC764" s="250"/>
      <c r="CD764" s="250"/>
      <c r="CE764" s="250"/>
      <c r="CF764" s="250"/>
      <c r="CG764" s="250"/>
      <c r="CH764" s="250"/>
      <c r="CI764" s="605" t="s">
        <v>1393</v>
      </c>
      <c r="CJ764" s="130" t="s">
        <v>2172</v>
      </c>
      <c r="CK764" s="606" t="s">
        <v>1224</v>
      </c>
    </row>
    <row r="765" spans="32:90" ht="20.100000000000001" customHeight="1">
      <c r="AF765" s="97" t="str">
        <f>CONCATENATE("conversion from ",INDEX('MENU OPTIONS'!$B$27:$B$36,$A$139,1))</f>
        <v>conversion from Apartment</v>
      </c>
      <c r="AG765" s="137" t="s">
        <v>578</v>
      </c>
      <c r="AH765" s="137" t="s">
        <v>1122</v>
      </c>
      <c r="AI765" s="602">
        <f>INDEX('DEFAULT DATA'!$AGR$9:$AJS$41,START!$C$3,(1+(($A$139-1)*8)))/IF($A$139&lt;5,INDEX('DEFAULT DATA'!$XS$9:$XV$41,START!$C$3,$A$139),1)</f>
        <v>40.242039951707838</v>
      </c>
      <c r="AJ765" s="165"/>
      <c r="AK765" s="178">
        <v>0</v>
      </c>
      <c r="AL765" s="157">
        <f t="shared" ref="AL765:BN765" si="861">IF(AND(AL$764&gt;($I$139+2020),AL$764&lt;($J$139+2022)),AK765+(AL$5*$E$139*$AI$765/($J$139-$I$139+1)/1000000),AK765)</f>
        <v>0</v>
      </c>
      <c r="AM765" s="157">
        <f t="shared" si="861"/>
        <v>0</v>
      </c>
      <c r="AN765" s="157">
        <f t="shared" si="861"/>
        <v>0</v>
      </c>
      <c r="AO765" s="157">
        <f t="shared" si="861"/>
        <v>0</v>
      </c>
      <c r="AP765" s="157">
        <f t="shared" si="861"/>
        <v>0</v>
      </c>
      <c r="AQ765" s="157">
        <f t="shared" si="861"/>
        <v>0</v>
      </c>
      <c r="AR765" s="157">
        <f t="shared" si="861"/>
        <v>0</v>
      </c>
      <c r="AS765" s="157">
        <f t="shared" si="861"/>
        <v>0</v>
      </c>
      <c r="AT765" s="157">
        <f t="shared" si="861"/>
        <v>0</v>
      </c>
      <c r="AU765" s="157">
        <f t="shared" si="861"/>
        <v>0</v>
      </c>
      <c r="AV765" s="157">
        <f t="shared" si="861"/>
        <v>0</v>
      </c>
      <c r="AW765" s="157">
        <f t="shared" si="861"/>
        <v>0</v>
      </c>
      <c r="AX765" s="157">
        <f t="shared" si="861"/>
        <v>0</v>
      </c>
      <c r="AY765" s="157">
        <f t="shared" si="861"/>
        <v>0</v>
      </c>
      <c r="AZ765" s="157">
        <f t="shared" si="861"/>
        <v>0</v>
      </c>
      <c r="BA765" s="157">
        <f t="shared" si="861"/>
        <v>0</v>
      </c>
      <c r="BB765" s="157">
        <f t="shared" si="861"/>
        <v>0</v>
      </c>
      <c r="BC765" s="157">
        <f t="shared" si="861"/>
        <v>0</v>
      </c>
      <c r="BD765" s="157">
        <f t="shared" si="861"/>
        <v>0</v>
      </c>
      <c r="BE765" s="157">
        <f t="shared" si="861"/>
        <v>0</v>
      </c>
      <c r="BF765" s="157">
        <f t="shared" si="861"/>
        <v>0</v>
      </c>
      <c r="BG765" s="157">
        <f t="shared" si="861"/>
        <v>0</v>
      </c>
      <c r="BH765" s="157">
        <f t="shared" si="861"/>
        <v>0</v>
      </c>
      <c r="BI765" s="157">
        <f t="shared" si="861"/>
        <v>0</v>
      </c>
      <c r="BJ765" s="157">
        <f t="shared" si="861"/>
        <v>0</v>
      </c>
      <c r="BK765" s="157">
        <f t="shared" si="861"/>
        <v>0</v>
      </c>
      <c r="BL765" s="157">
        <f t="shared" si="861"/>
        <v>0</v>
      </c>
      <c r="BM765" s="157">
        <f t="shared" si="861"/>
        <v>0</v>
      </c>
      <c r="BN765" s="158">
        <f t="shared" si="861"/>
        <v>0</v>
      </c>
      <c r="BP765" s="367" t="s">
        <v>578</v>
      </c>
      <c r="BQ765" s="1536" t="str">
        <f>CONCATENATE("GHG_",BP765,"a = GHG_",BP765,"a-1 + (E138 * ",CI765," * ",CK765," / (",CJ765,") / 1000000)")</f>
        <v>GHG_Electricitya = GHG_Electricitya-1 + (E138 * BUI_COL (307 + ((A138 - 1) * 8) * GRID_ELECTRICITY_emission_factora (from row4) / (J138-I138+1) / 1000000)</v>
      </c>
      <c r="BR765" s="1544"/>
      <c r="BS765" s="1544"/>
      <c r="BT765" s="1544"/>
      <c r="BU765" s="1544"/>
      <c r="BV765" s="1544"/>
      <c r="BW765" s="1544"/>
      <c r="BX765" s="1544"/>
      <c r="BY765" s="1544"/>
      <c r="BZ765" s="1544"/>
      <c r="CA765" s="1544"/>
      <c r="CB765" s="1544"/>
      <c r="CC765" s="1544"/>
      <c r="CD765" s="1544"/>
      <c r="CE765" s="1544"/>
      <c r="CF765" s="1544"/>
      <c r="CG765" s="1544"/>
      <c r="CH765" s="1537"/>
      <c r="CI765" s="578" t="s">
        <v>2231</v>
      </c>
      <c r="CJ765" s="367" t="s">
        <v>2232</v>
      </c>
      <c r="CK765" s="367" t="s">
        <v>2221</v>
      </c>
      <c r="CL765" s="580"/>
    </row>
    <row r="766" spans="32:90" ht="20.100000000000001" customHeight="1">
      <c r="AF766" s="190"/>
      <c r="AG766" s="107" t="s">
        <v>862</v>
      </c>
      <c r="AH766" s="107">
        <f>INDEX('DEFAULT DATA'!$WD$9:$WJ$41,START!$C$3,1)</f>
        <v>202</v>
      </c>
      <c r="AI766" s="432">
        <f>INDEX('DEFAULT DATA'!$AGR$9:$AJS$41,START!$C$3,(2+(($A$139-1)*8)))/IF($A$139&lt;5,INDEX('DEFAULT DATA'!$XS$9:$XV$41,START!$C$3,$A$139),1)</f>
        <v>91.981805603903624</v>
      </c>
      <c r="AJ766" s="115"/>
      <c r="AK766" s="180">
        <v>0</v>
      </c>
      <c r="AL766" s="123">
        <f t="shared" ref="AL766:BN766" si="862">IF(AND(AL$764&gt;($I$139+2020),AL$764&lt;($J$139+2022)),AK766+($AH$766*$E$139*$AI$766/($J$139-$I$139+1)/1000000),AK766)</f>
        <v>0</v>
      </c>
      <c r="AM766" s="123">
        <f t="shared" si="862"/>
        <v>0</v>
      </c>
      <c r="AN766" s="123">
        <f t="shared" si="862"/>
        <v>0</v>
      </c>
      <c r="AO766" s="123">
        <f t="shared" si="862"/>
        <v>0</v>
      </c>
      <c r="AP766" s="123">
        <f t="shared" si="862"/>
        <v>0</v>
      </c>
      <c r="AQ766" s="123">
        <f t="shared" si="862"/>
        <v>0</v>
      </c>
      <c r="AR766" s="123">
        <f t="shared" si="862"/>
        <v>0</v>
      </c>
      <c r="AS766" s="123">
        <f t="shared" si="862"/>
        <v>0</v>
      </c>
      <c r="AT766" s="123">
        <f t="shared" si="862"/>
        <v>0</v>
      </c>
      <c r="AU766" s="123">
        <f t="shared" si="862"/>
        <v>0</v>
      </c>
      <c r="AV766" s="123">
        <f t="shared" si="862"/>
        <v>0</v>
      </c>
      <c r="AW766" s="123">
        <f t="shared" si="862"/>
        <v>0</v>
      </c>
      <c r="AX766" s="123">
        <f t="shared" si="862"/>
        <v>0</v>
      </c>
      <c r="AY766" s="123">
        <f t="shared" si="862"/>
        <v>0</v>
      </c>
      <c r="AZ766" s="123">
        <f t="shared" si="862"/>
        <v>0</v>
      </c>
      <c r="BA766" s="123">
        <f t="shared" si="862"/>
        <v>0</v>
      </c>
      <c r="BB766" s="123">
        <f t="shared" si="862"/>
        <v>0</v>
      </c>
      <c r="BC766" s="123">
        <f t="shared" si="862"/>
        <v>0</v>
      </c>
      <c r="BD766" s="123">
        <f t="shared" si="862"/>
        <v>0</v>
      </c>
      <c r="BE766" s="123">
        <f t="shared" si="862"/>
        <v>0</v>
      </c>
      <c r="BF766" s="123">
        <f t="shared" si="862"/>
        <v>0</v>
      </c>
      <c r="BG766" s="123">
        <f t="shared" si="862"/>
        <v>0</v>
      </c>
      <c r="BH766" s="123">
        <f t="shared" si="862"/>
        <v>0</v>
      </c>
      <c r="BI766" s="123">
        <f t="shared" si="862"/>
        <v>0</v>
      </c>
      <c r="BJ766" s="123">
        <f t="shared" si="862"/>
        <v>0</v>
      </c>
      <c r="BK766" s="123">
        <f t="shared" si="862"/>
        <v>0</v>
      </c>
      <c r="BL766" s="123">
        <f t="shared" si="862"/>
        <v>0</v>
      </c>
      <c r="BM766" s="123">
        <f t="shared" si="862"/>
        <v>0</v>
      </c>
      <c r="BN766" s="159">
        <f t="shared" si="862"/>
        <v>0</v>
      </c>
      <c r="BP766" s="367" t="s">
        <v>862</v>
      </c>
      <c r="BQ766" s="1536" t="str">
        <f t="shared" ref="BQ766:BQ772" si="863">CONCATENATE("GHG_",BP766,"a = GHG_",BP766,"a-1 + (E138 * ",CI766," * ",CK766," / (",CJ766,") / 1000000)")</f>
        <v>GHG_Gasa = GHG_Gasa-1 + (E138 * BUI_COL (307 + ((A138 - 1) * 8) * BUI_COL1 / (J138-I138+1) / 1000000)</v>
      </c>
      <c r="BR766" s="1544"/>
      <c r="BS766" s="1544"/>
      <c r="BT766" s="1544"/>
      <c r="BU766" s="1544"/>
      <c r="BV766" s="1544"/>
      <c r="BW766" s="1544"/>
      <c r="BX766" s="1544"/>
      <c r="BY766" s="1544"/>
      <c r="BZ766" s="1544"/>
      <c r="CA766" s="1544"/>
      <c r="CB766" s="1544"/>
      <c r="CC766" s="1544"/>
      <c r="CD766" s="1544"/>
      <c r="CE766" s="1544"/>
      <c r="CF766" s="1544"/>
      <c r="CG766" s="1544"/>
      <c r="CH766" s="1537"/>
      <c r="CI766" s="578" t="s">
        <v>2231</v>
      </c>
      <c r="CJ766" s="367" t="s">
        <v>2232</v>
      </c>
      <c r="CK766" s="367" t="s">
        <v>886</v>
      </c>
      <c r="CL766" s="580"/>
    </row>
    <row r="767" spans="32:90" ht="20.100000000000001" customHeight="1">
      <c r="AF767" s="27"/>
      <c r="AG767" s="107" t="s">
        <v>863</v>
      </c>
      <c r="AH767" s="107">
        <f>INDEX('DEFAULT DATA'!$WD$9:$WJ$41,START!$C$3,2)</f>
        <v>267</v>
      </c>
      <c r="AI767" s="432">
        <f>INDEX('DEFAULT DATA'!$AGR$9:$AJS$41,START!$C$3,(3+(($A$139-1)*8)))/IF($A$139&lt;5,INDEX('DEFAULT DATA'!$XS$9:$XV$41,START!$C$3,$A$139),1)</f>
        <v>11.497725700487953</v>
      </c>
      <c r="AJ767" s="115"/>
      <c r="AK767" s="180">
        <v>0</v>
      </c>
      <c r="AL767" s="123">
        <f t="shared" ref="AL767:BN767" si="864">IF(AND(AL$764&gt;($I$139+2020),AL$764&lt;($J$139+2022)),AK767+($AH$767*$E$139*$AI$767/($J$139-$I$139+1)/1000000),AK767)</f>
        <v>0</v>
      </c>
      <c r="AM767" s="123">
        <f t="shared" si="864"/>
        <v>0</v>
      </c>
      <c r="AN767" s="123">
        <f t="shared" si="864"/>
        <v>0</v>
      </c>
      <c r="AO767" s="123">
        <f t="shared" si="864"/>
        <v>0</v>
      </c>
      <c r="AP767" s="123">
        <f t="shared" si="864"/>
        <v>0</v>
      </c>
      <c r="AQ767" s="123">
        <f t="shared" si="864"/>
        <v>0</v>
      </c>
      <c r="AR767" s="123">
        <f t="shared" si="864"/>
        <v>0</v>
      </c>
      <c r="AS767" s="123">
        <f t="shared" si="864"/>
        <v>0</v>
      </c>
      <c r="AT767" s="123">
        <f t="shared" si="864"/>
        <v>0</v>
      </c>
      <c r="AU767" s="123">
        <f t="shared" si="864"/>
        <v>0</v>
      </c>
      <c r="AV767" s="123">
        <f t="shared" si="864"/>
        <v>0</v>
      </c>
      <c r="AW767" s="123">
        <f t="shared" si="864"/>
        <v>0</v>
      </c>
      <c r="AX767" s="123">
        <f t="shared" si="864"/>
        <v>0</v>
      </c>
      <c r="AY767" s="123">
        <f t="shared" si="864"/>
        <v>0</v>
      </c>
      <c r="AZ767" s="123">
        <f t="shared" si="864"/>
        <v>0</v>
      </c>
      <c r="BA767" s="123">
        <f t="shared" si="864"/>
        <v>0</v>
      </c>
      <c r="BB767" s="123">
        <f t="shared" si="864"/>
        <v>0</v>
      </c>
      <c r="BC767" s="123">
        <f t="shared" si="864"/>
        <v>0</v>
      </c>
      <c r="BD767" s="123">
        <f t="shared" si="864"/>
        <v>0</v>
      </c>
      <c r="BE767" s="123">
        <f t="shared" si="864"/>
        <v>0</v>
      </c>
      <c r="BF767" s="123">
        <f t="shared" si="864"/>
        <v>0</v>
      </c>
      <c r="BG767" s="123">
        <f t="shared" si="864"/>
        <v>0</v>
      </c>
      <c r="BH767" s="123">
        <f t="shared" si="864"/>
        <v>0</v>
      </c>
      <c r="BI767" s="123">
        <f t="shared" si="864"/>
        <v>0</v>
      </c>
      <c r="BJ767" s="123">
        <f t="shared" si="864"/>
        <v>0</v>
      </c>
      <c r="BK767" s="123">
        <f t="shared" si="864"/>
        <v>0</v>
      </c>
      <c r="BL767" s="123">
        <f t="shared" si="864"/>
        <v>0</v>
      </c>
      <c r="BM767" s="123">
        <f t="shared" si="864"/>
        <v>0</v>
      </c>
      <c r="BN767" s="159">
        <f t="shared" si="864"/>
        <v>0</v>
      </c>
      <c r="BP767" s="367" t="s">
        <v>863</v>
      </c>
      <c r="BQ767" s="1536" t="str">
        <f t="shared" si="863"/>
        <v>GHG_Oila = GHG_Oila-1 + (E138 * BUI_COL (307 + ((A138 - 1) * 8) * BUI_COL2 / (J138-I138+1) / 1000000)</v>
      </c>
      <c r="BR767" s="1544"/>
      <c r="BS767" s="1544"/>
      <c r="BT767" s="1544"/>
      <c r="BU767" s="1544"/>
      <c r="BV767" s="1544"/>
      <c r="BW767" s="1544"/>
      <c r="BX767" s="1544"/>
      <c r="BY767" s="1544"/>
      <c r="BZ767" s="1544"/>
      <c r="CA767" s="1544"/>
      <c r="CB767" s="1544"/>
      <c r="CC767" s="1544"/>
      <c r="CD767" s="1544"/>
      <c r="CE767" s="1544"/>
      <c r="CF767" s="1544"/>
      <c r="CG767" s="1544"/>
      <c r="CH767" s="1537"/>
      <c r="CI767" s="578" t="s">
        <v>2231</v>
      </c>
      <c r="CJ767" s="367" t="s">
        <v>2232</v>
      </c>
      <c r="CK767" s="367" t="s">
        <v>1247</v>
      </c>
      <c r="CL767" s="580"/>
    </row>
    <row r="768" spans="32:90" ht="20.100000000000001" customHeight="1">
      <c r="AF768" s="27"/>
      <c r="AG768" s="107" t="s">
        <v>864</v>
      </c>
      <c r="AH768" s="107">
        <f>INDEX('DEFAULT DATA'!$WD$9:$WJ$41,START!$C$3,3)</f>
        <v>354</v>
      </c>
      <c r="AI768" s="432">
        <f>INDEX('DEFAULT DATA'!$AGR$9:$AJS$41,START!$C$3,(4+(($A$139-1)*8)))/IF($A$139&lt;5,INDEX('DEFAULT DATA'!$XS$9:$XV$41,START!$C$3,$A$139),1)</f>
        <v>0</v>
      </c>
      <c r="AJ768" s="115"/>
      <c r="AK768" s="180">
        <v>0</v>
      </c>
      <c r="AL768" s="123">
        <f t="shared" ref="AL768:BN768" si="865">IF(AND(AL$764&gt;($I$139+2020),AL$764&lt;($J$139+2022)),AK768+($AH$768*$E$139*$AI$768/($J$139-$I$139+1)/1000000),AK768)</f>
        <v>0</v>
      </c>
      <c r="AM768" s="123">
        <f t="shared" si="865"/>
        <v>0</v>
      </c>
      <c r="AN768" s="123">
        <f t="shared" si="865"/>
        <v>0</v>
      </c>
      <c r="AO768" s="123">
        <f t="shared" si="865"/>
        <v>0</v>
      </c>
      <c r="AP768" s="123">
        <f t="shared" si="865"/>
        <v>0</v>
      </c>
      <c r="AQ768" s="123">
        <f t="shared" si="865"/>
        <v>0</v>
      </c>
      <c r="AR768" s="123">
        <f t="shared" si="865"/>
        <v>0</v>
      </c>
      <c r="AS768" s="123">
        <f t="shared" si="865"/>
        <v>0</v>
      </c>
      <c r="AT768" s="123">
        <f t="shared" si="865"/>
        <v>0</v>
      </c>
      <c r="AU768" s="123">
        <f t="shared" si="865"/>
        <v>0</v>
      </c>
      <c r="AV768" s="123">
        <f t="shared" si="865"/>
        <v>0</v>
      </c>
      <c r="AW768" s="123">
        <f t="shared" si="865"/>
        <v>0</v>
      </c>
      <c r="AX768" s="123">
        <f t="shared" si="865"/>
        <v>0</v>
      </c>
      <c r="AY768" s="123">
        <f t="shared" si="865"/>
        <v>0</v>
      </c>
      <c r="AZ768" s="123">
        <f t="shared" si="865"/>
        <v>0</v>
      </c>
      <c r="BA768" s="123">
        <f t="shared" si="865"/>
        <v>0</v>
      </c>
      <c r="BB768" s="123">
        <f t="shared" si="865"/>
        <v>0</v>
      </c>
      <c r="BC768" s="123">
        <f t="shared" si="865"/>
        <v>0</v>
      </c>
      <c r="BD768" s="123">
        <f t="shared" si="865"/>
        <v>0</v>
      </c>
      <c r="BE768" s="123">
        <f t="shared" si="865"/>
        <v>0</v>
      </c>
      <c r="BF768" s="123">
        <f t="shared" si="865"/>
        <v>0</v>
      </c>
      <c r="BG768" s="123">
        <f t="shared" si="865"/>
        <v>0</v>
      </c>
      <c r="BH768" s="123">
        <f t="shared" si="865"/>
        <v>0</v>
      </c>
      <c r="BI768" s="123">
        <f t="shared" si="865"/>
        <v>0</v>
      </c>
      <c r="BJ768" s="123">
        <f t="shared" si="865"/>
        <v>0</v>
      </c>
      <c r="BK768" s="123">
        <f t="shared" si="865"/>
        <v>0</v>
      </c>
      <c r="BL768" s="123">
        <f t="shared" si="865"/>
        <v>0</v>
      </c>
      <c r="BM768" s="123">
        <f t="shared" si="865"/>
        <v>0</v>
      </c>
      <c r="BN768" s="159">
        <f t="shared" si="865"/>
        <v>0</v>
      </c>
      <c r="BP768" s="367" t="s">
        <v>864</v>
      </c>
      <c r="BQ768" s="1536" t="str">
        <f t="shared" si="863"/>
        <v>GHG_Coala = GHG_Coala-1 + (E138 * BUI_COL (307 + ((A138 - 1) * 8) * BUI_COL3 / (J138-I138+1) / 1000000)</v>
      </c>
      <c r="BR768" s="1544"/>
      <c r="BS768" s="1544"/>
      <c r="BT768" s="1544"/>
      <c r="BU768" s="1544"/>
      <c r="BV768" s="1544"/>
      <c r="BW768" s="1544"/>
      <c r="BX768" s="1544"/>
      <c r="BY768" s="1544"/>
      <c r="BZ768" s="1544"/>
      <c r="CA768" s="1544"/>
      <c r="CB768" s="1544"/>
      <c r="CC768" s="1544"/>
      <c r="CD768" s="1544"/>
      <c r="CE768" s="1544"/>
      <c r="CF768" s="1544"/>
      <c r="CG768" s="1544"/>
      <c r="CH768" s="1537"/>
      <c r="CI768" s="578" t="s">
        <v>2231</v>
      </c>
      <c r="CJ768" s="367" t="s">
        <v>2232</v>
      </c>
      <c r="CK768" s="367" t="s">
        <v>1248</v>
      </c>
      <c r="CL768" s="580"/>
    </row>
    <row r="769" spans="7:90" ht="20.100000000000001" customHeight="1">
      <c r="AF769" s="190"/>
      <c r="AG769" s="107" t="s">
        <v>865</v>
      </c>
      <c r="AH769" s="107">
        <f>INDEX('DEFAULT DATA'!$WD$9:$WJ$41,START!$C$3,4)</f>
        <v>382</v>
      </c>
      <c r="AI769" s="432">
        <f>INDEX('DEFAULT DATA'!$AGR$9:$AJS$41,START!$C$3,(5+(($A$139-1)*8)))/IF($A$139&lt;5,INDEX('DEFAULT DATA'!$XS$9:$XV$41,START!$C$3,$A$139),1)</f>
        <v>0</v>
      </c>
      <c r="AJ769" s="115"/>
      <c r="AK769" s="180">
        <v>0</v>
      </c>
      <c r="AL769" s="123">
        <f t="shared" ref="AL769:BN769" si="866">IF(AND(AL$764&gt;($I$139+2020),AL$764&lt;($J$139+2022)),AK769+($AH$769*$E$139*$AI$769/($J$139-$I$139+1)/1000000),AK769)</f>
        <v>0</v>
      </c>
      <c r="AM769" s="123">
        <f t="shared" si="866"/>
        <v>0</v>
      </c>
      <c r="AN769" s="123">
        <f t="shared" si="866"/>
        <v>0</v>
      </c>
      <c r="AO769" s="123">
        <f t="shared" si="866"/>
        <v>0</v>
      </c>
      <c r="AP769" s="123">
        <f t="shared" si="866"/>
        <v>0</v>
      </c>
      <c r="AQ769" s="123">
        <f t="shared" si="866"/>
        <v>0</v>
      </c>
      <c r="AR769" s="123">
        <f t="shared" si="866"/>
        <v>0</v>
      </c>
      <c r="AS769" s="123">
        <f t="shared" si="866"/>
        <v>0</v>
      </c>
      <c r="AT769" s="123">
        <f t="shared" si="866"/>
        <v>0</v>
      </c>
      <c r="AU769" s="123">
        <f t="shared" si="866"/>
        <v>0</v>
      </c>
      <c r="AV769" s="123">
        <f t="shared" si="866"/>
        <v>0</v>
      </c>
      <c r="AW769" s="123">
        <f t="shared" si="866"/>
        <v>0</v>
      </c>
      <c r="AX769" s="123">
        <f t="shared" si="866"/>
        <v>0</v>
      </c>
      <c r="AY769" s="123">
        <f t="shared" si="866"/>
        <v>0</v>
      </c>
      <c r="AZ769" s="123">
        <f t="shared" si="866"/>
        <v>0</v>
      </c>
      <c r="BA769" s="123">
        <f t="shared" si="866"/>
        <v>0</v>
      </c>
      <c r="BB769" s="123">
        <f t="shared" si="866"/>
        <v>0</v>
      </c>
      <c r="BC769" s="123">
        <f t="shared" si="866"/>
        <v>0</v>
      </c>
      <c r="BD769" s="123">
        <f t="shared" si="866"/>
        <v>0</v>
      </c>
      <c r="BE769" s="123">
        <f t="shared" si="866"/>
        <v>0</v>
      </c>
      <c r="BF769" s="123">
        <f t="shared" si="866"/>
        <v>0</v>
      </c>
      <c r="BG769" s="123">
        <f t="shared" si="866"/>
        <v>0</v>
      </c>
      <c r="BH769" s="123">
        <f t="shared" si="866"/>
        <v>0</v>
      </c>
      <c r="BI769" s="123">
        <f t="shared" si="866"/>
        <v>0</v>
      </c>
      <c r="BJ769" s="123">
        <f t="shared" si="866"/>
        <v>0</v>
      </c>
      <c r="BK769" s="123">
        <f t="shared" si="866"/>
        <v>0</v>
      </c>
      <c r="BL769" s="123">
        <f t="shared" si="866"/>
        <v>0</v>
      </c>
      <c r="BM769" s="123">
        <f t="shared" si="866"/>
        <v>0</v>
      </c>
      <c r="BN769" s="159">
        <f t="shared" si="866"/>
        <v>0</v>
      </c>
      <c r="BP769" s="367" t="s">
        <v>865</v>
      </c>
      <c r="BQ769" s="1536" t="str">
        <f t="shared" si="863"/>
        <v>GHG_Peata = GHG_Peata-1 + (E138 * BUI_COL (307 + ((A138 - 1) * 8) * BUI_COL4 / (J138-I138+1) / 1000000)</v>
      </c>
      <c r="BR769" s="1544"/>
      <c r="BS769" s="1544"/>
      <c r="BT769" s="1544"/>
      <c r="BU769" s="1544"/>
      <c r="BV769" s="1544"/>
      <c r="BW769" s="1544"/>
      <c r="BX769" s="1544"/>
      <c r="BY769" s="1544"/>
      <c r="BZ769" s="1544"/>
      <c r="CA769" s="1544"/>
      <c r="CB769" s="1544"/>
      <c r="CC769" s="1544"/>
      <c r="CD769" s="1544"/>
      <c r="CE769" s="1544"/>
      <c r="CF769" s="1544"/>
      <c r="CG769" s="1544"/>
      <c r="CH769" s="1537"/>
      <c r="CI769" s="578" t="s">
        <v>2231</v>
      </c>
      <c r="CJ769" s="367" t="s">
        <v>2232</v>
      </c>
      <c r="CK769" s="367" t="s">
        <v>1249</v>
      </c>
      <c r="CL769" s="580"/>
    </row>
    <row r="770" spans="7:90" ht="20.100000000000001" customHeight="1">
      <c r="AF770" s="190"/>
      <c r="AG770" s="107" t="s">
        <v>866</v>
      </c>
      <c r="AH770" s="107">
        <f>INDEX('DEFAULT DATA'!$WD$9:$WJ$41,START!$C$3,5)</f>
        <v>403</v>
      </c>
      <c r="AI770" s="432">
        <f>INDEX('DEFAULT DATA'!$AGR$9:$AJS$41,START!$C$3,(6+(($A$139-1)*8)))/IF($A$139&lt;5,INDEX('DEFAULT DATA'!$XS$9:$XV$41,START!$C$3,$A$139),1)</f>
        <v>0</v>
      </c>
      <c r="AJ770" s="115"/>
      <c r="AK770" s="180">
        <v>0</v>
      </c>
      <c r="AL770" s="123">
        <f t="shared" ref="AL770:BN770" si="867">IF(AND(AL$764&gt;($I$139+2020),AL$764&lt;($J$139+2022)),AK770+($AH$770*$E$139*$AI$770/($J$139-$I$139+1)/1000000),AK770)</f>
        <v>0</v>
      </c>
      <c r="AM770" s="123">
        <f t="shared" si="867"/>
        <v>0</v>
      </c>
      <c r="AN770" s="123">
        <f t="shared" si="867"/>
        <v>0</v>
      </c>
      <c r="AO770" s="123">
        <f t="shared" si="867"/>
        <v>0</v>
      </c>
      <c r="AP770" s="123">
        <f t="shared" si="867"/>
        <v>0</v>
      </c>
      <c r="AQ770" s="123">
        <f t="shared" si="867"/>
        <v>0</v>
      </c>
      <c r="AR770" s="123">
        <f t="shared" si="867"/>
        <v>0</v>
      </c>
      <c r="AS770" s="123">
        <f t="shared" si="867"/>
        <v>0</v>
      </c>
      <c r="AT770" s="123">
        <f t="shared" si="867"/>
        <v>0</v>
      </c>
      <c r="AU770" s="123">
        <f t="shared" si="867"/>
        <v>0</v>
      </c>
      <c r="AV770" s="123">
        <f t="shared" si="867"/>
        <v>0</v>
      </c>
      <c r="AW770" s="123">
        <f t="shared" si="867"/>
        <v>0</v>
      </c>
      <c r="AX770" s="123">
        <f t="shared" si="867"/>
        <v>0</v>
      </c>
      <c r="AY770" s="123">
        <f t="shared" si="867"/>
        <v>0</v>
      </c>
      <c r="AZ770" s="123">
        <f t="shared" si="867"/>
        <v>0</v>
      </c>
      <c r="BA770" s="123">
        <f t="shared" si="867"/>
        <v>0</v>
      </c>
      <c r="BB770" s="123">
        <f t="shared" si="867"/>
        <v>0</v>
      </c>
      <c r="BC770" s="123">
        <f t="shared" si="867"/>
        <v>0</v>
      </c>
      <c r="BD770" s="123">
        <f t="shared" si="867"/>
        <v>0</v>
      </c>
      <c r="BE770" s="123">
        <f t="shared" si="867"/>
        <v>0</v>
      </c>
      <c r="BF770" s="123">
        <f t="shared" si="867"/>
        <v>0</v>
      </c>
      <c r="BG770" s="123">
        <f t="shared" si="867"/>
        <v>0</v>
      </c>
      <c r="BH770" s="123">
        <f t="shared" si="867"/>
        <v>0</v>
      </c>
      <c r="BI770" s="123">
        <f t="shared" si="867"/>
        <v>0</v>
      </c>
      <c r="BJ770" s="123">
        <f t="shared" si="867"/>
        <v>0</v>
      </c>
      <c r="BK770" s="123">
        <f t="shared" si="867"/>
        <v>0</v>
      </c>
      <c r="BL770" s="123">
        <f t="shared" si="867"/>
        <v>0</v>
      </c>
      <c r="BM770" s="123">
        <f t="shared" si="867"/>
        <v>0</v>
      </c>
      <c r="BN770" s="159">
        <f t="shared" si="867"/>
        <v>0</v>
      </c>
      <c r="BP770" s="367" t="s">
        <v>866</v>
      </c>
      <c r="BQ770" s="1536" t="str">
        <f t="shared" si="863"/>
        <v>GHG_Wooda = GHG_Wooda-1 + (E138 * BUI_COL (307 + ((A138 - 1) * 8) * BUI_COL5 / (J138-I138+1) / 1000000)</v>
      </c>
      <c r="BR770" s="1544"/>
      <c r="BS770" s="1544"/>
      <c r="BT770" s="1544"/>
      <c r="BU770" s="1544"/>
      <c r="BV770" s="1544"/>
      <c r="BW770" s="1544"/>
      <c r="BX770" s="1544"/>
      <c r="BY770" s="1544"/>
      <c r="BZ770" s="1544"/>
      <c r="CA770" s="1544"/>
      <c r="CB770" s="1544"/>
      <c r="CC770" s="1544"/>
      <c r="CD770" s="1544"/>
      <c r="CE770" s="1544"/>
      <c r="CF770" s="1544"/>
      <c r="CG770" s="1544"/>
      <c r="CH770" s="1537"/>
      <c r="CI770" s="578" t="s">
        <v>2231</v>
      </c>
      <c r="CJ770" s="367" t="s">
        <v>2232</v>
      </c>
      <c r="CK770" s="367" t="s">
        <v>1250</v>
      </c>
      <c r="CL770" s="580"/>
    </row>
    <row r="771" spans="7:90" ht="20.100000000000001" customHeight="1">
      <c r="AF771" s="190"/>
      <c r="AG771" s="107" t="s">
        <v>867</v>
      </c>
      <c r="AH771" s="107">
        <f>INDEX('DEFAULT DATA'!$WD$9:$WJ$41,START!$C$3,6)</f>
        <v>0</v>
      </c>
      <c r="AI771" s="432">
        <f>INDEX('DEFAULT DATA'!$AGR$9:$AJS$41,START!$C$3,(7+(($A$139-1)*8)))/IF($A$139&lt;5,INDEX('DEFAULT DATA'!$XS$9:$XV$41,START!$C$3,$A$139),1)</f>
        <v>114.97725700487953</v>
      </c>
      <c r="AJ771" s="115"/>
      <c r="AK771" s="180">
        <v>0</v>
      </c>
      <c r="AL771" s="123">
        <f t="shared" ref="AL771:BN771" si="868">IF(AND(AL$764&gt;($I$139+2020),AL$764&lt;($J$139+2022)),AK771+($AH$771*$E$139*$AI$771/($J$139-$I$139+1)/1000000),AK771)</f>
        <v>0</v>
      </c>
      <c r="AM771" s="123">
        <f t="shared" si="868"/>
        <v>0</v>
      </c>
      <c r="AN771" s="123">
        <f t="shared" si="868"/>
        <v>0</v>
      </c>
      <c r="AO771" s="123">
        <f t="shared" si="868"/>
        <v>0</v>
      </c>
      <c r="AP771" s="123">
        <f t="shared" si="868"/>
        <v>0</v>
      </c>
      <c r="AQ771" s="123">
        <f t="shared" si="868"/>
        <v>0</v>
      </c>
      <c r="AR771" s="123">
        <f t="shared" si="868"/>
        <v>0</v>
      </c>
      <c r="AS771" s="123">
        <f t="shared" si="868"/>
        <v>0</v>
      </c>
      <c r="AT771" s="123">
        <f t="shared" si="868"/>
        <v>0</v>
      </c>
      <c r="AU771" s="123">
        <f t="shared" si="868"/>
        <v>0</v>
      </c>
      <c r="AV771" s="123">
        <f t="shared" si="868"/>
        <v>0</v>
      </c>
      <c r="AW771" s="123">
        <f t="shared" si="868"/>
        <v>0</v>
      </c>
      <c r="AX771" s="123">
        <f t="shared" si="868"/>
        <v>0</v>
      </c>
      <c r="AY771" s="123">
        <f t="shared" si="868"/>
        <v>0</v>
      </c>
      <c r="AZ771" s="123">
        <f t="shared" si="868"/>
        <v>0</v>
      </c>
      <c r="BA771" s="123">
        <f t="shared" si="868"/>
        <v>0</v>
      </c>
      <c r="BB771" s="123">
        <f t="shared" si="868"/>
        <v>0</v>
      </c>
      <c r="BC771" s="123">
        <f t="shared" si="868"/>
        <v>0</v>
      </c>
      <c r="BD771" s="123">
        <f t="shared" si="868"/>
        <v>0</v>
      </c>
      <c r="BE771" s="123">
        <f t="shared" si="868"/>
        <v>0</v>
      </c>
      <c r="BF771" s="123">
        <f t="shared" si="868"/>
        <v>0</v>
      </c>
      <c r="BG771" s="123">
        <f t="shared" si="868"/>
        <v>0</v>
      </c>
      <c r="BH771" s="123">
        <f t="shared" si="868"/>
        <v>0</v>
      </c>
      <c r="BI771" s="123">
        <f t="shared" si="868"/>
        <v>0</v>
      </c>
      <c r="BJ771" s="123">
        <f t="shared" si="868"/>
        <v>0</v>
      </c>
      <c r="BK771" s="123">
        <f t="shared" si="868"/>
        <v>0</v>
      </c>
      <c r="BL771" s="123">
        <f t="shared" si="868"/>
        <v>0</v>
      </c>
      <c r="BM771" s="123">
        <f t="shared" si="868"/>
        <v>0</v>
      </c>
      <c r="BN771" s="159">
        <f t="shared" si="868"/>
        <v>0</v>
      </c>
      <c r="BP771" s="367" t="s">
        <v>867</v>
      </c>
      <c r="BQ771" s="1536" t="str">
        <f t="shared" si="863"/>
        <v>GHG_Renewablea = GHG_Renewablea-1 + (E138 * BUI_COL (307 + ((A138 - 1) * 8) * BUI_COL6 / (J138-I138+1) / 1000000)</v>
      </c>
      <c r="BR771" s="1544"/>
      <c r="BS771" s="1544"/>
      <c r="BT771" s="1544"/>
      <c r="BU771" s="1544"/>
      <c r="BV771" s="1544"/>
      <c r="BW771" s="1544"/>
      <c r="BX771" s="1544"/>
      <c r="BY771" s="1544"/>
      <c r="BZ771" s="1544"/>
      <c r="CA771" s="1544"/>
      <c r="CB771" s="1544"/>
      <c r="CC771" s="1544"/>
      <c r="CD771" s="1544"/>
      <c r="CE771" s="1544"/>
      <c r="CF771" s="1544"/>
      <c r="CG771" s="1544"/>
      <c r="CH771" s="1537"/>
      <c r="CI771" s="578" t="s">
        <v>2231</v>
      </c>
      <c r="CJ771" s="367" t="s">
        <v>2232</v>
      </c>
      <c r="CK771" s="367" t="s">
        <v>1251</v>
      </c>
      <c r="CL771" s="580"/>
    </row>
    <row r="772" spans="7:90" ht="20.100000000000001" customHeight="1" thickBot="1">
      <c r="AF772" s="191"/>
      <c r="AG772" s="146" t="s">
        <v>868</v>
      </c>
      <c r="AH772" s="146" t="s">
        <v>1123</v>
      </c>
      <c r="AI772" s="451">
        <f>INDEX('DEFAULT DATA'!$AGR$9:$AJS$41,START!$C$3,(8+(($A$139-1)*8)))/IF($A$139&lt;5,INDEX('DEFAULT DATA'!$XS$9:$XV$41,START!$C$3,$A$139),1)</f>
        <v>28.744314251219883</v>
      </c>
      <c r="AJ772" s="170"/>
      <c r="AK772" s="183">
        <v>0</v>
      </c>
      <c r="AL772" s="160">
        <f t="shared" ref="AL772:BN772" si="869">IF(AND(AL$764&gt;($I$139+2020),AL$764&lt;($J$139+2022)),AK772+(AL6*$E$139*$AI$772/($J$139-$I$139+1)/1000000),AK772)</f>
        <v>0</v>
      </c>
      <c r="AM772" s="160">
        <f t="shared" si="869"/>
        <v>0</v>
      </c>
      <c r="AN772" s="160">
        <f t="shared" si="869"/>
        <v>0</v>
      </c>
      <c r="AO772" s="160">
        <f t="shared" si="869"/>
        <v>0</v>
      </c>
      <c r="AP772" s="160">
        <f t="shared" si="869"/>
        <v>0</v>
      </c>
      <c r="AQ772" s="160">
        <f t="shared" si="869"/>
        <v>0</v>
      </c>
      <c r="AR772" s="160">
        <f t="shared" si="869"/>
        <v>0</v>
      </c>
      <c r="AS772" s="160">
        <f t="shared" si="869"/>
        <v>0</v>
      </c>
      <c r="AT772" s="160">
        <f t="shared" si="869"/>
        <v>0</v>
      </c>
      <c r="AU772" s="160">
        <f t="shared" si="869"/>
        <v>0</v>
      </c>
      <c r="AV772" s="160">
        <f t="shared" si="869"/>
        <v>0</v>
      </c>
      <c r="AW772" s="160">
        <f t="shared" si="869"/>
        <v>0</v>
      </c>
      <c r="AX772" s="160">
        <f t="shared" si="869"/>
        <v>0</v>
      </c>
      <c r="AY772" s="160">
        <f t="shared" si="869"/>
        <v>0</v>
      </c>
      <c r="AZ772" s="160">
        <f t="shared" si="869"/>
        <v>0</v>
      </c>
      <c r="BA772" s="160">
        <f t="shared" si="869"/>
        <v>0</v>
      </c>
      <c r="BB772" s="160">
        <f t="shared" si="869"/>
        <v>0</v>
      </c>
      <c r="BC772" s="160">
        <f t="shared" si="869"/>
        <v>0</v>
      </c>
      <c r="BD772" s="160">
        <f t="shared" si="869"/>
        <v>0</v>
      </c>
      <c r="BE772" s="160">
        <f t="shared" si="869"/>
        <v>0</v>
      </c>
      <c r="BF772" s="160">
        <f t="shared" si="869"/>
        <v>0</v>
      </c>
      <c r="BG772" s="160">
        <f t="shared" si="869"/>
        <v>0</v>
      </c>
      <c r="BH772" s="160">
        <f t="shared" si="869"/>
        <v>0</v>
      </c>
      <c r="BI772" s="160">
        <f t="shared" si="869"/>
        <v>0</v>
      </c>
      <c r="BJ772" s="160">
        <f t="shared" si="869"/>
        <v>0</v>
      </c>
      <c r="BK772" s="160">
        <f t="shared" si="869"/>
        <v>0</v>
      </c>
      <c r="BL772" s="160">
        <f t="shared" si="869"/>
        <v>0</v>
      </c>
      <c r="BM772" s="160">
        <f t="shared" si="869"/>
        <v>0</v>
      </c>
      <c r="BN772" s="161">
        <f t="shared" si="869"/>
        <v>0</v>
      </c>
      <c r="BP772" s="367" t="s">
        <v>868</v>
      </c>
      <c r="BQ772" s="1536" t="str">
        <f t="shared" si="863"/>
        <v>GHG_Heata = GHG_Heata-1 + (E138 * BUI_COL (307 + ((A138 - 1) * 8) * DISTRICT_HEATING_emission_factora (from row 5) / (J138-I138+1) / 1000000)</v>
      </c>
      <c r="BR772" s="1544"/>
      <c r="BS772" s="1544"/>
      <c r="BT772" s="1544"/>
      <c r="BU772" s="1544"/>
      <c r="BV772" s="1544"/>
      <c r="BW772" s="1544"/>
      <c r="BX772" s="1544"/>
      <c r="BY772" s="1544"/>
      <c r="BZ772" s="1544"/>
      <c r="CA772" s="1544"/>
      <c r="CB772" s="1544"/>
      <c r="CC772" s="1544"/>
      <c r="CD772" s="1544"/>
      <c r="CE772" s="1544"/>
      <c r="CF772" s="1544"/>
      <c r="CG772" s="1544"/>
      <c r="CH772" s="1537"/>
      <c r="CI772" s="578" t="s">
        <v>2231</v>
      </c>
      <c r="CJ772" s="367" t="s">
        <v>2232</v>
      </c>
      <c r="CK772" s="367" t="s">
        <v>2222</v>
      </c>
      <c r="CL772" s="580"/>
    </row>
    <row r="773" spans="7:90" ht="20.100000000000001" customHeight="1">
      <c r="AF773" s="167"/>
      <c r="AG773" s="144" t="s">
        <v>211</v>
      </c>
      <c r="AH773" s="145"/>
      <c r="AI773" s="198"/>
      <c r="AJ773" s="145"/>
      <c r="AK773" s="179">
        <v>0</v>
      </c>
      <c r="AL773" s="162">
        <f>SUM(AL765:AL772)</f>
        <v>0</v>
      </c>
      <c r="AM773" s="162">
        <f t="shared" ref="AM773:BN773" si="870">SUM(AM765:AM772)</f>
        <v>0</v>
      </c>
      <c r="AN773" s="162">
        <f t="shared" si="870"/>
        <v>0</v>
      </c>
      <c r="AO773" s="162">
        <f t="shared" si="870"/>
        <v>0</v>
      </c>
      <c r="AP773" s="162">
        <f t="shared" si="870"/>
        <v>0</v>
      </c>
      <c r="AQ773" s="162">
        <f t="shared" si="870"/>
        <v>0</v>
      </c>
      <c r="AR773" s="162">
        <f t="shared" si="870"/>
        <v>0</v>
      </c>
      <c r="AS773" s="162">
        <f t="shared" si="870"/>
        <v>0</v>
      </c>
      <c r="AT773" s="162">
        <f t="shared" si="870"/>
        <v>0</v>
      </c>
      <c r="AU773" s="162">
        <f t="shared" si="870"/>
        <v>0</v>
      </c>
      <c r="AV773" s="162">
        <f t="shared" si="870"/>
        <v>0</v>
      </c>
      <c r="AW773" s="162">
        <f t="shared" si="870"/>
        <v>0</v>
      </c>
      <c r="AX773" s="162">
        <f t="shared" si="870"/>
        <v>0</v>
      </c>
      <c r="AY773" s="162">
        <f t="shared" si="870"/>
        <v>0</v>
      </c>
      <c r="AZ773" s="162">
        <f t="shared" si="870"/>
        <v>0</v>
      </c>
      <c r="BA773" s="162">
        <f t="shared" si="870"/>
        <v>0</v>
      </c>
      <c r="BB773" s="162">
        <f t="shared" si="870"/>
        <v>0</v>
      </c>
      <c r="BC773" s="162">
        <f t="shared" si="870"/>
        <v>0</v>
      </c>
      <c r="BD773" s="162">
        <f t="shared" si="870"/>
        <v>0</v>
      </c>
      <c r="BE773" s="162">
        <f t="shared" si="870"/>
        <v>0</v>
      </c>
      <c r="BF773" s="162">
        <f t="shared" si="870"/>
        <v>0</v>
      </c>
      <c r="BG773" s="162">
        <f t="shared" si="870"/>
        <v>0</v>
      </c>
      <c r="BH773" s="162">
        <f t="shared" si="870"/>
        <v>0</v>
      </c>
      <c r="BI773" s="162">
        <f t="shared" si="870"/>
        <v>0</v>
      </c>
      <c r="BJ773" s="162">
        <f t="shared" si="870"/>
        <v>0</v>
      </c>
      <c r="BK773" s="162">
        <f t="shared" si="870"/>
        <v>0</v>
      </c>
      <c r="BL773" s="162">
        <f t="shared" si="870"/>
        <v>0</v>
      </c>
      <c r="BM773" s="162">
        <f t="shared" si="870"/>
        <v>0</v>
      </c>
      <c r="BN773" s="162">
        <f t="shared" si="870"/>
        <v>0</v>
      </c>
    </row>
    <row r="774" spans="7:90" ht="20.100000000000001" customHeight="1">
      <c r="G774" s="573"/>
      <c r="AI774" s="199"/>
    </row>
    <row r="775" spans="7:90" ht="20.100000000000001" customHeight="1" thickBot="1">
      <c r="AF775" s="168" t="s">
        <v>1140</v>
      </c>
      <c r="AG775" s="168"/>
      <c r="AH775" s="169" t="s">
        <v>620</v>
      </c>
      <c r="AI775" s="1542" t="s">
        <v>2168</v>
      </c>
      <c r="AJ775" s="1543"/>
      <c r="AK775" s="181">
        <v>2021</v>
      </c>
      <c r="AL775" s="135">
        <v>2022</v>
      </c>
      <c r="AM775" s="135">
        <v>2023</v>
      </c>
      <c r="AN775" s="135">
        <v>2024</v>
      </c>
      <c r="AO775" s="135">
        <v>2025</v>
      </c>
      <c r="AP775" s="135">
        <v>2026</v>
      </c>
      <c r="AQ775" s="135">
        <v>2027</v>
      </c>
      <c r="AR775" s="135">
        <v>2028</v>
      </c>
      <c r="AS775" s="135">
        <v>2029</v>
      </c>
      <c r="AT775" s="135">
        <v>2030</v>
      </c>
      <c r="AU775" s="135">
        <v>2031</v>
      </c>
      <c r="AV775" s="135">
        <v>2032</v>
      </c>
      <c r="AW775" s="135">
        <v>2033</v>
      </c>
      <c r="AX775" s="135">
        <v>2034</v>
      </c>
      <c r="AY775" s="135">
        <v>2035</v>
      </c>
      <c r="AZ775" s="135">
        <v>2036</v>
      </c>
      <c r="BA775" s="135">
        <v>2037</v>
      </c>
      <c r="BB775" s="135">
        <v>2038</v>
      </c>
      <c r="BC775" s="135">
        <v>2039</v>
      </c>
      <c r="BD775" s="135">
        <v>2040</v>
      </c>
      <c r="BE775" s="135">
        <v>2041</v>
      </c>
      <c r="BF775" s="135">
        <v>2042</v>
      </c>
      <c r="BG775" s="135">
        <v>2043</v>
      </c>
      <c r="BH775" s="135">
        <v>2044</v>
      </c>
      <c r="BI775" s="135">
        <v>2045</v>
      </c>
      <c r="BJ775" s="135">
        <v>2046</v>
      </c>
      <c r="BK775" s="135">
        <v>2047</v>
      </c>
      <c r="BL775" s="135">
        <v>2048</v>
      </c>
      <c r="BM775" s="135">
        <v>2049</v>
      </c>
      <c r="BN775" s="135">
        <v>2050</v>
      </c>
      <c r="BQ775" s="82" t="s">
        <v>2244</v>
      </c>
      <c r="BR775" s="250"/>
      <c r="BS775" s="250"/>
      <c r="BT775" s="250"/>
      <c r="BU775" s="250"/>
      <c r="BV775" s="250"/>
      <c r="BW775" s="250"/>
      <c r="BX775" s="250"/>
      <c r="BY775" s="250"/>
      <c r="BZ775" s="250"/>
      <c r="CA775" s="250"/>
      <c r="CB775" s="250"/>
      <c r="CC775" s="250"/>
      <c r="CD775" s="250"/>
      <c r="CE775" s="250"/>
      <c r="CF775" s="250"/>
      <c r="CG775" s="250"/>
      <c r="CH775" s="250"/>
      <c r="CI775" s="605" t="s">
        <v>1393</v>
      </c>
      <c r="CJ775" s="130" t="s">
        <v>2172</v>
      </c>
      <c r="CK775" s="606" t="s">
        <v>1224</v>
      </c>
    </row>
    <row r="776" spans="7:90" ht="20.100000000000001" customHeight="1">
      <c r="AF776" s="97" t="str">
        <f>CONCATENATE("conversion from ",INDEX('MENU OPTIONS'!$B$27:$B$36,$A$140,1))</f>
        <v>conversion from Apartment</v>
      </c>
      <c r="AG776" s="137" t="s">
        <v>578</v>
      </c>
      <c r="AH776" s="137" t="s">
        <v>1122</v>
      </c>
      <c r="AI776" s="602">
        <f>INDEX('DEFAULT DATA'!$AGR$9:$AJS$41,START!$C$3,(1+(($A$140-1)*8)))/IF($A$140&lt;5,INDEX('DEFAULT DATA'!$XS$9:$XV$41,START!$C$3,$A$140),1)</f>
        <v>40.242039951707838</v>
      </c>
      <c r="AJ776" s="165"/>
      <c r="AK776" s="178">
        <v>0</v>
      </c>
      <c r="AL776" s="157">
        <f t="shared" ref="AL776:BN776" si="871">IF(AND(AL$775&gt;($I$140+2020),AL$775&lt;($J$140+2022)),AK776+(AL$5*$E$140*$AI$776/($J$140-$I$140+1)/1000000),AK776)</f>
        <v>0</v>
      </c>
      <c r="AM776" s="157">
        <f t="shared" si="871"/>
        <v>0</v>
      </c>
      <c r="AN776" s="157">
        <f t="shared" si="871"/>
        <v>0</v>
      </c>
      <c r="AO776" s="157">
        <f t="shared" si="871"/>
        <v>0</v>
      </c>
      <c r="AP776" s="157">
        <f t="shared" si="871"/>
        <v>0</v>
      </c>
      <c r="AQ776" s="157">
        <f t="shared" si="871"/>
        <v>0</v>
      </c>
      <c r="AR776" s="157">
        <f t="shared" si="871"/>
        <v>0</v>
      </c>
      <c r="AS776" s="157">
        <f t="shared" si="871"/>
        <v>0</v>
      </c>
      <c r="AT776" s="157">
        <f t="shared" si="871"/>
        <v>0</v>
      </c>
      <c r="AU776" s="157">
        <f t="shared" si="871"/>
        <v>0</v>
      </c>
      <c r="AV776" s="157">
        <f t="shared" si="871"/>
        <v>0</v>
      </c>
      <c r="AW776" s="157">
        <f t="shared" si="871"/>
        <v>0</v>
      </c>
      <c r="AX776" s="157">
        <f t="shared" si="871"/>
        <v>0</v>
      </c>
      <c r="AY776" s="157">
        <f t="shared" si="871"/>
        <v>0</v>
      </c>
      <c r="AZ776" s="157">
        <f t="shared" si="871"/>
        <v>0</v>
      </c>
      <c r="BA776" s="157">
        <f t="shared" si="871"/>
        <v>0</v>
      </c>
      <c r="BB776" s="157">
        <f t="shared" si="871"/>
        <v>0</v>
      </c>
      <c r="BC776" s="157">
        <f t="shared" si="871"/>
        <v>0</v>
      </c>
      <c r="BD776" s="157">
        <f t="shared" si="871"/>
        <v>0</v>
      </c>
      <c r="BE776" s="157">
        <f t="shared" si="871"/>
        <v>0</v>
      </c>
      <c r="BF776" s="157">
        <f t="shared" si="871"/>
        <v>0</v>
      </c>
      <c r="BG776" s="157">
        <f t="shared" si="871"/>
        <v>0</v>
      </c>
      <c r="BH776" s="157">
        <f t="shared" si="871"/>
        <v>0</v>
      </c>
      <c r="BI776" s="157">
        <f t="shared" si="871"/>
        <v>0</v>
      </c>
      <c r="BJ776" s="157">
        <f t="shared" si="871"/>
        <v>0</v>
      </c>
      <c r="BK776" s="157">
        <f t="shared" si="871"/>
        <v>0</v>
      </c>
      <c r="BL776" s="157">
        <f t="shared" si="871"/>
        <v>0</v>
      </c>
      <c r="BM776" s="157">
        <f t="shared" si="871"/>
        <v>0</v>
      </c>
      <c r="BN776" s="158">
        <f t="shared" si="871"/>
        <v>0</v>
      </c>
      <c r="BP776" s="367" t="s">
        <v>578</v>
      </c>
      <c r="BQ776" s="1536" t="str">
        <f>CONCATENATE("GHG_",BP776,"a = GHG_",BP776,"a-1 + (E139 * ",CI776," * ",CK776," / (",CJ776,") / 1000000)")</f>
        <v>GHG_Electricitya = GHG_Electricitya-1 + (E139 * BUI_COL (307 + ((A139 - 1) * 8) * GRID_ELECTRICITY_emission_factora (from row4) / (J139-I139+1) / 1000000)</v>
      </c>
      <c r="BR776" s="1544"/>
      <c r="BS776" s="1544"/>
      <c r="BT776" s="1544"/>
      <c r="BU776" s="1544"/>
      <c r="BV776" s="1544"/>
      <c r="BW776" s="1544"/>
      <c r="BX776" s="1544"/>
      <c r="BY776" s="1544"/>
      <c r="BZ776" s="1544"/>
      <c r="CA776" s="1544"/>
      <c r="CB776" s="1544"/>
      <c r="CC776" s="1544"/>
      <c r="CD776" s="1544"/>
      <c r="CE776" s="1544"/>
      <c r="CF776" s="1544"/>
      <c r="CG776" s="1544"/>
      <c r="CH776" s="1537"/>
      <c r="CI776" s="578" t="s">
        <v>2233</v>
      </c>
      <c r="CJ776" s="367" t="s">
        <v>2234</v>
      </c>
      <c r="CK776" s="367" t="s">
        <v>2221</v>
      </c>
      <c r="CL776" s="580"/>
    </row>
    <row r="777" spans="7:90" ht="20.100000000000001" customHeight="1">
      <c r="AF777" s="190"/>
      <c r="AG777" s="107" t="s">
        <v>862</v>
      </c>
      <c r="AH777" s="107">
        <f>INDEX('DEFAULT DATA'!$WD$9:$WJ$41,START!$C$3,1)</f>
        <v>202</v>
      </c>
      <c r="AI777" s="432">
        <f>INDEX('DEFAULT DATA'!$AGR$9:$AJS$41,START!$C$3,(2+(($A$140-1)*8)))/IF($A$140&lt;5,INDEX('DEFAULT DATA'!$XS$9:$XV$41,START!$C$3,$A$140),1)</f>
        <v>91.981805603903624</v>
      </c>
      <c r="AJ777" s="115"/>
      <c r="AK777" s="180">
        <v>0</v>
      </c>
      <c r="AL777" s="123">
        <f t="shared" ref="AL777:BN777" si="872">IF(AND(AL$775&gt;($I$140+2020),AL$775&lt;($J$140+2022)),AK777+($AH$777*$E$140*$AI$777/($J$140-$I$140+1)/1000000),AK777)</f>
        <v>0</v>
      </c>
      <c r="AM777" s="123">
        <f t="shared" si="872"/>
        <v>0</v>
      </c>
      <c r="AN777" s="123">
        <f t="shared" si="872"/>
        <v>0</v>
      </c>
      <c r="AO777" s="123">
        <f t="shared" si="872"/>
        <v>0</v>
      </c>
      <c r="AP777" s="123">
        <f t="shared" si="872"/>
        <v>0</v>
      </c>
      <c r="AQ777" s="123">
        <f t="shared" si="872"/>
        <v>0</v>
      </c>
      <c r="AR777" s="123">
        <f t="shared" si="872"/>
        <v>0</v>
      </c>
      <c r="AS777" s="123">
        <f t="shared" si="872"/>
        <v>0</v>
      </c>
      <c r="AT777" s="123">
        <f t="shared" si="872"/>
        <v>0</v>
      </c>
      <c r="AU777" s="123">
        <f t="shared" si="872"/>
        <v>0</v>
      </c>
      <c r="AV777" s="123">
        <f t="shared" si="872"/>
        <v>0</v>
      </c>
      <c r="AW777" s="123">
        <f t="shared" si="872"/>
        <v>0</v>
      </c>
      <c r="AX777" s="123">
        <f t="shared" si="872"/>
        <v>0</v>
      </c>
      <c r="AY777" s="123">
        <f t="shared" si="872"/>
        <v>0</v>
      </c>
      <c r="AZ777" s="123">
        <f t="shared" si="872"/>
        <v>0</v>
      </c>
      <c r="BA777" s="123">
        <f t="shared" si="872"/>
        <v>0</v>
      </c>
      <c r="BB777" s="123">
        <f t="shared" si="872"/>
        <v>0</v>
      </c>
      <c r="BC777" s="123">
        <f t="shared" si="872"/>
        <v>0</v>
      </c>
      <c r="BD777" s="123">
        <f t="shared" si="872"/>
        <v>0</v>
      </c>
      <c r="BE777" s="123">
        <f t="shared" si="872"/>
        <v>0</v>
      </c>
      <c r="BF777" s="123">
        <f t="shared" si="872"/>
        <v>0</v>
      </c>
      <c r="BG777" s="123">
        <f t="shared" si="872"/>
        <v>0</v>
      </c>
      <c r="BH777" s="123">
        <f t="shared" si="872"/>
        <v>0</v>
      </c>
      <c r="BI777" s="123">
        <f t="shared" si="872"/>
        <v>0</v>
      </c>
      <c r="BJ777" s="123">
        <f t="shared" si="872"/>
        <v>0</v>
      </c>
      <c r="BK777" s="123">
        <f t="shared" si="872"/>
        <v>0</v>
      </c>
      <c r="BL777" s="123">
        <f t="shared" si="872"/>
        <v>0</v>
      </c>
      <c r="BM777" s="123">
        <f t="shared" si="872"/>
        <v>0</v>
      </c>
      <c r="BN777" s="159">
        <f t="shared" si="872"/>
        <v>0</v>
      </c>
      <c r="BP777" s="367" t="s">
        <v>862</v>
      </c>
      <c r="BQ777" s="1536" t="str">
        <f t="shared" ref="BQ777:BQ783" si="873">CONCATENATE("GHG_",BP777,"a = GHG_",BP777,"a-1 + (E139 * ",CI777," * ",CK777," / (",CJ777,") / 1000000)")</f>
        <v>GHG_Gasa = GHG_Gasa-1 + (E139 * BUI_COL (307 + ((A139 - 1) * 8) * BUI_COL1 / (J139-I139+1) / 1000000)</v>
      </c>
      <c r="BR777" s="1544"/>
      <c r="BS777" s="1544"/>
      <c r="BT777" s="1544"/>
      <c r="BU777" s="1544"/>
      <c r="BV777" s="1544"/>
      <c r="BW777" s="1544"/>
      <c r="BX777" s="1544"/>
      <c r="BY777" s="1544"/>
      <c r="BZ777" s="1544"/>
      <c r="CA777" s="1544"/>
      <c r="CB777" s="1544"/>
      <c r="CC777" s="1544"/>
      <c r="CD777" s="1544"/>
      <c r="CE777" s="1544"/>
      <c r="CF777" s="1544"/>
      <c r="CG777" s="1544"/>
      <c r="CH777" s="1537"/>
      <c r="CI777" s="578" t="s">
        <v>2233</v>
      </c>
      <c r="CJ777" s="367" t="s">
        <v>2234</v>
      </c>
      <c r="CK777" s="367" t="s">
        <v>886</v>
      </c>
      <c r="CL777" s="580"/>
    </row>
    <row r="778" spans="7:90" ht="20.100000000000001" customHeight="1">
      <c r="AF778" s="27"/>
      <c r="AG778" s="107" t="s">
        <v>863</v>
      </c>
      <c r="AH778" s="107">
        <f>INDEX('DEFAULT DATA'!$WD$9:$WJ$41,START!$C$3,2)</f>
        <v>267</v>
      </c>
      <c r="AI778" s="432">
        <f>INDEX('DEFAULT DATA'!$AGR$9:$AJS$41,START!$C$3,(3+(($A$140-1)*8)))/IF($A$140&lt;5,INDEX('DEFAULT DATA'!$XS$9:$XV$41,START!$C$3,$A$140),1)</f>
        <v>11.497725700487953</v>
      </c>
      <c r="AJ778" s="115"/>
      <c r="AK778" s="180">
        <v>0</v>
      </c>
      <c r="AL778" s="123">
        <f t="shared" ref="AL778:BN778" si="874">IF(AND(AL$775&gt;($I$140+2020),AL$775&lt;($J$140+2022)),AK778+($AH$778*$E$140*$AI$778/($J$140-$I$140+1)/1000000),AK778)</f>
        <v>0</v>
      </c>
      <c r="AM778" s="123">
        <f t="shared" si="874"/>
        <v>0</v>
      </c>
      <c r="AN778" s="123">
        <f t="shared" si="874"/>
        <v>0</v>
      </c>
      <c r="AO778" s="123">
        <f t="shared" si="874"/>
        <v>0</v>
      </c>
      <c r="AP778" s="123">
        <f t="shared" si="874"/>
        <v>0</v>
      </c>
      <c r="AQ778" s="123">
        <f t="shared" si="874"/>
        <v>0</v>
      </c>
      <c r="AR778" s="123">
        <f t="shared" si="874"/>
        <v>0</v>
      </c>
      <c r="AS778" s="123">
        <f t="shared" si="874"/>
        <v>0</v>
      </c>
      <c r="AT778" s="123">
        <f t="shared" si="874"/>
        <v>0</v>
      </c>
      <c r="AU778" s="123">
        <f t="shared" si="874"/>
        <v>0</v>
      </c>
      <c r="AV778" s="123">
        <f t="shared" si="874"/>
        <v>0</v>
      </c>
      <c r="AW778" s="123">
        <f t="shared" si="874"/>
        <v>0</v>
      </c>
      <c r="AX778" s="123">
        <f t="shared" si="874"/>
        <v>0</v>
      </c>
      <c r="AY778" s="123">
        <f t="shared" si="874"/>
        <v>0</v>
      </c>
      <c r="AZ778" s="123">
        <f t="shared" si="874"/>
        <v>0</v>
      </c>
      <c r="BA778" s="123">
        <f t="shared" si="874"/>
        <v>0</v>
      </c>
      <c r="BB778" s="123">
        <f t="shared" si="874"/>
        <v>0</v>
      </c>
      <c r="BC778" s="123">
        <f t="shared" si="874"/>
        <v>0</v>
      </c>
      <c r="BD778" s="123">
        <f t="shared" si="874"/>
        <v>0</v>
      </c>
      <c r="BE778" s="123">
        <f t="shared" si="874"/>
        <v>0</v>
      </c>
      <c r="BF778" s="123">
        <f t="shared" si="874"/>
        <v>0</v>
      </c>
      <c r="BG778" s="123">
        <f t="shared" si="874"/>
        <v>0</v>
      </c>
      <c r="BH778" s="123">
        <f t="shared" si="874"/>
        <v>0</v>
      </c>
      <c r="BI778" s="123">
        <f t="shared" si="874"/>
        <v>0</v>
      </c>
      <c r="BJ778" s="123">
        <f t="shared" si="874"/>
        <v>0</v>
      </c>
      <c r="BK778" s="123">
        <f t="shared" si="874"/>
        <v>0</v>
      </c>
      <c r="BL778" s="123">
        <f t="shared" si="874"/>
        <v>0</v>
      </c>
      <c r="BM778" s="123">
        <f t="shared" si="874"/>
        <v>0</v>
      </c>
      <c r="BN778" s="159">
        <f t="shared" si="874"/>
        <v>0</v>
      </c>
      <c r="BP778" s="367" t="s">
        <v>863</v>
      </c>
      <c r="BQ778" s="1536" t="str">
        <f t="shared" si="873"/>
        <v>GHG_Oila = GHG_Oila-1 + (E139 * BUI_COL (307 + ((A139 - 1) * 8) * BUI_COL2 / (J139-I139+1) / 1000000)</v>
      </c>
      <c r="BR778" s="1544"/>
      <c r="BS778" s="1544"/>
      <c r="BT778" s="1544"/>
      <c r="BU778" s="1544"/>
      <c r="BV778" s="1544"/>
      <c r="BW778" s="1544"/>
      <c r="BX778" s="1544"/>
      <c r="BY778" s="1544"/>
      <c r="BZ778" s="1544"/>
      <c r="CA778" s="1544"/>
      <c r="CB778" s="1544"/>
      <c r="CC778" s="1544"/>
      <c r="CD778" s="1544"/>
      <c r="CE778" s="1544"/>
      <c r="CF778" s="1544"/>
      <c r="CG778" s="1544"/>
      <c r="CH778" s="1537"/>
      <c r="CI778" s="578" t="s">
        <v>2233</v>
      </c>
      <c r="CJ778" s="367" t="s">
        <v>2234</v>
      </c>
      <c r="CK778" s="367" t="s">
        <v>1247</v>
      </c>
      <c r="CL778" s="580"/>
    </row>
    <row r="779" spans="7:90" ht="20.100000000000001" customHeight="1">
      <c r="AF779" s="27"/>
      <c r="AG779" s="107" t="s">
        <v>864</v>
      </c>
      <c r="AH779" s="107">
        <f>INDEX('DEFAULT DATA'!$WD$9:$WJ$41,START!$C$3,3)</f>
        <v>354</v>
      </c>
      <c r="AI779" s="432">
        <f>INDEX('DEFAULT DATA'!$AGR$9:$AJS$41,START!$C$3,(4+(($A$140-1)*8)))/IF($A$140&lt;5,INDEX('DEFAULT DATA'!$XS$9:$XV$41,START!$C$3,$A$140),1)</f>
        <v>0</v>
      </c>
      <c r="AJ779" s="115"/>
      <c r="AK779" s="180">
        <v>0</v>
      </c>
      <c r="AL779" s="123">
        <f t="shared" ref="AL779:BN779" si="875">IF(AND(AL$775&gt;($I$140+2020),AL$775&lt;($J$140+2022)),AK779+($AH$779*$E$140*$AI$779/($J$140-$I$140+1)/1000000),AK779)</f>
        <v>0</v>
      </c>
      <c r="AM779" s="123">
        <f t="shared" si="875"/>
        <v>0</v>
      </c>
      <c r="AN779" s="123">
        <f t="shared" si="875"/>
        <v>0</v>
      </c>
      <c r="AO779" s="123">
        <f t="shared" si="875"/>
        <v>0</v>
      </c>
      <c r="AP779" s="123">
        <f t="shared" si="875"/>
        <v>0</v>
      </c>
      <c r="AQ779" s="123">
        <f t="shared" si="875"/>
        <v>0</v>
      </c>
      <c r="AR779" s="123">
        <f t="shared" si="875"/>
        <v>0</v>
      </c>
      <c r="AS779" s="123">
        <f t="shared" si="875"/>
        <v>0</v>
      </c>
      <c r="AT779" s="123">
        <f t="shared" si="875"/>
        <v>0</v>
      </c>
      <c r="AU779" s="123">
        <f t="shared" si="875"/>
        <v>0</v>
      </c>
      <c r="AV779" s="123">
        <f t="shared" si="875"/>
        <v>0</v>
      </c>
      <c r="AW779" s="123">
        <f t="shared" si="875"/>
        <v>0</v>
      </c>
      <c r="AX779" s="123">
        <f t="shared" si="875"/>
        <v>0</v>
      </c>
      <c r="AY779" s="123">
        <f t="shared" si="875"/>
        <v>0</v>
      </c>
      <c r="AZ779" s="123">
        <f t="shared" si="875"/>
        <v>0</v>
      </c>
      <c r="BA779" s="123">
        <f t="shared" si="875"/>
        <v>0</v>
      </c>
      <c r="BB779" s="123">
        <f t="shared" si="875"/>
        <v>0</v>
      </c>
      <c r="BC779" s="123">
        <f t="shared" si="875"/>
        <v>0</v>
      </c>
      <c r="BD779" s="123">
        <f t="shared" si="875"/>
        <v>0</v>
      </c>
      <c r="BE779" s="123">
        <f t="shared" si="875"/>
        <v>0</v>
      </c>
      <c r="BF779" s="123">
        <f t="shared" si="875"/>
        <v>0</v>
      </c>
      <c r="BG779" s="123">
        <f t="shared" si="875"/>
        <v>0</v>
      </c>
      <c r="BH779" s="123">
        <f t="shared" si="875"/>
        <v>0</v>
      </c>
      <c r="BI779" s="123">
        <f t="shared" si="875"/>
        <v>0</v>
      </c>
      <c r="BJ779" s="123">
        <f t="shared" si="875"/>
        <v>0</v>
      </c>
      <c r="BK779" s="123">
        <f t="shared" si="875"/>
        <v>0</v>
      </c>
      <c r="BL779" s="123">
        <f t="shared" si="875"/>
        <v>0</v>
      </c>
      <c r="BM779" s="123">
        <f t="shared" si="875"/>
        <v>0</v>
      </c>
      <c r="BN779" s="159">
        <f t="shared" si="875"/>
        <v>0</v>
      </c>
      <c r="BP779" s="367" t="s">
        <v>864</v>
      </c>
      <c r="BQ779" s="1536" t="str">
        <f t="shared" si="873"/>
        <v>GHG_Coala = GHG_Coala-1 + (E139 * BUI_COL (307 + ((A139 - 1) * 8) * BUI_COL3 / (J139-I139+1) / 1000000)</v>
      </c>
      <c r="BR779" s="1544"/>
      <c r="BS779" s="1544"/>
      <c r="BT779" s="1544"/>
      <c r="BU779" s="1544"/>
      <c r="BV779" s="1544"/>
      <c r="BW779" s="1544"/>
      <c r="BX779" s="1544"/>
      <c r="BY779" s="1544"/>
      <c r="BZ779" s="1544"/>
      <c r="CA779" s="1544"/>
      <c r="CB779" s="1544"/>
      <c r="CC779" s="1544"/>
      <c r="CD779" s="1544"/>
      <c r="CE779" s="1544"/>
      <c r="CF779" s="1544"/>
      <c r="CG779" s="1544"/>
      <c r="CH779" s="1537"/>
      <c r="CI779" s="578" t="s">
        <v>2233</v>
      </c>
      <c r="CJ779" s="367" t="s">
        <v>2234</v>
      </c>
      <c r="CK779" s="367" t="s">
        <v>1248</v>
      </c>
      <c r="CL779" s="580"/>
    </row>
    <row r="780" spans="7:90" ht="20.100000000000001" customHeight="1">
      <c r="AF780" s="190"/>
      <c r="AG780" s="107" t="s">
        <v>865</v>
      </c>
      <c r="AH780" s="107">
        <f>INDEX('DEFAULT DATA'!$WD$9:$WJ$41,START!$C$3,4)</f>
        <v>382</v>
      </c>
      <c r="AI780" s="432">
        <f>INDEX('DEFAULT DATA'!$AGR$9:$AJS$41,START!$C$3,(5+(($A$140-1)*8)))/IF($A$140&lt;5,INDEX('DEFAULT DATA'!$XS$9:$XV$41,START!$C$3,$A$140),1)</f>
        <v>0</v>
      </c>
      <c r="AJ780" s="115"/>
      <c r="AK780" s="180">
        <v>0</v>
      </c>
      <c r="AL780" s="123">
        <f t="shared" ref="AL780:BN780" si="876">IF(AND(AL$775&gt;($I$140+2020),AL$775&lt;($J$140+2022)),AK780+($AH$780*$E$140*$AI$780/($J$140-$I$140+1)/1000000),AK780)</f>
        <v>0</v>
      </c>
      <c r="AM780" s="123">
        <f t="shared" si="876"/>
        <v>0</v>
      </c>
      <c r="AN780" s="123">
        <f t="shared" si="876"/>
        <v>0</v>
      </c>
      <c r="AO780" s="123">
        <f t="shared" si="876"/>
        <v>0</v>
      </c>
      <c r="AP780" s="123">
        <f t="shared" si="876"/>
        <v>0</v>
      </c>
      <c r="AQ780" s="123">
        <f t="shared" si="876"/>
        <v>0</v>
      </c>
      <c r="AR780" s="123">
        <f t="shared" si="876"/>
        <v>0</v>
      </c>
      <c r="AS780" s="123">
        <f t="shared" si="876"/>
        <v>0</v>
      </c>
      <c r="AT780" s="123">
        <f t="shared" si="876"/>
        <v>0</v>
      </c>
      <c r="AU780" s="123">
        <f t="shared" si="876"/>
        <v>0</v>
      </c>
      <c r="AV780" s="123">
        <f t="shared" si="876"/>
        <v>0</v>
      </c>
      <c r="AW780" s="123">
        <f t="shared" si="876"/>
        <v>0</v>
      </c>
      <c r="AX780" s="123">
        <f t="shared" si="876"/>
        <v>0</v>
      </c>
      <c r="AY780" s="123">
        <f t="shared" si="876"/>
        <v>0</v>
      </c>
      <c r="AZ780" s="123">
        <f t="shared" si="876"/>
        <v>0</v>
      </c>
      <c r="BA780" s="123">
        <f t="shared" si="876"/>
        <v>0</v>
      </c>
      <c r="BB780" s="123">
        <f t="shared" si="876"/>
        <v>0</v>
      </c>
      <c r="BC780" s="123">
        <f t="shared" si="876"/>
        <v>0</v>
      </c>
      <c r="BD780" s="123">
        <f t="shared" si="876"/>
        <v>0</v>
      </c>
      <c r="BE780" s="123">
        <f t="shared" si="876"/>
        <v>0</v>
      </c>
      <c r="BF780" s="123">
        <f t="shared" si="876"/>
        <v>0</v>
      </c>
      <c r="BG780" s="123">
        <f t="shared" si="876"/>
        <v>0</v>
      </c>
      <c r="BH780" s="123">
        <f t="shared" si="876"/>
        <v>0</v>
      </c>
      <c r="BI780" s="123">
        <f t="shared" si="876"/>
        <v>0</v>
      </c>
      <c r="BJ780" s="123">
        <f t="shared" si="876"/>
        <v>0</v>
      </c>
      <c r="BK780" s="123">
        <f t="shared" si="876"/>
        <v>0</v>
      </c>
      <c r="BL780" s="123">
        <f t="shared" si="876"/>
        <v>0</v>
      </c>
      <c r="BM780" s="123">
        <f t="shared" si="876"/>
        <v>0</v>
      </c>
      <c r="BN780" s="159">
        <f t="shared" si="876"/>
        <v>0</v>
      </c>
      <c r="BP780" s="367" t="s">
        <v>865</v>
      </c>
      <c r="BQ780" s="1536" t="str">
        <f t="shared" si="873"/>
        <v>GHG_Peata = GHG_Peata-1 + (E139 * BUI_COL (307 + ((A139 - 1) * 8) * BUI_COL4 / (J139-I139+1) / 1000000)</v>
      </c>
      <c r="BR780" s="1544"/>
      <c r="BS780" s="1544"/>
      <c r="BT780" s="1544"/>
      <c r="BU780" s="1544"/>
      <c r="BV780" s="1544"/>
      <c r="BW780" s="1544"/>
      <c r="BX780" s="1544"/>
      <c r="BY780" s="1544"/>
      <c r="BZ780" s="1544"/>
      <c r="CA780" s="1544"/>
      <c r="CB780" s="1544"/>
      <c r="CC780" s="1544"/>
      <c r="CD780" s="1544"/>
      <c r="CE780" s="1544"/>
      <c r="CF780" s="1544"/>
      <c r="CG780" s="1544"/>
      <c r="CH780" s="1537"/>
      <c r="CI780" s="578" t="s">
        <v>2233</v>
      </c>
      <c r="CJ780" s="367" t="s">
        <v>2234</v>
      </c>
      <c r="CK780" s="367" t="s">
        <v>1249</v>
      </c>
      <c r="CL780" s="580"/>
    </row>
    <row r="781" spans="7:90" ht="20.100000000000001" customHeight="1">
      <c r="AF781" s="190"/>
      <c r="AG781" s="107" t="s">
        <v>866</v>
      </c>
      <c r="AH781" s="107">
        <f>INDEX('DEFAULT DATA'!$WD$9:$WJ$41,START!$C$3,5)</f>
        <v>403</v>
      </c>
      <c r="AI781" s="432">
        <f>INDEX('DEFAULT DATA'!$AGR$9:$AJS$41,START!$C$3,(6+(($A$140-1)*8)))/IF($A$140&lt;5,INDEX('DEFAULT DATA'!$XS$9:$XV$41,START!$C$3,$A$140),1)</f>
        <v>0</v>
      </c>
      <c r="AJ781" s="115"/>
      <c r="AK781" s="180">
        <v>0</v>
      </c>
      <c r="AL781" s="123">
        <f t="shared" ref="AL781:BN781" si="877">IF(AND(AL$775&gt;($I$140+2020),AL$775&lt;($J$140+2022)),AK781+($AH$781*$E$140*$AI$781/($J$140-$I$140+1)/1000000),AK781)</f>
        <v>0</v>
      </c>
      <c r="AM781" s="123">
        <f t="shared" si="877"/>
        <v>0</v>
      </c>
      <c r="AN781" s="123">
        <f t="shared" si="877"/>
        <v>0</v>
      </c>
      <c r="AO781" s="123">
        <f t="shared" si="877"/>
        <v>0</v>
      </c>
      <c r="AP781" s="123">
        <f t="shared" si="877"/>
        <v>0</v>
      </c>
      <c r="AQ781" s="123">
        <f t="shared" si="877"/>
        <v>0</v>
      </c>
      <c r="AR781" s="123">
        <f t="shared" si="877"/>
        <v>0</v>
      </c>
      <c r="AS781" s="123">
        <f t="shared" si="877"/>
        <v>0</v>
      </c>
      <c r="AT781" s="123">
        <f t="shared" si="877"/>
        <v>0</v>
      </c>
      <c r="AU781" s="123">
        <f t="shared" si="877"/>
        <v>0</v>
      </c>
      <c r="AV781" s="123">
        <f t="shared" si="877"/>
        <v>0</v>
      </c>
      <c r="AW781" s="123">
        <f t="shared" si="877"/>
        <v>0</v>
      </c>
      <c r="AX781" s="123">
        <f t="shared" si="877"/>
        <v>0</v>
      </c>
      <c r="AY781" s="123">
        <f t="shared" si="877"/>
        <v>0</v>
      </c>
      <c r="AZ781" s="123">
        <f t="shared" si="877"/>
        <v>0</v>
      </c>
      <c r="BA781" s="123">
        <f t="shared" si="877"/>
        <v>0</v>
      </c>
      <c r="BB781" s="123">
        <f t="shared" si="877"/>
        <v>0</v>
      </c>
      <c r="BC781" s="123">
        <f t="shared" si="877"/>
        <v>0</v>
      </c>
      <c r="BD781" s="123">
        <f t="shared" si="877"/>
        <v>0</v>
      </c>
      <c r="BE781" s="123">
        <f t="shared" si="877"/>
        <v>0</v>
      </c>
      <c r="BF781" s="123">
        <f t="shared" si="877"/>
        <v>0</v>
      </c>
      <c r="BG781" s="123">
        <f t="shared" si="877"/>
        <v>0</v>
      </c>
      <c r="BH781" s="123">
        <f t="shared" si="877"/>
        <v>0</v>
      </c>
      <c r="BI781" s="123">
        <f t="shared" si="877"/>
        <v>0</v>
      </c>
      <c r="BJ781" s="123">
        <f t="shared" si="877"/>
        <v>0</v>
      </c>
      <c r="BK781" s="123">
        <f t="shared" si="877"/>
        <v>0</v>
      </c>
      <c r="BL781" s="123">
        <f t="shared" si="877"/>
        <v>0</v>
      </c>
      <c r="BM781" s="123">
        <f t="shared" si="877"/>
        <v>0</v>
      </c>
      <c r="BN781" s="159">
        <f t="shared" si="877"/>
        <v>0</v>
      </c>
      <c r="BP781" s="367" t="s">
        <v>866</v>
      </c>
      <c r="BQ781" s="1536" t="str">
        <f t="shared" si="873"/>
        <v>GHG_Wooda = GHG_Wooda-1 + (E139 * BUI_COL (307 + ((A139 - 1) * 8) * BUI_COL5 / (J139-I139+1) / 1000000)</v>
      </c>
      <c r="BR781" s="1544"/>
      <c r="BS781" s="1544"/>
      <c r="BT781" s="1544"/>
      <c r="BU781" s="1544"/>
      <c r="BV781" s="1544"/>
      <c r="BW781" s="1544"/>
      <c r="BX781" s="1544"/>
      <c r="BY781" s="1544"/>
      <c r="BZ781" s="1544"/>
      <c r="CA781" s="1544"/>
      <c r="CB781" s="1544"/>
      <c r="CC781" s="1544"/>
      <c r="CD781" s="1544"/>
      <c r="CE781" s="1544"/>
      <c r="CF781" s="1544"/>
      <c r="CG781" s="1544"/>
      <c r="CH781" s="1537"/>
      <c r="CI781" s="578" t="s">
        <v>2233</v>
      </c>
      <c r="CJ781" s="367" t="s">
        <v>2234</v>
      </c>
      <c r="CK781" s="367" t="s">
        <v>1250</v>
      </c>
      <c r="CL781" s="580"/>
    </row>
    <row r="782" spans="7:90" ht="20.100000000000001" customHeight="1">
      <c r="AF782" s="190"/>
      <c r="AG782" s="107" t="s">
        <v>867</v>
      </c>
      <c r="AH782" s="107">
        <f>INDEX('DEFAULT DATA'!$WD$9:$WJ$41,START!$C$3,6)</f>
        <v>0</v>
      </c>
      <c r="AI782" s="432">
        <f>INDEX('DEFAULT DATA'!$AGR$9:$AJS$41,START!$C$3,(7+(($A$140-1)*8)))/IF($A$140&lt;5,INDEX('DEFAULT DATA'!$XS$9:$XV$41,START!$C$3,$A$140),1)</f>
        <v>114.97725700487953</v>
      </c>
      <c r="AJ782" s="115"/>
      <c r="AK782" s="180">
        <v>0</v>
      </c>
      <c r="AL782" s="123">
        <f t="shared" ref="AL782:BN782" si="878">IF(AND(AL$775&gt;($I$140+2020),AL$775&lt;($J$140+2022)),AK782+($AH$782*$E$140*$AI$782/($J$140-$I$140+1)/1000000),AK782)</f>
        <v>0</v>
      </c>
      <c r="AM782" s="123">
        <f t="shared" si="878"/>
        <v>0</v>
      </c>
      <c r="AN782" s="123">
        <f t="shared" si="878"/>
        <v>0</v>
      </c>
      <c r="AO782" s="123">
        <f t="shared" si="878"/>
        <v>0</v>
      </c>
      <c r="AP782" s="123">
        <f t="shared" si="878"/>
        <v>0</v>
      </c>
      <c r="AQ782" s="123">
        <f t="shared" si="878"/>
        <v>0</v>
      </c>
      <c r="AR782" s="123">
        <f t="shared" si="878"/>
        <v>0</v>
      </c>
      <c r="AS782" s="123">
        <f t="shared" si="878"/>
        <v>0</v>
      </c>
      <c r="AT782" s="123">
        <f t="shared" si="878"/>
        <v>0</v>
      </c>
      <c r="AU782" s="123">
        <f t="shared" si="878"/>
        <v>0</v>
      </c>
      <c r="AV782" s="123">
        <f t="shared" si="878"/>
        <v>0</v>
      </c>
      <c r="AW782" s="123">
        <f t="shared" si="878"/>
        <v>0</v>
      </c>
      <c r="AX782" s="123">
        <f t="shared" si="878"/>
        <v>0</v>
      </c>
      <c r="AY782" s="123">
        <f t="shared" si="878"/>
        <v>0</v>
      </c>
      <c r="AZ782" s="123">
        <f t="shared" si="878"/>
        <v>0</v>
      </c>
      <c r="BA782" s="123">
        <f t="shared" si="878"/>
        <v>0</v>
      </c>
      <c r="BB782" s="123">
        <f t="shared" si="878"/>
        <v>0</v>
      </c>
      <c r="BC782" s="123">
        <f t="shared" si="878"/>
        <v>0</v>
      </c>
      <c r="BD782" s="123">
        <f t="shared" si="878"/>
        <v>0</v>
      </c>
      <c r="BE782" s="123">
        <f t="shared" si="878"/>
        <v>0</v>
      </c>
      <c r="BF782" s="123">
        <f t="shared" si="878"/>
        <v>0</v>
      </c>
      <c r="BG782" s="123">
        <f t="shared" si="878"/>
        <v>0</v>
      </c>
      <c r="BH782" s="123">
        <f t="shared" si="878"/>
        <v>0</v>
      </c>
      <c r="BI782" s="123">
        <f t="shared" si="878"/>
        <v>0</v>
      </c>
      <c r="BJ782" s="123">
        <f t="shared" si="878"/>
        <v>0</v>
      </c>
      <c r="BK782" s="123">
        <f t="shared" si="878"/>
        <v>0</v>
      </c>
      <c r="BL782" s="123">
        <f t="shared" si="878"/>
        <v>0</v>
      </c>
      <c r="BM782" s="123">
        <f t="shared" si="878"/>
        <v>0</v>
      </c>
      <c r="BN782" s="159">
        <f t="shared" si="878"/>
        <v>0</v>
      </c>
      <c r="BP782" s="367" t="s">
        <v>867</v>
      </c>
      <c r="BQ782" s="1536" t="str">
        <f t="shared" si="873"/>
        <v>GHG_Renewablea = GHG_Renewablea-1 + (E139 * BUI_COL (307 + ((A139 - 1) * 8) * BUI_COL6 / (J139-I139+1) / 1000000)</v>
      </c>
      <c r="BR782" s="1544"/>
      <c r="BS782" s="1544"/>
      <c r="BT782" s="1544"/>
      <c r="BU782" s="1544"/>
      <c r="BV782" s="1544"/>
      <c r="BW782" s="1544"/>
      <c r="BX782" s="1544"/>
      <c r="BY782" s="1544"/>
      <c r="BZ782" s="1544"/>
      <c r="CA782" s="1544"/>
      <c r="CB782" s="1544"/>
      <c r="CC782" s="1544"/>
      <c r="CD782" s="1544"/>
      <c r="CE782" s="1544"/>
      <c r="CF782" s="1544"/>
      <c r="CG782" s="1544"/>
      <c r="CH782" s="1537"/>
      <c r="CI782" s="578" t="s">
        <v>2233</v>
      </c>
      <c r="CJ782" s="367" t="s">
        <v>2234</v>
      </c>
      <c r="CK782" s="367" t="s">
        <v>1251</v>
      </c>
      <c r="CL782" s="580"/>
    </row>
    <row r="783" spans="7:90" ht="20.100000000000001" customHeight="1" thickBot="1">
      <c r="AF783" s="191"/>
      <c r="AG783" s="146" t="s">
        <v>868</v>
      </c>
      <c r="AH783" s="146" t="s">
        <v>1123</v>
      </c>
      <c r="AI783" s="451">
        <f>INDEX('DEFAULT DATA'!$AGR$9:$AJS$41,START!$C$3,(8+(($A$140-1)*8)))/IF($A$140&lt;5,INDEX('DEFAULT DATA'!$XS$9:$XV$41,START!$C$3,$A$140),1)</f>
        <v>28.744314251219883</v>
      </c>
      <c r="AJ783" s="170"/>
      <c r="AK783" s="183">
        <v>0</v>
      </c>
      <c r="AL783" s="160">
        <f t="shared" ref="AL783:BN783" si="879">IF(AND(AL$775&gt;($I$140+2020),AL$775&lt;($J$140+2022)),AK783+(AL$6*$E$140*$AI$783/($J$140-$I$140+1)/1000000),AK783)</f>
        <v>0</v>
      </c>
      <c r="AM783" s="160">
        <f t="shared" si="879"/>
        <v>0</v>
      </c>
      <c r="AN783" s="160">
        <f t="shared" si="879"/>
        <v>0</v>
      </c>
      <c r="AO783" s="160">
        <f t="shared" si="879"/>
        <v>0</v>
      </c>
      <c r="AP783" s="160">
        <f t="shared" si="879"/>
        <v>0</v>
      </c>
      <c r="AQ783" s="160">
        <f t="shared" si="879"/>
        <v>0</v>
      </c>
      <c r="AR783" s="160">
        <f t="shared" si="879"/>
        <v>0</v>
      </c>
      <c r="AS783" s="160">
        <f t="shared" si="879"/>
        <v>0</v>
      </c>
      <c r="AT783" s="160">
        <f t="shared" si="879"/>
        <v>0</v>
      </c>
      <c r="AU783" s="160">
        <f t="shared" si="879"/>
        <v>0</v>
      </c>
      <c r="AV783" s="160">
        <f t="shared" si="879"/>
        <v>0</v>
      </c>
      <c r="AW783" s="160">
        <f t="shared" si="879"/>
        <v>0</v>
      </c>
      <c r="AX783" s="160">
        <f t="shared" si="879"/>
        <v>0</v>
      </c>
      <c r="AY783" s="160">
        <f t="shared" si="879"/>
        <v>0</v>
      </c>
      <c r="AZ783" s="160">
        <f t="shared" si="879"/>
        <v>0</v>
      </c>
      <c r="BA783" s="160">
        <f t="shared" si="879"/>
        <v>0</v>
      </c>
      <c r="BB783" s="160">
        <f t="shared" si="879"/>
        <v>0</v>
      </c>
      <c r="BC783" s="160">
        <f t="shared" si="879"/>
        <v>0</v>
      </c>
      <c r="BD783" s="160">
        <f t="shared" si="879"/>
        <v>0</v>
      </c>
      <c r="BE783" s="160">
        <f t="shared" si="879"/>
        <v>0</v>
      </c>
      <c r="BF783" s="160">
        <f t="shared" si="879"/>
        <v>0</v>
      </c>
      <c r="BG783" s="160">
        <f t="shared" si="879"/>
        <v>0</v>
      </c>
      <c r="BH783" s="160">
        <f t="shared" si="879"/>
        <v>0</v>
      </c>
      <c r="BI783" s="160">
        <f t="shared" si="879"/>
        <v>0</v>
      </c>
      <c r="BJ783" s="160">
        <f t="shared" si="879"/>
        <v>0</v>
      </c>
      <c r="BK783" s="160">
        <f t="shared" si="879"/>
        <v>0</v>
      </c>
      <c r="BL783" s="160">
        <f t="shared" si="879"/>
        <v>0</v>
      </c>
      <c r="BM783" s="160">
        <f t="shared" si="879"/>
        <v>0</v>
      </c>
      <c r="BN783" s="161">
        <f t="shared" si="879"/>
        <v>0</v>
      </c>
      <c r="BP783" s="367" t="s">
        <v>868</v>
      </c>
      <c r="BQ783" s="1536" t="str">
        <f t="shared" si="873"/>
        <v>GHG_Heata = GHG_Heata-1 + (E139 * BUI_COL (307 + ((A139 - 1) * 8) * DISTRICT_HEATING_emission_factora (from row 5) / (J139-I139+1) / 1000000)</v>
      </c>
      <c r="BR783" s="1544"/>
      <c r="BS783" s="1544"/>
      <c r="BT783" s="1544"/>
      <c r="BU783" s="1544"/>
      <c r="BV783" s="1544"/>
      <c r="BW783" s="1544"/>
      <c r="BX783" s="1544"/>
      <c r="BY783" s="1544"/>
      <c r="BZ783" s="1544"/>
      <c r="CA783" s="1544"/>
      <c r="CB783" s="1544"/>
      <c r="CC783" s="1544"/>
      <c r="CD783" s="1544"/>
      <c r="CE783" s="1544"/>
      <c r="CF783" s="1544"/>
      <c r="CG783" s="1544"/>
      <c r="CH783" s="1537"/>
      <c r="CI783" s="578" t="s">
        <v>2233</v>
      </c>
      <c r="CJ783" s="367" t="s">
        <v>2234</v>
      </c>
      <c r="CK783" s="367" t="s">
        <v>2222</v>
      </c>
      <c r="CL783" s="580"/>
    </row>
    <row r="784" spans="7:90" ht="20.100000000000001" customHeight="1">
      <c r="AF784" s="167"/>
      <c r="AG784" s="144" t="s">
        <v>211</v>
      </c>
      <c r="AH784" s="145"/>
      <c r="AI784" s="145"/>
      <c r="AJ784" s="145"/>
      <c r="AK784" s="179">
        <v>0</v>
      </c>
      <c r="AL784" s="162">
        <f>SUM(AL776:AL783)</f>
        <v>0</v>
      </c>
      <c r="AM784" s="162">
        <f t="shared" ref="AM784:BN784" si="880">SUM(AM776:AM783)</f>
        <v>0</v>
      </c>
      <c r="AN784" s="162">
        <f t="shared" si="880"/>
        <v>0</v>
      </c>
      <c r="AO784" s="162">
        <f t="shared" si="880"/>
        <v>0</v>
      </c>
      <c r="AP784" s="162">
        <f t="shared" si="880"/>
        <v>0</v>
      </c>
      <c r="AQ784" s="162">
        <f t="shared" si="880"/>
        <v>0</v>
      </c>
      <c r="AR784" s="162">
        <f t="shared" si="880"/>
        <v>0</v>
      </c>
      <c r="AS784" s="162">
        <f t="shared" si="880"/>
        <v>0</v>
      </c>
      <c r="AT784" s="162">
        <f t="shared" si="880"/>
        <v>0</v>
      </c>
      <c r="AU784" s="162">
        <f t="shared" si="880"/>
        <v>0</v>
      </c>
      <c r="AV784" s="162">
        <f t="shared" si="880"/>
        <v>0</v>
      </c>
      <c r="AW784" s="162">
        <f t="shared" si="880"/>
        <v>0</v>
      </c>
      <c r="AX784" s="162">
        <f t="shared" si="880"/>
        <v>0</v>
      </c>
      <c r="AY784" s="162">
        <f t="shared" si="880"/>
        <v>0</v>
      </c>
      <c r="AZ784" s="162">
        <f t="shared" si="880"/>
        <v>0</v>
      </c>
      <c r="BA784" s="162">
        <f t="shared" si="880"/>
        <v>0</v>
      </c>
      <c r="BB784" s="162">
        <f t="shared" si="880"/>
        <v>0</v>
      </c>
      <c r="BC784" s="162">
        <f t="shared" si="880"/>
        <v>0</v>
      </c>
      <c r="BD784" s="162">
        <f t="shared" si="880"/>
        <v>0</v>
      </c>
      <c r="BE784" s="162">
        <f t="shared" si="880"/>
        <v>0</v>
      </c>
      <c r="BF784" s="162">
        <f t="shared" si="880"/>
        <v>0</v>
      </c>
      <c r="BG784" s="162">
        <f t="shared" si="880"/>
        <v>0</v>
      </c>
      <c r="BH784" s="162">
        <f t="shared" si="880"/>
        <v>0</v>
      </c>
      <c r="BI784" s="162">
        <f t="shared" si="880"/>
        <v>0</v>
      </c>
      <c r="BJ784" s="162">
        <f t="shared" si="880"/>
        <v>0</v>
      </c>
      <c r="BK784" s="162">
        <f t="shared" si="880"/>
        <v>0</v>
      </c>
      <c r="BL784" s="162">
        <f t="shared" si="880"/>
        <v>0</v>
      </c>
      <c r="BM784" s="162">
        <f t="shared" si="880"/>
        <v>0</v>
      </c>
      <c r="BN784" s="162">
        <f t="shared" si="880"/>
        <v>0</v>
      </c>
    </row>
    <row r="786" spans="11:90" ht="20.100000000000001" customHeight="1">
      <c r="AF786" s="141" t="s">
        <v>1139</v>
      </c>
      <c r="CI786" s="235" t="s">
        <v>2246</v>
      </c>
    </row>
    <row r="787" spans="11:90" ht="20.100000000000001" customHeight="1" thickBot="1">
      <c r="AF787" s="168" t="s">
        <v>1141</v>
      </c>
      <c r="AG787" s="168"/>
      <c r="AH787" s="169" t="s">
        <v>620</v>
      </c>
      <c r="AI787" s="1542" t="s">
        <v>2169</v>
      </c>
      <c r="AJ787" s="1543"/>
      <c r="AK787" s="181">
        <v>2021</v>
      </c>
      <c r="AL787" s="135">
        <v>2022</v>
      </c>
      <c r="AM787" s="135">
        <f>AL787+1</f>
        <v>2023</v>
      </c>
      <c r="AN787" s="135">
        <f t="shared" ref="AN787" si="881">AM787+1</f>
        <v>2024</v>
      </c>
      <c r="AO787" s="135">
        <f t="shared" ref="AO787" si="882">AN787+1</f>
        <v>2025</v>
      </c>
      <c r="AP787" s="135">
        <f t="shared" ref="AP787" si="883">AO787+1</f>
        <v>2026</v>
      </c>
      <c r="AQ787" s="135">
        <f t="shared" ref="AQ787" si="884">AP787+1</f>
        <v>2027</v>
      </c>
      <c r="AR787" s="135">
        <f t="shared" ref="AR787" si="885">AQ787+1</f>
        <v>2028</v>
      </c>
      <c r="AS787" s="135">
        <f t="shared" ref="AS787" si="886">AR787+1</f>
        <v>2029</v>
      </c>
      <c r="AT787" s="135">
        <f t="shared" ref="AT787" si="887">AS787+1</f>
        <v>2030</v>
      </c>
      <c r="AU787" s="135">
        <f t="shared" ref="AU787" si="888">AT787+1</f>
        <v>2031</v>
      </c>
      <c r="AV787" s="135">
        <f t="shared" ref="AV787" si="889">AU787+1</f>
        <v>2032</v>
      </c>
      <c r="AW787" s="135">
        <f t="shared" ref="AW787" si="890">AV787+1</f>
        <v>2033</v>
      </c>
      <c r="AX787" s="135">
        <f t="shared" ref="AX787" si="891">AW787+1</f>
        <v>2034</v>
      </c>
      <c r="AY787" s="135">
        <f t="shared" ref="AY787" si="892">AX787+1</f>
        <v>2035</v>
      </c>
      <c r="AZ787" s="135">
        <f t="shared" ref="AZ787" si="893">AY787+1</f>
        <v>2036</v>
      </c>
      <c r="BA787" s="135">
        <f t="shared" ref="BA787" si="894">AZ787+1</f>
        <v>2037</v>
      </c>
      <c r="BB787" s="135">
        <f t="shared" ref="BB787" si="895">BA787+1</f>
        <v>2038</v>
      </c>
      <c r="BC787" s="135">
        <f t="shared" ref="BC787" si="896">BB787+1</f>
        <v>2039</v>
      </c>
      <c r="BD787" s="135">
        <f t="shared" ref="BD787" si="897">BC787+1</f>
        <v>2040</v>
      </c>
      <c r="BE787" s="135">
        <f t="shared" ref="BE787" si="898">BD787+1</f>
        <v>2041</v>
      </c>
      <c r="BF787" s="135">
        <f t="shared" ref="BF787" si="899">BE787+1</f>
        <v>2042</v>
      </c>
      <c r="BG787" s="135">
        <f t="shared" ref="BG787" si="900">BF787+1</f>
        <v>2043</v>
      </c>
      <c r="BH787" s="135">
        <f t="shared" ref="BH787" si="901">BG787+1</f>
        <v>2044</v>
      </c>
      <c r="BI787" s="135">
        <f t="shared" ref="BI787" si="902">BH787+1</f>
        <v>2045</v>
      </c>
      <c r="BJ787" s="135">
        <f t="shared" ref="BJ787" si="903">BI787+1</f>
        <v>2046</v>
      </c>
      <c r="BK787" s="135">
        <f t="shared" ref="BK787" si="904">BJ787+1</f>
        <v>2047</v>
      </c>
      <c r="BL787" s="135">
        <f t="shared" ref="BL787" si="905">BK787+1</f>
        <v>2048</v>
      </c>
      <c r="BM787" s="135">
        <f t="shared" ref="BM787" si="906">BL787+1</f>
        <v>2049</v>
      </c>
      <c r="BN787" s="135">
        <f t="shared" ref="BN787" si="907">BM787+1</f>
        <v>2050</v>
      </c>
      <c r="BQ787" s="82" t="s">
        <v>2239</v>
      </c>
      <c r="BR787" s="250"/>
      <c r="BS787" s="250"/>
      <c r="BT787" s="250"/>
      <c r="BU787" s="250"/>
      <c r="BV787" s="250"/>
      <c r="BW787" s="250"/>
      <c r="BX787" s="250"/>
      <c r="BY787" s="250"/>
      <c r="BZ787" s="250"/>
      <c r="CA787" s="250"/>
      <c r="CB787" s="250"/>
      <c r="CC787" s="250"/>
      <c r="CD787" s="250"/>
      <c r="CE787" s="250"/>
      <c r="CF787" s="250"/>
      <c r="CG787" s="250"/>
      <c r="CH787" s="250"/>
      <c r="CI787" s="605" t="s">
        <v>1393</v>
      </c>
      <c r="CJ787" s="130" t="s">
        <v>2172</v>
      </c>
      <c r="CK787" s="606" t="s">
        <v>1224</v>
      </c>
    </row>
    <row r="788" spans="11:90" ht="20.100000000000001" customHeight="1">
      <c r="AF788" s="97" t="str">
        <f>CONCATENATE("conversion to ",INDEX('MENU OPTIONS'!$B$27:$B$36,$C$135,1))</f>
        <v>conversion to Apartment</v>
      </c>
      <c r="AG788" s="137" t="s">
        <v>578</v>
      </c>
      <c r="AH788" s="137" t="s">
        <v>1122</v>
      </c>
      <c r="AI788" s="165">
        <f>INDEX('DEFAULT DATA'!$AGR$9:$AJS$41,START!$C$3,(1+(($C$135-1)*8)))/IF($C$135&lt;5,INDEX('DEFAULT DATA'!$XS$9:$XV$41,START!$C$3,$C$135),1)</f>
        <v>40.242039951707838</v>
      </c>
      <c r="AJ788" s="165"/>
      <c r="AK788" s="178">
        <v>0</v>
      </c>
      <c r="AL788" s="157">
        <f>IF(AND(AL$787&gt;($I$135+2020),AL$787&lt;($J$135+2022)),AK788+(AL$5*$C$135*$AI$788*((100-$E$135)/100)*((100-$F$135)/100)/($J$135-$I$135+1)/1000000),AK788)</f>
        <v>0</v>
      </c>
      <c r="AM788" s="157">
        <f t="shared" ref="AM788:BN788" si="908">IF(AND(AM$614&gt;($I$124+2020),AM$614&lt;($J$124+2022)),AL788+(AM$5*$C$124*$AI$615*((100-$E$124)/100)*((100-$F$124)/100)/($J$124-$I$124+1)/1000000),AL788)</f>
        <v>0</v>
      </c>
      <c r="AN788" s="157">
        <f t="shared" si="908"/>
        <v>0</v>
      </c>
      <c r="AO788" s="157">
        <f t="shared" si="908"/>
        <v>0</v>
      </c>
      <c r="AP788" s="157">
        <f t="shared" si="908"/>
        <v>0</v>
      </c>
      <c r="AQ788" s="157">
        <f t="shared" si="908"/>
        <v>0</v>
      </c>
      <c r="AR788" s="157">
        <f t="shared" si="908"/>
        <v>0</v>
      </c>
      <c r="AS788" s="157">
        <f t="shared" si="908"/>
        <v>0</v>
      </c>
      <c r="AT788" s="157">
        <f t="shared" si="908"/>
        <v>0</v>
      </c>
      <c r="AU788" s="157">
        <f t="shared" si="908"/>
        <v>0</v>
      </c>
      <c r="AV788" s="157">
        <f t="shared" si="908"/>
        <v>0</v>
      </c>
      <c r="AW788" s="157">
        <f t="shared" si="908"/>
        <v>0</v>
      </c>
      <c r="AX788" s="157">
        <f t="shared" si="908"/>
        <v>0</v>
      </c>
      <c r="AY788" s="157">
        <f t="shared" si="908"/>
        <v>0</v>
      </c>
      <c r="AZ788" s="157">
        <f t="shared" si="908"/>
        <v>0</v>
      </c>
      <c r="BA788" s="157">
        <f t="shared" si="908"/>
        <v>0</v>
      </c>
      <c r="BB788" s="157">
        <f t="shared" si="908"/>
        <v>0</v>
      </c>
      <c r="BC788" s="157">
        <f t="shared" si="908"/>
        <v>0</v>
      </c>
      <c r="BD788" s="157">
        <f t="shared" si="908"/>
        <v>0</v>
      </c>
      <c r="BE788" s="157">
        <f t="shared" si="908"/>
        <v>0</v>
      </c>
      <c r="BF788" s="157">
        <f t="shared" si="908"/>
        <v>0</v>
      </c>
      <c r="BG788" s="157">
        <f t="shared" si="908"/>
        <v>0</v>
      </c>
      <c r="BH788" s="157">
        <f t="shared" si="908"/>
        <v>0</v>
      </c>
      <c r="BI788" s="157">
        <f t="shared" si="908"/>
        <v>0</v>
      </c>
      <c r="BJ788" s="157">
        <f t="shared" si="908"/>
        <v>0</v>
      </c>
      <c r="BK788" s="157">
        <f t="shared" si="908"/>
        <v>0</v>
      </c>
      <c r="BL788" s="157">
        <f t="shared" si="908"/>
        <v>0</v>
      </c>
      <c r="BM788" s="157">
        <f t="shared" si="908"/>
        <v>0</v>
      </c>
      <c r="BN788" s="158">
        <f t="shared" si="908"/>
        <v>0</v>
      </c>
      <c r="BP788" s="367" t="s">
        <v>578</v>
      </c>
      <c r="BQ788" s="1536" t="str">
        <f>CONCATENATE("GHG_",BP788,"a = GHG_",BP788,"a-1 + (E134 * ",CI788," * ",CK788," / (",CJ788,") / 1000000)")</f>
        <v>GHG_Electricitya = GHG_Electricitya-1 + (E134 * BUI_COL (307 + ((C134 - 1) * 8) * GRID_ELECTRICITY_emission_factora (from row4) / (J134-I134+1) / 1000000)</v>
      </c>
      <c r="BR788" s="1544"/>
      <c r="BS788" s="1544"/>
      <c r="BT788" s="1544"/>
      <c r="BU788" s="1544"/>
      <c r="BV788" s="1544"/>
      <c r="BW788" s="1544"/>
      <c r="BX788" s="1544"/>
      <c r="BY788" s="1544"/>
      <c r="BZ788" s="1544"/>
      <c r="CA788" s="1544"/>
      <c r="CB788" s="1544"/>
      <c r="CC788" s="1544"/>
      <c r="CD788" s="1544"/>
      <c r="CE788" s="1544"/>
      <c r="CF788" s="1544"/>
      <c r="CG788" s="1544"/>
      <c r="CH788" s="1537"/>
      <c r="CI788" s="578" t="s">
        <v>2235</v>
      </c>
      <c r="CJ788" s="367" t="s">
        <v>2224</v>
      </c>
      <c r="CK788" s="367" t="s">
        <v>2221</v>
      </c>
      <c r="CL788" s="580"/>
    </row>
    <row r="789" spans="11:90" ht="20.100000000000001" customHeight="1">
      <c r="AF789" s="190"/>
      <c r="AG789" s="107" t="s">
        <v>862</v>
      </c>
      <c r="AH789" s="107">
        <f>INDEX('DEFAULT DATA'!$WD$9:$WJ$41,START!$C$3,1)</f>
        <v>202</v>
      </c>
      <c r="AI789" s="115">
        <f>INDEX('DEFAULT DATA'!$AGR$9:$AJS$41,START!$C$3,(2+(($C$135-1)*8)))/IF($C$135&lt;5,INDEX('DEFAULT DATA'!$XS$9:$XV$41,START!$C$3,$C$135),1)</f>
        <v>91.981805603903624</v>
      </c>
      <c r="AJ789" s="115"/>
      <c r="AK789" s="180">
        <v>0</v>
      </c>
      <c r="AL789" s="123">
        <f t="shared" ref="AL789:AL794" si="909">IF(AND(AL$787&gt;($I$135+2020),AL$787&lt;($J$135+2022)),AK789+(AH789*$C$135*AI789*((100-$E$135)/100)/($J$135-$I$135+1)/1000000),AK789)</f>
        <v>0</v>
      </c>
      <c r="AM789" s="123">
        <f t="shared" ref="AM789:BN789" si="910">IF(AND(AM$614&gt;($I$124+2020),AM$614&lt;($J$124+2022)),AL789+($AH$616*$C$124*$AI$616*((100-$E$124)/100)/($J$124-$I$124+1)/1000000),AL789)</f>
        <v>0</v>
      </c>
      <c r="AN789" s="123">
        <f t="shared" si="910"/>
        <v>0</v>
      </c>
      <c r="AO789" s="123">
        <f t="shared" si="910"/>
        <v>0</v>
      </c>
      <c r="AP789" s="123">
        <f t="shared" si="910"/>
        <v>0</v>
      </c>
      <c r="AQ789" s="123">
        <f t="shared" si="910"/>
        <v>0</v>
      </c>
      <c r="AR789" s="123">
        <f t="shared" si="910"/>
        <v>0</v>
      </c>
      <c r="AS789" s="123">
        <f t="shared" si="910"/>
        <v>0</v>
      </c>
      <c r="AT789" s="123">
        <f t="shared" si="910"/>
        <v>0</v>
      </c>
      <c r="AU789" s="123">
        <f t="shared" si="910"/>
        <v>0</v>
      </c>
      <c r="AV789" s="123">
        <f t="shared" si="910"/>
        <v>0</v>
      </c>
      <c r="AW789" s="123">
        <f t="shared" si="910"/>
        <v>0</v>
      </c>
      <c r="AX789" s="123">
        <f t="shared" si="910"/>
        <v>0</v>
      </c>
      <c r="AY789" s="123">
        <f t="shared" si="910"/>
        <v>0</v>
      </c>
      <c r="AZ789" s="123">
        <f t="shared" si="910"/>
        <v>0</v>
      </c>
      <c r="BA789" s="123">
        <f t="shared" si="910"/>
        <v>0</v>
      </c>
      <c r="BB789" s="123">
        <f t="shared" si="910"/>
        <v>0</v>
      </c>
      <c r="BC789" s="123">
        <f t="shared" si="910"/>
        <v>0</v>
      </c>
      <c r="BD789" s="123">
        <f t="shared" si="910"/>
        <v>0</v>
      </c>
      <c r="BE789" s="123">
        <f t="shared" si="910"/>
        <v>0</v>
      </c>
      <c r="BF789" s="123">
        <f t="shared" si="910"/>
        <v>0</v>
      </c>
      <c r="BG789" s="123">
        <f t="shared" si="910"/>
        <v>0</v>
      </c>
      <c r="BH789" s="123">
        <f t="shared" si="910"/>
        <v>0</v>
      </c>
      <c r="BI789" s="123">
        <f t="shared" si="910"/>
        <v>0</v>
      </c>
      <c r="BJ789" s="123">
        <f t="shared" si="910"/>
        <v>0</v>
      </c>
      <c r="BK789" s="123">
        <f t="shared" si="910"/>
        <v>0</v>
      </c>
      <c r="BL789" s="123">
        <f t="shared" si="910"/>
        <v>0</v>
      </c>
      <c r="BM789" s="123">
        <f t="shared" si="910"/>
        <v>0</v>
      </c>
      <c r="BN789" s="159">
        <f t="shared" si="910"/>
        <v>0</v>
      </c>
      <c r="BP789" s="367" t="s">
        <v>862</v>
      </c>
      <c r="BQ789" s="1536" t="str">
        <f t="shared" ref="BQ789:BQ795" si="911">CONCATENATE("GHG_",BP789,"a = GHG_",BP789,"a-1 + (E134 * ",CI789," * ",CK789," / (",CJ789,") / 1000000)")</f>
        <v>GHG_Gasa = GHG_Gasa-1 + (E134 * BUI_COL (307 + ((C134 - 1) * 8) * BUI_COL1 / (J134-I134+1) / 1000000)</v>
      </c>
      <c r="BR789" s="1544"/>
      <c r="BS789" s="1544"/>
      <c r="BT789" s="1544"/>
      <c r="BU789" s="1544"/>
      <c r="BV789" s="1544"/>
      <c r="BW789" s="1544"/>
      <c r="BX789" s="1544"/>
      <c r="BY789" s="1544"/>
      <c r="BZ789" s="1544"/>
      <c r="CA789" s="1544"/>
      <c r="CB789" s="1544"/>
      <c r="CC789" s="1544"/>
      <c r="CD789" s="1544"/>
      <c r="CE789" s="1544"/>
      <c r="CF789" s="1544"/>
      <c r="CG789" s="1544"/>
      <c r="CH789" s="1537"/>
      <c r="CI789" s="578" t="s">
        <v>2235</v>
      </c>
      <c r="CJ789" s="367" t="s">
        <v>2224</v>
      </c>
      <c r="CK789" s="367" t="s">
        <v>886</v>
      </c>
      <c r="CL789" s="580"/>
    </row>
    <row r="790" spans="11:90" ht="20.100000000000001" customHeight="1">
      <c r="AF790" s="190"/>
      <c r="AG790" s="107" t="s">
        <v>863</v>
      </c>
      <c r="AH790" s="107">
        <f>INDEX('DEFAULT DATA'!$WD$9:$WJ$41,START!$C$3,2)</f>
        <v>267</v>
      </c>
      <c r="AI790" s="115">
        <f>INDEX('DEFAULT DATA'!$AGR$9:$AJS$41,START!$C$3,(3+(($C$135-1)*8)))/IF($C$135&lt;5,INDEX('DEFAULT DATA'!$XS$9:$XV$41,START!$C$3,$C$135),1)</f>
        <v>11.497725700487953</v>
      </c>
      <c r="AJ790" s="115"/>
      <c r="AK790" s="180">
        <v>0</v>
      </c>
      <c r="AL790" s="123">
        <f t="shared" si="909"/>
        <v>0</v>
      </c>
      <c r="AM790" s="123">
        <f t="shared" ref="AM790:BN790" si="912">IF(AND(AM$614&gt;($I$124+2020),AM$614&lt;($J$124+2022)),AL790+($AH$617*$C$124*$AI$617*((100-$E$124)/100)/($J$124-$I$124+1)/1000000),AL790)</f>
        <v>0</v>
      </c>
      <c r="AN790" s="123">
        <f t="shared" si="912"/>
        <v>0</v>
      </c>
      <c r="AO790" s="123">
        <f t="shared" si="912"/>
        <v>0</v>
      </c>
      <c r="AP790" s="123">
        <f t="shared" si="912"/>
        <v>0</v>
      </c>
      <c r="AQ790" s="123">
        <f t="shared" si="912"/>
        <v>0</v>
      </c>
      <c r="AR790" s="123">
        <f t="shared" si="912"/>
        <v>0</v>
      </c>
      <c r="AS790" s="123">
        <f t="shared" si="912"/>
        <v>0</v>
      </c>
      <c r="AT790" s="123">
        <f t="shared" si="912"/>
        <v>0</v>
      </c>
      <c r="AU790" s="123">
        <f t="shared" si="912"/>
        <v>0</v>
      </c>
      <c r="AV790" s="123">
        <f t="shared" si="912"/>
        <v>0</v>
      </c>
      <c r="AW790" s="123">
        <f t="shared" si="912"/>
        <v>0</v>
      </c>
      <c r="AX790" s="123">
        <f t="shared" si="912"/>
        <v>0</v>
      </c>
      <c r="AY790" s="123">
        <f t="shared" si="912"/>
        <v>0</v>
      </c>
      <c r="AZ790" s="123">
        <f t="shared" si="912"/>
        <v>0</v>
      </c>
      <c r="BA790" s="123">
        <f t="shared" si="912"/>
        <v>0</v>
      </c>
      <c r="BB790" s="123">
        <f t="shared" si="912"/>
        <v>0</v>
      </c>
      <c r="BC790" s="123">
        <f t="shared" si="912"/>
        <v>0</v>
      </c>
      <c r="BD790" s="123">
        <f t="shared" si="912"/>
        <v>0</v>
      </c>
      <c r="BE790" s="123">
        <f t="shared" si="912"/>
        <v>0</v>
      </c>
      <c r="BF790" s="123">
        <f t="shared" si="912"/>
        <v>0</v>
      </c>
      <c r="BG790" s="123">
        <f t="shared" si="912"/>
        <v>0</v>
      </c>
      <c r="BH790" s="123">
        <f t="shared" si="912"/>
        <v>0</v>
      </c>
      <c r="BI790" s="123">
        <f t="shared" si="912"/>
        <v>0</v>
      </c>
      <c r="BJ790" s="123">
        <f t="shared" si="912"/>
        <v>0</v>
      </c>
      <c r="BK790" s="123">
        <f t="shared" si="912"/>
        <v>0</v>
      </c>
      <c r="BL790" s="123">
        <f t="shared" si="912"/>
        <v>0</v>
      </c>
      <c r="BM790" s="123">
        <f t="shared" si="912"/>
        <v>0</v>
      </c>
      <c r="BN790" s="159">
        <f t="shared" si="912"/>
        <v>0</v>
      </c>
      <c r="BP790" s="367" t="s">
        <v>863</v>
      </c>
      <c r="BQ790" s="1536" t="str">
        <f t="shared" si="911"/>
        <v>GHG_Oila = GHG_Oila-1 + (E134 * BUI_COL (307 + ((C134 - 1) * 8) * BUI_COL2 / (J134-I134+1) / 1000000)</v>
      </c>
      <c r="BR790" s="1544"/>
      <c r="BS790" s="1544"/>
      <c r="BT790" s="1544"/>
      <c r="BU790" s="1544"/>
      <c r="BV790" s="1544"/>
      <c r="BW790" s="1544"/>
      <c r="BX790" s="1544"/>
      <c r="BY790" s="1544"/>
      <c r="BZ790" s="1544"/>
      <c r="CA790" s="1544"/>
      <c r="CB790" s="1544"/>
      <c r="CC790" s="1544"/>
      <c r="CD790" s="1544"/>
      <c r="CE790" s="1544"/>
      <c r="CF790" s="1544"/>
      <c r="CG790" s="1544"/>
      <c r="CH790" s="1537"/>
      <c r="CI790" s="578" t="s">
        <v>2235</v>
      </c>
      <c r="CJ790" s="367" t="s">
        <v>2224</v>
      </c>
      <c r="CK790" s="367" t="s">
        <v>1247</v>
      </c>
      <c r="CL790" s="580"/>
    </row>
    <row r="791" spans="11:90" ht="20.100000000000001" customHeight="1">
      <c r="K791" s="182"/>
      <c r="L791" s="182"/>
      <c r="M791" s="182"/>
      <c r="N791" s="182"/>
      <c r="O791" s="182"/>
      <c r="P791" s="182"/>
      <c r="Q791" s="182"/>
      <c r="R791" s="182"/>
      <c r="S791" s="182"/>
      <c r="T791" s="182"/>
      <c r="U791" s="182"/>
      <c r="V791" s="182"/>
      <c r="W791" s="182"/>
      <c r="X791" s="182"/>
      <c r="Y791" s="182"/>
      <c r="Z791" s="182"/>
      <c r="AA791" s="182"/>
      <c r="AB791" s="182"/>
      <c r="AC791" s="182"/>
      <c r="AD791" s="182"/>
      <c r="AE791" s="182"/>
      <c r="AF791" s="190"/>
      <c r="AG791" s="107" t="s">
        <v>864</v>
      </c>
      <c r="AH791" s="107">
        <f>INDEX('DEFAULT DATA'!$WD$9:$WJ$41,START!$C$3,3)</f>
        <v>354</v>
      </c>
      <c r="AI791" s="115">
        <f>INDEX('DEFAULT DATA'!$AGR$9:$AJS$41,START!$C$3,(4+(($C$135-1)*8)))/IF($C$135&lt;5,INDEX('DEFAULT DATA'!$XS$9:$XV$41,START!$C$3,$C$135),1)</f>
        <v>0</v>
      </c>
      <c r="AJ791" s="115"/>
      <c r="AK791" s="180">
        <v>0</v>
      </c>
      <c r="AL791" s="123">
        <f t="shared" si="909"/>
        <v>0</v>
      </c>
      <c r="AM791" s="123">
        <f t="shared" ref="AM791:BN791" si="913">IF(AND(AM$614&gt;($I$124+2020),AM$614&lt;($J$124+2022)),AL791+($AH$618*$C$124*$AI$618*((100-$E$124)/100)/($J$124-$I$124+1)/1000000),AL791)</f>
        <v>0</v>
      </c>
      <c r="AN791" s="123">
        <f t="shared" si="913"/>
        <v>0</v>
      </c>
      <c r="AO791" s="123">
        <f t="shared" si="913"/>
        <v>0</v>
      </c>
      <c r="AP791" s="123">
        <f t="shared" si="913"/>
        <v>0</v>
      </c>
      <c r="AQ791" s="123">
        <f t="shared" si="913"/>
        <v>0</v>
      </c>
      <c r="AR791" s="123">
        <f t="shared" si="913"/>
        <v>0</v>
      </c>
      <c r="AS791" s="123">
        <f t="shared" si="913"/>
        <v>0</v>
      </c>
      <c r="AT791" s="123">
        <f t="shared" si="913"/>
        <v>0</v>
      </c>
      <c r="AU791" s="123">
        <f t="shared" si="913"/>
        <v>0</v>
      </c>
      <c r="AV791" s="123">
        <f t="shared" si="913"/>
        <v>0</v>
      </c>
      <c r="AW791" s="123">
        <f t="shared" si="913"/>
        <v>0</v>
      </c>
      <c r="AX791" s="123">
        <f t="shared" si="913"/>
        <v>0</v>
      </c>
      <c r="AY791" s="123">
        <f t="shared" si="913"/>
        <v>0</v>
      </c>
      <c r="AZ791" s="123">
        <f t="shared" si="913"/>
        <v>0</v>
      </c>
      <c r="BA791" s="123">
        <f t="shared" si="913"/>
        <v>0</v>
      </c>
      <c r="BB791" s="123">
        <f t="shared" si="913"/>
        <v>0</v>
      </c>
      <c r="BC791" s="123">
        <f t="shared" si="913"/>
        <v>0</v>
      </c>
      <c r="BD791" s="123">
        <f t="shared" si="913"/>
        <v>0</v>
      </c>
      <c r="BE791" s="123">
        <f t="shared" si="913"/>
        <v>0</v>
      </c>
      <c r="BF791" s="123">
        <f t="shared" si="913"/>
        <v>0</v>
      </c>
      <c r="BG791" s="123">
        <f t="shared" si="913"/>
        <v>0</v>
      </c>
      <c r="BH791" s="123">
        <f t="shared" si="913"/>
        <v>0</v>
      </c>
      <c r="BI791" s="123">
        <f t="shared" si="913"/>
        <v>0</v>
      </c>
      <c r="BJ791" s="123">
        <f t="shared" si="913"/>
        <v>0</v>
      </c>
      <c r="BK791" s="123">
        <f t="shared" si="913"/>
        <v>0</v>
      </c>
      <c r="BL791" s="123">
        <f t="shared" si="913"/>
        <v>0</v>
      </c>
      <c r="BM791" s="123">
        <f t="shared" si="913"/>
        <v>0</v>
      </c>
      <c r="BN791" s="159">
        <f t="shared" si="913"/>
        <v>0</v>
      </c>
      <c r="BP791" s="367" t="s">
        <v>864</v>
      </c>
      <c r="BQ791" s="1536" t="str">
        <f t="shared" si="911"/>
        <v>GHG_Coala = GHG_Coala-1 + (E134 * BUI_COL (307 + ((C134 - 1) * 8) * BUI_COL3 / (J134-I134+1) / 1000000)</v>
      </c>
      <c r="BR791" s="1544"/>
      <c r="BS791" s="1544"/>
      <c r="BT791" s="1544"/>
      <c r="BU791" s="1544"/>
      <c r="BV791" s="1544"/>
      <c r="BW791" s="1544"/>
      <c r="BX791" s="1544"/>
      <c r="BY791" s="1544"/>
      <c r="BZ791" s="1544"/>
      <c r="CA791" s="1544"/>
      <c r="CB791" s="1544"/>
      <c r="CC791" s="1544"/>
      <c r="CD791" s="1544"/>
      <c r="CE791" s="1544"/>
      <c r="CF791" s="1544"/>
      <c r="CG791" s="1544"/>
      <c r="CH791" s="1537"/>
      <c r="CI791" s="578" t="s">
        <v>2235</v>
      </c>
      <c r="CJ791" s="367" t="s">
        <v>2224</v>
      </c>
      <c r="CK791" s="367" t="s">
        <v>1248</v>
      </c>
      <c r="CL791" s="580"/>
    </row>
    <row r="792" spans="11:90" ht="20.100000000000001" customHeight="1">
      <c r="AF792" s="190"/>
      <c r="AG792" s="107" t="s">
        <v>865</v>
      </c>
      <c r="AH792" s="107">
        <f>INDEX('DEFAULT DATA'!$WD$9:$WJ$41,START!$C$3,4)</f>
        <v>382</v>
      </c>
      <c r="AI792" s="115">
        <f>INDEX('DEFAULT DATA'!$AGR$9:$AJS$41,START!$C$3,(5+(($C$135-1)*8)))/IF($C$135&lt;5,INDEX('DEFAULT DATA'!$XS$9:$XV$41,START!$C$3,$C$135),1)</f>
        <v>0</v>
      </c>
      <c r="AJ792" s="115"/>
      <c r="AK792" s="180">
        <v>0</v>
      </c>
      <c r="AL792" s="123">
        <f t="shared" si="909"/>
        <v>0</v>
      </c>
      <c r="AM792" s="123">
        <f t="shared" ref="AM792:BN792" si="914">IF(AND(AM$614&gt;($I$124+2020),AM$614&lt;($J$124+2022)),AL792+($AH$619*$C$124*$AI$619*((100-$E$124)/100)/($J$124-$I$124+1)/1000000),AL792)</f>
        <v>0</v>
      </c>
      <c r="AN792" s="123">
        <f t="shared" si="914"/>
        <v>0</v>
      </c>
      <c r="AO792" s="123">
        <f t="shared" si="914"/>
        <v>0</v>
      </c>
      <c r="AP792" s="123">
        <f t="shared" si="914"/>
        <v>0</v>
      </c>
      <c r="AQ792" s="123">
        <f t="shared" si="914"/>
        <v>0</v>
      </c>
      <c r="AR792" s="123">
        <f t="shared" si="914"/>
        <v>0</v>
      </c>
      <c r="AS792" s="123">
        <f t="shared" si="914"/>
        <v>0</v>
      </c>
      <c r="AT792" s="123">
        <f t="shared" si="914"/>
        <v>0</v>
      </c>
      <c r="AU792" s="123">
        <f t="shared" si="914"/>
        <v>0</v>
      </c>
      <c r="AV792" s="123">
        <f t="shared" si="914"/>
        <v>0</v>
      </c>
      <c r="AW792" s="123">
        <f t="shared" si="914"/>
        <v>0</v>
      </c>
      <c r="AX792" s="123">
        <f t="shared" si="914"/>
        <v>0</v>
      </c>
      <c r="AY792" s="123">
        <f t="shared" si="914"/>
        <v>0</v>
      </c>
      <c r="AZ792" s="123">
        <f t="shared" si="914"/>
        <v>0</v>
      </c>
      <c r="BA792" s="123">
        <f t="shared" si="914"/>
        <v>0</v>
      </c>
      <c r="BB792" s="123">
        <f t="shared" si="914"/>
        <v>0</v>
      </c>
      <c r="BC792" s="123">
        <f t="shared" si="914"/>
        <v>0</v>
      </c>
      <c r="BD792" s="123">
        <f t="shared" si="914"/>
        <v>0</v>
      </c>
      <c r="BE792" s="123">
        <f t="shared" si="914"/>
        <v>0</v>
      </c>
      <c r="BF792" s="123">
        <f t="shared" si="914"/>
        <v>0</v>
      </c>
      <c r="BG792" s="123">
        <f t="shared" si="914"/>
        <v>0</v>
      </c>
      <c r="BH792" s="123">
        <f t="shared" si="914"/>
        <v>0</v>
      </c>
      <c r="BI792" s="123">
        <f t="shared" si="914"/>
        <v>0</v>
      </c>
      <c r="BJ792" s="123">
        <f t="shared" si="914"/>
        <v>0</v>
      </c>
      <c r="BK792" s="123">
        <f t="shared" si="914"/>
        <v>0</v>
      </c>
      <c r="BL792" s="123">
        <f t="shared" si="914"/>
        <v>0</v>
      </c>
      <c r="BM792" s="123">
        <f t="shared" si="914"/>
        <v>0</v>
      </c>
      <c r="BN792" s="159">
        <f t="shared" si="914"/>
        <v>0</v>
      </c>
      <c r="BP792" s="367" t="s">
        <v>865</v>
      </c>
      <c r="BQ792" s="1536" t="str">
        <f t="shared" si="911"/>
        <v>GHG_Peata = GHG_Peata-1 + (E134 * BUI_COL (307 + ((C134 - 1) * 8) * BUI_COL4 / (J134-I134+1) / 1000000)</v>
      </c>
      <c r="BR792" s="1544"/>
      <c r="BS792" s="1544"/>
      <c r="BT792" s="1544"/>
      <c r="BU792" s="1544"/>
      <c r="BV792" s="1544"/>
      <c r="BW792" s="1544"/>
      <c r="BX792" s="1544"/>
      <c r="BY792" s="1544"/>
      <c r="BZ792" s="1544"/>
      <c r="CA792" s="1544"/>
      <c r="CB792" s="1544"/>
      <c r="CC792" s="1544"/>
      <c r="CD792" s="1544"/>
      <c r="CE792" s="1544"/>
      <c r="CF792" s="1544"/>
      <c r="CG792" s="1544"/>
      <c r="CH792" s="1537"/>
      <c r="CI792" s="578" t="s">
        <v>2235</v>
      </c>
      <c r="CJ792" s="367" t="s">
        <v>2224</v>
      </c>
      <c r="CK792" s="367" t="s">
        <v>1249</v>
      </c>
      <c r="CL792" s="580"/>
    </row>
    <row r="793" spans="11:90" ht="20.100000000000001" customHeight="1">
      <c r="AF793" s="190"/>
      <c r="AG793" s="107" t="s">
        <v>866</v>
      </c>
      <c r="AH793" s="107">
        <f>INDEX('DEFAULT DATA'!$WD$9:$WJ$41,START!$C$3,5)</f>
        <v>403</v>
      </c>
      <c r="AI793" s="115">
        <f>INDEX('DEFAULT DATA'!$AGR$9:$AJS$41,START!$C$3,(6+(($C$135-1)*8)))/IF($C$135&lt;5,INDEX('DEFAULT DATA'!$XS$9:$XV$41,START!$C$3,$C$135),1)</f>
        <v>0</v>
      </c>
      <c r="AJ793" s="115"/>
      <c r="AK793" s="180">
        <v>0</v>
      </c>
      <c r="AL793" s="123">
        <f t="shared" si="909"/>
        <v>0</v>
      </c>
      <c r="AM793" s="123">
        <f t="shared" ref="AM793:BN793" si="915">IF(AND(AM$614&gt;($I$124+2020),AM$614&lt;($J$124+2022)),AL793+($AH$620*$C$124*$AI$620*((100-$E$124)/100)/($J$124-$I$124+1)/1000000),AL793)</f>
        <v>0</v>
      </c>
      <c r="AN793" s="123">
        <f t="shared" si="915"/>
        <v>0</v>
      </c>
      <c r="AO793" s="123">
        <f t="shared" si="915"/>
        <v>0</v>
      </c>
      <c r="AP793" s="123">
        <f t="shared" si="915"/>
        <v>0</v>
      </c>
      <c r="AQ793" s="123">
        <f t="shared" si="915"/>
        <v>0</v>
      </c>
      <c r="AR793" s="123">
        <f t="shared" si="915"/>
        <v>0</v>
      </c>
      <c r="AS793" s="123">
        <f t="shared" si="915"/>
        <v>0</v>
      </c>
      <c r="AT793" s="123">
        <f t="shared" si="915"/>
        <v>0</v>
      </c>
      <c r="AU793" s="123">
        <f t="shared" si="915"/>
        <v>0</v>
      </c>
      <c r="AV793" s="123">
        <f t="shared" si="915"/>
        <v>0</v>
      </c>
      <c r="AW793" s="123">
        <f t="shared" si="915"/>
        <v>0</v>
      </c>
      <c r="AX793" s="123">
        <f t="shared" si="915"/>
        <v>0</v>
      </c>
      <c r="AY793" s="123">
        <f t="shared" si="915"/>
        <v>0</v>
      </c>
      <c r="AZ793" s="123">
        <f t="shared" si="915"/>
        <v>0</v>
      </c>
      <c r="BA793" s="123">
        <f t="shared" si="915"/>
        <v>0</v>
      </c>
      <c r="BB793" s="123">
        <f t="shared" si="915"/>
        <v>0</v>
      </c>
      <c r="BC793" s="123">
        <f t="shared" si="915"/>
        <v>0</v>
      </c>
      <c r="BD793" s="123">
        <f t="shared" si="915"/>
        <v>0</v>
      </c>
      <c r="BE793" s="123">
        <f t="shared" si="915"/>
        <v>0</v>
      </c>
      <c r="BF793" s="123">
        <f t="shared" si="915"/>
        <v>0</v>
      </c>
      <c r="BG793" s="123">
        <f t="shared" si="915"/>
        <v>0</v>
      </c>
      <c r="BH793" s="123">
        <f t="shared" si="915"/>
        <v>0</v>
      </c>
      <c r="BI793" s="123">
        <f t="shared" si="915"/>
        <v>0</v>
      </c>
      <c r="BJ793" s="123">
        <f t="shared" si="915"/>
        <v>0</v>
      </c>
      <c r="BK793" s="123">
        <f t="shared" si="915"/>
        <v>0</v>
      </c>
      <c r="BL793" s="123">
        <f t="shared" si="915"/>
        <v>0</v>
      </c>
      <c r="BM793" s="123">
        <f t="shared" si="915"/>
        <v>0</v>
      </c>
      <c r="BN793" s="159">
        <f t="shared" si="915"/>
        <v>0</v>
      </c>
      <c r="BP793" s="367" t="s">
        <v>866</v>
      </c>
      <c r="BQ793" s="1536" t="str">
        <f t="shared" si="911"/>
        <v>GHG_Wooda = GHG_Wooda-1 + (E134 * BUI_COL (307 + ((C134 - 1) * 8) * BUI_COL5 / (J134-I134+1) / 1000000)</v>
      </c>
      <c r="BR793" s="1544"/>
      <c r="BS793" s="1544"/>
      <c r="BT793" s="1544"/>
      <c r="BU793" s="1544"/>
      <c r="BV793" s="1544"/>
      <c r="BW793" s="1544"/>
      <c r="BX793" s="1544"/>
      <c r="BY793" s="1544"/>
      <c r="BZ793" s="1544"/>
      <c r="CA793" s="1544"/>
      <c r="CB793" s="1544"/>
      <c r="CC793" s="1544"/>
      <c r="CD793" s="1544"/>
      <c r="CE793" s="1544"/>
      <c r="CF793" s="1544"/>
      <c r="CG793" s="1544"/>
      <c r="CH793" s="1537"/>
      <c r="CI793" s="578" t="s">
        <v>2235</v>
      </c>
      <c r="CJ793" s="367" t="s">
        <v>2224</v>
      </c>
      <c r="CK793" s="367" t="s">
        <v>1250</v>
      </c>
      <c r="CL793" s="580"/>
    </row>
    <row r="794" spans="11:90" ht="20.100000000000001" customHeight="1">
      <c r="AF794" s="190"/>
      <c r="AG794" s="107" t="s">
        <v>867</v>
      </c>
      <c r="AH794" s="107">
        <f>INDEX('DEFAULT DATA'!$WD$9:$WJ$41,START!$C$3,6)</f>
        <v>0</v>
      </c>
      <c r="AI794" s="115">
        <f>INDEX('DEFAULT DATA'!$AGR$9:$AJS$41,START!$C$3,(7+(($C$135-1)*8)))/IF($C$135&lt;5,INDEX('DEFAULT DATA'!$XS$9:$XV$41,START!$C$3,$C$135),1)</f>
        <v>114.97725700487953</v>
      </c>
      <c r="AJ794" s="115"/>
      <c r="AK794" s="180">
        <v>0</v>
      </c>
      <c r="AL794" s="123">
        <f t="shared" si="909"/>
        <v>0</v>
      </c>
      <c r="AM794" s="123">
        <f t="shared" ref="AM794:BN794" si="916">IF(AND(AM$614&gt;($I$124+2020),AM$614&lt;($J$124+2022)),AL794+($AH$621*$C$124*$AI$621*((100-$E$124)/100)/($J$124-$I$124+1)/1000000),AL794)</f>
        <v>0</v>
      </c>
      <c r="AN794" s="123">
        <f t="shared" si="916"/>
        <v>0</v>
      </c>
      <c r="AO794" s="123">
        <f t="shared" si="916"/>
        <v>0</v>
      </c>
      <c r="AP794" s="123">
        <f t="shared" si="916"/>
        <v>0</v>
      </c>
      <c r="AQ794" s="123">
        <f t="shared" si="916"/>
        <v>0</v>
      </c>
      <c r="AR794" s="123">
        <f t="shared" si="916"/>
        <v>0</v>
      </c>
      <c r="AS794" s="123">
        <f t="shared" si="916"/>
        <v>0</v>
      </c>
      <c r="AT794" s="123">
        <f t="shared" si="916"/>
        <v>0</v>
      </c>
      <c r="AU794" s="123">
        <f t="shared" si="916"/>
        <v>0</v>
      </c>
      <c r="AV794" s="123">
        <f t="shared" si="916"/>
        <v>0</v>
      </c>
      <c r="AW794" s="123">
        <f t="shared" si="916"/>
        <v>0</v>
      </c>
      <c r="AX794" s="123">
        <f t="shared" si="916"/>
        <v>0</v>
      </c>
      <c r="AY794" s="123">
        <f t="shared" si="916"/>
        <v>0</v>
      </c>
      <c r="AZ794" s="123">
        <f t="shared" si="916"/>
        <v>0</v>
      </c>
      <c r="BA794" s="123">
        <f t="shared" si="916"/>
        <v>0</v>
      </c>
      <c r="BB794" s="123">
        <f t="shared" si="916"/>
        <v>0</v>
      </c>
      <c r="BC794" s="123">
        <f t="shared" si="916"/>
        <v>0</v>
      </c>
      <c r="BD794" s="123">
        <f t="shared" si="916"/>
        <v>0</v>
      </c>
      <c r="BE794" s="123">
        <f t="shared" si="916"/>
        <v>0</v>
      </c>
      <c r="BF794" s="123">
        <f t="shared" si="916"/>
        <v>0</v>
      </c>
      <c r="BG794" s="123">
        <f t="shared" si="916"/>
        <v>0</v>
      </c>
      <c r="BH794" s="123">
        <f t="shared" si="916"/>
        <v>0</v>
      </c>
      <c r="BI794" s="123">
        <f t="shared" si="916"/>
        <v>0</v>
      </c>
      <c r="BJ794" s="123">
        <f t="shared" si="916"/>
        <v>0</v>
      </c>
      <c r="BK794" s="123">
        <f t="shared" si="916"/>
        <v>0</v>
      </c>
      <c r="BL794" s="123">
        <f t="shared" si="916"/>
        <v>0</v>
      </c>
      <c r="BM794" s="123">
        <f t="shared" si="916"/>
        <v>0</v>
      </c>
      <c r="BN794" s="159">
        <f t="shared" si="916"/>
        <v>0</v>
      </c>
      <c r="BP794" s="367" t="s">
        <v>867</v>
      </c>
      <c r="BQ794" s="1536" t="str">
        <f t="shared" si="911"/>
        <v>GHG_Renewablea = GHG_Renewablea-1 + (E134 * BUI_COL (307 + ((C134 - 1) * 8) * BUI_COL6 / (J134-I134+1) / 1000000)</v>
      </c>
      <c r="BR794" s="1544"/>
      <c r="BS794" s="1544"/>
      <c r="BT794" s="1544"/>
      <c r="BU794" s="1544"/>
      <c r="BV794" s="1544"/>
      <c r="BW794" s="1544"/>
      <c r="BX794" s="1544"/>
      <c r="BY794" s="1544"/>
      <c r="BZ794" s="1544"/>
      <c r="CA794" s="1544"/>
      <c r="CB794" s="1544"/>
      <c r="CC794" s="1544"/>
      <c r="CD794" s="1544"/>
      <c r="CE794" s="1544"/>
      <c r="CF794" s="1544"/>
      <c r="CG794" s="1544"/>
      <c r="CH794" s="1537"/>
      <c r="CI794" s="578" t="s">
        <v>2235</v>
      </c>
      <c r="CJ794" s="367" t="s">
        <v>2224</v>
      </c>
      <c r="CK794" s="367" t="s">
        <v>1251</v>
      </c>
      <c r="CL794" s="580"/>
    </row>
    <row r="795" spans="11:90" ht="20.100000000000001" customHeight="1" thickBot="1">
      <c r="AF795" s="191"/>
      <c r="AG795" s="146" t="s">
        <v>868</v>
      </c>
      <c r="AH795" s="146" t="s">
        <v>1123</v>
      </c>
      <c r="AI795" s="170">
        <f>INDEX('DEFAULT DATA'!$AGR$9:$AJS$41,START!$C$3,(8+(($C$135-1)*8)))/IF($C$135&lt;5,INDEX('DEFAULT DATA'!$XS$9:$XV$41,START!$C$3,$C$135),1)</f>
        <v>28.744314251219883</v>
      </c>
      <c r="AJ795" s="170"/>
      <c r="AK795" s="183">
        <v>0</v>
      </c>
      <c r="AL795" s="123">
        <f>IF(AND(AL$787&gt;($I$135+2020),AL$787&lt;($J$135+2022)),AK795+(AL6*$C$135*AI795*((100-$E$135)/100)/($J$135-$I$135+1)/1000000),AK795)</f>
        <v>0</v>
      </c>
      <c r="AM795" s="160">
        <f t="shared" ref="AM795:BN795" si="917">IF(AND(AM$614&gt;($I$124+2020),AM$614&lt;($J$124+2022)),AL795+(AM$6*$C$124*$AI$622*((100-$E$124)/100)/($J$124-$I$124+1)/1000000),AL795)</f>
        <v>0</v>
      </c>
      <c r="AN795" s="160">
        <f t="shared" si="917"/>
        <v>0</v>
      </c>
      <c r="AO795" s="160">
        <f t="shared" si="917"/>
        <v>0</v>
      </c>
      <c r="AP795" s="160">
        <f t="shared" si="917"/>
        <v>0</v>
      </c>
      <c r="AQ795" s="160">
        <f t="shared" si="917"/>
        <v>0</v>
      </c>
      <c r="AR795" s="160">
        <f t="shared" si="917"/>
        <v>0</v>
      </c>
      <c r="AS795" s="160">
        <f t="shared" si="917"/>
        <v>0</v>
      </c>
      <c r="AT795" s="160">
        <f t="shared" si="917"/>
        <v>0</v>
      </c>
      <c r="AU795" s="160">
        <f t="shared" si="917"/>
        <v>0</v>
      </c>
      <c r="AV795" s="160">
        <f t="shared" si="917"/>
        <v>0</v>
      </c>
      <c r="AW795" s="160">
        <f t="shared" si="917"/>
        <v>0</v>
      </c>
      <c r="AX795" s="160">
        <f t="shared" si="917"/>
        <v>0</v>
      </c>
      <c r="AY795" s="160">
        <f t="shared" si="917"/>
        <v>0</v>
      </c>
      <c r="AZ795" s="160">
        <f t="shared" si="917"/>
        <v>0</v>
      </c>
      <c r="BA795" s="160">
        <f t="shared" si="917"/>
        <v>0</v>
      </c>
      <c r="BB795" s="160">
        <f t="shared" si="917"/>
        <v>0</v>
      </c>
      <c r="BC795" s="160">
        <f t="shared" si="917"/>
        <v>0</v>
      </c>
      <c r="BD795" s="160">
        <f t="shared" si="917"/>
        <v>0</v>
      </c>
      <c r="BE795" s="160">
        <f t="shared" si="917"/>
        <v>0</v>
      </c>
      <c r="BF795" s="160">
        <f t="shared" si="917"/>
        <v>0</v>
      </c>
      <c r="BG795" s="160">
        <f t="shared" si="917"/>
        <v>0</v>
      </c>
      <c r="BH795" s="160">
        <f t="shared" si="917"/>
        <v>0</v>
      </c>
      <c r="BI795" s="160">
        <f t="shared" si="917"/>
        <v>0</v>
      </c>
      <c r="BJ795" s="160">
        <f t="shared" si="917"/>
        <v>0</v>
      </c>
      <c r="BK795" s="160">
        <f t="shared" si="917"/>
        <v>0</v>
      </c>
      <c r="BL795" s="160">
        <f t="shared" si="917"/>
        <v>0</v>
      </c>
      <c r="BM795" s="160">
        <f t="shared" si="917"/>
        <v>0</v>
      </c>
      <c r="BN795" s="161">
        <f t="shared" si="917"/>
        <v>0</v>
      </c>
      <c r="BP795" s="367" t="s">
        <v>868</v>
      </c>
      <c r="BQ795" s="1536" t="str">
        <f t="shared" si="911"/>
        <v>GHG_Heata = GHG_Heata-1 + (E134 * BUI_COL (307 + ((C134 - 1) * 8) * DISTRICT_HEATING_emission_factora (from row 5) / (J134-I134+1) / 1000000)</v>
      </c>
      <c r="BR795" s="1544"/>
      <c r="BS795" s="1544"/>
      <c r="BT795" s="1544"/>
      <c r="BU795" s="1544"/>
      <c r="BV795" s="1544"/>
      <c r="BW795" s="1544"/>
      <c r="BX795" s="1544"/>
      <c r="BY795" s="1544"/>
      <c r="BZ795" s="1544"/>
      <c r="CA795" s="1544"/>
      <c r="CB795" s="1544"/>
      <c r="CC795" s="1544"/>
      <c r="CD795" s="1544"/>
      <c r="CE795" s="1544"/>
      <c r="CF795" s="1544"/>
      <c r="CG795" s="1544"/>
      <c r="CH795" s="1537"/>
      <c r="CI795" s="578" t="s">
        <v>2235</v>
      </c>
      <c r="CJ795" s="367" t="s">
        <v>2224</v>
      </c>
      <c r="CK795" s="367" t="s">
        <v>2222</v>
      </c>
      <c r="CL795" s="580"/>
    </row>
    <row r="796" spans="11:90" ht="20.100000000000001" customHeight="1">
      <c r="AF796" s="167"/>
      <c r="AG796" s="144" t="s">
        <v>211</v>
      </c>
      <c r="AH796" s="145"/>
      <c r="AI796" s="198"/>
      <c r="AJ796" s="145"/>
      <c r="AK796" s="179">
        <v>0</v>
      </c>
      <c r="AL796" s="162">
        <f>SUM(AL788:AL795)</f>
        <v>0</v>
      </c>
      <c r="AM796" s="162">
        <f t="shared" ref="AM796:BN796" si="918">SUM(AM788:AM795)</f>
        <v>0</v>
      </c>
      <c r="AN796" s="162">
        <f t="shared" si="918"/>
        <v>0</v>
      </c>
      <c r="AO796" s="162">
        <f t="shared" si="918"/>
        <v>0</v>
      </c>
      <c r="AP796" s="162">
        <f t="shared" si="918"/>
        <v>0</v>
      </c>
      <c r="AQ796" s="162">
        <f t="shared" si="918"/>
        <v>0</v>
      </c>
      <c r="AR796" s="162">
        <f t="shared" si="918"/>
        <v>0</v>
      </c>
      <c r="AS796" s="162">
        <f t="shared" si="918"/>
        <v>0</v>
      </c>
      <c r="AT796" s="162">
        <f t="shared" si="918"/>
        <v>0</v>
      </c>
      <c r="AU796" s="162">
        <f t="shared" si="918"/>
        <v>0</v>
      </c>
      <c r="AV796" s="162">
        <f t="shared" si="918"/>
        <v>0</v>
      </c>
      <c r="AW796" s="162">
        <f t="shared" si="918"/>
        <v>0</v>
      </c>
      <c r="AX796" s="162">
        <f t="shared" si="918"/>
        <v>0</v>
      </c>
      <c r="AY796" s="162">
        <f t="shared" si="918"/>
        <v>0</v>
      </c>
      <c r="AZ796" s="162">
        <f t="shared" si="918"/>
        <v>0</v>
      </c>
      <c r="BA796" s="162">
        <f t="shared" si="918"/>
        <v>0</v>
      </c>
      <c r="BB796" s="162">
        <f t="shared" si="918"/>
        <v>0</v>
      </c>
      <c r="BC796" s="162">
        <f t="shared" si="918"/>
        <v>0</v>
      </c>
      <c r="BD796" s="162">
        <f t="shared" si="918"/>
        <v>0</v>
      </c>
      <c r="BE796" s="162">
        <f t="shared" si="918"/>
        <v>0</v>
      </c>
      <c r="BF796" s="162">
        <f t="shared" si="918"/>
        <v>0</v>
      </c>
      <c r="BG796" s="162">
        <f t="shared" si="918"/>
        <v>0</v>
      </c>
      <c r="BH796" s="162">
        <f t="shared" si="918"/>
        <v>0</v>
      </c>
      <c r="BI796" s="162">
        <f t="shared" si="918"/>
        <v>0</v>
      </c>
      <c r="BJ796" s="162">
        <f t="shared" si="918"/>
        <v>0</v>
      </c>
      <c r="BK796" s="162">
        <f t="shared" si="918"/>
        <v>0</v>
      </c>
      <c r="BL796" s="162">
        <f t="shared" si="918"/>
        <v>0</v>
      </c>
      <c r="BM796" s="162">
        <f t="shared" si="918"/>
        <v>0</v>
      </c>
      <c r="BN796" s="162">
        <f t="shared" si="918"/>
        <v>0</v>
      </c>
    </row>
    <row r="797" spans="11:90" ht="20.100000000000001" customHeight="1">
      <c r="AI797" s="199"/>
    </row>
    <row r="798" spans="11:90" ht="20.100000000000001" customHeight="1" thickBot="1">
      <c r="AF798" s="168" t="s">
        <v>1141</v>
      </c>
      <c r="AG798" s="168"/>
      <c r="AH798" s="169" t="s">
        <v>620</v>
      </c>
      <c r="AI798" s="1542" t="s">
        <v>2169</v>
      </c>
      <c r="AJ798" s="1543"/>
      <c r="AK798" s="181">
        <v>2021</v>
      </c>
      <c r="AL798" s="135">
        <v>2022</v>
      </c>
      <c r="AM798" s="135">
        <v>2023</v>
      </c>
      <c r="AN798" s="135">
        <v>2024</v>
      </c>
      <c r="AO798" s="135">
        <v>2025</v>
      </c>
      <c r="AP798" s="135">
        <v>2026</v>
      </c>
      <c r="AQ798" s="135">
        <v>2027</v>
      </c>
      <c r="AR798" s="135">
        <v>2028</v>
      </c>
      <c r="AS798" s="135">
        <v>2029</v>
      </c>
      <c r="AT798" s="135">
        <v>2030</v>
      </c>
      <c r="AU798" s="135">
        <v>2031</v>
      </c>
      <c r="AV798" s="135">
        <v>2032</v>
      </c>
      <c r="AW798" s="135">
        <v>2033</v>
      </c>
      <c r="AX798" s="135">
        <v>2034</v>
      </c>
      <c r="AY798" s="135">
        <v>2035</v>
      </c>
      <c r="AZ798" s="135">
        <v>2036</v>
      </c>
      <c r="BA798" s="135">
        <v>2037</v>
      </c>
      <c r="BB798" s="135">
        <v>2038</v>
      </c>
      <c r="BC798" s="135">
        <v>2039</v>
      </c>
      <c r="BD798" s="135">
        <v>2040</v>
      </c>
      <c r="BE798" s="135">
        <v>2041</v>
      </c>
      <c r="BF798" s="135">
        <v>2042</v>
      </c>
      <c r="BG798" s="135">
        <v>2043</v>
      </c>
      <c r="BH798" s="135">
        <v>2044</v>
      </c>
      <c r="BI798" s="135">
        <v>2045</v>
      </c>
      <c r="BJ798" s="135">
        <v>2046</v>
      </c>
      <c r="BK798" s="135">
        <v>2047</v>
      </c>
      <c r="BL798" s="135">
        <v>2048</v>
      </c>
      <c r="BM798" s="135">
        <v>2049</v>
      </c>
      <c r="BN798" s="135">
        <v>2050</v>
      </c>
      <c r="BQ798" s="82" t="s">
        <v>2240</v>
      </c>
      <c r="BR798" s="250"/>
      <c r="BS798" s="250"/>
      <c r="BT798" s="250"/>
      <c r="BU798" s="250"/>
      <c r="BV798" s="250"/>
      <c r="BW798" s="250"/>
      <c r="BX798" s="250"/>
      <c r="BY798" s="250"/>
      <c r="BZ798" s="250"/>
      <c r="CA798" s="250"/>
      <c r="CB798" s="250"/>
      <c r="CC798" s="250"/>
      <c r="CD798" s="250"/>
      <c r="CE798" s="250"/>
      <c r="CF798" s="250"/>
      <c r="CG798" s="250"/>
      <c r="CH798" s="250"/>
      <c r="CI798" s="605" t="s">
        <v>1393</v>
      </c>
      <c r="CJ798" s="130" t="s">
        <v>2172</v>
      </c>
      <c r="CK798" s="606" t="s">
        <v>1224</v>
      </c>
    </row>
    <row r="799" spans="11:90" ht="20.100000000000001" customHeight="1">
      <c r="AF799" s="97" t="str">
        <f>CONCATENATE("conversion to ",INDEX('MENU OPTIONS'!$B$27:$B$36,$C$136,1))</f>
        <v>conversion to Terraced</v>
      </c>
      <c r="AG799" s="137" t="s">
        <v>578</v>
      </c>
      <c r="AH799" s="137" t="s">
        <v>1122</v>
      </c>
      <c r="AI799" s="165">
        <f>INDEX('DEFAULT DATA'!$AGR$9:$AJS$41,START!$C$3,(1+(($C$136-1)*8)))/IF($C$136&lt;5,INDEX('DEFAULT DATA'!$XS$9:$XV$41,START!$C$3,$C$136),1)</f>
        <v>40.242039951707831</v>
      </c>
      <c r="AJ799" s="165"/>
      <c r="AK799" s="178">
        <v>0</v>
      </c>
      <c r="AL799" s="177">
        <f t="shared" ref="AL799:BN799" si="919">IF(AND(AL$798&gt;($I$136+2020),AL$798&lt;($J$136+2022)),AK799+(AL$5*$E$136*$AI$799/($J$136-$I$136+1)/1000000),AK799)</f>
        <v>0</v>
      </c>
      <c r="AM799" s="177">
        <f t="shared" si="919"/>
        <v>0</v>
      </c>
      <c r="AN799" s="177">
        <f t="shared" si="919"/>
        <v>0</v>
      </c>
      <c r="AO799" s="177">
        <f t="shared" si="919"/>
        <v>0</v>
      </c>
      <c r="AP799" s="177">
        <f t="shared" si="919"/>
        <v>0</v>
      </c>
      <c r="AQ799" s="177">
        <f t="shared" si="919"/>
        <v>0</v>
      </c>
      <c r="AR799" s="177">
        <f t="shared" si="919"/>
        <v>0</v>
      </c>
      <c r="AS799" s="177">
        <f t="shared" si="919"/>
        <v>0</v>
      </c>
      <c r="AT799" s="177">
        <f t="shared" si="919"/>
        <v>0</v>
      </c>
      <c r="AU799" s="177">
        <f t="shared" si="919"/>
        <v>0</v>
      </c>
      <c r="AV799" s="177">
        <f t="shared" si="919"/>
        <v>0</v>
      </c>
      <c r="AW799" s="177">
        <f t="shared" si="919"/>
        <v>0</v>
      </c>
      <c r="AX799" s="177">
        <f t="shared" si="919"/>
        <v>0</v>
      </c>
      <c r="AY799" s="177">
        <f t="shared" si="919"/>
        <v>0</v>
      </c>
      <c r="AZ799" s="177">
        <f t="shared" si="919"/>
        <v>0</v>
      </c>
      <c r="BA799" s="177">
        <f t="shared" si="919"/>
        <v>0</v>
      </c>
      <c r="BB799" s="177">
        <f t="shared" si="919"/>
        <v>0</v>
      </c>
      <c r="BC799" s="177">
        <f t="shared" si="919"/>
        <v>0</v>
      </c>
      <c r="BD799" s="177">
        <f t="shared" si="919"/>
        <v>0</v>
      </c>
      <c r="BE799" s="177">
        <f t="shared" si="919"/>
        <v>0</v>
      </c>
      <c r="BF799" s="177">
        <f t="shared" si="919"/>
        <v>0</v>
      </c>
      <c r="BG799" s="177">
        <f t="shared" si="919"/>
        <v>0</v>
      </c>
      <c r="BH799" s="177">
        <f t="shared" si="919"/>
        <v>0</v>
      </c>
      <c r="BI799" s="177">
        <f t="shared" si="919"/>
        <v>0</v>
      </c>
      <c r="BJ799" s="177">
        <f t="shared" si="919"/>
        <v>0</v>
      </c>
      <c r="BK799" s="177">
        <f t="shared" si="919"/>
        <v>0</v>
      </c>
      <c r="BL799" s="177">
        <f t="shared" si="919"/>
        <v>0</v>
      </c>
      <c r="BM799" s="177">
        <f t="shared" si="919"/>
        <v>0</v>
      </c>
      <c r="BN799" s="204">
        <f t="shared" si="919"/>
        <v>0</v>
      </c>
      <c r="BP799" s="367" t="s">
        <v>578</v>
      </c>
      <c r="BQ799" s="1536" t="str">
        <f>CONCATENATE("GHG_",BP799,"a = GHG_",BP799,"a-1 + (E135 * ",CI799," * ",CK799," / (",CJ799,") / 1000000)")</f>
        <v>GHG_Electricitya = GHG_Electricitya-1 + (E135 * BUI_COL (307 + ((C135 - 1) * 8) * GRID_ELECTRICITY_emission_factora (from row4) / (J135-I135+1) / 1000000)</v>
      </c>
      <c r="BR799" s="1544"/>
      <c r="BS799" s="1544"/>
      <c r="BT799" s="1544"/>
      <c r="BU799" s="1544"/>
      <c r="BV799" s="1544"/>
      <c r="BW799" s="1544"/>
      <c r="BX799" s="1544"/>
      <c r="BY799" s="1544"/>
      <c r="BZ799" s="1544"/>
      <c r="CA799" s="1544"/>
      <c r="CB799" s="1544"/>
      <c r="CC799" s="1544"/>
      <c r="CD799" s="1544"/>
      <c r="CE799" s="1544"/>
      <c r="CF799" s="1544"/>
      <c r="CG799" s="1544"/>
      <c r="CH799" s="1537"/>
      <c r="CI799" s="578" t="s">
        <v>2247</v>
      </c>
      <c r="CJ799" s="367" t="s">
        <v>2226</v>
      </c>
      <c r="CK799" s="367" t="s">
        <v>2221</v>
      </c>
      <c r="CL799" s="580"/>
    </row>
    <row r="800" spans="11:90" ht="20.100000000000001" customHeight="1">
      <c r="AF800" s="193"/>
      <c r="AG800" s="107" t="s">
        <v>862</v>
      </c>
      <c r="AH800" s="107">
        <f>INDEX('DEFAULT DATA'!$WD$9:$WJ$41,START!$C$3,1)</f>
        <v>202</v>
      </c>
      <c r="AI800" s="115">
        <f>INDEX('DEFAULT DATA'!$AGR$9:$AJS$41,START!$C$3,(2+(($C$136-1)*8)))/IF($C$136&lt;5,INDEX('DEFAULT DATA'!$XS$9:$XV$41,START!$C$3,$C$136),1)</f>
        <v>91.981805603903609</v>
      </c>
      <c r="AJ800" s="115"/>
      <c r="AK800" s="180">
        <v>0</v>
      </c>
      <c r="AL800" s="123">
        <f t="shared" ref="AL800:BN800" si="920">IF(AND(AL$798&gt;($I$136+2020),AL$798&lt;($J$136+2022)),AK800+($AH$800*$E$136*$AI$800/($J$136-$I$136+1)/1000000),AK800)</f>
        <v>0</v>
      </c>
      <c r="AM800" s="123">
        <f t="shared" si="920"/>
        <v>0</v>
      </c>
      <c r="AN800" s="123">
        <f t="shared" si="920"/>
        <v>0</v>
      </c>
      <c r="AO800" s="123">
        <f t="shared" si="920"/>
        <v>0</v>
      </c>
      <c r="AP800" s="123">
        <f t="shared" si="920"/>
        <v>0</v>
      </c>
      <c r="AQ800" s="123">
        <f t="shared" si="920"/>
        <v>0</v>
      </c>
      <c r="AR800" s="123">
        <f t="shared" si="920"/>
        <v>0</v>
      </c>
      <c r="AS800" s="123">
        <f t="shared" si="920"/>
        <v>0</v>
      </c>
      <c r="AT800" s="123">
        <f t="shared" si="920"/>
        <v>0</v>
      </c>
      <c r="AU800" s="123">
        <f t="shared" si="920"/>
        <v>0</v>
      </c>
      <c r="AV800" s="123">
        <f t="shared" si="920"/>
        <v>0</v>
      </c>
      <c r="AW800" s="123">
        <f t="shared" si="920"/>
        <v>0</v>
      </c>
      <c r="AX800" s="123">
        <f t="shared" si="920"/>
        <v>0</v>
      </c>
      <c r="AY800" s="123">
        <f t="shared" si="920"/>
        <v>0</v>
      </c>
      <c r="AZ800" s="123">
        <f t="shared" si="920"/>
        <v>0</v>
      </c>
      <c r="BA800" s="123">
        <f t="shared" si="920"/>
        <v>0</v>
      </c>
      <c r="BB800" s="123">
        <f t="shared" si="920"/>
        <v>0</v>
      </c>
      <c r="BC800" s="123">
        <f t="shared" si="920"/>
        <v>0</v>
      </c>
      <c r="BD800" s="123">
        <f t="shared" si="920"/>
        <v>0</v>
      </c>
      <c r="BE800" s="123">
        <f t="shared" si="920"/>
        <v>0</v>
      </c>
      <c r="BF800" s="123">
        <f t="shared" si="920"/>
        <v>0</v>
      </c>
      <c r="BG800" s="123">
        <f t="shared" si="920"/>
        <v>0</v>
      </c>
      <c r="BH800" s="123">
        <f t="shared" si="920"/>
        <v>0</v>
      </c>
      <c r="BI800" s="123">
        <f t="shared" si="920"/>
        <v>0</v>
      </c>
      <c r="BJ800" s="123">
        <f t="shared" si="920"/>
        <v>0</v>
      </c>
      <c r="BK800" s="123">
        <f t="shared" si="920"/>
        <v>0</v>
      </c>
      <c r="BL800" s="123">
        <f t="shared" si="920"/>
        <v>0</v>
      </c>
      <c r="BM800" s="123">
        <f t="shared" si="920"/>
        <v>0</v>
      </c>
      <c r="BN800" s="159">
        <f t="shared" si="920"/>
        <v>0</v>
      </c>
      <c r="BP800" s="367" t="s">
        <v>862</v>
      </c>
      <c r="BQ800" s="1536" t="str">
        <f t="shared" ref="BQ800:BQ805" si="921">CONCATENATE("GHG_",BP800,"a = GHG_",BP800,"a-1 + (E135 * ",CI800," * ",CK800," / (",CJ800,") / 1000000)")</f>
        <v>GHG_Gasa = GHG_Gasa-1 + (E135 * BUI_COL (307 + ((C135 - 1) * 8) * BUI_COL1 / (J135-I135+1) / 1000000)</v>
      </c>
      <c r="BR800" s="1544"/>
      <c r="BS800" s="1544"/>
      <c r="BT800" s="1544"/>
      <c r="BU800" s="1544"/>
      <c r="BV800" s="1544"/>
      <c r="BW800" s="1544"/>
      <c r="BX800" s="1544"/>
      <c r="BY800" s="1544"/>
      <c r="BZ800" s="1544"/>
      <c r="CA800" s="1544"/>
      <c r="CB800" s="1544"/>
      <c r="CC800" s="1544"/>
      <c r="CD800" s="1544"/>
      <c r="CE800" s="1544"/>
      <c r="CF800" s="1544"/>
      <c r="CG800" s="1544"/>
      <c r="CH800" s="1537"/>
      <c r="CI800" s="578" t="s">
        <v>2247</v>
      </c>
      <c r="CJ800" s="367" t="s">
        <v>2226</v>
      </c>
      <c r="CK800" s="367" t="s">
        <v>886</v>
      </c>
      <c r="CL800" s="580"/>
    </row>
    <row r="801" spans="32:90" ht="20.100000000000001" customHeight="1">
      <c r="AF801" s="193"/>
      <c r="AG801" s="107" t="s">
        <v>863</v>
      </c>
      <c r="AH801" s="107">
        <f>INDEX('DEFAULT DATA'!$WD$9:$WJ$41,START!$C$3,2)</f>
        <v>267</v>
      </c>
      <c r="AI801" s="115">
        <f>INDEX('DEFAULT DATA'!$AGR$9:$AJS$41,START!$C$3,(3+(($C$136-1)*8)))/IF($C$136&lt;5,INDEX('DEFAULT DATA'!$XS$9:$XV$41,START!$C$3,$C$136),1)</f>
        <v>11.497725700487951</v>
      </c>
      <c r="AJ801" s="115"/>
      <c r="AK801" s="180">
        <v>0</v>
      </c>
      <c r="AL801" s="123">
        <f t="shared" ref="AL801:BN801" si="922">IF(AND(AL$798&gt;($I$136+2020),AL$798&lt;($J$136+2022)),AK801+($AH$801*$E$136*$AI$801/($J$136-$I$136+1)/1000000),AK801)</f>
        <v>0</v>
      </c>
      <c r="AM801" s="123">
        <f t="shared" si="922"/>
        <v>0</v>
      </c>
      <c r="AN801" s="123">
        <f t="shared" si="922"/>
        <v>0</v>
      </c>
      <c r="AO801" s="123">
        <f t="shared" si="922"/>
        <v>0</v>
      </c>
      <c r="AP801" s="123">
        <f t="shared" si="922"/>
        <v>0</v>
      </c>
      <c r="AQ801" s="123">
        <f t="shared" si="922"/>
        <v>0</v>
      </c>
      <c r="AR801" s="123">
        <f t="shared" si="922"/>
        <v>0</v>
      </c>
      <c r="AS801" s="123">
        <f t="shared" si="922"/>
        <v>0</v>
      </c>
      <c r="AT801" s="123">
        <f t="shared" si="922"/>
        <v>0</v>
      </c>
      <c r="AU801" s="123">
        <f t="shared" si="922"/>
        <v>0</v>
      </c>
      <c r="AV801" s="123">
        <f t="shared" si="922"/>
        <v>0</v>
      </c>
      <c r="AW801" s="123">
        <f t="shared" si="922"/>
        <v>0</v>
      </c>
      <c r="AX801" s="123">
        <f t="shared" si="922"/>
        <v>0</v>
      </c>
      <c r="AY801" s="123">
        <f t="shared" si="922"/>
        <v>0</v>
      </c>
      <c r="AZ801" s="123">
        <f t="shared" si="922"/>
        <v>0</v>
      </c>
      <c r="BA801" s="123">
        <f t="shared" si="922"/>
        <v>0</v>
      </c>
      <c r="BB801" s="123">
        <f t="shared" si="922"/>
        <v>0</v>
      </c>
      <c r="BC801" s="123">
        <f t="shared" si="922"/>
        <v>0</v>
      </c>
      <c r="BD801" s="123">
        <f t="shared" si="922"/>
        <v>0</v>
      </c>
      <c r="BE801" s="123">
        <f t="shared" si="922"/>
        <v>0</v>
      </c>
      <c r="BF801" s="123">
        <f t="shared" si="922"/>
        <v>0</v>
      </c>
      <c r="BG801" s="123">
        <f t="shared" si="922"/>
        <v>0</v>
      </c>
      <c r="BH801" s="123">
        <f t="shared" si="922"/>
        <v>0</v>
      </c>
      <c r="BI801" s="123">
        <f t="shared" si="922"/>
        <v>0</v>
      </c>
      <c r="BJ801" s="123">
        <f t="shared" si="922"/>
        <v>0</v>
      </c>
      <c r="BK801" s="123">
        <f t="shared" si="922"/>
        <v>0</v>
      </c>
      <c r="BL801" s="123">
        <f t="shared" si="922"/>
        <v>0</v>
      </c>
      <c r="BM801" s="123">
        <f t="shared" si="922"/>
        <v>0</v>
      </c>
      <c r="BN801" s="159">
        <f t="shared" si="922"/>
        <v>0</v>
      </c>
      <c r="BP801" s="367" t="s">
        <v>863</v>
      </c>
      <c r="BQ801" s="1536" t="str">
        <f t="shared" si="921"/>
        <v>GHG_Oila = GHG_Oila-1 + (E135 * BUI_COL (307 + ((C135 - 1) * 8) * BUI_COL2 / (J135-I135+1) / 1000000)</v>
      </c>
      <c r="BR801" s="1544"/>
      <c r="BS801" s="1544"/>
      <c r="BT801" s="1544"/>
      <c r="BU801" s="1544"/>
      <c r="BV801" s="1544"/>
      <c r="BW801" s="1544"/>
      <c r="BX801" s="1544"/>
      <c r="BY801" s="1544"/>
      <c r="BZ801" s="1544"/>
      <c r="CA801" s="1544"/>
      <c r="CB801" s="1544"/>
      <c r="CC801" s="1544"/>
      <c r="CD801" s="1544"/>
      <c r="CE801" s="1544"/>
      <c r="CF801" s="1544"/>
      <c r="CG801" s="1544"/>
      <c r="CH801" s="1537"/>
      <c r="CI801" s="578" t="s">
        <v>2247</v>
      </c>
      <c r="CJ801" s="367" t="s">
        <v>2226</v>
      </c>
      <c r="CK801" s="367" t="s">
        <v>1247</v>
      </c>
      <c r="CL801" s="580"/>
    </row>
    <row r="802" spans="32:90" ht="20.100000000000001" customHeight="1">
      <c r="AF802" s="193"/>
      <c r="AG802" s="107" t="s">
        <v>864</v>
      </c>
      <c r="AH802" s="107">
        <f>INDEX('DEFAULT DATA'!$WD$9:$WJ$41,START!$C$3,3)</f>
        <v>354</v>
      </c>
      <c r="AI802" s="115">
        <f>INDEX('DEFAULT DATA'!$AGR$9:$AJS$41,START!$C$3,(4+(($C$136-1)*8)))/IF($C$136&lt;5,INDEX('DEFAULT DATA'!$XS$9:$XV$41,START!$C$3,$C$136),1)</f>
        <v>0</v>
      </c>
      <c r="AJ802" s="115"/>
      <c r="AK802" s="180">
        <v>0</v>
      </c>
      <c r="AL802" s="123">
        <f t="shared" ref="AL802:BN802" si="923">IF(AND(AL$798&gt;($I$136+2020),AL$798&lt;($J$136+2022)),AK802+($AH$802*$E$136*$AI$802/($J$136-$I$136+1)/1000000),AK802)</f>
        <v>0</v>
      </c>
      <c r="AM802" s="123">
        <f t="shared" si="923"/>
        <v>0</v>
      </c>
      <c r="AN802" s="123">
        <f t="shared" si="923"/>
        <v>0</v>
      </c>
      <c r="AO802" s="123">
        <f t="shared" si="923"/>
        <v>0</v>
      </c>
      <c r="AP802" s="123">
        <f t="shared" si="923"/>
        <v>0</v>
      </c>
      <c r="AQ802" s="123">
        <f t="shared" si="923"/>
        <v>0</v>
      </c>
      <c r="AR802" s="123">
        <f t="shared" si="923"/>
        <v>0</v>
      </c>
      <c r="AS802" s="123">
        <f t="shared" si="923"/>
        <v>0</v>
      </c>
      <c r="AT802" s="123">
        <f t="shared" si="923"/>
        <v>0</v>
      </c>
      <c r="AU802" s="123">
        <f t="shared" si="923"/>
        <v>0</v>
      </c>
      <c r="AV802" s="123">
        <f t="shared" si="923"/>
        <v>0</v>
      </c>
      <c r="AW802" s="123">
        <f t="shared" si="923"/>
        <v>0</v>
      </c>
      <c r="AX802" s="123">
        <f t="shared" si="923"/>
        <v>0</v>
      </c>
      <c r="AY802" s="123">
        <f t="shared" si="923"/>
        <v>0</v>
      </c>
      <c r="AZ802" s="123">
        <f t="shared" si="923"/>
        <v>0</v>
      </c>
      <c r="BA802" s="123">
        <f t="shared" si="923"/>
        <v>0</v>
      </c>
      <c r="BB802" s="123">
        <f t="shared" si="923"/>
        <v>0</v>
      </c>
      <c r="BC802" s="123">
        <f t="shared" si="923"/>
        <v>0</v>
      </c>
      <c r="BD802" s="123">
        <f t="shared" si="923"/>
        <v>0</v>
      </c>
      <c r="BE802" s="123">
        <f t="shared" si="923"/>
        <v>0</v>
      </c>
      <c r="BF802" s="123">
        <f t="shared" si="923"/>
        <v>0</v>
      </c>
      <c r="BG802" s="123">
        <f t="shared" si="923"/>
        <v>0</v>
      </c>
      <c r="BH802" s="123">
        <f t="shared" si="923"/>
        <v>0</v>
      </c>
      <c r="BI802" s="123">
        <f t="shared" si="923"/>
        <v>0</v>
      </c>
      <c r="BJ802" s="123">
        <f t="shared" si="923"/>
        <v>0</v>
      </c>
      <c r="BK802" s="123">
        <f t="shared" si="923"/>
        <v>0</v>
      </c>
      <c r="BL802" s="123">
        <f t="shared" si="923"/>
        <v>0</v>
      </c>
      <c r="BM802" s="123">
        <f t="shared" si="923"/>
        <v>0</v>
      </c>
      <c r="BN802" s="159">
        <f t="shared" si="923"/>
        <v>0</v>
      </c>
      <c r="BP802" s="367" t="s">
        <v>864</v>
      </c>
      <c r="BQ802" s="1536" t="str">
        <f t="shared" si="921"/>
        <v>GHG_Coala = GHG_Coala-1 + (E135 * BUI_COL (307 + ((C135 - 1) * 8) * BUI_COL3 / (J135-I135+1) / 1000000)</v>
      </c>
      <c r="BR802" s="1544"/>
      <c r="BS802" s="1544"/>
      <c r="BT802" s="1544"/>
      <c r="BU802" s="1544"/>
      <c r="BV802" s="1544"/>
      <c r="BW802" s="1544"/>
      <c r="BX802" s="1544"/>
      <c r="BY802" s="1544"/>
      <c r="BZ802" s="1544"/>
      <c r="CA802" s="1544"/>
      <c r="CB802" s="1544"/>
      <c r="CC802" s="1544"/>
      <c r="CD802" s="1544"/>
      <c r="CE802" s="1544"/>
      <c r="CF802" s="1544"/>
      <c r="CG802" s="1544"/>
      <c r="CH802" s="1537"/>
      <c r="CI802" s="578" t="s">
        <v>2247</v>
      </c>
      <c r="CJ802" s="367" t="s">
        <v>2226</v>
      </c>
      <c r="CK802" s="367" t="s">
        <v>1248</v>
      </c>
      <c r="CL802" s="580"/>
    </row>
    <row r="803" spans="32:90" ht="20.100000000000001" customHeight="1">
      <c r="AF803" s="193"/>
      <c r="AG803" s="107" t="s">
        <v>865</v>
      </c>
      <c r="AH803" s="107">
        <f>INDEX('DEFAULT DATA'!$WD$9:$WJ$41,START!$C$3,4)</f>
        <v>382</v>
      </c>
      <c r="AI803" s="115">
        <f>INDEX('DEFAULT DATA'!$AGR$9:$AJS$41,START!$C$3,(5+(($C$136-1)*8)))/IF($C$136&lt;5,INDEX('DEFAULT DATA'!$XS$9:$XV$41,START!$C$3,$C$136),1)</f>
        <v>0</v>
      </c>
      <c r="AJ803" s="115"/>
      <c r="AK803" s="180">
        <v>0</v>
      </c>
      <c r="AL803" s="123">
        <f t="shared" ref="AL803:BN803" si="924">IF(AND(AL$798&gt;($I$136+2020),AL$798&lt;($J$136+2022)),AK803+($AH$803*$E$136*$AI$803/($J$136-$I$136+1)/1000000),AK803)</f>
        <v>0</v>
      </c>
      <c r="AM803" s="123">
        <f t="shared" si="924"/>
        <v>0</v>
      </c>
      <c r="AN803" s="123">
        <f t="shared" si="924"/>
        <v>0</v>
      </c>
      <c r="AO803" s="123">
        <f t="shared" si="924"/>
        <v>0</v>
      </c>
      <c r="AP803" s="123">
        <f t="shared" si="924"/>
        <v>0</v>
      </c>
      <c r="AQ803" s="123">
        <f t="shared" si="924"/>
        <v>0</v>
      </c>
      <c r="AR803" s="123">
        <f t="shared" si="924"/>
        <v>0</v>
      </c>
      <c r="AS803" s="123">
        <f t="shared" si="924"/>
        <v>0</v>
      </c>
      <c r="AT803" s="123">
        <f t="shared" si="924"/>
        <v>0</v>
      </c>
      <c r="AU803" s="123">
        <f t="shared" si="924"/>
        <v>0</v>
      </c>
      <c r="AV803" s="123">
        <f t="shared" si="924"/>
        <v>0</v>
      </c>
      <c r="AW803" s="123">
        <f t="shared" si="924"/>
        <v>0</v>
      </c>
      <c r="AX803" s="123">
        <f t="shared" si="924"/>
        <v>0</v>
      </c>
      <c r="AY803" s="123">
        <f t="shared" si="924"/>
        <v>0</v>
      </c>
      <c r="AZ803" s="123">
        <f t="shared" si="924"/>
        <v>0</v>
      </c>
      <c r="BA803" s="123">
        <f t="shared" si="924"/>
        <v>0</v>
      </c>
      <c r="BB803" s="123">
        <f t="shared" si="924"/>
        <v>0</v>
      </c>
      <c r="BC803" s="123">
        <f t="shared" si="924"/>
        <v>0</v>
      </c>
      <c r="BD803" s="123">
        <f t="shared" si="924"/>
        <v>0</v>
      </c>
      <c r="BE803" s="123">
        <f t="shared" si="924"/>
        <v>0</v>
      </c>
      <c r="BF803" s="123">
        <f t="shared" si="924"/>
        <v>0</v>
      </c>
      <c r="BG803" s="123">
        <f t="shared" si="924"/>
        <v>0</v>
      </c>
      <c r="BH803" s="123">
        <f t="shared" si="924"/>
        <v>0</v>
      </c>
      <c r="BI803" s="123">
        <f t="shared" si="924"/>
        <v>0</v>
      </c>
      <c r="BJ803" s="123">
        <f t="shared" si="924"/>
        <v>0</v>
      </c>
      <c r="BK803" s="123">
        <f t="shared" si="924"/>
        <v>0</v>
      </c>
      <c r="BL803" s="123">
        <f t="shared" si="924"/>
        <v>0</v>
      </c>
      <c r="BM803" s="123">
        <f t="shared" si="924"/>
        <v>0</v>
      </c>
      <c r="BN803" s="159">
        <f t="shared" si="924"/>
        <v>0</v>
      </c>
      <c r="BP803" s="367" t="s">
        <v>865</v>
      </c>
      <c r="BQ803" s="1536" t="str">
        <f t="shared" si="921"/>
        <v>GHG_Peata = GHG_Peata-1 + (E135 * BUI_COL (307 + ((C135 - 1) * 8) * BUI_COL4 / (J135-I135+1) / 1000000)</v>
      </c>
      <c r="BR803" s="1544"/>
      <c r="BS803" s="1544"/>
      <c r="BT803" s="1544"/>
      <c r="BU803" s="1544"/>
      <c r="BV803" s="1544"/>
      <c r="BW803" s="1544"/>
      <c r="BX803" s="1544"/>
      <c r="BY803" s="1544"/>
      <c r="BZ803" s="1544"/>
      <c r="CA803" s="1544"/>
      <c r="CB803" s="1544"/>
      <c r="CC803" s="1544"/>
      <c r="CD803" s="1544"/>
      <c r="CE803" s="1544"/>
      <c r="CF803" s="1544"/>
      <c r="CG803" s="1544"/>
      <c r="CH803" s="1537"/>
      <c r="CI803" s="578" t="s">
        <v>2247</v>
      </c>
      <c r="CJ803" s="367" t="s">
        <v>2226</v>
      </c>
      <c r="CK803" s="367" t="s">
        <v>1249</v>
      </c>
      <c r="CL803" s="580"/>
    </row>
    <row r="804" spans="32:90" ht="20.100000000000001" customHeight="1">
      <c r="AF804" s="193"/>
      <c r="AG804" s="107" t="s">
        <v>866</v>
      </c>
      <c r="AH804" s="107">
        <f>INDEX('DEFAULT DATA'!$WD$9:$WJ$41,START!$C$3,5)</f>
        <v>403</v>
      </c>
      <c r="AI804" s="115">
        <f>INDEX('DEFAULT DATA'!$AGR$9:$AJS$41,START!$C$3,(6+(($C$136-1)*8)))/IF($C$136&lt;5,INDEX('DEFAULT DATA'!$XS$9:$XV$41,START!$C$3,$C$136),1)</f>
        <v>0</v>
      </c>
      <c r="AJ804" s="115"/>
      <c r="AK804" s="180">
        <v>0</v>
      </c>
      <c r="AL804" s="123">
        <f t="shared" ref="AL804:BN804" si="925">IF(AND(AL$798&gt;($I$136+2020),AL$798&lt;($J$136+2022)),AK804+($AH$804*$E$136*$AI$804/($J$136-$I$136+1)/1000000),AK804)</f>
        <v>0</v>
      </c>
      <c r="AM804" s="123">
        <f t="shared" si="925"/>
        <v>0</v>
      </c>
      <c r="AN804" s="123">
        <f t="shared" si="925"/>
        <v>0</v>
      </c>
      <c r="AO804" s="123">
        <f t="shared" si="925"/>
        <v>0</v>
      </c>
      <c r="AP804" s="123">
        <f t="shared" si="925"/>
        <v>0</v>
      </c>
      <c r="AQ804" s="123">
        <f t="shared" si="925"/>
        <v>0</v>
      </c>
      <c r="AR804" s="123">
        <f t="shared" si="925"/>
        <v>0</v>
      </c>
      <c r="AS804" s="123">
        <f t="shared" si="925"/>
        <v>0</v>
      </c>
      <c r="AT804" s="123">
        <f t="shared" si="925"/>
        <v>0</v>
      </c>
      <c r="AU804" s="123">
        <f t="shared" si="925"/>
        <v>0</v>
      </c>
      <c r="AV804" s="123">
        <f t="shared" si="925"/>
        <v>0</v>
      </c>
      <c r="AW804" s="123">
        <f t="shared" si="925"/>
        <v>0</v>
      </c>
      <c r="AX804" s="123">
        <f t="shared" si="925"/>
        <v>0</v>
      </c>
      <c r="AY804" s="123">
        <f t="shared" si="925"/>
        <v>0</v>
      </c>
      <c r="AZ804" s="123">
        <f t="shared" si="925"/>
        <v>0</v>
      </c>
      <c r="BA804" s="123">
        <f t="shared" si="925"/>
        <v>0</v>
      </c>
      <c r="BB804" s="123">
        <f t="shared" si="925"/>
        <v>0</v>
      </c>
      <c r="BC804" s="123">
        <f t="shared" si="925"/>
        <v>0</v>
      </c>
      <c r="BD804" s="123">
        <f t="shared" si="925"/>
        <v>0</v>
      </c>
      <c r="BE804" s="123">
        <f t="shared" si="925"/>
        <v>0</v>
      </c>
      <c r="BF804" s="123">
        <f t="shared" si="925"/>
        <v>0</v>
      </c>
      <c r="BG804" s="123">
        <f t="shared" si="925"/>
        <v>0</v>
      </c>
      <c r="BH804" s="123">
        <f t="shared" si="925"/>
        <v>0</v>
      </c>
      <c r="BI804" s="123">
        <f t="shared" si="925"/>
        <v>0</v>
      </c>
      <c r="BJ804" s="123">
        <f t="shared" si="925"/>
        <v>0</v>
      </c>
      <c r="BK804" s="123">
        <f t="shared" si="925"/>
        <v>0</v>
      </c>
      <c r="BL804" s="123">
        <f t="shared" si="925"/>
        <v>0</v>
      </c>
      <c r="BM804" s="123">
        <f t="shared" si="925"/>
        <v>0</v>
      </c>
      <c r="BN804" s="159">
        <f t="shared" si="925"/>
        <v>0</v>
      </c>
      <c r="BP804" s="367" t="s">
        <v>866</v>
      </c>
      <c r="BQ804" s="1536" t="str">
        <f t="shared" si="921"/>
        <v>GHG_Wooda = GHG_Wooda-1 + (E135 * BUI_COL (307 + ((C135 - 1) * 8) * BUI_COL5 / (J135-I135+1) / 1000000)</v>
      </c>
      <c r="BR804" s="1544"/>
      <c r="BS804" s="1544"/>
      <c r="BT804" s="1544"/>
      <c r="BU804" s="1544"/>
      <c r="BV804" s="1544"/>
      <c r="BW804" s="1544"/>
      <c r="BX804" s="1544"/>
      <c r="BY804" s="1544"/>
      <c r="BZ804" s="1544"/>
      <c r="CA804" s="1544"/>
      <c r="CB804" s="1544"/>
      <c r="CC804" s="1544"/>
      <c r="CD804" s="1544"/>
      <c r="CE804" s="1544"/>
      <c r="CF804" s="1544"/>
      <c r="CG804" s="1544"/>
      <c r="CH804" s="1537"/>
      <c r="CI804" s="578" t="s">
        <v>2247</v>
      </c>
      <c r="CJ804" s="367" t="s">
        <v>2226</v>
      </c>
      <c r="CK804" s="367" t="s">
        <v>1250</v>
      </c>
      <c r="CL804" s="580"/>
    </row>
    <row r="805" spans="32:90" ht="20.100000000000001" customHeight="1">
      <c r="AF805" s="193"/>
      <c r="AG805" s="107" t="s">
        <v>867</v>
      </c>
      <c r="AH805" s="107">
        <f>INDEX('DEFAULT DATA'!$WD$9:$WJ$41,START!$C$3,6)</f>
        <v>0</v>
      </c>
      <c r="AI805" s="115">
        <f>INDEX('DEFAULT DATA'!$AGR$9:$AJS$41,START!$C$3,(7+(($C$136-1)*8)))/IF($C$136&lt;5,INDEX('DEFAULT DATA'!$XS$9:$XV$41,START!$C$3,$C$136),1)</f>
        <v>114.97725700487952</v>
      </c>
      <c r="AJ805" s="115"/>
      <c r="AK805" s="180">
        <v>0</v>
      </c>
      <c r="AL805" s="123">
        <f t="shared" ref="AL805:BN805" si="926">IF(AND(AL$798&gt;($I$136+2020),AL$798&lt;($J$136+2022)),AK805+($AH$805*$E$136*$AI$805/($J$136-$I$136+1)/1000000),AK805)</f>
        <v>0</v>
      </c>
      <c r="AM805" s="123">
        <f t="shared" si="926"/>
        <v>0</v>
      </c>
      <c r="AN805" s="123">
        <f t="shared" si="926"/>
        <v>0</v>
      </c>
      <c r="AO805" s="123">
        <f t="shared" si="926"/>
        <v>0</v>
      </c>
      <c r="AP805" s="123">
        <f t="shared" si="926"/>
        <v>0</v>
      </c>
      <c r="AQ805" s="123">
        <f t="shared" si="926"/>
        <v>0</v>
      </c>
      <c r="AR805" s="123">
        <f t="shared" si="926"/>
        <v>0</v>
      </c>
      <c r="AS805" s="123">
        <f t="shared" si="926"/>
        <v>0</v>
      </c>
      <c r="AT805" s="123">
        <f t="shared" si="926"/>
        <v>0</v>
      </c>
      <c r="AU805" s="123">
        <f t="shared" si="926"/>
        <v>0</v>
      </c>
      <c r="AV805" s="123">
        <f t="shared" si="926"/>
        <v>0</v>
      </c>
      <c r="AW805" s="123">
        <f t="shared" si="926"/>
        <v>0</v>
      </c>
      <c r="AX805" s="123">
        <f t="shared" si="926"/>
        <v>0</v>
      </c>
      <c r="AY805" s="123">
        <f t="shared" si="926"/>
        <v>0</v>
      </c>
      <c r="AZ805" s="123">
        <f t="shared" si="926"/>
        <v>0</v>
      </c>
      <c r="BA805" s="123">
        <f t="shared" si="926"/>
        <v>0</v>
      </c>
      <c r="BB805" s="123">
        <f t="shared" si="926"/>
        <v>0</v>
      </c>
      <c r="BC805" s="123">
        <f t="shared" si="926"/>
        <v>0</v>
      </c>
      <c r="BD805" s="123">
        <f t="shared" si="926"/>
        <v>0</v>
      </c>
      <c r="BE805" s="123">
        <f t="shared" si="926"/>
        <v>0</v>
      </c>
      <c r="BF805" s="123">
        <f t="shared" si="926"/>
        <v>0</v>
      </c>
      <c r="BG805" s="123">
        <f t="shared" si="926"/>
        <v>0</v>
      </c>
      <c r="BH805" s="123">
        <f t="shared" si="926"/>
        <v>0</v>
      </c>
      <c r="BI805" s="123">
        <f t="shared" si="926"/>
        <v>0</v>
      </c>
      <c r="BJ805" s="123">
        <f t="shared" si="926"/>
        <v>0</v>
      </c>
      <c r="BK805" s="123">
        <f t="shared" si="926"/>
        <v>0</v>
      </c>
      <c r="BL805" s="123">
        <f t="shared" si="926"/>
        <v>0</v>
      </c>
      <c r="BM805" s="123">
        <f t="shared" si="926"/>
        <v>0</v>
      </c>
      <c r="BN805" s="159">
        <f t="shared" si="926"/>
        <v>0</v>
      </c>
      <c r="BP805" s="367" t="s">
        <v>867</v>
      </c>
      <c r="BQ805" s="1536" t="str">
        <f t="shared" si="921"/>
        <v>GHG_Renewablea = GHG_Renewablea-1 + (E135 * BUI_COL (307 + ((C135 - 1) * 8) * BUI_COL6 / (J135-I135+1) / 1000000)</v>
      </c>
      <c r="BR805" s="1544"/>
      <c r="BS805" s="1544"/>
      <c r="BT805" s="1544"/>
      <c r="BU805" s="1544"/>
      <c r="BV805" s="1544"/>
      <c r="BW805" s="1544"/>
      <c r="BX805" s="1544"/>
      <c r="BY805" s="1544"/>
      <c r="BZ805" s="1544"/>
      <c r="CA805" s="1544"/>
      <c r="CB805" s="1544"/>
      <c r="CC805" s="1544"/>
      <c r="CD805" s="1544"/>
      <c r="CE805" s="1544"/>
      <c r="CF805" s="1544"/>
      <c r="CG805" s="1544"/>
      <c r="CH805" s="1537"/>
      <c r="CI805" s="578" t="s">
        <v>2247</v>
      </c>
      <c r="CJ805" s="367" t="s">
        <v>2226</v>
      </c>
      <c r="CK805" s="367" t="s">
        <v>1251</v>
      </c>
      <c r="CL805" s="580"/>
    </row>
    <row r="806" spans="32:90" ht="20.100000000000001" customHeight="1" thickBot="1">
      <c r="AF806" s="194"/>
      <c r="AG806" s="146" t="s">
        <v>868</v>
      </c>
      <c r="AH806" s="146" t="s">
        <v>1123</v>
      </c>
      <c r="AI806" s="170">
        <f>INDEX('DEFAULT DATA'!$AGR$9:$AJS$41,START!$C$3,(8+(($C$136-1)*8)))/IF($C$136&lt;5,INDEX('DEFAULT DATA'!$XS$9:$XV$41,START!$C$3,$C$136),1)</f>
        <v>28.74431425121988</v>
      </c>
      <c r="AJ806" s="170"/>
      <c r="AK806" s="183">
        <v>0</v>
      </c>
      <c r="AL806" s="160">
        <f t="shared" ref="AL806:BN806" si="927">IF(AND(AL$798&gt;($I$136+2020),AL$798&lt;($J$136+2022)),AK806+(AL$6*$E$136*$AI$806/($J$136-$I$136+1)/1000000),AK806)</f>
        <v>0</v>
      </c>
      <c r="AM806" s="160">
        <f t="shared" si="927"/>
        <v>0</v>
      </c>
      <c r="AN806" s="160">
        <f t="shared" si="927"/>
        <v>0</v>
      </c>
      <c r="AO806" s="160">
        <f t="shared" si="927"/>
        <v>0</v>
      </c>
      <c r="AP806" s="160">
        <f t="shared" si="927"/>
        <v>0</v>
      </c>
      <c r="AQ806" s="160">
        <f t="shared" si="927"/>
        <v>0</v>
      </c>
      <c r="AR806" s="160">
        <f t="shared" si="927"/>
        <v>0</v>
      </c>
      <c r="AS806" s="160">
        <f t="shared" si="927"/>
        <v>0</v>
      </c>
      <c r="AT806" s="160">
        <f t="shared" si="927"/>
        <v>0</v>
      </c>
      <c r="AU806" s="160">
        <f t="shared" si="927"/>
        <v>0</v>
      </c>
      <c r="AV806" s="160">
        <f t="shared" si="927"/>
        <v>0</v>
      </c>
      <c r="AW806" s="160">
        <f t="shared" si="927"/>
        <v>0</v>
      </c>
      <c r="AX806" s="160">
        <f t="shared" si="927"/>
        <v>0</v>
      </c>
      <c r="AY806" s="160">
        <f t="shared" si="927"/>
        <v>0</v>
      </c>
      <c r="AZ806" s="160">
        <f t="shared" si="927"/>
        <v>0</v>
      </c>
      <c r="BA806" s="160">
        <f t="shared" si="927"/>
        <v>0</v>
      </c>
      <c r="BB806" s="160">
        <f t="shared" si="927"/>
        <v>0</v>
      </c>
      <c r="BC806" s="160">
        <f t="shared" si="927"/>
        <v>0</v>
      </c>
      <c r="BD806" s="160">
        <f t="shared" si="927"/>
        <v>0</v>
      </c>
      <c r="BE806" s="160">
        <f t="shared" si="927"/>
        <v>0</v>
      </c>
      <c r="BF806" s="160">
        <f t="shared" si="927"/>
        <v>0</v>
      </c>
      <c r="BG806" s="160">
        <f t="shared" si="927"/>
        <v>0</v>
      </c>
      <c r="BH806" s="160">
        <f t="shared" si="927"/>
        <v>0</v>
      </c>
      <c r="BI806" s="160">
        <f t="shared" si="927"/>
        <v>0</v>
      </c>
      <c r="BJ806" s="160">
        <f t="shared" si="927"/>
        <v>0</v>
      </c>
      <c r="BK806" s="160">
        <f t="shared" si="927"/>
        <v>0</v>
      </c>
      <c r="BL806" s="160">
        <f t="shared" si="927"/>
        <v>0</v>
      </c>
      <c r="BM806" s="160">
        <f t="shared" si="927"/>
        <v>0</v>
      </c>
      <c r="BN806" s="161">
        <f t="shared" si="927"/>
        <v>0</v>
      </c>
      <c r="BP806" s="367" t="s">
        <v>868</v>
      </c>
      <c r="BQ806" s="1536" t="str">
        <f>CONCATENATE("GHG_",BP806,"a = GHG_",BP806,"a-1 + (E135 * ",CI806," * ",CK806," / (",CJ806,") / 1000000)")</f>
        <v>GHG_Heata = GHG_Heata-1 + (E135 * BUI_COL (307 + ((C135 - 1) * 8) * DISTRICT_HEATING_emission_factora (from row 5) / (J135-I135+1) / 1000000)</v>
      </c>
      <c r="BR806" s="1544"/>
      <c r="BS806" s="1544"/>
      <c r="BT806" s="1544"/>
      <c r="BU806" s="1544"/>
      <c r="BV806" s="1544"/>
      <c r="BW806" s="1544"/>
      <c r="BX806" s="1544"/>
      <c r="BY806" s="1544"/>
      <c r="BZ806" s="1544"/>
      <c r="CA806" s="1544"/>
      <c r="CB806" s="1544"/>
      <c r="CC806" s="1544"/>
      <c r="CD806" s="1544"/>
      <c r="CE806" s="1544"/>
      <c r="CF806" s="1544"/>
      <c r="CG806" s="1544"/>
      <c r="CH806" s="1537"/>
      <c r="CI806" s="578" t="s">
        <v>2247</v>
      </c>
      <c r="CJ806" s="367" t="s">
        <v>2226</v>
      </c>
      <c r="CK806" s="367" t="s">
        <v>2222</v>
      </c>
      <c r="CL806" s="580"/>
    </row>
    <row r="807" spans="32:90" ht="20.100000000000001" customHeight="1">
      <c r="AF807" s="167"/>
      <c r="AG807" s="144" t="s">
        <v>211</v>
      </c>
      <c r="AH807" s="145"/>
      <c r="AI807" s="198"/>
      <c r="AJ807" s="145"/>
      <c r="AK807" s="179">
        <v>0</v>
      </c>
      <c r="AL807" s="162">
        <f>SUM(AL799:AL806)</f>
        <v>0</v>
      </c>
      <c r="AM807" s="162">
        <f t="shared" ref="AM807:BN807" si="928">SUM(AM799:AM806)</f>
        <v>0</v>
      </c>
      <c r="AN807" s="162">
        <f t="shared" si="928"/>
        <v>0</v>
      </c>
      <c r="AO807" s="162">
        <f t="shared" si="928"/>
        <v>0</v>
      </c>
      <c r="AP807" s="162">
        <f t="shared" si="928"/>
        <v>0</v>
      </c>
      <c r="AQ807" s="162">
        <f t="shared" si="928"/>
        <v>0</v>
      </c>
      <c r="AR807" s="162">
        <f t="shared" si="928"/>
        <v>0</v>
      </c>
      <c r="AS807" s="162">
        <f t="shared" si="928"/>
        <v>0</v>
      </c>
      <c r="AT807" s="162">
        <f t="shared" si="928"/>
        <v>0</v>
      </c>
      <c r="AU807" s="162">
        <f t="shared" si="928"/>
        <v>0</v>
      </c>
      <c r="AV807" s="162">
        <f t="shared" si="928"/>
        <v>0</v>
      </c>
      <c r="AW807" s="162">
        <f t="shared" si="928"/>
        <v>0</v>
      </c>
      <c r="AX807" s="162">
        <f t="shared" si="928"/>
        <v>0</v>
      </c>
      <c r="AY807" s="162">
        <f t="shared" si="928"/>
        <v>0</v>
      </c>
      <c r="AZ807" s="162">
        <f t="shared" si="928"/>
        <v>0</v>
      </c>
      <c r="BA807" s="162">
        <f t="shared" si="928"/>
        <v>0</v>
      </c>
      <c r="BB807" s="162">
        <f t="shared" si="928"/>
        <v>0</v>
      </c>
      <c r="BC807" s="162">
        <f t="shared" si="928"/>
        <v>0</v>
      </c>
      <c r="BD807" s="162">
        <f t="shared" si="928"/>
        <v>0</v>
      </c>
      <c r="BE807" s="162">
        <f t="shared" si="928"/>
        <v>0</v>
      </c>
      <c r="BF807" s="162">
        <f t="shared" si="928"/>
        <v>0</v>
      </c>
      <c r="BG807" s="162">
        <f t="shared" si="928"/>
        <v>0</v>
      </c>
      <c r="BH807" s="162">
        <f t="shared" si="928"/>
        <v>0</v>
      </c>
      <c r="BI807" s="162">
        <f t="shared" si="928"/>
        <v>0</v>
      </c>
      <c r="BJ807" s="162">
        <f t="shared" si="928"/>
        <v>0</v>
      </c>
      <c r="BK807" s="162">
        <f t="shared" si="928"/>
        <v>0</v>
      </c>
      <c r="BL807" s="162">
        <f t="shared" si="928"/>
        <v>0</v>
      </c>
      <c r="BM807" s="162">
        <f t="shared" si="928"/>
        <v>0</v>
      </c>
      <c r="BN807" s="162">
        <f t="shared" si="928"/>
        <v>0</v>
      </c>
    </row>
    <row r="808" spans="32:90" ht="20.100000000000001" customHeight="1">
      <c r="AI808" s="199"/>
    </row>
    <row r="809" spans="32:90" ht="20.100000000000001" customHeight="1" thickBot="1">
      <c r="AF809" s="168" t="s">
        <v>1141</v>
      </c>
      <c r="AG809" s="168"/>
      <c r="AH809" s="169" t="s">
        <v>620</v>
      </c>
      <c r="AI809" s="1542" t="s">
        <v>2169</v>
      </c>
      <c r="AJ809" s="1543"/>
      <c r="AK809" s="181">
        <v>2021</v>
      </c>
      <c r="AL809" s="135">
        <v>2022</v>
      </c>
      <c r="AM809" s="135">
        <v>2023</v>
      </c>
      <c r="AN809" s="135">
        <v>2024</v>
      </c>
      <c r="AO809" s="135">
        <v>2025</v>
      </c>
      <c r="AP809" s="135">
        <v>2026</v>
      </c>
      <c r="AQ809" s="135">
        <v>2027</v>
      </c>
      <c r="AR809" s="135">
        <v>2028</v>
      </c>
      <c r="AS809" s="135">
        <v>2029</v>
      </c>
      <c r="AT809" s="135">
        <v>2030</v>
      </c>
      <c r="AU809" s="135">
        <v>2031</v>
      </c>
      <c r="AV809" s="135">
        <v>2032</v>
      </c>
      <c r="AW809" s="135">
        <v>2033</v>
      </c>
      <c r="AX809" s="135">
        <v>2034</v>
      </c>
      <c r="AY809" s="135">
        <v>2035</v>
      </c>
      <c r="AZ809" s="135">
        <v>2036</v>
      </c>
      <c r="BA809" s="135">
        <v>2037</v>
      </c>
      <c r="BB809" s="135">
        <v>2038</v>
      </c>
      <c r="BC809" s="135">
        <v>2039</v>
      </c>
      <c r="BD809" s="135">
        <v>2040</v>
      </c>
      <c r="BE809" s="135">
        <v>2041</v>
      </c>
      <c r="BF809" s="135">
        <v>2042</v>
      </c>
      <c r="BG809" s="135">
        <v>2043</v>
      </c>
      <c r="BH809" s="135">
        <v>2044</v>
      </c>
      <c r="BI809" s="135">
        <v>2045</v>
      </c>
      <c r="BJ809" s="135">
        <v>2046</v>
      </c>
      <c r="BK809" s="135">
        <v>2047</v>
      </c>
      <c r="BL809" s="135">
        <v>2048</v>
      </c>
      <c r="BM809" s="135">
        <v>2049</v>
      </c>
      <c r="BN809" s="135">
        <v>2050</v>
      </c>
      <c r="BQ809" s="82" t="s">
        <v>2241</v>
      </c>
      <c r="BR809" s="250"/>
      <c r="BS809" s="250"/>
      <c r="BT809" s="250"/>
      <c r="BU809" s="250"/>
      <c r="BV809" s="250"/>
      <c r="BW809" s="250"/>
      <c r="BX809" s="250"/>
      <c r="BY809" s="250"/>
      <c r="BZ809" s="250"/>
      <c r="CA809" s="250"/>
      <c r="CB809" s="250"/>
      <c r="CC809" s="250"/>
      <c r="CD809" s="250"/>
      <c r="CE809" s="250"/>
      <c r="CF809" s="250"/>
      <c r="CG809" s="250"/>
      <c r="CH809" s="250"/>
      <c r="CI809" s="605" t="s">
        <v>1393</v>
      </c>
      <c r="CJ809" s="130" t="s">
        <v>2172</v>
      </c>
      <c r="CK809" s="606" t="s">
        <v>1224</v>
      </c>
    </row>
    <row r="810" spans="32:90" ht="20.100000000000001" customHeight="1">
      <c r="AF810" s="192" t="str">
        <f>CONCATENATE("conversion to ",INDEX('MENU OPTIONS'!$B$27:$B$36,$C$137,1))</f>
        <v>conversion to Semi-detached</v>
      </c>
      <c r="AG810" s="137" t="s">
        <v>578</v>
      </c>
      <c r="AH810" s="137" t="s">
        <v>1122</v>
      </c>
      <c r="AI810" s="165">
        <f>INDEX('DEFAULT DATA'!$AGR$9:$AJS$41,START!$C$3,(1+(($C$137-1)*8)))/IF($C$137&lt;5,INDEX('DEFAULT DATA'!$XS$9:$XV$41,START!$C$3,$C$137),1)</f>
        <v>40.242039951707831</v>
      </c>
      <c r="AJ810" s="165"/>
      <c r="AK810" s="178">
        <v>0</v>
      </c>
      <c r="AL810" s="157">
        <f t="shared" ref="AL810:BN810" si="929">IF(AND(AL$809&gt;($I$137+2020),AL$809&lt;($J$137+2022)),AK810+(AL$5*$E$137*$AI$810/($J$137-$I$137+1)/1000000),AK810)</f>
        <v>0</v>
      </c>
      <c r="AM810" s="157">
        <f t="shared" si="929"/>
        <v>0</v>
      </c>
      <c r="AN810" s="157">
        <f t="shared" si="929"/>
        <v>0</v>
      </c>
      <c r="AO810" s="157">
        <f t="shared" si="929"/>
        <v>0</v>
      </c>
      <c r="AP810" s="157">
        <f t="shared" si="929"/>
        <v>0</v>
      </c>
      <c r="AQ810" s="157">
        <f t="shared" si="929"/>
        <v>0</v>
      </c>
      <c r="AR810" s="157">
        <f t="shared" si="929"/>
        <v>0</v>
      </c>
      <c r="AS810" s="157">
        <f t="shared" si="929"/>
        <v>0</v>
      </c>
      <c r="AT810" s="157">
        <f t="shared" si="929"/>
        <v>0</v>
      </c>
      <c r="AU810" s="157">
        <f t="shared" si="929"/>
        <v>0</v>
      </c>
      <c r="AV810" s="157">
        <f t="shared" si="929"/>
        <v>0</v>
      </c>
      <c r="AW810" s="157">
        <f t="shared" si="929"/>
        <v>0</v>
      </c>
      <c r="AX810" s="157">
        <f t="shared" si="929"/>
        <v>0</v>
      </c>
      <c r="AY810" s="157">
        <f t="shared" si="929"/>
        <v>0</v>
      </c>
      <c r="AZ810" s="157">
        <f t="shared" si="929"/>
        <v>0</v>
      </c>
      <c r="BA810" s="157">
        <f t="shared" si="929"/>
        <v>0</v>
      </c>
      <c r="BB810" s="157">
        <f t="shared" si="929"/>
        <v>0</v>
      </c>
      <c r="BC810" s="157">
        <f t="shared" si="929"/>
        <v>0</v>
      </c>
      <c r="BD810" s="157">
        <f t="shared" si="929"/>
        <v>0</v>
      </c>
      <c r="BE810" s="157">
        <f t="shared" si="929"/>
        <v>0</v>
      </c>
      <c r="BF810" s="157">
        <f t="shared" si="929"/>
        <v>0</v>
      </c>
      <c r="BG810" s="157">
        <f t="shared" si="929"/>
        <v>0</v>
      </c>
      <c r="BH810" s="157">
        <f t="shared" si="929"/>
        <v>0</v>
      </c>
      <c r="BI810" s="157">
        <f t="shared" si="929"/>
        <v>0</v>
      </c>
      <c r="BJ810" s="157">
        <f t="shared" si="929"/>
        <v>0</v>
      </c>
      <c r="BK810" s="157">
        <f t="shared" si="929"/>
        <v>0</v>
      </c>
      <c r="BL810" s="157">
        <f t="shared" si="929"/>
        <v>0</v>
      </c>
      <c r="BM810" s="157">
        <f t="shared" si="929"/>
        <v>0</v>
      </c>
      <c r="BN810" s="158">
        <f t="shared" si="929"/>
        <v>0</v>
      </c>
      <c r="BP810" s="367" t="s">
        <v>578</v>
      </c>
      <c r="BQ810" s="1536" t="str">
        <f>CONCATENATE("GHG_",BP810,"a = GHG_",BP810,"a-1 + (E136 * ",CI810," * ",CK810," / (",CJ810,") / 1000000)")</f>
        <v>GHG_Electricitya = GHG_Electricitya-1 + (E136 * BUI_COL (307 + ((C136 - 1) * 8) * GRID_ELECTRICITY_emission_factora (from row4) / (J136-I136+1) / 1000000)</v>
      </c>
      <c r="BR810" s="1544"/>
      <c r="BS810" s="1544"/>
      <c r="BT810" s="1544"/>
      <c r="BU810" s="1544"/>
      <c r="BV810" s="1544"/>
      <c r="BW810" s="1544"/>
      <c r="BX810" s="1544"/>
      <c r="BY810" s="1544"/>
      <c r="BZ810" s="1544"/>
      <c r="CA810" s="1544"/>
      <c r="CB810" s="1544"/>
      <c r="CC810" s="1544"/>
      <c r="CD810" s="1544"/>
      <c r="CE810" s="1544"/>
      <c r="CF810" s="1544"/>
      <c r="CG810" s="1544"/>
      <c r="CH810" s="1537"/>
      <c r="CI810" s="578" t="s">
        <v>2248</v>
      </c>
      <c r="CJ810" s="367" t="s">
        <v>2228</v>
      </c>
      <c r="CK810" s="367" t="s">
        <v>2221</v>
      </c>
      <c r="CL810" s="580"/>
    </row>
    <row r="811" spans="32:90" ht="20.100000000000001" customHeight="1">
      <c r="AF811" s="193"/>
      <c r="AG811" s="107" t="s">
        <v>862</v>
      </c>
      <c r="AH811" s="107">
        <f>INDEX('DEFAULT DATA'!$WD$9:$WJ$41,START!$C$3,1)</f>
        <v>202</v>
      </c>
      <c r="AI811" s="115">
        <f>INDEX('DEFAULT DATA'!$AGR$9:$AJS$41,START!$C$3,(2+(($C$137-1)*8)))/IF($C$137&lt;5,INDEX('DEFAULT DATA'!$XS$9:$XV$41,START!$C$3,$C$137),1)</f>
        <v>91.981805603903609</v>
      </c>
      <c r="AJ811" s="115"/>
      <c r="AK811" s="180">
        <v>0</v>
      </c>
      <c r="AL811" s="123">
        <f t="shared" ref="AL811:BN811" si="930">IF(AND(AL$809&gt;($I$137+2020),AL$809&lt;($J$137+2022)),AK811+($AH$811*$E$137*$AI$811/($J$137-$I$137+1)/1000000),AK811)</f>
        <v>0</v>
      </c>
      <c r="AM811" s="123">
        <f t="shared" si="930"/>
        <v>0</v>
      </c>
      <c r="AN811" s="123">
        <f t="shared" si="930"/>
        <v>0</v>
      </c>
      <c r="AO811" s="123">
        <f t="shared" si="930"/>
        <v>0</v>
      </c>
      <c r="AP811" s="123">
        <f t="shared" si="930"/>
        <v>0</v>
      </c>
      <c r="AQ811" s="123">
        <f t="shared" si="930"/>
        <v>0</v>
      </c>
      <c r="AR811" s="123">
        <f t="shared" si="930"/>
        <v>0</v>
      </c>
      <c r="AS811" s="123">
        <f t="shared" si="930"/>
        <v>0</v>
      </c>
      <c r="AT811" s="123">
        <f t="shared" si="930"/>
        <v>0</v>
      </c>
      <c r="AU811" s="123">
        <f t="shared" si="930"/>
        <v>0</v>
      </c>
      <c r="AV811" s="123">
        <f t="shared" si="930"/>
        <v>0</v>
      </c>
      <c r="AW811" s="123">
        <f t="shared" si="930"/>
        <v>0</v>
      </c>
      <c r="AX811" s="123">
        <f t="shared" si="930"/>
        <v>0</v>
      </c>
      <c r="AY811" s="123">
        <f t="shared" si="930"/>
        <v>0</v>
      </c>
      <c r="AZ811" s="123">
        <f t="shared" si="930"/>
        <v>0</v>
      </c>
      <c r="BA811" s="123">
        <f t="shared" si="930"/>
        <v>0</v>
      </c>
      <c r="BB811" s="123">
        <f t="shared" si="930"/>
        <v>0</v>
      </c>
      <c r="BC811" s="123">
        <f t="shared" si="930"/>
        <v>0</v>
      </c>
      <c r="BD811" s="123">
        <f t="shared" si="930"/>
        <v>0</v>
      </c>
      <c r="BE811" s="123">
        <f t="shared" si="930"/>
        <v>0</v>
      </c>
      <c r="BF811" s="123">
        <f t="shared" si="930"/>
        <v>0</v>
      </c>
      <c r="BG811" s="123">
        <f t="shared" si="930"/>
        <v>0</v>
      </c>
      <c r="BH811" s="123">
        <f t="shared" si="930"/>
        <v>0</v>
      </c>
      <c r="BI811" s="123">
        <f t="shared" si="930"/>
        <v>0</v>
      </c>
      <c r="BJ811" s="123">
        <f t="shared" si="930"/>
        <v>0</v>
      </c>
      <c r="BK811" s="123">
        <f t="shared" si="930"/>
        <v>0</v>
      </c>
      <c r="BL811" s="123">
        <f t="shared" si="930"/>
        <v>0</v>
      </c>
      <c r="BM811" s="123">
        <f t="shared" si="930"/>
        <v>0</v>
      </c>
      <c r="BN811" s="159">
        <f t="shared" si="930"/>
        <v>0</v>
      </c>
      <c r="BP811" s="367" t="s">
        <v>862</v>
      </c>
      <c r="BQ811" s="1536" t="str">
        <f t="shared" ref="BQ811:BQ816" si="931">CONCATENATE("GHG_",BP811,"a = GHG_",BP811,"a-1 + (E136 * ",CI811," * ",CK811," / (",CJ811,") / 1000000)")</f>
        <v>GHG_Gasa = GHG_Gasa-1 + (E136 * BUI_COL (307 + ((C136 - 1) * 8) * BUI_COL1 / (J136-I136+1) / 1000000)</v>
      </c>
      <c r="BR811" s="1544"/>
      <c r="BS811" s="1544"/>
      <c r="BT811" s="1544"/>
      <c r="BU811" s="1544"/>
      <c r="BV811" s="1544"/>
      <c r="BW811" s="1544"/>
      <c r="BX811" s="1544"/>
      <c r="BY811" s="1544"/>
      <c r="BZ811" s="1544"/>
      <c r="CA811" s="1544"/>
      <c r="CB811" s="1544"/>
      <c r="CC811" s="1544"/>
      <c r="CD811" s="1544"/>
      <c r="CE811" s="1544"/>
      <c r="CF811" s="1544"/>
      <c r="CG811" s="1544"/>
      <c r="CH811" s="1537"/>
      <c r="CI811" s="578" t="s">
        <v>2248</v>
      </c>
      <c r="CJ811" s="367" t="s">
        <v>2228</v>
      </c>
      <c r="CK811" s="367" t="s">
        <v>886</v>
      </c>
      <c r="CL811" s="580"/>
    </row>
    <row r="812" spans="32:90" ht="20.100000000000001" customHeight="1">
      <c r="AF812" s="193"/>
      <c r="AG812" s="107" t="s">
        <v>863</v>
      </c>
      <c r="AH812" s="107">
        <f>INDEX('DEFAULT DATA'!$WD$9:$WJ$41,START!$C$3,2)</f>
        <v>267</v>
      </c>
      <c r="AI812" s="115">
        <f>INDEX('DEFAULT DATA'!$AGR$9:$AJS$41,START!$C$3,(3+(($C$137-1)*8)))/IF($C$137&lt;5,INDEX('DEFAULT DATA'!$XS$9:$XV$41,START!$C$3,$C$137),1)</f>
        <v>11.497725700487951</v>
      </c>
      <c r="AJ812" s="115"/>
      <c r="AK812" s="180">
        <v>0</v>
      </c>
      <c r="AL812" s="123">
        <f t="shared" ref="AL812:BN812" si="932">IF(AND(AL$809&gt;($I$137+2020),AL$809&lt;($J$137+2022)),AK812+($AH$812*$E$137*$AI$812/($J$137-$I$137+1)/1000000),AK812)</f>
        <v>0</v>
      </c>
      <c r="AM812" s="123">
        <f t="shared" si="932"/>
        <v>0</v>
      </c>
      <c r="AN812" s="123">
        <f t="shared" si="932"/>
        <v>0</v>
      </c>
      <c r="AO812" s="123">
        <f t="shared" si="932"/>
        <v>0</v>
      </c>
      <c r="AP812" s="123">
        <f t="shared" si="932"/>
        <v>0</v>
      </c>
      <c r="AQ812" s="123">
        <f t="shared" si="932"/>
        <v>0</v>
      </c>
      <c r="AR812" s="123">
        <f t="shared" si="932"/>
        <v>0</v>
      </c>
      <c r="AS812" s="123">
        <f t="shared" si="932"/>
        <v>0</v>
      </c>
      <c r="AT812" s="123">
        <f t="shared" si="932"/>
        <v>0</v>
      </c>
      <c r="AU812" s="123">
        <f t="shared" si="932"/>
        <v>0</v>
      </c>
      <c r="AV812" s="123">
        <f t="shared" si="932"/>
        <v>0</v>
      </c>
      <c r="AW812" s="123">
        <f t="shared" si="932"/>
        <v>0</v>
      </c>
      <c r="AX812" s="123">
        <f t="shared" si="932"/>
        <v>0</v>
      </c>
      <c r="AY812" s="123">
        <f t="shared" si="932"/>
        <v>0</v>
      </c>
      <c r="AZ812" s="123">
        <f t="shared" si="932"/>
        <v>0</v>
      </c>
      <c r="BA812" s="123">
        <f t="shared" si="932"/>
        <v>0</v>
      </c>
      <c r="BB812" s="123">
        <f t="shared" si="932"/>
        <v>0</v>
      </c>
      <c r="BC812" s="123">
        <f t="shared" si="932"/>
        <v>0</v>
      </c>
      <c r="BD812" s="123">
        <f t="shared" si="932"/>
        <v>0</v>
      </c>
      <c r="BE812" s="123">
        <f t="shared" si="932"/>
        <v>0</v>
      </c>
      <c r="BF812" s="123">
        <f t="shared" si="932"/>
        <v>0</v>
      </c>
      <c r="BG812" s="123">
        <f t="shared" si="932"/>
        <v>0</v>
      </c>
      <c r="BH812" s="123">
        <f t="shared" si="932"/>
        <v>0</v>
      </c>
      <c r="BI812" s="123">
        <f t="shared" si="932"/>
        <v>0</v>
      </c>
      <c r="BJ812" s="123">
        <f t="shared" si="932"/>
        <v>0</v>
      </c>
      <c r="BK812" s="123">
        <f t="shared" si="932"/>
        <v>0</v>
      </c>
      <c r="BL812" s="123">
        <f t="shared" si="932"/>
        <v>0</v>
      </c>
      <c r="BM812" s="123">
        <f t="shared" si="932"/>
        <v>0</v>
      </c>
      <c r="BN812" s="159">
        <f t="shared" si="932"/>
        <v>0</v>
      </c>
      <c r="BP812" s="367" t="s">
        <v>863</v>
      </c>
      <c r="BQ812" s="1536" t="str">
        <f t="shared" si="931"/>
        <v>GHG_Oila = GHG_Oila-1 + (E136 * BUI_COL (307 + ((C136 - 1) * 8) * BUI_COL2 / (J136-I136+1) / 1000000)</v>
      </c>
      <c r="BR812" s="1544"/>
      <c r="BS812" s="1544"/>
      <c r="BT812" s="1544"/>
      <c r="BU812" s="1544"/>
      <c r="BV812" s="1544"/>
      <c r="BW812" s="1544"/>
      <c r="BX812" s="1544"/>
      <c r="BY812" s="1544"/>
      <c r="BZ812" s="1544"/>
      <c r="CA812" s="1544"/>
      <c r="CB812" s="1544"/>
      <c r="CC812" s="1544"/>
      <c r="CD812" s="1544"/>
      <c r="CE812" s="1544"/>
      <c r="CF812" s="1544"/>
      <c r="CG812" s="1544"/>
      <c r="CH812" s="1537"/>
      <c r="CI812" s="578" t="s">
        <v>2248</v>
      </c>
      <c r="CJ812" s="367" t="s">
        <v>2228</v>
      </c>
      <c r="CK812" s="367" t="s">
        <v>1247</v>
      </c>
      <c r="CL812" s="580"/>
    </row>
    <row r="813" spans="32:90" ht="20.100000000000001" customHeight="1">
      <c r="AF813" s="193"/>
      <c r="AG813" s="107" t="s">
        <v>864</v>
      </c>
      <c r="AH813" s="107">
        <f>INDEX('DEFAULT DATA'!$WD$9:$WJ$41,START!$C$3,3)</f>
        <v>354</v>
      </c>
      <c r="AI813" s="115">
        <f>INDEX('DEFAULT DATA'!$AGR$9:$AJS$41,START!$C$3,(4+(($C$137-1)*8)))/IF($C$137&lt;5,INDEX('DEFAULT DATA'!$XS$9:$XV$41,START!$C$3,$C$137),1)</f>
        <v>0</v>
      </c>
      <c r="AJ813" s="115"/>
      <c r="AK813" s="180">
        <v>0</v>
      </c>
      <c r="AL813" s="123">
        <f t="shared" ref="AL813:BN813" si="933">IF(AND(AL$809&gt;($I$137+2020),AL$809&lt;($J$137+2022)),AK813+($AH$813*$E$137*$AI$813/($J$137-$I$137+1)/1000000),AK813)</f>
        <v>0</v>
      </c>
      <c r="AM813" s="123">
        <f t="shared" si="933"/>
        <v>0</v>
      </c>
      <c r="AN813" s="123">
        <f t="shared" si="933"/>
        <v>0</v>
      </c>
      <c r="AO813" s="123">
        <f t="shared" si="933"/>
        <v>0</v>
      </c>
      <c r="AP813" s="123">
        <f t="shared" si="933"/>
        <v>0</v>
      </c>
      <c r="AQ813" s="123">
        <f t="shared" si="933"/>
        <v>0</v>
      </c>
      <c r="AR813" s="123">
        <f t="shared" si="933"/>
        <v>0</v>
      </c>
      <c r="AS813" s="123">
        <f t="shared" si="933"/>
        <v>0</v>
      </c>
      <c r="AT813" s="123">
        <f t="shared" si="933"/>
        <v>0</v>
      </c>
      <c r="AU813" s="123">
        <f t="shared" si="933"/>
        <v>0</v>
      </c>
      <c r="AV813" s="123">
        <f t="shared" si="933"/>
        <v>0</v>
      </c>
      <c r="AW813" s="123">
        <f t="shared" si="933"/>
        <v>0</v>
      </c>
      <c r="AX813" s="123">
        <f t="shared" si="933"/>
        <v>0</v>
      </c>
      <c r="AY813" s="123">
        <f t="shared" si="933"/>
        <v>0</v>
      </c>
      <c r="AZ813" s="123">
        <f t="shared" si="933"/>
        <v>0</v>
      </c>
      <c r="BA813" s="123">
        <f t="shared" si="933"/>
        <v>0</v>
      </c>
      <c r="BB813" s="123">
        <f t="shared" si="933"/>
        <v>0</v>
      </c>
      <c r="BC813" s="123">
        <f t="shared" si="933"/>
        <v>0</v>
      </c>
      <c r="BD813" s="123">
        <f t="shared" si="933"/>
        <v>0</v>
      </c>
      <c r="BE813" s="123">
        <f t="shared" si="933"/>
        <v>0</v>
      </c>
      <c r="BF813" s="123">
        <f t="shared" si="933"/>
        <v>0</v>
      </c>
      <c r="BG813" s="123">
        <f t="shared" si="933"/>
        <v>0</v>
      </c>
      <c r="BH813" s="123">
        <f t="shared" si="933"/>
        <v>0</v>
      </c>
      <c r="BI813" s="123">
        <f t="shared" si="933"/>
        <v>0</v>
      </c>
      <c r="BJ813" s="123">
        <f t="shared" si="933"/>
        <v>0</v>
      </c>
      <c r="BK813" s="123">
        <f t="shared" si="933"/>
        <v>0</v>
      </c>
      <c r="BL813" s="123">
        <f t="shared" si="933"/>
        <v>0</v>
      </c>
      <c r="BM813" s="123">
        <f t="shared" si="933"/>
        <v>0</v>
      </c>
      <c r="BN813" s="159">
        <f t="shared" si="933"/>
        <v>0</v>
      </c>
      <c r="BP813" s="367" t="s">
        <v>864</v>
      </c>
      <c r="BQ813" s="1536" t="str">
        <f t="shared" si="931"/>
        <v>GHG_Coala = GHG_Coala-1 + (E136 * BUI_COL (307 + ((C136 - 1) * 8) * BUI_COL3 / (J136-I136+1) / 1000000)</v>
      </c>
      <c r="BR813" s="1544"/>
      <c r="BS813" s="1544"/>
      <c r="BT813" s="1544"/>
      <c r="BU813" s="1544"/>
      <c r="BV813" s="1544"/>
      <c r="BW813" s="1544"/>
      <c r="BX813" s="1544"/>
      <c r="BY813" s="1544"/>
      <c r="BZ813" s="1544"/>
      <c r="CA813" s="1544"/>
      <c r="CB813" s="1544"/>
      <c r="CC813" s="1544"/>
      <c r="CD813" s="1544"/>
      <c r="CE813" s="1544"/>
      <c r="CF813" s="1544"/>
      <c r="CG813" s="1544"/>
      <c r="CH813" s="1537"/>
      <c r="CI813" s="578" t="s">
        <v>2248</v>
      </c>
      <c r="CJ813" s="367" t="s">
        <v>2228</v>
      </c>
      <c r="CK813" s="367" t="s">
        <v>1248</v>
      </c>
      <c r="CL813" s="580"/>
    </row>
    <row r="814" spans="32:90" ht="20.100000000000001" customHeight="1">
      <c r="AF814" s="193"/>
      <c r="AG814" s="107" t="s">
        <v>865</v>
      </c>
      <c r="AH814" s="107">
        <f>INDEX('DEFAULT DATA'!$WD$9:$WJ$41,START!$C$3,4)</f>
        <v>382</v>
      </c>
      <c r="AI814" s="115">
        <f>INDEX('DEFAULT DATA'!$AGR$9:$AJS$41,START!$C$3,(5+(($C$137-1)*8)))/IF($C$137&lt;5,INDEX('DEFAULT DATA'!$XS$9:$XV$41,START!$C$3,$C$137),1)</f>
        <v>0</v>
      </c>
      <c r="AJ814" s="115"/>
      <c r="AK814" s="180">
        <v>0</v>
      </c>
      <c r="AL814" s="123">
        <f t="shared" ref="AL814:BN814" si="934">IF(AND(AL$809&gt;($I$137+2020),AL$809&lt;($J$137+2022)),AK814+($AH$814*$E$137*$AI$814/($J$137-$I$137+1)/1000000),AK814)</f>
        <v>0</v>
      </c>
      <c r="AM814" s="123">
        <f t="shared" si="934"/>
        <v>0</v>
      </c>
      <c r="AN814" s="123">
        <f t="shared" si="934"/>
        <v>0</v>
      </c>
      <c r="AO814" s="123">
        <f t="shared" si="934"/>
        <v>0</v>
      </c>
      <c r="AP814" s="123">
        <f t="shared" si="934"/>
        <v>0</v>
      </c>
      <c r="AQ814" s="123">
        <f t="shared" si="934"/>
        <v>0</v>
      </c>
      <c r="AR814" s="123">
        <f t="shared" si="934"/>
        <v>0</v>
      </c>
      <c r="AS814" s="123">
        <f t="shared" si="934"/>
        <v>0</v>
      </c>
      <c r="AT814" s="123">
        <f t="shared" si="934"/>
        <v>0</v>
      </c>
      <c r="AU814" s="123">
        <f t="shared" si="934"/>
        <v>0</v>
      </c>
      <c r="AV814" s="123">
        <f t="shared" si="934"/>
        <v>0</v>
      </c>
      <c r="AW814" s="123">
        <f t="shared" si="934"/>
        <v>0</v>
      </c>
      <c r="AX814" s="123">
        <f t="shared" si="934"/>
        <v>0</v>
      </c>
      <c r="AY814" s="123">
        <f t="shared" si="934"/>
        <v>0</v>
      </c>
      <c r="AZ814" s="123">
        <f t="shared" si="934"/>
        <v>0</v>
      </c>
      <c r="BA814" s="123">
        <f t="shared" si="934"/>
        <v>0</v>
      </c>
      <c r="BB814" s="123">
        <f t="shared" si="934"/>
        <v>0</v>
      </c>
      <c r="BC814" s="123">
        <f t="shared" si="934"/>
        <v>0</v>
      </c>
      <c r="BD814" s="123">
        <f t="shared" si="934"/>
        <v>0</v>
      </c>
      <c r="BE814" s="123">
        <f t="shared" si="934"/>
        <v>0</v>
      </c>
      <c r="BF814" s="123">
        <f t="shared" si="934"/>
        <v>0</v>
      </c>
      <c r="BG814" s="123">
        <f t="shared" si="934"/>
        <v>0</v>
      </c>
      <c r="BH814" s="123">
        <f t="shared" si="934"/>
        <v>0</v>
      </c>
      <c r="BI814" s="123">
        <f t="shared" si="934"/>
        <v>0</v>
      </c>
      <c r="BJ814" s="123">
        <f t="shared" si="934"/>
        <v>0</v>
      </c>
      <c r="BK814" s="123">
        <f t="shared" si="934"/>
        <v>0</v>
      </c>
      <c r="BL814" s="123">
        <f t="shared" si="934"/>
        <v>0</v>
      </c>
      <c r="BM814" s="123">
        <f t="shared" si="934"/>
        <v>0</v>
      </c>
      <c r="BN814" s="159">
        <f t="shared" si="934"/>
        <v>0</v>
      </c>
      <c r="BP814" s="367" t="s">
        <v>865</v>
      </c>
      <c r="BQ814" s="1536" t="str">
        <f t="shared" si="931"/>
        <v>GHG_Peata = GHG_Peata-1 + (E136 * BUI_COL (307 + ((C136 - 1) * 8) * BUI_COL4 / (J136-I136+1) / 1000000)</v>
      </c>
      <c r="BR814" s="1544"/>
      <c r="BS814" s="1544"/>
      <c r="BT814" s="1544"/>
      <c r="BU814" s="1544"/>
      <c r="BV814" s="1544"/>
      <c r="BW814" s="1544"/>
      <c r="BX814" s="1544"/>
      <c r="BY814" s="1544"/>
      <c r="BZ814" s="1544"/>
      <c r="CA814" s="1544"/>
      <c r="CB814" s="1544"/>
      <c r="CC814" s="1544"/>
      <c r="CD814" s="1544"/>
      <c r="CE814" s="1544"/>
      <c r="CF814" s="1544"/>
      <c r="CG814" s="1544"/>
      <c r="CH814" s="1537"/>
      <c r="CI814" s="578" t="s">
        <v>2248</v>
      </c>
      <c r="CJ814" s="367" t="s">
        <v>2228</v>
      </c>
      <c r="CK814" s="367" t="s">
        <v>1249</v>
      </c>
      <c r="CL814" s="580"/>
    </row>
    <row r="815" spans="32:90" ht="20.100000000000001" customHeight="1">
      <c r="AF815" s="193"/>
      <c r="AG815" s="107" t="s">
        <v>866</v>
      </c>
      <c r="AH815" s="107">
        <f>INDEX('DEFAULT DATA'!$WD$9:$WJ$41,START!$C$3,5)</f>
        <v>403</v>
      </c>
      <c r="AI815" s="115">
        <f>INDEX('DEFAULT DATA'!$AGR$9:$AJS$41,START!$C$3,(6+(($C$137-1)*8)))/IF($C$137&lt;5,INDEX('DEFAULT DATA'!$XS$9:$XV$41,START!$C$3,$C$137),1)</f>
        <v>0</v>
      </c>
      <c r="AJ815" s="115"/>
      <c r="AK815" s="180">
        <v>0</v>
      </c>
      <c r="AL815" s="123">
        <f t="shared" ref="AL815:BN815" si="935">IF(AND(AL$809&gt;($I$137+2020),AL$809&lt;($J$137+2022)),AK815+($AH$815*$E$137*$AI$815/($J$137-$I$137+1)/1000000),AK815)</f>
        <v>0</v>
      </c>
      <c r="AM815" s="123">
        <f t="shared" si="935"/>
        <v>0</v>
      </c>
      <c r="AN815" s="123">
        <f t="shared" si="935"/>
        <v>0</v>
      </c>
      <c r="AO815" s="123">
        <f t="shared" si="935"/>
        <v>0</v>
      </c>
      <c r="AP815" s="123">
        <f t="shared" si="935"/>
        <v>0</v>
      </c>
      <c r="AQ815" s="123">
        <f t="shared" si="935"/>
        <v>0</v>
      </c>
      <c r="AR815" s="123">
        <f t="shared" si="935"/>
        <v>0</v>
      </c>
      <c r="AS815" s="123">
        <f t="shared" si="935"/>
        <v>0</v>
      </c>
      <c r="AT815" s="123">
        <f t="shared" si="935"/>
        <v>0</v>
      </c>
      <c r="AU815" s="123">
        <f t="shared" si="935"/>
        <v>0</v>
      </c>
      <c r="AV815" s="123">
        <f t="shared" si="935"/>
        <v>0</v>
      </c>
      <c r="AW815" s="123">
        <f t="shared" si="935"/>
        <v>0</v>
      </c>
      <c r="AX815" s="123">
        <f t="shared" si="935"/>
        <v>0</v>
      </c>
      <c r="AY815" s="123">
        <f t="shared" si="935"/>
        <v>0</v>
      </c>
      <c r="AZ815" s="123">
        <f t="shared" si="935"/>
        <v>0</v>
      </c>
      <c r="BA815" s="123">
        <f t="shared" si="935"/>
        <v>0</v>
      </c>
      <c r="BB815" s="123">
        <f t="shared" si="935"/>
        <v>0</v>
      </c>
      <c r="BC815" s="123">
        <f t="shared" si="935"/>
        <v>0</v>
      </c>
      <c r="BD815" s="123">
        <f t="shared" si="935"/>
        <v>0</v>
      </c>
      <c r="BE815" s="123">
        <f t="shared" si="935"/>
        <v>0</v>
      </c>
      <c r="BF815" s="123">
        <f t="shared" si="935"/>
        <v>0</v>
      </c>
      <c r="BG815" s="123">
        <f t="shared" si="935"/>
        <v>0</v>
      </c>
      <c r="BH815" s="123">
        <f t="shared" si="935"/>
        <v>0</v>
      </c>
      <c r="BI815" s="123">
        <f t="shared" si="935"/>
        <v>0</v>
      </c>
      <c r="BJ815" s="123">
        <f t="shared" si="935"/>
        <v>0</v>
      </c>
      <c r="BK815" s="123">
        <f t="shared" si="935"/>
        <v>0</v>
      </c>
      <c r="BL815" s="123">
        <f t="shared" si="935"/>
        <v>0</v>
      </c>
      <c r="BM815" s="123">
        <f t="shared" si="935"/>
        <v>0</v>
      </c>
      <c r="BN815" s="159">
        <f t="shared" si="935"/>
        <v>0</v>
      </c>
      <c r="BP815" s="367" t="s">
        <v>866</v>
      </c>
      <c r="BQ815" s="1536" t="str">
        <f t="shared" si="931"/>
        <v>GHG_Wooda = GHG_Wooda-1 + (E136 * BUI_COL (307 + ((C136 - 1) * 8) * BUI_COL5 / (J136-I136+1) / 1000000)</v>
      </c>
      <c r="BR815" s="1544"/>
      <c r="BS815" s="1544"/>
      <c r="BT815" s="1544"/>
      <c r="BU815" s="1544"/>
      <c r="BV815" s="1544"/>
      <c r="BW815" s="1544"/>
      <c r="BX815" s="1544"/>
      <c r="BY815" s="1544"/>
      <c r="BZ815" s="1544"/>
      <c r="CA815" s="1544"/>
      <c r="CB815" s="1544"/>
      <c r="CC815" s="1544"/>
      <c r="CD815" s="1544"/>
      <c r="CE815" s="1544"/>
      <c r="CF815" s="1544"/>
      <c r="CG815" s="1544"/>
      <c r="CH815" s="1537"/>
      <c r="CI815" s="578" t="s">
        <v>2248</v>
      </c>
      <c r="CJ815" s="367" t="s">
        <v>2228</v>
      </c>
      <c r="CK815" s="367" t="s">
        <v>1250</v>
      </c>
      <c r="CL815" s="580"/>
    </row>
    <row r="816" spans="32:90" ht="20.100000000000001" customHeight="1">
      <c r="AF816" s="193"/>
      <c r="AG816" s="107" t="s">
        <v>867</v>
      </c>
      <c r="AH816" s="107">
        <f>INDEX('DEFAULT DATA'!$WD$9:$WJ$41,START!$C$3,6)</f>
        <v>0</v>
      </c>
      <c r="AI816" s="115">
        <f>INDEX('DEFAULT DATA'!$AGR$9:$AJS$41,START!$C$3,(7+(($C$137-1)*8)))/IF($C$137&lt;5,INDEX('DEFAULT DATA'!$XS$9:$XV$41,START!$C$3,$C$137),1)</f>
        <v>114.97725700487953</v>
      </c>
      <c r="AJ816" s="115"/>
      <c r="AK816" s="180">
        <v>0</v>
      </c>
      <c r="AL816" s="123">
        <f t="shared" ref="AL816:BN816" si="936">IF(AND(AL$809&gt;($I$137+2020),AL$809&lt;($J$137+2022)),AK816+($AH$816*$E$137*$AI$816/($J$137-$I$137+1)/1000000),AK816)</f>
        <v>0</v>
      </c>
      <c r="AM816" s="123">
        <f t="shared" si="936"/>
        <v>0</v>
      </c>
      <c r="AN816" s="123">
        <f t="shared" si="936"/>
        <v>0</v>
      </c>
      <c r="AO816" s="123">
        <f t="shared" si="936"/>
        <v>0</v>
      </c>
      <c r="AP816" s="123">
        <f t="shared" si="936"/>
        <v>0</v>
      </c>
      <c r="AQ816" s="123">
        <f t="shared" si="936"/>
        <v>0</v>
      </c>
      <c r="AR816" s="123">
        <f t="shared" si="936"/>
        <v>0</v>
      </c>
      <c r="AS816" s="123">
        <f t="shared" si="936"/>
        <v>0</v>
      </c>
      <c r="AT816" s="123">
        <f t="shared" si="936"/>
        <v>0</v>
      </c>
      <c r="AU816" s="123">
        <f t="shared" si="936"/>
        <v>0</v>
      </c>
      <c r="AV816" s="123">
        <f t="shared" si="936"/>
        <v>0</v>
      </c>
      <c r="AW816" s="123">
        <f t="shared" si="936"/>
        <v>0</v>
      </c>
      <c r="AX816" s="123">
        <f t="shared" si="936"/>
        <v>0</v>
      </c>
      <c r="AY816" s="123">
        <f t="shared" si="936"/>
        <v>0</v>
      </c>
      <c r="AZ816" s="123">
        <f t="shared" si="936"/>
        <v>0</v>
      </c>
      <c r="BA816" s="123">
        <f t="shared" si="936"/>
        <v>0</v>
      </c>
      <c r="BB816" s="123">
        <f t="shared" si="936"/>
        <v>0</v>
      </c>
      <c r="BC816" s="123">
        <f t="shared" si="936"/>
        <v>0</v>
      </c>
      <c r="BD816" s="123">
        <f t="shared" si="936"/>
        <v>0</v>
      </c>
      <c r="BE816" s="123">
        <f t="shared" si="936"/>
        <v>0</v>
      </c>
      <c r="BF816" s="123">
        <f t="shared" si="936"/>
        <v>0</v>
      </c>
      <c r="BG816" s="123">
        <f t="shared" si="936"/>
        <v>0</v>
      </c>
      <c r="BH816" s="123">
        <f t="shared" si="936"/>
        <v>0</v>
      </c>
      <c r="BI816" s="123">
        <f t="shared" si="936"/>
        <v>0</v>
      </c>
      <c r="BJ816" s="123">
        <f t="shared" si="936"/>
        <v>0</v>
      </c>
      <c r="BK816" s="123">
        <f t="shared" si="936"/>
        <v>0</v>
      </c>
      <c r="BL816" s="123">
        <f t="shared" si="936"/>
        <v>0</v>
      </c>
      <c r="BM816" s="123">
        <f t="shared" si="936"/>
        <v>0</v>
      </c>
      <c r="BN816" s="159">
        <f t="shared" si="936"/>
        <v>0</v>
      </c>
      <c r="BP816" s="367" t="s">
        <v>867</v>
      </c>
      <c r="BQ816" s="1536" t="str">
        <f t="shared" si="931"/>
        <v>GHG_Renewablea = GHG_Renewablea-1 + (E136 * BUI_COL (307 + ((C136 - 1) * 8) * BUI_COL6 / (J136-I136+1) / 1000000)</v>
      </c>
      <c r="BR816" s="1544"/>
      <c r="BS816" s="1544"/>
      <c r="BT816" s="1544"/>
      <c r="BU816" s="1544"/>
      <c r="BV816" s="1544"/>
      <c r="BW816" s="1544"/>
      <c r="BX816" s="1544"/>
      <c r="BY816" s="1544"/>
      <c r="BZ816" s="1544"/>
      <c r="CA816" s="1544"/>
      <c r="CB816" s="1544"/>
      <c r="CC816" s="1544"/>
      <c r="CD816" s="1544"/>
      <c r="CE816" s="1544"/>
      <c r="CF816" s="1544"/>
      <c r="CG816" s="1544"/>
      <c r="CH816" s="1537"/>
      <c r="CI816" s="578" t="s">
        <v>2248</v>
      </c>
      <c r="CJ816" s="367" t="s">
        <v>2228</v>
      </c>
      <c r="CK816" s="367" t="s">
        <v>1251</v>
      </c>
      <c r="CL816" s="580"/>
    </row>
    <row r="817" spans="32:90" ht="20.100000000000001" customHeight="1" thickBot="1">
      <c r="AF817" s="194"/>
      <c r="AG817" s="146" t="s">
        <v>868</v>
      </c>
      <c r="AH817" s="146" t="s">
        <v>1123</v>
      </c>
      <c r="AI817" s="170">
        <f>INDEX('DEFAULT DATA'!$AGR$9:$AJS$41,START!$C$3,(8+(($C$137-1)*8)))/IF($C$137&lt;5,INDEX('DEFAULT DATA'!$XS$9:$XV$41,START!$C$3,$C$137),1)</f>
        <v>28.744314251219883</v>
      </c>
      <c r="AJ817" s="170"/>
      <c r="AK817" s="183">
        <v>0</v>
      </c>
      <c r="AL817" s="160">
        <f t="shared" ref="AL817:BN817" si="937">IF(AND(AL$809&gt;($I$137+2020),AL$809&lt;($J$137+2022)),AK817+(AL$6*$E$137*$AI$817/($J$137-$I$137+1)/1000000),AK817)</f>
        <v>0</v>
      </c>
      <c r="AM817" s="160">
        <f t="shared" si="937"/>
        <v>0</v>
      </c>
      <c r="AN817" s="160">
        <f t="shared" si="937"/>
        <v>0</v>
      </c>
      <c r="AO817" s="160">
        <f t="shared" si="937"/>
        <v>0</v>
      </c>
      <c r="AP817" s="160">
        <f t="shared" si="937"/>
        <v>0</v>
      </c>
      <c r="AQ817" s="160">
        <f t="shared" si="937"/>
        <v>0</v>
      </c>
      <c r="AR817" s="160">
        <f t="shared" si="937"/>
        <v>0</v>
      </c>
      <c r="AS817" s="160">
        <f t="shared" si="937"/>
        <v>0</v>
      </c>
      <c r="AT817" s="160">
        <f t="shared" si="937"/>
        <v>0</v>
      </c>
      <c r="AU817" s="160">
        <f t="shared" si="937"/>
        <v>0</v>
      </c>
      <c r="AV817" s="160">
        <f t="shared" si="937"/>
        <v>0</v>
      </c>
      <c r="AW817" s="160">
        <f t="shared" si="937"/>
        <v>0</v>
      </c>
      <c r="AX817" s="160">
        <f t="shared" si="937"/>
        <v>0</v>
      </c>
      <c r="AY817" s="160">
        <f t="shared" si="937"/>
        <v>0</v>
      </c>
      <c r="AZ817" s="160">
        <f t="shared" si="937"/>
        <v>0</v>
      </c>
      <c r="BA817" s="160">
        <f t="shared" si="937"/>
        <v>0</v>
      </c>
      <c r="BB817" s="160">
        <f t="shared" si="937"/>
        <v>0</v>
      </c>
      <c r="BC817" s="160">
        <f t="shared" si="937"/>
        <v>0</v>
      </c>
      <c r="BD817" s="160">
        <f t="shared" si="937"/>
        <v>0</v>
      </c>
      <c r="BE817" s="160">
        <f t="shared" si="937"/>
        <v>0</v>
      </c>
      <c r="BF817" s="160">
        <f t="shared" si="937"/>
        <v>0</v>
      </c>
      <c r="BG817" s="160">
        <f t="shared" si="937"/>
        <v>0</v>
      </c>
      <c r="BH817" s="160">
        <f t="shared" si="937"/>
        <v>0</v>
      </c>
      <c r="BI817" s="160">
        <f t="shared" si="937"/>
        <v>0</v>
      </c>
      <c r="BJ817" s="160">
        <f t="shared" si="937"/>
        <v>0</v>
      </c>
      <c r="BK817" s="160">
        <f t="shared" si="937"/>
        <v>0</v>
      </c>
      <c r="BL817" s="160">
        <f t="shared" si="937"/>
        <v>0</v>
      </c>
      <c r="BM817" s="160">
        <f t="shared" si="937"/>
        <v>0</v>
      </c>
      <c r="BN817" s="161">
        <f t="shared" si="937"/>
        <v>0</v>
      </c>
      <c r="BP817" s="367" t="s">
        <v>868</v>
      </c>
      <c r="BQ817" s="1536" t="str">
        <f>CONCATENATE("GHG_",BP817,"a = GHG_",BP817,"a-1 + (E136 * ",CI817," * ",CK817," / (",CJ817,") / 1000000)")</f>
        <v>GHG_Heata = GHG_Heata-1 + (E136 * BUI_COL (307 + ((C136 - 1) * 8) * DISTRICT_HEATING_emission_factora (from row 5) / (J136-I136+1) / 1000000)</v>
      </c>
      <c r="BR817" s="1544"/>
      <c r="BS817" s="1544"/>
      <c r="BT817" s="1544"/>
      <c r="BU817" s="1544"/>
      <c r="BV817" s="1544"/>
      <c r="BW817" s="1544"/>
      <c r="BX817" s="1544"/>
      <c r="BY817" s="1544"/>
      <c r="BZ817" s="1544"/>
      <c r="CA817" s="1544"/>
      <c r="CB817" s="1544"/>
      <c r="CC817" s="1544"/>
      <c r="CD817" s="1544"/>
      <c r="CE817" s="1544"/>
      <c r="CF817" s="1544"/>
      <c r="CG817" s="1544"/>
      <c r="CH817" s="1537"/>
      <c r="CI817" s="578" t="s">
        <v>2248</v>
      </c>
      <c r="CJ817" s="367" t="s">
        <v>2228</v>
      </c>
      <c r="CK817" s="367" t="s">
        <v>2222</v>
      </c>
      <c r="CL817" s="580"/>
    </row>
    <row r="818" spans="32:90" ht="20.100000000000001" customHeight="1">
      <c r="AF818" s="167"/>
      <c r="AG818" s="144" t="s">
        <v>211</v>
      </c>
      <c r="AH818" s="145"/>
      <c r="AI818" s="198"/>
      <c r="AJ818" s="145"/>
      <c r="AK818" s="179">
        <v>0</v>
      </c>
      <c r="AL818" s="162">
        <f>SUM(AL810:AL817)</f>
        <v>0</v>
      </c>
      <c r="AM818" s="162">
        <f t="shared" ref="AM818:BN818" si="938">SUM(AM810:AM817)</f>
        <v>0</v>
      </c>
      <c r="AN818" s="162">
        <f t="shared" si="938"/>
        <v>0</v>
      </c>
      <c r="AO818" s="162">
        <f t="shared" si="938"/>
        <v>0</v>
      </c>
      <c r="AP818" s="162">
        <f t="shared" si="938"/>
        <v>0</v>
      </c>
      <c r="AQ818" s="162">
        <f t="shared" si="938"/>
        <v>0</v>
      </c>
      <c r="AR818" s="162">
        <f t="shared" si="938"/>
        <v>0</v>
      </c>
      <c r="AS818" s="162">
        <f t="shared" si="938"/>
        <v>0</v>
      </c>
      <c r="AT818" s="162">
        <f t="shared" si="938"/>
        <v>0</v>
      </c>
      <c r="AU818" s="162">
        <f t="shared" si="938"/>
        <v>0</v>
      </c>
      <c r="AV818" s="162">
        <f t="shared" si="938"/>
        <v>0</v>
      </c>
      <c r="AW818" s="162">
        <f t="shared" si="938"/>
        <v>0</v>
      </c>
      <c r="AX818" s="162">
        <f t="shared" si="938"/>
        <v>0</v>
      </c>
      <c r="AY818" s="162">
        <f t="shared" si="938"/>
        <v>0</v>
      </c>
      <c r="AZ818" s="162">
        <f t="shared" si="938"/>
        <v>0</v>
      </c>
      <c r="BA818" s="162">
        <f t="shared" si="938"/>
        <v>0</v>
      </c>
      <c r="BB818" s="162">
        <f t="shared" si="938"/>
        <v>0</v>
      </c>
      <c r="BC818" s="162">
        <f t="shared" si="938"/>
        <v>0</v>
      </c>
      <c r="BD818" s="162">
        <f t="shared" si="938"/>
        <v>0</v>
      </c>
      <c r="BE818" s="162">
        <f t="shared" si="938"/>
        <v>0</v>
      </c>
      <c r="BF818" s="162">
        <f t="shared" si="938"/>
        <v>0</v>
      </c>
      <c r="BG818" s="162">
        <f t="shared" si="938"/>
        <v>0</v>
      </c>
      <c r="BH818" s="162">
        <f t="shared" si="938"/>
        <v>0</v>
      </c>
      <c r="BI818" s="162">
        <f t="shared" si="938"/>
        <v>0</v>
      </c>
      <c r="BJ818" s="162">
        <f t="shared" si="938"/>
        <v>0</v>
      </c>
      <c r="BK818" s="162">
        <f t="shared" si="938"/>
        <v>0</v>
      </c>
      <c r="BL818" s="162">
        <f t="shared" si="938"/>
        <v>0</v>
      </c>
      <c r="BM818" s="162">
        <f t="shared" si="938"/>
        <v>0</v>
      </c>
      <c r="BN818" s="162">
        <f t="shared" si="938"/>
        <v>0</v>
      </c>
    </row>
    <row r="819" spans="32:90" ht="20.100000000000001" customHeight="1">
      <c r="AI819" s="199"/>
    </row>
    <row r="820" spans="32:90" ht="20.100000000000001" customHeight="1" thickBot="1">
      <c r="AF820" s="168" t="s">
        <v>1141</v>
      </c>
      <c r="AG820" s="168"/>
      <c r="AH820" s="169" t="s">
        <v>620</v>
      </c>
      <c r="AI820" s="1542" t="s">
        <v>2169</v>
      </c>
      <c r="AJ820" s="1543"/>
      <c r="AK820" s="181">
        <v>2021</v>
      </c>
      <c r="AL820" s="135">
        <v>2022</v>
      </c>
      <c r="AM820" s="135">
        <v>2023</v>
      </c>
      <c r="AN820" s="135">
        <v>2024</v>
      </c>
      <c r="AO820" s="135">
        <v>2025</v>
      </c>
      <c r="AP820" s="135">
        <v>2026</v>
      </c>
      <c r="AQ820" s="135">
        <v>2027</v>
      </c>
      <c r="AR820" s="135">
        <v>2028</v>
      </c>
      <c r="AS820" s="135">
        <v>2029</v>
      </c>
      <c r="AT820" s="135">
        <v>2030</v>
      </c>
      <c r="AU820" s="135">
        <v>2031</v>
      </c>
      <c r="AV820" s="135">
        <v>2032</v>
      </c>
      <c r="AW820" s="135">
        <v>2033</v>
      </c>
      <c r="AX820" s="135">
        <v>2034</v>
      </c>
      <c r="AY820" s="135">
        <v>2035</v>
      </c>
      <c r="AZ820" s="135">
        <v>2036</v>
      </c>
      <c r="BA820" s="135">
        <v>2037</v>
      </c>
      <c r="BB820" s="135">
        <v>2038</v>
      </c>
      <c r="BC820" s="135">
        <v>2039</v>
      </c>
      <c r="BD820" s="135">
        <v>2040</v>
      </c>
      <c r="BE820" s="135">
        <v>2041</v>
      </c>
      <c r="BF820" s="135">
        <v>2042</v>
      </c>
      <c r="BG820" s="135">
        <v>2043</v>
      </c>
      <c r="BH820" s="135">
        <v>2044</v>
      </c>
      <c r="BI820" s="135">
        <v>2045</v>
      </c>
      <c r="BJ820" s="135">
        <v>2046</v>
      </c>
      <c r="BK820" s="135">
        <v>2047</v>
      </c>
      <c r="BL820" s="135">
        <v>2048</v>
      </c>
      <c r="BM820" s="135">
        <v>2049</v>
      </c>
      <c r="BN820" s="135">
        <v>2050</v>
      </c>
      <c r="BQ820" s="82" t="s">
        <v>2242</v>
      </c>
      <c r="BR820" s="250"/>
      <c r="BS820" s="250"/>
      <c r="BT820" s="250"/>
      <c r="BU820" s="250"/>
      <c r="BV820" s="250"/>
      <c r="BW820" s="250"/>
      <c r="BX820" s="250"/>
      <c r="BY820" s="250"/>
      <c r="BZ820" s="250"/>
      <c r="CA820" s="250"/>
      <c r="CB820" s="250"/>
      <c r="CC820" s="250"/>
      <c r="CD820" s="250"/>
      <c r="CE820" s="250"/>
      <c r="CF820" s="250"/>
      <c r="CG820" s="250"/>
      <c r="CH820" s="250"/>
      <c r="CI820" s="605" t="s">
        <v>1393</v>
      </c>
      <c r="CJ820" s="130" t="s">
        <v>2172</v>
      </c>
      <c r="CK820" s="606" t="s">
        <v>1224</v>
      </c>
    </row>
    <row r="821" spans="32:90" ht="20.100000000000001" customHeight="1">
      <c r="AF821" s="192" t="str">
        <f>CONCATENATE("conversion to ",INDEX('MENU OPTIONS'!$B$27:$B$36,$C$139,1))</f>
        <v>conversion to Retail</v>
      </c>
      <c r="AG821" s="137" t="s">
        <v>578</v>
      </c>
      <c r="AH821" s="137" t="s">
        <v>1122</v>
      </c>
      <c r="AI821" s="165">
        <f>INDEX('DEFAULT DATA'!$AGR$9:$AJS$41,START!$C$3,(1+(($C$138-1)*8)))/IF($C$138&lt;5,INDEX('DEFAULT DATA'!$XS$9:$XV$41,START!$C$3,$C$138),1)</f>
        <v>40.242039951707831</v>
      </c>
      <c r="AJ821" s="165"/>
      <c r="AK821" s="178">
        <v>0</v>
      </c>
      <c r="AL821" s="157">
        <f t="shared" ref="AL821:BN821" si="939">IF(AND(AL$820&gt;($I$138+2020),AL$820&lt;($J$138+2022)),AK821+(AL$5*$E$138*$AI$821/($J$138-$I$138+1)/1000000),AK821)</f>
        <v>0</v>
      </c>
      <c r="AM821" s="157">
        <f t="shared" si="939"/>
        <v>0</v>
      </c>
      <c r="AN821" s="157">
        <f t="shared" si="939"/>
        <v>0</v>
      </c>
      <c r="AO821" s="157">
        <f t="shared" si="939"/>
        <v>0</v>
      </c>
      <c r="AP821" s="157">
        <f t="shared" si="939"/>
        <v>0</v>
      </c>
      <c r="AQ821" s="157">
        <f t="shared" si="939"/>
        <v>0</v>
      </c>
      <c r="AR821" s="157">
        <f t="shared" si="939"/>
        <v>0</v>
      </c>
      <c r="AS821" s="157">
        <f t="shared" si="939"/>
        <v>0</v>
      </c>
      <c r="AT821" s="157">
        <f t="shared" si="939"/>
        <v>0</v>
      </c>
      <c r="AU821" s="157">
        <f t="shared" si="939"/>
        <v>0</v>
      </c>
      <c r="AV821" s="157">
        <f t="shared" si="939"/>
        <v>0</v>
      </c>
      <c r="AW821" s="157">
        <f t="shared" si="939"/>
        <v>0</v>
      </c>
      <c r="AX821" s="157">
        <f t="shared" si="939"/>
        <v>0</v>
      </c>
      <c r="AY821" s="157">
        <f t="shared" si="939"/>
        <v>0</v>
      </c>
      <c r="AZ821" s="157">
        <f t="shared" si="939"/>
        <v>0</v>
      </c>
      <c r="BA821" s="157">
        <f t="shared" si="939"/>
        <v>0</v>
      </c>
      <c r="BB821" s="157">
        <f t="shared" si="939"/>
        <v>0</v>
      </c>
      <c r="BC821" s="157">
        <f t="shared" si="939"/>
        <v>0</v>
      </c>
      <c r="BD821" s="157">
        <f t="shared" si="939"/>
        <v>0</v>
      </c>
      <c r="BE821" s="157">
        <f t="shared" si="939"/>
        <v>0</v>
      </c>
      <c r="BF821" s="157">
        <f t="shared" si="939"/>
        <v>0</v>
      </c>
      <c r="BG821" s="157">
        <f t="shared" si="939"/>
        <v>0</v>
      </c>
      <c r="BH821" s="157">
        <f t="shared" si="939"/>
        <v>0</v>
      </c>
      <c r="BI821" s="157">
        <f t="shared" si="939"/>
        <v>0</v>
      </c>
      <c r="BJ821" s="157">
        <f t="shared" si="939"/>
        <v>0</v>
      </c>
      <c r="BK821" s="157">
        <f t="shared" si="939"/>
        <v>0</v>
      </c>
      <c r="BL821" s="157">
        <f t="shared" si="939"/>
        <v>0</v>
      </c>
      <c r="BM821" s="157">
        <f t="shared" si="939"/>
        <v>0</v>
      </c>
      <c r="BN821" s="158">
        <f t="shared" si="939"/>
        <v>0</v>
      </c>
      <c r="BP821" s="367" t="s">
        <v>578</v>
      </c>
      <c r="BQ821" s="1536" t="str">
        <f>CONCATENATE("GHG_",BP821,"a = GHG_",BP821,"a-1 + (E137 * ",CI821," * ",CK821," / (",CJ821,") / 1000000)")</f>
        <v>GHG_Electricitya = GHG_Electricitya-1 + (E137 * BUI_COL (307 + ((C137 - 1) * 8) * GRID_ELECTRICITY_emission_factora (from row4) / (J137-I137+1) / 1000000)</v>
      </c>
      <c r="BR821" s="1544"/>
      <c r="BS821" s="1544"/>
      <c r="BT821" s="1544"/>
      <c r="BU821" s="1544"/>
      <c r="BV821" s="1544"/>
      <c r="BW821" s="1544"/>
      <c r="BX821" s="1544"/>
      <c r="BY821" s="1544"/>
      <c r="BZ821" s="1544"/>
      <c r="CA821" s="1544"/>
      <c r="CB821" s="1544"/>
      <c r="CC821" s="1544"/>
      <c r="CD821" s="1544"/>
      <c r="CE821" s="1544"/>
      <c r="CF821" s="1544"/>
      <c r="CG821" s="1544"/>
      <c r="CH821" s="1537"/>
      <c r="CI821" s="578" t="s">
        <v>2249</v>
      </c>
      <c r="CJ821" s="367" t="s">
        <v>2230</v>
      </c>
      <c r="CK821" s="367" t="s">
        <v>2221</v>
      </c>
      <c r="CL821" s="580"/>
    </row>
    <row r="822" spans="32:90" ht="20.100000000000001" customHeight="1">
      <c r="AF822" s="193"/>
      <c r="AG822" s="107" t="s">
        <v>862</v>
      </c>
      <c r="AH822" s="107">
        <f>INDEX('DEFAULT DATA'!$WD$9:$WJ$41,START!$C$3,1)</f>
        <v>202</v>
      </c>
      <c r="AI822" s="115">
        <f>INDEX('DEFAULT DATA'!$AGR$9:$AJS$41,START!$C$3,(2+(($C$138-1)*8)))/IF($C$138&lt;5,INDEX('DEFAULT DATA'!$XS$9:$XV$41,START!$C$3,$C$138),1)</f>
        <v>91.981805603903624</v>
      </c>
      <c r="AJ822" s="115"/>
      <c r="AK822" s="180">
        <v>0</v>
      </c>
      <c r="AL822" s="123">
        <f t="shared" ref="AL822:BN822" si="940">IF(AND(AL$820&gt;($I$138+2020),AL$820&lt;($J$138+2022)),AK822+($AH$822*$E$138*$AI$822/($J$138-$I$138+1)/1000000),AK822)</f>
        <v>0</v>
      </c>
      <c r="AM822" s="123">
        <f t="shared" si="940"/>
        <v>0</v>
      </c>
      <c r="AN822" s="123">
        <f t="shared" si="940"/>
        <v>0</v>
      </c>
      <c r="AO822" s="123">
        <f t="shared" si="940"/>
        <v>0</v>
      </c>
      <c r="AP822" s="123">
        <f t="shared" si="940"/>
        <v>0</v>
      </c>
      <c r="AQ822" s="123">
        <f t="shared" si="940"/>
        <v>0</v>
      </c>
      <c r="AR822" s="123">
        <f t="shared" si="940"/>
        <v>0</v>
      </c>
      <c r="AS822" s="123">
        <f t="shared" si="940"/>
        <v>0</v>
      </c>
      <c r="AT822" s="123">
        <f t="shared" si="940"/>
        <v>0</v>
      </c>
      <c r="AU822" s="123">
        <f t="shared" si="940"/>
        <v>0</v>
      </c>
      <c r="AV822" s="123">
        <f t="shared" si="940"/>
        <v>0</v>
      </c>
      <c r="AW822" s="123">
        <f t="shared" si="940"/>
        <v>0</v>
      </c>
      <c r="AX822" s="123">
        <f t="shared" si="940"/>
        <v>0</v>
      </c>
      <c r="AY822" s="123">
        <f t="shared" si="940"/>
        <v>0</v>
      </c>
      <c r="AZ822" s="123">
        <f t="shared" si="940"/>
        <v>0</v>
      </c>
      <c r="BA822" s="123">
        <f t="shared" si="940"/>
        <v>0</v>
      </c>
      <c r="BB822" s="123">
        <f t="shared" si="940"/>
        <v>0</v>
      </c>
      <c r="BC822" s="123">
        <f t="shared" si="940"/>
        <v>0</v>
      </c>
      <c r="BD822" s="123">
        <f t="shared" si="940"/>
        <v>0</v>
      </c>
      <c r="BE822" s="123">
        <f t="shared" si="940"/>
        <v>0</v>
      </c>
      <c r="BF822" s="123">
        <f t="shared" si="940"/>
        <v>0</v>
      </c>
      <c r="BG822" s="123">
        <f t="shared" si="940"/>
        <v>0</v>
      </c>
      <c r="BH822" s="123">
        <f t="shared" si="940"/>
        <v>0</v>
      </c>
      <c r="BI822" s="123">
        <f t="shared" si="940"/>
        <v>0</v>
      </c>
      <c r="BJ822" s="123">
        <f t="shared" si="940"/>
        <v>0</v>
      </c>
      <c r="BK822" s="123">
        <f t="shared" si="940"/>
        <v>0</v>
      </c>
      <c r="BL822" s="123">
        <f t="shared" si="940"/>
        <v>0</v>
      </c>
      <c r="BM822" s="123">
        <f t="shared" si="940"/>
        <v>0</v>
      </c>
      <c r="BN822" s="159">
        <f t="shared" si="940"/>
        <v>0</v>
      </c>
      <c r="BP822" s="367" t="s">
        <v>862</v>
      </c>
      <c r="BQ822" s="1536" t="str">
        <f t="shared" ref="BQ822:BQ828" si="941">CONCATENATE("GHG_",BP822,"a = GHG_",BP822,"a-1 + (E137 * ",CI822," * ",CK822," / (",CJ822,") / 1000000)")</f>
        <v>GHG_Gasa = GHG_Gasa-1 + (E137 * BUI_COL (307 + ((C137 - 1) * 8) * BUI_COL1 / (J137-I137+1) / 1000000)</v>
      </c>
      <c r="BR822" s="1544"/>
      <c r="BS822" s="1544"/>
      <c r="BT822" s="1544"/>
      <c r="BU822" s="1544"/>
      <c r="BV822" s="1544"/>
      <c r="BW822" s="1544"/>
      <c r="BX822" s="1544"/>
      <c r="BY822" s="1544"/>
      <c r="BZ822" s="1544"/>
      <c r="CA822" s="1544"/>
      <c r="CB822" s="1544"/>
      <c r="CC822" s="1544"/>
      <c r="CD822" s="1544"/>
      <c r="CE822" s="1544"/>
      <c r="CF822" s="1544"/>
      <c r="CG822" s="1544"/>
      <c r="CH822" s="1537"/>
      <c r="CI822" s="578" t="s">
        <v>2249</v>
      </c>
      <c r="CJ822" s="367" t="s">
        <v>2230</v>
      </c>
      <c r="CK822" s="367" t="s">
        <v>886</v>
      </c>
      <c r="CL822" s="580"/>
    </row>
    <row r="823" spans="32:90" ht="20.100000000000001" customHeight="1">
      <c r="AF823" s="193"/>
      <c r="AG823" s="107" t="s">
        <v>863</v>
      </c>
      <c r="AH823" s="107">
        <f>INDEX('DEFAULT DATA'!$WD$9:$WJ$41,START!$C$3,2)</f>
        <v>267</v>
      </c>
      <c r="AI823" s="115">
        <f>INDEX('DEFAULT DATA'!$AGR$9:$AJS$41,START!$C$3,(3+(($C$138-1)*8)))/IF($C$138&lt;5,INDEX('DEFAULT DATA'!$XS$9:$XV$41,START!$C$3,$C$138),1)</f>
        <v>11.497725700487953</v>
      </c>
      <c r="AJ823" s="115"/>
      <c r="AK823" s="180">
        <v>0</v>
      </c>
      <c r="AL823" s="123">
        <f t="shared" ref="AL823:BN823" si="942">IF(AND(AL$820&gt;($I$138+2020),AL$820&lt;($J$138+2022)),AK823+($AH$823*$E$138*$AI$823/($J$138-$I$138+1)/1000000),AK823)</f>
        <v>0</v>
      </c>
      <c r="AM823" s="123">
        <f t="shared" si="942"/>
        <v>0</v>
      </c>
      <c r="AN823" s="123">
        <f t="shared" si="942"/>
        <v>0</v>
      </c>
      <c r="AO823" s="123">
        <f t="shared" si="942"/>
        <v>0</v>
      </c>
      <c r="AP823" s="123">
        <f t="shared" si="942"/>
        <v>0</v>
      </c>
      <c r="AQ823" s="123">
        <f t="shared" si="942"/>
        <v>0</v>
      </c>
      <c r="AR823" s="123">
        <f t="shared" si="942"/>
        <v>0</v>
      </c>
      <c r="AS823" s="123">
        <f t="shared" si="942"/>
        <v>0</v>
      </c>
      <c r="AT823" s="123">
        <f t="shared" si="942"/>
        <v>0</v>
      </c>
      <c r="AU823" s="123">
        <f t="shared" si="942"/>
        <v>0</v>
      </c>
      <c r="AV823" s="123">
        <f t="shared" si="942"/>
        <v>0</v>
      </c>
      <c r="AW823" s="123">
        <f t="shared" si="942"/>
        <v>0</v>
      </c>
      <c r="AX823" s="123">
        <f t="shared" si="942"/>
        <v>0</v>
      </c>
      <c r="AY823" s="123">
        <f t="shared" si="942"/>
        <v>0</v>
      </c>
      <c r="AZ823" s="123">
        <f t="shared" si="942"/>
        <v>0</v>
      </c>
      <c r="BA823" s="123">
        <f t="shared" si="942"/>
        <v>0</v>
      </c>
      <c r="BB823" s="123">
        <f t="shared" si="942"/>
        <v>0</v>
      </c>
      <c r="BC823" s="123">
        <f t="shared" si="942"/>
        <v>0</v>
      </c>
      <c r="BD823" s="123">
        <f t="shared" si="942"/>
        <v>0</v>
      </c>
      <c r="BE823" s="123">
        <f t="shared" si="942"/>
        <v>0</v>
      </c>
      <c r="BF823" s="123">
        <f t="shared" si="942"/>
        <v>0</v>
      </c>
      <c r="BG823" s="123">
        <f t="shared" si="942"/>
        <v>0</v>
      </c>
      <c r="BH823" s="123">
        <f t="shared" si="942"/>
        <v>0</v>
      </c>
      <c r="BI823" s="123">
        <f t="shared" si="942"/>
        <v>0</v>
      </c>
      <c r="BJ823" s="123">
        <f t="shared" si="942"/>
        <v>0</v>
      </c>
      <c r="BK823" s="123">
        <f t="shared" si="942"/>
        <v>0</v>
      </c>
      <c r="BL823" s="123">
        <f t="shared" si="942"/>
        <v>0</v>
      </c>
      <c r="BM823" s="123">
        <f t="shared" si="942"/>
        <v>0</v>
      </c>
      <c r="BN823" s="159">
        <f t="shared" si="942"/>
        <v>0</v>
      </c>
      <c r="BP823" s="367" t="s">
        <v>863</v>
      </c>
      <c r="BQ823" s="1536" t="str">
        <f t="shared" si="941"/>
        <v>GHG_Oila = GHG_Oila-1 + (E137 * BUI_COL (307 + ((C137 - 1) * 8) * BUI_COL2 / (J137-I137+1) / 1000000)</v>
      </c>
      <c r="BR823" s="1544"/>
      <c r="BS823" s="1544"/>
      <c r="BT823" s="1544"/>
      <c r="BU823" s="1544"/>
      <c r="BV823" s="1544"/>
      <c r="BW823" s="1544"/>
      <c r="BX823" s="1544"/>
      <c r="BY823" s="1544"/>
      <c r="BZ823" s="1544"/>
      <c r="CA823" s="1544"/>
      <c r="CB823" s="1544"/>
      <c r="CC823" s="1544"/>
      <c r="CD823" s="1544"/>
      <c r="CE823" s="1544"/>
      <c r="CF823" s="1544"/>
      <c r="CG823" s="1544"/>
      <c r="CH823" s="1537"/>
      <c r="CI823" s="578" t="s">
        <v>2249</v>
      </c>
      <c r="CJ823" s="367" t="s">
        <v>2230</v>
      </c>
      <c r="CK823" s="367" t="s">
        <v>1247</v>
      </c>
      <c r="CL823" s="580"/>
    </row>
    <row r="824" spans="32:90" ht="20.100000000000001" customHeight="1">
      <c r="AF824" s="193"/>
      <c r="AG824" s="107" t="s">
        <v>864</v>
      </c>
      <c r="AH824" s="107">
        <f>INDEX('DEFAULT DATA'!$WD$9:$WJ$41,START!$C$3,3)</f>
        <v>354</v>
      </c>
      <c r="AI824" s="115">
        <f>INDEX('DEFAULT DATA'!$AGR$9:$AJS$41,START!$C$3,(4+(($C$138-1)*8)))/IF($C$138&lt;5,INDEX('DEFAULT DATA'!$XS$9:$XV$41,START!$C$3,$C$138),1)</f>
        <v>0</v>
      </c>
      <c r="AJ824" s="115"/>
      <c r="AK824" s="180">
        <v>0</v>
      </c>
      <c r="AL824" s="123">
        <f t="shared" ref="AL824:BN824" si="943">IF(AND(AL$820&gt;($I$138+2020),AL$820&lt;($J$138+2022)),AK824+($AH$824*$E$138*$AI$824/($J$138-$I$138+1)/1000000),AK824)</f>
        <v>0</v>
      </c>
      <c r="AM824" s="123">
        <f t="shared" si="943"/>
        <v>0</v>
      </c>
      <c r="AN824" s="123">
        <f t="shared" si="943"/>
        <v>0</v>
      </c>
      <c r="AO824" s="123">
        <f t="shared" si="943"/>
        <v>0</v>
      </c>
      <c r="AP824" s="123">
        <f t="shared" si="943"/>
        <v>0</v>
      </c>
      <c r="AQ824" s="123">
        <f t="shared" si="943"/>
        <v>0</v>
      </c>
      <c r="AR824" s="123">
        <f t="shared" si="943"/>
        <v>0</v>
      </c>
      <c r="AS824" s="123">
        <f t="shared" si="943"/>
        <v>0</v>
      </c>
      <c r="AT824" s="123">
        <f t="shared" si="943"/>
        <v>0</v>
      </c>
      <c r="AU824" s="123">
        <f t="shared" si="943"/>
        <v>0</v>
      </c>
      <c r="AV824" s="123">
        <f t="shared" si="943"/>
        <v>0</v>
      </c>
      <c r="AW824" s="123">
        <f t="shared" si="943"/>
        <v>0</v>
      </c>
      <c r="AX824" s="123">
        <f t="shared" si="943"/>
        <v>0</v>
      </c>
      <c r="AY824" s="123">
        <f t="shared" si="943"/>
        <v>0</v>
      </c>
      <c r="AZ824" s="123">
        <f t="shared" si="943"/>
        <v>0</v>
      </c>
      <c r="BA824" s="123">
        <f t="shared" si="943"/>
        <v>0</v>
      </c>
      <c r="BB824" s="123">
        <f t="shared" si="943"/>
        <v>0</v>
      </c>
      <c r="BC824" s="123">
        <f t="shared" si="943"/>
        <v>0</v>
      </c>
      <c r="BD824" s="123">
        <f t="shared" si="943"/>
        <v>0</v>
      </c>
      <c r="BE824" s="123">
        <f t="shared" si="943"/>
        <v>0</v>
      </c>
      <c r="BF824" s="123">
        <f t="shared" si="943"/>
        <v>0</v>
      </c>
      <c r="BG824" s="123">
        <f t="shared" si="943"/>
        <v>0</v>
      </c>
      <c r="BH824" s="123">
        <f t="shared" si="943"/>
        <v>0</v>
      </c>
      <c r="BI824" s="123">
        <f t="shared" si="943"/>
        <v>0</v>
      </c>
      <c r="BJ824" s="123">
        <f t="shared" si="943"/>
        <v>0</v>
      </c>
      <c r="BK824" s="123">
        <f t="shared" si="943"/>
        <v>0</v>
      </c>
      <c r="BL824" s="123">
        <f t="shared" si="943"/>
        <v>0</v>
      </c>
      <c r="BM824" s="123">
        <f t="shared" si="943"/>
        <v>0</v>
      </c>
      <c r="BN824" s="159">
        <f t="shared" si="943"/>
        <v>0</v>
      </c>
      <c r="BP824" s="367" t="s">
        <v>864</v>
      </c>
      <c r="BQ824" s="1536" t="str">
        <f t="shared" si="941"/>
        <v>GHG_Coala = GHG_Coala-1 + (E137 * BUI_COL (307 + ((C137 - 1) * 8) * BUI_COL3 / (J137-I137+1) / 1000000)</v>
      </c>
      <c r="BR824" s="1544"/>
      <c r="BS824" s="1544"/>
      <c r="BT824" s="1544"/>
      <c r="BU824" s="1544"/>
      <c r="BV824" s="1544"/>
      <c r="BW824" s="1544"/>
      <c r="BX824" s="1544"/>
      <c r="BY824" s="1544"/>
      <c r="BZ824" s="1544"/>
      <c r="CA824" s="1544"/>
      <c r="CB824" s="1544"/>
      <c r="CC824" s="1544"/>
      <c r="CD824" s="1544"/>
      <c r="CE824" s="1544"/>
      <c r="CF824" s="1544"/>
      <c r="CG824" s="1544"/>
      <c r="CH824" s="1537"/>
      <c r="CI824" s="578" t="s">
        <v>2249</v>
      </c>
      <c r="CJ824" s="367" t="s">
        <v>2230</v>
      </c>
      <c r="CK824" s="367" t="s">
        <v>1248</v>
      </c>
      <c r="CL824" s="580"/>
    </row>
    <row r="825" spans="32:90" ht="20.100000000000001" customHeight="1">
      <c r="AF825" s="193"/>
      <c r="AG825" s="107" t="s">
        <v>865</v>
      </c>
      <c r="AH825" s="107">
        <f>INDEX('DEFAULT DATA'!$WD$9:$WJ$41,START!$C$3,4)</f>
        <v>382</v>
      </c>
      <c r="AI825" s="115">
        <f>INDEX('DEFAULT DATA'!$AGR$9:$AJS$41,START!$C$3,(5+(($C$138-1)*8)))/IF($C$138&lt;5,INDEX('DEFAULT DATA'!$XS$9:$XV$41,START!$C$3,$C$138),1)</f>
        <v>0</v>
      </c>
      <c r="AJ825" s="115"/>
      <c r="AK825" s="180">
        <v>0</v>
      </c>
      <c r="AL825" s="123">
        <f t="shared" ref="AL825:BN825" si="944">IF(AND(AL$820&gt;($I$138+2020),AL$820&lt;($J$138+2022)),AK825+($AH$825*$E$138*$AI$825/($J$138-$I$138+1)/1000000),AK825)</f>
        <v>0</v>
      </c>
      <c r="AM825" s="123">
        <f t="shared" si="944"/>
        <v>0</v>
      </c>
      <c r="AN825" s="123">
        <f t="shared" si="944"/>
        <v>0</v>
      </c>
      <c r="AO825" s="123">
        <f t="shared" si="944"/>
        <v>0</v>
      </c>
      <c r="AP825" s="123">
        <f t="shared" si="944"/>
        <v>0</v>
      </c>
      <c r="AQ825" s="123">
        <f t="shared" si="944"/>
        <v>0</v>
      </c>
      <c r="AR825" s="123">
        <f t="shared" si="944"/>
        <v>0</v>
      </c>
      <c r="AS825" s="123">
        <f t="shared" si="944"/>
        <v>0</v>
      </c>
      <c r="AT825" s="123">
        <f t="shared" si="944"/>
        <v>0</v>
      </c>
      <c r="AU825" s="123">
        <f t="shared" si="944"/>
        <v>0</v>
      </c>
      <c r="AV825" s="123">
        <f t="shared" si="944"/>
        <v>0</v>
      </c>
      <c r="AW825" s="123">
        <f t="shared" si="944"/>
        <v>0</v>
      </c>
      <c r="AX825" s="123">
        <f t="shared" si="944"/>
        <v>0</v>
      </c>
      <c r="AY825" s="123">
        <f t="shared" si="944"/>
        <v>0</v>
      </c>
      <c r="AZ825" s="123">
        <f t="shared" si="944"/>
        <v>0</v>
      </c>
      <c r="BA825" s="123">
        <f t="shared" si="944"/>
        <v>0</v>
      </c>
      <c r="BB825" s="123">
        <f t="shared" si="944"/>
        <v>0</v>
      </c>
      <c r="BC825" s="123">
        <f t="shared" si="944"/>
        <v>0</v>
      </c>
      <c r="BD825" s="123">
        <f t="shared" si="944"/>
        <v>0</v>
      </c>
      <c r="BE825" s="123">
        <f t="shared" si="944"/>
        <v>0</v>
      </c>
      <c r="BF825" s="123">
        <f t="shared" si="944"/>
        <v>0</v>
      </c>
      <c r="BG825" s="123">
        <f t="shared" si="944"/>
        <v>0</v>
      </c>
      <c r="BH825" s="123">
        <f t="shared" si="944"/>
        <v>0</v>
      </c>
      <c r="BI825" s="123">
        <f t="shared" si="944"/>
        <v>0</v>
      </c>
      <c r="BJ825" s="123">
        <f t="shared" si="944"/>
        <v>0</v>
      </c>
      <c r="BK825" s="123">
        <f t="shared" si="944"/>
        <v>0</v>
      </c>
      <c r="BL825" s="123">
        <f t="shared" si="944"/>
        <v>0</v>
      </c>
      <c r="BM825" s="123">
        <f t="shared" si="944"/>
        <v>0</v>
      </c>
      <c r="BN825" s="159">
        <f t="shared" si="944"/>
        <v>0</v>
      </c>
      <c r="BP825" s="367" t="s">
        <v>865</v>
      </c>
      <c r="BQ825" s="1536" t="str">
        <f t="shared" si="941"/>
        <v>GHG_Peata = GHG_Peata-1 + (E137 * BUI_COL (307 + ((C137 - 1) * 8) * BUI_COL4 / (J137-I137+1) / 1000000)</v>
      </c>
      <c r="BR825" s="1544"/>
      <c r="BS825" s="1544"/>
      <c r="BT825" s="1544"/>
      <c r="BU825" s="1544"/>
      <c r="BV825" s="1544"/>
      <c r="BW825" s="1544"/>
      <c r="BX825" s="1544"/>
      <c r="BY825" s="1544"/>
      <c r="BZ825" s="1544"/>
      <c r="CA825" s="1544"/>
      <c r="CB825" s="1544"/>
      <c r="CC825" s="1544"/>
      <c r="CD825" s="1544"/>
      <c r="CE825" s="1544"/>
      <c r="CF825" s="1544"/>
      <c r="CG825" s="1544"/>
      <c r="CH825" s="1537"/>
      <c r="CI825" s="578" t="s">
        <v>2249</v>
      </c>
      <c r="CJ825" s="367" t="s">
        <v>2230</v>
      </c>
      <c r="CK825" s="367" t="s">
        <v>1249</v>
      </c>
      <c r="CL825" s="580"/>
    </row>
    <row r="826" spans="32:90" ht="20.100000000000001" customHeight="1">
      <c r="AF826" s="193"/>
      <c r="AG826" s="107" t="s">
        <v>866</v>
      </c>
      <c r="AH826" s="107">
        <f>INDEX('DEFAULT DATA'!$WD$9:$WJ$41,START!$C$3,5)</f>
        <v>403</v>
      </c>
      <c r="AI826" s="115">
        <f>INDEX('DEFAULT DATA'!$AGR$9:$AJS$41,START!$C$3,(6+(($C$138-1)*8)))/IF($C$138&lt;5,INDEX('DEFAULT DATA'!$XS$9:$XV$41,START!$C$3,$C$138),1)</f>
        <v>0</v>
      </c>
      <c r="AJ826" s="115"/>
      <c r="AK826" s="180">
        <v>0</v>
      </c>
      <c r="AL826" s="123">
        <f t="shared" ref="AL826:BN826" si="945">IF(AND(AL$820&gt;($I$138+2020),AL$820&lt;($J$138+2022)),AK826+($AH$826*$E$138*$AI$826/($J$138-$I$138+1)/1000000),AK826)</f>
        <v>0</v>
      </c>
      <c r="AM826" s="123">
        <f t="shared" si="945"/>
        <v>0</v>
      </c>
      <c r="AN826" s="123">
        <f t="shared" si="945"/>
        <v>0</v>
      </c>
      <c r="AO826" s="123">
        <f t="shared" si="945"/>
        <v>0</v>
      </c>
      <c r="AP826" s="123">
        <f t="shared" si="945"/>
        <v>0</v>
      </c>
      <c r="AQ826" s="123">
        <f t="shared" si="945"/>
        <v>0</v>
      </c>
      <c r="AR826" s="123">
        <f t="shared" si="945"/>
        <v>0</v>
      </c>
      <c r="AS826" s="123">
        <f t="shared" si="945"/>
        <v>0</v>
      </c>
      <c r="AT826" s="123">
        <f t="shared" si="945"/>
        <v>0</v>
      </c>
      <c r="AU826" s="123">
        <f t="shared" si="945"/>
        <v>0</v>
      </c>
      <c r="AV826" s="123">
        <f t="shared" si="945"/>
        <v>0</v>
      </c>
      <c r="AW826" s="123">
        <f t="shared" si="945"/>
        <v>0</v>
      </c>
      <c r="AX826" s="123">
        <f t="shared" si="945"/>
        <v>0</v>
      </c>
      <c r="AY826" s="123">
        <f t="shared" si="945"/>
        <v>0</v>
      </c>
      <c r="AZ826" s="123">
        <f t="shared" si="945"/>
        <v>0</v>
      </c>
      <c r="BA826" s="123">
        <f t="shared" si="945"/>
        <v>0</v>
      </c>
      <c r="BB826" s="123">
        <f t="shared" si="945"/>
        <v>0</v>
      </c>
      <c r="BC826" s="123">
        <f t="shared" si="945"/>
        <v>0</v>
      </c>
      <c r="BD826" s="123">
        <f t="shared" si="945"/>
        <v>0</v>
      </c>
      <c r="BE826" s="123">
        <f t="shared" si="945"/>
        <v>0</v>
      </c>
      <c r="BF826" s="123">
        <f t="shared" si="945"/>
        <v>0</v>
      </c>
      <c r="BG826" s="123">
        <f t="shared" si="945"/>
        <v>0</v>
      </c>
      <c r="BH826" s="123">
        <f t="shared" si="945"/>
        <v>0</v>
      </c>
      <c r="BI826" s="123">
        <f t="shared" si="945"/>
        <v>0</v>
      </c>
      <c r="BJ826" s="123">
        <f t="shared" si="945"/>
        <v>0</v>
      </c>
      <c r="BK826" s="123">
        <f t="shared" si="945"/>
        <v>0</v>
      </c>
      <c r="BL826" s="123">
        <f t="shared" si="945"/>
        <v>0</v>
      </c>
      <c r="BM826" s="123">
        <f t="shared" si="945"/>
        <v>0</v>
      </c>
      <c r="BN826" s="159">
        <f t="shared" si="945"/>
        <v>0</v>
      </c>
      <c r="BP826" s="367" t="s">
        <v>866</v>
      </c>
      <c r="BQ826" s="1536" t="str">
        <f t="shared" si="941"/>
        <v>GHG_Wooda = GHG_Wooda-1 + (E137 * BUI_COL (307 + ((C137 - 1) * 8) * BUI_COL5 / (J137-I137+1) / 1000000)</v>
      </c>
      <c r="BR826" s="1544"/>
      <c r="BS826" s="1544"/>
      <c r="BT826" s="1544"/>
      <c r="BU826" s="1544"/>
      <c r="BV826" s="1544"/>
      <c r="BW826" s="1544"/>
      <c r="BX826" s="1544"/>
      <c r="BY826" s="1544"/>
      <c r="BZ826" s="1544"/>
      <c r="CA826" s="1544"/>
      <c r="CB826" s="1544"/>
      <c r="CC826" s="1544"/>
      <c r="CD826" s="1544"/>
      <c r="CE826" s="1544"/>
      <c r="CF826" s="1544"/>
      <c r="CG826" s="1544"/>
      <c r="CH826" s="1537"/>
      <c r="CI826" s="578" t="s">
        <v>2249</v>
      </c>
      <c r="CJ826" s="367" t="s">
        <v>2230</v>
      </c>
      <c r="CK826" s="367" t="s">
        <v>1250</v>
      </c>
      <c r="CL826" s="580"/>
    </row>
    <row r="827" spans="32:90" ht="20.100000000000001" customHeight="1">
      <c r="AF827" s="193"/>
      <c r="AG827" s="107" t="s">
        <v>867</v>
      </c>
      <c r="AH827" s="107">
        <f>INDEX('DEFAULT DATA'!$WD$9:$WJ$41,START!$C$3,6)</f>
        <v>0</v>
      </c>
      <c r="AI827" s="115">
        <f>INDEX('DEFAULT DATA'!$AGR$9:$AJS$41,START!$C$3,(7+(($C$138-1)*8)))/IF($C$138&lt;5,INDEX('DEFAULT DATA'!$XS$9:$XV$41,START!$C$3,$C$138),1)</f>
        <v>114.97725700487952</v>
      </c>
      <c r="AJ827" s="115"/>
      <c r="AK827" s="180">
        <v>0</v>
      </c>
      <c r="AL827" s="123">
        <f t="shared" ref="AL827:BN827" si="946">IF(AND(AL$820&gt;($I$138+2020),AL$820&lt;($J$138+2022)),AK827+($AH$827*$E$138*$AI$827/($J$138-$I$138+1)/1000000),AK827)</f>
        <v>0</v>
      </c>
      <c r="AM827" s="123">
        <f t="shared" si="946"/>
        <v>0</v>
      </c>
      <c r="AN827" s="123">
        <f t="shared" si="946"/>
        <v>0</v>
      </c>
      <c r="AO827" s="123">
        <f t="shared" si="946"/>
        <v>0</v>
      </c>
      <c r="AP827" s="123">
        <f t="shared" si="946"/>
        <v>0</v>
      </c>
      <c r="AQ827" s="123">
        <f t="shared" si="946"/>
        <v>0</v>
      </c>
      <c r="AR827" s="123">
        <f t="shared" si="946"/>
        <v>0</v>
      </c>
      <c r="AS827" s="123">
        <f t="shared" si="946"/>
        <v>0</v>
      </c>
      <c r="AT827" s="123">
        <f t="shared" si="946"/>
        <v>0</v>
      </c>
      <c r="AU827" s="123">
        <f t="shared" si="946"/>
        <v>0</v>
      </c>
      <c r="AV827" s="123">
        <f t="shared" si="946"/>
        <v>0</v>
      </c>
      <c r="AW827" s="123">
        <f t="shared" si="946"/>
        <v>0</v>
      </c>
      <c r="AX827" s="123">
        <f t="shared" si="946"/>
        <v>0</v>
      </c>
      <c r="AY827" s="123">
        <f t="shared" si="946"/>
        <v>0</v>
      </c>
      <c r="AZ827" s="123">
        <f t="shared" si="946"/>
        <v>0</v>
      </c>
      <c r="BA827" s="123">
        <f t="shared" si="946"/>
        <v>0</v>
      </c>
      <c r="BB827" s="123">
        <f t="shared" si="946"/>
        <v>0</v>
      </c>
      <c r="BC827" s="123">
        <f t="shared" si="946"/>
        <v>0</v>
      </c>
      <c r="BD827" s="123">
        <f t="shared" si="946"/>
        <v>0</v>
      </c>
      <c r="BE827" s="123">
        <f t="shared" si="946"/>
        <v>0</v>
      </c>
      <c r="BF827" s="123">
        <f t="shared" si="946"/>
        <v>0</v>
      </c>
      <c r="BG827" s="123">
        <f t="shared" si="946"/>
        <v>0</v>
      </c>
      <c r="BH827" s="123">
        <f t="shared" si="946"/>
        <v>0</v>
      </c>
      <c r="BI827" s="123">
        <f t="shared" si="946"/>
        <v>0</v>
      </c>
      <c r="BJ827" s="123">
        <f t="shared" si="946"/>
        <v>0</v>
      </c>
      <c r="BK827" s="123">
        <f t="shared" si="946"/>
        <v>0</v>
      </c>
      <c r="BL827" s="123">
        <f t="shared" si="946"/>
        <v>0</v>
      </c>
      <c r="BM827" s="123">
        <f t="shared" si="946"/>
        <v>0</v>
      </c>
      <c r="BN827" s="159">
        <f t="shared" si="946"/>
        <v>0</v>
      </c>
      <c r="BP827" s="367" t="s">
        <v>867</v>
      </c>
      <c r="BQ827" s="1536" t="str">
        <f t="shared" si="941"/>
        <v>GHG_Renewablea = GHG_Renewablea-1 + (E137 * BUI_COL (307 + ((C137 - 1) * 8) * BUI_COL6 / (J137-I137+1) / 1000000)</v>
      </c>
      <c r="BR827" s="1544"/>
      <c r="BS827" s="1544"/>
      <c r="BT827" s="1544"/>
      <c r="BU827" s="1544"/>
      <c r="BV827" s="1544"/>
      <c r="BW827" s="1544"/>
      <c r="BX827" s="1544"/>
      <c r="BY827" s="1544"/>
      <c r="BZ827" s="1544"/>
      <c r="CA827" s="1544"/>
      <c r="CB827" s="1544"/>
      <c r="CC827" s="1544"/>
      <c r="CD827" s="1544"/>
      <c r="CE827" s="1544"/>
      <c r="CF827" s="1544"/>
      <c r="CG827" s="1544"/>
      <c r="CH827" s="1537"/>
      <c r="CI827" s="578" t="s">
        <v>2249</v>
      </c>
      <c r="CJ827" s="367" t="s">
        <v>2230</v>
      </c>
      <c r="CK827" s="367" t="s">
        <v>1251</v>
      </c>
      <c r="CL827" s="580"/>
    </row>
    <row r="828" spans="32:90" ht="20.100000000000001" customHeight="1" thickBot="1">
      <c r="AF828" s="194"/>
      <c r="AG828" s="146" t="s">
        <v>868</v>
      </c>
      <c r="AH828" s="146" t="s">
        <v>1123</v>
      </c>
      <c r="AI828" s="170">
        <f>INDEX('DEFAULT DATA'!$AGR$9:$AJS$41,START!$C$3,(8+(($C$138-1)*8)))/IF($C$138&lt;5,INDEX('DEFAULT DATA'!$XS$9:$XV$41,START!$C$3,$C$138),1)</f>
        <v>28.74431425121988</v>
      </c>
      <c r="AJ828" s="170"/>
      <c r="AK828" s="183">
        <v>0</v>
      </c>
      <c r="AL828" s="160">
        <f t="shared" ref="AL828:BN828" si="947">IF(AND(AL$820&gt;($I$138+2020),AL$820&lt;($J$138+2022)),AK828+(AL$6*$E$138*$AI$828/($J$138-$I$138+1)/1000000),AK828)</f>
        <v>0</v>
      </c>
      <c r="AM828" s="160">
        <f t="shared" si="947"/>
        <v>0</v>
      </c>
      <c r="AN828" s="160">
        <f t="shared" si="947"/>
        <v>0</v>
      </c>
      <c r="AO828" s="160">
        <f t="shared" si="947"/>
        <v>0</v>
      </c>
      <c r="AP828" s="160">
        <f t="shared" si="947"/>
        <v>0</v>
      </c>
      <c r="AQ828" s="160">
        <f t="shared" si="947"/>
        <v>0</v>
      </c>
      <c r="AR828" s="160">
        <f t="shared" si="947"/>
        <v>0</v>
      </c>
      <c r="AS828" s="160">
        <f t="shared" si="947"/>
        <v>0</v>
      </c>
      <c r="AT828" s="160">
        <f t="shared" si="947"/>
        <v>0</v>
      </c>
      <c r="AU828" s="160">
        <f t="shared" si="947"/>
        <v>0</v>
      </c>
      <c r="AV828" s="160">
        <f t="shared" si="947"/>
        <v>0</v>
      </c>
      <c r="AW828" s="160">
        <f t="shared" si="947"/>
        <v>0</v>
      </c>
      <c r="AX828" s="160">
        <f t="shared" si="947"/>
        <v>0</v>
      </c>
      <c r="AY828" s="160">
        <f t="shared" si="947"/>
        <v>0</v>
      </c>
      <c r="AZ828" s="160">
        <f t="shared" si="947"/>
        <v>0</v>
      </c>
      <c r="BA828" s="160">
        <f t="shared" si="947"/>
        <v>0</v>
      </c>
      <c r="BB828" s="160">
        <f t="shared" si="947"/>
        <v>0</v>
      </c>
      <c r="BC828" s="160">
        <f t="shared" si="947"/>
        <v>0</v>
      </c>
      <c r="BD828" s="160">
        <f t="shared" si="947"/>
        <v>0</v>
      </c>
      <c r="BE828" s="160">
        <f t="shared" si="947"/>
        <v>0</v>
      </c>
      <c r="BF828" s="160">
        <f t="shared" si="947"/>
        <v>0</v>
      </c>
      <c r="BG828" s="160">
        <f t="shared" si="947"/>
        <v>0</v>
      </c>
      <c r="BH828" s="160">
        <f t="shared" si="947"/>
        <v>0</v>
      </c>
      <c r="BI828" s="160">
        <f t="shared" si="947"/>
        <v>0</v>
      </c>
      <c r="BJ828" s="160">
        <f t="shared" si="947"/>
        <v>0</v>
      </c>
      <c r="BK828" s="160">
        <f t="shared" si="947"/>
        <v>0</v>
      </c>
      <c r="BL828" s="160">
        <f t="shared" si="947"/>
        <v>0</v>
      </c>
      <c r="BM828" s="160">
        <f t="shared" si="947"/>
        <v>0</v>
      </c>
      <c r="BN828" s="161">
        <f t="shared" si="947"/>
        <v>0</v>
      </c>
      <c r="BP828" s="367" t="s">
        <v>868</v>
      </c>
      <c r="BQ828" s="1536" t="str">
        <f t="shared" si="941"/>
        <v>GHG_Heata = GHG_Heata-1 + (E137 * BUI_COL (307 + ((C137 - 1) * 8) * DISTRICT_HEATING_emission_factora (from row 5) / (J137-I137+1) / 1000000)</v>
      </c>
      <c r="BR828" s="1544"/>
      <c r="BS828" s="1544"/>
      <c r="BT828" s="1544"/>
      <c r="BU828" s="1544"/>
      <c r="BV828" s="1544"/>
      <c r="BW828" s="1544"/>
      <c r="BX828" s="1544"/>
      <c r="BY828" s="1544"/>
      <c r="BZ828" s="1544"/>
      <c r="CA828" s="1544"/>
      <c r="CB828" s="1544"/>
      <c r="CC828" s="1544"/>
      <c r="CD828" s="1544"/>
      <c r="CE828" s="1544"/>
      <c r="CF828" s="1544"/>
      <c r="CG828" s="1544"/>
      <c r="CH828" s="1537"/>
      <c r="CI828" s="578" t="s">
        <v>2249</v>
      </c>
      <c r="CJ828" s="367" t="s">
        <v>2230</v>
      </c>
      <c r="CK828" s="367" t="s">
        <v>2222</v>
      </c>
      <c r="CL828" s="580"/>
    </row>
    <row r="829" spans="32:90" ht="20.100000000000001" customHeight="1">
      <c r="AF829" s="167"/>
      <c r="AG829" s="144" t="s">
        <v>211</v>
      </c>
      <c r="AH829" s="145"/>
      <c r="AI829" s="198"/>
      <c r="AJ829" s="145"/>
      <c r="AK829" s="179">
        <v>0</v>
      </c>
      <c r="AL829" s="162">
        <f>SUM(AL821:AL828)</f>
        <v>0</v>
      </c>
      <c r="AM829" s="162">
        <f t="shared" ref="AM829:BN829" si="948">SUM(AM821:AM828)</f>
        <v>0</v>
      </c>
      <c r="AN829" s="162">
        <f t="shared" si="948"/>
        <v>0</v>
      </c>
      <c r="AO829" s="162">
        <f t="shared" si="948"/>
        <v>0</v>
      </c>
      <c r="AP829" s="162">
        <f t="shared" si="948"/>
        <v>0</v>
      </c>
      <c r="AQ829" s="162">
        <f t="shared" si="948"/>
        <v>0</v>
      </c>
      <c r="AR829" s="162">
        <f t="shared" si="948"/>
        <v>0</v>
      </c>
      <c r="AS829" s="162">
        <f t="shared" si="948"/>
        <v>0</v>
      </c>
      <c r="AT829" s="162">
        <f t="shared" si="948"/>
        <v>0</v>
      </c>
      <c r="AU829" s="162">
        <f t="shared" si="948"/>
        <v>0</v>
      </c>
      <c r="AV829" s="162">
        <f t="shared" si="948"/>
        <v>0</v>
      </c>
      <c r="AW829" s="162">
        <f t="shared" si="948"/>
        <v>0</v>
      </c>
      <c r="AX829" s="162">
        <f t="shared" si="948"/>
        <v>0</v>
      </c>
      <c r="AY829" s="162">
        <f t="shared" si="948"/>
        <v>0</v>
      </c>
      <c r="AZ829" s="162">
        <f t="shared" si="948"/>
        <v>0</v>
      </c>
      <c r="BA829" s="162">
        <f t="shared" si="948"/>
        <v>0</v>
      </c>
      <c r="BB829" s="162">
        <f t="shared" si="948"/>
        <v>0</v>
      </c>
      <c r="BC829" s="162">
        <f t="shared" si="948"/>
        <v>0</v>
      </c>
      <c r="BD829" s="162">
        <f t="shared" si="948"/>
        <v>0</v>
      </c>
      <c r="BE829" s="162">
        <f t="shared" si="948"/>
        <v>0</v>
      </c>
      <c r="BF829" s="162">
        <f t="shared" si="948"/>
        <v>0</v>
      </c>
      <c r="BG829" s="162">
        <f t="shared" si="948"/>
        <v>0</v>
      </c>
      <c r="BH829" s="162">
        <f t="shared" si="948"/>
        <v>0</v>
      </c>
      <c r="BI829" s="162">
        <f t="shared" si="948"/>
        <v>0</v>
      </c>
      <c r="BJ829" s="162">
        <f t="shared" si="948"/>
        <v>0</v>
      </c>
      <c r="BK829" s="162">
        <f t="shared" si="948"/>
        <v>0</v>
      </c>
      <c r="BL829" s="162">
        <f t="shared" si="948"/>
        <v>0</v>
      </c>
      <c r="BM829" s="162">
        <f t="shared" si="948"/>
        <v>0</v>
      </c>
      <c r="BN829" s="162">
        <f t="shared" si="948"/>
        <v>0</v>
      </c>
    </row>
    <row r="830" spans="32:90" ht="20.100000000000001" customHeight="1">
      <c r="AI830" s="199"/>
    </row>
    <row r="831" spans="32:90" ht="20.100000000000001" customHeight="1" thickBot="1">
      <c r="AF831" s="168" t="s">
        <v>1141</v>
      </c>
      <c r="AG831" s="168"/>
      <c r="AH831" s="169" t="s">
        <v>620</v>
      </c>
      <c r="AI831" s="1542" t="s">
        <v>2169</v>
      </c>
      <c r="AJ831" s="1543"/>
      <c r="AK831" s="181">
        <v>2021</v>
      </c>
      <c r="AL831" s="135">
        <v>2022</v>
      </c>
      <c r="AM831" s="135">
        <v>2023</v>
      </c>
      <c r="AN831" s="135">
        <v>2024</v>
      </c>
      <c r="AO831" s="135">
        <v>2025</v>
      </c>
      <c r="AP831" s="135">
        <v>2026</v>
      </c>
      <c r="AQ831" s="135">
        <v>2027</v>
      </c>
      <c r="AR831" s="135">
        <v>2028</v>
      </c>
      <c r="AS831" s="135">
        <v>2029</v>
      </c>
      <c r="AT831" s="135">
        <v>2030</v>
      </c>
      <c r="AU831" s="135">
        <v>2031</v>
      </c>
      <c r="AV831" s="135">
        <v>2032</v>
      </c>
      <c r="AW831" s="135">
        <v>2033</v>
      </c>
      <c r="AX831" s="135">
        <v>2034</v>
      </c>
      <c r="AY831" s="135">
        <v>2035</v>
      </c>
      <c r="AZ831" s="135">
        <v>2036</v>
      </c>
      <c r="BA831" s="135">
        <v>2037</v>
      </c>
      <c r="BB831" s="135">
        <v>2038</v>
      </c>
      <c r="BC831" s="135">
        <v>2039</v>
      </c>
      <c r="BD831" s="135">
        <v>2040</v>
      </c>
      <c r="BE831" s="135">
        <v>2041</v>
      </c>
      <c r="BF831" s="135">
        <v>2042</v>
      </c>
      <c r="BG831" s="135">
        <v>2043</v>
      </c>
      <c r="BH831" s="135">
        <v>2044</v>
      </c>
      <c r="BI831" s="135">
        <v>2045</v>
      </c>
      <c r="BJ831" s="135">
        <v>2046</v>
      </c>
      <c r="BK831" s="135">
        <v>2047</v>
      </c>
      <c r="BL831" s="135">
        <v>2048</v>
      </c>
      <c r="BM831" s="135">
        <v>2049</v>
      </c>
      <c r="BN831" s="135">
        <v>2050</v>
      </c>
      <c r="BQ831" s="82" t="s">
        <v>2243</v>
      </c>
      <c r="BR831" s="250"/>
      <c r="BS831" s="250"/>
      <c r="BT831" s="250"/>
      <c r="BU831" s="250"/>
      <c r="BV831" s="250"/>
      <c r="BW831" s="250"/>
      <c r="BX831" s="250"/>
      <c r="BY831" s="250"/>
      <c r="BZ831" s="250"/>
      <c r="CA831" s="250"/>
      <c r="CB831" s="250"/>
      <c r="CC831" s="250"/>
      <c r="CD831" s="250"/>
      <c r="CE831" s="250"/>
      <c r="CF831" s="250"/>
      <c r="CG831" s="250"/>
      <c r="CH831" s="250"/>
      <c r="CI831" s="605" t="s">
        <v>1393</v>
      </c>
      <c r="CJ831" s="130" t="s">
        <v>2172</v>
      </c>
      <c r="CK831" s="606" t="s">
        <v>1224</v>
      </c>
    </row>
    <row r="832" spans="32:90" ht="20.100000000000001" customHeight="1">
      <c r="AF832" s="192" t="str">
        <f>CONCATENATE("conversion to ",INDEX('MENU OPTIONS'!$B$27:$B$36,$C$139,1))</f>
        <v>conversion to Retail</v>
      </c>
      <c r="AG832" s="137" t="s">
        <v>578</v>
      </c>
      <c r="AH832" s="137" t="s">
        <v>1122</v>
      </c>
      <c r="AI832" s="165">
        <f>INDEX('DEFAULT DATA'!$AGR$9:$AJS$41,START!$C$3,(1+(($C$139-1)*8)))/IF($C$139&lt;5,INDEX('DEFAULT DATA'!$XS$9:$XV$41,START!$C$3,$C$139),1)</f>
        <v>165</v>
      </c>
      <c r="AJ832" s="165"/>
      <c r="AK832" s="178">
        <v>0</v>
      </c>
      <c r="AL832" s="157">
        <f t="shared" ref="AL832:BN832" si="949">IF(AND(AL$831&gt;($I$139+2020),AL$831&lt;($J$139+2022)),AK832+(AL$5*$E$139*$AI$832/($J$139-$I$139+1)/1000000),AK832)</f>
        <v>0</v>
      </c>
      <c r="AM832" s="157">
        <f t="shared" si="949"/>
        <v>0</v>
      </c>
      <c r="AN832" s="157">
        <f t="shared" si="949"/>
        <v>0</v>
      </c>
      <c r="AO832" s="157">
        <f t="shared" si="949"/>
        <v>0</v>
      </c>
      <c r="AP832" s="157">
        <f t="shared" si="949"/>
        <v>0</v>
      </c>
      <c r="AQ832" s="157">
        <f t="shared" si="949"/>
        <v>0</v>
      </c>
      <c r="AR832" s="157">
        <f t="shared" si="949"/>
        <v>0</v>
      </c>
      <c r="AS832" s="157">
        <f t="shared" si="949"/>
        <v>0</v>
      </c>
      <c r="AT832" s="157">
        <f t="shared" si="949"/>
        <v>0</v>
      </c>
      <c r="AU832" s="157">
        <f t="shared" si="949"/>
        <v>0</v>
      </c>
      <c r="AV832" s="157">
        <f t="shared" si="949"/>
        <v>0</v>
      </c>
      <c r="AW832" s="157">
        <f t="shared" si="949"/>
        <v>0</v>
      </c>
      <c r="AX832" s="157">
        <f t="shared" si="949"/>
        <v>0</v>
      </c>
      <c r="AY832" s="157">
        <f t="shared" si="949"/>
        <v>0</v>
      </c>
      <c r="AZ832" s="157">
        <f t="shared" si="949"/>
        <v>0</v>
      </c>
      <c r="BA832" s="157">
        <f t="shared" si="949"/>
        <v>0</v>
      </c>
      <c r="BB832" s="157">
        <f t="shared" si="949"/>
        <v>0</v>
      </c>
      <c r="BC832" s="157">
        <f t="shared" si="949"/>
        <v>0</v>
      </c>
      <c r="BD832" s="157">
        <f t="shared" si="949"/>
        <v>0</v>
      </c>
      <c r="BE832" s="157">
        <f t="shared" si="949"/>
        <v>0</v>
      </c>
      <c r="BF832" s="157">
        <f t="shared" si="949"/>
        <v>0</v>
      </c>
      <c r="BG832" s="157">
        <f t="shared" si="949"/>
        <v>0</v>
      </c>
      <c r="BH832" s="157">
        <f t="shared" si="949"/>
        <v>0</v>
      </c>
      <c r="BI832" s="157">
        <f t="shared" si="949"/>
        <v>0</v>
      </c>
      <c r="BJ832" s="157">
        <f t="shared" si="949"/>
        <v>0</v>
      </c>
      <c r="BK832" s="157">
        <f t="shared" si="949"/>
        <v>0</v>
      </c>
      <c r="BL832" s="157">
        <f t="shared" si="949"/>
        <v>0</v>
      </c>
      <c r="BM832" s="157">
        <f t="shared" si="949"/>
        <v>0</v>
      </c>
      <c r="BN832" s="158">
        <f t="shared" si="949"/>
        <v>0</v>
      </c>
      <c r="BP832" s="367" t="s">
        <v>578</v>
      </c>
      <c r="BQ832" s="1536" t="str">
        <f>CONCATENATE("GHG_",BP832,"a = GHG_",BP832,"a-1 + (E138 * ",CI832," * ",CK832," / (",CJ832,") / 1000000)")</f>
        <v>GHG_Electricitya = GHG_Electricitya-1 + (E138 * BUI_COL (307 + ((C138 - 1) * 8) * GRID_ELECTRICITY_emission_factora (from row4) / (J138-I138+1) / 1000000)</v>
      </c>
      <c r="BR832" s="1544"/>
      <c r="BS832" s="1544"/>
      <c r="BT832" s="1544"/>
      <c r="BU832" s="1544"/>
      <c r="BV832" s="1544"/>
      <c r="BW832" s="1544"/>
      <c r="BX832" s="1544"/>
      <c r="BY832" s="1544"/>
      <c r="BZ832" s="1544"/>
      <c r="CA832" s="1544"/>
      <c r="CB832" s="1544"/>
      <c r="CC832" s="1544"/>
      <c r="CD832" s="1544"/>
      <c r="CE832" s="1544"/>
      <c r="CF832" s="1544"/>
      <c r="CG832" s="1544"/>
      <c r="CH832" s="1537"/>
      <c r="CI832" s="578" t="s">
        <v>2250</v>
      </c>
      <c r="CJ832" s="367" t="s">
        <v>2232</v>
      </c>
      <c r="CK832" s="367" t="s">
        <v>2221</v>
      </c>
      <c r="CL832" s="580"/>
    </row>
    <row r="833" spans="32:90" ht="20.100000000000001" customHeight="1">
      <c r="AF833" s="193"/>
      <c r="AG833" s="107" t="s">
        <v>862</v>
      </c>
      <c r="AH833" s="107">
        <f>INDEX('DEFAULT DATA'!$WD$9:$WJ$41,START!$C$3,1)</f>
        <v>202</v>
      </c>
      <c r="AI833" s="115">
        <f>INDEX('DEFAULT DATA'!$AGR$9:$AJS$41,START!$C$3,(2+(($C$139-1)*8)))/IF($C$139&lt;5,INDEX('DEFAULT DATA'!$XS$9:$XV$41,START!$C$3,$C$139),1)</f>
        <v>0</v>
      </c>
      <c r="AJ833" s="115"/>
      <c r="AK833" s="180">
        <v>0</v>
      </c>
      <c r="AL833" s="123">
        <f t="shared" ref="AL833:BN833" si="950">IF(AND(AL$831&gt;($I$139+2020),AL$831&lt;($J$139+2022)),AK833+($AH$833*$E$139*$AI$833/($J$139-$I$139+1)/1000000),AK833)</f>
        <v>0</v>
      </c>
      <c r="AM833" s="123">
        <f t="shared" si="950"/>
        <v>0</v>
      </c>
      <c r="AN833" s="123">
        <f t="shared" si="950"/>
        <v>0</v>
      </c>
      <c r="AO833" s="123">
        <f t="shared" si="950"/>
        <v>0</v>
      </c>
      <c r="AP833" s="123">
        <f t="shared" si="950"/>
        <v>0</v>
      </c>
      <c r="AQ833" s="123">
        <f t="shared" si="950"/>
        <v>0</v>
      </c>
      <c r="AR833" s="123">
        <f t="shared" si="950"/>
        <v>0</v>
      </c>
      <c r="AS833" s="123">
        <f t="shared" si="950"/>
        <v>0</v>
      </c>
      <c r="AT833" s="123">
        <f t="shared" si="950"/>
        <v>0</v>
      </c>
      <c r="AU833" s="123">
        <f t="shared" si="950"/>
        <v>0</v>
      </c>
      <c r="AV833" s="123">
        <f t="shared" si="950"/>
        <v>0</v>
      </c>
      <c r="AW833" s="123">
        <f t="shared" si="950"/>
        <v>0</v>
      </c>
      <c r="AX833" s="123">
        <f t="shared" si="950"/>
        <v>0</v>
      </c>
      <c r="AY833" s="123">
        <f t="shared" si="950"/>
        <v>0</v>
      </c>
      <c r="AZ833" s="123">
        <f t="shared" si="950"/>
        <v>0</v>
      </c>
      <c r="BA833" s="123">
        <f t="shared" si="950"/>
        <v>0</v>
      </c>
      <c r="BB833" s="123">
        <f t="shared" si="950"/>
        <v>0</v>
      </c>
      <c r="BC833" s="123">
        <f t="shared" si="950"/>
        <v>0</v>
      </c>
      <c r="BD833" s="123">
        <f t="shared" si="950"/>
        <v>0</v>
      </c>
      <c r="BE833" s="123">
        <f t="shared" si="950"/>
        <v>0</v>
      </c>
      <c r="BF833" s="123">
        <f t="shared" si="950"/>
        <v>0</v>
      </c>
      <c r="BG833" s="123">
        <f t="shared" si="950"/>
        <v>0</v>
      </c>
      <c r="BH833" s="123">
        <f t="shared" si="950"/>
        <v>0</v>
      </c>
      <c r="BI833" s="123">
        <f t="shared" si="950"/>
        <v>0</v>
      </c>
      <c r="BJ833" s="123">
        <f t="shared" si="950"/>
        <v>0</v>
      </c>
      <c r="BK833" s="123">
        <f t="shared" si="950"/>
        <v>0</v>
      </c>
      <c r="BL833" s="123">
        <f t="shared" si="950"/>
        <v>0</v>
      </c>
      <c r="BM833" s="123">
        <f t="shared" si="950"/>
        <v>0</v>
      </c>
      <c r="BN833" s="159">
        <f t="shared" si="950"/>
        <v>0</v>
      </c>
      <c r="BP833" s="367" t="s">
        <v>862</v>
      </c>
      <c r="BQ833" s="1536" t="str">
        <f t="shared" ref="BQ833:BQ839" si="951">CONCATENATE("GHG_",BP833,"a = GHG_",BP833,"a-1 + (E138 * ",CI833," * ",CK833," / (",CJ833,") / 1000000)")</f>
        <v>GHG_Gasa = GHG_Gasa-1 + (E138 * BUI_COL (307 + ((C138 - 1) * 8) * BUI_COL1 / (J138-I138+1) / 1000000)</v>
      </c>
      <c r="BR833" s="1544"/>
      <c r="BS833" s="1544"/>
      <c r="BT833" s="1544"/>
      <c r="BU833" s="1544"/>
      <c r="BV833" s="1544"/>
      <c r="BW833" s="1544"/>
      <c r="BX833" s="1544"/>
      <c r="BY833" s="1544"/>
      <c r="BZ833" s="1544"/>
      <c r="CA833" s="1544"/>
      <c r="CB833" s="1544"/>
      <c r="CC833" s="1544"/>
      <c r="CD833" s="1544"/>
      <c r="CE833" s="1544"/>
      <c r="CF833" s="1544"/>
      <c r="CG833" s="1544"/>
      <c r="CH833" s="1537"/>
      <c r="CI833" s="578" t="s">
        <v>2250</v>
      </c>
      <c r="CJ833" s="367" t="s">
        <v>2232</v>
      </c>
      <c r="CK833" s="367" t="s">
        <v>886</v>
      </c>
      <c r="CL833" s="580"/>
    </row>
    <row r="834" spans="32:90" ht="20.100000000000001" customHeight="1">
      <c r="AF834" s="193"/>
      <c r="AG834" s="107" t="s">
        <v>863</v>
      </c>
      <c r="AH834" s="107">
        <f>INDEX('DEFAULT DATA'!$WD$9:$WJ$41,START!$C$3,2)</f>
        <v>267</v>
      </c>
      <c r="AI834" s="115">
        <f>INDEX('DEFAULT DATA'!$AGR$9:$AJS$41,START!$C$3,(3+(($C$139-1)*8)))/IF($C$139&lt;5,INDEX('DEFAULT DATA'!$XS$9:$XV$41,START!$C$3,$C$139),1)</f>
        <v>0</v>
      </c>
      <c r="AJ834" s="115"/>
      <c r="AK834" s="180">
        <v>0</v>
      </c>
      <c r="AL834" s="123">
        <f t="shared" ref="AL834:BN834" si="952">IF(AND(AL$831&gt;($I$139+2020),AL$831&lt;($J$139+2022)),AK834+($AH$834*$E$139*$AI$834/($J$139-$I$139+1)/1000000),AK834)</f>
        <v>0</v>
      </c>
      <c r="AM834" s="123">
        <f t="shared" si="952"/>
        <v>0</v>
      </c>
      <c r="AN834" s="123">
        <f t="shared" si="952"/>
        <v>0</v>
      </c>
      <c r="AO834" s="123">
        <f t="shared" si="952"/>
        <v>0</v>
      </c>
      <c r="AP834" s="123">
        <f t="shared" si="952"/>
        <v>0</v>
      </c>
      <c r="AQ834" s="123">
        <f t="shared" si="952"/>
        <v>0</v>
      </c>
      <c r="AR834" s="123">
        <f t="shared" si="952"/>
        <v>0</v>
      </c>
      <c r="AS834" s="123">
        <f t="shared" si="952"/>
        <v>0</v>
      </c>
      <c r="AT834" s="123">
        <f t="shared" si="952"/>
        <v>0</v>
      </c>
      <c r="AU834" s="123">
        <f t="shared" si="952"/>
        <v>0</v>
      </c>
      <c r="AV834" s="123">
        <f t="shared" si="952"/>
        <v>0</v>
      </c>
      <c r="AW834" s="123">
        <f t="shared" si="952"/>
        <v>0</v>
      </c>
      <c r="AX834" s="123">
        <f t="shared" si="952"/>
        <v>0</v>
      </c>
      <c r="AY834" s="123">
        <f t="shared" si="952"/>
        <v>0</v>
      </c>
      <c r="AZ834" s="123">
        <f t="shared" si="952"/>
        <v>0</v>
      </c>
      <c r="BA834" s="123">
        <f t="shared" si="952"/>
        <v>0</v>
      </c>
      <c r="BB834" s="123">
        <f t="shared" si="952"/>
        <v>0</v>
      </c>
      <c r="BC834" s="123">
        <f t="shared" si="952"/>
        <v>0</v>
      </c>
      <c r="BD834" s="123">
        <f t="shared" si="952"/>
        <v>0</v>
      </c>
      <c r="BE834" s="123">
        <f t="shared" si="952"/>
        <v>0</v>
      </c>
      <c r="BF834" s="123">
        <f t="shared" si="952"/>
        <v>0</v>
      </c>
      <c r="BG834" s="123">
        <f t="shared" si="952"/>
        <v>0</v>
      </c>
      <c r="BH834" s="123">
        <f t="shared" si="952"/>
        <v>0</v>
      </c>
      <c r="BI834" s="123">
        <f t="shared" si="952"/>
        <v>0</v>
      </c>
      <c r="BJ834" s="123">
        <f t="shared" si="952"/>
        <v>0</v>
      </c>
      <c r="BK834" s="123">
        <f t="shared" si="952"/>
        <v>0</v>
      </c>
      <c r="BL834" s="123">
        <f t="shared" si="952"/>
        <v>0</v>
      </c>
      <c r="BM834" s="123">
        <f t="shared" si="952"/>
        <v>0</v>
      </c>
      <c r="BN834" s="159">
        <f t="shared" si="952"/>
        <v>0</v>
      </c>
      <c r="BP834" s="367" t="s">
        <v>863</v>
      </c>
      <c r="BQ834" s="1536" t="str">
        <f t="shared" si="951"/>
        <v>GHG_Oila = GHG_Oila-1 + (E138 * BUI_COL (307 + ((C138 - 1) * 8) * BUI_COL2 / (J138-I138+1) / 1000000)</v>
      </c>
      <c r="BR834" s="1544"/>
      <c r="BS834" s="1544"/>
      <c r="BT834" s="1544"/>
      <c r="BU834" s="1544"/>
      <c r="BV834" s="1544"/>
      <c r="BW834" s="1544"/>
      <c r="BX834" s="1544"/>
      <c r="BY834" s="1544"/>
      <c r="BZ834" s="1544"/>
      <c r="CA834" s="1544"/>
      <c r="CB834" s="1544"/>
      <c r="CC834" s="1544"/>
      <c r="CD834" s="1544"/>
      <c r="CE834" s="1544"/>
      <c r="CF834" s="1544"/>
      <c r="CG834" s="1544"/>
      <c r="CH834" s="1537"/>
      <c r="CI834" s="578" t="s">
        <v>2250</v>
      </c>
      <c r="CJ834" s="367" t="s">
        <v>2232</v>
      </c>
      <c r="CK834" s="367" t="s">
        <v>1247</v>
      </c>
      <c r="CL834" s="580"/>
    </row>
    <row r="835" spans="32:90" ht="20.100000000000001" customHeight="1">
      <c r="AF835" s="193"/>
      <c r="AG835" s="107" t="s">
        <v>864</v>
      </c>
      <c r="AH835" s="107">
        <f>INDEX('DEFAULT DATA'!$WD$9:$WJ$41,START!$C$3,3)</f>
        <v>354</v>
      </c>
      <c r="AI835" s="115">
        <f>INDEX('DEFAULT DATA'!$AGR$9:$AJS$41,START!$C$3,(4+(($C$139-1)*8)))/IF($C$139&lt;5,INDEX('DEFAULT DATA'!$XS$9:$XV$41,START!$C$3,$C$139),1)</f>
        <v>0</v>
      </c>
      <c r="AJ835" s="115"/>
      <c r="AK835" s="180">
        <v>0</v>
      </c>
      <c r="AL835" s="123">
        <f t="shared" ref="AL835:BN835" si="953">IF(AND(AL$831&gt;($I$139+2020),AL$831&lt;($J$139+2022)),AK835+($AH$835*$E$139*$AI$835/($J$139-$I$139+1)/1000000),AK835)</f>
        <v>0</v>
      </c>
      <c r="AM835" s="123">
        <f t="shared" si="953"/>
        <v>0</v>
      </c>
      <c r="AN835" s="123">
        <f t="shared" si="953"/>
        <v>0</v>
      </c>
      <c r="AO835" s="123">
        <f t="shared" si="953"/>
        <v>0</v>
      </c>
      <c r="AP835" s="123">
        <f t="shared" si="953"/>
        <v>0</v>
      </c>
      <c r="AQ835" s="123">
        <f t="shared" si="953"/>
        <v>0</v>
      </c>
      <c r="AR835" s="123">
        <f t="shared" si="953"/>
        <v>0</v>
      </c>
      <c r="AS835" s="123">
        <f t="shared" si="953"/>
        <v>0</v>
      </c>
      <c r="AT835" s="123">
        <f t="shared" si="953"/>
        <v>0</v>
      </c>
      <c r="AU835" s="123">
        <f t="shared" si="953"/>
        <v>0</v>
      </c>
      <c r="AV835" s="123">
        <f t="shared" si="953"/>
        <v>0</v>
      </c>
      <c r="AW835" s="123">
        <f t="shared" si="953"/>
        <v>0</v>
      </c>
      <c r="AX835" s="123">
        <f t="shared" si="953"/>
        <v>0</v>
      </c>
      <c r="AY835" s="123">
        <f t="shared" si="953"/>
        <v>0</v>
      </c>
      <c r="AZ835" s="123">
        <f t="shared" si="953"/>
        <v>0</v>
      </c>
      <c r="BA835" s="123">
        <f t="shared" si="953"/>
        <v>0</v>
      </c>
      <c r="BB835" s="123">
        <f t="shared" si="953"/>
        <v>0</v>
      </c>
      <c r="BC835" s="123">
        <f t="shared" si="953"/>
        <v>0</v>
      </c>
      <c r="BD835" s="123">
        <f t="shared" si="953"/>
        <v>0</v>
      </c>
      <c r="BE835" s="123">
        <f t="shared" si="953"/>
        <v>0</v>
      </c>
      <c r="BF835" s="123">
        <f t="shared" si="953"/>
        <v>0</v>
      </c>
      <c r="BG835" s="123">
        <f t="shared" si="953"/>
        <v>0</v>
      </c>
      <c r="BH835" s="123">
        <f t="shared" si="953"/>
        <v>0</v>
      </c>
      <c r="BI835" s="123">
        <f t="shared" si="953"/>
        <v>0</v>
      </c>
      <c r="BJ835" s="123">
        <f t="shared" si="953"/>
        <v>0</v>
      </c>
      <c r="BK835" s="123">
        <f t="shared" si="953"/>
        <v>0</v>
      </c>
      <c r="BL835" s="123">
        <f t="shared" si="953"/>
        <v>0</v>
      </c>
      <c r="BM835" s="123">
        <f t="shared" si="953"/>
        <v>0</v>
      </c>
      <c r="BN835" s="159">
        <f t="shared" si="953"/>
        <v>0</v>
      </c>
      <c r="BP835" s="367" t="s">
        <v>864</v>
      </c>
      <c r="BQ835" s="1536" t="str">
        <f t="shared" si="951"/>
        <v>GHG_Coala = GHG_Coala-1 + (E138 * BUI_COL (307 + ((C138 - 1) * 8) * BUI_COL3 / (J138-I138+1) / 1000000)</v>
      </c>
      <c r="BR835" s="1544"/>
      <c r="BS835" s="1544"/>
      <c r="BT835" s="1544"/>
      <c r="BU835" s="1544"/>
      <c r="BV835" s="1544"/>
      <c r="BW835" s="1544"/>
      <c r="BX835" s="1544"/>
      <c r="BY835" s="1544"/>
      <c r="BZ835" s="1544"/>
      <c r="CA835" s="1544"/>
      <c r="CB835" s="1544"/>
      <c r="CC835" s="1544"/>
      <c r="CD835" s="1544"/>
      <c r="CE835" s="1544"/>
      <c r="CF835" s="1544"/>
      <c r="CG835" s="1544"/>
      <c r="CH835" s="1537"/>
      <c r="CI835" s="578" t="s">
        <v>2250</v>
      </c>
      <c r="CJ835" s="367" t="s">
        <v>2232</v>
      </c>
      <c r="CK835" s="367" t="s">
        <v>1248</v>
      </c>
      <c r="CL835" s="580"/>
    </row>
    <row r="836" spans="32:90" ht="20.100000000000001" customHeight="1">
      <c r="AF836" s="193"/>
      <c r="AG836" s="107" t="s">
        <v>865</v>
      </c>
      <c r="AH836" s="107">
        <f>INDEX('DEFAULT DATA'!$WD$9:$WJ$41,START!$C$3,4)</f>
        <v>382</v>
      </c>
      <c r="AI836" s="115">
        <f>INDEX('DEFAULT DATA'!$AGR$9:$AJS$41,START!$C$3,(5+(($C$139-1)*8)))/IF($C$139&lt;5,INDEX('DEFAULT DATA'!$XS$9:$XV$41,START!$C$3,$C$139),1)</f>
        <v>0</v>
      </c>
      <c r="AJ836" s="115"/>
      <c r="AK836" s="180">
        <v>0</v>
      </c>
      <c r="AL836" s="123">
        <f t="shared" ref="AL836:BN836" si="954">IF(AND(AL$831&gt;($I$139+2020),AL$831&lt;($J$139+2022)),AK836+($AH$836*$E$139*$AI$836/($J$139-$I$139+1)/1000000),AK836)</f>
        <v>0</v>
      </c>
      <c r="AM836" s="123">
        <f t="shared" si="954"/>
        <v>0</v>
      </c>
      <c r="AN836" s="123">
        <f t="shared" si="954"/>
        <v>0</v>
      </c>
      <c r="AO836" s="123">
        <f t="shared" si="954"/>
        <v>0</v>
      </c>
      <c r="AP836" s="123">
        <f t="shared" si="954"/>
        <v>0</v>
      </c>
      <c r="AQ836" s="123">
        <f t="shared" si="954"/>
        <v>0</v>
      </c>
      <c r="AR836" s="123">
        <f t="shared" si="954"/>
        <v>0</v>
      </c>
      <c r="AS836" s="123">
        <f t="shared" si="954"/>
        <v>0</v>
      </c>
      <c r="AT836" s="123">
        <f t="shared" si="954"/>
        <v>0</v>
      </c>
      <c r="AU836" s="123">
        <f t="shared" si="954"/>
        <v>0</v>
      </c>
      <c r="AV836" s="123">
        <f t="shared" si="954"/>
        <v>0</v>
      </c>
      <c r="AW836" s="123">
        <f t="shared" si="954"/>
        <v>0</v>
      </c>
      <c r="AX836" s="123">
        <f t="shared" si="954"/>
        <v>0</v>
      </c>
      <c r="AY836" s="123">
        <f t="shared" si="954"/>
        <v>0</v>
      </c>
      <c r="AZ836" s="123">
        <f t="shared" si="954"/>
        <v>0</v>
      </c>
      <c r="BA836" s="123">
        <f t="shared" si="954"/>
        <v>0</v>
      </c>
      <c r="BB836" s="123">
        <f t="shared" si="954"/>
        <v>0</v>
      </c>
      <c r="BC836" s="123">
        <f t="shared" si="954"/>
        <v>0</v>
      </c>
      <c r="BD836" s="123">
        <f t="shared" si="954"/>
        <v>0</v>
      </c>
      <c r="BE836" s="123">
        <f t="shared" si="954"/>
        <v>0</v>
      </c>
      <c r="BF836" s="123">
        <f t="shared" si="954"/>
        <v>0</v>
      </c>
      <c r="BG836" s="123">
        <f t="shared" si="954"/>
        <v>0</v>
      </c>
      <c r="BH836" s="123">
        <f t="shared" si="954"/>
        <v>0</v>
      </c>
      <c r="BI836" s="123">
        <f t="shared" si="954"/>
        <v>0</v>
      </c>
      <c r="BJ836" s="123">
        <f t="shared" si="954"/>
        <v>0</v>
      </c>
      <c r="BK836" s="123">
        <f t="shared" si="954"/>
        <v>0</v>
      </c>
      <c r="BL836" s="123">
        <f t="shared" si="954"/>
        <v>0</v>
      </c>
      <c r="BM836" s="123">
        <f t="shared" si="954"/>
        <v>0</v>
      </c>
      <c r="BN836" s="159">
        <f t="shared" si="954"/>
        <v>0</v>
      </c>
      <c r="BP836" s="367" t="s">
        <v>865</v>
      </c>
      <c r="BQ836" s="1536" t="str">
        <f t="shared" si="951"/>
        <v>GHG_Peata = GHG_Peata-1 + (E138 * BUI_COL (307 + ((C138 - 1) * 8) * BUI_COL4 / (J138-I138+1) / 1000000)</v>
      </c>
      <c r="BR836" s="1544"/>
      <c r="BS836" s="1544"/>
      <c r="BT836" s="1544"/>
      <c r="BU836" s="1544"/>
      <c r="BV836" s="1544"/>
      <c r="BW836" s="1544"/>
      <c r="BX836" s="1544"/>
      <c r="BY836" s="1544"/>
      <c r="BZ836" s="1544"/>
      <c r="CA836" s="1544"/>
      <c r="CB836" s="1544"/>
      <c r="CC836" s="1544"/>
      <c r="CD836" s="1544"/>
      <c r="CE836" s="1544"/>
      <c r="CF836" s="1544"/>
      <c r="CG836" s="1544"/>
      <c r="CH836" s="1537"/>
      <c r="CI836" s="578" t="s">
        <v>2250</v>
      </c>
      <c r="CJ836" s="367" t="s">
        <v>2232</v>
      </c>
      <c r="CK836" s="367" t="s">
        <v>1249</v>
      </c>
      <c r="CL836" s="580"/>
    </row>
    <row r="837" spans="32:90" ht="20.100000000000001" customHeight="1">
      <c r="AF837" s="193"/>
      <c r="AG837" s="107" t="s">
        <v>866</v>
      </c>
      <c r="AH837" s="107">
        <f>INDEX('DEFAULT DATA'!$WD$9:$WJ$41,START!$C$3,5)</f>
        <v>403</v>
      </c>
      <c r="AI837" s="115">
        <f>INDEX('DEFAULT DATA'!$AGR$9:$AJS$41,START!$C$3,(6+(($C$139-1)*8)))/IF($C$139&lt;5,INDEX('DEFAULT DATA'!$XS$9:$XV$41,START!$C$3,$C$139),1)</f>
        <v>0</v>
      </c>
      <c r="AJ837" s="115"/>
      <c r="AK837" s="180">
        <v>0</v>
      </c>
      <c r="AL837" s="123">
        <f t="shared" ref="AL837:BN837" si="955">IF(AND(AL$831&gt;($I$139+2020),AL$831&lt;($J$139+2022)),AK837+($AH$837*$E$139*$AI$837/($J$139-$I$139+1)/1000000),AK837)</f>
        <v>0</v>
      </c>
      <c r="AM837" s="123">
        <f t="shared" si="955"/>
        <v>0</v>
      </c>
      <c r="AN837" s="123">
        <f t="shared" si="955"/>
        <v>0</v>
      </c>
      <c r="AO837" s="123">
        <f t="shared" si="955"/>
        <v>0</v>
      </c>
      <c r="AP837" s="123">
        <f t="shared" si="955"/>
        <v>0</v>
      </c>
      <c r="AQ837" s="123">
        <f t="shared" si="955"/>
        <v>0</v>
      </c>
      <c r="AR837" s="123">
        <f t="shared" si="955"/>
        <v>0</v>
      </c>
      <c r="AS837" s="123">
        <f t="shared" si="955"/>
        <v>0</v>
      </c>
      <c r="AT837" s="123">
        <f t="shared" si="955"/>
        <v>0</v>
      </c>
      <c r="AU837" s="123">
        <f t="shared" si="955"/>
        <v>0</v>
      </c>
      <c r="AV837" s="123">
        <f t="shared" si="955"/>
        <v>0</v>
      </c>
      <c r="AW837" s="123">
        <f t="shared" si="955"/>
        <v>0</v>
      </c>
      <c r="AX837" s="123">
        <f t="shared" si="955"/>
        <v>0</v>
      </c>
      <c r="AY837" s="123">
        <f t="shared" si="955"/>
        <v>0</v>
      </c>
      <c r="AZ837" s="123">
        <f t="shared" si="955"/>
        <v>0</v>
      </c>
      <c r="BA837" s="123">
        <f t="shared" si="955"/>
        <v>0</v>
      </c>
      <c r="BB837" s="123">
        <f t="shared" si="955"/>
        <v>0</v>
      </c>
      <c r="BC837" s="123">
        <f t="shared" si="955"/>
        <v>0</v>
      </c>
      <c r="BD837" s="123">
        <f t="shared" si="955"/>
        <v>0</v>
      </c>
      <c r="BE837" s="123">
        <f t="shared" si="955"/>
        <v>0</v>
      </c>
      <c r="BF837" s="123">
        <f t="shared" si="955"/>
        <v>0</v>
      </c>
      <c r="BG837" s="123">
        <f t="shared" si="955"/>
        <v>0</v>
      </c>
      <c r="BH837" s="123">
        <f t="shared" si="955"/>
        <v>0</v>
      </c>
      <c r="BI837" s="123">
        <f t="shared" si="955"/>
        <v>0</v>
      </c>
      <c r="BJ837" s="123">
        <f t="shared" si="955"/>
        <v>0</v>
      </c>
      <c r="BK837" s="123">
        <f t="shared" si="955"/>
        <v>0</v>
      </c>
      <c r="BL837" s="123">
        <f t="shared" si="955"/>
        <v>0</v>
      </c>
      <c r="BM837" s="123">
        <f t="shared" si="955"/>
        <v>0</v>
      </c>
      <c r="BN837" s="159">
        <f t="shared" si="955"/>
        <v>0</v>
      </c>
      <c r="BP837" s="367" t="s">
        <v>866</v>
      </c>
      <c r="BQ837" s="1536" t="str">
        <f t="shared" si="951"/>
        <v>GHG_Wooda = GHG_Wooda-1 + (E138 * BUI_COL (307 + ((C138 - 1) * 8) * BUI_COL5 / (J138-I138+1) / 1000000)</v>
      </c>
      <c r="BR837" s="1544"/>
      <c r="BS837" s="1544"/>
      <c r="BT837" s="1544"/>
      <c r="BU837" s="1544"/>
      <c r="BV837" s="1544"/>
      <c r="BW837" s="1544"/>
      <c r="BX837" s="1544"/>
      <c r="BY837" s="1544"/>
      <c r="BZ837" s="1544"/>
      <c r="CA837" s="1544"/>
      <c r="CB837" s="1544"/>
      <c r="CC837" s="1544"/>
      <c r="CD837" s="1544"/>
      <c r="CE837" s="1544"/>
      <c r="CF837" s="1544"/>
      <c r="CG837" s="1544"/>
      <c r="CH837" s="1537"/>
      <c r="CI837" s="578" t="s">
        <v>2250</v>
      </c>
      <c r="CJ837" s="367" t="s">
        <v>2232</v>
      </c>
      <c r="CK837" s="367" t="s">
        <v>1250</v>
      </c>
      <c r="CL837" s="580"/>
    </row>
    <row r="838" spans="32:90" ht="20.100000000000001" customHeight="1">
      <c r="AF838" s="193"/>
      <c r="AG838" s="107" t="s">
        <v>867</v>
      </c>
      <c r="AH838" s="107">
        <f>INDEX('DEFAULT DATA'!$WD$9:$WJ$41,START!$C$3,6)</f>
        <v>0</v>
      </c>
      <c r="AI838" s="115">
        <f>INDEX('DEFAULT DATA'!$AGR$9:$AJS$41,START!$C$3,(7+(($C$139-1)*8)))/IF($C$139&lt;5,INDEX('DEFAULT DATA'!$XS$9:$XV$41,START!$C$3,$C$139),1)</f>
        <v>0</v>
      </c>
      <c r="AJ838" s="115"/>
      <c r="AK838" s="180">
        <v>0</v>
      </c>
      <c r="AL838" s="123">
        <f t="shared" ref="AL838:BN838" si="956">IF(AND(AL$831&gt;($I$139+2020),AL$831&lt;($J$139+2022)),AK838+($AH$838*$E$139*$AI$838/($J$139-$I$139+1)/1000000),AK838)</f>
        <v>0</v>
      </c>
      <c r="AM838" s="123">
        <f t="shared" si="956"/>
        <v>0</v>
      </c>
      <c r="AN838" s="123">
        <f t="shared" si="956"/>
        <v>0</v>
      </c>
      <c r="AO838" s="123">
        <f t="shared" si="956"/>
        <v>0</v>
      </c>
      <c r="AP838" s="123">
        <f t="shared" si="956"/>
        <v>0</v>
      </c>
      <c r="AQ838" s="123">
        <f t="shared" si="956"/>
        <v>0</v>
      </c>
      <c r="AR838" s="123">
        <f t="shared" si="956"/>
        <v>0</v>
      </c>
      <c r="AS838" s="123">
        <f t="shared" si="956"/>
        <v>0</v>
      </c>
      <c r="AT838" s="123">
        <f t="shared" si="956"/>
        <v>0</v>
      </c>
      <c r="AU838" s="123">
        <f t="shared" si="956"/>
        <v>0</v>
      </c>
      <c r="AV838" s="123">
        <f t="shared" si="956"/>
        <v>0</v>
      </c>
      <c r="AW838" s="123">
        <f t="shared" si="956"/>
        <v>0</v>
      </c>
      <c r="AX838" s="123">
        <f t="shared" si="956"/>
        <v>0</v>
      </c>
      <c r="AY838" s="123">
        <f t="shared" si="956"/>
        <v>0</v>
      </c>
      <c r="AZ838" s="123">
        <f t="shared" si="956"/>
        <v>0</v>
      </c>
      <c r="BA838" s="123">
        <f t="shared" si="956"/>
        <v>0</v>
      </c>
      <c r="BB838" s="123">
        <f t="shared" si="956"/>
        <v>0</v>
      </c>
      <c r="BC838" s="123">
        <f t="shared" si="956"/>
        <v>0</v>
      </c>
      <c r="BD838" s="123">
        <f t="shared" si="956"/>
        <v>0</v>
      </c>
      <c r="BE838" s="123">
        <f t="shared" si="956"/>
        <v>0</v>
      </c>
      <c r="BF838" s="123">
        <f t="shared" si="956"/>
        <v>0</v>
      </c>
      <c r="BG838" s="123">
        <f t="shared" si="956"/>
        <v>0</v>
      </c>
      <c r="BH838" s="123">
        <f t="shared" si="956"/>
        <v>0</v>
      </c>
      <c r="BI838" s="123">
        <f t="shared" si="956"/>
        <v>0</v>
      </c>
      <c r="BJ838" s="123">
        <f t="shared" si="956"/>
        <v>0</v>
      </c>
      <c r="BK838" s="123">
        <f t="shared" si="956"/>
        <v>0</v>
      </c>
      <c r="BL838" s="123">
        <f t="shared" si="956"/>
        <v>0</v>
      </c>
      <c r="BM838" s="123">
        <f t="shared" si="956"/>
        <v>0</v>
      </c>
      <c r="BN838" s="159">
        <f t="shared" si="956"/>
        <v>0</v>
      </c>
      <c r="BP838" s="367" t="s">
        <v>867</v>
      </c>
      <c r="BQ838" s="1536" t="str">
        <f t="shared" si="951"/>
        <v>GHG_Renewablea = GHG_Renewablea-1 + (E138 * BUI_COL (307 + ((C138 - 1) * 8) * BUI_COL6 / (J138-I138+1) / 1000000)</v>
      </c>
      <c r="BR838" s="1544"/>
      <c r="BS838" s="1544"/>
      <c r="BT838" s="1544"/>
      <c r="BU838" s="1544"/>
      <c r="BV838" s="1544"/>
      <c r="BW838" s="1544"/>
      <c r="BX838" s="1544"/>
      <c r="BY838" s="1544"/>
      <c r="BZ838" s="1544"/>
      <c r="CA838" s="1544"/>
      <c r="CB838" s="1544"/>
      <c r="CC838" s="1544"/>
      <c r="CD838" s="1544"/>
      <c r="CE838" s="1544"/>
      <c r="CF838" s="1544"/>
      <c r="CG838" s="1544"/>
      <c r="CH838" s="1537"/>
      <c r="CI838" s="578" t="s">
        <v>2250</v>
      </c>
      <c r="CJ838" s="367" t="s">
        <v>2232</v>
      </c>
      <c r="CK838" s="367" t="s">
        <v>1251</v>
      </c>
      <c r="CL838" s="580"/>
    </row>
    <row r="839" spans="32:90" ht="20.100000000000001" customHeight="1" thickBot="1">
      <c r="AF839" s="194"/>
      <c r="AG839" s="146" t="s">
        <v>868</v>
      </c>
      <c r="AH839" s="146" t="s">
        <v>1123</v>
      </c>
      <c r="AI839" s="170">
        <f>INDEX('DEFAULT DATA'!$AGR$9:$AJS$41,START!$C$3,(8+(($C$139-1)*8)))/IF($C$139&lt;5,INDEX('DEFAULT DATA'!$XS$9:$XV$41,START!$C$3,$C$139),1)</f>
        <v>0</v>
      </c>
      <c r="AJ839" s="170"/>
      <c r="AK839" s="183">
        <v>0</v>
      </c>
      <c r="AL839" s="160">
        <f t="shared" ref="AL839:BN839" si="957">IF(AND(AL$831&gt;($I$139+2020),AL$831&lt;($J$139+2022)),AK839+(AL$6*$E$139*$AI$839/($J$139-$I$139+1)/1000000),AK839)</f>
        <v>0</v>
      </c>
      <c r="AM839" s="160">
        <f t="shared" si="957"/>
        <v>0</v>
      </c>
      <c r="AN839" s="160">
        <f t="shared" si="957"/>
        <v>0</v>
      </c>
      <c r="AO839" s="160">
        <f t="shared" si="957"/>
        <v>0</v>
      </c>
      <c r="AP839" s="160">
        <f t="shared" si="957"/>
        <v>0</v>
      </c>
      <c r="AQ839" s="160">
        <f t="shared" si="957"/>
        <v>0</v>
      </c>
      <c r="AR839" s="160">
        <f t="shared" si="957"/>
        <v>0</v>
      </c>
      <c r="AS839" s="160">
        <f t="shared" si="957"/>
        <v>0</v>
      </c>
      <c r="AT839" s="160">
        <f t="shared" si="957"/>
        <v>0</v>
      </c>
      <c r="AU839" s="160">
        <f t="shared" si="957"/>
        <v>0</v>
      </c>
      <c r="AV839" s="160">
        <f t="shared" si="957"/>
        <v>0</v>
      </c>
      <c r="AW839" s="160">
        <f t="shared" si="957"/>
        <v>0</v>
      </c>
      <c r="AX839" s="160">
        <f t="shared" si="957"/>
        <v>0</v>
      </c>
      <c r="AY839" s="160">
        <f t="shared" si="957"/>
        <v>0</v>
      </c>
      <c r="AZ839" s="160">
        <f t="shared" si="957"/>
        <v>0</v>
      </c>
      <c r="BA839" s="160">
        <f t="shared" si="957"/>
        <v>0</v>
      </c>
      <c r="BB839" s="160">
        <f t="shared" si="957"/>
        <v>0</v>
      </c>
      <c r="BC839" s="160">
        <f t="shared" si="957"/>
        <v>0</v>
      </c>
      <c r="BD839" s="160">
        <f t="shared" si="957"/>
        <v>0</v>
      </c>
      <c r="BE839" s="160">
        <f t="shared" si="957"/>
        <v>0</v>
      </c>
      <c r="BF839" s="160">
        <f t="shared" si="957"/>
        <v>0</v>
      </c>
      <c r="BG839" s="160">
        <f t="shared" si="957"/>
        <v>0</v>
      </c>
      <c r="BH839" s="160">
        <f t="shared" si="957"/>
        <v>0</v>
      </c>
      <c r="BI839" s="160">
        <f t="shared" si="957"/>
        <v>0</v>
      </c>
      <c r="BJ839" s="160">
        <f t="shared" si="957"/>
        <v>0</v>
      </c>
      <c r="BK839" s="160">
        <f t="shared" si="957"/>
        <v>0</v>
      </c>
      <c r="BL839" s="160">
        <f t="shared" si="957"/>
        <v>0</v>
      </c>
      <c r="BM839" s="160">
        <f t="shared" si="957"/>
        <v>0</v>
      </c>
      <c r="BN839" s="161">
        <f t="shared" si="957"/>
        <v>0</v>
      </c>
      <c r="BP839" s="367" t="s">
        <v>868</v>
      </c>
      <c r="BQ839" s="1536" t="str">
        <f t="shared" si="951"/>
        <v>GHG_Heata = GHG_Heata-1 + (E138 * BUI_COL (307 + ((C138 - 1) * 8) * DISTRICT_HEATING_emission_factora (from row 5) / (J138-I138+1) / 1000000)</v>
      </c>
      <c r="BR839" s="1544"/>
      <c r="BS839" s="1544"/>
      <c r="BT839" s="1544"/>
      <c r="BU839" s="1544"/>
      <c r="BV839" s="1544"/>
      <c r="BW839" s="1544"/>
      <c r="BX839" s="1544"/>
      <c r="BY839" s="1544"/>
      <c r="BZ839" s="1544"/>
      <c r="CA839" s="1544"/>
      <c r="CB839" s="1544"/>
      <c r="CC839" s="1544"/>
      <c r="CD839" s="1544"/>
      <c r="CE839" s="1544"/>
      <c r="CF839" s="1544"/>
      <c r="CG839" s="1544"/>
      <c r="CH839" s="1537"/>
      <c r="CI839" s="578" t="s">
        <v>2250</v>
      </c>
      <c r="CJ839" s="367" t="s">
        <v>2232</v>
      </c>
      <c r="CK839" s="367" t="s">
        <v>2222</v>
      </c>
      <c r="CL839" s="580"/>
    </row>
    <row r="840" spans="32:90" ht="20.100000000000001" customHeight="1">
      <c r="AF840" s="167"/>
      <c r="AG840" s="144" t="s">
        <v>211</v>
      </c>
      <c r="AH840" s="145"/>
      <c r="AI840" s="198"/>
      <c r="AJ840" s="145"/>
      <c r="AK840" s="179">
        <v>0</v>
      </c>
      <c r="AL840" s="162">
        <f>SUM(AL832:AL839)</f>
        <v>0</v>
      </c>
      <c r="AM840" s="162">
        <f t="shared" ref="AM840:BN840" si="958">SUM(AM832:AM839)</f>
        <v>0</v>
      </c>
      <c r="AN840" s="162">
        <f t="shared" si="958"/>
        <v>0</v>
      </c>
      <c r="AO840" s="162">
        <f t="shared" si="958"/>
        <v>0</v>
      </c>
      <c r="AP840" s="162">
        <f t="shared" si="958"/>
        <v>0</v>
      </c>
      <c r="AQ840" s="162">
        <f t="shared" si="958"/>
        <v>0</v>
      </c>
      <c r="AR840" s="162">
        <f t="shared" si="958"/>
        <v>0</v>
      </c>
      <c r="AS840" s="162">
        <f t="shared" si="958"/>
        <v>0</v>
      </c>
      <c r="AT840" s="162">
        <f t="shared" si="958"/>
        <v>0</v>
      </c>
      <c r="AU840" s="162">
        <f t="shared" si="958"/>
        <v>0</v>
      </c>
      <c r="AV840" s="162">
        <f t="shared" si="958"/>
        <v>0</v>
      </c>
      <c r="AW840" s="162">
        <f t="shared" si="958"/>
        <v>0</v>
      </c>
      <c r="AX840" s="162">
        <f t="shared" si="958"/>
        <v>0</v>
      </c>
      <c r="AY840" s="162">
        <f t="shared" si="958"/>
        <v>0</v>
      </c>
      <c r="AZ840" s="162">
        <f t="shared" si="958"/>
        <v>0</v>
      </c>
      <c r="BA840" s="162">
        <f t="shared" si="958"/>
        <v>0</v>
      </c>
      <c r="BB840" s="162">
        <f t="shared" si="958"/>
        <v>0</v>
      </c>
      <c r="BC840" s="162">
        <f t="shared" si="958"/>
        <v>0</v>
      </c>
      <c r="BD840" s="162">
        <f t="shared" si="958"/>
        <v>0</v>
      </c>
      <c r="BE840" s="162">
        <f t="shared" si="958"/>
        <v>0</v>
      </c>
      <c r="BF840" s="162">
        <f t="shared" si="958"/>
        <v>0</v>
      </c>
      <c r="BG840" s="162">
        <f t="shared" si="958"/>
        <v>0</v>
      </c>
      <c r="BH840" s="162">
        <f t="shared" si="958"/>
        <v>0</v>
      </c>
      <c r="BI840" s="162">
        <f t="shared" si="958"/>
        <v>0</v>
      </c>
      <c r="BJ840" s="162">
        <f t="shared" si="958"/>
        <v>0</v>
      </c>
      <c r="BK840" s="162">
        <f t="shared" si="958"/>
        <v>0</v>
      </c>
      <c r="BL840" s="162">
        <f t="shared" si="958"/>
        <v>0</v>
      </c>
      <c r="BM840" s="162">
        <f t="shared" si="958"/>
        <v>0</v>
      </c>
      <c r="BN840" s="162">
        <f t="shared" si="958"/>
        <v>0</v>
      </c>
    </row>
    <row r="841" spans="32:90" ht="20.100000000000001" customHeight="1">
      <c r="AI841" s="199"/>
    </row>
    <row r="842" spans="32:90" ht="20.100000000000001" customHeight="1" thickBot="1">
      <c r="AF842" s="168" t="s">
        <v>1141</v>
      </c>
      <c r="AG842" s="168"/>
      <c r="AH842" s="169" t="s">
        <v>620</v>
      </c>
      <c r="AI842" s="1542" t="s">
        <v>2169</v>
      </c>
      <c r="AJ842" s="1543"/>
      <c r="AK842" s="181">
        <v>2021</v>
      </c>
      <c r="AL842" s="135">
        <v>2022</v>
      </c>
      <c r="AM842" s="135">
        <v>2023</v>
      </c>
      <c r="AN842" s="135">
        <v>2024</v>
      </c>
      <c r="AO842" s="135">
        <v>2025</v>
      </c>
      <c r="AP842" s="135">
        <v>2026</v>
      </c>
      <c r="AQ842" s="135">
        <v>2027</v>
      </c>
      <c r="AR842" s="135">
        <v>2028</v>
      </c>
      <c r="AS842" s="135">
        <v>2029</v>
      </c>
      <c r="AT842" s="135">
        <v>2030</v>
      </c>
      <c r="AU842" s="135">
        <v>2031</v>
      </c>
      <c r="AV842" s="135">
        <v>2032</v>
      </c>
      <c r="AW842" s="135">
        <v>2033</v>
      </c>
      <c r="AX842" s="135">
        <v>2034</v>
      </c>
      <c r="AY842" s="135">
        <v>2035</v>
      </c>
      <c r="AZ842" s="135">
        <v>2036</v>
      </c>
      <c r="BA842" s="135">
        <v>2037</v>
      </c>
      <c r="BB842" s="135">
        <v>2038</v>
      </c>
      <c r="BC842" s="135">
        <v>2039</v>
      </c>
      <c r="BD842" s="135">
        <v>2040</v>
      </c>
      <c r="BE842" s="135">
        <v>2041</v>
      </c>
      <c r="BF842" s="135">
        <v>2042</v>
      </c>
      <c r="BG842" s="135">
        <v>2043</v>
      </c>
      <c r="BH842" s="135">
        <v>2044</v>
      </c>
      <c r="BI842" s="135">
        <v>2045</v>
      </c>
      <c r="BJ842" s="135">
        <v>2046</v>
      </c>
      <c r="BK842" s="135">
        <v>2047</v>
      </c>
      <c r="BL842" s="135">
        <v>2048</v>
      </c>
      <c r="BM842" s="135">
        <v>2049</v>
      </c>
      <c r="BN842" s="135">
        <v>2050</v>
      </c>
      <c r="BQ842" s="82" t="s">
        <v>2244</v>
      </c>
      <c r="BR842" s="250"/>
      <c r="BS842" s="250"/>
      <c r="BT842" s="250"/>
      <c r="BU842" s="250"/>
      <c r="BV842" s="250"/>
      <c r="BW842" s="250"/>
      <c r="BX842" s="250"/>
      <c r="BY842" s="250"/>
      <c r="BZ842" s="250"/>
      <c r="CA842" s="250"/>
      <c r="CB842" s="250"/>
      <c r="CC842" s="250"/>
      <c r="CD842" s="250"/>
      <c r="CE842" s="250"/>
      <c r="CF842" s="250"/>
      <c r="CG842" s="250"/>
      <c r="CH842" s="250"/>
      <c r="CI842" s="605" t="s">
        <v>1393</v>
      </c>
      <c r="CJ842" s="130" t="s">
        <v>2172</v>
      </c>
      <c r="CK842" s="606" t="s">
        <v>1224</v>
      </c>
    </row>
    <row r="843" spans="32:90" ht="20.100000000000001" customHeight="1">
      <c r="AF843" s="192" t="str">
        <f>CONCATENATE("conversion to ",INDEX('MENU OPTIONS'!$B$27:$B$36,$C$140,1))</f>
        <v>conversion to Health</v>
      </c>
      <c r="AG843" s="137" t="s">
        <v>578</v>
      </c>
      <c r="AH843" s="137" t="s">
        <v>1122</v>
      </c>
      <c r="AI843" s="165">
        <f>INDEX('DEFAULT DATA'!$AGR$9:$AJS$41,START!$C$3,(1+(($C$140-1)*8)))/IF($C$140&lt;5,INDEX('DEFAULT DATA'!$XS$9:$XV$41,START!$C$3,$C$140),1)</f>
        <v>420</v>
      </c>
      <c r="AJ843" s="165"/>
      <c r="AK843" s="178">
        <v>0</v>
      </c>
      <c r="AL843" s="157">
        <f t="shared" ref="AL843:BN843" si="959">IF(AND(AL$842&gt;($I$140+2020),AL$842&lt;($J$140+2022)),AK843+(AL$5*$E$140*$AI$843/($J$140-$I$140+1)/1000000),AK843)</f>
        <v>0</v>
      </c>
      <c r="AM843" s="157">
        <f t="shared" si="959"/>
        <v>0</v>
      </c>
      <c r="AN843" s="157">
        <f t="shared" si="959"/>
        <v>0</v>
      </c>
      <c r="AO843" s="157">
        <f t="shared" si="959"/>
        <v>0</v>
      </c>
      <c r="AP843" s="157">
        <f t="shared" si="959"/>
        <v>0</v>
      </c>
      <c r="AQ843" s="157">
        <f t="shared" si="959"/>
        <v>0</v>
      </c>
      <c r="AR843" s="157">
        <f t="shared" si="959"/>
        <v>0</v>
      </c>
      <c r="AS843" s="157">
        <f t="shared" si="959"/>
        <v>0</v>
      </c>
      <c r="AT843" s="157">
        <f t="shared" si="959"/>
        <v>0</v>
      </c>
      <c r="AU843" s="157">
        <f t="shared" si="959"/>
        <v>0</v>
      </c>
      <c r="AV843" s="157">
        <f t="shared" si="959"/>
        <v>0</v>
      </c>
      <c r="AW843" s="157">
        <f t="shared" si="959"/>
        <v>0</v>
      </c>
      <c r="AX843" s="157">
        <f t="shared" si="959"/>
        <v>0</v>
      </c>
      <c r="AY843" s="157">
        <f t="shared" si="959"/>
        <v>0</v>
      </c>
      <c r="AZ843" s="157">
        <f t="shared" si="959"/>
        <v>0</v>
      </c>
      <c r="BA843" s="157">
        <f t="shared" si="959"/>
        <v>0</v>
      </c>
      <c r="BB843" s="157">
        <f t="shared" si="959"/>
        <v>0</v>
      </c>
      <c r="BC843" s="157">
        <f t="shared" si="959"/>
        <v>0</v>
      </c>
      <c r="BD843" s="157">
        <f t="shared" si="959"/>
        <v>0</v>
      </c>
      <c r="BE843" s="157">
        <f t="shared" si="959"/>
        <v>0</v>
      </c>
      <c r="BF843" s="157">
        <f t="shared" si="959"/>
        <v>0</v>
      </c>
      <c r="BG843" s="157">
        <f t="shared" si="959"/>
        <v>0</v>
      </c>
      <c r="BH843" s="157">
        <f t="shared" si="959"/>
        <v>0</v>
      </c>
      <c r="BI843" s="157">
        <f t="shared" si="959"/>
        <v>0</v>
      </c>
      <c r="BJ843" s="157">
        <f t="shared" si="959"/>
        <v>0</v>
      </c>
      <c r="BK843" s="157">
        <f t="shared" si="959"/>
        <v>0</v>
      </c>
      <c r="BL843" s="157">
        <f t="shared" si="959"/>
        <v>0</v>
      </c>
      <c r="BM843" s="157">
        <f t="shared" si="959"/>
        <v>0</v>
      </c>
      <c r="BN843" s="158">
        <f t="shared" si="959"/>
        <v>0</v>
      </c>
      <c r="BP843" s="367" t="s">
        <v>578</v>
      </c>
      <c r="BQ843" s="1536" t="str">
        <f>CONCATENATE("GHG_",BP843,"a = GHG_",BP843,"a-1 + (E139 * ",CI843," * ",CK843," / (",CJ843,") / 1000000)")</f>
        <v>GHG_Electricitya = GHG_Electricitya-1 + (E139 * BUI_COL (307 + ((C139 - 1) * 8) * GRID_ELECTRICITY_emission_factora (from row4) / (J139-I139+1) / 1000000)</v>
      </c>
      <c r="BR843" s="1544"/>
      <c r="BS843" s="1544"/>
      <c r="BT843" s="1544"/>
      <c r="BU843" s="1544"/>
      <c r="BV843" s="1544"/>
      <c r="BW843" s="1544"/>
      <c r="BX843" s="1544"/>
      <c r="BY843" s="1544"/>
      <c r="BZ843" s="1544"/>
      <c r="CA843" s="1544"/>
      <c r="CB843" s="1544"/>
      <c r="CC843" s="1544"/>
      <c r="CD843" s="1544"/>
      <c r="CE843" s="1544"/>
      <c r="CF843" s="1544"/>
      <c r="CG843" s="1544"/>
      <c r="CH843" s="1537"/>
      <c r="CI843" s="578" t="s">
        <v>2251</v>
      </c>
      <c r="CJ843" s="367" t="s">
        <v>2234</v>
      </c>
      <c r="CK843" s="367" t="s">
        <v>2221</v>
      </c>
      <c r="CL843" s="580"/>
    </row>
    <row r="844" spans="32:90" ht="20.100000000000001" customHeight="1">
      <c r="AF844" s="193"/>
      <c r="AG844" s="107" t="s">
        <v>862</v>
      </c>
      <c r="AH844" s="107">
        <f>INDEX('DEFAULT DATA'!$WD$9:$WJ$41,START!$C$3,1)</f>
        <v>202</v>
      </c>
      <c r="AI844" s="115">
        <f>INDEX('DEFAULT DATA'!$AGR$9:$AJS$41,START!$C$3,(2+(($C$140-1)*8)))/IF($C$140&lt;5,INDEX('DEFAULT DATA'!$XS$9:$XV$41,START!$C$3,$C$140),1)</f>
        <v>32.409999999999997</v>
      </c>
      <c r="AJ844" s="115"/>
      <c r="AK844" s="180">
        <v>0</v>
      </c>
      <c r="AL844" s="123">
        <f t="shared" ref="AL844:BN844" si="960">IF(AND(AL$842&gt;($I$140+2020),AL$842&lt;($J$140+2022)),AK844+($AH$844*$E$140*$AI$844/($J$140-$I$140+1)/1000000),AK844)</f>
        <v>0</v>
      </c>
      <c r="AM844" s="123">
        <f t="shared" si="960"/>
        <v>0</v>
      </c>
      <c r="AN844" s="123">
        <f t="shared" si="960"/>
        <v>0</v>
      </c>
      <c r="AO844" s="123">
        <f t="shared" si="960"/>
        <v>0</v>
      </c>
      <c r="AP844" s="123">
        <f t="shared" si="960"/>
        <v>0</v>
      </c>
      <c r="AQ844" s="123">
        <f t="shared" si="960"/>
        <v>0</v>
      </c>
      <c r="AR844" s="123">
        <f t="shared" si="960"/>
        <v>0</v>
      </c>
      <c r="AS844" s="123">
        <f t="shared" si="960"/>
        <v>0</v>
      </c>
      <c r="AT844" s="123">
        <f t="shared" si="960"/>
        <v>0</v>
      </c>
      <c r="AU844" s="123">
        <f t="shared" si="960"/>
        <v>0</v>
      </c>
      <c r="AV844" s="123">
        <f t="shared" si="960"/>
        <v>0</v>
      </c>
      <c r="AW844" s="123">
        <f t="shared" si="960"/>
        <v>0</v>
      </c>
      <c r="AX844" s="123">
        <f t="shared" si="960"/>
        <v>0</v>
      </c>
      <c r="AY844" s="123">
        <f t="shared" si="960"/>
        <v>0</v>
      </c>
      <c r="AZ844" s="123">
        <f t="shared" si="960"/>
        <v>0</v>
      </c>
      <c r="BA844" s="123">
        <f t="shared" si="960"/>
        <v>0</v>
      </c>
      <c r="BB844" s="123">
        <f t="shared" si="960"/>
        <v>0</v>
      </c>
      <c r="BC844" s="123">
        <f t="shared" si="960"/>
        <v>0</v>
      </c>
      <c r="BD844" s="123">
        <f t="shared" si="960"/>
        <v>0</v>
      </c>
      <c r="BE844" s="123">
        <f t="shared" si="960"/>
        <v>0</v>
      </c>
      <c r="BF844" s="123">
        <f t="shared" si="960"/>
        <v>0</v>
      </c>
      <c r="BG844" s="123">
        <f t="shared" si="960"/>
        <v>0</v>
      </c>
      <c r="BH844" s="123">
        <f t="shared" si="960"/>
        <v>0</v>
      </c>
      <c r="BI844" s="123">
        <f t="shared" si="960"/>
        <v>0</v>
      </c>
      <c r="BJ844" s="123">
        <f t="shared" si="960"/>
        <v>0</v>
      </c>
      <c r="BK844" s="123">
        <f t="shared" si="960"/>
        <v>0</v>
      </c>
      <c r="BL844" s="123">
        <f t="shared" si="960"/>
        <v>0</v>
      </c>
      <c r="BM844" s="123">
        <f t="shared" si="960"/>
        <v>0</v>
      </c>
      <c r="BN844" s="159">
        <f t="shared" si="960"/>
        <v>0</v>
      </c>
      <c r="BP844" s="367" t="s">
        <v>862</v>
      </c>
      <c r="BQ844" s="1536" t="str">
        <f t="shared" ref="BQ844:BQ850" si="961">CONCATENATE("GHG_",BP844,"a = GHG_",BP844,"a-1 + (E139 * ",CI844," * ",CK844," / (",CJ844,") / 1000000)")</f>
        <v>GHG_Gasa = GHG_Gasa-1 + (E139 * BUI_COL (307 + ((C139 - 1) * 8) * BUI_COL1 / (J139-I139+1) / 1000000)</v>
      </c>
      <c r="BR844" s="1544"/>
      <c r="BS844" s="1544"/>
      <c r="BT844" s="1544"/>
      <c r="BU844" s="1544"/>
      <c r="BV844" s="1544"/>
      <c r="BW844" s="1544"/>
      <c r="BX844" s="1544"/>
      <c r="BY844" s="1544"/>
      <c r="BZ844" s="1544"/>
      <c r="CA844" s="1544"/>
      <c r="CB844" s="1544"/>
      <c r="CC844" s="1544"/>
      <c r="CD844" s="1544"/>
      <c r="CE844" s="1544"/>
      <c r="CF844" s="1544"/>
      <c r="CG844" s="1544"/>
      <c r="CH844" s="1537"/>
      <c r="CI844" s="578" t="s">
        <v>2251</v>
      </c>
      <c r="CJ844" s="367" t="s">
        <v>2234</v>
      </c>
      <c r="CK844" s="367" t="s">
        <v>886</v>
      </c>
      <c r="CL844" s="580"/>
    </row>
    <row r="845" spans="32:90" ht="20.100000000000001" customHeight="1">
      <c r="AF845" s="193"/>
      <c r="AG845" s="107" t="s">
        <v>863</v>
      </c>
      <c r="AH845" s="107">
        <f>INDEX('DEFAULT DATA'!$WD$9:$WJ$41,START!$C$3,2)</f>
        <v>267</v>
      </c>
      <c r="AI845" s="115">
        <f>INDEX('DEFAULT DATA'!$AGR$9:$AJS$41,START!$C$3,(3+(($C$140-1)*8)))/IF($C$140&lt;5,INDEX('DEFAULT DATA'!$XS$9:$XV$41,START!$C$3,$C$140),1)</f>
        <v>27.01</v>
      </c>
      <c r="AJ845" s="115"/>
      <c r="AK845" s="180">
        <v>0</v>
      </c>
      <c r="AL845" s="123">
        <f t="shared" ref="AL845:BN845" si="962">IF(AND(AL$842&gt;($I$140+2020),AL$842&lt;($J$140+2022)),AK845+($AH$845*$E$140*$AI$845/($J$140-$I$140+1)/1000000),AK845)</f>
        <v>0</v>
      </c>
      <c r="AM845" s="123">
        <f t="shared" si="962"/>
        <v>0</v>
      </c>
      <c r="AN845" s="123">
        <f t="shared" si="962"/>
        <v>0</v>
      </c>
      <c r="AO845" s="123">
        <f t="shared" si="962"/>
        <v>0</v>
      </c>
      <c r="AP845" s="123">
        <f t="shared" si="962"/>
        <v>0</v>
      </c>
      <c r="AQ845" s="123">
        <f t="shared" si="962"/>
        <v>0</v>
      </c>
      <c r="AR845" s="123">
        <f t="shared" si="962"/>
        <v>0</v>
      </c>
      <c r="AS845" s="123">
        <f t="shared" si="962"/>
        <v>0</v>
      </c>
      <c r="AT845" s="123">
        <f t="shared" si="962"/>
        <v>0</v>
      </c>
      <c r="AU845" s="123">
        <f t="shared" si="962"/>
        <v>0</v>
      </c>
      <c r="AV845" s="123">
        <f t="shared" si="962"/>
        <v>0</v>
      </c>
      <c r="AW845" s="123">
        <f t="shared" si="962"/>
        <v>0</v>
      </c>
      <c r="AX845" s="123">
        <f t="shared" si="962"/>
        <v>0</v>
      </c>
      <c r="AY845" s="123">
        <f t="shared" si="962"/>
        <v>0</v>
      </c>
      <c r="AZ845" s="123">
        <f t="shared" si="962"/>
        <v>0</v>
      </c>
      <c r="BA845" s="123">
        <f t="shared" si="962"/>
        <v>0</v>
      </c>
      <c r="BB845" s="123">
        <f t="shared" si="962"/>
        <v>0</v>
      </c>
      <c r="BC845" s="123">
        <f t="shared" si="962"/>
        <v>0</v>
      </c>
      <c r="BD845" s="123">
        <f t="shared" si="962"/>
        <v>0</v>
      </c>
      <c r="BE845" s="123">
        <f t="shared" si="962"/>
        <v>0</v>
      </c>
      <c r="BF845" s="123">
        <f t="shared" si="962"/>
        <v>0</v>
      </c>
      <c r="BG845" s="123">
        <f t="shared" si="962"/>
        <v>0</v>
      </c>
      <c r="BH845" s="123">
        <f t="shared" si="962"/>
        <v>0</v>
      </c>
      <c r="BI845" s="123">
        <f t="shared" si="962"/>
        <v>0</v>
      </c>
      <c r="BJ845" s="123">
        <f t="shared" si="962"/>
        <v>0</v>
      </c>
      <c r="BK845" s="123">
        <f t="shared" si="962"/>
        <v>0</v>
      </c>
      <c r="BL845" s="123">
        <f t="shared" si="962"/>
        <v>0</v>
      </c>
      <c r="BM845" s="123">
        <f t="shared" si="962"/>
        <v>0</v>
      </c>
      <c r="BN845" s="159">
        <f t="shared" si="962"/>
        <v>0</v>
      </c>
      <c r="BP845" s="367" t="s">
        <v>863</v>
      </c>
      <c r="BQ845" s="1536" t="str">
        <f t="shared" si="961"/>
        <v>GHG_Oila = GHG_Oila-1 + (E139 * BUI_COL (307 + ((C139 - 1) * 8) * BUI_COL2 / (J139-I139+1) / 1000000)</v>
      </c>
      <c r="BR845" s="1544"/>
      <c r="BS845" s="1544"/>
      <c r="BT845" s="1544"/>
      <c r="BU845" s="1544"/>
      <c r="BV845" s="1544"/>
      <c r="BW845" s="1544"/>
      <c r="BX845" s="1544"/>
      <c r="BY845" s="1544"/>
      <c r="BZ845" s="1544"/>
      <c r="CA845" s="1544"/>
      <c r="CB845" s="1544"/>
      <c r="CC845" s="1544"/>
      <c r="CD845" s="1544"/>
      <c r="CE845" s="1544"/>
      <c r="CF845" s="1544"/>
      <c r="CG845" s="1544"/>
      <c r="CH845" s="1537"/>
      <c r="CI845" s="578" t="s">
        <v>2251</v>
      </c>
      <c r="CJ845" s="367" t="s">
        <v>2234</v>
      </c>
      <c r="CK845" s="367" t="s">
        <v>1247</v>
      </c>
      <c r="CL845" s="580"/>
    </row>
    <row r="846" spans="32:90" ht="20.100000000000001" customHeight="1">
      <c r="AF846" s="193"/>
      <c r="AG846" s="107" t="s">
        <v>864</v>
      </c>
      <c r="AH846" s="107">
        <f>INDEX('DEFAULT DATA'!$WD$9:$WJ$41,START!$C$3,3)</f>
        <v>354</v>
      </c>
      <c r="AI846" s="115">
        <f>INDEX('DEFAULT DATA'!$AGR$9:$AJS$41,START!$C$3,(4+(($C$140-1)*8)))/IF($C$140&lt;5,INDEX('DEFAULT DATA'!$XS$9:$XV$41,START!$C$3,$C$140),1)</f>
        <v>0</v>
      </c>
      <c r="AJ846" s="115"/>
      <c r="AK846" s="180">
        <v>0</v>
      </c>
      <c r="AL846" s="123">
        <f t="shared" ref="AL846:BN846" si="963">IF(AND(AL$842&gt;($I$140+2020),AL$842&lt;($J$140+2022)),AK846+($AH$846*$E$140*$AI$846/($J$140-$I$140+1)/1000000),AK846)</f>
        <v>0</v>
      </c>
      <c r="AM846" s="123">
        <f t="shared" si="963"/>
        <v>0</v>
      </c>
      <c r="AN846" s="123">
        <f t="shared" si="963"/>
        <v>0</v>
      </c>
      <c r="AO846" s="123">
        <f t="shared" si="963"/>
        <v>0</v>
      </c>
      <c r="AP846" s="123">
        <f t="shared" si="963"/>
        <v>0</v>
      </c>
      <c r="AQ846" s="123">
        <f t="shared" si="963"/>
        <v>0</v>
      </c>
      <c r="AR846" s="123">
        <f t="shared" si="963"/>
        <v>0</v>
      </c>
      <c r="AS846" s="123">
        <f t="shared" si="963"/>
        <v>0</v>
      </c>
      <c r="AT846" s="123">
        <f t="shared" si="963"/>
        <v>0</v>
      </c>
      <c r="AU846" s="123">
        <f t="shared" si="963"/>
        <v>0</v>
      </c>
      <c r="AV846" s="123">
        <f t="shared" si="963"/>
        <v>0</v>
      </c>
      <c r="AW846" s="123">
        <f t="shared" si="963"/>
        <v>0</v>
      </c>
      <c r="AX846" s="123">
        <f t="shared" si="963"/>
        <v>0</v>
      </c>
      <c r="AY846" s="123">
        <f t="shared" si="963"/>
        <v>0</v>
      </c>
      <c r="AZ846" s="123">
        <f t="shared" si="963"/>
        <v>0</v>
      </c>
      <c r="BA846" s="123">
        <f t="shared" si="963"/>
        <v>0</v>
      </c>
      <c r="BB846" s="123">
        <f t="shared" si="963"/>
        <v>0</v>
      </c>
      <c r="BC846" s="123">
        <f t="shared" si="963"/>
        <v>0</v>
      </c>
      <c r="BD846" s="123">
        <f t="shared" si="963"/>
        <v>0</v>
      </c>
      <c r="BE846" s="123">
        <f t="shared" si="963"/>
        <v>0</v>
      </c>
      <c r="BF846" s="123">
        <f t="shared" si="963"/>
        <v>0</v>
      </c>
      <c r="BG846" s="123">
        <f t="shared" si="963"/>
        <v>0</v>
      </c>
      <c r="BH846" s="123">
        <f t="shared" si="963"/>
        <v>0</v>
      </c>
      <c r="BI846" s="123">
        <f t="shared" si="963"/>
        <v>0</v>
      </c>
      <c r="BJ846" s="123">
        <f t="shared" si="963"/>
        <v>0</v>
      </c>
      <c r="BK846" s="123">
        <f t="shared" si="963"/>
        <v>0</v>
      </c>
      <c r="BL846" s="123">
        <f t="shared" si="963"/>
        <v>0</v>
      </c>
      <c r="BM846" s="123">
        <f t="shared" si="963"/>
        <v>0</v>
      </c>
      <c r="BN846" s="159">
        <f t="shared" si="963"/>
        <v>0</v>
      </c>
      <c r="BP846" s="367" t="s">
        <v>864</v>
      </c>
      <c r="BQ846" s="1536" t="str">
        <f t="shared" si="961"/>
        <v>GHG_Coala = GHG_Coala-1 + (E139 * BUI_COL (307 + ((C139 - 1) * 8) * BUI_COL3 / (J139-I139+1) / 1000000)</v>
      </c>
      <c r="BR846" s="1544"/>
      <c r="BS846" s="1544"/>
      <c r="BT846" s="1544"/>
      <c r="BU846" s="1544"/>
      <c r="BV846" s="1544"/>
      <c r="BW846" s="1544"/>
      <c r="BX846" s="1544"/>
      <c r="BY846" s="1544"/>
      <c r="BZ846" s="1544"/>
      <c r="CA846" s="1544"/>
      <c r="CB846" s="1544"/>
      <c r="CC846" s="1544"/>
      <c r="CD846" s="1544"/>
      <c r="CE846" s="1544"/>
      <c r="CF846" s="1544"/>
      <c r="CG846" s="1544"/>
      <c r="CH846" s="1537"/>
      <c r="CI846" s="578" t="s">
        <v>2251</v>
      </c>
      <c r="CJ846" s="367" t="s">
        <v>2234</v>
      </c>
      <c r="CK846" s="367" t="s">
        <v>1248</v>
      </c>
      <c r="CL846" s="580"/>
    </row>
    <row r="847" spans="32:90" ht="20.100000000000001" customHeight="1">
      <c r="AF847" s="193"/>
      <c r="AG847" s="107" t="s">
        <v>865</v>
      </c>
      <c r="AH847" s="107">
        <f>INDEX('DEFAULT DATA'!$WD$9:$WJ$41,START!$C$3,4)</f>
        <v>382</v>
      </c>
      <c r="AI847" s="115">
        <f>INDEX('DEFAULT DATA'!$AGR$9:$AJS$41,START!$C$3,(5+(($C$140-1)*8)))/IF($C$140&lt;5,INDEX('DEFAULT DATA'!$XS$9:$XV$41,START!$C$3,$C$140),1)</f>
        <v>2.52</v>
      </c>
      <c r="AJ847" s="115"/>
      <c r="AK847" s="180">
        <v>0</v>
      </c>
      <c r="AL847" s="123">
        <f t="shared" ref="AL847:BN847" si="964">IF(AND(AL$842&gt;($I$140+2020),AL$842&lt;($J$140+2022)),AK847+($AH$847*$E$140*$AI$847/($J$140-$I$140+1)/1000000),AK847)</f>
        <v>0</v>
      </c>
      <c r="AM847" s="123">
        <f t="shared" si="964"/>
        <v>0</v>
      </c>
      <c r="AN847" s="123">
        <f t="shared" si="964"/>
        <v>0</v>
      </c>
      <c r="AO847" s="123">
        <f t="shared" si="964"/>
        <v>0</v>
      </c>
      <c r="AP847" s="123">
        <f t="shared" si="964"/>
        <v>0</v>
      </c>
      <c r="AQ847" s="123">
        <f t="shared" si="964"/>
        <v>0</v>
      </c>
      <c r="AR847" s="123">
        <f t="shared" si="964"/>
        <v>0</v>
      </c>
      <c r="AS847" s="123">
        <f t="shared" si="964"/>
        <v>0</v>
      </c>
      <c r="AT847" s="123">
        <f t="shared" si="964"/>
        <v>0</v>
      </c>
      <c r="AU847" s="123">
        <f t="shared" si="964"/>
        <v>0</v>
      </c>
      <c r="AV847" s="123">
        <f t="shared" si="964"/>
        <v>0</v>
      </c>
      <c r="AW847" s="123">
        <f t="shared" si="964"/>
        <v>0</v>
      </c>
      <c r="AX847" s="123">
        <f t="shared" si="964"/>
        <v>0</v>
      </c>
      <c r="AY847" s="123">
        <f t="shared" si="964"/>
        <v>0</v>
      </c>
      <c r="AZ847" s="123">
        <f t="shared" si="964"/>
        <v>0</v>
      </c>
      <c r="BA847" s="123">
        <f t="shared" si="964"/>
        <v>0</v>
      </c>
      <c r="BB847" s="123">
        <f t="shared" si="964"/>
        <v>0</v>
      </c>
      <c r="BC847" s="123">
        <f t="shared" si="964"/>
        <v>0</v>
      </c>
      <c r="BD847" s="123">
        <f t="shared" si="964"/>
        <v>0</v>
      </c>
      <c r="BE847" s="123">
        <f t="shared" si="964"/>
        <v>0</v>
      </c>
      <c r="BF847" s="123">
        <f t="shared" si="964"/>
        <v>0</v>
      </c>
      <c r="BG847" s="123">
        <f t="shared" si="964"/>
        <v>0</v>
      </c>
      <c r="BH847" s="123">
        <f t="shared" si="964"/>
        <v>0</v>
      </c>
      <c r="BI847" s="123">
        <f t="shared" si="964"/>
        <v>0</v>
      </c>
      <c r="BJ847" s="123">
        <f t="shared" si="964"/>
        <v>0</v>
      </c>
      <c r="BK847" s="123">
        <f t="shared" si="964"/>
        <v>0</v>
      </c>
      <c r="BL847" s="123">
        <f t="shared" si="964"/>
        <v>0</v>
      </c>
      <c r="BM847" s="123">
        <f t="shared" si="964"/>
        <v>0</v>
      </c>
      <c r="BN847" s="159">
        <f t="shared" si="964"/>
        <v>0</v>
      </c>
      <c r="BP847" s="367" t="s">
        <v>865</v>
      </c>
      <c r="BQ847" s="1536" t="str">
        <f t="shared" si="961"/>
        <v>GHG_Peata = GHG_Peata-1 + (E139 * BUI_COL (307 + ((C139 - 1) * 8) * BUI_COL4 / (J139-I139+1) / 1000000)</v>
      </c>
      <c r="BR847" s="1544"/>
      <c r="BS847" s="1544"/>
      <c r="BT847" s="1544"/>
      <c r="BU847" s="1544"/>
      <c r="BV847" s="1544"/>
      <c r="BW847" s="1544"/>
      <c r="BX847" s="1544"/>
      <c r="BY847" s="1544"/>
      <c r="BZ847" s="1544"/>
      <c r="CA847" s="1544"/>
      <c r="CB847" s="1544"/>
      <c r="CC847" s="1544"/>
      <c r="CD847" s="1544"/>
      <c r="CE847" s="1544"/>
      <c r="CF847" s="1544"/>
      <c r="CG847" s="1544"/>
      <c r="CH847" s="1537"/>
      <c r="CI847" s="578" t="s">
        <v>2251</v>
      </c>
      <c r="CJ847" s="367" t="s">
        <v>2234</v>
      </c>
      <c r="CK847" s="367" t="s">
        <v>1249</v>
      </c>
      <c r="CL847" s="580"/>
    </row>
    <row r="848" spans="32:90" ht="20.100000000000001" customHeight="1">
      <c r="AF848" s="193"/>
      <c r="AG848" s="107" t="s">
        <v>866</v>
      </c>
      <c r="AH848" s="107">
        <f>INDEX('DEFAULT DATA'!$WD$9:$WJ$41,START!$C$3,5)</f>
        <v>403</v>
      </c>
      <c r="AI848" s="115">
        <f>INDEX('DEFAULT DATA'!$AGR$9:$AJS$41,START!$C$3,(6+(($C$140-1)*8)))/IF($C$140&lt;5,INDEX('DEFAULT DATA'!$XS$9:$XV$41,START!$C$3,$C$140),1)</f>
        <v>3.06</v>
      </c>
      <c r="AJ848" s="115"/>
      <c r="AK848" s="180">
        <v>0</v>
      </c>
      <c r="AL848" s="123">
        <f t="shared" ref="AL848:BN848" si="965">IF(AND(AL$842&gt;($I$140+2020),AL$842&lt;($J$140+2022)),AK848+($AH$848*$E$140*$AI$848/($J$140-$I$140+1)/1000000),AK848)</f>
        <v>0</v>
      </c>
      <c r="AM848" s="123">
        <f t="shared" si="965"/>
        <v>0</v>
      </c>
      <c r="AN848" s="123">
        <f t="shared" si="965"/>
        <v>0</v>
      </c>
      <c r="AO848" s="123">
        <f t="shared" si="965"/>
        <v>0</v>
      </c>
      <c r="AP848" s="123">
        <f t="shared" si="965"/>
        <v>0</v>
      </c>
      <c r="AQ848" s="123">
        <f t="shared" si="965"/>
        <v>0</v>
      </c>
      <c r="AR848" s="123">
        <f t="shared" si="965"/>
        <v>0</v>
      </c>
      <c r="AS848" s="123">
        <f t="shared" si="965"/>
        <v>0</v>
      </c>
      <c r="AT848" s="123">
        <f t="shared" si="965"/>
        <v>0</v>
      </c>
      <c r="AU848" s="123">
        <f t="shared" si="965"/>
        <v>0</v>
      </c>
      <c r="AV848" s="123">
        <f t="shared" si="965"/>
        <v>0</v>
      </c>
      <c r="AW848" s="123">
        <f t="shared" si="965"/>
        <v>0</v>
      </c>
      <c r="AX848" s="123">
        <f t="shared" si="965"/>
        <v>0</v>
      </c>
      <c r="AY848" s="123">
        <f t="shared" si="965"/>
        <v>0</v>
      </c>
      <c r="AZ848" s="123">
        <f t="shared" si="965"/>
        <v>0</v>
      </c>
      <c r="BA848" s="123">
        <f t="shared" si="965"/>
        <v>0</v>
      </c>
      <c r="BB848" s="123">
        <f t="shared" si="965"/>
        <v>0</v>
      </c>
      <c r="BC848" s="123">
        <f t="shared" si="965"/>
        <v>0</v>
      </c>
      <c r="BD848" s="123">
        <f t="shared" si="965"/>
        <v>0</v>
      </c>
      <c r="BE848" s="123">
        <f t="shared" si="965"/>
        <v>0</v>
      </c>
      <c r="BF848" s="123">
        <f t="shared" si="965"/>
        <v>0</v>
      </c>
      <c r="BG848" s="123">
        <f t="shared" si="965"/>
        <v>0</v>
      </c>
      <c r="BH848" s="123">
        <f t="shared" si="965"/>
        <v>0</v>
      </c>
      <c r="BI848" s="123">
        <f t="shared" si="965"/>
        <v>0</v>
      </c>
      <c r="BJ848" s="123">
        <f t="shared" si="965"/>
        <v>0</v>
      </c>
      <c r="BK848" s="123">
        <f t="shared" si="965"/>
        <v>0</v>
      </c>
      <c r="BL848" s="123">
        <f t="shared" si="965"/>
        <v>0</v>
      </c>
      <c r="BM848" s="123">
        <f t="shared" si="965"/>
        <v>0</v>
      </c>
      <c r="BN848" s="159">
        <f t="shared" si="965"/>
        <v>0</v>
      </c>
      <c r="BP848" s="367" t="s">
        <v>866</v>
      </c>
      <c r="BQ848" s="1536" t="str">
        <f t="shared" si="961"/>
        <v>GHG_Wooda = GHG_Wooda-1 + (E139 * BUI_COL (307 + ((C139 - 1) * 8) * BUI_COL5 / (J139-I139+1) / 1000000)</v>
      </c>
      <c r="BR848" s="1544"/>
      <c r="BS848" s="1544"/>
      <c r="BT848" s="1544"/>
      <c r="BU848" s="1544"/>
      <c r="BV848" s="1544"/>
      <c r="BW848" s="1544"/>
      <c r="BX848" s="1544"/>
      <c r="BY848" s="1544"/>
      <c r="BZ848" s="1544"/>
      <c r="CA848" s="1544"/>
      <c r="CB848" s="1544"/>
      <c r="CC848" s="1544"/>
      <c r="CD848" s="1544"/>
      <c r="CE848" s="1544"/>
      <c r="CF848" s="1544"/>
      <c r="CG848" s="1544"/>
      <c r="CH848" s="1537"/>
      <c r="CI848" s="578" t="s">
        <v>2251</v>
      </c>
      <c r="CJ848" s="367" t="s">
        <v>2234</v>
      </c>
      <c r="CK848" s="367" t="s">
        <v>1250</v>
      </c>
      <c r="CL848" s="580"/>
    </row>
    <row r="849" spans="32:90" ht="20.100000000000001" customHeight="1">
      <c r="AF849" s="193"/>
      <c r="AG849" s="107" t="s">
        <v>867</v>
      </c>
      <c r="AH849" s="107">
        <f>INDEX('DEFAULT DATA'!$WD$9:$WJ$41,START!$C$3,6)</f>
        <v>0</v>
      </c>
      <c r="AI849" s="115">
        <f>INDEX('DEFAULT DATA'!$AGR$9:$AJS$41,START!$C$3,(7+(($C$140-1)*8)))/IF($C$140&lt;5,INDEX('DEFAULT DATA'!$XS$9:$XV$41,START!$C$3,$C$140),1)</f>
        <v>0</v>
      </c>
      <c r="AJ849" s="115"/>
      <c r="AK849" s="180">
        <v>0</v>
      </c>
      <c r="AL849" s="123">
        <f t="shared" ref="AL849:BN849" si="966">IF(AND(AL$842&gt;($I$140+2020),AL$842&lt;($J$140+2022)),AK849+($AH$849*$E$140*$AI$849/($J$140-$I$140+1)/1000000),AK849)</f>
        <v>0</v>
      </c>
      <c r="AM849" s="123">
        <f t="shared" si="966"/>
        <v>0</v>
      </c>
      <c r="AN849" s="123">
        <f t="shared" si="966"/>
        <v>0</v>
      </c>
      <c r="AO849" s="123">
        <f t="shared" si="966"/>
        <v>0</v>
      </c>
      <c r="AP849" s="123">
        <f t="shared" si="966"/>
        <v>0</v>
      </c>
      <c r="AQ849" s="123">
        <f t="shared" si="966"/>
        <v>0</v>
      </c>
      <c r="AR849" s="123">
        <f t="shared" si="966"/>
        <v>0</v>
      </c>
      <c r="AS849" s="123">
        <f t="shared" si="966"/>
        <v>0</v>
      </c>
      <c r="AT849" s="123">
        <f t="shared" si="966"/>
        <v>0</v>
      </c>
      <c r="AU849" s="123">
        <f t="shared" si="966"/>
        <v>0</v>
      </c>
      <c r="AV849" s="123">
        <f t="shared" si="966"/>
        <v>0</v>
      </c>
      <c r="AW849" s="123">
        <f t="shared" si="966"/>
        <v>0</v>
      </c>
      <c r="AX849" s="123">
        <f t="shared" si="966"/>
        <v>0</v>
      </c>
      <c r="AY849" s="123">
        <f t="shared" si="966"/>
        <v>0</v>
      </c>
      <c r="AZ849" s="123">
        <f t="shared" si="966"/>
        <v>0</v>
      </c>
      <c r="BA849" s="123">
        <f t="shared" si="966"/>
        <v>0</v>
      </c>
      <c r="BB849" s="123">
        <f t="shared" si="966"/>
        <v>0</v>
      </c>
      <c r="BC849" s="123">
        <f t="shared" si="966"/>
        <v>0</v>
      </c>
      <c r="BD849" s="123">
        <f t="shared" si="966"/>
        <v>0</v>
      </c>
      <c r="BE849" s="123">
        <f t="shared" si="966"/>
        <v>0</v>
      </c>
      <c r="BF849" s="123">
        <f t="shared" si="966"/>
        <v>0</v>
      </c>
      <c r="BG849" s="123">
        <f t="shared" si="966"/>
        <v>0</v>
      </c>
      <c r="BH849" s="123">
        <f t="shared" si="966"/>
        <v>0</v>
      </c>
      <c r="BI849" s="123">
        <f t="shared" si="966"/>
        <v>0</v>
      </c>
      <c r="BJ849" s="123">
        <f t="shared" si="966"/>
        <v>0</v>
      </c>
      <c r="BK849" s="123">
        <f t="shared" si="966"/>
        <v>0</v>
      </c>
      <c r="BL849" s="123">
        <f t="shared" si="966"/>
        <v>0</v>
      </c>
      <c r="BM849" s="123">
        <f t="shared" si="966"/>
        <v>0</v>
      </c>
      <c r="BN849" s="159">
        <f t="shared" si="966"/>
        <v>0</v>
      </c>
      <c r="BP849" s="367" t="s">
        <v>867</v>
      </c>
      <c r="BQ849" s="1536" t="str">
        <f t="shared" si="961"/>
        <v>GHG_Renewablea = GHG_Renewablea-1 + (E139 * BUI_COL (307 + ((C139 - 1) * 8) * BUI_COL6 / (J139-I139+1) / 1000000)</v>
      </c>
      <c r="BR849" s="1544"/>
      <c r="BS849" s="1544"/>
      <c r="BT849" s="1544"/>
      <c r="BU849" s="1544"/>
      <c r="BV849" s="1544"/>
      <c r="BW849" s="1544"/>
      <c r="BX849" s="1544"/>
      <c r="BY849" s="1544"/>
      <c r="BZ849" s="1544"/>
      <c r="CA849" s="1544"/>
      <c r="CB849" s="1544"/>
      <c r="CC849" s="1544"/>
      <c r="CD849" s="1544"/>
      <c r="CE849" s="1544"/>
      <c r="CF849" s="1544"/>
      <c r="CG849" s="1544"/>
      <c r="CH849" s="1537"/>
      <c r="CI849" s="578" t="s">
        <v>2251</v>
      </c>
      <c r="CJ849" s="367" t="s">
        <v>2234</v>
      </c>
      <c r="CK849" s="367" t="s">
        <v>1251</v>
      </c>
      <c r="CL849" s="580"/>
    </row>
    <row r="850" spans="32:90" ht="20.100000000000001" customHeight="1" thickBot="1">
      <c r="AF850" s="194"/>
      <c r="AG850" s="146" t="s">
        <v>868</v>
      </c>
      <c r="AH850" s="146" t="s">
        <v>1123</v>
      </c>
      <c r="AI850" s="170">
        <f>INDEX('DEFAULT DATA'!$AGR$9:$AJS$41,START!$C$3,(8+(($C$140-1)*8)))/IF($C$140&lt;5,INDEX('DEFAULT DATA'!$XS$9:$XV$41,START!$C$3,$C$140),1)</f>
        <v>4.4965266808490847E-2</v>
      </c>
      <c r="AJ850" s="170"/>
      <c r="AK850" s="183">
        <v>0</v>
      </c>
      <c r="AL850" s="160">
        <f t="shared" ref="AL850:BN850" si="967">IF(AND(AL$842&gt;($I$140+2020),AL$842&lt;($J$140+2022)),AK850+(AL$6*$E$140*$AI$850/($J$140-$I$140+1)/1000000),AK850)</f>
        <v>0</v>
      </c>
      <c r="AM850" s="160">
        <f t="shared" si="967"/>
        <v>0</v>
      </c>
      <c r="AN850" s="160">
        <f t="shared" si="967"/>
        <v>0</v>
      </c>
      <c r="AO850" s="160">
        <f t="shared" si="967"/>
        <v>0</v>
      </c>
      <c r="AP850" s="160">
        <f t="shared" si="967"/>
        <v>0</v>
      </c>
      <c r="AQ850" s="160">
        <f t="shared" si="967"/>
        <v>0</v>
      </c>
      <c r="AR850" s="160">
        <f t="shared" si="967"/>
        <v>0</v>
      </c>
      <c r="AS850" s="160">
        <f t="shared" si="967"/>
        <v>0</v>
      </c>
      <c r="AT850" s="160">
        <f t="shared" si="967"/>
        <v>0</v>
      </c>
      <c r="AU850" s="160">
        <f t="shared" si="967"/>
        <v>0</v>
      </c>
      <c r="AV850" s="160">
        <f t="shared" si="967"/>
        <v>0</v>
      </c>
      <c r="AW850" s="160">
        <f t="shared" si="967"/>
        <v>0</v>
      </c>
      <c r="AX850" s="160">
        <f t="shared" si="967"/>
        <v>0</v>
      </c>
      <c r="AY850" s="160">
        <f t="shared" si="967"/>
        <v>0</v>
      </c>
      <c r="AZ850" s="160">
        <f t="shared" si="967"/>
        <v>0</v>
      </c>
      <c r="BA850" s="160">
        <f t="shared" si="967"/>
        <v>0</v>
      </c>
      <c r="BB850" s="160">
        <f t="shared" si="967"/>
        <v>0</v>
      </c>
      <c r="BC850" s="160">
        <f t="shared" si="967"/>
        <v>0</v>
      </c>
      <c r="BD850" s="160">
        <f t="shared" si="967"/>
        <v>0</v>
      </c>
      <c r="BE850" s="160">
        <f t="shared" si="967"/>
        <v>0</v>
      </c>
      <c r="BF850" s="160">
        <f t="shared" si="967"/>
        <v>0</v>
      </c>
      <c r="BG850" s="160">
        <f t="shared" si="967"/>
        <v>0</v>
      </c>
      <c r="BH850" s="160">
        <f t="shared" si="967"/>
        <v>0</v>
      </c>
      <c r="BI850" s="160">
        <f t="shared" si="967"/>
        <v>0</v>
      </c>
      <c r="BJ850" s="160">
        <f t="shared" si="967"/>
        <v>0</v>
      </c>
      <c r="BK850" s="160">
        <f t="shared" si="967"/>
        <v>0</v>
      </c>
      <c r="BL850" s="160">
        <f t="shared" si="967"/>
        <v>0</v>
      </c>
      <c r="BM850" s="160">
        <f t="shared" si="967"/>
        <v>0</v>
      </c>
      <c r="BN850" s="161">
        <f t="shared" si="967"/>
        <v>0</v>
      </c>
      <c r="BP850" s="367" t="s">
        <v>868</v>
      </c>
      <c r="BQ850" s="1536" t="str">
        <f t="shared" si="961"/>
        <v>GHG_Heata = GHG_Heata-1 + (E139 * BUI_COL (307 + ((C139 - 1) * 8) * DISTRICT_HEATING_emission_factora (from row 5) / (J139-I139+1) / 1000000)</v>
      </c>
      <c r="BR850" s="1544"/>
      <c r="BS850" s="1544"/>
      <c r="BT850" s="1544"/>
      <c r="BU850" s="1544"/>
      <c r="BV850" s="1544"/>
      <c r="BW850" s="1544"/>
      <c r="BX850" s="1544"/>
      <c r="BY850" s="1544"/>
      <c r="BZ850" s="1544"/>
      <c r="CA850" s="1544"/>
      <c r="CB850" s="1544"/>
      <c r="CC850" s="1544"/>
      <c r="CD850" s="1544"/>
      <c r="CE850" s="1544"/>
      <c r="CF850" s="1544"/>
      <c r="CG850" s="1544"/>
      <c r="CH850" s="1537"/>
      <c r="CI850" s="578" t="s">
        <v>2251</v>
      </c>
      <c r="CJ850" s="367" t="s">
        <v>2234</v>
      </c>
      <c r="CK850" s="367" t="s">
        <v>2222</v>
      </c>
      <c r="CL850" s="580"/>
    </row>
    <row r="851" spans="32:90" ht="20.100000000000001" customHeight="1">
      <c r="AF851" s="167"/>
      <c r="AG851" s="144" t="s">
        <v>211</v>
      </c>
      <c r="AH851" s="145"/>
      <c r="AI851" s="145"/>
      <c r="AJ851" s="145"/>
      <c r="AK851" s="179">
        <v>0</v>
      </c>
      <c r="AL851" s="162">
        <f>SUM(AL843:AL850)</f>
        <v>0</v>
      </c>
      <c r="AM851" s="162">
        <f t="shared" ref="AM851:BN851" si="968">SUM(AM843:AM850)</f>
        <v>0</v>
      </c>
      <c r="AN851" s="162">
        <f t="shared" si="968"/>
        <v>0</v>
      </c>
      <c r="AO851" s="162">
        <f t="shared" si="968"/>
        <v>0</v>
      </c>
      <c r="AP851" s="162">
        <f t="shared" si="968"/>
        <v>0</v>
      </c>
      <c r="AQ851" s="162">
        <f t="shared" si="968"/>
        <v>0</v>
      </c>
      <c r="AR851" s="162">
        <f t="shared" si="968"/>
        <v>0</v>
      </c>
      <c r="AS851" s="162">
        <f t="shared" si="968"/>
        <v>0</v>
      </c>
      <c r="AT851" s="162">
        <f t="shared" si="968"/>
        <v>0</v>
      </c>
      <c r="AU851" s="162">
        <f t="shared" si="968"/>
        <v>0</v>
      </c>
      <c r="AV851" s="162">
        <f t="shared" si="968"/>
        <v>0</v>
      </c>
      <c r="AW851" s="162">
        <f t="shared" si="968"/>
        <v>0</v>
      </c>
      <c r="AX851" s="162">
        <f t="shared" si="968"/>
        <v>0</v>
      </c>
      <c r="AY851" s="162">
        <f t="shared" si="968"/>
        <v>0</v>
      </c>
      <c r="AZ851" s="162">
        <f t="shared" si="968"/>
        <v>0</v>
      </c>
      <c r="BA851" s="162">
        <f t="shared" si="968"/>
        <v>0</v>
      </c>
      <c r="BB851" s="162">
        <f t="shared" si="968"/>
        <v>0</v>
      </c>
      <c r="BC851" s="162">
        <f t="shared" si="968"/>
        <v>0</v>
      </c>
      <c r="BD851" s="162">
        <f t="shared" si="968"/>
        <v>0</v>
      </c>
      <c r="BE851" s="162">
        <f t="shared" si="968"/>
        <v>0</v>
      </c>
      <c r="BF851" s="162">
        <f t="shared" si="968"/>
        <v>0</v>
      </c>
      <c r="BG851" s="162">
        <f t="shared" si="968"/>
        <v>0</v>
      </c>
      <c r="BH851" s="162">
        <f t="shared" si="968"/>
        <v>0</v>
      </c>
      <c r="BI851" s="162">
        <f t="shared" si="968"/>
        <v>0</v>
      </c>
      <c r="BJ851" s="162">
        <f t="shared" si="968"/>
        <v>0</v>
      </c>
      <c r="BK851" s="162">
        <f t="shared" si="968"/>
        <v>0</v>
      </c>
      <c r="BL851" s="162">
        <f t="shared" si="968"/>
        <v>0</v>
      </c>
      <c r="BM851" s="162">
        <f t="shared" si="968"/>
        <v>0</v>
      </c>
      <c r="BN851" s="162">
        <f t="shared" si="968"/>
        <v>0</v>
      </c>
      <c r="BP851" s="130"/>
      <c r="BQ851" s="130"/>
      <c r="BR851" s="130"/>
      <c r="BS851" s="130"/>
      <c r="BT851" s="130"/>
      <c r="BU851" s="130"/>
      <c r="BV851" s="130"/>
      <c r="BW851" s="130"/>
      <c r="BX851" s="130"/>
      <c r="BY851" s="130"/>
      <c r="BZ851" s="130"/>
      <c r="CA851" s="130"/>
      <c r="CB851" s="130"/>
      <c r="CC851" s="130"/>
      <c r="CD851" s="130"/>
      <c r="CE851" s="130"/>
      <c r="CF851" s="130"/>
      <c r="CG851" s="130"/>
      <c r="CH851" s="130"/>
      <c r="CI851" s="130"/>
      <c r="CJ851" s="130"/>
      <c r="CK851" s="130"/>
      <c r="CL851" s="130"/>
    </row>
    <row r="853" spans="32:90" ht="20.100000000000001" customHeight="1">
      <c r="AF853" s="141" t="s">
        <v>1185</v>
      </c>
      <c r="AG853" s="130"/>
      <c r="AH853" s="130"/>
      <c r="AI853" s="130"/>
      <c r="AJ853" s="130"/>
      <c r="AK853" s="130"/>
      <c r="AL853" s="130"/>
      <c r="AM853" s="130"/>
    </row>
    <row r="854" spans="32:90" ht="20.100000000000001" customHeight="1" thickBot="1">
      <c r="AF854" s="142" t="s">
        <v>1187</v>
      </c>
      <c r="AG854" s="143"/>
      <c r="AH854" s="143"/>
      <c r="AI854" s="149"/>
      <c r="AJ854" s="175"/>
      <c r="AK854" s="176">
        <v>2021</v>
      </c>
      <c r="AL854" s="135">
        <v>2022</v>
      </c>
      <c r="AM854" s="135">
        <f>AL854+1</f>
        <v>2023</v>
      </c>
      <c r="AN854" s="135">
        <f t="shared" ref="AN854" si="969">AM854+1</f>
        <v>2024</v>
      </c>
      <c r="AO854" s="135">
        <f t="shared" ref="AO854" si="970">AN854+1</f>
        <v>2025</v>
      </c>
      <c r="AP854" s="135">
        <f t="shared" ref="AP854" si="971">AO854+1</f>
        <v>2026</v>
      </c>
      <c r="AQ854" s="135">
        <f t="shared" ref="AQ854" si="972">AP854+1</f>
        <v>2027</v>
      </c>
      <c r="AR854" s="135">
        <f t="shared" ref="AR854" si="973">AQ854+1</f>
        <v>2028</v>
      </c>
      <c r="AS854" s="135">
        <f t="shared" ref="AS854" si="974">AR854+1</f>
        <v>2029</v>
      </c>
      <c r="AT854" s="135">
        <f t="shared" ref="AT854" si="975">AS854+1</f>
        <v>2030</v>
      </c>
      <c r="AU854" s="135">
        <f t="shared" ref="AU854" si="976">AT854+1</f>
        <v>2031</v>
      </c>
      <c r="AV854" s="135">
        <f t="shared" ref="AV854" si="977">AU854+1</f>
        <v>2032</v>
      </c>
      <c r="AW854" s="135">
        <f t="shared" ref="AW854" si="978">AV854+1</f>
        <v>2033</v>
      </c>
      <c r="AX854" s="135">
        <f t="shared" ref="AX854" si="979">AW854+1</f>
        <v>2034</v>
      </c>
      <c r="AY854" s="135">
        <f t="shared" ref="AY854" si="980">AX854+1</f>
        <v>2035</v>
      </c>
      <c r="AZ854" s="135">
        <f t="shared" ref="AZ854" si="981">AY854+1</f>
        <v>2036</v>
      </c>
      <c r="BA854" s="135">
        <f t="shared" ref="BA854" si="982">AZ854+1</f>
        <v>2037</v>
      </c>
      <c r="BB854" s="135">
        <f t="shared" ref="BB854" si="983">BA854+1</f>
        <v>2038</v>
      </c>
      <c r="BC854" s="135">
        <f t="shared" ref="BC854" si="984">BB854+1</f>
        <v>2039</v>
      </c>
      <c r="BD854" s="135">
        <f t="shared" ref="BD854" si="985">BC854+1</f>
        <v>2040</v>
      </c>
      <c r="BE854" s="135">
        <f t="shared" ref="BE854" si="986">BD854+1</f>
        <v>2041</v>
      </c>
      <c r="BF854" s="135">
        <f t="shared" ref="BF854" si="987">BE854+1</f>
        <v>2042</v>
      </c>
      <c r="BG854" s="135">
        <f t="shared" ref="BG854" si="988">BF854+1</f>
        <v>2043</v>
      </c>
      <c r="BH854" s="135">
        <f t="shared" ref="BH854" si="989">BG854+1</f>
        <v>2044</v>
      </c>
      <c r="BI854" s="135">
        <f t="shared" ref="BI854" si="990">BH854+1</f>
        <v>2045</v>
      </c>
      <c r="BJ854" s="135">
        <f t="shared" ref="BJ854" si="991">BI854+1</f>
        <v>2046</v>
      </c>
      <c r="BK854" s="135">
        <f t="shared" ref="BK854" si="992">BJ854+1</f>
        <v>2047</v>
      </c>
      <c r="BL854" s="135">
        <f t="shared" ref="BL854" si="993">BK854+1</f>
        <v>2048</v>
      </c>
      <c r="BM854" s="135">
        <f t="shared" ref="BM854" si="994">BL854+1</f>
        <v>2049</v>
      </c>
      <c r="BN854" s="135">
        <f t="shared" ref="BN854" si="995">BM854+1</f>
        <v>2050</v>
      </c>
    </row>
    <row r="855" spans="32:90" ht="20.100000000000001" customHeight="1">
      <c r="AF855" s="1550" t="s">
        <v>858</v>
      </c>
      <c r="AG855" s="137" t="s">
        <v>1186</v>
      </c>
      <c r="AH855" s="1553" t="s">
        <v>1213</v>
      </c>
      <c r="AI855" s="1554"/>
      <c r="AJ855" s="1507"/>
      <c r="AK855" s="178">
        <v>0</v>
      </c>
      <c r="AL855" s="163">
        <f t="shared" ref="AL855:BN855" si="996">AL220</f>
        <v>6340.23698561947</v>
      </c>
      <c r="AM855" s="163">
        <f t="shared" si="996"/>
        <v>6196.0322481723015</v>
      </c>
      <c r="AN855" s="163">
        <f t="shared" si="996"/>
        <v>6062.7870707711172</v>
      </c>
      <c r="AO855" s="163">
        <f t="shared" si="996"/>
        <v>5939.6685268524234</v>
      </c>
      <c r="AP855" s="163">
        <f t="shared" si="996"/>
        <v>5825.9069922715498</v>
      </c>
      <c r="AQ855" s="163">
        <f t="shared" si="996"/>
        <v>5720.7913343188229</v>
      </c>
      <c r="AR855" s="163">
        <f t="shared" si="996"/>
        <v>5623.6644663705029</v>
      </c>
      <c r="AS855" s="163">
        <f t="shared" si="996"/>
        <v>5533.9192403862553</v>
      </c>
      <c r="AT855" s="163">
        <f t="shared" si="996"/>
        <v>5450.9946515768106</v>
      </c>
      <c r="AU855" s="163">
        <f t="shared" si="996"/>
        <v>5385.4624041571369</v>
      </c>
      <c r="AV855" s="163">
        <f t="shared" si="996"/>
        <v>5324.1897528197414</v>
      </c>
      <c r="AW855" s="163">
        <f t="shared" si="996"/>
        <v>5266.8998238192762</v>
      </c>
      <c r="AX855" s="163">
        <f t="shared" si="996"/>
        <v>5213.3337402038414</v>
      </c>
      <c r="AY855" s="163">
        <f t="shared" si="996"/>
        <v>5163.2494520234104</v>
      </c>
      <c r="AZ855" s="163">
        <f t="shared" si="996"/>
        <v>5116.420642574707</v>
      </c>
      <c r="BA855" s="163">
        <f t="shared" si="996"/>
        <v>5072.6357057401701</v>
      </c>
      <c r="BB855" s="163">
        <f t="shared" si="996"/>
        <v>5031.6967897998775</v>
      </c>
      <c r="BC855" s="163">
        <f t="shared" si="996"/>
        <v>4993.4189033957036</v>
      </c>
      <c r="BD855" s="163">
        <f t="shared" si="996"/>
        <v>4957.629079607801</v>
      </c>
      <c r="BE855" s="163">
        <f t="shared" si="996"/>
        <v>4924.1655943661126</v>
      </c>
      <c r="BF855" s="163">
        <f t="shared" si="996"/>
        <v>4892.8772356651334</v>
      </c>
      <c r="BG855" s="163">
        <f t="shared" si="996"/>
        <v>4863.6226202797188</v>
      </c>
      <c r="BH855" s="163">
        <f t="shared" si="996"/>
        <v>4836.2695548943548</v>
      </c>
      <c r="BI855" s="163">
        <f t="shared" si="996"/>
        <v>4810.6944387590402</v>
      </c>
      <c r="BJ855" s="163">
        <f t="shared" si="996"/>
        <v>4786.7817051725215</v>
      </c>
      <c r="BK855" s="163">
        <f t="shared" si="996"/>
        <v>4764.4232992691259</v>
      </c>
      <c r="BL855" s="163">
        <f t="shared" si="996"/>
        <v>4743.5181897494513</v>
      </c>
      <c r="BM855" s="163">
        <f t="shared" si="996"/>
        <v>4723.9719123485547</v>
      </c>
      <c r="BN855" s="164">
        <f t="shared" si="996"/>
        <v>4705.696142978717</v>
      </c>
    </row>
    <row r="856" spans="32:90" ht="20.100000000000001" customHeight="1">
      <c r="AF856" s="1551"/>
      <c r="AG856" s="222" t="s">
        <v>1188</v>
      </c>
      <c r="AH856" s="1496" t="s">
        <v>1193</v>
      </c>
      <c r="AI856" s="1464"/>
      <c r="AJ856" s="1465"/>
      <c r="AK856" s="180">
        <v>0</v>
      </c>
      <c r="AL856" s="123">
        <f t="shared" ref="AL856:BN856" si="997">AL263</f>
        <v>0</v>
      </c>
      <c r="AM856" s="123">
        <f t="shared" si="997"/>
        <v>0</v>
      </c>
      <c r="AN856" s="123">
        <f t="shared" si="997"/>
        <v>0</v>
      </c>
      <c r="AO856" s="123">
        <f t="shared" si="997"/>
        <v>0</v>
      </c>
      <c r="AP856" s="123">
        <f t="shared" si="997"/>
        <v>0</v>
      </c>
      <c r="AQ856" s="123">
        <f t="shared" si="997"/>
        <v>0</v>
      </c>
      <c r="AR856" s="123">
        <f t="shared" si="997"/>
        <v>0</v>
      </c>
      <c r="AS856" s="123">
        <f t="shared" si="997"/>
        <v>0</v>
      </c>
      <c r="AT856" s="123">
        <f t="shared" si="997"/>
        <v>2108.5581196142671</v>
      </c>
      <c r="AU856" s="123">
        <f t="shared" si="997"/>
        <v>4159.9635380024802</v>
      </c>
      <c r="AV856" s="123">
        <f t="shared" si="997"/>
        <v>6157.9311807443319</v>
      </c>
      <c r="AW856" s="123">
        <f t="shared" si="997"/>
        <v>8105.9345032568372</v>
      </c>
      <c r="AX856" s="123">
        <f t="shared" si="997"/>
        <v>10007.221186354902</v>
      </c>
      <c r="AY856" s="123">
        <f t="shared" si="997"/>
        <v>11864.827811600466</v>
      </c>
      <c r="AZ856" s="123">
        <f t="shared" si="997"/>
        <v>13681.59358275394</v>
      </c>
      <c r="BA856" s="123">
        <f t="shared" si="997"/>
        <v>15460.173155331313</v>
      </c>
      <c r="BB856" s="123">
        <f t="shared" si="997"/>
        <v>17203.048632240028</v>
      </c>
      <c r="BC856" s="123">
        <f t="shared" si="997"/>
        <v>18912.540779698553</v>
      </c>
      <c r="BD856" s="123">
        <f t="shared" si="997"/>
        <v>20590.819514121144</v>
      </c>
      <c r="BE856" s="123">
        <f t="shared" si="997"/>
        <v>20590.819514121144</v>
      </c>
      <c r="BF856" s="123">
        <f t="shared" si="997"/>
        <v>20590.819514121144</v>
      </c>
      <c r="BG856" s="123">
        <f t="shared" si="997"/>
        <v>20590.819514121144</v>
      </c>
      <c r="BH856" s="123">
        <f t="shared" si="997"/>
        <v>20590.819514121144</v>
      </c>
      <c r="BI856" s="123">
        <f t="shared" si="997"/>
        <v>20590.819514121144</v>
      </c>
      <c r="BJ856" s="123">
        <f t="shared" si="997"/>
        <v>20590.819514121144</v>
      </c>
      <c r="BK856" s="123">
        <f t="shared" si="997"/>
        <v>20590.819514121144</v>
      </c>
      <c r="BL856" s="123">
        <f t="shared" si="997"/>
        <v>20590.819514121144</v>
      </c>
      <c r="BM856" s="123">
        <f t="shared" si="997"/>
        <v>20590.819514121144</v>
      </c>
      <c r="BN856" s="159">
        <f t="shared" si="997"/>
        <v>20590.819514121144</v>
      </c>
    </row>
    <row r="857" spans="32:90" ht="20.100000000000001" customHeight="1">
      <c r="AF857" s="1551"/>
      <c r="AG857" s="222" t="s">
        <v>1189</v>
      </c>
      <c r="AH857" s="1496" t="s">
        <v>1194</v>
      </c>
      <c r="AI857" s="1464"/>
      <c r="AJ857" s="1465"/>
      <c r="AK857" s="180">
        <v>0</v>
      </c>
      <c r="AL857" s="123">
        <f t="shared" ref="AL857:BN857" si="998">AL382</f>
        <v>0</v>
      </c>
      <c r="AM857" s="123">
        <f t="shared" si="998"/>
        <v>0</v>
      </c>
      <c r="AN857" s="123">
        <f t="shared" si="998"/>
        <v>0</v>
      </c>
      <c r="AO857" s="123">
        <f t="shared" si="998"/>
        <v>0</v>
      </c>
      <c r="AP857" s="123">
        <f t="shared" si="998"/>
        <v>0</v>
      </c>
      <c r="AQ857" s="123">
        <f t="shared" si="998"/>
        <v>0</v>
      </c>
      <c r="AR857" s="123">
        <f t="shared" si="998"/>
        <v>0</v>
      </c>
      <c r="AS857" s="123">
        <f t="shared" si="998"/>
        <v>0</v>
      </c>
      <c r="AT857" s="123">
        <f t="shared" si="998"/>
        <v>0</v>
      </c>
      <c r="AU857" s="123">
        <f t="shared" si="998"/>
        <v>0</v>
      </c>
      <c r="AV857" s="123">
        <f t="shared" si="998"/>
        <v>0</v>
      </c>
      <c r="AW857" s="123">
        <f t="shared" si="998"/>
        <v>0</v>
      </c>
      <c r="AX857" s="123">
        <f t="shared" si="998"/>
        <v>0</v>
      </c>
      <c r="AY857" s="123">
        <f t="shared" si="998"/>
        <v>0</v>
      </c>
      <c r="AZ857" s="123">
        <f t="shared" si="998"/>
        <v>0</v>
      </c>
      <c r="BA857" s="123">
        <f t="shared" si="998"/>
        <v>0</v>
      </c>
      <c r="BB857" s="123">
        <f t="shared" si="998"/>
        <v>0</v>
      </c>
      <c r="BC857" s="123">
        <f t="shared" si="998"/>
        <v>0</v>
      </c>
      <c r="BD857" s="123">
        <f t="shared" si="998"/>
        <v>0</v>
      </c>
      <c r="BE857" s="123">
        <f t="shared" si="998"/>
        <v>0</v>
      </c>
      <c r="BF857" s="123">
        <f t="shared" si="998"/>
        <v>0</v>
      </c>
      <c r="BG857" s="123">
        <f t="shared" si="998"/>
        <v>0</v>
      </c>
      <c r="BH857" s="123">
        <f t="shared" si="998"/>
        <v>0</v>
      </c>
      <c r="BI857" s="123">
        <f t="shared" si="998"/>
        <v>0</v>
      </c>
      <c r="BJ857" s="123">
        <f t="shared" si="998"/>
        <v>0</v>
      </c>
      <c r="BK857" s="123">
        <f t="shared" si="998"/>
        <v>0</v>
      </c>
      <c r="BL857" s="123">
        <f t="shared" si="998"/>
        <v>0</v>
      </c>
      <c r="BM857" s="123">
        <f t="shared" si="998"/>
        <v>0</v>
      </c>
      <c r="BN857" s="159">
        <f t="shared" si="998"/>
        <v>0</v>
      </c>
    </row>
    <row r="858" spans="32:90" ht="20.100000000000001" customHeight="1">
      <c r="AF858" s="1551"/>
      <c r="AG858" s="222" t="s">
        <v>1190</v>
      </c>
      <c r="AH858" s="1496" t="s">
        <v>1195</v>
      </c>
      <c r="AI858" s="1464"/>
      <c r="AJ858" s="1465"/>
      <c r="AK858" s="180">
        <v>0</v>
      </c>
      <c r="AL858" s="123">
        <f t="shared" ref="AL858:BN858" si="999">IF($A$114=1,-AL523,0)</f>
        <v>0</v>
      </c>
      <c r="AM858" s="123">
        <f t="shared" si="999"/>
        <v>0</v>
      </c>
      <c r="AN858" s="123">
        <f t="shared" si="999"/>
        <v>0</v>
      </c>
      <c r="AO858" s="123">
        <f t="shared" si="999"/>
        <v>0</v>
      </c>
      <c r="AP858" s="123">
        <f t="shared" si="999"/>
        <v>0</v>
      </c>
      <c r="AQ858" s="123">
        <f t="shared" si="999"/>
        <v>0</v>
      </c>
      <c r="AR858" s="123">
        <f t="shared" si="999"/>
        <v>0</v>
      </c>
      <c r="AS858" s="123">
        <f t="shared" si="999"/>
        <v>0</v>
      </c>
      <c r="AT858" s="123">
        <f t="shared" si="999"/>
        <v>0</v>
      </c>
      <c r="AU858" s="123">
        <f t="shared" si="999"/>
        <v>0</v>
      </c>
      <c r="AV858" s="123">
        <f t="shared" si="999"/>
        <v>0</v>
      </c>
      <c r="AW858" s="123">
        <f t="shared" si="999"/>
        <v>0</v>
      </c>
      <c r="AX858" s="123">
        <f t="shared" si="999"/>
        <v>0</v>
      </c>
      <c r="AY858" s="123">
        <f t="shared" si="999"/>
        <v>0</v>
      </c>
      <c r="AZ858" s="123">
        <f t="shared" si="999"/>
        <v>0</v>
      </c>
      <c r="BA858" s="123">
        <f t="shared" si="999"/>
        <v>0</v>
      </c>
      <c r="BB858" s="123">
        <f t="shared" si="999"/>
        <v>0</v>
      </c>
      <c r="BC858" s="123">
        <f t="shared" si="999"/>
        <v>0</v>
      </c>
      <c r="BD858" s="123">
        <f t="shared" si="999"/>
        <v>0</v>
      </c>
      <c r="BE858" s="123">
        <f t="shared" si="999"/>
        <v>0</v>
      </c>
      <c r="BF858" s="123">
        <f t="shared" si="999"/>
        <v>0</v>
      </c>
      <c r="BG858" s="123">
        <f t="shared" si="999"/>
        <v>0</v>
      </c>
      <c r="BH858" s="123">
        <f t="shared" si="999"/>
        <v>0</v>
      </c>
      <c r="BI858" s="123">
        <f t="shared" si="999"/>
        <v>0</v>
      </c>
      <c r="BJ858" s="123">
        <f t="shared" si="999"/>
        <v>0</v>
      </c>
      <c r="BK858" s="123">
        <f t="shared" si="999"/>
        <v>0</v>
      </c>
      <c r="BL858" s="123">
        <f t="shared" si="999"/>
        <v>0</v>
      </c>
      <c r="BM858" s="123">
        <f t="shared" si="999"/>
        <v>0</v>
      </c>
      <c r="BN858" s="159">
        <f t="shared" si="999"/>
        <v>0</v>
      </c>
    </row>
    <row r="859" spans="32:90" ht="20.100000000000001" customHeight="1">
      <c r="AF859" s="1551"/>
      <c r="AG859" s="222" t="s">
        <v>1190</v>
      </c>
      <c r="AH859" s="1496" t="s">
        <v>1196</v>
      </c>
      <c r="AI859" s="1464"/>
      <c r="AJ859" s="1465"/>
      <c r="AK859" s="180">
        <v>0</v>
      </c>
      <c r="AL859" s="123">
        <f t="shared" ref="AL859:BN859" si="1000">IF($A$115=1,-AL534,0)</f>
        <v>0</v>
      </c>
      <c r="AM859" s="123">
        <f t="shared" si="1000"/>
        <v>0</v>
      </c>
      <c r="AN859" s="123">
        <f t="shared" si="1000"/>
        <v>0</v>
      </c>
      <c r="AO859" s="123">
        <f t="shared" si="1000"/>
        <v>0</v>
      </c>
      <c r="AP859" s="123">
        <f t="shared" si="1000"/>
        <v>0</v>
      </c>
      <c r="AQ859" s="123">
        <f t="shared" si="1000"/>
        <v>0</v>
      </c>
      <c r="AR859" s="123">
        <f t="shared" si="1000"/>
        <v>0</v>
      </c>
      <c r="AS859" s="123">
        <f t="shared" si="1000"/>
        <v>0</v>
      </c>
      <c r="AT859" s="123">
        <f t="shared" si="1000"/>
        <v>0</v>
      </c>
      <c r="AU859" s="123">
        <f t="shared" si="1000"/>
        <v>0</v>
      </c>
      <c r="AV859" s="123">
        <f t="shared" si="1000"/>
        <v>0</v>
      </c>
      <c r="AW859" s="123">
        <f t="shared" si="1000"/>
        <v>0</v>
      </c>
      <c r="AX859" s="123">
        <f t="shared" si="1000"/>
        <v>0</v>
      </c>
      <c r="AY859" s="123">
        <f t="shared" si="1000"/>
        <v>0</v>
      </c>
      <c r="AZ859" s="123">
        <f t="shared" si="1000"/>
        <v>0</v>
      </c>
      <c r="BA859" s="123">
        <f t="shared" si="1000"/>
        <v>0</v>
      </c>
      <c r="BB859" s="123">
        <f t="shared" si="1000"/>
        <v>0</v>
      </c>
      <c r="BC859" s="123">
        <f t="shared" si="1000"/>
        <v>0</v>
      </c>
      <c r="BD859" s="123">
        <f t="shared" si="1000"/>
        <v>0</v>
      </c>
      <c r="BE859" s="123">
        <f t="shared" si="1000"/>
        <v>0</v>
      </c>
      <c r="BF859" s="123">
        <f t="shared" si="1000"/>
        <v>0</v>
      </c>
      <c r="BG859" s="123">
        <f t="shared" si="1000"/>
        <v>0</v>
      </c>
      <c r="BH859" s="123">
        <f t="shared" si="1000"/>
        <v>0</v>
      </c>
      <c r="BI859" s="123">
        <f t="shared" si="1000"/>
        <v>0</v>
      </c>
      <c r="BJ859" s="123">
        <f t="shared" si="1000"/>
        <v>0</v>
      </c>
      <c r="BK859" s="123">
        <f t="shared" si="1000"/>
        <v>0</v>
      </c>
      <c r="BL859" s="123">
        <f t="shared" si="1000"/>
        <v>0</v>
      </c>
      <c r="BM859" s="123">
        <f t="shared" si="1000"/>
        <v>0</v>
      </c>
      <c r="BN859" s="159">
        <f t="shared" si="1000"/>
        <v>0</v>
      </c>
    </row>
    <row r="860" spans="32:90" ht="20.100000000000001" customHeight="1">
      <c r="AF860" s="1551"/>
      <c r="AG860" s="222" t="s">
        <v>1190</v>
      </c>
      <c r="AH860" s="1496" t="s">
        <v>1197</v>
      </c>
      <c r="AI860" s="1464"/>
      <c r="AJ860" s="1465"/>
      <c r="AK860" s="180">
        <v>0</v>
      </c>
      <c r="AL860" s="123">
        <f t="shared" ref="AL860:BN860" si="1001">IF($A$116=1,-AL545,0)</f>
        <v>0</v>
      </c>
      <c r="AM860" s="123">
        <f t="shared" si="1001"/>
        <v>0</v>
      </c>
      <c r="AN860" s="123">
        <f t="shared" si="1001"/>
        <v>0</v>
      </c>
      <c r="AO860" s="123">
        <f t="shared" si="1001"/>
        <v>0</v>
      </c>
      <c r="AP860" s="123">
        <f t="shared" si="1001"/>
        <v>0</v>
      </c>
      <c r="AQ860" s="123">
        <f t="shared" si="1001"/>
        <v>0</v>
      </c>
      <c r="AR860" s="123">
        <f t="shared" si="1001"/>
        <v>0</v>
      </c>
      <c r="AS860" s="123">
        <f t="shared" si="1001"/>
        <v>0</v>
      </c>
      <c r="AT860" s="123">
        <f t="shared" si="1001"/>
        <v>0</v>
      </c>
      <c r="AU860" s="123">
        <f t="shared" si="1001"/>
        <v>0</v>
      </c>
      <c r="AV860" s="123">
        <f t="shared" si="1001"/>
        <v>0</v>
      </c>
      <c r="AW860" s="123">
        <f t="shared" si="1001"/>
        <v>0</v>
      </c>
      <c r="AX860" s="123">
        <f t="shared" si="1001"/>
        <v>0</v>
      </c>
      <c r="AY860" s="123">
        <f t="shared" si="1001"/>
        <v>0</v>
      </c>
      <c r="AZ860" s="123">
        <f t="shared" si="1001"/>
        <v>0</v>
      </c>
      <c r="BA860" s="123">
        <f t="shared" si="1001"/>
        <v>0</v>
      </c>
      <c r="BB860" s="123">
        <f t="shared" si="1001"/>
        <v>0</v>
      </c>
      <c r="BC860" s="123">
        <f t="shared" si="1001"/>
        <v>0</v>
      </c>
      <c r="BD860" s="123">
        <f t="shared" si="1001"/>
        <v>0</v>
      </c>
      <c r="BE860" s="123">
        <f t="shared" si="1001"/>
        <v>0</v>
      </c>
      <c r="BF860" s="123">
        <f t="shared" si="1001"/>
        <v>0</v>
      </c>
      <c r="BG860" s="123">
        <f t="shared" si="1001"/>
        <v>0</v>
      </c>
      <c r="BH860" s="123">
        <f t="shared" si="1001"/>
        <v>0</v>
      </c>
      <c r="BI860" s="123">
        <f t="shared" si="1001"/>
        <v>0</v>
      </c>
      <c r="BJ860" s="123">
        <f t="shared" si="1001"/>
        <v>0</v>
      </c>
      <c r="BK860" s="123">
        <f t="shared" si="1001"/>
        <v>0</v>
      </c>
      <c r="BL860" s="123">
        <f t="shared" si="1001"/>
        <v>0</v>
      </c>
      <c r="BM860" s="123">
        <f t="shared" si="1001"/>
        <v>0</v>
      </c>
      <c r="BN860" s="159">
        <f t="shared" si="1001"/>
        <v>0</v>
      </c>
    </row>
    <row r="861" spans="32:90" ht="20.100000000000001" customHeight="1">
      <c r="AF861" s="1551"/>
      <c r="AG861" s="222" t="s">
        <v>1190</v>
      </c>
      <c r="AH861" s="1496" t="s">
        <v>1198</v>
      </c>
      <c r="AI861" s="1464"/>
      <c r="AJ861" s="1465"/>
      <c r="AK861" s="180">
        <v>0</v>
      </c>
      <c r="AL861" s="123">
        <f t="shared" ref="AL861:BN861" si="1002">IF($A$117=1,-AL556,0)</f>
        <v>0</v>
      </c>
      <c r="AM861" s="123">
        <f t="shared" si="1002"/>
        <v>0</v>
      </c>
      <c r="AN861" s="123">
        <f t="shared" si="1002"/>
        <v>0</v>
      </c>
      <c r="AO861" s="123">
        <f t="shared" si="1002"/>
        <v>0</v>
      </c>
      <c r="AP861" s="123">
        <f t="shared" si="1002"/>
        <v>0</v>
      </c>
      <c r="AQ861" s="123">
        <f t="shared" si="1002"/>
        <v>0</v>
      </c>
      <c r="AR861" s="123">
        <f t="shared" si="1002"/>
        <v>0</v>
      </c>
      <c r="AS861" s="123">
        <f t="shared" si="1002"/>
        <v>0</v>
      </c>
      <c r="AT861" s="123">
        <f t="shared" si="1002"/>
        <v>0</v>
      </c>
      <c r="AU861" s="123">
        <f t="shared" si="1002"/>
        <v>0</v>
      </c>
      <c r="AV861" s="123">
        <f t="shared" si="1002"/>
        <v>0</v>
      </c>
      <c r="AW861" s="123">
        <f t="shared" si="1002"/>
        <v>0</v>
      </c>
      <c r="AX861" s="123">
        <f t="shared" si="1002"/>
        <v>0</v>
      </c>
      <c r="AY861" s="123">
        <f t="shared" si="1002"/>
        <v>0</v>
      </c>
      <c r="AZ861" s="123">
        <f t="shared" si="1002"/>
        <v>0</v>
      </c>
      <c r="BA861" s="123">
        <f t="shared" si="1002"/>
        <v>0</v>
      </c>
      <c r="BB861" s="123">
        <f t="shared" si="1002"/>
        <v>0</v>
      </c>
      <c r="BC861" s="123">
        <f t="shared" si="1002"/>
        <v>0</v>
      </c>
      <c r="BD861" s="123">
        <f t="shared" si="1002"/>
        <v>0</v>
      </c>
      <c r="BE861" s="123">
        <f t="shared" si="1002"/>
        <v>0</v>
      </c>
      <c r="BF861" s="123">
        <f t="shared" si="1002"/>
        <v>0</v>
      </c>
      <c r="BG861" s="123">
        <f t="shared" si="1002"/>
        <v>0</v>
      </c>
      <c r="BH861" s="123">
        <f t="shared" si="1002"/>
        <v>0</v>
      </c>
      <c r="BI861" s="123">
        <f t="shared" si="1002"/>
        <v>0</v>
      </c>
      <c r="BJ861" s="123">
        <f t="shared" si="1002"/>
        <v>0</v>
      </c>
      <c r="BK861" s="123">
        <f t="shared" si="1002"/>
        <v>0</v>
      </c>
      <c r="BL861" s="123">
        <f t="shared" si="1002"/>
        <v>0</v>
      </c>
      <c r="BM861" s="123">
        <f t="shared" si="1002"/>
        <v>0</v>
      </c>
      <c r="BN861" s="159">
        <f t="shared" si="1002"/>
        <v>0</v>
      </c>
    </row>
    <row r="862" spans="32:90" ht="20.100000000000001" customHeight="1">
      <c r="AF862" s="1551"/>
      <c r="AG862" s="222" t="s">
        <v>1190</v>
      </c>
      <c r="AH862" s="1496" t="s">
        <v>1199</v>
      </c>
      <c r="AI862" s="1464"/>
      <c r="AJ862" s="1465"/>
      <c r="AK862" s="180">
        <v>0</v>
      </c>
      <c r="AL862" s="123">
        <f t="shared" ref="AL862:BN862" si="1003">IF($A$118=1,-AL567,0)</f>
        <v>0</v>
      </c>
      <c r="AM862" s="123">
        <f t="shared" si="1003"/>
        <v>0</v>
      </c>
      <c r="AN862" s="123">
        <f t="shared" si="1003"/>
        <v>0</v>
      </c>
      <c r="AO862" s="123">
        <f t="shared" si="1003"/>
        <v>0</v>
      </c>
      <c r="AP862" s="123">
        <f t="shared" si="1003"/>
        <v>0</v>
      </c>
      <c r="AQ862" s="123">
        <f t="shared" si="1003"/>
        <v>0</v>
      </c>
      <c r="AR862" s="123">
        <f t="shared" si="1003"/>
        <v>0</v>
      </c>
      <c r="AS862" s="123">
        <f t="shared" si="1003"/>
        <v>0</v>
      </c>
      <c r="AT862" s="123">
        <f t="shared" si="1003"/>
        <v>0</v>
      </c>
      <c r="AU862" s="123">
        <f t="shared" si="1003"/>
        <v>0</v>
      </c>
      <c r="AV862" s="123">
        <f t="shared" si="1003"/>
        <v>0</v>
      </c>
      <c r="AW862" s="123">
        <f t="shared" si="1003"/>
        <v>0</v>
      </c>
      <c r="AX862" s="123">
        <f t="shared" si="1003"/>
        <v>0</v>
      </c>
      <c r="AY862" s="123">
        <f t="shared" si="1003"/>
        <v>0</v>
      </c>
      <c r="AZ862" s="123">
        <f t="shared" si="1003"/>
        <v>0</v>
      </c>
      <c r="BA862" s="123">
        <f t="shared" si="1003"/>
        <v>0</v>
      </c>
      <c r="BB862" s="123">
        <f t="shared" si="1003"/>
        <v>0</v>
      </c>
      <c r="BC862" s="123">
        <f t="shared" si="1003"/>
        <v>0</v>
      </c>
      <c r="BD862" s="123">
        <f t="shared" si="1003"/>
        <v>0</v>
      </c>
      <c r="BE862" s="123">
        <f t="shared" si="1003"/>
        <v>0</v>
      </c>
      <c r="BF862" s="123">
        <f t="shared" si="1003"/>
        <v>0</v>
      </c>
      <c r="BG862" s="123">
        <f t="shared" si="1003"/>
        <v>0</v>
      </c>
      <c r="BH862" s="123">
        <f t="shared" si="1003"/>
        <v>0</v>
      </c>
      <c r="BI862" s="123">
        <f t="shared" si="1003"/>
        <v>0</v>
      </c>
      <c r="BJ862" s="123">
        <f t="shared" si="1003"/>
        <v>0</v>
      </c>
      <c r="BK862" s="123">
        <f t="shared" si="1003"/>
        <v>0</v>
      </c>
      <c r="BL862" s="123">
        <f t="shared" si="1003"/>
        <v>0</v>
      </c>
      <c r="BM862" s="123">
        <f t="shared" si="1003"/>
        <v>0</v>
      </c>
      <c r="BN862" s="159">
        <f t="shared" si="1003"/>
        <v>0</v>
      </c>
    </row>
    <row r="863" spans="32:90" ht="20.100000000000001" customHeight="1">
      <c r="AF863" s="1551"/>
      <c r="AG863" s="222" t="s">
        <v>1190</v>
      </c>
      <c r="AH863" s="1496" t="s">
        <v>1200</v>
      </c>
      <c r="AI863" s="1464"/>
      <c r="AJ863" s="1465"/>
      <c r="AK863" s="180">
        <v>0</v>
      </c>
      <c r="AL863" s="123">
        <f t="shared" ref="AL863:BN863" si="1004">IF($A$119=1,-AL578,0)</f>
        <v>0</v>
      </c>
      <c r="AM863" s="123">
        <f t="shared" si="1004"/>
        <v>0</v>
      </c>
      <c r="AN863" s="123">
        <f t="shared" si="1004"/>
        <v>0</v>
      </c>
      <c r="AO863" s="123">
        <f t="shared" si="1004"/>
        <v>0</v>
      </c>
      <c r="AP863" s="123">
        <f t="shared" si="1004"/>
        <v>0</v>
      </c>
      <c r="AQ863" s="123">
        <f t="shared" si="1004"/>
        <v>0</v>
      </c>
      <c r="AR863" s="123">
        <f t="shared" si="1004"/>
        <v>0</v>
      </c>
      <c r="AS863" s="123">
        <f t="shared" si="1004"/>
        <v>0</v>
      </c>
      <c r="AT863" s="123">
        <f t="shared" si="1004"/>
        <v>0</v>
      </c>
      <c r="AU863" s="123">
        <f t="shared" si="1004"/>
        <v>0</v>
      </c>
      <c r="AV863" s="123">
        <f t="shared" si="1004"/>
        <v>0</v>
      </c>
      <c r="AW863" s="123">
        <f t="shared" si="1004"/>
        <v>0</v>
      </c>
      <c r="AX863" s="123">
        <f t="shared" si="1004"/>
        <v>0</v>
      </c>
      <c r="AY863" s="123">
        <f t="shared" si="1004"/>
        <v>0</v>
      </c>
      <c r="AZ863" s="123">
        <f t="shared" si="1004"/>
        <v>0</v>
      </c>
      <c r="BA863" s="123">
        <f t="shared" si="1004"/>
        <v>0</v>
      </c>
      <c r="BB863" s="123">
        <f t="shared" si="1004"/>
        <v>0</v>
      </c>
      <c r="BC863" s="123">
        <f t="shared" si="1004"/>
        <v>0</v>
      </c>
      <c r="BD863" s="123">
        <f t="shared" si="1004"/>
        <v>0</v>
      </c>
      <c r="BE863" s="123">
        <f t="shared" si="1004"/>
        <v>0</v>
      </c>
      <c r="BF863" s="123">
        <f t="shared" si="1004"/>
        <v>0</v>
      </c>
      <c r="BG863" s="123">
        <f t="shared" si="1004"/>
        <v>0</v>
      </c>
      <c r="BH863" s="123">
        <f t="shared" si="1004"/>
        <v>0</v>
      </c>
      <c r="BI863" s="123">
        <f t="shared" si="1004"/>
        <v>0</v>
      </c>
      <c r="BJ863" s="123">
        <f t="shared" si="1004"/>
        <v>0</v>
      </c>
      <c r="BK863" s="123">
        <f t="shared" si="1004"/>
        <v>0</v>
      </c>
      <c r="BL863" s="123">
        <f t="shared" si="1004"/>
        <v>0</v>
      </c>
      <c r="BM863" s="123">
        <f t="shared" si="1004"/>
        <v>0</v>
      </c>
      <c r="BN863" s="159">
        <f t="shared" si="1004"/>
        <v>0</v>
      </c>
    </row>
    <row r="864" spans="32:90" ht="20.100000000000001" customHeight="1">
      <c r="AF864" s="1551"/>
      <c r="AG864" s="222" t="s">
        <v>1191</v>
      </c>
      <c r="AH864" s="1496" t="s">
        <v>1201</v>
      </c>
      <c r="AI864" s="1464"/>
      <c r="AJ864" s="1465"/>
      <c r="AK864" s="180">
        <v>0</v>
      </c>
      <c r="AL864" s="123">
        <f>IF($A$135=1,-AL729,0)</f>
        <v>0</v>
      </c>
      <c r="AM864" s="123">
        <f t="shared" ref="AM864:BN864" si="1005">IF($A$135=1,-AM729,0)</f>
        <v>0</v>
      </c>
      <c r="AN864" s="123">
        <f t="shared" si="1005"/>
        <v>0</v>
      </c>
      <c r="AO864" s="123">
        <f t="shared" si="1005"/>
        <v>0</v>
      </c>
      <c r="AP864" s="123">
        <f t="shared" si="1005"/>
        <v>0</v>
      </c>
      <c r="AQ864" s="123">
        <f t="shared" si="1005"/>
        <v>0</v>
      </c>
      <c r="AR864" s="123">
        <f t="shared" si="1005"/>
        <v>0</v>
      </c>
      <c r="AS864" s="123">
        <f t="shared" si="1005"/>
        <v>0</v>
      </c>
      <c r="AT864" s="123">
        <f t="shared" si="1005"/>
        <v>0</v>
      </c>
      <c r="AU864" s="123">
        <f t="shared" si="1005"/>
        <v>0</v>
      </c>
      <c r="AV864" s="123">
        <f t="shared" si="1005"/>
        <v>0</v>
      </c>
      <c r="AW864" s="123">
        <f t="shared" si="1005"/>
        <v>0</v>
      </c>
      <c r="AX864" s="123">
        <f t="shared" si="1005"/>
        <v>0</v>
      </c>
      <c r="AY864" s="123">
        <f t="shared" si="1005"/>
        <v>0</v>
      </c>
      <c r="AZ864" s="123">
        <f t="shared" si="1005"/>
        <v>0</v>
      </c>
      <c r="BA864" s="123">
        <f t="shared" si="1005"/>
        <v>0</v>
      </c>
      <c r="BB864" s="123">
        <f t="shared" si="1005"/>
        <v>0</v>
      </c>
      <c r="BC864" s="123">
        <f t="shared" si="1005"/>
        <v>0</v>
      </c>
      <c r="BD864" s="123">
        <f t="shared" si="1005"/>
        <v>0</v>
      </c>
      <c r="BE864" s="123">
        <f t="shared" si="1005"/>
        <v>0</v>
      </c>
      <c r="BF864" s="123">
        <f t="shared" si="1005"/>
        <v>0</v>
      </c>
      <c r="BG864" s="123">
        <f t="shared" si="1005"/>
        <v>0</v>
      </c>
      <c r="BH864" s="123">
        <f t="shared" si="1005"/>
        <v>0</v>
      </c>
      <c r="BI864" s="123">
        <f t="shared" si="1005"/>
        <v>0</v>
      </c>
      <c r="BJ864" s="123">
        <f t="shared" si="1005"/>
        <v>0</v>
      </c>
      <c r="BK864" s="123">
        <f t="shared" si="1005"/>
        <v>0</v>
      </c>
      <c r="BL864" s="123">
        <f t="shared" si="1005"/>
        <v>0</v>
      </c>
      <c r="BM864" s="123">
        <f t="shared" si="1005"/>
        <v>0</v>
      </c>
      <c r="BN864" s="159">
        <f t="shared" si="1005"/>
        <v>0</v>
      </c>
    </row>
    <row r="865" spans="32:66" ht="20.100000000000001" customHeight="1">
      <c r="AF865" s="1551"/>
      <c r="AG865" s="222" t="s">
        <v>1191</v>
      </c>
      <c r="AH865" s="1496" t="s">
        <v>1202</v>
      </c>
      <c r="AI865" s="1464"/>
      <c r="AJ865" s="1465"/>
      <c r="AK865" s="180">
        <v>0</v>
      </c>
      <c r="AL865" s="123">
        <f>IF($A$136=1,-AL740,0)</f>
        <v>0</v>
      </c>
      <c r="AM865" s="123">
        <f t="shared" ref="AM865:BN865" si="1006">IF($A$136=1,-AM740,0)</f>
        <v>0</v>
      </c>
      <c r="AN865" s="123">
        <f t="shared" si="1006"/>
        <v>0</v>
      </c>
      <c r="AO865" s="123">
        <f t="shared" si="1006"/>
        <v>0</v>
      </c>
      <c r="AP865" s="123">
        <f t="shared" si="1006"/>
        <v>0</v>
      </c>
      <c r="AQ865" s="123">
        <f t="shared" si="1006"/>
        <v>0</v>
      </c>
      <c r="AR865" s="123">
        <f t="shared" si="1006"/>
        <v>0</v>
      </c>
      <c r="AS865" s="123">
        <f t="shared" si="1006"/>
        <v>0</v>
      </c>
      <c r="AT865" s="123">
        <f t="shared" si="1006"/>
        <v>0</v>
      </c>
      <c r="AU865" s="123">
        <f t="shared" si="1006"/>
        <v>0</v>
      </c>
      <c r="AV865" s="123">
        <f t="shared" si="1006"/>
        <v>0</v>
      </c>
      <c r="AW865" s="123">
        <f t="shared" si="1006"/>
        <v>0</v>
      </c>
      <c r="AX865" s="123">
        <f t="shared" si="1006"/>
        <v>0</v>
      </c>
      <c r="AY865" s="123">
        <f t="shared" si="1006"/>
        <v>0</v>
      </c>
      <c r="AZ865" s="123">
        <f t="shared" si="1006"/>
        <v>0</v>
      </c>
      <c r="BA865" s="123">
        <f t="shared" si="1006"/>
        <v>0</v>
      </c>
      <c r="BB865" s="123">
        <f t="shared" si="1006"/>
        <v>0</v>
      </c>
      <c r="BC865" s="123">
        <f t="shared" si="1006"/>
        <v>0</v>
      </c>
      <c r="BD865" s="123">
        <f t="shared" si="1006"/>
        <v>0</v>
      </c>
      <c r="BE865" s="123">
        <f t="shared" si="1006"/>
        <v>0</v>
      </c>
      <c r="BF865" s="123">
        <f t="shared" si="1006"/>
        <v>0</v>
      </c>
      <c r="BG865" s="123">
        <f t="shared" si="1006"/>
        <v>0</v>
      </c>
      <c r="BH865" s="123">
        <f t="shared" si="1006"/>
        <v>0</v>
      </c>
      <c r="BI865" s="123">
        <f t="shared" si="1006"/>
        <v>0</v>
      </c>
      <c r="BJ865" s="123">
        <f t="shared" si="1006"/>
        <v>0</v>
      </c>
      <c r="BK865" s="123">
        <f t="shared" si="1006"/>
        <v>0</v>
      </c>
      <c r="BL865" s="123">
        <f t="shared" si="1006"/>
        <v>0</v>
      </c>
      <c r="BM865" s="123">
        <f t="shared" si="1006"/>
        <v>0</v>
      </c>
      <c r="BN865" s="159">
        <f t="shared" si="1006"/>
        <v>0</v>
      </c>
    </row>
    <row r="866" spans="32:66" ht="20.100000000000001" customHeight="1">
      <c r="AF866" s="1551"/>
      <c r="AG866" s="222" t="s">
        <v>1191</v>
      </c>
      <c r="AH866" s="1496" t="s">
        <v>1203</v>
      </c>
      <c r="AI866" s="1464"/>
      <c r="AJ866" s="1465"/>
      <c r="AK866" s="180">
        <v>0</v>
      </c>
      <c r="AL866" s="123">
        <f>IF($A$137=1,-AL751,0)</f>
        <v>0</v>
      </c>
      <c r="AM866" s="123">
        <f t="shared" ref="AM866:BN866" si="1007">IF($A$137=1,-AM751,0)</f>
        <v>0</v>
      </c>
      <c r="AN866" s="123">
        <f t="shared" si="1007"/>
        <v>0</v>
      </c>
      <c r="AO866" s="123">
        <f t="shared" si="1007"/>
        <v>0</v>
      </c>
      <c r="AP866" s="123">
        <f t="shared" si="1007"/>
        <v>0</v>
      </c>
      <c r="AQ866" s="123">
        <f t="shared" si="1007"/>
        <v>0</v>
      </c>
      <c r="AR866" s="123">
        <f t="shared" si="1007"/>
        <v>0</v>
      </c>
      <c r="AS866" s="123">
        <f t="shared" si="1007"/>
        <v>0</v>
      </c>
      <c r="AT866" s="123">
        <f t="shared" si="1007"/>
        <v>0</v>
      </c>
      <c r="AU866" s="123">
        <f t="shared" si="1007"/>
        <v>0</v>
      </c>
      <c r="AV866" s="123">
        <f t="shared" si="1007"/>
        <v>0</v>
      </c>
      <c r="AW866" s="123">
        <f t="shared" si="1007"/>
        <v>0</v>
      </c>
      <c r="AX866" s="123">
        <f t="shared" si="1007"/>
        <v>0</v>
      </c>
      <c r="AY866" s="123">
        <f t="shared" si="1007"/>
        <v>0</v>
      </c>
      <c r="AZ866" s="123">
        <f t="shared" si="1007"/>
        <v>0</v>
      </c>
      <c r="BA866" s="123">
        <f t="shared" si="1007"/>
        <v>0</v>
      </c>
      <c r="BB866" s="123">
        <f t="shared" si="1007"/>
        <v>0</v>
      </c>
      <c r="BC866" s="123">
        <f t="shared" si="1007"/>
        <v>0</v>
      </c>
      <c r="BD866" s="123">
        <f t="shared" si="1007"/>
        <v>0</v>
      </c>
      <c r="BE866" s="123">
        <f t="shared" si="1007"/>
        <v>0</v>
      </c>
      <c r="BF866" s="123">
        <f t="shared" si="1007"/>
        <v>0</v>
      </c>
      <c r="BG866" s="123">
        <f t="shared" si="1007"/>
        <v>0</v>
      </c>
      <c r="BH866" s="123">
        <f t="shared" si="1007"/>
        <v>0</v>
      </c>
      <c r="BI866" s="123">
        <f t="shared" si="1007"/>
        <v>0</v>
      </c>
      <c r="BJ866" s="123">
        <f t="shared" si="1007"/>
        <v>0</v>
      </c>
      <c r="BK866" s="123">
        <f t="shared" si="1007"/>
        <v>0</v>
      </c>
      <c r="BL866" s="123">
        <f t="shared" si="1007"/>
        <v>0</v>
      </c>
      <c r="BM866" s="123">
        <f t="shared" si="1007"/>
        <v>0</v>
      </c>
      <c r="BN866" s="159">
        <f t="shared" si="1007"/>
        <v>0</v>
      </c>
    </row>
    <row r="867" spans="32:66" ht="20.100000000000001" customHeight="1">
      <c r="AF867" s="1551"/>
      <c r="AG867" s="222" t="s">
        <v>1191</v>
      </c>
      <c r="AH867" s="1496" t="s">
        <v>1204</v>
      </c>
      <c r="AI867" s="1464"/>
      <c r="AJ867" s="1465"/>
      <c r="AK867" s="180">
        <v>0</v>
      </c>
      <c r="AL867" s="123">
        <f>IF($A$138=1,-AL762,0)</f>
        <v>0</v>
      </c>
      <c r="AM867" s="123">
        <f t="shared" ref="AM867:BN867" si="1008">IF($A$138=1,-AM762,0)</f>
        <v>0</v>
      </c>
      <c r="AN867" s="123">
        <f t="shared" si="1008"/>
        <v>0</v>
      </c>
      <c r="AO867" s="123">
        <f t="shared" si="1008"/>
        <v>0</v>
      </c>
      <c r="AP867" s="123">
        <f t="shared" si="1008"/>
        <v>0</v>
      </c>
      <c r="AQ867" s="123">
        <f t="shared" si="1008"/>
        <v>0</v>
      </c>
      <c r="AR867" s="123">
        <f t="shared" si="1008"/>
        <v>0</v>
      </c>
      <c r="AS867" s="123">
        <f t="shared" si="1008"/>
        <v>0</v>
      </c>
      <c r="AT867" s="123">
        <f t="shared" si="1008"/>
        <v>0</v>
      </c>
      <c r="AU867" s="123">
        <f t="shared" si="1008"/>
        <v>0</v>
      </c>
      <c r="AV867" s="123">
        <f t="shared" si="1008"/>
        <v>0</v>
      </c>
      <c r="AW867" s="123">
        <f t="shared" si="1008"/>
        <v>0</v>
      </c>
      <c r="AX867" s="123">
        <f t="shared" si="1008"/>
        <v>0</v>
      </c>
      <c r="AY867" s="123">
        <f t="shared" si="1008"/>
        <v>0</v>
      </c>
      <c r="AZ867" s="123">
        <f t="shared" si="1008"/>
        <v>0</v>
      </c>
      <c r="BA867" s="123">
        <f t="shared" si="1008"/>
        <v>0</v>
      </c>
      <c r="BB867" s="123">
        <f t="shared" si="1008"/>
        <v>0</v>
      </c>
      <c r="BC867" s="123">
        <f t="shared" si="1008"/>
        <v>0</v>
      </c>
      <c r="BD867" s="123">
        <f t="shared" si="1008"/>
        <v>0</v>
      </c>
      <c r="BE867" s="123">
        <f t="shared" si="1008"/>
        <v>0</v>
      </c>
      <c r="BF867" s="123">
        <f t="shared" si="1008"/>
        <v>0</v>
      </c>
      <c r="BG867" s="123">
        <f t="shared" si="1008"/>
        <v>0</v>
      </c>
      <c r="BH867" s="123">
        <f t="shared" si="1008"/>
        <v>0</v>
      </c>
      <c r="BI867" s="123">
        <f t="shared" si="1008"/>
        <v>0</v>
      </c>
      <c r="BJ867" s="123">
        <f t="shared" si="1008"/>
        <v>0</v>
      </c>
      <c r="BK867" s="123">
        <f t="shared" si="1008"/>
        <v>0</v>
      </c>
      <c r="BL867" s="123">
        <f t="shared" si="1008"/>
        <v>0</v>
      </c>
      <c r="BM867" s="123">
        <f t="shared" si="1008"/>
        <v>0</v>
      </c>
      <c r="BN867" s="159">
        <f t="shared" si="1008"/>
        <v>0</v>
      </c>
    </row>
    <row r="868" spans="32:66" ht="20.100000000000001" customHeight="1">
      <c r="AF868" s="1551"/>
      <c r="AG868" s="222" t="s">
        <v>1191</v>
      </c>
      <c r="AH868" s="1496" t="s">
        <v>1205</v>
      </c>
      <c r="AI868" s="1464"/>
      <c r="AJ868" s="1465"/>
      <c r="AK868" s="180">
        <v>0</v>
      </c>
      <c r="AL868" s="123">
        <f>IF($A$139=1,-AL773,0)</f>
        <v>0</v>
      </c>
      <c r="AM868" s="123">
        <f t="shared" ref="AM868:BN868" si="1009">IF($A$139=1,-AM773,0)</f>
        <v>0</v>
      </c>
      <c r="AN868" s="123">
        <f t="shared" si="1009"/>
        <v>0</v>
      </c>
      <c r="AO868" s="123">
        <f t="shared" si="1009"/>
        <v>0</v>
      </c>
      <c r="AP868" s="123">
        <f t="shared" si="1009"/>
        <v>0</v>
      </c>
      <c r="AQ868" s="123">
        <f t="shared" si="1009"/>
        <v>0</v>
      </c>
      <c r="AR868" s="123">
        <f t="shared" si="1009"/>
        <v>0</v>
      </c>
      <c r="AS868" s="123">
        <f t="shared" si="1009"/>
        <v>0</v>
      </c>
      <c r="AT868" s="123">
        <f t="shared" si="1009"/>
        <v>0</v>
      </c>
      <c r="AU868" s="123">
        <f t="shared" si="1009"/>
        <v>0</v>
      </c>
      <c r="AV868" s="123">
        <f t="shared" si="1009"/>
        <v>0</v>
      </c>
      <c r="AW868" s="123">
        <f t="shared" si="1009"/>
        <v>0</v>
      </c>
      <c r="AX868" s="123">
        <f t="shared" si="1009"/>
        <v>0</v>
      </c>
      <c r="AY868" s="123">
        <f t="shared" si="1009"/>
        <v>0</v>
      </c>
      <c r="AZ868" s="123">
        <f t="shared" si="1009"/>
        <v>0</v>
      </c>
      <c r="BA868" s="123">
        <f t="shared" si="1009"/>
        <v>0</v>
      </c>
      <c r="BB868" s="123">
        <f t="shared" si="1009"/>
        <v>0</v>
      </c>
      <c r="BC868" s="123">
        <f t="shared" si="1009"/>
        <v>0</v>
      </c>
      <c r="BD868" s="123">
        <f t="shared" si="1009"/>
        <v>0</v>
      </c>
      <c r="BE868" s="123">
        <f t="shared" si="1009"/>
        <v>0</v>
      </c>
      <c r="BF868" s="123">
        <f t="shared" si="1009"/>
        <v>0</v>
      </c>
      <c r="BG868" s="123">
        <f t="shared" si="1009"/>
        <v>0</v>
      </c>
      <c r="BH868" s="123">
        <f t="shared" si="1009"/>
        <v>0</v>
      </c>
      <c r="BI868" s="123">
        <f t="shared" si="1009"/>
        <v>0</v>
      </c>
      <c r="BJ868" s="123">
        <f t="shared" si="1009"/>
        <v>0</v>
      </c>
      <c r="BK868" s="123">
        <f t="shared" si="1009"/>
        <v>0</v>
      </c>
      <c r="BL868" s="123">
        <f t="shared" si="1009"/>
        <v>0</v>
      </c>
      <c r="BM868" s="123">
        <f t="shared" si="1009"/>
        <v>0</v>
      </c>
      <c r="BN868" s="159">
        <f t="shared" si="1009"/>
        <v>0</v>
      </c>
    </row>
    <row r="869" spans="32:66" ht="20.100000000000001" customHeight="1">
      <c r="AF869" s="1551"/>
      <c r="AG869" s="222" t="s">
        <v>1191</v>
      </c>
      <c r="AH869" s="1496" t="s">
        <v>1206</v>
      </c>
      <c r="AI869" s="1464"/>
      <c r="AJ869" s="1465"/>
      <c r="AK869" s="180">
        <v>0</v>
      </c>
      <c r="AL869" s="123">
        <f>IF($A$140=1,-AL784,0)</f>
        <v>0</v>
      </c>
      <c r="AM869" s="123">
        <f t="shared" ref="AM869:BN869" si="1010">IF($A$140=1,-AM784,0)</f>
        <v>0</v>
      </c>
      <c r="AN869" s="123">
        <f t="shared" si="1010"/>
        <v>0</v>
      </c>
      <c r="AO869" s="123">
        <f t="shared" si="1010"/>
        <v>0</v>
      </c>
      <c r="AP869" s="123">
        <f t="shared" si="1010"/>
        <v>0</v>
      </c>
      <c r="AQ869" s="123">
        <f t="shared" si="1010"/>
        <v>0</v>
      </c>
      <c r="AR869" s="123">
        <f t="shared" si="1010"/>
        <v>0</v>
      </c>
      <c r="AS869" s="123">
        <f t="shared" si="1010"/>
        <v>0</v>
      </c>
      <c r="AT869" s="123">
        <f t="shared" si="1010"/>
        <v>0</v>
      </c>
      <c r="AU869" s="123">
        <f t="shared" si="1010"/>
        <v>0</v>
      </c>
      <c r="AV869" s="123">
        <f t="shared" si="1010"/>
        <v>0</v>
      </c>
      <c r="AW869" s="123">
        <f t="shared" si="1010"/>
        <v>0</v>
      </c>
      <c r="AX869" s="123">
        <f t="shared" si="1010"/>
        <v>0</v>
      </c>
      <c r="AY869" s="123">
        <f t="shared" si="1010"/>
        <v>0</v>
      </c>
      <c r="AZ869" s="123">
        <f t="shared" si="1010"/>
        <v>0</v>
      </c>
      <c r="BA869" s="123">
        <f t="shared" si="1010"/>
        <v>0</v>
      </c>
      <c r="BB869" s="123">
        <f t="shared" si="1010"/>
        <v>0</v>
      </c>
      <c r="BC869" s="123">
        <f t="shared" si="1010"/>
        <v>0</v>
      </c>
      <c r="BD869" s="123">
        <f t="shared" si="1010"/>
        <v>0</v>
      </c>
      <c r="BE869" s="123">
        <f t="shared" si="1010"/>
        <v>0</v>
      </c>
      <c r="BF869" s="123">
        <f t="shared" si="1010"/>
        <v>0</v>
      </c>
      <c r="BG869" s="123">
        <f t="shared" si="1010"/>
        <v>0</v>
      </c>
      <c r="BH869" s="123">
        <f t="shared" si="1010"/>
        <v>0</v>
      </c>
      <c r="BI869" s="123">
        <f t="shared" si="1010"/>
        <v>0</v>
      </c>
      <c r="BJ869" s="123">
        <f t="shared" si="1010"/>
        <v>0</v>
      </c>
      <c r="BK869" s="123">
        <f t="shared" si="1010"/>
        <v>0</v>
      </c>
      <c r="BL869" s="123">
        <f t="shared" si="1010"/>
        <v>0</v>
      </c>
      <c r="BM869" s="123">
        <f t="shared" si="1010"/>
        <v>0</v>
      </c>
      <c r="BN869" s="159">
        <f t="shared" si="1010"/>
        <v>0</v>
      </c>
    </row>
    <row r="870" spans="32:66" ht="20.100000000000001" customHeight="1">
      <c r="AF870" s="1551"/>
      <c r="AG870" s="222" t="s">
        <v>1192</v>
      </c>
      <c r="AH870" s="1496" t="s">
        <v>1207</v>
      </c>
      <c r="AI870" s="1464"/>
      <c r="AJ870" s="1465"/>
      <c r="AK870" s="180">
        <v>0</v>
      </c>
      <c r="AL870" s="123">
        <f>IF($C$135=1,AL729,0)</f>
        <v>0</v>
      </c>
      <c r="AM870" s="123">
        <f t="shared" ref="AM870:BN870" si="1011">IF($C$135=1,AM729,0)</f>
        <v>0</v>
      </c>
      <c r="AN870" s="123">
        <f t="shared" si="1011"/>
        <v>0</v>
      </c>
      <c r="AO870" s="123">
        <f t="shared" si="1011"/>
        <v>0</v>
      </c>
      <c r="AP870" s="123">
        <f t="shared" si="1011"/>
        <v>0</v>
      </c>
      <c r="AQ870" s="123">
        <f t="shared" si="1011"/>
        <v>0</v>
      </c>
      <c r="AR870" s="123">
        <f t="shared" si="1011"/>
        <v>0</v>
      </c>
      <c r="AS870" s="123">
        <f t="shared" si="1011"/>
        <v>0</v>
      </c>
      <c r="AT870" s="123">
        <f t="shared" si="1011"/>
        <v>0</v>
      </c>
      <c r="AU870" s="123">
        <f t="shared" si="1011"/>
        <v>0</v>
      </c>
      <c r="AV870" s="123">
        <f t="shared" si="1011"/>
        <v>0</v>
      </c>
      <c r="AW870" s="123">
        <f t="shared" si="1011"/>
        <v>0</v>
      </c>
      <c r="AX870" s="123">
        <f t="shared" si="1011"/>
        <v>0</v>
      </c>
      <c r="AY870" s="123">
        <f t="shared" si="1011"/>
        <v>0</v>
      </c>
      <c r="AZ870" s="123">
        <f t="shared" si="1011"/>
        <v>0</v>
      </c>
      <c r="BA870" s="123">
        <f t="shared" si="1011"/>
        <v>0</v>
      </c>
      <c r="BB870" s="123">
        <f t="shared" si="1011"/>
        <v>0</v>
      </c>
      <c r="BC870" s="123">
        <f t="shared" si="1011"/>
        <v>0</v>
      </c>
      <c r="BD870" s="123">
        <f t="shared" si="1011"/>
        <v>0</v>
      </c>
      <c r="BE870" s="123">
        <f t="shared" si="1011"/>
        <v>0</v>
      </c>
      <c r="BF870" s="123">
        <f t="shared" si="1011"/>
        <v>0</v>
      </c>
      <c r="BG870" s="123">
        <f t="shared" si="1011"/>
        <v>0</v>
      </c>
      <c r="BH870" s="123">
        <f t="shared" si="1011"/>
        <v>0</v>
      </c>
      <c r="BI870" s="123">
        <f t="shared" si="1011"/>
        <v>0</v>
      </c>
      <c r="BJ870" s="123">
        <f t="shared" si="1011"/>
        <v>0</v>
      </c>
      <c r="BK870" s="123">
        <f t="shared" si="1011"/>
        <v>0</v>
      </c>
      <c r="BL870" s="123">
        <f t="shared" si="1011"/>
        <v>0</v>
      </c>
      <c r="BM870" s="123">
        <f t="shared" si="1011"/>
        <v>0</v>
      </c>
      <c r="BN870" s="159">
        <f t="shared" si="1011"/>
        <v>0</v>
      </c>
    </row>
    <row r="871" spans="32:66" ht="20.100000000000001" customHeight="1">
      <c r="AF871" s="1551"/>
      <c r="AG871" s="222" t="s">
        <v>1192</v>
      </c>
      <c r="AH871" s="1496" t="s">
        <v>1208</v>
      </c>
      <c r="AI871" s="1464"/>
      <c r="AJ871" s="1465"/>
      <c r="AK871" s="180">
        <v>0</v>
      </c>
      <c r="AL871" s="123">
        <f>IF($C$136=1,AL740,0)</f>
        <v>0</v>
      </c>
      <c r="AM871" s="123">
        <f t="shared" ref="AM871:BN871" si="1012">IF($C$136=1,AM740,0)</f>
        <v>0</v>
      </c>
      <c r="AN871" s="123">
        <f t="shared" si="1012"/>
        <v>0</v>
      </c>
      <c r="AO871" s="123">
        <f t="shared" si="1012"/>
        <v>0</v>
      </c>
      <c r="AP871" s="123">
        <f t="shared" si="1012"/>
        <v>0</v>
      </c>
      <c r="AQ871" s="123">
        <f t="shared" si="1012"/>
        <v>0</v>
      </c>
      <c r="AR871" s="123">
        <f t="shared" si="1012"/>
        <v>0</v>
      </c>
      <c r="AS871" s="123">
        <f t="shared" si="1012"/>
        <v>0</v>
      </c>
      <c r="AT871" s="123">
        <f t="shared" si="1012"/>
        <v>0</v>
      </c>
      <c r="AU871" s="123">
        <f t="shared" si="1012"/>
        <v>0</v>
      </c>
      <c r="AV871" s="123">
        <f t="shared" si="1012"/>
        <v>0</v>
      </c>
      <c r="AW871" s="123">
        <f t="shared" si="1012"/>
        <v>0</v>
      </c>
      <c r="AX871" s="123">
        <f t="shared" si="1012"/>
        <v>0</v>
      </c>
      <c r="AY871" s="123">
        <f t="shared" si="1012"/>
        <v>0</v>
      </c>
      <c r="AZ871" s="123">
        <f t="shared" si="1012"/>
        <v>0</v>
      </c>
      <c r="BA871" s="123">
        <f t="shared" si="1012"/>
        <v>0</v>
      </c>
      <c r="BB871" s="123">
        <f t="shared" si="1012"/>
        <v>0</v>
      </c>
      <c r="BC871" s="123">
        <f t="shared" si="1012"/>
        <v>0</v>
      </c>
      <c r="BD871" s="123">
        <f t="shared" si="1012"/>
        <v>0</v>
      </c>
      <c r="BE871" s="123">
        <f t="shared" si="1012"/>
        <v>0</v>
      </c>
      <c r="BF871" s="123">
        <f t="shared" si="1012"/>
        <v>0</v>
      </c>
      <c r="BG871" s="123">
        <f t="shared" si="1012"/>
        <v>0</v>
      </c>
      <c r="BH871" s="123">
        <f t="shared" si="1012"/>
        <v>0</v>
      </c>
      <c r="BI871" s="123">
        <f t="shared" si="1012"/>
        <v>0</v>
      </c>
      <c r="BJ871" s="123">
        <f t="shared" si="1012"/>
        <v>0</v>
      </c>
      <c r="BK871" s="123">
        <f t="shared" si="1012"/>
        <v>0</v>
      </c>
      <c r="BL871" s="123">
        <f t="shared" si="1012"/>
        <v>0</v>
      </c>
      <c r="BM871" s="123">
        <f t="shared" si="1012"/>
        <v>0</v>
      </c>
      <c r="BN871" s="159">
        <f t="shared" si="1012"/>
        <v>0</v>
      </c>
    </row>
    <row r="872" spans="32:66" ht="20.100000000000001" customHeight="1">
      <c r="AF872" s="1551"/>
      <c r="AG872" s="222" t="s">
        <v>1192</v>
      </c>
      <c r="AH872" s="1496" t="s">
        <v>1209</v>
      </c>
      <c r="AI872" s="1464"/>
      <c r="AJ872" s="1465"/>
      <c r="AK872" s="180">
        <v>0</v>
      </c>
      <c r="AL872" s="123">
        <f>IF($C$137=1,AL751,0)</f>
        <v>0</v>
      </c>
      <c r="AM872" s="123">
        <f t="shared" ref="AM872:BN872" si="1013">IF($C$137=1,AM751,0)</f>
        <v>0</v>
      </c>
      <c r="AN872" s="123">
        <f t="shared" si="1013"/>
        <v>0</v>
      </c>
      <c r="AO872" s="123">
        <f t="shared" si="1013"/>
        <v>0</v>
      </c>
      <c r="AP872" s="123">
        <f t="shared" si="1013"/>
        <v>0</v>
      </c>
      <c r="AQ872" s="123">
        <f t="shared" si="1013"/>
        <v>0</v>
      </c>
      <c r="AR872" s="123">
        <f t="shared" si="1013"/>
        <v>0</v>
      </c>
      <c r="AS872" s="123">
        <f t="shared" si="1013"/>
        <v>0</v>
      </c>
      <c r="AT872" s="123">
        <f t="shared" si="1013"/>
        <v>0</v>
      </c>
      <c r="AU872" s="123">
        <f t="shared" si="1013"/>
        <v>0</v>
      </c>
      <c r="AV872" s="123">
        <f t="shared" si="1013"/>
        <v>0</v>
      </c>
      <c r="AW872" s="123">
        <f t="shared" si="1013"/>
        <v>0</v>
      </c>
      <c r="AX872" s="123">
        <f t="shared" si="1013"/>
        <v>0</v>
      </c>
      <c r="AY872" s="123">
        <f t="shared" si="1013"/>
        <v>0</v>
      </c>
      <c r="AZ872" s="123">
        <f t="shared" si="1013"/>
        <v>0</v>
      </c>
      <c r="BA872" s="123">
        <f t="shared" si="1013"/>
        <v>0</v>
      </c>
      <c r="BB872" s="123">
        <f t="shared" si="1013"/>
        <v>0</v>
      </c>
      <c r="BC872" s="123">
        <f t="shared" si="1013"/>
        <v>0</v>
      </c>
      <c r="BD872" s="123">
        <f t="shared" si="1013"/>
        <v>0</v>
      </c>
      <c r="BE872" s="123">
        <f t="shared" si="1013"/>
        <v>0</v>
      </c>
      <c r="BF872" s="123">
        <f t="shared" si="1013"/>
        <v>0</v>
      </c>
      <c r="BG872" s="123">
        <f t="shared" si="1013"/>
        <v>0</v>
      </c>
      <c r="BH872" s="123">
        <f t="shared" si="1013"/>
        <v>0</v>
      </c>
      <c r="BI872" s="123">
        <f t="shared" si="1013"/>
        <v>0</v>
      </c>
      <c r="BJ872" s="123">
        <f t="shared" si="1013"/>
        <v>0</v>
      </c>
      <c r="BK872" s="123">
        <f t="shared" si="1013"/>
        <v>0</v>
      </c>
      <c r="BL872" s="123">
        <f t="shared" si="1013"/>
        <v>0</v>
      </c>
      <c r="BM872" s="123">
        <f t="shared" si="1013"/>
        <v>0</v>
      </c>
      <c r="BN872" s="159">
        <f t="shared" si="1013"/>
        <v>0</v>
      </c>
    </row>
    <row r="873" spans="32:66" ht="20.100000000000001" customHeight="1">
      <c r="AF873" s="1551"/>
      <c r="AG873" s="222" t="s">
        <v>1192</v>
      </c>
      <c r="AH873" s="1496" t="s">
        <v>1210</v>
      </c>
      <c r="AI873" s="1464"/>
      <c r="AJ873" s="1465"/>
      <c r="AK873" s="180">
        <v>0</v>
      </c>
      <c r="AL873" s="123">
        <f>IF($C$138=1,AL762,0)</f>
        <v>0</v>
      </c>
      <c r="AM873" s="123">
        <f t="shared" ref="AM873:BN873" si="1014">IF($C$138=1,AM762,0)</f>
        <v>0</v>
      </c>
      <c r="AN873" s="123">
        <f t="shared" si="1014"/>
        <v>0</v>
      </c>
      <c r="AO873" s="123">
        <f t="shared" si="1014"/>
        <v>0</v>
      </c>
      <c r="AP873" s="123">
        <f t="shared" si="1014"/>
        <v>0</v>
      </c>
      <c r="AQ873" s="123">
        <f t="shared" si="1014"/>
        <v>0</v>
      </c>
      <c r="AR873" s="123">
        <f t="shared" si="1014"/>
        <v>0</v>
      </c>
      <c r="AS873" s="123">
        <f t="shared" si="1014"/>
        <v>0</v>
      </c>
      <c r="AT873" s="123">
        <f t="shared" si="1014"/>
        <v>0</v>
      </c>
      <c r="AU873" s="123">
        <f t="shared" si="1014"/>
        <v>0</v>
      </c>
      <c r="AV873" s="123">
        <f t="shared" si="1014"/>
        <v>0</v>
      </c>
      <c r="AW873" s="123">
        <f t="shared" si="1014"/>
        <v>0</v>
      </c>
      <c r="AX873" s="123">
        <f t="shared" si="1014"/>
        <v>0</v>
      </c>
      <c r="AY873" s="123">
        <f t="shared" si="1014"/>
        <v>0</v>
      </c>
      <c r="AZ873" s="123">
        <f t="shared" si="1014"/>
        <v>0</v>
      </c>
      <c r="BA873" s="123">
        <f t="shared" si="1014"/>
        <v>0</v>
      </c>
      <c r="BB873" s="123">
        <f t="shared" si="1014"/>
        <v>0</v>
      </c>
      <c r="BC873" s="123">
        <f t="shared" si="1014"/>
        <v>0</v>
      </c>
      <c r="BD873" s="123">
        <f t="shared" si="1014"/>
        <v>0</v>
      </c>
      <c r="BE873" s="123">
        <f t="shared" si="1014"/>
        <v>0</v>
      </c>
      <c r="BF873" s="123">
        <f t="shared" si="1014"/>
        <v>0</v>
      </c>
      <c r="BG873" s="123">
        <f t="shared" si="1014"/>
        <v>0</v>
      </c>
      <c r="BH873" s="123">
        <f t="shared" si="1014"/>
        <v>0</v>
      </c>
      <c r="BI873" s="123">
        <f t="shared" si="1014"/>
        <v>0</v>
      </c>
      <c r="BJ873" s="123">
        <f t="shared" si="1014"/>
        <v>0</v>
      </c>
      <c r="BK873" s="123">
        <f t="shared" si="1014"/>
        <v>0</v>
      </c>
      <c r="BL873" s="123">
        <f t="shared" si="1014"/>
        <v>0</v>
      </c>
      <c r="BM873" s="123">
        <f t="shared" si="1014"/>
        <v>0</v>
      </c>
      <c r="BN873" s="159">
        <f t="shared" si="1014"/>
        <v>0</v>
      </c>
    </row>
    <row r="874" spans="32:66" ht="20.100000000000001" customHeight="1">
      <c r="AF874" s="1551"/>
      <c r="AG874" s="222" t="s">
        <v>1192</v>
      </c>
      <c r="AH874" s="1496" t="s">
        <v>1211</v>
      </c>
      <c r="AI874" s="1464"/>
      <c r="AJ874" s="1465"/>
      <c r="AK874" s="180">
        <v>0</v>
      </c>
      <c r="AL874" s="123">
        <f>IF($C$139=1,AL773,0)</f>
        <v>0</v>
      </c>
      <c r="AM874" s="123">
        <f t="shared" ref="AM874:BN874" si="1015">IF($C$139=1,AM773,0)</f>
        <v>0</v>
      </c>
      <c r="AN874" s="123">
        <f t="shared" si="1015"/>
        <v>0</v>
      </c>
      <c r="AO874" s="123">
        <f t="shared" si="1015"/>
        <v>0</v>
      </c>
      <c r="AP874" s="123">
        <f t="shared" si="1015"/>
        <v>0</v>
      </c>
      <c r="AQ874" s="123">
        <f t="shared" si="1015"/>
        <v>0</v>
      </c>
      <c r="AR874" s="123">
        <f t="shared" si="1015"/>
        <v>0</v>
      </c>
      <c r="AS874" s="123">
        <f t="shared" si="1015"/>
        <v>0</v>
      </c>
      <c r="AT874" s="123">
        <f t="shared" si="1015"/>
        <v>0</v>
      </c>
      <c r="AU874" s="123">
        <f t="shared" si="1015"/>
        <v>0</v>
      </c>
      <c r="AV874" s="123">
        <f t="shared" si="1015"/>
        <v>0</v>
      </c>
      <c r="AW874" s="123">
        <f t="shared" si="1015"/>
        <v>0</v>
      </c>
      <c r="AX874" s="123">
        <f t="shared" si="1015"/>
        <v>0</v>
      </c>
      <c r="AY874" s="123">
        <f t="shared" si="1015"/>
        <v>0</v>
      </c>
      <c r="AZ874" s="123">
        <f t="shared" si="1015"/>
        <v>0</v>
      </c>
      <c r="BA874" s="123">
        <f t="shared" si="1015"/>
        <v>0</v>
      </c>
      <c r="BB874" s="123">
        <f t="shared" si="1015"/>
        <v>0</v>
      </c>
      <c r="BC874" s="123">
        <f t="shared" si="1015"/>
        <v>0</v>
      </c>
      <c r="BD874" s="123">
        <f t="shared" si="1015"/>
        <v>0</v>
      </c>
      <c r="BE874" s="123">
        <f t="shared" si="1015"/>
        <v>0</v>
      </c>
      <c r="BF874" s="123">
        <f t="shared" si="1015"/>
        <v>0</v>
      </c>
      <c r="BG874" s="123">
        <f t="shared" si="1015"/>
        <v>0</v>
      </c>
      <c r="BH874" s="123">
        <f t="shared" si="1015"/>
        <v>0</v>
      </c>
      <c r="BI874" s="123">
        <f t="shared" si="1015"/>
        <v>0</v>
      </c>
      <c r="BJ874" s="123">
        <f t="shared" si="1015"/>
        <v>0</v>
      </c>
      <c r="BK874" s="123">
        <f t="shared" si="1015"/>
        <v>0</v>
      </c>
      <c r="BL874" s="123">
        <f t="shared" si="1015"/>
        <v>0</v>
      </c>
      <c r="BM874" s="123">
        <f t="shared" si="1015"/>
        <v>0</v>
      </c>
      <c r="BN874" s="159">
        <f t="shared" si="1015"/>
        <v>0</v>
      </c>
    </row>
    <row r="875" spans="32:66" ht="20.100000000000001" customHeight="1" thickBot="1">
      <c r="AF875" s="1552"/>
      <c r="AG875" s="223" t="s">
        <v>1192</v>
      </c>
      <c r="AH875" s="1498" t="s">
        <v>1212</v>
      </c>
      <c r="AI875" s="1467"/>
      <c r="AJ875" s="1468"/>
      <c r="AK875" s="224">
        <v>0</v>
      </c>
      <c r="AL875" s="160">
        <f>IF($C$140=1,AL784,0)</f>
        <v>0</v>
      </c>
      <c r="AM875" s="160">
        <f t="shared" ref="AM875:BN875" si="1016">IF($C$140=1,AM784,0)</f>
        <v>0</v>
      </c>
      <c r="AN875" s="160">
        <f t="shared" si="1016"/>
        <v>0</v>
      </c>
      <c r="AO875" s="160">
        <f t="shared" si="1016"/>
        <v>0</v>
      </c>
      <c r="AP875" s="160">
        <f t="shared" si="1016"/>
        <v>0</v>
      </c>
      <c r="AQ875" s="160">
        <f t="shared" si="1016"/>
        <v>0</v>
      </c>
      <c r="AR875" s="160">
        <f t="shared" si="1016"/>
        <v>0</v>
      </c>
      <c r="AS875" s="160">
        <f t="shared" si="1016"/>
        <v>0</v>
      </c>
      <c r="AT875" s="160">
        <f t="shared" si="1016"/>
        <v>0</v>
      </c>
      <c r="AU875" s="160">
        <f t="shared" si="1016"/>
        <v>0</v>
      </c>
      <c r="AV875" s="160">
        <f t="shared" si="1016"/>
        <v>0</v>
      </c>
      <c r="AW875" s="160">
        <f t="shared" si="1016"/>
        <v>0</v>
      </c>
      <c r="AX875" s="160">
        <f t="shared" si="1016"/>
        <v>0</v>
      </c>
      <c r="AY875" s="160">
        <f t="shared" si="1016"/>
        <v>0</v>
      </c>
      <c r="AZ875" s="160">
        <f t="shared" si="1016"/>
        <v>0</v>
      </c>
      <c r="BA875" s="160">
        <f t="shared" si="1016"/>
        <v>0</v>
      </c>
      <c r="BB875" s="160">
        <f t="shared" si="1016"/>
        <v>0</v>
      </c>
      <c r="BC875" s="160">
        <f t="shared" si="1016"/>
        <v>0</v>
      </c>
      <c r="BD875" s="160">
        <f t="shared" si="1016"/>
        <v>0</v>
      </c>
      <c r="BE875" s="160">
        <f t="shared" si="1016"/>
        <v>0</v>
      </c>
      <c r="BF875" s="160">
        <f t="shared" si="1016"/>
        <v>0</v>
      </c>
      <c r="BG875" s="160">
        <f t="shared" si="1016"/>
        <v>0</v>
      </c>
      <c r="BH875" s="160">
        <f t="shared" si="1016"/>
        <v>0</v>
      </c>
      <c r="BI875" s="160">
        <f t="shared" si="1016"/>
        <v>0</v>
      </c>
      <c r="BJ875" s="160">
        <f t="shared" si="1016"/>
        <v>0</v>
      </c>
      <c r="BK875" s="160">
        <f t="shared" si="1016"/>
        <v>0</v>
      </c>
      <c r="BL875" s="160">
        <f t="shared" si="1016"/>
        <v>0</v>
      </c>
      <c r="BM875" s="160">
        <f t="shared" si="1016"/>
        <v>0</v>
      </c>
      <c r="BN875" s="161">
        <f t="shared" si="1016"/>
        <v>0</v>
      </c>
    </row>
    <row r="876" spans="32:66" ht="20.100000000000001" customHeight="1">
      <c r="AF876" s="167"/>
      <c r="AG876" s="1547" t="s">
        <v>1080</v>
      </c>
      <c r="AH876" s="1548"/>
      <c r="AI876" s="1548"/>
      <c r="AJ876" s="1549"/>
      <c r="AK876" s="179">
        <v>0</v>
      </c>
      <c r="AL876" s="162">
        <f>IF(AL854&gt;START!$C$2+2020,SUM(AL855:AL875),0)</f>
        <v>6340.23698561947</v>
      </c>
      <c r="AM876" s="162">
        <f>IF(AM854&gt;START!$C$2+2020,SUM(AM855:AM875),0)</f>
        <v>6196.0322481723015</v>
      </c>
      <c r="AN876" s="162">
        <f>IF(AN854&gt;START!$C$2+2020,SUM(AN855:AN875),0)</f>
        <v>6062.7870707711172</v>
      </c>
      <c r="AO876" s="162">
        <f>IF(AO854&gt;START!$C$2+2020,SUM(AO855:AO875),0)</f>
        <v>5939.6685268524234</v>
      </c>
      <c r="AP876" s="162">
        <f>IF(AP854&gt;START!$C$2+2020,SUM(AP855:AP875),0)</f>
        <v>5825.9069922715498</v>
      </c>
      <c r="AQ876" s="162">
        <f>IF(AQ854&gt;START!$C$2+2020,SUM(AQ855:AQ875),0)</f>
        <v>5720.7913343188229</v>
      </c>
      <c r="AR876" s="162">
        <f>IF(AR854&gt;START!$C$2+2020,SUM(AR855:AR875),0)</f>
        <v>5623.6644663705029</v>
      </c>
      <c r="AS876" s="162">
        <f>IF(AS854&gt;START!$C$2+2020,SUM(AS855:AS875),0)</f>
        <v>5533.9192403862553</v>
      </c>
      <c r="AT876" s="162">
        <f>IF(AT854&gt;START!$C$2+2020,SUM(AT855:AT875),0)</f>
        <v>7559.5527711910781</v>
      </c>
      <c r="AU876" s="162">
        <f>IF(AU854&gt;START!$C$2+2020,SUM(AU855:AU875),0)</f>
        <v>9545.425942159618</v>
      </c>
      <c r="AV876" s="162">
        <f>IF(AV854&gt;START!$C$2+2020,SUM(AV855:AV875),0)</f>
        <v>11482.120933564074</v>
      </c>
      <c r="AW876" s="162">
        <f>IF(AW854&gt;START!$C$2+2020,SUM(AW855:AW875),0)</f>
        <v>13372.834327076114</v>
      </c>
      <c r="AX876" s="162">
        <f>IF(AX854&gt;START!$C$2+2020,SUM(AX855:AX875),0)</f>
        <v>15220.554926558743</v>
      </c>
      <c r="AY876" s="162">
        <f>IF(AY854&gt;START!$C$2+2020,SUM(AY855:AY875),0)</f>
        <v>17028.077263623876</v>
      </c>
      <c r="AZ876" s="162">
        <f>IF(AZ854&gt;START!$C$2+2020,SUM(AZ855:AZ875),0)</f>
        <v>18798.014225328647</v>
      </c>
      <c r="BA876" s="162">
        <f>IF(BA854&gt;START!$C$2+2020,SUM(BA855:BA875),0)</f>
        <v>20532.808861071484</v>
      </c>
      <c r="BB876" s="162">
        <f>IF(BB854&gt;START!$C$2+2020,SUM(BB855:BB875),0)</f>
        <v>22234.745422039905</v>
      </c>
      <c r="BC876" s="162">
        <f>IF(BC854&gt;START!$C$2+2020,SUM(BC855:BC875),0)</f>
        <v>23905.959683094257</v>
      </c>
      <c r="BD876" s="162">
        <f>IF(BD854&gt;START!$C$2+2020,SUM(BD855:BD875),0)</f>
        <v>25548.448593728943</v>
      </c>
      <c r="BE876" s="162">
        <f>IF(BE854&gt;START!$C$2+2020,SUM(BE855:BE875),0)</f>
        <v>25514.985108487257</v>
      </c>
      <c r="BF876" s="162">
        <f>IF(BF854&gt;START!$C$2+2020,SUM(BF855:BF875),0)</f>
        <v>25483.696749786279</v>
      </c>
      <c r="BG876" s="162">
        <f>IF(BG854&gt;START!$C$2+2020,SUM(BG855:BG875),0)</f>
        <v>25454.442134400862</v>
      </c>
      <c r="BH876" s="162">
        <f>IF(BH854&gt;START!$C$2+2020,SUM(BH855:BH875),0)</f>
        <v>25427.089069015499</v>
      </c>
      <c r="BI876" s="162">
        <f>IF(BI854&gt;START!$C$2+2020,SUM(BI855:BI875),0)</f>
        <v>25401.513952880185</v>
      </c>
      <c r="BJ876" s="162">
        <f>IF(BJ854&gt;START!$C$2+2020,SUM(BJ855:BJ875),0)</f>
        <v>25377.601219293665</v>
      </c>
      <c r="BK876" s="162">
        <f>IF(BK854&gt;START!$C$2+2020,SUM(BK855:BK875),0)</f>
        <v>25355.242813390269</v>
      </c>
      <c r="BL876" s="162">
        <f>IF(BL854&gt;START!$C$2+2020,SUM(BL855:BL875),0)</f>
        <v>25334.337703870595</v>
      </c>
      <c r="BM876" s="162">
        <f>IF(BM854&gt;START!$C$2+2020,SUM(BM855:BM875),0)</f>
        <v>25314.791426469699</v>
      </c>
      <c r="BN876" s="162">
        <f>IF(BN854&gt;START!$C$2+2020,SUM(BN855:BN875),0)</f>
        <v>25296.515657099859</v>
      </c>
    </row>
    <row r="878" spans="32:66" ht="20.100000000000001" customHeight="1">
      <c r="AF878" s="141" t="s">
        <v>1185</v>
      </c>
      <c r="AG878" s="130"/>
      <c r="AH878" s="130"/>
      <c r="AI878" s="130"/>
      <c r="AJ878" s="130"/>
      <c r="AK878" s="130"/>
      <c r="AL878" s="130"/>
      <c r="AM878" s="130"/>
    </row>
    <row r="879" spans="32:66" ht="20.100000000000001" customHeight="1" thickBot="1">
      <c r="AF879" s="142" t="s">
        <v>1187</v>
      </c>
      <c r="AG879" s="143"/>
      <c r="AH879" s="143"/>
      <c r="AI879" s="149"/>
      <c r="AJ879" s="175"/>
      <c r="AK879" s="176">
        <v>2021</v>
      </c>
      <c r="AL879" s="135">
        <v>2022</v>
      </c>
      <c r="AM879" s="135">
        <f>AL879+1</f>
        <v>2023</v>
      </c>
      <c r="AN879" s="135">
        <f t="shared" ref="AN879" si="1017">AM879+1</f>
        <v>2024</v>
      </c>
      <c r="AO879" s="135">
        <f t="shared" ref="AO879" si="1018">AN879+1</f>
        <v>2025</v>
      </c>
      <c r="AP879" s="135">
        <f t="shared" ref="AP879" si="1019">AO879+1</f>
        <v>2026</v>
      </c>
      <c r="AQ879" s="135">
        <f t="shared" ref="AQ879" si="1020">AP879+1</f>
        <v>2027</v>
      </c>
      <c r="AR879" s="135">
        <f t="shared" ref="AR879" si="1021">AQ879+1</f>
        <v>2028</v>
      </c>
      <c r="AS879" s="135">
        <f t="shared" ref="AS879" si="1022">AR879+1</f>
        <v>2029</v>
      </c>
      <c r="AT879" s="135">
        <f t="shared" ref="AT879" si="1023">AS879+1</f>
        <v>2030</v>
      </c>
      <c r="AU879" s="135">
        <f t="shared" ref="AU879" si="1024">AT879+1</f>
        <v>2031</v>
      </c>
      <c r="AV879" s="135">
        <f t="shared" ref="AV879" si="1025">AU879+1</f>
        <v>2032</v>
      </c>
      <c r="AW879" s="135">
        <f t="shared" ref="AW879" si="1026">AV879+1</f>
        <v>2033</v>
      </c>
      <c r="AX879" s="135">
        <f t="shared" ref="AX879" si="1027">AW879+1</f>
        <v>2034</v>
      </c>
      <c r="AY879" s="135">
        <f t="shared" ref="AY879" si="1028">AX879+1</f>
        <v>2035</v>
      </c>
      <c r="AZ879" s="135">
        <f t="shared" ref="AZ879" si="1029">AY879+1</f>
        <v>2036</v>
      </c>
      <c r="BA879" s="135">
        <f t="shared" ref="BA879" si="1030">AZ879+1</f>
        <v>2037</v>
      </c>
      <c r="BB879" s="135">
        <f t="shared" ref="BB879" si="1031">BA879+1</f>
        <v>2038</v>
      </c>
      <c r="BC879" s="135">
        <f t="shared" ref="BC879" si="1032">BB879+1</f>
        <v>2039</v>
      </c>
      <c r="BD879" s="135">
        <f t="shared" ref="BD879" si="1033">BC879+1</f>
        <v>2040</v>
      </c>
      <c r="BE879" s="135">
        <f t="shared" ref="BE879" si="1034">BD879+1</f>
        <v>2041</v>
      </c>
      <c r="BF879" s="135">
        <f t="shared" ref="BF879" si="1035">BE879+1</f>
        <v>2042</v>
      </c>
      <c r="BG879" s="135">
        <f t="shared" ref="BG879" si="1036">BF879+1</f>
        <v>2043</v>
      </c>
      <c r="BH879" s="135">
        <f t="shared" ref="BH879" si="1037">BG879+1</f>
        <v>2044</v>
      </c>
      <c r="BI879" s="135">
        <f t="shared" ref="BI879" si="1038">BH879+1</f>
        <v>2045</v>
      </c>
      <c r="BJ879" s="135">
        <f t="shared" ref="BJ879" si="1039">BI879+1</f>
        <v>2046</v>
      </c>
      <c r="BK879" s="135">
        <f t="shared" ref="BK879" si="1040">BJ879+1</f>
        <v>2047</v>
      </c>
      <c r="BL879" s="135">
        <f t="shared" ref="BL879" si="1041">BK879+1</f>
        <v>2048</v>
      </c>
      <c r="BM879" s="135">
        <f t="shared" ref="BM879" si="1042">BL879+1</f>
        <v>2049</v>
      </c>
      <c r="BN879" s="135">
        <f t="shared" ref="BN879" si="1043">BM879+1</f>
        <v>2050</v>
      </c>
    </row>
    <row r="880" spans="32:66" ht="20.100000000000001" customHeight="1">
      <c r="AF880" s="1550" t="s">
        <v>861</v>
      </c>
      <c r="AG880" s="137" t="s">
        <v>1186</v>
      </c>
      <c r="AH880" s="1553" t="s">
        <v>1214</v>
      </c>
      <c r="AI880" s="1554"/>
      <c r="AJ880" s="1507"/>
      <c r="AK880" s="178">
        <v>0</v>
      </c>
      <c r="AL880" s="163">
        <f t="shared" ref="AL880:BN880" si="1044">AL221</f>
        <v>9815.7307639400351</v>
      </c>
      <c r="AM880" s="163">
        <f t="shared" si="1044"/>
        <v>9592.4780872851134</v>
      </c>
      <c r="AN880" s="163">
        <f t="shared" si="1044"/>
        <v>9386.1926140559663</v>
      </c>
      <c r="AO880" s="163">
        <f t="shared" si="1044"/>
        <v>9195.5848367922354</v>
      </c>
      <c r="AP880" s="163">
        <f t="shared" si="1044"/>
        <v>9019.4632506005473</v>
      </c>
      <c r="AQ880" s="163">
        <f t="shared" si="1044"/>
        <v>8856.7269049594288</v>
      </c>
      <c r="AR880" s="163">
        <f t="shared" si="1044"/>
        <v>8706.3585215870335</v>
      </c>
      <c r="AS880" s="163">
        <f t="shared" si="1044"/>
        <v>8567.4181353509412</v>
      </c>
      <c r="AT880" s="163">
        <f t="shared" si="1044"/>
        <v>8439.0372184687913</v>
      </c>
      <c r="AU880" s="163">
        <f t="shared" si="1044"/>
        <v>8337.5825096800836</v>
      </c>
      <c r="AV880" s="163">
        <f t="shared" si="1044"/>
        <v>8242.7223569626403</v>
      </c>
      <c r="AW880" s="163">
        <f t="shared" si="1044"/>
        <v>8154.0281141718306</v>
      </c>
      <c r="AX880" s="163">
        <f t="shared" si="1044"/>
        <v>8071.0989971624231</v>
      </c>
      <c r="AY880" s="163">
        <f t="shared" si="1044"/>
        <v>7993.5602727586283</v>
      </c>
      <c r="AZ880" s="163">
        <f t="shared" si="1044"/>
        <v>7921.0615654410794</v>
      </c>
      <c r="BA880" s="163">
        <f t="shared" si="1044"/>
        <v>7853.2752740991718</v>
      </c>
      <c r="BB880" s="163">
        <f t="shared" si="1044"/>
        <v>7789.8950916944877</v>
      </c>
      <c r="BC880" s="163">
        <f t="shared" si="1044"/>
        <v>7730.6346211461087</v>
      </c>
      <c r="BD880" s="163">
        <f t="shared" si="1044"/>
        <v>7675.2260811833739</v>
      </c>
      <c r="BE880" s="163">
        <f t="shared" si="1044"/>
        <v>7623.4190963182164</v>
      </c>
      <c r="BF880" s="163">
        <f t="shared" si="1044"/>
        <v>7574.9795654692953</v>
      </c>
      <c r="BG880" s="163">
        <f t="shared" si="1044"/>
        <v>7529.688604125553</v>
      </c>
      <c r="BH880" s="163">
        <f t="shared" si="1044"/>
        <v>7487.341555269154</v>
      </c>
      <c r="BI880" s="163">
        <f t="shared" si="1044"/>
        <v>7447.7470645884214</v>
      </c>
      <c r="BJ880" s="163">
        <f t="shared" si="1044"/>
        <v>7410.7262158019366</v>
      </c>
      <c r="BK880" s="163">
        <f t="shared" si="1044"/>
        <v>7376.1117221865725</v>
      </c>
      <c r="BL880" s="163">
        <f t="shared" si="1044"/>
        <v>7343.7471706562083</v>
      </c>
      <c r="BM880" s="163">
        <f t="shared" si="1044"/>
        <v>7313.4863149753164</v>
      </c>
      <c r="BN880" s="163">
        <f t="shared" si="1044"/>
        <v>7285.192414913683</v>
      </c>
    </row>
    <row r="881" spans="32:66" ht="20.100000000000001" customHeight="1">
      <c r="AF881" s="1551"/>
      <c r="AG881" s="222" t="s">
        <v>1188</v>
      </c>
      <c r="AH881" s="1496" t="s">
        <v>1193</v>
      </c>
      <c r="AI881" s="1464"/>
      <c r="AJ881" s="1465"/>
      <c r="AK881" s="180">
        <v>0</v>
      </c>
      <c r="AL881" s="123">
        <f t="shared" ref="AL881:BN881" si="1045">AL288</f>
        <v>0</v>
      </c>
      <c r="AM881" s="123">
        <f t="shared" si="1045"/>
        <v>0</v>
      </c>
      <c r="AN881" s="123">
        <f t="shared" si="1045"/>
        <v>0</v>
      </c>
      <c r="AO881" s="123">
        <f t="shared" si="1045"/>
        <v>0</v>
      </c>
      <c r="AP881" s="123">
        <f t="shared" si="1045"/>
        <v>0</v>
      </c>
      <c r="AQ881" s="123">
        <f t="shared" si="1045"/>
        <v>0</v>
      </c>
      <c r="AR881" s="123">
        <f t="shared" si="1045"/>
        <v>0</v>
      </c>
      <c r="AS881" s="123">
        <f t="shared" si="1045"/>
        <v>0</v>
      </c>
      <c r="AT881" s="123">
        <f t="shared" si="1045"/>
        <v>0</v>
      </c>
      <c r="AU881" s="123">
        <f t="shared" si="1045"/>
        <v>0</v>
      </c>
      <c r="AV881" s="123">
        <f t="shared" si="1045"/>
        <v>0</v>
      </c>
      <c r="AW881" s="123">
        <f t="shared" si="1045"/>
        <v>0</v>
      </c>
      <c r="AX881" s="123">
        <f t="shared" si="1045"/>
        <v>0</v>
      </c>
      <c r="AY881" s="123">
        <f t="shared" si="1045"/>
        <v>0</v>
      </c>
      <c r="AZ881" s="123">
        <f t="shared" si="1045"/>
        <v>0</v>
      </c>
      <c r="BA881" s="123">
        <f t="shared" si="1045"/>
        <v>0</v>
      </c>
      <c r="BB881" s="123">
        <f t="shared" si="1045"/>
        <v>0</v>
      </c>
      <c r="BC881" s="123">
        <f t="shared" si="1045"/>
        <v>0</v>
      </c>
      <c r="BD881" s="123">
        <f t="shared" si="1045"/>
        <v>0</v>
      </c>
      <c r="BE881" s="123">
        <f t="shared" si="1045"/>
        <v>0</v>
      </c>
      <c r="BF881" s="123">
        <f t="shared" si="1045"/>
        <v>0</v>
      </c>
      <c r="BG881" s="123">
        <f t="shared" si="1045"/>
        <v>0</v>
      </c>
      <c r="BH881" s="123">
        <f t="shared" si="1045"/>
        <v>0</v>
      </c>
      <c r="BI881" s="123">
        <f t="shared" si="1045"/>
        <v>0</v>
      </c>
      <c r="BJ881" s="123">
        <f t="shared" si="1045"/>
        <v>0</v>
      </c>
      <c r="BK881" s="123">
        <f t="shared" si="1045"/>
        <v>0</v>
      </c>
      <c r="BL881" s="123">
        <f t="shared" si="1045"/>
        <v>0</v>
      </c>
      <c r="BM881" s="123">
        <f t="shared" si="1045"/>
        <v>0</v>
      </c>
      <c r="BN881" s="159">
        <f t="shared" si="1045"/>
        <v>0</v>
      </c>
    </row>
    <row r="882" spans="32:66" ht="20.100000000000001" customHeight="1">
      <c r="AF882" s="1551"/>
      <c r="AG882" s="222" t="s">
        <v>1189</v>
      </c>
      <c r="AH882" s="1496" t="s">
        <v>1194</v>
      </c>
      <c r="AI882" s="1464"/>
      <c r="AJ882" s="1465"/>
      <c r="AK882" s="180">
        <v>0</v>
      </c>
      <c r="AL882" s="123">
        <f t="shared" ref="AL882:BN882" si="1046">AL407</f>
        <v>0</v>
      </c>
      <c r="AM882" s="123">
        <f t="shared" si="1046"/>
        <v>0</v>
      </c>
      <c r="AN882" s="123">
        <f t="shared" si="1046"/>
        <v>0</v>
      </c>
      <c r="AO882" s="123">
        <f t="shared" si="1046"/>
        <v>0</v>
      </c>
      <c r="AP882" s="123">
        <f t="shared" si="1046"/>
        <v>0</v>
      </c>
      <c r="AQ882" s="123">
        <f t="shared" si="1046"/>
        <v>0</v>
      </c>
      <c r="AR882" s="123">
        <f t="shared" si="1046"/>
        <v>0</v>
      </c>
      <c r="AS882" s="123">
        <f t="shared" si="1046"/>
        <v>0</v>
      </c>
      <c r="AT882" s="123">
        <f t="shared" si="1046"/>
        <v>0</v>
      </c>
      <c r="AU882" s="123">
        <f t="shared" si="1046"/>
        <v>0</v>
      </c>
      <c r="AV882" s="123">
        <f t="shared" si="1046"/>
        <v>0</v>
      </c>
      <c r="AW882" s="123">
        <f t="shared" si="1046"/>
        <v>0</v>
      </c>
      <c r="AX882" s="123">
        <f t="shared" si="1046"/>
        <v>0</v>
      </c>
      <c r="AY882" s="123">
        <f t="shared" si="1046"/>
        <v>0</v>
      </c>
      <c r="AZ882" s="123">
        <f t="shared" si="1046"/>
        <v>0</v>
      </c>
      <c r="BA882" s="123">
        <f t="shared" si="1046"/>
        <v>0</v>
      </c>
      <c r="BB882" s="123">
        <f t="shared" si="1046"/>
        <v>0</v>
      </c>
      <c r="BC882" s="123">
        <f t="shared" si="1046"/>
        <v>0</v>
      </c>
      <c r="BD882" s="123">
        <f t="shared" si="1046"/>
        <v>0</v>
      </c>
      <c r="BE882" s="123">
        <f t="shared" si="1046"/>
        <v>0</v>
      </c>
      <c r="BF882" s="123">
        <f t="shared" si="1046"/>
        <v>0</v>
      </c>
      <c r="BG882" s="123">
        <f t="shared" si="1046"/>
        <v>0</v>
      </c>
      <c r="BH882" s="123">
        <f t="shared" si="1046"/>
        <v>0</v>
      </c>
      <c r="BI882" s="123">
        <f t="shared" si="1046"/>
        <v>0</v>
      </c>
      <c r="BJ882" s="123">
        <f t="shared" si="1046"/>
        <v>0</v>
      </c>
      <c r="BK882" s="123">
        <f t="shared" si="1046"/>
        <v>0</v>
      </c>
      <c r="BL882" s="123">
        <f t="shared" si="1046"/>
        <v>0</v>
      </c>
      <c r="BM882" s="123">
        <f t="shared" si="1046"/>
        <v>0</v>
      </c>
      <c r="BN882" s="159">
        <f t="shared" si="1046"/>
        <v>0</v>
      </c>
    </row>
    <row r="883" spans="32:66" ht="20.100000000000001" customHeight="1">
      <c r="AF883" s="1551"/>
      <c r="AG883" s="222" t="s">
        <v>1190</v>
      </c>
      <c r="AH883" s="1496" t="s">
        <v>1195</v>
      </c>
      <c r="AI883" s="1464"/>
      <c r="AJ883" s="1465"/>
      <c r="AK883" s="180">
        <v>0</v>
      </c>
      <c r="AL883" s="123">
        <f t="shared" ref="AL883:BN883" si="1047">IF($A$114=1,-AL548,0)</f>
        <v>0</v>
      </c>
      <c r="AM883" s="123">
        <f t="shared" si="1047"/>
        <v>0</v>
      </c>
      <c r="AN883" s="123">
        <f t="shared" si="1047"/>
        <v>0</v>
      </c>
      <c r="AO883" s="123">
        <f t="shared" si="1047"/>
        <v>0</v>
      </c>
      <c r="AP883" s="123">
        <f t="shared" si="1047"/>
        <v>0</v>
      </c>
      <c r="AQ883" s="123">
        <f t="shared" si="1047"/>
        <v>0</v>
      </c>
      <c r="AR883" s="123">
        <f t="shared" si="1047"/>
        <v>0</v>
      </c>
      <c r="AS883" s="123">
        <f t="shared" si="1047"/>
        <v>0</v>
      </c>
      <c r="AT883" s="123">
        <f t="shared" si="1047"/>
        <v>0</v>
      </c>
      <c r="AU883" s="123">
        <f t="shared" si="1047"/>
        <v>0</v>
      </c>
      <c r="AV883" s="123">
        <f t="shared" si="1047"/>
        <v>0</v>
      </c>
      <c r="AW883" s="123">
        <f t="shared" si="1047"/>
        <v>0</v>
      </c>
      <c r="AX883" s="123">
        <f t="shared" si="1047"/>
        <v>0</v>
      </c>
      <c r="AY883" s="123">
        <f t="shared" si="1047"/>
        <v>0</v>
      </c>
      <c r="AZ883" s="123">
        <f t="shared" si="1047"/>
        <v>0</v>
      </c>
      <c r="BA883" s="123">
        <f t="shared" si="1047"/>
        <v>0</v>
      </c>
      <c r="BB883" s="123">
        <f t="shared" si="1047"/>
        <v>0</v>
      </c>
      <c r="BC883" s="123">
        <f t="shared" si="1047"/>
        <v>0</v>
      </c>
      <c r="BD883" s="123">
        <f t="shared" si="1047"/>
        <v>0</v>
      </c>
      <c r="BE883" s="123">
        <f t="shared" si="1047"/>
        <v>0</v>
      </c>
      <c r="BF883" s="123">
        <f t="shared" si="1047"/>
        <v>0</v>
      </c>
      <c r="BG883" s="123">
        <f t="shared" si="1047"/>
        <v>0</v>
      </c>
      <c r="BH883" s="123">
        <f t="shared" si="1047"/>
        <v>0</v>
      </c>
      <c r="BI883" s="123">
        <f t="shared" si="1047"/>
        <v>0</v>
      </c>
      <c r="BJ883" s="123">
        <f t="shared" si="1047"/>
        <v>0</v>
      </c>
      <c r="BK883" s="123">
        <f t="shared" si="1047"/>
        <v>0</v>
      </c>
      <c r="BL883" s="123">
        <f t="shared" si="1047"/>
        <v>0</v>
      </c>
      <c r="BM883" s="123">
        <f t="shared" si="1047"/>
        <v>0</v>
      </c>
      <c r="BN883" s="159">
        <f t="shared" si="1047"/>
        <v>0</v>
      </c>
    </row>
    <row r="884" spans="32:66" ht="20.100000000000001" customHeight="1">
      <c r="AF884" s="1551"/>
      <c r="AG884" s="222" t="s">
        <v>1190</v>
      </c>
      <c r="AH884" s="1496" t="s">
        <v>1196</v>
      </c>
      <c r="AI884" s="1464"/>
      <c r="AJ884" s="1465"/>
      <c r="AK884" s="180">
        <v>0</v>
      </c>
      <c r="AL884" s="123">
        <f t="shared" ref="AL884:BN884" si="1048">IF($A$115=1,-AL559,0)</f>
        <v>0</v>
      </c>
      <c r="AM884" s="123">
        <f t="shared" si="1048"/>
        <v>0</v>
      </c>
      <c r="AN884" s="123">
        <f t="shared" si="1048"/>
        <v>0</v>
      </c>
      <c r="AO884" s="123">
        <f t="shared" si="1048"/>
        <v>0</v>
      </c>
      <c r="AP884" s="123">
        <f t="shared" si="1048"/>
        <v>0</v>
      </c>
      <c r="AQ884" s="123">
        <f t="shared" si="1048"/>
        <v>0</v>
      </c>
      <c r="AR884" s="123">
        <f t="shared" si="1048"/>
        <v>0</v>
      </c>
      <c r="AS884" s="123">
        <f t="shared" si="1048"/>
        <v>0</v>
      </c>
      <c r="AT884" s="123">
        <f t="shared" si="1048"/>
        <v>0</v>
      </c>
      <c r="AU884" s="123">
        <f t="shared" si="1048"/>
        <v>0</v>
      </c>
      <c r="AV884" s="123">
        <f t="shared" si="1048"/>
        <v>0</v>
      </c>
      <c r="AW884" s="123">
        <f t="shared" si="1048"/>
        <v>0</v>
      </c>
      <c r="AX884" s="123">
        <f t="shared" si="1048"/>
        <v>0</v>
      </c>
      <c r="AY884" s="123">
        <f t="shared" si="1048"/>
        <v>0</v>
      </c>
      <c r="AZ884" s="123">
        <f t="shared" si="1048"/>
        <v>0</v>
      </c>
      <c r="BA884" s="123">
        <f t="shared" si="1048"/>
        <v>0</v>
      </c>
      <c r="BB884" s="123">
        <f t="shared" si="1048"/>
        <v>0</v>
      </c>
      <c r="BC884" s="123">
        <f t="shared" si="1048"/>
        <v>0</v>
      </c>
      <c r="BD884" s="123">
        <f t="shared" si="1048"/>
        <v>0</v>
      </c>
      <c r="BE884" s="123">
        <f t="shared" si="1048"/>
        <v>0</v>
      </c>
      <c r="BF884" s="123">
        <f t="shared" si="1048"/>
        <v>0</v>
      </c>
      <c r="BG884" s="123">
        <f t="shared" si="1048"/>
        <v>0</v>
      </c>
      <c r="BH884" s="123">
        <f t="shared" si="1048"/>
        <v>0</v>
      </c>
      <c r="BI884" s="123">
        <f t="shared" si="1048"/>
        <v>0</v>
      </c>
      <c r="BJ884" s="123">
        <f t="shared" si="1048"/>
        <v>0</v>
      </c>
      <c r="BK884" s="123">
        <f t="shared" si="1048"/>
        <v>0</v>
      </c>
      <c r="BL884" s="123">
        <f t="shared" si="1048"/>
        <v>0</v>
      </c>
      <c r="BM884" s="123">
        <f t="shared" si="1048"/>
        <v>0</v>
      </c>
      <c r="BN884" s="159">
        <f t="shared" si="1048"/>
        <v>0</v>
      </c>
    </row>
    <row r="885" spans="32:66" ht="20.100000000000001" customHeight="1">
      <c r="AF885" s="1551"/>
      <c r="AG885" s="222" t="s">
        <v>1190</v>
      </c>
      <c r="AH885" s="1496" t="s">
        <v>1197</v>
      </c>
      <c r="AI885" s="1464"/>
      <c r="AJ885" s="1465"/>
      <c r="AK885" s="180">
        <v>0</v>
      </c>
      <c r="AL885" s="123">
        <f t="shared" ref="AL885:BN885" si="1049">IF($A$116=1,-AL570,0)</f>
        <v>0</v>
      </c>
      <c r="AM885" s="123">
        <f t="shared" si="1049"/>
        <v>0</v>
      </c>
      <c r="AN885" s="123">
        <f t="shared" si="1049"/>
        <v>0</v>
      </c>
      <c r="AO885" s="123">
        <f t="shared" si="1049"/>
        <v>0</v>
      </c>
      <c r="AP885" s="123">
        <f t="shared" si="1049"/>
        <v>0</v>
      </c>
      <c r="AQ885" s="123">
        <f t="shared" si="1049"/>
        <v>0</v>
      </c>
      <c r="AR885" s="123">
        <f t="shared" si="1049"/>
        <v>0</v>
      </c>
      <c r="AS885" s="123">
        <f t="shared" si="1049"/>
        <v>0</v>
      </c>
      <c r="AT885" s="123">
        <f t="shared" si="1049"/>
        <v>0</v>
      </c>
      <c r="AU885" s="123">
        <f t="shared" si="1049"/>
        <v>0</v>
      </c>
      <c r="AV885" s="123">
        <f t="shared" si="1049"/>
        <v>0</v>
      </c>
      <c r="AW885" s="123">
        <f t="shared" si="1049"/>
        <v>0</v>
      </c>
      <c r="AX885" s="123">
        <f t="shared" si="1049"/>
        <v>0</v>
      </c>
      <c r="AY885" s="123">
        <f t="shared" si="1049"/>
        <v>0</v>
      </c>
      <c r="AZ885" s="123">
        <f t="shared" si="1049"/>
        <v>0</v>
      </c>
      <c r="BA885" s="123">
        <f t="shared" si="1049"/>
        <v>0</v>
      </c>
      <c r="BB885" s="123">
        <f t="shared" si="1049"/>
        <v>0</v>
      </c>
      <c r="BC885" s="123">
        <f t="shared" si="1049"/>
        <v>0</v>
      </c>
      <c r="BD885" s="123">
        <f t="shared" si="1049"/>
        <v>0</v>
      </c>
      <c r="BE885" s="123">
        <f t="shared" si="1049"/>
        <v>0</v>
      </c>
      <c r="BF885" s="123">
        <f t="shared" si="1049"/>
        <v>0</v>
      </c>
      <c r="BG885" s="123">
        <f t="shared" si="1049"/>
        <v>0</v>
      </c>
      <c r="BH885" s="123">
        <f t="shared" si="1049"/>
        <v>0</v>
      </c>
      <c r="BI885" s="123">
        <f t="shared" si="1049"/>
        <v>0</v>
      </c>
      <c r="BJ885" s="123">
        <f t="shared" si="1049"/>
        <v>0</v>
      </c>
      <c r="BK885" s="123">
        <f t="shared" si="1049"/>
        <v>0</v>
      </c>
      <c r="BL885" s="123">
        <f t="shared" si="1049"/>
        <v>0</v>
      </c>
      <c r="BM885" s="123">
        <f t="shared" si="1049"/>
        <v>0</v>
      </c>
      <c r="BN885" s="159">
        <f t="shared" si="1049"/>
        <v>0</v>
      </c>
    </row>
    <row r="886" spans="32:66" ht="20.100000000000001" customHeight="1">
      <c r="AF886" s="1551"/>
      <c r="AG886" s="222" t="s">
        <v>1190</v>
      </c>
      <c r="AH886" s="1496" t="s">
        <v>1198</v>
      </c>
      <c r="AI886" s="1464"/>
      <c r="AJ886" s="1465"/>
      <c r="AK886" s="180">
        <v>0</v>
      </c>
      <c r="AL886" s="123">
        <f t="shared" ref="AL886:BN886" si="1050">IF($A$117=1,-AL614,0)</f>
        <v>0</v>
      </c>
      <c r="AM886" s="123">
        <f t="shared" si="1050"/>
        <v>0</v>
      </c>
      <c r="AN886" s="123">
        <f t="shared" si="1050"/>
        <v>0</v>
      </c>
      <c r="AO886" s="123">
        <f t="shared" si="1050"/>
        <v>0</v>
      </c>
      <c r="AP886" s="123">
        <f t="shared" si="1050"/>
        <v>0</v>
      </c>
      <c r="AQ886" s="123">
        <f t="shared" si="1050"/>
        <v>0</v>
      </c>
      <c r="AR886" s="123">
        <f t="shared" si="1050"/>
        <v>0</v>
      </c>
      <c r="AS886" s="123">
        <f t="shared" si="1050"/>
        <v>0</v>
      </c>
      <c r="AT886" s="123">
        <f t="shared" si="1050"/>
        <v>0</v>
      </c>
      <c r="AU886" s="123">
        <f t="shared" si="1050"/>
        <v>0</v>
      </c>
      <c r="AV886" s="123">
        <f t="shared" si="1050"/>
        <v>0</v>
      </c>
      <c r="AW886" s="123">
        <f t="shared" si="1050"/>
        <v>0</v>
      </c>
      <c r="AX886" s="123">
        <f t="shared" si="1050"/>
        <v>0</v>
      </c>
      <c r="AY886" s="123">
        <f t="shared" si="1050"/>
        <v>0</v>
      </c>
      <c r="AZ886" s="123">
        <f t="shared" si="1050"/>
        <v>0</v>
      </c>
      <c r="BA886" s="123">
        <f t="shared" si="1050"/>
        <v>0</v>
      </c>
      <c r="BB886" s="123">
        <f t="shared" si="1050"/>
        <v>0</v>
      </c>
      <c r="BC886" s="123">
        <f t="shared" si="1050"/>
        <v>0</v>
      </c>
      <c r="BD886" s="123">
        <f t="shared" si="1050"/>
        <v>0</v>
      </c>
      <c r="BE886" s="123">
        <f t="shared" si="1050"/>
        <v>0</v>
      </c>
      <c r="BF886" s="123">
        <f t="shared" si="1050"/>
        <v>0</v>
      </c>
      <c r="BG886" s="123">
        <f t="shared" si="1050"/>
        <v>0</v>
      </c>
      <c r="BH886" s="123">
        <f t="shared" si="1050"/>
        <v>0</v>
      </c>
      <c r="BI886" s="123">
        <f t="shared" si="1050"/>
        <v>0</v>
      </c>
      <c r="BJ886" s="123">
        <f t="shared" si="1050"/>
        <v>0</v>
      </c>
      <c r="BK886" s="123">
        <f t="shared" si="1050"/>
        <v>0</v>
      </c>
      <c r="BL886" s="123">
        <f t="shared" si="1050"/>
        <v>0</v>
      </c>
      <c r="BM886" s="123">
        <f t="shared" si="1050"/>
        <v>0</v>
      </c>
      <c r="BN886" s="159">
        <f t="shared" si="1050"/>
        <v>0</v>
      </c>
    </row>
    <row r="887" spans="32:66" ht="20.100000000000001" customHeight="1">
      <c r="AF887" s="1551"/>
      <c r="AG887" s="222" t="s">
        <v>1190</v>
      </c>
      <c r="AH887" s="1496" t="s">
        <v>1199</v>
      </c>
      <c r="AI887" s="1464"/>
      <c r="AJ887" s="1465"/>
      <c r="AK887" s="180">
        <v>0</v>
      </c>
      <c r="AL887" s="123">
        <f t="shared" ref="AL887:BN887" si="1051">IF($A$118=1,-AL625,0)</f>
        <v>0</v>
      </c>
      <c r="AM887" s="123">
        <f t="shared" si="1051"/>
        <v>0</v>
      </c>
      <c r="AN887" s="123">
        <f t="shared" si="1051"/>
        <v>0</v>
      </c>
      <c r="AO887" s="123">
        <f t="shared" si="1051"/>
        <v>0</v>
      </c>
      <c r="AP887" s="123">
        <f t="shared" si="1051"/>
        <v>0</v>
      </c>
      <c r="AQ887" s="123">
        <f t="shared" si="1051"/>
        <v>0</v>
      </c>
      <c r="AR887" s="123">
        <f t="shared" si="1051"/>
        <v>0</v>
      </c>
      <c r="AS887" s="123">
        <f t="shared" si="1051"/>
        <v>0</v>
      </c>
      <c r="AT887" s="123">
        <f t="shared" si="1051"/>
        <v>0</v>
      </c>
      <c r="AU887" s="123">
        <f t="shared" si="1051"/>
        <v>0</v>
      </c>
      <c r="AV887" s="123">
        <f t="shared" si="1051"/>
        <v>0</v>
      </c>
      <c r="AW887" s="123">
        <f t="shared" si="1051"/>
        <v>0</v>
      </c>
      <c r="AX887" s="123">
        <f t="shared" si="1051"/>
        <v>0</v>
      </c>
      <c r="AY887" s="123">
        <f t="shared" si="1051"/>
        <v>0</v>
      </c>
      <c r="AZ887" s="123">
        <f t="shared" si="1051"/>
        <v>0</v>
      </c>
      <c r="BA887" s="123">
        <f t="shared" si="1051"/>
        <v>0</v>
      </c>
      <c r="BB887" s="123">
        <f t="shared" si="1051"/>
        <v>0</v>
      </c>
      <c r="BC887" s="123">
        <f t="shared" si="1051"/>
        <v>0</v>
      </c>
      <c r="BD887" s="123">
        <f t="shared" si="1051"/>
        <v>0</v>
      </c>
      <c r="BE887" s="123">
        <f t="shared" si="1051"/>
        <v>0</v>
      </c>
      <c r="BF887" s="123">
        <f t="shared" si="1051"/>
        <v>0</v>
      </c>
      <c r="BG887" s="123">
        <f t="shared" si="1051"/>
        <v>0</v>
      </c>
      <c r="BH887" s="123">
        <f t="shared" si="1051"/>
        <v>0</v>
      </c>
      <c r="BI887" s="123">
        <f t="shared" si="1051"/>
        <v>0</v>
      </c>
      <c r="BJ887" s="123">
        <f t="shared" si="1051"/>
        <v>0</v>
      </c>
      <c r="BK887" s="123">
        <f t="shared" si="1051"/>
        <v>0</v>
      </c>
      <c r="BL887" s="123">
        <f t="shared" si="1051"/>
        <v>0</v>
      </c>
      <c r="BM887" s="123">
        <f t="shared" si="1051"/>
        <v>0</v>
      </c>
      <c r="BN887" s="159">
        <f t="shared" si="1051"/>
        <v>0</v>
      </c>
    </row>
    <row r="888" spans="32:66" ht="20.100000000000001" customHeight="1">
      <c r="AF888" s="1551"/>
      <c r="AG888" s="222" t="s">
        <v>1190</v>
      </c>
      <c r="AH888" s="1496" t="s">
        <v>1200</v>
      </c>
      <c r="AI888" s="1464"/>
      <c r="AJ888" s="1465"/>
      <c r="AK888" s="180">
        <v>0</v>
      </c>
      <c r="AL888" s="123">
        <f t="shared" ref="AL888:BN888" si="1052">IF($A$119=1,-AL636,0)</f>
        <v>0</v>
      </c>
      <c r="AM888" s="123">
        <f t="shared" si="1052"/>
        <v>0</v>
      </c>
      <c r="AN888" s="123">
        <f t="shared" si="1052"/>
        <v>0</v>
      </c>
      <c r="AO888" s="123">
        <f t="shared" si="1052"/>
        <v>0</v>
      </c>
      <c r="AP888" s="123">
        <f t="shared" si="1052"/>
        <v>0</v>
      </c>
      <c r="AQ888" s="123">
        <f t="shared" si="1052"/>
        <v>0</v>
      </c>
      <c r="AR888" s="123">
        <f t="shared" si="1052"/>
        <v>0</v>
      </c>
      <c r="AS888" s="123">
        <f t="shared" si="1052"/>
        <v>0</v>
      </c>
      <c r="AT888" s="123">
        <f t="shared" si="1052"/>
        <v>0</v>
      </c>
      <c r="AU888" s="123">
        <f t="shared" si="1052"/>
        <v>0</v>
      </c>
      <c r="AV888" s="123">
        <f t="shared" si="1052"/>
        <v>0</v>
      </c>
      <c r="AW888" s="123">
        <f t="shared" si="1052"/>
        <v>0</v>
      </c>
      <c r="AX888" s="123">
        <f t="shared" si="1052"/>
        <v>0</v>
      </c>
      <c r="AY888" s="123">
        <f t="shared" si="1052"/>
        <v>0</v>
      </c>
      <c r="AZ888" s="123">
        <f t="shared" si="1052"/>
        <v>0</v>
      </c>
      <c r="BA888" s="123">
        <f t="shared" si="1052"/>
        <v>0</v>
      </c>
      <c r="BB888" s="123">
        <f t="shared" si="1052"/>
        <v>0</v>
      </c>
      <c r="BC888" s="123">
        <f t="shared" si="1052"/>
        <v>0</v>
      </c>
      <c r="BD888" s="123">
        <f t="shared" si="1052"/>
        <v>0</v>
      </c>
      <c r="BE888" s="123">
        <f t="shared" si="1052"/>
        <v>0</v>
      </c>
      <c r="BF888" s="123">
        <f t="shared" si="1052"/>
        <v>0</v>
      </c>
      <c r="BG888" s="123">
        <f t="shared" si="1052"/>
        <v>0</v>
      </c>
      <c r="BH888" s="123">
        <f t="shared" si="1052"/>
        <v>0</v>
      </c>
      <c r="BI888" s="123">
        <f t="shared" si="1052"/>
        <v>0</v>
      </c>
      <c r="BJ888" s="123">
        <f t="shared" si="1052"/>
        <v>0</v>
      </c>
      <c r="BK888" s="123">
        <f t="shared" si="1052"/>
        <v>0</v>
      </c>
      <c r="BL888" s="123">
        <f t="shared" si="1052"/>
        <v>0</v>
      </c>
      <c r="BM888" s="123">
        <f t="shared" si="1052"/>
        <v>0</v>
      </c>
      <c r="BN888" s="159">
        <f t="shared" si="1052"/>
        <v>0</v>
      </c>
    </row>
    <row r="889" spans="32:66" ht="20.100000000000001" customHeight="1">
      <c r="AF889" s="1551"/>
      <c r="AG889" s="222" t="s">
        <v>1191</v>
      </c>
      <c r="AH889" s="1496" t="s">
        <v>1201</v>
      </c>
      <c r="AI889" s="1464"/>
      <c r="AJ889" s="1465"/>
      <c r="AK889" s="180">
        <v>0</v>
      </c>
      <c r="AL889" s="123">
        <f>IF($A$135=1,-AL754,0)</f>
        <v>0</v>
      </c>
      <c r="AM889" s="123">
        <f t="shared" ref="AM889:BN889" si="1053">IF($A$135=1,-AM754,0)</f>
        <v>0</v>
      </c>
      <c r="AN889" s="123">
        <f t="shared" si="1053"/>
        <v>0</v>
      </c>
      <c r="AO889" s="123">
        <f t="shared" si="1053"/>
        <v>0</v>
      </c>
      <c r="AP889" s="123">
        <f t="shared" si="1053"/>
        <v>0</v>
      </c>
      <c r="AQ889" s="123">
        <f t="shared" si="1053"/>
        <v>0</v>
      </c>
      <c r="AR889" s="123">
        <f t="shared" si="1053"/>
        <v>0</v>
      </c>
      <c r="AS889" s="123">
        <f t="shared" si="1053"/>
        <v>0</v>
      </c>
      <c r="AT889" s="123">
        <f t="shared" si="1053"/>
        <v>0</v>
      </c>
      <c r="AU889" s="123">
        <f t="shared" si="1053"/>
        <v>0</v>
      </c>
      <c r="AV889" s="123">
        <f t="shared" si="1053"/>
        <v>0</v>
      </c>
      <c r="AW889" s="123">
        <f t="shared" si="1053"/>
        <v>0</v>
      </c>
      <c r="AX889" s="123">
        <f t="shared" si="1053"/>
        <v>0</v>
      </c>
      <c r="AY889" s="123">
        <f t="shared" si="1053"/>
        <v>0</v>
      </c>
      <c r="AZ889" s="123">
        <f t="shared" si="1053"/>
        <v>0</v>
      </c>
      <c r="BA889" s="123">
        <f t="shared" si="1053"/>
        <v>0</v>
      </c>
      <c r="BB889" s="123">
        <f t="shared" si="1053"/>
        <v>0</v>
      </c>
      <c r="BC889" s="123">
        <f t="shared" si="1053"/>
        <v>0</v>
      </c>
      <c r="BD889" s="123">
        <f t="shared" si="1053"/>
        <v>0</v>
      </c>
      <c r="BE889" s="123">
        <f t="shared" si="1053"/>
        <v>0</v>
      </c>
      <c r="BF889" s="123">
        <f t="shared" si="1053"/>
        <v>0</v>
      </c>
      <c r="BG889" s="123">
        <f t="shared" si="1053"/>
        <v>0</v>
      </c>
      <c r="BH889" s="123">
        <f t="shared" si="1053"/>
        <v>0</v>
      </c>
      <c r="BI889" s="123">
        <f t="shared" si="1053"/>
        <v>0</v>
      </c>
      <c r="BJ889" s="123">
        <f t="shared" si="1053"/>
        <v>0</v>
      </c>
      <c r="BK889" s="123">
        <f t="shared" si="1053"/>
        <v>0</v>
      </c>
      <c r="BL889" s="123">
        <f t="shared" si="1053"/>
        <v>0</v>
      </c>
      <c r="BM889" s="123">
        <f t="shared" si="1053"/>
        <v>0</v>
      </c>
      <c r="BN889" s="159">
        <f t="shared" si="1053"/>
        <v>0</v>
      </c>
    </row>
    <row r="890" spans="32:66" ht="20.100000000000001" customHeight="1">
      <c r="AF890" s="1551"/>
      <c r="AG890" s="222" t="s">
        <v>1191</v>
      </c>
      <c r="AH890" s="1496" t="s">
        <v>1202</v>
      </c>
      <c r="AI890" s="1464"/>
      <c r="AJ890" s="1465"/>
      <c r="AK890" s="180">
        <v>0</v>
      </c>
      <c r="AL890" s="123">
        <f>IF($A$136=1,-AL765,0)</f>
        <v>0</v>
      </c>
      <c r="AM890" s="123">
        <f t="shared" ref="AM890:BN890" si="1054">IF($A$136=1,-AM765,0)</f>
        <v>0</v>
      </c>
      <c r="AN890" s="123">
        <f t="shared" si="1054"/>
        <v>0</v>
      </c>
      <c r="AO890" s="123">
        <f t="shared" si="1054"/>
        <v>0</v>
      </c>
      <c r="AP890" s="123">
        <f t="shared" si="1054"/>
        <v>0</v>
      </c>
      <c r="AQ890" s="123">
        <f t="shared" si="1054"/>
        <v>0</v>
      </c>
      <c r="AR890" s="123">
        <f t="shared" si="1054"/>
        <v>0</v>
      </c>
      <c r="AS890" s="123">
        <f t="shared" si="1054"/>
        <v>0</v>
      </c>
      <c r="AT890" s="123">
        <f t="shared" si="1054"/>
        <v>0</v>
      </c>
      <c r="AU890" s="123">
        <f t="shared" si="1054"/>
        <v>0</v>
      </c>
      <c r="AV890" s="123">
        <f t="shared" si="1054"/>
        <v>0</v>
      </c>
      <c r="AW890" s="123">
        <f t="shared" si="1054"/>
        <v>0</v>
      </c>
      <c r="AX890" s="123">
        <f t="shared" si="1054"/>
        <v>0</v>
      </c>
      <c r="AY890" s="123">
        <f t="shared" si="1054"/>
        <v>0</v>
      </c>
      <c r="AZ890" s="123">
        <f t="shared" si="1054"/>
        <v>0</v>
      </c>
      <c r="BA890" s="123">
        <f t="shared" si="1054"/>
        <v>0</v>
      </c>
      <c r="BB890" s="123">
        <f t="shared" si="1054"/>
        <v>0</v>
      </c>
      <c r="BC890" s="123">
        <f t="shared" si="1054"/>
        <v>0</v>
      </c>
      <c r="BD890" s="123">
        <f t="shared" si="1054"/>
        <v>0</v>
      </c>
      <c r="BE890" s="123">
        <f t="shared" si="1054"/>
        <v>0</v>
      </c>
      <c r="BF890" s="123">
        <f t="shared" si="1054"/>
        <v>0</v>
      </c>
      <c r="BG890" s="123">
        <f t="shared" si="1054"/>
        <v>0</v>
      </c>
      <c r="BH890" s="123">
        <f t="shared" si="1054"/>
        <v>0</v>
      </c>
      <c r="BI890" s="123">
        <f t="shared" si="1054"/>
        <v>0</v>
      </c>
      <c r="BJ890" s="123">
        <f t="shared" si="1054"/>
        <v>0</v>
      </c>
      <c r="BK890" s="123">
        <f t="shared" si="1054"/>
        <v>0</v>
      </c>
      <c r="BL890" s="123">
        <f t="shared" si="1054"/>
        <v>0</v>
      </c>
      <c r="BM890" s="123">
        <f t="shared" si="1054"/>
        <v>0</v>
      </c>
      <c r="BN890" s="159">
        <f t="shared" si="1054"/>
        <v>0</v>
      </c>
    </row>
    <row r="891" spans="32:66" ht="20.100000000000001" customHeight="1">
      <c r="AF891" s="1551"/>
      <c r="AG891" s="222" t="s">
        <v>1191</v>
      </c>
      <c r="AH891" s="1496" t="s">
        <v>1203</v>
      </c>
      <c r="AI891" s="1464"/>
      <c r="AJ891" s="1465"/>
      <c r="AK891" s="180">
        <v>0</v>
      </c>
      <c r="AL891" s="123">
        <f>IF($A$137=1,-AL776,0)</f>
        <v>0</v>
      </c>
      <c r="AM891" s="123">
        <f t="shared" ref="AM891:BN891" si="1055">IF($A$137=1,-AM776,0)</f>
        <v>0</v>
      </c>
      <c r="AN891" s="123">
        <f t="shared" si="1055"/>
        <v>0</v>
      </c>
      <c r="AO891" s="123">
        <f t="shared" si="1055"/>
        <v>0</v>
      </c>
      <c r="AP891" s="123">
        <f t="shared" si="1055"/>
        <v>0</v>
      </c>
      <c r="AQ891" s="123">
        <f t="shared" si="1055"/>
        <v>0</v>
      </c>
      <c r="AR891" s="123">
        <f t="shared" si="1055"/>
        <v>0</v>
      </c>
      <c r="AS891" s="123">
        <f t="shared" si="1055"/>
        <v>0</v>
      </c>
      <c r="AT891" s="123">
        <f t="shared" si="1055"/>
        <v>0</v>
      </c>
      <c r="AU891" s="123">
        <f t="shared" si="1055"/>
        <v>0</v>
      </c>
      <c r="AV891" s="123">
        <f t="shared" si="1055"/>
        <v>0</v>
      </c>
      <c r="AW891" s="123">
        <f t="shared" si="1055"/>
        <v>0</v>
      </c>
      <c r="AX891" s="123">
        <f t="shared" si="1055"/>
        <v>0</v>
      </c>
      <c r="AY891" s="123">
        <f t="shared" si="1055"/>
        <v>0</v>
      </c>
      <c r="AZ891" s="123">
        <f t="shared" si="1055"/>
        <v>0</v>
      </c>
      <c r="BA891" s="123">
        <f t="shared" si="1055"/>
        <v>0</v>
      </c>
      <c r="BB891" s="123">
        <f t="shared" si="1055"/>
        <v>0</v>
      </c>
      <c r="BC891" s="123">
        <f t="shared" si="1055"/>
        <v>0</v>
      </c>
      <c r="BD891" s="123">
        <f t="shared" si="1055"/>
        <v>0</v>
      </c>
      <c r="BE891" s="123">
        <f t="shared" si="1055"/>
        <v>0</v>
      </c>
      <c r="BF891" s="123">
        <f t="shared" si="1055"/>
        <v>0</v>
      </c>
      <c r="BG891" s="123">
        <f t="shared" si="1055"/>
        <v>0</v>
      </c>
      <c r="BH891" s="123">
        <f t="shared" si="1055"/>
        <v>0</v>
      </c>
      <c r="BI891" s="123">
        <f t="shared" si="1055"/>
        <v>0</v>
      </c>
      <c r="BJ891" s="123">
        <f t="shared" si="1055"/>
        <v>0</v>
      </c>
      <c r="BK891" s="123">
        <f t="shared" si="1055"/>
        <v>0</v>
      </c>
      <c r="BL891" s="123">
        <f t="shared" si="1055"/>
        <v>0</v>
      </c>
      <c r="BM891" s="123">
        <f t="shared" si="1055"/>
        <v>0</v>
      </c>
      <c r="BN891" s="159">
        <f t="shared" si="1055"/>
        <v>0</v>
      </c>
    </row>
    <row r="892" spans="32:66" ht="20.100000000000001" customHeight="1">
      <c r="AF892" s="1551"/>
      <c r="AG892" s="222" t="s">
        <v>1191</v>
      </c>
      <c r="AH892" s="1496" t="s">
        <v>1204</v>
      </c>
      <c r="AI892" s="1464"/>
      <c r="AJ892" s="1465"/>
      <c r="AK892" s="180">
        <v>0</v>
      </c>
      <c r="AL892" s="123">
        <f>IF($A$138=1,-AL787,0)</f>
        <v>-2022</v>
      </c>
      <c r="AM892" s="123">
        <f t="shared" ref="AM892:BN892" si="1056">IF($A$138=1,-AM787,0)</f>
        <v>-2023</v>
      </c>
      <c r="AN892" s="123">
        <f t="shared" si="1056"/>
        <v>-2024</v>
      </c>
      <c r="AO892" s="123">
        <f t="shared" si="1056"/>
        <v>-2025</v>
      </c>
      <c r="AP892" s="123">
        <f t="shared" si="1056"/>
        <v>-2026</v>
      </c>
      <c r="AQ892" s="123">
        <f t="shared" si="1056"/>
        <v>-2027</v>
      </c>
      <c r="AR892" s="123">
        <f t="shared" si="1056"/>
        <v>-2028</v>
      </c>
      <c r="AS892" s="123">
        <f t="shared" si="1056"/>
        <v>-2029</v>
      </c>
      <c r="AT892" s="123">
        <f t="shared" si="1056"/>
        <v>-2030</v>
      </c>
      <c r="AU892" s="123">
        <f t="shared" si="1056"/>
        <v>-2031</v>
      </c>
      <c r="AV892" s="123">
        <f t="shared" si="1056"/>
        <v>-2032</v>
      </c>
      <c r="AW892" s="123">
        <f t="shared" si="1056"/>
        <v>-2033</v>
      </c>
      <c r="AX892" s="123">
        <f t="shared" si="1056"/>
        <v>-2034</v>
      </c>
      <c r="AY892" s="123">
        <f t="shared" si="1056"/>
        <v>-2035</v>
      </c>
      <c r="AZ892" s="123">
        <f t="shared" si="1056"/>
        <v>-2036</v>
      </c>
      <c r="BA892" s="123">
        <f t="shared" si="1056"/>
        <v>-2037</v>
      </c>
      <c r="BB892" s="123">
        <f t="shared" si="1056"/>
        <v>-2038</v>
      </c>
      <c r="BC892" s="123">
        <f t="shared" si="1056"/>
        <v>-2039</v>
      </c>
      <c r="BD892" s="123">
        <f t="shared" si="1056"/>
        <v>-2040</v>
      </c>
      <c r="BE892" s="123">
        <f t="shared" si="1056"/>
        <v>-2041</v>
      </c>
      <c r="BF892" s="123">
        <f t="shared" si="1056"/>
        <v>-2042</v>
      </c>
      <c r="BG892" s="123">
        <f t="shared" si="1056"/>
        <v>-2043</v>
      </c>
      <c r="BH892" s="123">
        <f t="shared" si="1056"/>
        <v>-2044</v>
      </c>
      <c r="BI892" s="123">
        <f t="shared" si="1056"/>
        <v>-2045</v>
      </c>
      <c r="BJ892" s="123">
        <f t="shared" si="1056"/>
        <v>-2046</v>
      </c>
      <c r="BK892" s="123">
        <f t="shared" si="1056"/>
        <v>-2047</v>
      </c>
      <c r="BL892" s="123">
        <f t="shared" si="1056"/>
        <v>-2048</v>
      </c>
      <c r="BM892" s="123">
        <f t="shared" si="1056"/>
        <v>-2049</v>
      </c>
      <c r="BN892" s="159">
        <f t="shared" si="1056"/>
        <v>-2050</v>
      </c>
    </row>
    <row r="893" spans="32:66" ht="20.100000000000001" customHeight="1">
      <c r="AF893" s="1551"/>
      <c r="AG893" s="222" t="s">
        <v>1191</v>
      </c>
      <c r="AH893" s="1496" t="s">
        <v>1205</v>
      </c>
      <c r="AI893" s="1464"/>
      <c r="AJ893" s="1465"/>
      <c r="AK893" s="180">
        <v>0</v>
      </c>
      <c r="AL893" s="123">
        <f>IF($A$139=1,-AL798,0)</f>
        <v>-2022</v>
      </c>
      <c r="AM893" s="123">
        <f t="shared" ref="AM893:BN893" si="1057">IF($A$139=1,-AM798,0)</f>
        <v>-2023</v>
      </c>
      <c r="AN893" s="123">
        <f t="shared" si="1057"/>
        <v>-2024</v>
      </c>
      <c r="AO893" s="123">
        <f t="shared" si="1057"/>
        <v>-2025</v>
      </c>
      <c r="AP893" s="123">
        <f t="shared" si="1057"/>
        <v>-2026</v>
      </c>
      <c r="AQ893" s="123">
        <f t="shared" si="1057"/>
        <v>-2027</v>
      </c>
      <c r="AR893" s="123">
        <f t="shared" si="1057"/>
        <v>-2028</v>
      </c>
      <c r="AS893" s="123">
        <f t="shared" si="1057"/>
        <v>-2029</v>
      </c>
      <c r="AT893" s="123">
        <f t="shared" si="1057"/>
        <v>-2030</v>
      </c>
      <c r="AU893" s="123">
        <f t="shared" si="1057"/>
        <v>-2031</v>
      </c>
      <c r="AV893" s="123">
        <f t="shared" si="1057"/>
        <v>-2032</v>
      </c>
      <c r="AW893" s="123">
        <f t="shared" si="1057"/>
        <v>-2033</v>
      </c>
      <c r="AX893" s="123">
        <f t="shared" si="1057"/>
        <v>-2034</v>
      </c>
      <c r="AY893" s="123">
        <f t="shared" si="1057"/>
        <v>-2035</v>
      </c>
      <c r="AZ893" s="123">
        <f t="shared" si="1057"/>
        <v>-2036</v>
      </c>
      <c r="BA893" s="123">
        <f t="shared" si="1057"/>
        <v>-2037</v>
      </c>
      <c r="BB893" s="123">
        <f t="shared" si="1057"/>
        <v>-2038</v>
      </c>
      <c r="BC893" s="123">
        <f t="shared" si="1057"/>
        <v>-2039</v>
      </c>
      <c r="BD893" s="123">
        <f t="shared" si="1057"/>
        <v>-2040</v>
      </c>
      <c r="BE893" s="123">
        <f t="shared" si="1057"/>
        <v>-2041</v>
      </c>
      <c r="BF893" s="123">
        <f t="shared" si="1057"/>
        <v>-2042</v>
      </c>
      <c r="BG893" s="123">
        <f t="shared" si="1057"/>
        <v>-2043</v>
      </c>
      <c r="BH893" s="123">
        <f t="shared" si="1057"/>
        <v>-2044</v>
      </c>
      <c r="BI893" s="123">
        <f t="shared" si="1057"/>
        <v>-2045</v>
      </c>
      <c r="BJ893" s="123">
        <f t="shared" si="1057"/>
        <v>-2046</v>
      </c>
      <c r="BK893" s="123">
        <f t="shared" si="1057"/>
        <v>-2047</v>
      </c>
      <c r="BL893" s="123">
        <f t="shared" si="1057"/>
        <v>-2048</v>
      </c>
      <c r="BM893" s="123">
        <f t="shared" si="1057"/>
        <v>-2049</v>
      </c>
      <c r="BN893" s="159">
        <f t="shared" si="1057"/>
        <v>-2050</v>
      </c>
    </row>
    <row r="894" spans="32:66" ht="20.100000000000001" customHeight="1">
      <c r="AF894" s="1551"/>
      <c r="AG894" s="222" t="s">
        <v>1191</v>
      </c>
      <c r="AH894" s="1496" t="s">
        <v>1206</v>
      </c>
      <c r="AI894" s="1464"/>
      <c r="AJ894" s="1465"/>
      <c r="AK894" s="180">
        <v>0</v>
      </c>
      <c r="AL894" s="123">
        <f>IF($A$140=1,-AL809,0)</f>
        <v>-2022</v>
      </c>
      <c r="AM894" s="123">
        <f t="shared" ref="AM894:BN894" si="1058">IF($A$140=1,-AM809,0)</f>
        <v>-2023</v>
      </c>
      <c r="AN894" s="123">
        <f t="shared" si="1058"/>
        <v>-2024</v>
      </c>
      <c r="AO894" s="123">
        <f t="shared" si="1058"/>
        <v>-2025</v>
      </c>
      <c r="AP894" s="123">
        <f t="shared" si="1058"/>
        <v>-2026</v>
      </c>
      <c r="AQ894" s="123">
        <f t="shared" si="1058"/>
        <v>-2027</v>
      </c>
      <c r="AR894" s="123">
        <f t="shared" si="1058"/>
        <v>-2028</v>
      </c>
      <c r="AS894" s="123">
        <f t="shared" si="1058"/>
        <v>-2029</v>
      </c>
      <c r="AT894" s="123">
        <f t="shared" si="1058"/>
        <v>-2030</v>
      </c>
      <c r="AU894" s="123">
        <f t="shared" si="1058"/>
        <v>-2031</v>
      </c>
      <c r="AV894" s="123">
        <f t="shared" si="1058"/>
        <v>-2032</v>
      </c>
      <c r="AW894" s="123">
        <f t="shared" si="1058"/>
        <v>-2033</v>
      </c>
      <c r="AX894" s="123">
        <f t="shared" si="1058"/>
        <v>-2034</v>
      </c>
      <c r="AY894" s="123">
        <f t="shared" si="1058"/>
        <v>-2035</v>
      </c>
      <c r="AZ894" s="123">
        <f t="shared" si="1058"/>
        <v>-2036</v>
      </c>
      <c r="BA894" s="123">
        <f t="shared" si="1058"/>
        <v>-2037</v>
      </c>
      <c r="BB894" s="123">
        <f t="shared" si="1058"/>
        <v>-2038</v>
      </c>
      <c r="BC894" s="123">
        <f t="shared" si="1058"/>
        <v>-2039</v>
      </c>
      <c r="BD894" s="123">
        <f t="shared" si="1058"/>
        <v>-2040</v>
      </c>
      <c r="BE894" s="123">
        <f t="shared" si="1058"/>
        <v>-2041</v>
      </c>
      <c r="BF894" s="123">
        <f t="shared" si="1058"/>
        <v>-2042</v>
      </c>
      <c r="BG894" s="123">
        <f t="shared" si="1058"/>
        <v>-2043</v>
      </c>
      <c r="BH894" s="123">
        <f t="shared" si="1058"/>
        <v>-2044</v>
      </c>
      <c r="BI894" s="123">
        <f t="shared" si="1058"/>
        <v>-2045</v>
      </c>
      <c r="BJ894" s="123">
        <f t="shared" si="1058"/>
        <v>-2046</v>
      </c>
      <c r="BK894" s="123">
        <f t="shared" si="1058"/>
        <v>-2047</v>
      </c>
      <c r="BL894" s="123">
        <f t="shared" si="1058"/>
        <v>-2048</v>
      </c>
      <c r="BM894" s="123">
        <f t="shared" si="1058"/>
        <v>-2049</v>
      </c>
      <c r="BN894" s="159">
        <f t="shared" si="1058"/>
        <v>-2050</v>
      </c>
    </row>
    <row r="895" spans="32:66" ht="20.100000000000001" customHeight="1">
      <c r="AF895" s="1551"/>
      <c r="AG895" s="222" t="s">
        <v>1192</v>
      </c>
      <c r="AH895" s="1496" t="s">
        <v>1207</v>
      </c>
      <c r="AI895" s="1464"/>
      <c r="AJ895" s="1465"/>
      <c r="AK895" s="180">
        <v>0</v>
      </c>
      <c r="AL895" s="123">
        <f>IF($C$135=1,AL754,0)</f>
        <v>0</v>
      </c>
      <c r="AM895" s="123">
        <f t="shared" ref="AM895:BN895" si="1059">IF($C$135=1,AM754,0)</f>
        <v>0</v>
      </c>
      <c r="AN895" s="123">
        <f t="shared" si="1059"/>
        <v>0</v>
      </c>
      <c r="AO895" s="123">
        <f t="shared" si="1059"/>
        <v>0</v>
      </c>
      <c r="AP895" s="123">
        <f t="shared" si="1059"/>
        <v>0</v>
      </c>
      <c r="AQ895" s="123">
        <f t="shared" si="1059"/>
        <v>0</v>
      </c>
      <c r="AR895" s="123">
        <f t="shared" si="1059"/>
        <v>0</v>
      </c>
      <c r="AS895" s="123">
        <f t="shared" si="1059"/>
        <v>0</v>
      </c>
      <c r="AT895" s="123">
        <f t="shared" si="1059"/>
        <v>0</v>
      </c>
      <c r="AU895" s="123">
        <f t="shared" si="1059"/>
        <v>0</v>
      </c>
      <c r="AV895" s="123">
        <f t="shared" si="1059"/>
        <v>0</v>
      </c>
      <c r="AW895" s="123">
        <f t="shared" si="1059"/>
        <v>0</v>
      </c>
      <c r="AX895" s="123">
        <f t="shared" si="1059"/>
        <v>0</v>
      </c>
      <c r="AY895" s="123">
        <f t="shared" si="1059"/>
        <v>0</v>
      </c>
      <c r="AZ895" s="123">
        <f t="shared" si="1059"/>
        <v>0</v>
      </c>
      <c r="BA895" s="123">
        <f t="shared" si="1059"/>
        <v>0</v>
      </c>
      <c r="BB895" s="123">
        <f t="shared" si="1059"/>
        <v>0</v>
      </c>
      <c r="BC895" s="123">
        <f t="shared" si="1059"/>
        <v>0</v>
      </c>
      <c r="BD895" s="123">
        <f t="shared" si="1059"/>
        <v>0</v>
      </c>
      <c r="BE895" s="123">
        <f t="shared" si="1059"/>
        <v>0</v>
      </c>
      <c r="BF895" s="123">
        <f t="shared" si="1059"/>
        <v>0</v>
      </c>
      <c r="BG895" s="123">
        <f t="shared" si="1059"/>
        <v>0</v>
      </c>
      <c r="BH895" s="123">
        <f t="shared" si="1059"/>
        <v>0</v>
      </c>
      <c r="BI895" s="123">
        <f t="shared" si="1059"/>
        <v>0</v>
      </c>
      <c r="BJ895" s="123">
        <f t="shared" si="1059"/>
        <v>0</v>
      </c>
      <c r="BK895" s="123">
        <f t="shared" si="1059"/>
        <v>0</v>
      </c>
      <c r="BL895" s="123">
        <f t="shared" si="1059"/>
        <v>0</v>
      </c>
      <c r="BM895" s="123">
        <f t="shared" si="1059"/>
        <v>0</v>
      </c>
      <c r="BN895" s="159">
        <f t="shared" si="1059"/>
        <v>0</v>
      </c>
    </row>
    <row r="896" spans="32:66" ht="20.100000000000001" customHeight="1">
      <c r="AF896" s="1551"/>
      <c r="AG896" s="222" t="s">
        <v>1192</v>
      </c>
      <c r="AH896" s="1496" t="s">
        <v>1208</v>
      </c>
      <c r="AI896" s="1464"/>
      <c r="AJ896" s="1465"/>
      <c r="AK896" s="180">
        <v>0</v>
      </c>
      <c r="AL896" s="123">
        <f>IF($C$136=1,AL765,0)</f>
        <v>0</v>
      </c>
      <c r="AM896" s="123">
        <f t="shared" ref="AM896:BN896" si="1060">IF($C$136=1,AM765,0)</f>
        <v>0</v>
      </c>
      <c r="AN896" s="123">
        <f t="shared" si="1060"/>
        <v>0</v>
      </c>
      <c r="AO896" s="123">
        <f t="shared" si="1060"/>
        <v>0</v>
      </c>
      <c r="AP896" s="123">
        <f t="shared" si="1060"/>
        <v>0</v>
      </c>
      <c r="AQ896" s="123">
        <f t="shared" si="1060"/>
        <v>0</v>
      </c>
      <c r="AR896" s="123">
        <f t="shared" si="1060"/>
        <v>0</v>
      </c>
      <c r="AS896" s="123">
        <f t="shared" si="1060"/>
        <v>0</v>
      </c>
      <c r="AT896" s="123">
        <f t="shared" si="1060"/>
        <v>0</v>
      </c>
      <c r="AU896" s="123">
        <f t="shared" si="1060"/>
        <v>0</v>
      </c>
      <c r="AV896" s="123">
        <f t="shared" si="1060"/>
        <v>0</v>
      </c>
      <c r="AW896" s="123">
        <f t="shared" si="1060"/>
        <v>0</v>
      </c>
      <c r="AX896" s="123">
        <f t="shared" si="1060"/>
        <v>0</v>
      </c>
      <c r="AY896" s="123">
        <f t="shared" si="1060"/>
        <v>0</v>
      </c>
      <c r="AZ896" s="123">
        <f t="shared" si="1060"/>
        <v>0</v>
      </c>
      <c r="BA896" s="123">
        <f t="shared" si="1060"/>
        <v>0</v>
      </c>
      <c r="BB896" s="123">
        <f t="shared" si="1060"/>
        <v>0</v>
      </c>
      <c r="BC896" s="123">
        <f t="shared" si="1060"/>
        <v>0</v>
      </c>
      <c r="BD896" s="123">
        <f t="shared" si="1060"/>
        <v>0</v>
      </c>
      <c r="BE896" s="123">
        <f t="shared" si="1060"/>
        <v>0</v>
      </c>
      <c r="BF896" s="123">
        <f t="shared" si="1060"/>
        <v>0</v>
      </c>
      <c r="BG896" s="123">
        <f t="shared" si="1060"/>
        <v>0</v>
      </c>
      <c r="BH896" s="123">
        <f t="shared" si="1060"/>
        <v>0</v>
      </c>
      <c r="BI896" s="123">
        <f t="shared" si="1060"/>
        <v>0</v>
      </c>
      <c r="BJ896" s="123">
        <f t="shared" si="1060"/>
        <v>0</v>
      </c>
      <c r="BK896" s="123">
        <f t="shared" si="1060"/>
        <v>0</v>
      </c>
      <c r="BL896" s="123">
        <f t="shared" si="1060"/>
        <v>0</v>
      </c>
      <c r="BM896" s="123">
        <f t="shared" si="1060"/>
        <v>0</v>
      </c>
      <c r="BN896" s="159">
        <f t="shared" si="1060"/>
        <v>0</v>
      </c>
    </row>
    <row r="897" spans="32:66" ht="20.100000000000001" customHeight="1">
      <c r="AF897" s="1551"/>
      <c r="AG897" s="222" t="s">
        <v>1192</v>
      </c>
      <c r="AH897" s="1496" t="s">
        <v>1209</v>
      </c>
      <c r="AI897" s="1464"/>
      <c r="AJ897" s="1465"/>
      <c r="AK897" s="180">
        <v>0</v>
      </c>
      <c r="AL897" s="123">
        <f>IF($C$137=1,AL776,0)</f>
        <v>0</v>
      </c>
      <c r="AM897" s="123">
        <f t="shared" ref="AM897:BN897" si="1061">IF($C$137=1,AM776,0)</f>
        <v>0</v>
      </c>
      <c r="AN897" s="123">
        <f t="shared" si="1061"/>
        <v>0</v>
      </c>
      <c r="AO897" s="123">
        <f t="shared" si="1061"/>
        <v>0</v>
      </c>
      <c r="AP897" s="123">
        <f t="shared" si="1061"/>
        <v>0</v>
      </c>
      <c r="AQ897" s="123">
        <f t="shared" si="1061"/>
        <v>0</v>
      </c>
      <c r="AR897" s="123">
        <f t="shared" si="1061"/>
        <v>0</v>
      </c>
      <c r="AS897" s="123">
        <f t="shared" si="1061"/>
        <v>0</v>
      </c>
      <c r="AT897" s="123">
        <f t="shared" si="1061"/>
        <v>0</v>
      </c>
      <c r="AU897" s="123">
        <f t="shared" si="1061"/>
        <v>0</v>
      </c>
      <c r="AV897" s="123">
        <f t="shared" si="1061"/>
        <v>0</v>
      </c>
      <c r="AW897" s="123">
        <f t="shared" si="1061"/>
        <v>0</v>
      </c>
      <c r="AX897" s="123">
        <f t="shared" si="1061"/>
        <v>0</v>
      </c>
      <c r="AY897" s="123">
        <f t="shared" si="1061"/>
        <v>0</v>
      </c>
      <c r="AZ897" s="123">
        <f t="shared" si="1061"/>
        <v>0</v>
      </c>
      <c r="BA897" s="123">
        <f t="shared" si="1061"/>
        <v>0</v>
      </c>
      <c r="BB897" s="123">
        <f t="shared" si="1061"/>
        <v>0</v>
      </c>
      <c r="BC897" s="123">
        <f t="shared" si="1061"/>
        <v>0</v>
      </c>
      <c r="BD897" s="123">
        <f t="shared" si="1061"/>
        <v>0</v>
      </c>
      <c r="BE897" s="123">
        <f t="shared" si="1061"/>
        <v>0</v>
      </c>
      <c r="BF897" s="123">
        <f t="shared" si="1061"/>
        <v>0</v>
      </c>
      <c r="BG897" s="123">
        <f t="shared" si="1061"/>
        <v>0</v>
      </c>
      <c r="BH897" s="123">
        <f t="shared" si="1061"/>
        <v>0</v>
      </c>
      <c r="BI897" s="123">
        <f t="shared" si="1061"/>
        <v>0</v>
      </c>
      <c r="BJ897" s="123">
        <f t="shared" si="1061"/>
        <v>0</v>
      </c>
      <c r="BK897" s="123">
        <f t="shared" si="1061"/>
        <v>0</v>
      </c>
      <c r="BL897" s="123">
        <f t="shared" si="1061"/>
        <v>0</v>
      </c>
      <c r="BM897" s="123">
        <f t="shared" si="1061"/>
        <v>0</v>
      </c>
      <c r="BN897" s="159">
        <f t="shared" si="1061"/>
        <v>0</v>
      </c>
    </row>
    <row r="898" spans="32:66" ht="20.100000000000001" customHeight="1">
      <c r="AF898" s="1551"/>
      <c r="AG898" s="222" t="s">
        <v>1192</v>
      </c>
      <c r="AH898" s="1496" t="s">
        <v>1210</v>
      </c>
      <c r="AI898" s="1464"/>
      <c r="AJ898" s="1465"/>
      <c r="AK898" s="180">
        <v>0</v>
      </c>
      <c r="AL898" s="123">
        <f>IF($C$138=1,AL787,0)</f>
        <v>0</v>
      </c>
      <c r="AM898" s="123">
        <f t="shared" ref="AM898:BN898" si="1062">IF($C$138=1,AM787,0)</f>
        <v>0</v>
      </c>
      <c r="AN898" s="123">
        <f t="shared" si="1062"/>
        <v>0</v>
      </c>
      <c r="AO898" s="123">
        <f t="shared" si="1062"/>
        <v>0</v>
      </c>
      <c r="AP898" s="123">
        <f t="shared" si="1062"/>
        <v>0</v>
      </c>
      <c r="AQ898" s="123">
        <f t="shared" si="1062"/>
        <v>0</v>
      </c>
      <c r="AR898" s="123">
        <f t="shared" si="1062"/>
        <v>0</v>
      </c>
      <c r="AS898" s="123">
        <f t="shared" si="1062"/>
        <v>0</v>
      </c>
      <c r="AT898" s="123">
        <f t="shared" si="1062"/>
        <v>0</v>
      </c>
      <c r="AU898" s="123">
        <f t="shared" si="1062"/>
        <v>0</v>
      </c>
      <c r="AV898" s="123">
        <f t="shared" si="1062"/>
        <v>0</v>
      </c>
      <c r="AW898" s="123">
        <f t="shared" si="1062"/>
        <v>0</v>
      </c>
      <c r="AX898" s="123">
        <f t="shared" si="1062"/>
        <v>0</v>
      </c>
      <c r="AY898" s="123">
        <f t="shared" si="1062"/>
        <v>0</v>
      </c>
      <c r="AZ898" s="123">
        <f t="shared" si="1062"/>
        <v>0</v>
      </c>
      <c r="BA898" s="123">
        <f t="shared" si="1062"/>
        <v>0</v>
      </c>
      <c r="BB898" s="123">
        <f t="shared" si="1062"/>
        <v>0</v>
      </c>
      <c r="BC898" s="123">
        <f t="shared" si="1062"/>
        <v>0</v>
      </c>
      <c r="BD898" s="123">
        <f t="shared" si="1062"/>
        <v>0</v>
      </c>
      <c r="BE898" s="123">
        <f t="shared" si="1062"/>
        <v>0</v>
      </c>
      <c r="BF898" s="123">
        <f t="shared" si="1062"/>
        <v>0</v>
      </c>
      <c r="BG898" s="123">
        <f t="shared" si="1062"/>
        <v>0</v>
      </c>
      <c r="BH898" s="123">
        <f t="shared" si="1062"/>
        <v>0</v>
      </c>
      <c r="BI898" s="123">
        <f t="shared" si="1062"/>
        <v>0</v>
      </c>
      <c r="BJ898" s="123">
        <f t="shared" si="1062"/>
        <v>0</v>
      </c>
      <c r="BK898" s="123">
        <f t="shared" si="1062"/>
        <v>0</v>
      </c>
      <c r="BL898" s="123">
        <f t="shared" si="1062"/>
        <v>0</v>
      </c>
      <c r="BM898" s="123">
        <f t="shared" si="1062"/>
        <v>0</v>
      </c>
      <c r="BN898" s="159">
        <f t="shared" si="1062"/>
        <v>0</v>
      </c>
    </row>
    <row r="899" spans="32:66" ht="20.100000000000001" customHeight="1">
      <c r="AF899" s="1551"/>
      <c r="AG899" s="222" t="s">
        <v>1192</v>
      </c>
      <c r="AH899" s="1496" t="s">
        <v>1211</v>
      </c>
      <c r="AI899" s="1464"/>
      <c r="AJ899" s="1465"/>
      <c r="AK899" s="180">
        <v>0</v>
      </c>
      <c r="AL899" s="123">
        <f>IF($C$139=1,AL798,0)</f>
        <v>0</v>
      </c>
      <c r="AM899" s="123">
        <f t="shared" ref="AM899:BN899" si="1063">IF($C$139=1,AM798,0)</f>
        <v>0</v>
      </c>
      <c r="AN899" s="123">
        <f t="shared" si="1063"/>
        <v>0</v>
      </c>
      <c r="AO899" s="123">
        <f t="shared" si="1063"/>
        <v>0</v>
      </c>
      <c r="AP899" s="123">
        <f t="shared" si="1063"/>
        <v>0</v>
      </c>
      <c r="AQ899" s="123">
        <f t="shared" si="1063"/>
        <v>0</v>
      </c>
      <c r="AR899" s="123">
        <f t="shared" si="1063"/>
        <v>0</v>
      </c>
      <c r="AS899" s="123">
        <f t="shared" si="1063"/>
        <v>0</v>
      </c>
      <c r="AT899" s="123">
        <f t="shared" si="1063"/>
        <v>0</v>
      </c>
      <c r="AU899" s="123">
        <f t="shared" si="1063"/>
        <v>0</v>
      </c>
      <c r="AV899" s="123">
        <f t="shared" si="1063"/>
        <v>0</v>
      </c>
      <c r="AW899" s="123">
        <f t="shared" si="1063"/>
        <v>0</v>
      </c>
      <c r="AX899" s="123">
        <f t="shared" si="1063"/>
        <v>0</v>
      </c>
      <c r="AY899" s="123">
        <f t="shared" si="1063"/>
        <v>0</v>
      </c>
      <c r="AZ899" s="123">
        <f t="shared" si="1063"/>
        <v>0</v>
      </c>
      <c r="BA899" s="123">
        <f t="shared" si="1063"/>
        <v>0</v>
      </c>
      <c r="BB899" s="123">
        <f t="shared" si="1063"/>
        <v>0</v>
      </c>
      <c r="BC899" s="123">
        <f t="shared" si="1063"/>
        <v>0</v>
      </c>
      <c r="BD899" s="123">
        <f t="shared" si="1063"/>
        <v>0</v>
      </c>
      <c r="BE899" s="123">
        <f t="shared" si="1063"/>
        <v>0</v>
      </c>
      <c r="BF899" s="123">
        <f t="shared" si="1063"/>
        <v>0</v>
      </c>
      <c r="BG899" s="123">
        <f t="shared" si="1063"/>
        <v>0</v>
      </c>
      <c r="BH899" s="123">
        <f t="shared" si="1063"/>
        <v>0</v>
      </c>
      <c r="BI899" s="123">
        <f t="shared" si="1063"/>
        <v>0</v>
      </c>
      <c r="BJ899" s="123">
        <f t="shared" si="1063"/>
        <v>0</v>
      </c>
      <c r="BK899" s="123">
        <f t="shared" si="1063"/>
        <v>0</v>
      </c>
      <c r="BL899" s="123">
        <f t="shared" si="1063"/>
        <v>0</v>
      </c>
      <c r="BM899" s="123">
        <f t="shared" si="1063"/>
        <v>0</v>
      </c>
      <c r="BN899" s="159">
        <f t="shared" si="1063"/>
        <v>0</v>
      </c>
    </row>
    <row r="900" spans="32:66" ht="20.100000000000001" customHeight="1" thickBot="1">
      <c r="AF900" s="1552"/>
      <c r="AG900" s="223" t="s">
        <v>1192</v>
      </c>
      <c r="AH900" s="1498" t="s">
        <v>1212</v>
      </c>
      <c r="AI900" s="1467"/>
      <c r="AJ900" s="1468"/>
      <c r="AK900" s="224">
        <v>0</v>
      </c>
      <c r="AL900" s="160">
        <f>IF($C$140=1,AL809,0)</f>
        <v>0</v>
      </c>
      <c r="AM900" s="160">
        <f t="shared" ref="AM900:BN900" si="1064">IF($C$140=1,AM809,0)</f>
        <v>0</v>
      </c>
      <c r="AN900" s="160">
        <f t="shared" si="1064"/>
        <v>0</v>
      </c>
      <c r="AO900" s="160">
        <f t="shared" si="1064"/>
        <v>0</v>
      </c>
      <c r="AP900" s="160">
        <f t="shared" si="1064"/>
        <v>0</v>
      </c>
      <c r="AQ900" s="160">
        <f t="shared" si="1064"/>
        <v>0</v>
      </c>
      <c r="AR900" s="160">
        <f t="shared" si="1064"/>
        <v>0</v>
      </c>
      <c r="AS900" s="160">
        <f t="shared" si="1064"/>
        <v>0</v>
      </c>
      <c r="AT900" s="160">
        <f t="shared" si="1064"/>
        <v>0</v>
      </c>
      <c r="AU900" s="160">
        <f t="shared" si="1064"/>
        <v>0</v>
      </c>
      <c r="AV900" s="160">
        <f t="shared" si="1064"/>
        <v>0</v>
      </c>
      <c r="AW900" s="160">
        <f t="shared" si="1064"/>
        <v>0</v>
      </c>
      <c r="AX900" s="160">
        <f t="shared" si="1064"/>
        <v>0</v>
      </c>
      <c r="AY900" s="160">
        <f t="shared" si="1064"/>
        <v>0</v>
      </c>
      <c r="AZ900" s="160">
        <f t="shared" si="1064"/>
        <v>0</v>
      </c>
      <c r="BA900" s="160">
        <f t="shared" si="1064"/>
        <v>0</v>
      </c>
      <c r="BB900" s="160">
        <f t="shared" si="1064"/>
        <v>0</v>
      </c>
      <c r="BC900" s="160">
        <f t="shared" si="1064"/>
        <v>0</v>
      </c>
      <c r="BD900" s="160">
        <f t="shared" si="1064"/>
        <v>0</v>
      </c>
      <c r="BE900" s="160">
        <f t="shared" si="1064"/>
        <v>0</v>
      </c>
      <c r="BF900" s="160">
        <f t="shared" si="1064"/>
        <v>0</v>
      </c>
      <c r="BG900" s="160">
        <f t="shared" si="1064"/>
        <v>0</v>
      </c>
      <c r="BH900" s="160">
        <f t="shared" si="1064"/>
        <v>0</v>
      </c>
      <c r="BI900" s="160">
        <f t="shared" si="1064"/>
        <v>0</v>
      </c>
      <c r="BJ900" s="160">
        <f t="shared" si="1064"/>
        <v>0</v>
      </c>
      <c r="BK900" s="160">
        <f t="shared" si="1064"/>
        <v>0</v>
      </c>
      <c r="BL900" s="160">
        <f t="shared" si="1064"/>
        <v>0</v>
      </c>
      <c r="BM900" s="160">
        <f t="shared" si="1064"/>
        <v>0</v>
      </c>
      <c r="BN900" s="161">
        <f t="shared" si="1064"/>
        <v>0</v>
      </c>
    </row>
    <row r="901" spans="32:66" ht="20.100000000000001" customHeight="1">
      <c r="AF901" s="167"/>
      <c r="AG901" s="1547" t="s">
        <v>1080</v>
      </c>
      <c r="AH901" s="1548"/>
      <c r="AI901" s="1548"/>
      <c r="AJ901" s="1549"/>
      <c r="AK901" s="179">
        <v>0</v>
      </c>
      <c r="AL901" s="162">
        <f>IF(AL879&gt;START!$C$2+2020,SUM(AL880:AL900),0)</f>
        <v>3749.7307639400351</v>
      </c>
      <c r="AM901" s="162">
        <f>IF(AM879&gt;START!$C$2+2020,SUM(AM880:AM900),0)</f>
        <v>3523.4780872851134</v>
      </c>
      <c r="AN901" s="162">
        <f>IF(AN879&gt;START!$C$2+2020,SUM(AN880:AN900),0)</f>
        <v>3314.1926140559663</v>
      </c>
      <c r="AO901" s="162">
        <f>IF(AO879&gt;START!$C$2+2020,SUM(AO880:AO900),0)</f>
        <v>3120.5848367922354</v>
      </c>
      <c r="AP901" s="162">
        <f>IF(AP879&gt;START!$C$2+2020,SUM(AP880:AP900),0)</f>
        <v>2941.4632506005473</v>
      </c>
      <c r="AQ901" s="162">
        <f>IF(AQ879&gt;START!$C$2+2020,SUM(AQ880:AQ900),0)</f>
        <v>2775.7269049594288</v>
      </c>
      <c r="AR901" s="162">
        <f>IF(AR879&gt;START!$C$2+2020,SUM(AR880:AR900),0)</f>
        <v>2622.3585215870335</v>
      </c>
      <c r="AS901" s="162">
        <f>IF(AS879&gt;START!$C$2+2020,SUM(AS880:AS900),0)</f>
        <v>2480.4181353509412</v>
      </c>
      <c r="AT901" s="162">
        <f>IF(AT879&gt;START!$C$2+2020,SUM(AT880:AT900),0)</f>
        <v>2349.0372184687913</v>
      </c>
      <c r="AU901" s="162">
        <f>IF(AU879&gt;START!$C$2+2020,SUM(AU880:AU900),0)</f>
        <v>2244.5825096800836</v>
      </c>
      <c r="AV901" s="162">
        <f>IF(AV879&gt;START!$C$2+2020,SUM(AV880:AV900),0)</f>
        <v>2146.7223569626403</v>
      </c>
      <c r="AW901" s="162">
        <f>IF(AW879&gt;START!$C$2+2020,SUM(AW880:AW900),0)</f>
        <v>2055.0281141718306</v>
      </c>
      <c r="AX901" s="162">
        <f>IF(AX879&gt;START!$C$2+2020,SUM(AX880:AX900),0)</f>
        <v>1969.0989971624231</v>
      </c>
      <c r="AY901" s="162">
        <f>IF(AY879&gt;START!$C$2+2020,SUM(AY880:AY900),0)</f>
        <v>1888.5602727586283</v>
      </c>
      <c r="AZ901" s="162">
        <f>IF(AZ879&gt;START!$C$2+2020,SUM(AZ880:AZ900),0)</f>
        <v>1813.0615654410794</v>
      </c>
      <c r="BA901" s="162">
        <f>IF(BA879&gt;START!$C$2+2020,SUM(BA880:BA900),0)</f>
        <v>1742.2752740991718</v>
      </c>
      <c r="BB901" s="162">
        <f>IF(BB879&gt;START!$C$2+2020,SUM(BB880:BB900),0)</f>
        <v>1675.8950916944877</v>
      </c>
      <c r="BC901" s="162">
        <f>IF(BC879&gt;START!$C$2+2020,SUM(BC880:BC900),0)</f>
        <v>1613.6346211461087</v>
      </c>
      <c r="BD901" s="162">
        <f>IF(BD879&gt;START!$C$2+2020,SUM(BD880:BD900),0)</f>
        <v>1555.2260811833739</v>
      </c>
      <c r="BE901" s="162">
        <f>IF(BE879&gt;START!$C$2+2020,SUM(BE880:BE900),0)</f>
        <v>1500.4190963182164</v>
      </c>
      <c r="BF901" s="162">
        <f>IF(BF879&gt;START!$C$2+2020,SUM(BF880:BF900),0)</f>
        <v>1448.9795654692953</v>
      </c>
      <c r="BG901" s="162">
        <f>IF(BG879&gt;START!$C$2+2020,SUM(BG880:BG900),0)</f>
        <v>1400.688604125553</v>
      </c>
      <c r="BH901" s="162">
        <f>IF(BH879&gt;START!$C$2+2020,SUM(BH880:BH900),0)</f>
        <v>1355.341555269154</v>
      </c>
      <c r="BI901" s="162">
        <f>IF(BI879&gt;START!$C$2+2020,SUM(BI880:BI900),0)</f>
        <v>1312.7470645884214</v>
      </c>
      <c r="BJ901" s="162">
        <f>IF(BJ879&gt;START!$C$2+2020,SUM(BJ880:BJ900),0)</f>
        <v>1272.7262158019366</v>
      </c>
      <c r="BK901" s="162">
        <f>IF(BK879&gt;START!$C$2+2020,SUM(BK880:BK900),0)</f>
        <v>1235.1117221865725</v>
      </c>
      <c r="BL901" s="162">
        <f>IF(BL879&gt;START!$C$2+2020,SUM(BL880:BL900),0)</f>
        <v>1199.7471706562083</v>
      </c>
      <c r="BM901" s="162">
        <f>IF(BM879&gt;START!$C$2+2020,SUM(BM880:BM900),0)</f>
        <v>1166.4863149753164</v>
      </c>
      <c r="BN901" s="162">
        <f>IF(BN879&gt;START!$C$2+2020,SUM(BN880:BN900),0)</f>
        <v>1135.192414913683</v>
      </c>
    </row>
    <row r="903" spans="32:66" ht="20.100000000000001" customHeight="1">
      <c r="AF903" s="141" t="s">
        <v>1185</v>
      </c>
      <c r="AG903" s="130"/>
      <c r="AH903" s="130"/>
      <c r="AI903" s="130"/>
      <c r="AJ903" s="130"/>
      <c r="AK903" s="130"/>
      <c r="AL903" s="130"/>
      <c r="AM903" s="130"/>
    </row>
    <row r="904" spans="32:66" ht="20.100000000000001" customHeight="1" thickBot="1">
      <c r="AF904" s="142" t="s">
        <v>1187</v>
      </c>
      <c r="AG904" s="143"/>
      <c r="AH904" s="143"/>
      <c r="AI904" s="149"/>
      <c r="AJ904" s="175"/>
      <c r="AK904" s="176">
        <v>2021</v>
      </c>
      <c r="AL904" s="135">
        <v>2022</v>
      </c>
      <c r="AM904" s="135">
        <f>AL904+1</f>
        <v>2023</v>
      </c>
      <c r="AN904" s="135">
        <f t="shared" ref="AN904" si="1065">AM904+1</f>
        <v>2024</v>
      </c>
      <c r="AO904" s="135">
        <f t="shared" ref="AO904" si="1066">AN904+1</f>
        <v>2025</v>
      </c>
      <c r="AP904" s="135">
        <f t="shared" ref="AP904" si="1067">AO904+1</f>
        <v>2026</v>
      </c>
      <c r="AQ904" s="135">
        <f t="shared" ref="AQ904" si="1068">AP904+1</f>
        <v>2027</v>
      </c>
      <c r="AR904" s="135">
        <f t="shared" ref="AR904" si="1069">AQ904+1</f>
        <v>2028</v>
      </c>
      <c r="AS904" s="135">
        <f t="shared" ref="AS904" si="1070">AR904+1</f>
        <v>2029</v>
      </c>
      <c r="AT904" s="135">
        <f t="shared" ref="AT904" si="1071">AS904+1</f>
        <v>2030</v>
      </c>
      <c r="AU904" s="135">
        <f t="shared" ref="AU904" si="1072">AT904+1</f>
        <v>2031</v>
      </c>
      <c r="AV904" s="135">
        <f t="shared" ref="AV904" si="1073">AU904+1</f>
        <v>2032</v>
      </c>
      <c r="AW904" s="135">
        <f t="shared" ref="AW904" si="1074">AV904+1</f>
        <v>2033</v>
      </c>
      <c r="AX904" s="135">
        <f t="shared" ref="AX904" si="1075">AW904+1</f>
        <v>2034</v>
      </c>
      <c r="AY904" s="135">
        <f t="shared" ref="AY904" si="1076">AX904+1</f>
        <v>2035</v>
      </c>
      <c r="AZ904" s="135">
        <f t="shared" ref="AZ904" si="1077">AY904+1</f>
        <v>2036</v>
      </c>
      <c r="BA904" s="135">
        <f t="shared" ref="BA904" si="1078">AZ904+1</f>
        <v>2037</v>
      </c>
      <c r="BB904" s="135">
        <f t="shared" ref="BB904" si="1079">BA904+1</f>
        <v>2038</v>
      </c>
      <c r="BC904" s="135">
        <f t="shared" ref="BC904" si="1080">BB904+1</f>
        <v>2039</v>
      </c>
      <c r="BD904" s="135">
        <f t="shared" ref="BD904" si="1081">BC904+1</f>
        <v>2040</v>
      </c>
      <c r="BE904" s="135">
        <f t="shared" ref="BE904" si="1082">BD904+1</f>
        <v>2041</v>
      </c>
      <c r="BF904" s="135">
        <f t="shared" ref="BF904" si="1083">BE904+1</f>
        <v>2042</v>
      </c>
      <c r="BG904" s="135">
        <f t="shared" ref="BG904" si="1084">BF904+1</f>
        <v>2043</v>
      </c>
      <c r="BH904" s="135">
        <f t="shared" ref="BH904" si="1085">BG904+1</f>
        <v>2044</v>
      </c>
      <c r="BI904" s="135">
        <f t="shared" ref="BI904" si="1086">BH904+1</f>
        <v>2045</v>
      </c>
      <c r="BJ904" s="135">
        <f t="shared" ref="BJ904" si="1087">BI904+1</f>
        <v>2046</v>
      </c>
      <c r="BK904" s="135">
        <f t="shared" ref="BK904" si="1088">BJ904+1</f>
        <v>2047</v>
      </c>
      <c r="BL904" s="135">
        <f t="shared" ref="BL904" si="1089">BK904+1</f>
        <v>2048</v>
      </c>
      <c r="BM904" s="135">
        <f t="shared" ref="BM904" si="1090">BL904+1</f>
        <v>2049</v>
      </c>
      <c r="BN904" s="135">
        <f t="shared" ref="BN904" si="1091">BM904+1</f>
        <v>2050</v>
      </c>
    </row>
    <row r="905" spans="32:66" ht="20.100000000000001" customHeight="1">
      <c r="AF905" s="1550" t="s">
        <v>860</v>
      </c>
      <c r="AG905" s="137" t="s">
        <v>1186</v>
      </c>
      <c r="AH905" s="1553" t="s">
        <v>1215</v>
      </c>
      <c r="AI905" s="1554"/>
      <c r="AJ905" s="1507"/>
      <c r="AK905" s="178">
        <v>0</v>
      </c>
      <c r="AL905" s="163">
        <f t="shared" ref="AL905:BN905" si="1092">AL222</f>
        <v>41317.689306508546</v>
      </c>
      <c r="AM905" s="163">
        <f t="shared" si="1092"/>
        <v>40377.944222549886</v>
      </c>
      <c r="AN905" s="163">
        <f t="shared" si="1092"/>
        <v>39509.619764972085</v>
      </c>
      <c r="AO905" s="163">
        <f t="shared" si="1092"/>
        <v>38707.287966170195</v>
      </c>
      <c r="AP905" s="163">
        <f t="shared" si="1092"/>
        <v>37965.933384077252</v>
      </c>
      <c r="AQ905" s="163">
        <f t="shared" si="1092"/>
        <v>37280.921750223373</v>
      </c>
      <c r="AR905" s="163">
        <f t="shared" si="1092"/>
        <v>36647.971000542384</v>
      </c>
      <c r="AS905" s="163">
        <f t="shared" si="1092"/>
        <v>36063.124507837158</v>
      </c>
      <c r="AT905" s="163">
        <f t="shared" si="1092"/>
        <v>35522.726348577518</v>
      </c>
      <c r="AU905" s="163">
        <f t="shared" si="1092"/>
        <v>35095.6695927205</v>
      </c>
      <c r="AV905" s="163">
        <f t="shared" si="1092"/>
        <v>34696.371525994189</v>
      </c>
      <c r="AW905" s="163">
        <f t="shared" si="1092"/>
        <v>34323.027833605083</v>
      </c>
      <c r="AX905" s="163">
        <f t="shared" si="1092"/>
        <v>33973.951481221273</v>
      </c>
      <c r="AY905" s="163">
        <f t="shared" si="1092"/>
        <v>33647.565091742406</v>
      </c>
      <c r="AZ905" s="163">
        <f t="shared" si="1092"/>
        <v>33342.393817579665</v>
      </c>
      <c r="BA905" s="163">
        <f t="shared" si="1092"/>
        <v>33057.05867623751</v>
      </c>
      <c r="BB905" s="163">
        <f t="shared" si="1092"/>
        <v>32790.270319082585</v>
      </c>
      <c r="BC905" s="163">
        <f t="shared" si="1092"/>
        <v>32540.82320514274</v>
      </c>
      <c r="BD905" s="163">
        <f t="shared" si="1092"/>
        <v>32307.59015360898</v>
      </c>
      <c r="BE905" s="163">
        <f t="shared" si="1092"/>
        <v>32089.517250424913</v>
      </c>
      <c r="BF905" s="163">
        <f t="shared" si="1092"/>
        <v>31885.619085947808</v>
      </c>
      <c r="BG905" s="163">
        <f t="shared" si="1092"/>
        <v>31694.974302161718</v>
      </c>
      <c r="BH905" s="163">
        <f t="shared" si="1092"/>
        <v>31516.721429321726</v>
      </c>
      <c r="BI905" s="163">
        <f t="shared" si="1092"/>
        <v>31350.054993216334</v>
      </c>
      <c r="BJ905" s="163">
        <f t="shared" si="1092"/>
        <v>31194.221875457792</v>
      </c>
      <c r="BK905" s="163">
        <f t="shared" si="1092"/>
        <v>31048.517910353548</v>
      </c>
      <c r="BL905" s="163">
        <f t="shared" si="1092"/>
        <v>30912.284702981087</v>
      </c>
      <c r="BM905" s="163">
        <f t="shared" si="1092"/>
        <v>30784.906654087834</v>
      </c>
      <c r="BN905" s="163">
        <f t="shared" si="1092"/>
        <v>30665.808178372645</v>
      </c>
    </row>
    <row r="906" spans="32:66" ht="20.100000000000001" customHeight="1">
      <c r="AF906" s="1551"/>
      <c r="AG906" s="222" t="s">
        <v>1188</v>
      </c>
      <c r="AH906" s="1496" t="s">
        <v>1193</v>
      </c>
      <c r="AI906" s="1464"/>
      <c r="AJ906" s="1465"/>
      <c r="AK906" s="180">
        <v>0</v>
      </c>
      <c r="AL906" s="123">
        <f t="shared" ref="AL906:BN906" si="1093">AL313</f>
        <v>0</v>
      </c>
      <c r="AM906" s="123">
        <f t="shared" si="1093"/>
        <v>0</v>
      </c>
      <c r="AN906" s="123">
        <f t="shared" si="1093"/>
        <v>0</v>
      </c>
      <c r="AO906" s="123">
        <f t="shared" si="1093"/>
        <v>0</v>
      </c>
      <c r="AP906" s="123">
        <f t="shared" si="1093"/>
        <v>0</v>
      </c>
      <c r="AQ906" s="123">
        <f t="shared" si="1093"/>
        <v>0</v>
      </c>
      <c r="AR906" s="123">
        <f t="shared" si="1093"/>
        <v>0</v>
      </c>
      <c r="AS906" s="123">
        <f t="shared" si="1093"/>
        <v>0</v>
      </c>
      <c r="AT906" s="123">
        <f t="shared" si="1093"/>
        <v>0</v>
      </c>
      <c r="AU906" s="123">
        <f t="shared" si="1093"/>
        <v>0</v>
      </c>
      <c r="AV906" s="123">
        <f t="shared" si="1093"/>
        <v>0</v>
      </c>
      <c r="AW906" s="123">
        <f t="shared" si="1093"/>
        <v>0</v>
      </c>
      <c r="AX906" s="123">
        <f t="shared" si="1093"/>
        <v>0</v>
      </c>
      <c r="AY906" s="123">
        <f t="shared" si="1093"/>
        <v>0</v>
      </c>
      <c r="AZ906" s="123">
        <f t="shared" si="1093"/>
        <v>0</v>
      </c>
      <c r="BA906" s="123">
        <f t="shared" si="1093"/>
        <v>0</v>
      </c>
      <c r="BB906" s="123">
        <f t="shared" si="1093"/>
        <v>0</v>
      </c>
      <c r="BC906" s="123">
        <f t="shared" si="1093"/>
        <v>0</v>
      </c>
      <c r="BD906" s="123">
        <f t="shared" si="1093"/>
        <v>0</v>
      </c>
      <c r="BE906" s="123">
        <f t="shared" si="1093"/>
        <v>0</v>
      </c>
      <c r="BF906" s="123">
        <f t="shared" si="1093"/>
        <v>0</v>
      </c>
      <c r="BG906" s="123">
        <f t="shared" si="1093"/>
        <v>0</v>
      </c>
      <c r="BH906" s="123">
        <f t="shared" si="1093"/>
        <v>0</v>
      </c>
      <c r="BI906" s="123">
        <f t="shared" si="1093"/>
        <v>0</v>
      </c>
      <c r="BJ906" s="123">
        <f t="shared" si="1093"/>
        <v>0</v>
      </c>
      <c r="BK906" s="123">
        <f t="shared" si="1093"/>
        <v>0</v>
      </c>
      <c r="BL906" s="123">
        <f t="shared" si="1093"/>
        <v>0</v>
      </c>
      <c r="BM906" s="123">
        <f t="shared" si="1093"/>
        <v>0</v>
      </c>
      <c r="BN906" s="159">
        <f t="shared" si="1093"/>
        <v>0</v>
      </c>
    </row>
    <row r="907" spans="32:66" ht="20.100000000000001" customHeight="1">
      <c r="AF907" s="1551"/>
      <c r="AG907" s="222" t="s">
        <v>1189</v>
      </c>
      <c r="AH907" s="1496" t="s">
        <v>1194</v>
      </c>
      <c r="AI907" s="1464"/>
      <c r="AJ907" s="1465"/>
      <c r="AK907" s="180">
        <v>0</v>
      </c>
      <c r="AL907" s="123">
        <f t="shared" ref="AL907:BN907" si="1094">AL432</f>
        <v>0</v>
      </c>
      <c r="AM907" s="123">
        <f t="shared" si="1094"/>
        <v>0</v>
      </c>
      <c r="AN907" s="123">
        <f t="shared" si="1094"/>
        <v>0</v>
      </c>
      <c r="AO907" s="123">
        <f t="shared" si="1094"/>
        <v>0</v>
      </c>
      <c r="AP907" s="123">
        <f t="shared" si="1094"/>
        <v>0</v>
      </c>
      <c r="AQ907" s="123">
        <f t="shared" si="1094"/>
        <v>0</v>
      </c>
      <c r="AR907" s="123">
        <f t="shared" si="1094"/>
        <v>0</v>
      </c>
      <c r="AS907" s="123">
        <f t="shared" si="1094"/>
        <v>0</v>
      </c>
      <c r="AT907" s="123">
        <f t="shared" si="1094"/>
        <v>0</v>
      </c>
      <c r="AU907" s="123">
        <f t="shared" si="1094"/>
        <v>0</v>
      </c>
      <c r="AV907" s="123">
        <f t="shared" si="1094"/>
        <v>0</v>
      </c>
      <c r="AW907" s="123">
        <f t="shared" si="1094"/>
        <v>0</v>
      </c>
      <c r="AX907" s="123">
        <f t="shared" si="1094"/>
        <v>0</v>
      </c>
      <c r="AY907" s="123">
        <f t="shared" si="1094"/>
        <v>0</v>
      </c>
      <c r="AZ907" s="123">
        <f t="shared" si="1094"/>
        <v>0</v>
      </c>
      <c r="BA907" s="123">
        <f t="shared" si="1094"/>
        <v>0</v>
      </c>
      <c r="BB907" s="123">
        <f t="shared" si="1094"/>
        <v>0</v>
      </c>
      <c r="BC907" s="123">
        <f t="shared" si="1094"/>
        <v>0</v>
      </c>
      <c r="BD907" s="123">
        <f t="shared" si="1094"/>
        <v>0</v>
      </c>
      <c r="BE907" s="123">
        <f t="shared" si="1094"/>
        <v>0</v>
      </c>
      <c r="BF907" s="123">
        <f t="shared" si="1094"/>
        <v>0</v>
      </c>
      <c r="BG907" s="123">
        <f t="shared" si="1094"/>
        <v>0</v>
      </c>
      <c r="BH907" s="123">
        <f t="shared" si="1094"/>
        <v>0</v>
      </c>
      <c r="BI907" s="123">
        <f t="shared" si="1094"/>
        <v>0</v>
      </c>
      <c r="BJ907" s="123">
        <f t="shared" si="1094"/>
        <v>0</v>
      </c>
      <c r="BK907" s="123">
        <f t="shared" si="1094"/>
        <v>0</v>
      </c>
      <c r="BL907" s="123">
        <f t="shared" si="1094"/>
        <v>0</v>
      </c>
      <c r="BM907" s="123">
        <f t="shared" si="1094"/>
        <v>0</v>
      </c>
      <c r="BN907" s="159">
        <f t="shared" si="1094"/>
        <v>0</v>
      </c>
    </row>
    <row r="908" spans="32:66" ht="20.100000000000001" customHeight="1">
      <c r="AF908" s="1551"/>
      <c r="AG908" s="222" t="s">
        <v>1190</v>
      </c>
      <c r="AH908" s="1496" t="s">
        <v>1195</v>
      </c>
      <c r="AI908" s="1464"/>
      <c r="AJ908" s="1465"/>
      <c r="AK908" s="180">
        <v>0</v>
      </c>
      <c r="AL908" s="123">
        <f t="shared" ref="AL908:BN908" si="1095">IF($A$114=1,-AL573,0)</f>
        <v>0</v>
      </c>
      <c r="AM908" s="123">
        <f t="shared" si="1095"/>
        <v>0</v>
      </c>
      <c r="AN908" s="123">
        <f t="shared" si="1095"/>
        <v>0</v>
      </c>
      <c r="AO908" s="123">
        <f t="shared" si="1095"/>
        <v>0</v>
      </c>
      <c r="AP908" s="123">
        <f t="shared" si="1095"/>
        <v>0</v>
      </c>
      <c r="AQ908" s="123">
        <f t="shared" si="1095"/>
        <v>0</v>
      </c>
      <c r="AR908" s="123">
        <f t="shared" si="1095"/>
        <v>0</v>
      </c>
      <c r="AS908" s="123">
        <f t="shared" si="1095"/>
        <v>0</v>
      </c>
      <c r="AT908" s="123">
        <f t="shared" si="1095"/>
        <v>0</v>
      </c>
      <c r="AU908" s="123">
        <f t="shared" si="1095"/>
        <v>0</v>
      </c>
      <c r="AV908" s="123">
        <f t="shared" si="1095"/>
        <v>0</v>
      </c>
      <c r="AW908" s="123">
        <f t="shared" si="1095"/>
        <v>0</v>
      </c>
      <c r="AX908" s="123">
        <f t="shared" si="1095"/>
        <v>0</v>
      </c>
      <c r="AY908" s="123">
        <f t="shared" si="1095"/>
        <v>0</v>
      </c>
      <c r="AZ908" s="123">
        <f t="shared" si="1095"/>
        <v>0</v>
      </c>
      <c r="BA908" s="123">
        <f t="shared" si="1095"/>
        <v>0</v>
      </c>
      <c r="BB908" s="123">
        <f t="shared" si="1095"/>
        <v>0</v>
      </c>
      <c r="BC908" s="123">
        <f t="shared" si="1095"/>
        <v>0</v>
      </c>
      <c r="BD908" s="123">
        <f t="shared" si="1095"/>
        <v>0</v>
      </c>
      <c r="BE908" s="123">
        <f t="shared" si="1095"/>
        <v>0</v>
      </c>
      <c r="BF908" s="123">
        <f t="shared" si="1095"/>
        <v>0</v>
      </c>
      <c r="BG908" s="123">
        <f t="shared" si="1095"/>
        <v>0</v>
      </c>
      <c r="BH908" s="123">
        <f t="shared" si="1095"/>
        <v>0</v>
      </c>
      <c r="BI908" s="123">
        <f t="shared" si="1095"/>
        <v>0</v>
      </c>
      <c r="BJ908" s="123">
        <f t="shared" si="1095"/>
        <v>0</v>
      </c>
      <c r="BK908" s="123">
        <f t="shared" si="1095"/>
        <v>0</v>
      </c>
      <c r="BL908" s="123">
        <f t="shared" si="1095"/>
        <v>0</v>
      </c>
      <c r="BM908" s="123">
        <f t="shared" si="1095"/>
        <v>0</v>
      </c>
      <c r="BN908" s="159">
        <f t="shared" si="1095"/>
        <v>0</v>
      </c>
    </row>
    <row r="909" spans="32:66" ht="20.100000000000001" customHeight="1">
      <c r="AF909" s="1551"/>
      <c r="AG909" s="222" t="s">
        <v>1190</v>
      </c>
      <c r="AH909" s="1496" t="s">
        <v>1196</v>
      </c>
      <c r="AI909" s="1464"/>
      <c r="AJ909" s="1465"/>
      <c r="AK909" s="180">
        <v>0</v>
      </c>
      <c r="AL909" s="123">
        <f t="shared" ref="AL909:BN909" si="1096">IF($A$115=1,-AL617,0)</f>
        <v>0</v>
      </c>
      <c r="AM909" s="123">
        <f t="shared" si="1096"/>
        <v>0</v>
      </c>
      <c r="AN909" s="123">
        <f t="shared" si="1096"/>
        <v>0</v>
      </c>
      <c r="AO909" s="123">
        <f t="shared" si="1096"/>
        <v>0</v>
      </c>
      <c r="AP909" s="123">
        <f t="shared" si="1096"/>
        <v>0</v>
      </c>
      <c r="AQ909" s="123">
        <f t="shared" si="1096"/>
        <v>0</v>
      </c>
      <c r="AR909" s="123">
        <f t="shared" si="1096"/>
        <v>0</v>
      </c>
      <c r="AS909" s="123">
        <f t="shared" si="1096"/>
        <v>0</v>
      </c>
      <c r="AT909" s="123">
        <f t="shared" si="1096"/>
        <v>0</v>
      </c>
      <c r="AU909" s="123">
        <f t="shared" si="1096"/>
        <v>0</v>
      </c>
      <c r="AV909" s="123">
        <f t="shared" si="1096"/>
        <v>0</v>
      </c>
      <c r="AW909" s="123">
        <f t="shared" si="1096"/>
        <v>0</v>
      </c>
      <c r="AX909" s="123">
        <f t="shared" si="1096"/>
        <v>0</v>
      </c>
      <c r="AY909" s="123">
        <f t="shared" si="1096"/>
        <v>0</v>
      </c>
      <c r="AZ909" s="123">
        <f t="shared" si="1096"/>
        <v>0</v>
      </c>
      <c r="BA909" s="123">
        <f t="shared" si="1096"/>
        <v>0</v>
      </c>
      <c r="BB909" s="123">
        <f t="shared" si="1096"/>
        <v>0</v>
      </c>
      <c r="BC909" s="123">
        <f t="shared" si="1096"/>
        <v>0</v>
      </c>
      <c r="BD909" s="123">
        <f t="shared" si="1096"/>
        <v>0</v>
      </c>
      <c r="BE909" s="123">
        <f t="shared" si="1096"/>
        <v>0</v>
      </c>
      <c r="BF909" s="123">
        <f t="shared" si="1096"/>
        <v>0</v>
      </c>
      <c r="BG909" s="123">
        <f t="shared" si="1096"/>
        <v>0</v>
      </c>
      <c r="BH909" s="123">
        <f t="shared" si="1096"/>
        <v>0</v>
      </c>
      <c r="BI909" s="123">
        <f t="shared" si="1096"/>
        <v>0</v>
      </c>
      <c r="BJ909" s="123">
        <f t="shared" si="1096"/>
        <v>0</v>
      </c>
      <c r="BK909" s="123">
        <f t="shared" si="1096"/>
        <v>0</v>
      </c>
      <c r="BL909" s="123">
        <f t="shared" si="1096"/>
        <v>0</v>
      </c>
      <c r="BM909" s="123">
        <f t="shared" si="1096"/>
        <v>0</v>
      </c>
      <c r="BN909" s="159">
        <f t="shared" si="1096"/>
        <v>0</v>
      </c>
    </row>
    <row r="910" spans="32:66" ht="20.100000000000001" customHeight="1">
      <c r="AF910" s="1551"/>
      <c r="AG910" s="222" t="s">
        <v>1190</v>
      </c>
      <c r="AH910" s="1496" t="s">
        <v>1197</v>
      </c>
      <c r="AI910" s="1464"/>
      <c r="AJ910" s="1465"/>
      <c r="AK910" s="180">
        <v>0</v>
      </c>
      <c r="AL910" s="123">
        <f t="shared" ref="AL910:BN910" si="1097">IF($A$116=1,-AL628,0)</f>
        <v>0</v>
      </c>
      <c r="AM910" s="123">
        <f t="shared" si="1097"/>
        <v>0</v>
      </c>
      <c r="AN910" s="123">
        <f t="shared" si="1097"/>
        <v>0</v>
      </c>
      <c r="AO910" s="123">
        <f t="shared" si="1097"/>
        <v>0</v>
      </c>
      <c r="AP910" s="123">
        <f t="shared" si="1097"/>
        <v>0</v>
      </c>
      <c r="AQ910" s="123">
        <f t="shared" si="1097"/>
        <v>0</v>
      </c>
      <c r="AR910" s="123">
        <f t="shared" si="1097"/>
        <v>0</v>
      </c>
      <c r="AS910" s="123">
        <f t="shared" si="1097"/>
        <v>0</v>
      </c>
      <c r="AT910" s="123">
        <f t="shared" si="1097"/>
        <v>0</v>
      </c>
      <c r="AU910" s="123">
        <f t="shared" si="1097"/>
        <v>0</v>
      </c>
      <c r="AV910" s="123">
        <f t="shared" si="1097"/>
        <v>0</v>
      </c>
      <c r="AW910" s="123">
        <f t="shared" si="1097"/>
        <v>0</v>
      </c>
      <c r="AX910" s="123">
        <f t="shared" si="1097"/>
        <v>0</v>
      </c>
      <c r="AY910" s="123">
        <f t="shared" si="1097"/>
        <v>0</v>
      </c>
      <c r="AZ910" s="123">
        <f t="shared" si="1097"/>
        <v>0</v>
      </c>
      <c r="BA910" s="123">
        <f t="shared" si="1097"/>
        <v>0</v>
      </c>
      <c r="BB910" s="123">
        <f t="shared" si="1097"/>
        <v>0</v>
      </c>
      <c r="BC910" s="123">
        <f t="shared" si="1097"/>
        <v>0</v>
      </c>
      <c r="BD910" s="123">
        <f t="shared" si="1097"/>
        <v>0</v>
      </c>
      <c r="BE910" s="123">
        <f t="shared" si="1097"/>
        <v>0</v>
      </c>
      <c r="BF910" s="123">
        <f t="shared" si="1097"/>
        <v>0</v>
      </c>
      <c r="BG910" s="123">
        <f t="shared" si="1097"/>
        <v>0</v>
      </c>
      <c r="BH910" s="123">
        <f t="shared" si="1097"/>
        <v>0</v>
      </c>
      <c r="BI910" s="123">
        <f t="shared" si="1097"/>
        <v>0</v>
      </c>
      <c r="BJ910" s="123">
        <f t="shared" si="1097"/>
        <v>0</v>
      </c>
      <c r="BK910" s="123">
        <f t="shared" si="1097"/>
        <v>0</v>
      </c>
      <c r="BL910" s="123">
        <f t="shared" si="1097"/>
        <v>0</v>
      </c>
      <c r="BM910" s="123">
        <f t="shared" si="1097"/>
        <v>0</v>
      </c>
      <c r="BN910" s="159">
        <f t="shared" si="1097"/>
        <v>0</v>
      </c>
    </row>
    <row r="911" spans="32:66" ht="20.100000000000001" customHeight="1">
      <c r="AF911" s="1551"/>
      <c r="AG911" s="222" t="s">
        <v>1190</v>
      </c>
      <c r="AH911" s="1496" t="s">
        <v>1198</v>
      </c>
      <c r="AI911" s="1464"/>
      <c r="AJ911" s="1465"/>
      <c r="AK911" s="180">
        <v>0</v>
      </c>
      <c r="AL911" s="123">
        <f t="shared" ref="AL911:BN911" si="1098">IF($A$117=1,-AL639,0)</f>
        <v>0</v>
      </c>
      <c r="AM911" s="123">
        <f t="shared" si="1098"/>
        <v>0</v>
      </c>
      <c r="AN911" s="123">
        <f t="shared" si="1098"/>
        <v>0</v>
      </c>
      <c r="AO911" s="123">
        <f t="shared" si="1098"/>
        <v>0</v>
      </c>
      <c r="AP911" s="123">
        <f t="shared" si="1098"/>
        <v>0</v>
      </c>
      <c r="AQ911" s="123">
        <f t="shared" si="1098"/>
        <v>0</v>
      </c>
      <c r="AR911" s="123">
        <f t="shared" si="1098"/>
        <v>0</v>
      </c>
      <c r="AS911" s="123">
        <f t="shared" si="1098"/>
        <v>0</v>
      </c>
      <c r="AT911" s="123">
        <f t="shared" si="1098"/>
        <v>0</v>
      </c>
      <c r="AU911" s="123">
        <f t="shared" si="1098"/>
        <v>0</v>
      </c>
      <c r="AV911" s="123">
        <f t="shared" si="1098"/>
        <v>0</v>
      </c>
      <c r="AW911" s="123">
        <f t="shared" si="1098"/>
        <v>0</v>
      </c>
      <c r="AX911" s="123">
        <f t="shared" si="1098"/>
        <v>0</v>
      </c>
      <c r="AY911" s="123">
        <f t="shared" si="1098"/>
        <v>0</v>
      </c>
      <c r="AZ911" s="123">
        <f t="shared" si="1098"/>
        <v>0</v>
      </c>
      <c r="BA911" s="123">
        <f t="shared" si="1098"/>
        <v>0</v>
      </c>
      <c r="BB911" s="123">
        <f t="shared" si="1098"/>
        <v>0</v>
      </c>
      <c r="BC911" s="123">
        <f t="shared" si="1098"/>
        <v>0</v>
      </c>
      <c r="BD911" s="123">
        <f t="shared" si="1098"/>
        <v>0</v>
      </c>
      <c r="BE911" s="123">
        <f t="shared" si="1098"/>
        <v>0</v>
      </c>
      <c r="BF911" s="123">
        <f t="shared" si="1098"/>
        <v>0</v>
      </c>
      <c r="BG911" s="123">
        <f t="shared" si="1098"/>
        <v>0</v>
      </c>
      <c r="BH911" s="123">
        <f t="shared" si="1098"/>
        <v>0</v>
      </c>
      <c r="BI911" s="123">
        <f t="shared" si="1098"/>
        <v>0</v>
      </c>
      <c r="BJ911" s="123">
        <f t="shared" si="1098"/>
        <v>0</v>
      </c>
      <c r="BK911" s="123">
        <f t="shared" si="1098"/>
        <v>0</v>
      </c>
      <c r="BL911" s="123">
        <f t="shared" si="1098"/>
        <v>0</v>
      </c>
      <c r="BM911" s="123">
        <f t="shared" si="1098"/>
        <v>0</v>
      </c>
      <c r="BN911" s="159">
        <f t="shared" si="1098"/>
        <v>0</v>
      </c>
    </row>
    <row r="912" spans="32:66" ht="20.100000000000001" customHeight="1">
      <c r="AF912" s="1551"/>
      <c r="AG912" s="222" t="s">
        <v>1190</v>
      </c>
      <c r="AH912" s="1496" t="s">
        <v>1199</v>
      </c>
      <c r="AI912" s="1464"/>
      <c r="AJ912" s="1465"/>
      <c r="AK912" s="180">
        <v>0</v>
      </c>
      <c r="AL912" s="123">
        <f t="shared" ref="AL912:BN912" si="1099">IF($A$118=1,-AL650,0)</f>
        <v>0</v>
      </c>
      <c r="AM912" s="123">
        <f t="shared" si="1099"/>
        <v>0</v>
      </c>
      <c r="AN912" s="123">
        <f t="shared" si="1099"/>
        <v>0</v>
      </c>
      <c r="AO912" s="123">
        <f t="shared" si="1099"/>
        <v>0</v>
      </c>
      <c r="AP912" s="123">
        <f t="shared" si="1099"/>
        <v>0</v>
      </c>
      <c r="AQ912" s="123">
        <f t="shared" si="1099"/>
        <v>0</v>
      </c>
      <c r="AR912" s="123">
        <f t="shared" si="1099"/>
        <v>0</v>
      </c>
      <c r="AS912" s="123">
        <f t="shared" si="1099"/>
        <v>0</v>
      </c>
      <c r="AT912" s="123">
        <f t="shared" si="1099"/>
        <v>0</v>
      </c>
      <c r="AU912" s="123">
        <f t="shared" si="1099"/>
        <v>0</v>
      </c>
      <c r="AV912" s="123">
        <f t="shared" si="1099"/>
        <v>0</v>
      </c>
      <c r="AW912" s="123">
        <f t="shared" si="1099"/>
        <v>0</v>
      </c>
      <c r="AX912" s="123">
        <f t="shared" si="1099"/>
        <v>0</v>
      </c>
      <c r="AY912" s="123">
        <f t="shared" si="1099"/>
        <v>0</v>
      </c>
      <c r="AZ912" s="123">
        <f t="shared" si="1099"/>
        <v>0</v>
      </c>
      <c r="BA912" s="123">
        <f t="shared" si="1099"/>
        <v>0</v>
      </c>
      <c r="BB912" s="123">
        <f t="shared" si="1099"/>
        <v>0</v>
      </c>
      <c r="BC912" s="123">
        <f t="shared" si="1099"/>
        <v>0</v>
      </c>
      <c r="BD912" s="123">
        <f t="shared" si="1099"/>
        <v>0</v>
      </c>
      <c r="BE912" s="123">
        <f t="shared" si="1099"/>
        <v>0</v>
      </c>
      <c r="BF912" s="123">
        <f t="shared" si="1099"/>
        <v>0</v>
      </c>
      <c r="BG912" s="123">
        <f t="shared" si="1099"/>
        <v>0</v>
      </c>
      <c r="BH912" s="123">
        <f t="shared" si="1099"/>
        <v>0</v>
      </c>
      <c r="BI912" s="123">
        <f t="shared" si="1099"/>
        <v>0</v>
      </c>
      <c r="BJ912" s="123">
        <f t="shared" si="1099"/>
        <v>0</v>
      </c>
      <c r="BK912" s="123">
        <f t="shared" si="1099"/>
        <v>0</v>
      </c>
      <c r="BL912" s="123">
        <f t="shared" si="1099"/>
        <v>0</v>
      </c>
      <c r="BM912" s="123">
        <f t="shared" si="1099"/>
        <v>0</v>
      </c>
      <c r="BN912" s="159">
        <f t="shared" si="1099"/>
        <v>0</v>
      </c>
    </row>
    <row r="913" spans="32:66" ht="20.100000000000001" customHeight="1">
      <c r="AF913" s="1551"/>
      <c r="AG913" s="222" t="s">
        <v>1190</v>
      </c>
      <c r="AH913" s="1496" t="s">
        <v>1200</v>
      </c>
      <c r="AI913" s="1464"/>
      <c r="AJ913" s="1465"/>
      <c r="AK913" s="180">
        <v>0</v>
      </c>
      <c r="AL913" s="123">
        <f t="shared" ref="AL913:BN913" si="1100">IF($A$119=1,-AL661,0)</f>
        <v>0</v>
      </c>
      <c r="AM913" s="123">
        <f t="shared" si="1100"/>
        <v>0</v>
      </c>
      <c r="AN913" s="123">
        <f t="shared" si="1100"/>
        <v>0</v>
      </c>
      <c r="AO913" s="123">
        <f t="shared" si="1100"/>
        <v>0</v>
      </c>
      <c r="AP913" s="123">
        <f t="shared" si="1100"/>
        <v>0</v>
      </c>
      <c r="AQ913" s="123">
        <f t="shared" si="1100"/>
        <v>0</v>
      </c>
      <c r="AR913" s="123">
        <f t="shared" si="1100"/>
        <v>0</v>
      </c>
      <c r="AS913" s="123">
        <f t="shared" si="1100"/>
        <v>0</v>
      </c>
      <c r="AT913" s="123">
        <f t="shared" si="1100"/>
        <v>0</v>
      </c>
      <c r="AU913" s="123">
        <f t="shared" si="1100"/>
        <v>0</v>
      </c>
      <c r="AV913" s="123">
        <f t="shared" si="1100"/>
        <v>0</v>
      </c>
      <c r="AW913" s="123">
        <f t="shared" si="1100"/>
        <v>0</v>
      </c>
      <c r="AX913" s="123">
        <f t="shared" si="1100"/>
        <v>0</v>
      </c>
      <c r="AY913" s="123">
        <f t="shared" si="1100"/>
        <v>0</v>
      </c>
      <c r="AZ913" s="123">
        <f t="shared" si="1100"/>
        <v>0</v>
      </c>
      <c r="BA913" s="123">
        <f t="shared" si="1100"/>
        <v>0</v>
      </c>
      <c r="BB913" s="123">
        <f t="shared" si="1100"/>
        <v>0</v>
      </c>
      <c r="BC913" s="123">
        <f t="shared" si="1100"/>
        <v>0</v>
      </c>
      <c r="BD913" s="123">
        <f t="shared" si="1100"/>
        <v>0</v>
      </c>
      <c r="BE913" s="123">
        <f t="shared" si="1100"/>
        <v>0</v>
      </c>
      <c r="BF913" s="123">
        <f t="shared" si="1100"/>
        <v>0</v>
      </c>
      <c r="BG913" s="123">
        <f t="shared" si="1100"/>
        <v>0</v>
      </c>
      <c r="BH913" s="123">
        <f t="shared" si="1100"/>
        <v>0</v>
      </c>
      <c r="BI913" s="123">
        <f t="shared" si="1100"/>
        <v>0</v>
      </c>
      <c r="BJ913" s="123">
        <f t="shared" si="1100"/>
        <v>0</v>
      </c>
      <c r="BK913" s="123">
        <f t="shared" si="1100"/>
        <v>0</v>
      </c>
      <c r="BL913" s="123">
        <f t="shared" si="1100"/>
        <v>0</v>
      </c>
      <c r="BM913" s="123">
        <f t="shared" si="1100"/>
        <v>0</v>
      </c>
      <c r="BN913" s="159">
        <f t="shared" si="1100"/>
        <v>0</v>
      </c>
    </row>
    <row r="914" spans="32:66" ht="20.100000000000001" customHeight="1">
      <c r="AF914" s="1551"/>
      <c r="AG914" s="222" t="s">
        <v>1191</v>
      </c>
      <c r="AH914" s="1496" t="s">
        <v>1201</v>
      </c>
      <c r="AI914" s="1464"/>
      <c r="AJ914" s="1465"/>
      <c r="AK914" s="180">
        <v>0</v>
      </c>
      <c r="AL914" s="123">
        <f>IF($A$135=1,-AL779,0)</f>
        <v>0</v>
      </c>
      <c r="AM914" s="123">
        <f t="shared" ref="AM914:BN914" si="1101">IF($A$135=1,-AM779,0)</f>
        <v>0</v>
      </c>
      <c r="AN914" s="123">
        <f t="shared" si="1101"/>
        <v>0</v>
      </c>
      <c r="AO914" s="123">
        <f t="shared" si="1101"/>
        <v>0</v>
      </c>
      <c r="AP914" s="123">
        <f t="shared" si="1101"/>
        <v>0</v>
      </c>
      <c r="AQ914" s="123">
        <f t="shared" si="1101"/>
        <v>0</v>
      </c>
      <c r="AR914" s="123">
        <f t="shared" si="1101"/>
        <v>0</v>
      </c>
      <c r="AS914" s="123">
        <f t="shared" si="1101"/>
        <v>0</v>
      </c>
      <c r="AT914" s="123">
        <f t="shared" si="1101"/>
        <v>0</v>
      </c>
      <c r="AU914" s="123">
        <f t="shared" si="1101"/>
        <v>0</v>
      </c>
      <c r="AV914" s="123">
        <f t="shared" si="1101"/>
        <v>0</v>
      </c>
      <c r="AW914" s="123">
        <f t="shared" si="1101"/>
        <v>0</v>
      </c>
      <c r="AX914" s="123">
        <f t="shared" si="1101"/>
        <v>0</v>
      </c>
      <c r="AY914" s="123">
        <f t="shared" si="1101"/>
        <v>0</v>
      </c>
      <c r="AZ914" s="123">
        <f t="shared" si="1101"/>
        <v>0</v>
      </c>
      <c r="BA914" s="123">
        <f t="shared" si="1101"/>
        <v>0</v>
      </c>
      <c r="BB914" s="123">
        <f t="shared" si="1101"/>
        <v>0</v>
      </c>
      <c r="BC914" s="123">
        <f t="shared" si="1101"/>
        <v>0</v>
      </c>
      <c r="BD914" s="123">
        <f t="shared" si="1101"/>
        <v>0</v>
      </c>
      <c r="BE914" s="123">
        <f t="shared" si="1101"/>
        <v>0</v>
      </c>
      <c r="BF914" s="123">
        <f t="shared" si="1101"/>
        <v>0</v>
      </c>
      <c r="BG914" s="123">
        <f t="shared" si="1101"/>
        <v>0</v>
      </c>
      <c r="BH914" s="123">
        <f t="shared" si="1101"/>
        <v>0</v>
      </c>
      <c r="BI914" s="123">
        <f t="shared" si="1101"/>
        <v>0</v>
      </c>
      <c r="BJ914" s="123">
        <f t="shared" si="1101"/>
        <v>0</v>
      </c>
      <c r="BK914" s="123">
        <f t="shared" si="1101"/>
        <v>0</v>
      </c>
      <c r="BL914" s="123">
        <f t="shared" si="1101"/>
        <v>0</v>
      </c>
      <c r="BM914" s="123">
        <f t="shared" si="1101"/>
        <v>0</v>
      </c>
      <c r="BN914" s="159">
        <f t="shared" si="1101"/>
        <v>0</v>
      </c>
    </row>
    <row r="915" spans="32:66" ht="20.100000000000001" customHeight="1">
      <c r="AF915" s="1551"/>
      <c r="AG915" s="222" t="s">
        <v>1191</v>
      </c>
      <c r="AH915" s="1496" t="s">
        <v>1202</v>
      </c>
      <c r="AI915" s="1464"/>
      <c r="AJ915" s="1465"/>
      <c r="AK915" s="180">
        <v>0</v>
      </c>
      <c r="AL915" s="123">
        <f>IF($A$136=1,-AL790,0)</f>
        <v>0</v>
      </c>
      <c r="AM915" s="123">
        <f t="shared" ref="AM915:BN915" si="1102">IF($A$136=1,-AM790,0)</f>
        <v>0</v>
      </c>
      <c r="AN915" s="123">
        <f t="shared" si="1102"/>
        <v>0</v>
      </c>
      <c r="AO915" s="123">
        <f t="shared" si="1102"/>
        <v>0</v>
      </c>
      <c r="AP915" s="123">
        <f t="shared" si="1102"/>
        <v>0</v>
      </c>
      <c r="AQ915" s="123">
        <f t="shared" si="1102"/>
        <v>0</v>
      </c>
      <c r="AR915" s="123">
        <f t="shared" si="1102"/>
        <v>0</v>
      </c>
      <c r="AS915" s="123">
        <f t="shared" si="1102"/>
        <v>0</v>
      </c>
      <c r="AT915" s="123">
        <f t="shared" si="1102"/>
        <v>0</v>
      </c>
      <c r="AU915" s="123">
        <f t="shared" si="1102"/>
        <v>0</v>
      </c>
      <c r="AV915" s="123">
        <f t="shared" si="1102"/>
        <v>0</v>
      </c>
      <c r="AW915" s="123">
        <f t="shared" si="1102"/>
        <v>0</v>
      </c>
      <c r="AX915" s="123">
        <f t="shared" si="1102"/>
        <v>0</v>
      </c>
      <c r="AY915" s="123">
        <f t="shared" si="1102"/>
        <v>0</v>
      </c>
      <c r="AZ915" s="123">
        <f t="shared" si="1102"/>
        <v>0</v>
      </c>
      <c r="BA915" s="123">
        <f t="shared" si="1102"/>
        <v>0</v>
      </c>
      <c r="BB915" s="123">
        <f t="shared" si="1102"/>
        <v>0</v>
      </c>
      <c r="BC915" s="123">
        <f t="shared" si="1102"/>
        <v>0</v>
      </c>
      <c r="BD915" s="123">
        <f t="shared" si="1102"/>
        <v>0</v>
      </c>
      <c r="BE915" s="123">
        <f t="shared" si="1102"/>
        <v>0</v>
      </c>
      <c r="BF915" s="123">
        <f t="shared" si="1102"/>
        <v>0</v>
      </c>
      <c r="BG915" s="123">
        <f t="shared" si="1102"/>
        <v>0</v>
      </c>
      <c r="BH915" s="123">
        <f t="shared" si="1102"/>
        <v>0</v>
      </c>
      <c r="BI915" s="123">
        <f t="shared" si="1102"/>
        <v>0</v>
      </c>
      <c r="BJ915" s="123">
        <f t="shared" si="1102"/>
        <v>0</v>
      </c>
      <c r="BK915" s="123">
        <f t="shared" si="1102"/>
        <v>0</v>
      </c>
      <c r="BL915" s="123">
        <f t="shared" si="1102"/>
        <v>0</v>
      </c>
      <c r="BM915" s="123">
        <f t="shared" si="1102"/>
        <v>0</v>
      </c>
      <c r="BN915" s="159">
        <f t="shared" si="1102"/>
        <v>0</v>
      </c>
    </row>
    <row r="916" spans="32:66" ht="20.100000000000001" customHeight="1">
      <c r="AF916" s="1551"/>
      <c r="AG916" s="222" t="s">
        <v>1191</v>
      </c>
      <c r="AH916" s="1496" t="s">
        <v>1203</v>
      </c>
      <c r="AI916" s="1464"/>
      <c r="AJ916" s="1465"/>
      <c r="AK916" s="180">
        <v>0</v>
      </c>
      <c r="AL916" s="123">
        <f>IF($A$137=1,-AL801,0)</f>
        <v>0</v>
      </c>
      <c r="AM916" s="123">
        <f t="shared" ref="AM916:BN916" si="1103">IF($A$137=1,-AM801,0)</f>
        <v>0</v>
      </c>
      <c r="AN916" s="123">
        <f t="shared" si="1103"/>
        <v>0</v>
      </c>
      <c r="AO916" s="123">
        <f t="shared" si="1103"/>
        <v>0</v>
      </c>
      <c r="AP916" s="123">
        <f t="shared" si="1103"/>
        <v>0</v>
      </c>
      <c r="AQ916" s="123">
        <f t="shared" si="1103"/>
        <v>0</v>
      </c>
      <c r="AR916" s="123">
        <f t="shared" si="1103"/>
        <v>0</v>
      </c>
      <c r="AS916" s="123">
        <f t="shared" si="1103"/>
        <v>0</v>
      </c>
      <c r="AT916" s="123">
        <f t="shared" si="1103"/>
        <v>0</v>
      </c>
      <c r="AU916" s="123">
        <f t="shared" si="1103"/>
        <v>0</v>
      </c>
      <c r="AV916" s="123">
        <f t="shared" si="1103"/>
        <v>0</v>
      </c>
      <c r="AW916" s="123">
        <f t="shared" si="1103"/>
        <v>0</v>
      </c>
      <c r="AX916" s="123">
        <f t="shared" si="1103"/>
        <v>0</v>
      </c>
      <c r="AY916" s="123">
        <f t="shared" si="1103"/>
        <v>0</v>
      </c>
      <c r="AZ916" s="123">
        <f t="shared" si="1103"/>
        <v>0</v>
      </c>
      <c r="BA916" s="123">
        <f t="shared" si="1103"/>
        <v>0</v>
      </c>
      <c r="BB916" s="123">
        <f t="shared" si="1103"/>
        <v>0</v>
      </c>
      <c r="BC916" s="123">
        <f t="shared" si="1103"/>
        <v>0</v>
      </c>
      <c r="BD916" s="123">
        <f t="shared" si="1103"/>
        <v>0</v>
      </c>
      <c r="BE916" s="123">
        <f t="shared" si="1103"/>
        <v>0</v>
      </c>
      <c r="BF916" s="123">
        <f t="shared" si="1103"/>
        <v>0</v>
      </c>
      <c r="BG916" s="123">
        <f t="shared" si="1103"/>
        <v>0</v>
      </c>
      <c r="BH916" s="123">
        <f t="shared" si="1103"/>
        <v>0</v>
      </c>
      <c r="BI916" s="123">
        <f t="shared" si="1103"/>
        <v>0</v>
      </c>
      <c r="BJ916" s="123">
        <f t="shared" si="1103"/>
        <v>0</v>
      </c>
      <c r="BK916" s="123">
        <f t="shared" si="1103"/>
        <v>0</v>
      </c>
      <c r="BL916" s="123">
        <f t="shared" si="1103"/>
        <v>0</v>
      </c>
      <c r="BM916" s="123">
        <f t="shared" si="1103"/>
        <v>0</v>
      </c>
      <c r="BN916" s="159">
        <f t="shared" si="1103"/>
        <v>0</v>
      </c>
    </row>
    <row r="917" spans="32:66" ht="20.100000000000001" customHeight="1">
      <c r="AF917" s="1551"/>
      <c r="AG917" s="222" t="s">
        <v>1191</v>
      </c>
      <c r="AH917" s="1496" t="s">
        <v>1204</v>
      </c>
      <c r="AI917" s="1464"/>
      <c r="AJ917" s="1465"/>
      <c r="AK917" s="180">
        <v>0</v>
      </c>
      <c r="AL917" s="123">
        <f>IF($A$138=1,-AL812,0)</f>
        <v>0</v>
      </c>
      <c r="AM917" s="123">
        <f t="shared" ref="AM917:BN917" si="1104">IF($A$138=1,-AM812,0)</f>
        <v>0</v>
      </c>
      <c r="AN917" s="123">
        <f t="shared" si="1104"/>
        <v>0</v>
      </c>
      <c r="AO917" s="123">
        <f t="shared" si="1104"/>
        <v>0</v>
      </c>
      <c r="AP917" s="123">
        <f t="shared" si="1104"/>
        <v>0</v>
      </c>
      <c r="AQ917" s="123">
        <f t="shared" si="1104"/>
        <v>0</v>
      </c>
      <c r="AR917" s="123">
        <f t="shared" si="1104"/>
        <v>0</v>
      </c>
      <c r="AS917" s="123">
        <f t="shared" si="1104"/>
        <v>0</v>
      </c>
      <c r="AT917" s="123">
        <f t="shared" si="1104"/>
        <v>0</v>
      </c>
      <c r="AU917" s="123">
        <f t="shared" si="1104"/>
        <v>0</v>
      </c>
      <c r="AV917" s="123">
        <f t="shared" si="1104"/>
        <v>0</v>
      </c>
      <c r="AW917" s="123">
        <f t="shared" si="1104"/>
        <v>0</v>
      </c>
      <c r="AX917" s="123">
        <f t="shared" si="1104"/>
        <v>0</v>
      </c>
      <c r="AY917" s="123">
        <f t="shared" si="1104"/>
        <v>0</v>
      </c>
      <c r="AZ917" s="123">
        <f t="shared" si="1104"/>
        <v>0</v>
      </c>
      <c r="BA917" s="123">
        <f t="shared" si="1104"/>
        <v>0</v>
      </c>
      <c r="BB917" s="123">
        <f t="shared" si="1104"/>
        <v>0</v>
      </c>
      <c r="BC917" s="123">
        <f t="shared" si="1104"/>
        <v>0</v>
      </c>
      <c r="BD917" s="123">
        <f t="shared" si="1104"/>
        <v>0</v>
      </c>
      <c r="BE917" s="123">
        <f t="shared" si="1104"/>
        <v>0</v>
      </c>
      <c r="BF917" s="123">
        <f t="shared" si="1104"/>
        <v>0</v>
      </c>
      <c r="BG917" s="123">
        <f t="shared" si="1104"/>
        <v>0</v>
      </c>
      <c r="BH917" s="123">
        <f t="shared" si="1104"/>
        <v>0</v>
      </c>
      <c r="BI917" s="123">
        <f t="shared" si="1104"/>
        <v>0</v>
      </c>
      <c r="BJ917" s="123">
        <f t="shared" si="1104"/>
        <v>0</v>
      </c>
      <c r="BK917" s="123">
        <f t="shared" si="1104"/>
        <v>0</v>
      </c>
      <c r="BL917" s="123">
        <f t="shared" si="1104"/>
        <v>0</v>
      </c>
      <c r="BM917" s="123">
        <f t="shared" si="1104"/>
        <v>0</v>
      </c>
      <c r="BN917" s="159">
        <f t="shared" si="1104"/>
        <v>0</v>
      </c>
    </row>
    <row r="918" spans="32:66" ht="20.100000000000001" customHeight="1">
      <c r="AF918" s="1551"/>
      <c r="AG918" s="222" t="s">
        <v>1191</v>
      </c>
      <c r="AH918" s="1496" t="s">
        <v>1205</v>
      </c>
      <c r="AI918" s="1464"/>
      <c r="AJ918" s="1465"/>
      <c r="AK918" s="180">
        <v>0</v>
      </c>
      <c r="AL918" s="123">
        <f>IF($A$139=1,-AL823,0)</f>
        <v>0</v>
      </c>
      <c r="AM918" s="123">
        <f t="shared" ref="AM918:BN918" si="1105">IF($A$139=1,-AM823,0)</f>
        <v>0</v>
      </c>
      <c r="AN918" s="123">
        <f t="shared" si="1105"/>
        <v>0</v>
      </c>
      <c r="AO918" s="123">
        <f t="shared" si="1105"/>
        <v>0</v>
      </c>
      <c r="AP918" s="123">
        <f t="shared" si="1105"/>
        <v>0</v>
      </c>
      <c r="AQ918" s="123">
        <f t="shared" si="1105"/>
        <v>0</v>
      </c>
      <c r="AR918" s="123">
        <f t="shared" si="1105"/>
        <v>0</v>
      </c>
      <c r="AS918" s="123">
        <f t="shared" si="1105"/>
        <v>0</v>
      </c>
      <c r="AT918" s="123">
        <f t="shared" si="1105"/>
        <v>0</v>
      </c>
      <c r="AU918" s="123">
        <f t="shared" si="1105"/>
        <v>0</v>
      </c>
      <c r="AV918" s="123">
        <f t="shared" si="1105"/>
        <v>0</v>
      </c>
      <c r="AW918" s="123">
        <f t="shared" si="1105"/>
        <v>0</v>
      </c>
      <c r="AX918" s="123">
        <f t="shared" si="1105"/>
        <v>0</v>
      </c>
      <c r="AY918" s="123">
        <f t="shared" si="1105"/>
        <v>0</v>
      </c>
      <c r="AZ918" s="123">
        <f t="shared" si="1105"/>
        <v>0</v>
      </c>
      <c r="BA918" s="123">
        <f t="shared" si="1105"/>
        <v>0</v>
      </c>
      <c r="BB918" s="123">
        <f t="shared" si="1105"/>
        <v>0</v>
      </c>
      <c r="BC918" s="123">
        <f t="shared" si="1105"/>
        <v>0</v>
      </c>
      <c r="BD918" s="123">
        <f t="shared" si="1105"/>
        <v>0</v>
      </c>
      <c r="BE918" s="123">
        <f t="shared" si="1105"/>
        <v>0</v>
      </c>
      <c r="BF918" s="123">
        <f t="shared" si="1105"/>
        <v>0</v>
      </c>
      <c r="BG918" s="123">
        <f t="shared" si="1105"/>
        <v>0</v>
      </c>
      <c r="BH918" s="123">
        <f t="shared" si="1105"/>
        <v>0</v>
      </c>
      <c r="BI918" s="123">
        <f t="shared" si="1105"/>
        <v>0</v>
      </c>
      <c r="BJ918" s="123">
        <f t="shared" si="1105"/>
        <v>0</v>
      </c>
      <c r="BK918" s="123">
        <f t="shared" si="1105"/>
        <v>0</v>
      </c>
      <c r="BL918" s="123">
        <f t="shared" si="1105"/>
        <v>0</v>
      </c>
      <c r="BM918" s="123">
        <f t="shared" si="1105"/>
        <v>0</v>
      </c>
      <c r="BN918" s="159">
        <f t="shared" si="1105"/>
        <v>0</v>
      </c>
    </row>
    <row r="919" spans="32:66" ht="20.100000000000001" customHeight="1">
      <c r="AF919" s="1551"/>
      <c r="AG919" s="222" t="s">
        <v>1191</v>
      </c>
      <c r="AH919" s="1496" t="s">
        <v>1206</v>
      </c>
      <c r="AI919" s="1464"/>
      <c r="AJ919" s="1465"/>
      <c r="AK919" s="180">
        <v>0</v>
      </c>
      <c r="AL919" s="123">
        <f>IF($A$140=1,-AL834,0)</f>
        <v>0</v>
      </c>
      <c r="AM919" s="123">
        <f t="shared" ref="AM919:BN919" si="1106">IF($A$140=1,-AM834,0)</f>
        <v>0</v>
      </c>
      <c r="AN919" s="123">
        <f t="shared" si="1106"/>
        <v>0</v>
      </c>
      <c r="AO919" s="123">
        <f t="shared" si="1106"/>
        <v>0</v>
      </c>
      <c r="AP919" s="123">
        <f t="shared" si="1106"/>
        <v>0</v>
      </c>
      <c r="AQ919" s="123">
        <f t="shared" si="1106"/>
        <v>0</v>
      </c>
      <c r="AR919" s="123">
        <f t="shared" si="1106"/>
        <v>0</v>
      </c>
      <c r="AS919" s="123">
        <f t="shared" si="1106"/>
        <v>0</v>
      </c>
      <c r="AT919" s="123">
        <f t="shared" si="1106"/>
        <v>0</v>
      </c>
      <c r="AU919" s="123">
        <f t="shared" si="1106"/>
        <v>0</v>
      </c>
      <c r="AV919" s="123">
        <f t="shared" si="1106"/>
        <v>0</v>
      </c>
      <c r="AW919" s="123">
        <f t="shared" si="1106"/>
        <v>0</v>
      </c>
      <c r="AX919" s="123">
        <f t="shared" si="1106"/>
        <v>0</v>
      </c>
      <c r="AY919" s="123">
        <f t="shared" si="1106"/>
        <v>0</v>
      </c>
      <c r="AZ919" s="123">
        <f t="shared" si="1106"/>
        <v>0</v>
      </c>
      <c r="BA919" s="123">
        <f t="shared" si="1106"/>
        <v>0</v>
      </c>
      <c r="BB919" s="123">
        <f t="shared" si="1106"/>
        <v>0</v>
      </c>
      <c r="BC919" s="123">
        <f t="shared" si="1106"/>
        <v>0</v>
      </c>
      <c r="BD919" s="123">
        <f t="shared" si="1106"/>
        <v>0</v>
      </c>
      <c r="BE919" s="123">
        <f t="shared" si="1106"/>
        <v>0</v>
      </c>
      <c r="BF919" s="123">
        <f t="shared" si="1106"/>
        <v>0</v>
      </c>
      <c r="BG919" s="123">
        <f t="shared" si="1106"/>
        <v>0</v>
      </c>
      <c r="BH919" s="123">
        <f t="shared" si="1106"/>
        <v>0</v>
      </c>
      <c r="BI919" s="123">
        <f t="shared" si="1106"/>
        <v>0</v>
      </c>
      <c r="BJ919" s="123">
        <f t="shared" si="1106"/>
        <v>0</v>
      </c>
      <c r="BK919" s="123">
        <f t="shared" si="1106"/>
        <v>0</v>
      </c>
      <c r="BL919" s="123">
        <f t="shared" si="1106"/>
        <v>0</v>
      </c>
      <c r="BM919" s="123">
        <f t="shared" si="1106"/>
        <v>0</v>
      </c>
      <c r="BN919" s="159">
        <f t="shared" si="1106"/>
        <v>0</v>
      </c>
    </row>
    <row r="920" spans="32:66" ht="20.100000000000001" customHeight="1">
      <c r="AF920" s="1551"/>
      <c r="AG920" s="222" t="s">
        <v>1192</v>
      </c>
      <c r="AH920" s="1496" t="s">
        <v>1207</v>
      </c>
      <c r="AI920" s="1464"/>
      <c r="AJ920" s="1465"/>
      <c r="AK920" s="180">
        <v>0</v>
      </c>
      <c r="AL920" s="123">
        <f>IF($C$135=1,AL779,0)</f>
        <v>0</v>
      </c>
      <c r="AM920" s="123">
        <f t="shared" ref="AM920:BN920" si="1107">IF($C$135=1,AM779,0)</f>
        <v>0</v>
      </c>
      <c r="AN920" s="123">
        <f t="shared" si="1107"/>
        <v>0</v>
      </c>
      <c r="AO920" s="123">
        <f t="shared" si="1107"/>
        <v>0</v>
      </c>
      <c r="AP920" s="123">
        <f t="shared" si="1107"/>
        <v>0</v>
      </c>
      <c r="AQ920" s="123">
        <f t="shared" si="1107"/>
        <v>0</v>
      </c>
      <c r="AR920" s="123">
        <f t="shared" si="1107"/>
        <v>0</v>
      </c>
      <c r="AS920" s="123">
        <f t="shared" si="1107"/>
        <v>0</v>
      </c>
      <c r="AT920" s="123">
        <f t="shared" si="1107"/>
        <v>0</v>
      </c>
      <c r="AU920" s="123">
        <f t="shared" si="1107"/>
        <v>0</v>
      </c>
      <c r="AV920" s="123">
        <f t="shared" si="1107"/>
        <v>0</v>
      </c>
      <c r="AW920" s="123">
        <f t="shared" si="1107"/>
        <v>0</v>
      </c>
      <c r="AX920" s="123">
        <f t="shared" si="1107"/>
        <v>0</v>
      </c>
      <c r="AY920" s="123">
        <f t="shared" si="1107"/>
        <v>0</v>
      </c>
      <c r="AZ920" s="123">
        <f t="shared" si="1107"/>
        <v>0</v>
      </c>
      <c r="BA920" s="123">
        <f t="shared" si="1107"/>
        <v>0</v>
      </c>
      <c r="BB920" s="123">
        <f t="shared" si="1107"/>
        <v>0</v>
      </c>
      <c r="BC920" s="123">
        <f t="shared" si="1107"/>
        <v>0</v>
      </c>
      <c r="BD920" s="123">
        <f t="shared" si="1107"/>
        <v>0</v>
      </c>
      <c r="BE920" s="123">
        <f t="shared" si="1107"/>
        <v>0</v>
      </c>
      <c r="BF920" s="123">
        <f t="shared" si="1107"/>
        <v>0</v>
      </c>
      <c r="BG920" s="123">
        <f t="shared" si="1107"/>
        <v>0</v>
      </c>
      <c r="BH920" s="123">
        <f t="shared" si="1107"/>
        <v>0</v>
      </c>
      <c r="BI920" s="123">
        <f t="shared" si="1107"/>
        <v>0</v>
      </c>
      <c r="BJ920" s="123">
        <f t="shared" si="1107"/>
        <v>0</v>
      </c>
      <c r="BK920" s="123">
        <f t="shared" si="1107"/>
        <v>0</v>
      </c>
      <c r="BL920" s="123">
        <f t="shared" si="1107"/>
        <v>0</v>
      </c>
      <c r="BM920" s="123">
        <f t="shared" si="1107"/>
        <v>0</v>
      </c>
      <c r="BN920" s="159">
        <f t="shared" si="1107"/>
        <v>0</v>
      </c>
    </row>
    <row r="921" spans="32:66" ht="20.100000000000001" customHeight="1">
      <c r="AF921" s="1551"/>
      <c r="AG921" s="222" t="s">
        <v>1192</v>
      </c>
      <c r="AH921" s="1496" t="s">
        <v>1208</v>
      </c>
      <c r="AI921" s="1464"/>
      <c r="AJ921" s="1465"/>
      <c r="AK921" s="180">
        <v>0</v>
      </c>
      <c r="AL921" s="123">
        <f>IF($C$136=1,AL790,0)</f>
        <v>0</v>
      </c>
      <c r="AM921" s="123">
        <f t="shared" ref="AM921:BN921" si="1108">IF($C$136=1,AM790,0)</f>
        <v>0</v>
      </c>
      <c r="AN921" s="123">
        <f t="shared" si="1108"/>
        <v>0</v>
      </c>
      <c r="AO921" s="123">
        <f t="shared" si="1108"/>
        <v>0</v>
      </c>
      <c r="AP921" s="123">
        <f t="shared" si="1108"/>
        <v>0</v>
      </c>
      <c r="AQ921" s="123">
        <f t="shared" si="1108"/>
        <v>0</v>
      </c>
      <c r="AR921" s="123">
        <f t="shared" si="1108"/>
        <v>0</v>
      </c>
      <c r="AS921" s="123">
        <f t="shared" si="1108"/>
        <v>0</v>
      </c>
      <c r="AT921" s="123">
        <f t="shared" si="1108"/>
        <v>0</v>
      </c>
      <c r="AU921" s="123">
        <f t="shared" si="1108"/>
        <v>0</v>
      </c>
      <c r="AV921" s="123">
        <f t="shared" si="1108"/>
        <v>0</v>
      </c>
      <c r="AW921" s="123">
        <f t="shared" si="1108"/>
        <v>0</v>
      </c>
      <c r="AX921" s="123">
        <f t="shared" si="1108"/>
        <v>0</v>
      </c>
      <c r="AY921" s="123">
        <f t="shared" si="1108"/>
        <v>0</v>
      </c>
      <c r="AZ921" s="123">
        <f t="shared" si="1108"/>
        <v>0</v>
      </c>
      <c r="BA921" s="123">
        <f t="shared" si="1108"/>
        <v>0</v>
      </c>
      <c r="BB921" s="123">
        <f t="shared" si="1108"/>
        <v>0</v>
      </c>
      <c r="BC921" s="123">
        <f t="shared" si="1108"/>
        <v>0</v>
      </c>
      <c r="BD921" s="123">
        <f t="shared" si="1108"/>
        <v>0</v>
      </c>
      <c r="BE921" s="123">
        <f t="shared" si="1108"/>
        <v>0</v>
      </c>
      <c r="BF921" s="123">
        <f t="shared" si="1108"/>
        <v>0</v>
      </c>
      <c r="BG921" s="123">
        <f t="shared" si="1108"/>
        <v>0</v>
      </c>
      <c r="BH921" s="123">
        <f t="shared" si="1108"/>
        <v>0</v>
      </c>
      <c r="BI921" s="123">
        <f t="shared" si="1108"/>
        <v>0</v>
      </c>
      <c r="BJ921" s="123">
        <f t="shared" si="1108"/>
        <v>0</v>
      </c>
      <c r="BK921" s="123">
        <f t="shared" si="1108"/>
        <v>0</v>
      </c>
      <c r="BL921" s="123">
        <f t="shared" si="1108"/>
        <v>0</v>
      </c>
      <c r="BM921" s="123">
        <f t="shared" si="1108"/>
        <v>0</v>
      </c>
      <c r="BN921" s="159">
        <f t="shared" si="1108"/>
        <v>0</v>
      </c>
    </row>
    <row r="922" spans="32:66" ht="20.100000000000001" customHeight="1">
      <c r="AF922" s="1551"/>
      <c r="AG922" s="222" t="s">
        <v>1192</v>
      </c>
      <c r="AH922" s="1496" t="s">
        <v>1209</v>
      </c>
      <c r="AI922" s="1464"/>
      <c r="AJ922" s="1465"/>
      <c r="AK922" s="180">
        <v>0</v>
      </c>
      <c r="AL922" s="123">
        <f>IF($C$137=1,AL801,0)</f>
        <v>0</v>
      </c>
      <c r="AM922" s="123">
        <f t="shared" ref="AM922:BN922" si="1109">IF($C$137=1,AM801,0)</f>
        <v>0</v>
      </c>
      <c r="AN922" s="123">
        <f t="shared" si="1109"/>
        <v>0</v>
      </c>
      <c r="AO922" s="123">
        <f t="shared" si="1109"/>
        <v>0</v>
      </c>
      <c r="AP922" s="123">
        <f t="shared" si="1109"/>
        <v>0</v>
      </c>
      <c r="AQ922" s="123">
        <f t="shared" si="1109"/>
        <v>0</v>
      </c>
      <c r="AR922" s="123">
        <f t="shared" si="1109"/>
        <v>0</v>
      </c>
      <c r="AS922" s="123">
        <f t="shared" si="1109"/>
        <v>0</v>
      </c>
      <c r="AT922" s="123">
        <f t="shared" si="1109"/>
        <v>0</v>
      </c>
      <c r="AU922" s="123">
        <f t="shared" si="1109"/>
        <v>0</v>
      </c>
      <c r="AV922" s="123">
        <f t="shared" si="1109"/>
        <v>0</v>
      </c>
      <c r="AW922" s="123">
        <f t="shared" si="1109"/>
        <v>0</v>
      </c>
      <c r="AX922" s="123">
        <f t="shared" si="1109"/>
        <v>0</v>
      </c>
      <c r="AY922" s="123">
        <f t="shared" si="1109"/>
        <v>0</v>
      </c>
      <c r="AZ922" s="123">
        <f t="shared" si="1109"/>
        <v>0</v>
      </c>
      <c r="BA922" s="123">
        <f t="shared" si="1109"/>
        <v>0</v>
      </c>
      <c r="BB922" s="123">
        <f t="shared" si="1109"/>
        <v>0</v>
      </c>
      <c r="BC922" s="123">
        <f t="shared" si="1109"/>
        <v>0</v>
      </c>
      <c r="BD922" s="123">
        <f t="shared" si="1109"/>
        <v>0</v>
      </c>
      <c r="BE922" s="123">
        <f t="shared" si="1109"/>
        <v>0</v>
      </c>
      <c r="BF922" s="123">
        <f t="shared" si="1109"/>
        <v>0</v>
      </c>
      <c r="BG922" s="123">
        <f t="shared" si="1109"/>
        <v>0</v>
      </c>
      <c r="BH922" s="123">
        <f t="shared" si="1109"/>
        <v>0</v>
      </c>
      <c r="BI922" s="123">
        <f t="shared" si="1109"/>
        <v>0</v>
      </c>
      <c r="BJ922" s="123">
        <f t="shared" si="1109"/>
        <v>0</v>
      </c>
      <c r="BK922" s="123">
        <f t="shared" si="1109"/>
        <v>0</v>
      </c>
      <c r="BL922" s="123">
        <f t="shared" si="1109"/>
        <v>0</v>
      </c>
      <c r="BM922" s="123">
        <f t="shared" si="1109"/>
        <v>0</v>
      </c>
      <c r="BN922" s="159">
        <f t="shared" si="1109"/>
        <v>0</v>
      </c>
    </row>
    <row r="923" spans="32:66" ht="20.100000000000001" customHeight="1">
      <c r="AF923" s="1551"/>
      <c r="AG923" s="222" t="s">
        <v>1192</v>
      </c>
      <c r="AH923" s="1496" t="s">
        <v>1210</v>
      </c>
      <c r="AI923" s="1464"/>
      <c r="AJ923" s="1465"/>
      <c r="AK923" s="180">
        <v>0</v>
      </c>
      <c r="AL923" s="123">
        <f>IF($C$138=1,AL812,0)</f>
        <v>0</v>
      </c>
      <c r="AM923" s="123">
        <f t="shared" ref="AM923:BN923" si="1110">IF($C$138=1,AM812,0)</f>
        <v>0</v>
      </c>
      <c r="AN923" s="123">
        <f t="shared" si="1110"/>
        <v>0</v>
      </c>
      <c r="AO923" s="123">
        <f t="shared" si="1110"/>
        <v>0</v>
      </c>
      <c r="AP923" s="123">
        <f t="shared" si="1110"/>
        <v>0</v>
      </c>
      <c r="AQ923" s="123">
        <f t="shared" si="1110"/>
        <v>0</v>
      </c>
      <c r="AR923" s="123">
        <f t="shared" si="1110"/>
        <v>0</v>
      </c>
      <c r="AS923" s="123">
        <f t="shared" si="1110"/>
        <v>0</v>
      </c>
      <c r="AT923" s="123">
        <f t="shared" si="1110"/>
        <v>0</v>
      </c>
      <c r="AU923" s="123">
        <f t="shared" si="1110"/>
        <v>0</v>
      </c>
      <c r="AV923" s="123">
        <f t="shared" si="1110"/>
        <v>0</v>
      </c>
      <c r="AW923" s="123">
        <f t="shared" si="1110"/>
        <v>0</v>
      </c>
      <c r="AX923" s="123">
        <f t="shared" si="1110"/>
        <v>0</v>
      </c>
      <c r="AY923" s="123">
        <f t="shared" si="1110"/>
        <v>0</v>
      </c>
      <c r="AZ923" s="123">
        <f t="shared" si="1110"/>
        <v>0</v>
      </c>
      <c r="BA923" s="123">
        <f t="shared" si="1110"/>
        <v>0</v>
      </c>
      <c r="BB923" s="123">
        <f t="shared" si="1110"/>
        <v>0</v>
      </c>
      <c r="BC923" s="123">
        <f t="shared" si="1110"/>
        <v>0</v>
      </c>
      <c r="BD923" s="123">
        <f t="shared" si="1110"/>
        <v>0</v>
      </c>
      <c r="BE923" s="123">
        <f t="shared" si="1110"/>
        <v>0</v>
      </c>
      <c r="BF923" s="123">
        <f t="shared" si="1110"/>
        <v>0</v>
      </c>
      <c r="BG923" s="123">
        <f t="shared" si="1110"/>
        <v>0</v>
      </c>
      <c r="BH923" s="123">
        <f t="shared" si="1110"/>
        <v>0</v>
      </c>
      <c r="BI923" s="123">
        <f t="shared" si="1110"/>
        <v>0</v>
      </c>
      <c r="BJ923" s="123">
        <f t="shared" si="1110"/>
        <v>0</v>
      </c>
      <c r="BK923" s="123">
        <f t="shared" si="1110"/>
        <v>0</v>
      </c>
      <c r="BL923" s="123">
        <f t="shared" si="1110"/>
        <v>0</v>
      </c>
      <c r="BM923" s="123">
        <f t="shared" si="1110"/>
        <v>0</v>
      </c>
      <c r="BN923" s="159">
        <f t="shared" si="1110"/>
        <v>0</v>
      </c>
    </row>
    <row r="924" spans="32:66" ht="20.100000000000001" customHeight="1">
      <c r="AF924" s="1551"/>
      <c r="AG924" s="222" t="s">
        <v>1192</v>
      </c>
      <c r="AH924" s="1496" t="s">
        <v>1211</v>
      </c>
      <c r="AI924" s="1464"/>
      <c r="AJ924" s="1465"/>
      <c r="AK924" s="180">
        <v>0</v>
      </c>
      <c r="AL924" s="123">
        <f>IF($C$139=1,AL823,0)</f>
        <v>0</v>
      </c>
      <c r="AM924" s="123">
        <f t="shared" ref="AM924:BN924" si="1111">IF($C$139=1,AM823,0)</f>
        <v>0</v>
      </c>
      <c r="AN924" s="123">
        <f t="shared" si="1111"/>
        <v>0</v>
      </c>
      <c r="AO924" s="123">
        <f t="shared" si="1111"/>
        <v>0</v>
      </c>
      <c r="AP924" s="123">
        <f t="shared" si="1111"/>
        <v>0</v>
      </c>
      <c r="AQ924" s="123">
        <f t="shared" si="1111"/>
        <v>0</v>
      </c>
      <c r="AR924" s="123">
        <f t="shared" si="1111"/>
        <v>0</v>
      </c>
      <c r="AS924" s="123">
        <f t="shared" si="1111"/>
        <v>0</v>
      </c>
      <c r="AT924" s="123">
        <f t="shared" si="1111"/>
        <v>0</v>
      </c>
      <c r="AU924" s="123">
        <f t="shared" si="1111"/>
        <v>0</v>
      </c>
      <c r="AV924" s="123">
        <f t="shared" si="1111"/>
        <v>0</v>
      </c>
      <c r="AW924" s="123">
        <f t="shared" si="1111"/>
        <v>0</v>
      </c>
      <c r="AX924" s="123">
        <f t="shared" si="1111"/>
        <v>0</v>
      </c>
      <c r="AY924" s="123">
        <f t="shared" si="1111"/>
        <v>0</v>
      </c>
      <c r="AZ924" s="123">
        <f t="shared" si="1111"/>
        <v>0</v>
      </c>
      <c r="BA924" s="123">
        <f t="shared" si="1111"/>
        <v>0</v>
      </c>
      <c r="BB924" s="123">
        <f t="shared" si="1111"/>
        <v>0</v>
      </c>
      <c r="BC924" s="123">
        <f t="shared" si="1111"/>
        <v>0</v>
      </c>
      <c r="BD924" s="123">
        <f t="shared" si="1111"/>
        <v>0</v>
      </c>
      <c r="BE924" s="123">
        <f t="shared" si="1111"/>
        <v>0</v>
      </c>
      <c r="BF924" s="123">
        <f t="shared" si="1111"/>
        <v>0</v>
      </c>
      <c r="BG924" s="123">
        <f t="shared" si="1111"/>
        <v>0</v>
      </c>
      <c r="BH924" s="123">
        <f t="shared" si="1111"/>
        <v>0</v>
      </c>
      <c r="BI924" s="123">
        <f t="shared" si="1111"/>
        <v>0</v>
      </c>
      <c r="BJ924" s="123">
        <f t="shared" si="1111"/>
        <v>0</v>
      </c>
      <c r="BK924" s="123">
        <f t="shared" si="1111"/>
        <v>0</v>
      </c>
      <c r="BL924" s="123">
        <f t="shared" si="1111"/>
        <v>0</v>
      </c>
      <c r="BM924" s="123">
        <f t="shared" si="1111"/>
        <v>0</v>
      </c>
      <c r="BN924" s="159">
        <f t="shared" si="1111"/>
        <v>0</v>
      </c>
    </row>
    <row r="925" spans="32:66" ht="20.100000000000001" customHeight="1" thickBot="1">
      <c r="AF925" s="1552"/>
      <c r="AG925" s="223" t="s">
        <v>1192</v>
      </c>
      <c r="AH925" s="1498" t="s">
        <v>1212</v>
      </c>
      <c r="AI925" s="1467"/>
      <c r="AJ925" s="1468"/>
      <c r="AK925" s="224">
        <v>0</v>
      </c>
      <c r="AL925" s="160">
        <f>IF($C$140=1,AL834,0)</f>
        <v>0</v>
      </c>
      <c r="AM925" s="160">
        <f t="shared" ref="AM925:BN925" si="1112">IF($C$140=1,AM834,0)</f>
        <v>0</v>
      </c>
      <c r="AN925" s="160">
        <f t="shared" si="1112"/>
        <v>0</v>
      </c>
      <c r="AO925" s="160">
        <f t="shared" si="1112"/>
        <v>0</v>
      </c>
      <c r="AP925" s="160">
        <f t="shared" si="1112"/>
        <v>0</v>
      </c>
      <c r="AQ925" s="160">
        <f t="shared" si="1112"/>
        <v>0</v>
      </c>
      <c r="AR925" s="160">
        <f t="shared" si="1112"/>
        <v>0</v>
      </c>
      <c r="AS925" s="160">
        <f t="shared" si="1112"/>
        <v>0</v>
      </c>
      <c r="AT925" s="160">
        <f t="shared" si="1112"/>
        <v>0</v>
      </c>
      <c r="AU925" s="160">
        <f t="shared" si="1112"/>
        <v>0</v>
      </c>
      <c r="AV925" s="160">
        <f t="shared" si="1112"/>
        <v>0</v>
      </c>
      <c r="AW925" s="160">
        <f t="shared" si="1112"/>
        <v>0</v>
      </c>
      <c r="AX925" s="160">
        <f t="shared" si="1112"/>
        <v>0</v>
      </c>
      <c r="AY925" s="160">
        <f t="shared" si="1112"/>
        <v>0</v>
      </c>
      <c r="AZ925" s="160">
        <f t="shared" si="1112"/>
        <v>0</v>
      </c>
      <c r="BA925" s="160">
        <f t="shared" si="1112"/>
        <v>0</v>
      </c>
      <c r="BB925" s="160">
        <f t="shared" si="1112"/>
        <v>0</v>
      </c>
      <c r="BC925" s="160">
        <f t="shared" si="1112"/>
        <v>0</v>
      </c>
      <c r="BD925" s="160">
        <f t="shared" si="1112"/>
        <v>0</v>
      </c>
      <c r="BE925" s="160">
        <f t="shared" si="1112"/>
        <v>0</v>
      </c>
      <c r="BF925" s="160">
        <f t="shared" si="1112"/>
        <v>0</v>
      </c>
      <c r="BG925" s="160">
        <f t="shared" si="1112"/>
        <v>0</v>
      </c>
      <c r="BH925" s="160">
        <f t="shared" si="1112"/>
        <v>0</v>
      </c>
      <c r="BI925" s="160">
        <f t="shared" si="1112"/>
        <v>0</v>
      </c>
      <c r="BJ925" s="160">
        <f t="shared" si="1112"/>
        <v>0</v>
      </c>
      <c r="BK925" s="160">
        <f t="shared" si="1112"/>
        <v>0</v>
      </c>
      <c r="BL925" s="160">
        <f t="shared" si="1112"/>
        <v>0</v>
      </c>
      <c r="BM925" s="160">
        <f t="shared" si="1112"/>
        <v>0</v>
      </c>
      <c r="BN925" s="161">
        <f t="shared" si="1112"/>
        <v>0</v>
      </c>
    </row>
    <row r="926" spans="32:66" ht="20.100000000000001" customHeight="1">
      <c r="AF926" s="167"/>
      <c r="AG926" s="1547" t="s">
        <v>1080</v>
      </c>
      <c r="AH926" s="1548"/>
      <c r="AI926" s="1548"/>
      <c r="AJ926" s="1549"/>
      <c r="AK926" s="179">
        <v>0</v>
      </c>
      <c r="AL926" s="162">
        <f>IF(AL904&gt;START!$C$2+2020,SUM(AL905:AL925),0)</f>
        <v>41317.689306508546</v>
      </c>
      <c r="AM926" s="162">
        <f>IF(AM904&gt;START!$C$2+2020,SUM(AM905:AM925),0)</f>
        <v>40377.944222549886</v>
      </c>
      <c r="AN926" s="162">
        <f>IF(AN904&gt;START!$C$2+2020,SUM(AN905:AN925),0)</f>
        <v>39509.619764972085</v>
      </c>
      <c r="AO926" s="162">
        <f>IF(AO904&gt;START!$C$2+2020,SUM(AO905:AO925),0)</f>
        <v>38707.287966170195</v>
      </c>
      <c r="AP926" s="162">
        <f>IF(AP904&gt;START!$C$2+2020,SUM(AP905:AP925),0)</f>
        <v>37965.933384077252</v>
      </c>
      <c r="AQ926" s="162">
        <f>IF(AQ904&gt;START!$C$2+2020,SUM(AQ905:AQ925),0)</f>
        <v>37280.921750223373</v>
      </c>
      <c r="AR926" s="162">
        <f>IF(AR904&gt;START!$C$2+2020,SUM(AR905:AR925),0)</f>
        <v>36647.971000542384</v>
      </c>
      <c r="AS926" s="162">
        <f>IF(AS904&gt;START!$C$2+2020,SUM(AS905:AS925),0)</f>
        <v>36063.124507837158</v>
      </c>
      <c r="AT926" s="162">
        <f>IF(AT904&gt;START!$C$2+2020,SUM(AT905:AT925),0)</f>
        <v>35522.726348577518</v>
      </c>
      <c r="AU926" s="162">
        <f>IF(AU904&gt;START!$C$2+2020,SUM(AU905:AU925),0)</f>
        <v>35095.6695927205</v>
      </c>
      <c r="AV926" s="162">
        <f>IF(AV904&gt;START!$C$2+2020,SUM(AV905:AV925),0)</f>
        <v>34696.371525994189</v>
      </c>
      <c r="AW926" s="162">
        <f>IF(AW904&gt;START!$C$2+2020,SUM(AW905:AW925),0)</f>
        <v>34323.027833605083</v>
      </c>
      <c r="AX926" s="162">
        <f>IF(AX904&gt;START!$C$2+2020,SUM(AX905:AX925),0)</f>
        <v>33973.951481221273</v>
      </c>
      <c r="AY926" s="162">
        <f>IF(AY904&gt;START!$C$2+2020,SUM(AY905:AY925),0)</f>
        <v>33647.565091742406</v>
      </c>
      <c r="AZ926" s="162">
        <f>IF(AZ904&gt;START!$C$2+2020,SUM(AZ905:AZ925),0)</f>
        <v>33342.393817579665</v>
      </c>
      <c r="BA926" s="162">
        <f>IF(BA904&gt;START!$C$2+2020,SUM(BA905:BA925),0)</f>
        <v>33057.05867623751</v>
      </c>
      <c r="BB926" s="162">
        <f>IF(BB904&gt;START!$C$2+2020,SUM(BB905:BB925),0)</f>
        <v>32790.270319082585</v>
      </c>
      <c r="BC926" s="162">
        <f>IF(BC904&gt;START!$C$2+2020,SUM(BC905:BC925),0)</f>
        <v>32540.82320514274</v>
      </c>
      <c r="BD926" s="162">
        <f>IF(BD904&gt;START!$C$2+2020,SUM(BD905:BD925),0)</f>
        <v>32307.59015360898</v>
      </c>
      <c r="BE926" s="162">
        <f>IF(BE904&gt;START!$C$2+2020,SUM(BE905:BE925),0)</f>
        <v>32089.517250424913</v>
      </c>
      <c r="BF926" s="162">
        <f>IF(BF904&gt;START!$C$2+2020,SUM(BF905:BF925),0)</f>
        <v>31885.619085947808</v>
      </c>
      <c r="BG926" s="162">
        <f>IF(BG904&gt;START!$C$2+2020,SUM(BG905:BG925),0)</f>
        <v>31694.974302161718</v>
      </c>
      <c r="BH926" s="162">
        <f>IF(BH904&gt;START!$C$2+2020,SUM(BH905:BH925),0)</f>
        <v>31516.721429321726</v>
      </c>
      <c r="BI926" s="162">
        <f>IF(BI904&gt;START!$C$2+2020,SUM(BI905:BI925),0)</f>
        <v>31350.054993216334</v>
      </c>
      <c r="BJ926" s="162">
        <f>IF(BJ904&gt;START!$C$2+2020,SUM(BJ905:BJ925),0)</f>
        <v>31194.221875457792</v>
      </c>
      <c r="BK926" s="162">
        <f>IF(BK904&gt;START!$C$2+2020,SUM(BK905:BK925),0)</f>
        <v>31048.517910353548</v>
      </c>
      <c r="BL926" s="162">
        <f>IF(BL904&gt;START!$C$2+2020,SUM(BL905:BL925),0)</f>
        <v>30912.284702981087</v>
      </c>
      <c r="BM926" s="162">
        <f>IF(BM904&gt;START!$C$2+2020,SUM(BM905:BM925),0)</f>
        <v>30784.906654087834</v>
      </c>
      <c r="BN926" s="162">
        <f>IF(BN904&gt;START!$C$2+2020,SUM(BN905:BN925),0)</f>
        <v>30665.808178372645</v>
      </c>
    </row>
    <row r="928" spans="32:66" ht="20.100000000000001" customHeight="1">
      <c r="AF928" s="141" t="s">
        <v>1185</v>
      </c>
      <c r="AG928" s="130"/>
      <c r="AH928" s="130"/>
      <c r="AI928" s="130"/>
      <c r="AJ928" s="130"/>
      <c r="AK928" s="130"/>
      <c r="AL928" s="130"/>
      <c r="AM928" s="130"/>
    </row>
    <row r="929" spans="32:66" ht="20.100000000000001" customHeight="1" thickBot="1">
      <c r="AF929" s="142" t="s">
        <v>1187</v>
      </c>
      <c r="AG929" s="143"/>
      <c r="AH929" s="143"/>
      <c r="AI929" s="149"/>
      <c r="AJ929" s="175"/>
      <c r="AK929" s="176">
        <v>2021</v>
      </c>
      <c r="AL929" s="135">
        <v>2022</v>
      </c>
      <c r="AM929" s="135">
        <f>AL929+1</f>
        <v>2023</v>
      </c>
      <c r="AN929" s="135">
        <f t="shared" ref="AN929" si="1113">AM929+1</f>
        <v>2024</v>
      </c>
      <c r="AO929" s="135">
        <f t="shared" ref="AO929" si="1114">AN929+1</f>
        <v>2025</v>
      </c>
      <c r="AP929" s="135">
        <f t="shared" ref="AP929" si="1115">AO929+1</f>
        <v>2026</v>
      </c>
      <c r="AQ929" s="135">
        <f t="shared" ref="AQ929" si="1116">AP929+1</f>
        <v>2027</v>
      </c>
      <c r="AR929" s="135">
        <f t="shared" ref="AR929" si="1117">AQ929+1</f>
        <v>2028</v>
      </c>
      <c r="AS929" s="135">
        <f t="shared" ref="AS929" si="1118">AR929+1</f>
        <v>2029</v>
      </c>
      <c r="AT929" s="135">
        <f t="shared" ref="AT929" si="1119">AS929+1</f>
        <v>2030</v>
      </c>
      <c r="AU929" s="135">
        <f t="shared" ref="AU929" si="1120">AT929+1</f>
        <v>2031</v>
      </c>
      <c r="AV929" s="135">
        <f t="shared" ref="AV929" si="1121">AU929+1</f>
        <v>2032</v>
      </c>
      <c r="AW929" s="135">
        <f t="shared" ref="AW929" si="1122">AV929+1</f>
        <v>2033</v>
      </c>
      <c r="AX929" s="135">
        <f t="shared" ref="AX929" si="1123">AW929+1</f>
        <v>2034</v>
      </c>
      <c r="AY929" s="135">
        <f t="shared" ref="AY929" si="1124">AX929+1</f>
        <v>2035</v>
      </c>
      <c r="AZ929" s="135">
        <f t="shared" ref="AZ929" si="1125">AY929+1</f>
        <v>2036</v>
      </c>
      <c r="BA929" s="135">
        <f t="shared" ref="BA929" si="1126">AZ929+1</f>
        <v>2037</v>
      </c>
      <c r="BB929" s="135">
        <f t="shared" ref="BB929" si="1127">BA929+1</f>
        <v>2038</v>
      </c>
      <c r="BC929" s="135">
        <f t="shared" ref="BC929" si="1128">BB929+1</f>
        <v>2039</v>
      </c>
      <c r="BD929" s="135">
        <f t="shared" ref="BD929" si="1129">BC929+1</f>
        <v>2040</v>
      </c>
      <c r="BE929" s="135">
        <f t="shared" ref="BE929" si="1130">BD929+1</f>
        <v>2041</v>
      </c>
      <c r="BF929" s="135">
        <f t="shared" ref="BF929" si="1131">BE929+1</f>
        <v>2042</v>
      </c>
      <c r="BG929" s="135">
        <f t="shared" ref="BG929" si="1132">BF929+1</f>
        <v>2043</v>
      </c>
      <c r="BH929" s="135">
        <f t="shared" ref="BH929" si="1133">BG929+1</f>
        <v>2044</v>
      </c>
      <c r="BI929" s="135">
        <f t="shared" ref="BI929" si="1134">BH929+1</f>
        <v>2045</v>
      </c>
      <c r="BJ929" s="135">
        <f t="shared" ref="BJ929" si="1135">BI929+1</f>
        <v>2046</v>
      </c>
      <c r="BK929" s="135">
        <f t="shared" ref="BK929" si="1136">BJ929+1</f>
        <v>2047</v>
      </c>
      <c r="BL929" s="135">
        <f t="shared" ref="BL929" si="1137">BK929+1</f>
        <v>2048</v>
      </c>
      <c r="BM929" s="135">
        <f t="shared" ref="BM929" si="1138">BL929+1</f>
        <v>2049</v>
      </c>
      <c r="BN929" s="135">
        <f t="shared" ref="BN929" si="1139">BM929+1</f>
        <v>2050</v>
      </c>
    </row>
    <row r="930" spans="32:66" ht="20.100000000000001" customHeight="1">
      <c r="AF930" s="1550" t="s">
        <v>859</v>
      </c>
      <c r="AG930" s="137" t="s">
        <v>1186</v>
      </c>
      <c r="AH930" s="1553" t="s">
        <v>1216</v>
      </c>
      <c r="AI930" s="1554"/>
      <c r="AJ930" s="1507"/>
      <c r="AK930" s="178">
        <v>0</v>
      </c>
      <c r="AL930" s="163">
        <f t="shared" ref="AL930:BN930" si="1140">AL223</f>
        <v>79224.822270316072</v>
      </c>
      <c r="AM930" s="163">
        <f t="shared" si="1140"/>
        <v>77228.58022352065</v>
      </c>
      <c r="AN930" s="163">
        <f t="shared" si="1140"/>
        <v>75384.052572281667</v>
      </c>
      <c r="AO930" s="163">
        <f t="shared" si="1140"/>
        <v>73679.709022536845</v>
      </c>
      <c r="AP930" s="163">
        <f t="shared" si="1140"/>
        <v>72104.895582572644</v>
      </c>
      <c r="AQ930" s="163">
        <f t="shared" si="1140"/>
        <v>70649.767964045706</v>
      </c>
      <c r="AR930" s="163">
        <f t="shared" si="1140"/>
        <v>69305.230044526834</v>
      </c>
      <c r="AS930" s="163">
        <f t="shared" si="1140"/>
        <v>68062.877006891373</v>
      </c>
      <c r="AT930" s="163">
        <f t="shared" si="1140"/>
        <v>66914.942800116216</v>
      </c>
      <c r="AU930" s="163">
        <f t="shared" si="1140"/>
        <v>66007.772688814701</v>
      </c>
      <c r="AV930" s="163">
        <f t="shared" si="1140"/>
        <v>65159.568634747775</v>
      </c>
      <c r="AW930" s="163">
        <f t="shared" si="1140"/>
        <v>64366.497844195197</v>
      </c>
      <c r="AX930" s="163">
        <f t="shared" si="1140"/>
        <v>63624.976655028542</v>
      </c>
      <c r="AY930" s="163">
        <f t="shared" si="1140"/>
        <v>62931.654343157716</v>
      </c>
      <c r="AZ930" s="163">
        <f t="shared" si="1140"/>
        <v>62283.397981558504</v>
      </c>
      <c r="BA930" s="163">
        <f t="shared" si="1140"/>
        <v>61677.278283463223</v>
      </c>
      <c r="BB930" s="163">
        <f t="shared" si="1140"/>
        <v>61110.556365744153</v>
      </c>
      <c r="BC930" s="163">
        <f t="shared" si="1140"/>
        <v>60580.671372676807</v>
      </c>
      <c r="BD930" s="163">
        <f t="shared" si="1140"/>
        <v>60085.228904158852</v>
      </c>
      <c r="BE930" s="163">
        <f t="shared" si="1140"/>
        <v>59621.990196094557</v>
      </c>
      <c r="BF930" s="163">
        <f t="shared" si="1140"/>
        <v>59188.862004054434</v>
      </c>
      <c r="BG930" s="163">
        <f t="shared" si="1140"/>
        <v>58783.887144496926</v>
      </c>
      <c r="BH930" s="163">
        <f t="shared" si="1140"/>
        <v>58405.23565081066</v>
      </c>
      <c r="BI930" s="163">
        <f t="shared" si="1140"/>
        <v>58051.196504214007</v>
      </c>
      <c r="BJ930" s="163">
        <f t="shared" si="1140"/>
        <v>57720.169902146125</v>
      </c>
      <c r="BK930" s="163">
        <f t="shared" si="1140"/>
        <v>57410.660029212653</v>
      </c>
      <c r="BL930" s="163">
        <f t="shared" si="1140"/>
        <v>57121.268298019859</v>
      </c>
      <c r="BM930" s="163">
        <f t="shared" si="1140"/>
        <v>56850.687029354609</v>
      </c>
      <c r="BN930" s="163">
        <f t="shared" si="1140"/>
        <v>56597.693543152578</v>
      </c>
    </row>
    <row r="931" spans="32:66" ht="20.100000000000001" customHeight="1">
      <c r="AF931" s="1551"/>
      <c r="AG931" s="222" t="s">
        <v>1188</v>
      </c>
      <c r="AH931" s="1496" t="s">
        <v>1193</v>
      </c>
      <c r="AI931" s="1464"/>
      <c r="AJ931" s="1465"/>
      <c r="AK931" s="180">
        <v>0</v>
      </c>
      <c r="AL931" s="123">
        <f t="shared" ref="AL931:BN931" si="1141">AL338</f>
        <v>0</v>
      </c>
      <c r="AM931" s="123">
        <f t="shared" si="1141"/>
        <v>0</v>
      </c>
      <c r="AN931" s="123">
        <f t="shared" si="1141"/>
        <v>0</v>
      </c>
      <c r="AO931" s="123">
        <f t="shared" si="1141"/>
        <v>0</v>
      </c>
      <c r="AP931" s="123">
        <f t="shared" si="1141"/>
        <v>0</v>
      </c>
      <c r="AQ931" s="123">
        <f t="shared" si="1141"/>
        <v>0</v>
      </c>
      <c r="AR931" s="123">
        <f t="shared" si="1141"/>
        <v>0</v>
      </c>
      <c r="AS931" s="123">
        <f t="shared" si="1141"/>
        <v>0</v>
      </c>
      <c r="AT931" s="123">
        <f t="shared" si="1141"/>
        <v>0</v>
      </c>
      <c r="AU931" s="123">
        <f t="shared" si="1141"/>
        <v>0</v>
      </c>
      <c r="AV931" s="123">
        <f t="shared" si="1141"/>
        <v>0</v>
      </c>
      <c r="AW931" s="123">
        <f t="shared" si="1141"/>
        <v>0</v>
      </c>
      <c r="AX931" s="123">
        <f t="shared" si="1141"/>
        <v>0</v>
      </c>
      <c r="AY931" s="123">
        <f t="shared" si="1141"/>
        <v>0</v>
      </c>
      <c r="AZ931" s="123">
        <f t="shared" si="1141"/>
        <v>0</v>
      </c>
      <c r="BA931" s="123">
        <f t="shared" si="1141"/>
        <v>0</v>
      </c>
      <c r="BB931" s="123">
        <f t="shared" si="1141"/>
        <v>0</v>
      </c>
      <c r="BC931" s="123">
        <f t="shared" si="1141"/>
        <v>0</v>
      </c>
      <c r="BD931" s="123">
        <f t="shared" si="1141"/>
        <v>0</v>
      </c>
      <c r="BE931" s="123">
        <f t="shared" si="1141"/>
        <v>0</v>
      </c>
      <c r="BF931" s="123">
        <f t="shared" si="1141"/>
        <v>0</v>
      </c>
      <c r="BG931" s="123">
        <f t="shared" si="1141"/>
        <v>0</v>
      </c>
      <c r="BH931" s="123">
        <f t="shared" si="1141"/>
        <v>0</v>
      </c>
      <c r="BI931" s="123">
        <f t="shared" si="1141"/>
        <v>0</v>
      </c>
      <c r="BJ931" s="123">
        <f t="shared" si="1141"/>
        <v>0</v>
      </c>
      <c r="BK931" s="123">
        <f t="shared" si="1141"/>
        <v>0</v>
      </c>
      <c r="BL931" s="123">
        <f t="shared" si="1141"/>
        <v>0</v>
      </c>
      <c r="BM931" s="123">
        <f t="shared" si="1141"/>
        <v>0</v>
      </c>
      <c r="BN931" s="159">
        <f t="shared" si="1141"/>
        <v>0</v>
      </c>
    </row>
    <row r="932" spans="32:66" ht="20.100000000000001" customHeight="1">
      <c r="AF932" s="1551"/>
      <c r="AG932" s="222" t="s">
        <v>1189</v>
      </c>
      <c r="AH932" s="1496" t="s">
        <v>1194</v>
      </c>
      <c r="AI932" s="1464"/>
      <c r="AJ932" s="1465"/>
      <c r="AK932" s="180">
        <v>0</v>
      </c>
      <c r="AL932" s="123">
        <f t="shared" ref="AL932:BN932" si="1142">AL457</f>
        <v>0</v>
      </c>
      <c r="AM932" s="123">
        <f t="shared" si="1142"/>
        <v>0</v>
      </c>
      <c r="AN932" s="123">
        <f t="shared" si="1142"/>
        <v>0</v>
      </c>
      <c r="AO932" s="123">
        <f t="shared" si="1142"/>
        <v>0</v>
      </c>
      <c r="AP932" s="123">
        <f t="shared" si="1142"/>
        <v>0</v>
      </c>
      <c r="AQ932" s="123">
        <f t="shared" si="1142"/>
        <v>0</v>
      </c>
      <c r="AR932" s="123">
        <f t="shared" si="1142"/>
        <v>0</v>
      </c>
      <c r="AS932" s="123">
        <f t="shared" si="1142"/>
        <v>0</v>
      </c>
      <c r="AT932" s="123">
        <f t="shared" si="1142"/>
        <v>0</v>
      </c>
      <c r="AU932" s="123">
        <f t="shared" si="1142"/>
        <v>0</v>
      </c>
      <c r="AV932" s="123">
        <f t="shared" si="1142"/>
        <v>0</v>
      </c>
      <c r="AW932" s="123">
        <f t="shared" si="1142"/>
        <v>0</v>
      </c>
      <c r="AX932" s="123">
        <f t="shared" si="1142"/>
        <v>0</v>
      </c>
      <c r="AY932" s="123">
        <f t="shared" si="1142"/>
        <v>0</v>
      </c>
      <c r="AZ932" s="123">
        <f t="shared" si="1142"/>
        <v>0</v>
      </c>
      <c r="BA932" s="123">
        <f t="shared" si="1142"/>
        <v>0</v>
      </c>
      <c r="BB932" s="123">
        <f t="shared" si="1142"/>
        <v>0</v>
      </c>
      <c r="BC932" s="123">
        <f t="shared" si="1142"/>
        <v>0</v>
      </c>
      <c r="BD932" s="123">
        <f t="shared" si="1142"/>
        <v>0</v>
      </c>
      <c r="BE932" s="123">
        <f t="shared" si="1142"/>
        <v>0</v>
      </c>
      <c r="BF932" s="123">
        <f t="shared" si="1142"/>
        <v>0</v>
      </c>
      <c r="BG932" s="123">
        <f t="shared" si="1142"/>
        <v>0</v>
      </c>
      <c r="BH932" s="123">
        <f t="shared" si="1142"/>
        <v>0</v>
      </c>
      <c r="BI932" s="123">
        <f t="shared" si="1142"/>
        <v>0</v>
      </c>
      <c r="BJ932" s="123">
        <f t="shared" si="1142"/>
        <v>0</v>
      </c>
      <c r="BK932" s="123">
        <f t="shared" si="1142"/>
        <v>0</v>
      </c>
      <c r="BL932" s="123">
        <f t="shared" si="1142"/>
        <v>0</v>
      </c>
      <c r="BM932" s="123">
        <f t="shared" si="1142"/>
        <v>0</v>
      </c>
      <c r="BN932" s="159">
        <f t="shared" si="1142"/>
        <v>0</v>
      </c>
    </row>
    <row r="933" spans="32:66" ht="20.100000000000001" customHeight="1">
      <c r="AF933" s="1551"/>
      <c r="AG933" s="222" t="s">
        <v>1190</v>
      </c>
      <c r="AH933" s="1496" t="s">
        <v>1195</v>
      </c>
      <c r="AI933" s="1464"/>
      <c r="AJ933" s="1465"/>
      <c r="AK933" s="180">
        <v>0</v>
      </c>
      <c r="AL933" s="123">
        <f t="shared" ref="AL933:BN933" si="1143">IF($A$114=1,-AL631,0)</f>
        <v>0</v>
      </c>
      <c r="AM933" s="123">
        <f t="shared" si="1143"/>
        <v>0</v>
      </c>
      <c r="AN933" s="123">
        <f t="shared" si="1143"/>
        <v>0</v>
      </c>
      <c r="AO933" s="123">
        <f t="shared" si="1143"/>
        <v>0</v>
      </c>
      <c r="AP933" s="123">
        <f t="shared" si="1143"/>
        <v>0</v>
      </c>
      <c r="AQ933" s="123">
        <f t="shared" si="1143"/>
        <v>0</v>
      </c>
      <c r="AR933" s="123">
        <f t="shared" si="1143"/>
        <v>0</v>
      </c>
      <c r="AS933" s="123">
        <f t="shared" si="1143"/>
        <v>0</v>
      </c>
      <c r="AT933" s="123">
        <f t="shared" si="1143"/>
        <v>0</v>
      </c>
      <c r="AU933" s="123">
        <f t="shared" si="1143"/>
        <v>0</v>
      </c>
      <c r="AV933" s="123">
        <f t="shared" si="1143"/>
        <v>0</v>
      </c>
      <c r="AW933" s="123">
        <f t="shared" si="1143"/>
        <v>0</v>
      </c>
      <c r="AX933" s="123">
        <f t="shared" si="1143"/>
        <v>0</v>
      </c>
      <c r="AY933" s="123">
        <f t="shared" si="1143"/>
        <v>0</v>
      </c>
      <c r="AZ933" s="123">
        <f t="shared" si="1143"/>
        <v>0</v>
      </c>
      <c r="BA933" s="123">
        <f t="shared" si="1143"/>
        <v>0</v>
      </c>
      <c r="BB933" s="123">
        <f t="shared" si="1143"/>
        <v>0</v>
      </c>
      <c r="BC933" s="123">
        <f t="shared" si="1143"/>
        <v>0</v>
      </c>
      <c r="BD933" s="123">
        <f t="shared" si="1143"/>
        <v>0</v>
      </c>
      <c r="BE933" s="123">
        <f t="shared" si="1143"/>
        <v>0</v>
      </c>
      <c r="BF933" s="123">
        <f t="shared" si="1143"/>
        <v>0</v>
      </c>
      <c r="BG933" s="123">
        <f t="shared" si="1143"/>
        <v>0</v>
      </c>
      <c r="BH933" s="123">
        <f t="shared" si="1143"/>
        <v>0</v>
      </c>
      <c r="BI933" s="123">
        <f t="shared" si="1143"/>
        <v>0</v>
      </c>
      <c r="BJ933" s="123">
        <f t="shared" si="1143"/>
        <v>0</v>
      </c>
      <c r="BK933" s="123">
        <f t="shared" si="1143"/>
        <v>0</v>
      </c>
      <c r="BL933" s="123">
        <f t="shared" si="1143"/>
        <v>0</v>
      </c>
      <c r="BM933" s="123">
        <f t="shared" si="1143"/>
        <v>0</v>
      </c>
      <c r="BN933" s="159">
        <f t="shared" si="1143"/>
        <v>0</v>
      </c>
    </row>
    <row r="934" spans="32:66" ht="20.100000000000001" customHeight="1">
      <c r="AF934" s="1551"/>
      <c r="AG934" s="222" t="s">
        <v>1190</v>
      </c>
      <c r="AH934" s="1496" t="s">
        <v>1196</v>
      </c>
      <c r="AI934" s="1464"/>
      <c r="AJ934" s="1465"/>
      <c r="AK934" s="180">
        <v>0</v>
      </c>
      <c r="AL934" s="123">
        <f t="shared" ref="AL934:BN934" si="1144">IF($A$115=1,-AL642,0)</f>
        <v>0</v>
      </c>
      <c r="AM934" s="123">
        <f t="shared" si="1144"/>
        <v>0</v>
      </c>
      <c r="AN934" s="123">
        <f t="shared" si="1144"/>
        <v>0</v>
      </c>
      <c r="AO934" s="123">
        <f t="shared" si="1144"/>
        <v>0</v>
      </c>
      <c r="AP934" s="123">
        <f t="shared" si="1144"/>
        <v>0</v>
      </c>
      <c r="AQ934" s="123">
        <f t="shared" si="1144"/>
        <v>0</v>
      </c>
      <c r="AR934" s="123">
        <f t="shared" si="1144"/>
        <v>0</v>
      </c>
      <c r="AS934" s="123">
        <f t="shared" si="1144"/>
        <v>0</v>
      </c>
      <c r="AT934" s="123">
        <f t="shared" si="1144"/>
        <v>0</v>
      </c>
      <c r="AU934" s="123">
        <f t="shared" si="1144"/>
        <v>0</v>
      </c>
      <c r="AV934" s="123">
        <f t="shared" si="1144"/>
        <v>0</v>
      </c>
      <c r="AW934" s="123">
        <f t="shared" si="1144"/>
        <v>0</v>
      </c>
      <c r="AX934" s="123">
        <f t="shared" si="1144"/>
        <v>0</v>
      </c>
      <c r="AY934" s="123">
        <f t="shared" si="1144"/>
        <v>0</v>
      </c>
      <c r="AZ934" s="123">
        <f t="shared" si="1144"/>
        <v>0</v>
      </c>
      <c r="BA934" s="123">
        <f t="shared" si="1144"/>
        <v>0</v>
      </c>
      <c r="BB934" s="123">
        <f t="shared" si="1144"/>
        <v>0</v>
      </c>
      <c r="BC934" s="123">
        <f t="shared" si="1144"/>
        <v>0</v>
      </c>
      <c r="BD934" s="123">
        <f t="shared" si="1144"/>
        <v>0</v>
      </c>
      <c r="BE934" s="123">
        <f t="shared" si="1144"/>
        <v>0</v>
      </c>
      <c r="BF934" s="123">
        <f t="shared" si="1144"/>
        <v>0</v>
      </c>
      <c r="BG934" s="123">
        <f t="shared" si="1144"/>
        <v>0</v>
      </c>
      <c r="BH934" s="123">
        <f t="shared" si="1144"/>
        <v>0</v>
      </c>
      <c r="BI934" s="123">
        <f t="shared" si="1144"/>
        <v>0</v>
      </c>
      <c r="BJ934" s="123">
        <f t="shared" si="1144"/>
        <v>0</v>
      </c>
      <c r="BK934" s="123">
        <f t="shared" si="1144"/>
        <v>0</v>
      </c>
      <c r="BL934" s="123">
        <f t="shared" si="1144"/>
        <v>0</v>
      </c>
      <c r="BM934" s="123">
        <f t="shared" si="1144"/>
        <v>0</v>
      </c>
      <c r="BN934" s="159">
        <f t="shared" si="1144"/>
        <v>0</v>
      </c>
    </row>
    <row r="935" spans="32:66" ht="20.100000000000001" customHeight="1">
      <c r="AF935" s="1551"/>
      <c r="AG935" s="222" t="s">
        <v>1190</v>
      </c>
      <c r="AH935" s="1496" t="s">
        <v>1197</v>
      </c>
      <c r="AI935" s="1464"/>
      <c r="AJ935" s="1465"/>
      <c r="AK935" s="180">
        <v>0</v>
      </c>
      <c r="AL935" s="123">
        <f t="shared" ref="AL935:BN935" si="1145">IF($A$116=1,-AL653,0)</f>
        <v>0</v>
      </c>
      <c r="AM935" s="123">
        <f t="shared" si="1145"/>
        <v>0</v>
      </c>
      <c r="AN935" s="123">
        <f t="shared" si="1145"/>
        <v>0</v>
      </c>
      <c r="AO935" s="123">
        <f t="shared" si="1145"/>
        <v>0</v>
      </c>
      <c r="AP935" s="123">
        <f t="shared" si="1145"/>
        <v>0</v>
      </c>
      <c r="AQ935" s="123">
        <f t="shared" si="1145"/>
        <v>0</v>
      </c>
      <c r="AR935" s="123">
        <f t="shared" si="1145"/>
        <v>0</v>
      </c>
      <c r="AS935" s="123">
        <f t="shared" si="1145"/>
        <v>0</v>
      </c>
      <c r="AT935" s="123">
        <f t="shared" si="1145"/>
        <v>0</v>
      </c>
      <c r="AU935" s="123">
        <f t="shared" si="1145"/>
        <v>0</v>
      </c>
      <c r="AV935" s="123">
        <f t="shared" si="1145"/>
        <v>0</v>
      </c>
      <c r="AW935" s="123">
        <f t="shared" si="1145"/>
        <v>0</v>
      </c>
      <c r="AX935" s="123">
        <f t="shared" si="1145"/>
        <v>0</v>
      </c>
      <c r="AY935" s="123">
        <f t="shared" si="1145"/>
        <v>0</v>
      </c>
      <c r="AZ935" s="123">
        <f t="shared" si="1145"/>
        <v>0</v>
      </c>
      <c r="BA935" s="123">
        <f t="shared" si="1145"/>
        <v>0</v>
      </c>
      <c r="BB935" s="123">
        <f t="shared" si="1145"/>
        <v>0</v>
      </c>
      <c r="BC935" s="123">
        <f t="shared" si="1145"/>
        <v>0</v>
      </c>
      <c r="BD935" s="123">
        <f t="shared" si="1145"/>
        <v>0</v>
      </c>
      <c r="BE935" s="123">
        <f t="shared" si="1145"/>
        <v>0</v>
      </c>
      <c r="BF935" s="123">
        <f t="shared" si="1145"/>
        <v>0</v>
      </c>
      <c r="BG935" s="123">
        <f t="shared" si="1145"/>
        <v>0</v>
      </c>
      <c r="BH935" s="123">
        <f t="shared" si="1145"/>
        <v>0</v>
      </c>
      <c r="BI935" s="123">
        <f t="shared" si="1145"/>
        <v>0</v>
      </c>
      <c r="BJ935" s="123">
        <f t="shared" si="1145"/>
        <v>0</v>
      </c>
      <c r="BK935" s="123">
        <f t="shared" si="1145"/>
        <v>0</v>
      </c>
      <c r="BL935" s="123">
        <f t="shared" si="1145"/>
        <v>0</v>
      </c>
      <c r="BM935" s="123">
        <f t="shared" si="1145"/>
        <v>0</v>
      </c>
      <c r="BN935" s="159">
        <f t="shared" si="1145"/>
        <v>0</v>
      </c>
    </row>
    <row r="936" spans="32:66" ht="20.100000000000001" customHeight="1">
      <c r="AF936" s="1551"/>
      <c r="AG936" s="222" t="s">
        <v>1190</v>
      </c>
      <c r="AH936" s="1496" t="s">
        <v>1198</v>
      </c>
      <c r="AI936" s="1464"/>
      <c r="AJ936" s="1465"/>
      <c r="AK936" s="180">
        <v>0</v>
      </c>
      <c r="AL936" s="123">
        <f t="shared" ref="AL936:BN936" si="1146">IF($A$117=1,-AL664,0)</f>
        <v>0</v>
      </c>
      <c r="AM936" s="123">
        <f t="shared" si="1146"/>
        <v>0</v>
      </c>
      <c r="AN936" s="123">
        <f t="shared" si="1146"/>
        <v>0</v>
      </c>
      <c r="AO936" s="123">
        <f t="shared" si="1146"/>
        <v>0</v>
      </c>
      <c r="AP936" s="123">
        <f t="shared" si="1146"/>
        <v>0</v>
      </c>
      <c r="AQ936" s="123">
        <f t="shared" si="1146"/>
        <v>0</v>
      </c>
      <c r="AR936" s="123">
        <f t="shared" si="1146"/>
        <v>0</v>
      </c>
      <c r="AS936" s="123">
        <f t="shared" si="1146"/>
        <v>0</v>
      </c>
      <c r="AT936" s="123">
        <f t="shared" si="1146"/>
        <v>0</v>
      </c>
      <c r="AU936" s="123">
        <f t="shared" si="1146"/>
        <v>0</v>
      </c>
      <c r="AV936" s="123">
        <f t="shared" si="1146"/>
        <v>0</v>
      </c>
      <c r="AW936" s="123">
        <f t="shared" si="1146"/>
        <v>0</v>
      </c>
      <c r="AX936" s="123">
        <f t="shared" si="1146"/>
        <v>0</v>
      </c>
      <c r="AY936" s="123">
        <f t="shared" si="1146"/>
        <v>0</v>
      </c>
      <c r="AZ936" s="123">
        <f t="shared" si="1146"/>
        <v>0</v>
      </c>
      <c r="BA936" s="123">
        <f t="shared" si="1146"/>
        <v>0</v>
      </c>
      <c r="BB936" s="123">
        <f t="shared" si="1146"/>
        <v>0</v>
      </c>
      <c r="BC936" s="123">
        <f t="shared" si="1146"/>
        <v>0</v>
      </c>
      <c r="BD936" s="123">
        <f t="shared" si="1146"/>
        <v>0</v>
      </c>
      <c r="BE936" s="123">
        <f t="shared" si="1146"/>
        <v>0</v>
      </c>
      <c r="BF936" s="123">
        <f t="shared" si="1146"/>
        <v>0</v>
      </c>
      <c r="BG936" s="123">
        <f t="shared" si="1146"/>
        <v>0</v>
      </c>
      <c r="BH936" s="123">
        <f t="shared" si="1146"/>
        <v>0</v>
      </c>
      <c r="BI936" s="123">
        <f t="shared" si="1146"/>
        <v>0</v>
      </c>
      <c r="BJ936" s="123">
        <f t="shared" si="1146"/>
        <v>0</v>
      </c>
      <c r="BK936" s="123">
        <f t="shared" si="1146"/>
        <v>0</v>
      </c>
      <c r="BL936" s="123">
        <f t="shared" si="1146"/>
        <v>0</v>
      </c>
      <c r="BM936" s="123">
        <f t="shared" si="1146"/>
        <v>0</v>
      </c>
      <c r="BN936" s="159">
        <f t="shared" si="1146"/>
        <v>0</v>
      </c>
    </row>
    <row r="937" spans="32:66" ht="20.100000000000001" customHeight="1">
      <c r="AF937" s="1551"/>
      <c r="AG937" s="222" t="s">
        <v>1190</v>
      </c>
      <c r="AH937" s="1496" t="s">
        <v>1199</v>
      </c>
      <c r="AI937" s="1464"/>
      <c r="AJ937" s="1465"/>
      <c r="AK937" s="180">
        <v>0</v>
      </c>
      <c r="AL937" s="123">
        <f t="shared" ref="AL937:BN937" si="1147">IF($A$118=1,-AL675,0)</f>
        <v>0</v>
      </c>
      <c r="AM937" s="123">
        <f t="shared" si="1147"/>
        <v>0</v>
      </c>
      <c r="AN937" s="123">
        <f t="shared" si="1147"/>
        <v>0</v>
      </c>
      <c r="AO937" s="123">
        <f t="shared" si="1147"/>
        <v>0</v>
      </c>
      <c r="AP937" s="123">
        <f t="shared" si="1147"/>
        <v>0</v>
      </c>
      <c r="AQ937" s="123">
        <f t="shared" si="1147"/>
        <v>0</v>
      </c>
      <c r="AR937" s="123">
        <f t="shared" si="1147"/>
        <v>0</v>
      </c>
      <c r="AS937" s="123">
        <f t="shared" si="1147"/>
        <v>0</v>
      </c>
      <c r="AT937" s="123">
        <f t="shared" si="1147"/>
        <v>0</v>
      </c>
      <c r="AU937" s="123">
        <f t="shared" si="1147"/>
        <v>0</v>
      </c>
      <c r="AV937" s="123">
        <f t="shared" si="1147"/>
        <v>0</v>
      </c>
      <c r="AW937" s="123">
        <f t="shared" si="1147"/>
        <v>0</v>
      </c>
      <c r="AX937" s="123">
        <f t="shared" si="1147"/>
        <v>0</v>
      </c>
      <c r="AY937" s="123">
        <f t="shared" si="1147"/>
        <v>0</v>
      </c>
      <c r="AZ937" s="123">
        <f t="shared" si="1147"/>
        <v>0</v>
      </c>
      <c r="BA937" s="123">
        <f t="shared" si="1147"/>
        <v>0</v>
      </c>
      <c r="BB937" s="123">
        <f t="shared" si="1147"/>
        <v>0</v>
      </c>
      <c r="BC937" s="123">
        <f t="shared" si="1147"/>
        <v>0</v>
      </c>
      <c r="BD937" s="123">
        <f t="shared" si="1147"/>
        <v>0</v>
      </c>
      <c r="BE937" s="123">
        <f t="shared" si="1147"/>
        <v>0</v>
      </c>
      <c r="BF937" s="123">
        <f t="shared" si="1147"/>
        <v>0</v>
      </c>
      <c r="BG937" s="123">
        <f t="shared" si="1147"/>
        <v>0</v>
      </c>
      <c r="BH937" s="123">
        <f t="shared" si="1147"/>
        <v>0</v>
      </c>
      <c r="BI937" s="123">
        <f t="shared" si="1147"/>
        <v>0</v>
      </c>
      <c r="BJ937" s="123">
        <f t="shared" si="1147"/>
        <v>0</v>
      </c>
      <c r="BK937" s="123">
        <f t="shared" si="1147"/>
        <v>0</v>
      </c>
      <c r="BL937" s="123">
        <f t="shared" si="1147"/>
        <v>0</v>
      </c>
      <c r="BM937" s="123">
        <f t="shared" si="1147"/>
        <v>0</v>
      </c>
      <c r="BN937" s="159">
        <f t="shared" si="1147"/>
        <v>0</v>
      </c>
    </row>
    <row r="938" spans="32:66" ht="20.100000000000001" customHeight="1">
      <c r="AF938" s="1551"/>
      <c r="AG938" s="222" t="s">
        <v>1190</v>
      </c>
      <c r="AH938" s="1496" t="s">
        <v>1200</v>
      </c>
      <c r="AI938" s="1464"/>
      <c r="AJ938" s="1465"/>
      <c r="AK938" s="180">
        <v>0</v>
      </c>
      <c r="AL938" s="123">
        <f>IF($A$119=1,-AL725,0)</f>
        <v>0</v>
      </c>
      <c r="AM938" s="123">
        <f t="shared" ref="AM938:BN938" si="1148">IF($A$119=1,-AM725,0)</f>
        <v>0</v>
      </c>
      <c r="AN938" s="123">
        <f t="shared" si="1148"/>
        <v>0</v>
      </c>
      <c r="AO938" s="123">
        <f t="shared" si="1148"/>
        <v>0</v>
      </c>
      <c r="AP938" s="123">
        <f t="shared" si="1148"/>
        <v>0</v>
      </c>
      <c r="AQ938" s="123">
        <f t="shared" si="1148"/>
        <v>0</v>
      </c>
      <c r="AR938" s="123">
        <f t="shared" si="1148"/>
        <v>0</v>
      </c>
      <c r="AS938" s="123">
        <f t="shared" si="1148"/>
        <v>0</v>
      </c>
      <c r="AT938" s="123">
        <f t="shared" si="1148"/>
        <v>0</v>
      </c>
      <c r="AU938" s="123">
        <f t="shared" si="1148"/>
        <v>0</v>
      </c>
      <c r="AV938" s="123">
        <f t="shared" si="1148"/>
        <v>0</v>
      </c>
      <c r="AW938" s="123">
        <f t="shared" si="1148"/>
        <v>0</v>
      </c>
      <c r="AX938" s="123">
        <f t="shared" si="1148"/>
        <v>0</v>
      </c>
      <c r="AY938" s="123">
        <f t="shared" si="1148"/>
        <v>0</v>
      </c>
      <c r="AZ938" s="123">
        <f t="shared" si="1148"/>
        <v>0</v>
      </c>
      <c r="BA938" s="123">
        <f t="shared" si="1148"/>
        <v>0</v>
      </c>
      <c r="BB938" s="123">
        <f t="shared" si="1148"/>
        <v>0</v>
      </c>
      <c r="BC938" s="123">
        <f t="shared" si="1148"/>
        <v>0</v>
      </c>
      <c r="BD938" s="123">
        <f t="shared" si="1148"/>
        <v>0</v>
      </c>
      <c r="BE938" s="123">
        <f t="shared" si="1148"/>
        <v>0</v>
      </c>
      <c r="BF938" s="123">
        <f t="shared" si="1148"/>
        <v>0</v>
      </c>
      <c r="BG938" s="123">
        <f t="shared" si="1148"/>
        <v>0</v>
      </c>
      <c r="BH938" s="123">
        <f t="shared" si="1148"/>
        <v>0</v>
      </c>
      <c r="BI938" s="123">
        <f t="shared" si="1148"/>
        <v>0</v>
      </c>
      <c r="BJ938" s="123">
        <f t="shared" si="1148"/>
        <v>0</v>
      </c>
      <c r="BK938" s="123">
        <f t="shared" si="1148"/>
        <v>0</v>
      </c>
      <c r="BL938" s="123">
        <f t="shared" si="1148"/>
        <v>0</v>
      </c>
      <c r="BM938" s="123">
        <f t="shared" si="1148"/>
        <v>0</v>
      </c>
      <c r="BN938" s="159">
        <f t="shared" si="1148"/>
        <v>0</v>
      </c>
    </row>
    <row r="939" spans="32:66" ht="20.100000000000001" customHeight="1">
      <c r="AF939" s="1551"/>
      <c r="AG939" s="222" t="s">
        <v>1191</v>
      </c>
      <c r="AH939" s="1496" t="s">
        <v>1201</v>
      </c>
      <c r="AI939" s="1464"/>
      <c r="AJ939" s="1465"/>
      <c r="AK939" s="180">
        <v>0</v>
      </c>
      <c r="AL939" s="123">
        <f>IF($A$135=1,-AL804,0)</f>
        <v>0</v>
      </c>
      <c r="AM939" s="123">
        <f t="shared" ref="AM939:BN939" si="1149">IF($A$135=1,-AM804,0)</f>
        <v>0</v>
      </c>
      <c r="AN939" s="123">
        <f t="shared" si="1149"/>
        <v>0</v>
      </c>
      <c r="AO939" s="123">
        <f t="shared" si="1149"/>
        <v>0</v>
      </c>
      <c r="AP939" s="123">
        <f t="shared" si="1149"/>
        <v>0</v>
      </c>
      <c r="AQ939" s="123">
        <f t="shared" si="1149"/>
        <v>0</v>
      </c>
      <c r="AR939" s="123">
        <f t="shared" si="1149"/>
        <v>0</v>
      </c>
      <c r="AS939" s="123">
        <f t="shared" si="1149"/>
        <v>0</v>
      </c>
      <c r="AT939" s="123">
        <f t="shared" si="1149"/>
        <v>0</v>
      </c>
      <c r="AU939" s="123">
        <f t="shared" si="1149"/>
        <v>0</v>
      </c>
      <c r="AV939" s="123">
        <f t="shared" si="1149"/>
        <v>0</v>
      </c>
      <c r="AW939" s="123">
        <f t="shared" si="1149"/>
        <v>0</v>
      </c>
      <c r="AX939" s="123">
        <f t="shared" si="1149"/>
        <v>0</v>
      </c>
      <c r="AY939" s="123">
        <f t="shared" si="1149"/>
        <v>0</v>
      </c>
      <c r="AZ939" s="123">
        <f t="shared" si="1149"/>
        <v>0</v>
      </c>
      <c r="BA939" s="123">
        <f t="shared" si="1149"/>
        <v>0</v>
      </c>
      <c r="BB939" s="123">
        <f t="shared" si="1149"/>
        <v>0</v>
      </c>
      <c r="BC939" s="123">
        <f t="shared" si="1149"/>
        <v>0</v>
      </c>
      <c r="BD939" s="123">
        <f t="shared" si="1149"/>
        <v>0</v>
      </c>
      <c r="BE939" s="123">
        <f t="shared" si="1149"/>
        <v>0</v>
      </c>
      <c r="BF939" s="123">
        <f t="shared" si="1149"/>
        <v>0</v>
      </c>
      <c r="BG939" s="123">
        <f t="shared" si="1149"/>
        <v>0</v>
      </c>
      <c r="BH939" s="123">
        <f t="shared" si="1149"/>
        <v>0</v>
      </c>
      <c r="BI939" s="123">
        <f t="shared" si="1149"/>
        <v>0</v>
      </c>
      <c r="BJ939" s="123">
        <f t="shared" si="1149"/>
        <v>0</v>
      </c>
      <c r="BK939" s="123">
        <f t="shared" si="1149"/>
        <v>0</v>
      </c>
      <c r="BL939" s="123">
        <f t="shared" si="1149"/>
        <v>0</v>
      </c>
      <c r="BM939" s="123">
        <f t="shared" si="1149"/>
        <v>0</v>
      </c>
      <c r="BN939" s="159">
        <f t="shared" si="1149"/>
        <v>0</v>
      </c>
    </row>
    <row r="940" spans="32:66" ht="20.100000000000001" customHeight="1">
      <c r="AF940" s="1551"/>
      <c r="AG940" s="222" t="s">
        <v>1191</v>
      </c>
      <c r="AH940" s="1496" t="s">
        <v>1202</v>
      </c>
      <c r="AI940" s="1464"/>
      <c r="AJ940" s="1465"/>
      <c r="AK940" s="180">
        <v>0</v>
      </c>
      <c r="AL940" s="123">
        <f>IF($A$136=1,-AL815,0)</f>
        <v>0</v>
      </c>
      <c r="AM940" s="123">
        <f t="shared" ref="AM940:BN940" si="1150">IF($A$136=1,-AM815,0)</f>
        <v>0</v>
      </c>
      <c r="AN940" s="123">
        <f t="shared" si="1150"/>
        <v>0</v>
      </c>
      <c r="AO940" s="123">
        <f t="shared" si="1150"/>
        <v>0</v>
      </c>
      <c r="AP940" s="123">
        <f t="shared" si="1150"/>
        <v>0</v>
      </c>
      <c r="AQ940" s="123">
        <f t="shared" si="1150"/>
        <v>0</v>
      </c>
      <c r="AR940" s="123">
        <f t="shared" si="1150"/>
        <v>0</v>
      </c>
      <c r="AS940" s="123">
        <f t="shared" si="1150"/>
        <v>0</v>
      </c>
      <c r="AT940" s="123">
        <f t="shared" si="1150"/>
        <v>0</v>
      </c>
      <c r="AU940" s="123">
        <f t="shared" si="1150"/>
        <v>0</v>
      </c>
      <c r="AV940" s="123">
        <f t="shared" si="1150"/>
        <v>0</v>
      </c>
      <c r="AW940" s="123">
        <f t="shared" si="1150"/>
        <v>0</v>
      </c>
      <c r="AX940" s="123">
        <f t="shared" si="1150"/>
        <v>0</v>
      </c>
      <c r="AY940" s="123">
        <f t="shared" si="1150"/>
        <v>0</v>
      </c>
      <c r="AZ940" s="123">
        <f t="shared" si="1150"/>
        <v>0</v>
      </c>
      <c r="BA940" s="123">
        <f t="shared" si="1150"/>
        <v>0</v>
      </c>
      <c r="BB940" s="123">
        <f t="shared" si="1150"/>
        <v>0</v>
      </c>
      <c r="BC940" s="123">
        <f t="shared" si="1150"/>
        <v>0</v>
      </c>
      <c r="BD940" s="123">
        <f t="shared" si="1150"/>
        <v>0</v>
      </c>
      <c r="BE940" s="123">
        <f t="shared" si="1150"/>
        <v>0</v>
      </c>
      <c r="BF940" s="123">
        <f t="shared" si="1150"/>
        <v>0</v>
      </c>
      <c r="BG940" s="123">
        <f t="shared" si="1150"/>
        <v>0</v>
      </c>
      <c r="BH940" s="123">
        <f t="shared" si="1150"/>
        <v>0</v>
      </c>
      <c r="BI940" s="123">
        <f t="shared" si="1150"/>
        <v>0</v>
      </c>
      <c r="BJ940" s="123">
        <f t="shared" si="1150"/>
        <v>0</v>
      </c>
      <c r="BK940" s="123">
        <f t="shared" si="1150"/>
        <v>0</v>
      </c>
      <c r="BL940" s="123">
        <f t="shared" si="1150"/>
        <v>0</v>
      </c>
      <c r="BM940" s="123">
        <f t="shared" si="1150"/>
        <v>0</v>
      </c>
      <c r="BN940" s="159">
        <f t="shared" si="1150"/>
        <v>0</v>
      </c>
    </row>
    <row r="941" spans="32:66" ht="20.100000000000001" customHeight="1">
      <c r="AF941" s="1551"/>
      <c r="AG941" s="222" t="s">
        <v>1191</v>
      </c>
      <c r="AH941" s="1496" t="s">
        <v>1203</v>
      </c>
      <c r="AI941" s="1464"/>
      <c r="AJ941" s="1465"/>
      <c r="AK941" s="180">
        <v>0</v>
      </c>
      <c r="AL941" s="123">
        <f>IF($A$137=1,-AL826,0)</f>
        <v>0</v>
      </c>
      <c r="AM941" s="123">
        <f t="shared" ref="AM941:BN941" si="1151">IF($A$137=1,-AM826,0)</f>
        <v>0</v>
      </c>
      <c r="AN941" s="123">
        <f t="shared" si="1151"/>
        <v>0</v>
      </c>
      <c r="AO941" s="123">
        <f t="shared" si="1151"/>
        <v>0</v>
      </c>
      <c r="AP941" s="123">
        <f t="shared" si="1151"/>
        <v>0</v>
      </c>
      <c r="AQ941" s="123">
        <f t="shared" si="1151"/>
        <v>0</v>
      </c>
      <c r="AR941" s="123">
        <f t="shared" si="1151"/>
        <v>0</v>
      </c>
      <c r="AS941" s="123">
        <f t="shared" si="1151"/>
        <v>0</v>
      </c>
      <c r="AT941" s="123">
        <f t="shared" si="1151"/>
        <v>0</v>
      </c>
      <c r="AU941" s="123">
        <f t="shared" si="1151"/>
        <v>0</v>
      </c>
      <c r="AV941" s="123">
        <f t="shared" si="1151"/>
        <v>0</v>
      </c>
      <c r="AW941" s="123">
        <f t="shared" si="1151"/>
        <v>0</v>
      </c>
      <c r="AX941" s="123">
        <f t="shared" si="1151"/>
        <v>0</v>
      </c>
      <c r="AY941" s="123">
        <f t="shared" si="1151"/>
        <v>0</v>
      </c>
      <c r="AZ941" s="123">
        <f t="shared" si="1151"/>
        <v>0</v>
      </c>
      <c r="BA941" s="123">
        <f t="shared" si="1151"/>
        <v>0</v>
      </c>
      <c r="BB941" s="123">
        <f t="shared" si="1151"/>
        <v>0</v>
      </c>
      <c r="BC941" s="123">
        <f t="shared" si="1151"/>
        <v>0</v>
      </c>
      <c r="BD941" s="123">
        <f t="shared" si="1151"/>
        <v>0</v>
      </c>
      <c r="BE941" s="123">
        <f t="shared" si="1151"/>
        <v>0</v>
      </c>
      <c r="BF941" s="123">
        <f t="shared" si="1151"/>
        <v>0</v>
      </c>
      <c r="BG941" s="123">
        <f t="shared" si="1151"/>
        <v>0</v>
      </c>
      <c r="BH941" s="123">
        <f t="shared" si="1151"/>
        <v>0</v>
      </c>
      <c r="BI941" s="123">
        <f t="shared" si="1151"/>
        <v>0</v>
      </c>
      <c r="BJ941" s="123">
        <f t="shared" si="1151"/>
        <v>0</v>
      </c>
      <c r="BK941" s="123">
        <f t="shared" si="1151"/>
        <v>0</v>
      </c>
      <c r="BL941" s="123">
        <f t="shared" si="1151"/>
        <v>0</v>
      </c>
      <c r="BM941" s="123">
        <f t="shared" si="1151"/>
        <v>0</v>
      </c>
      <c r="BN941" s="159">
        <f t="shared" si="1151"/>
        <v>0</v>
      </c>
    </row>
    <row r="942" spans="32:66" ht="20.100000000000001" customHeight="1">
      <c r="AF942" s="1551"/>
      <c r="AG942" s="222" t="s">
        <v>1191</v>
      </c>
      <c r="AH942" s="1496" t="s">
        <v>1204</v>
      </c>
      <c r="AI942" s="1464"/>
      <c r="AJ942" s="1465"/>
      <c r="AK942" s="180">
        <v>0</v>
      </c>
      <c r="AL942" s="123">
        <f>IF($A$138=1,-AL837,0)</f>
        <v>0</v>
      </c>
      <c r="AM942" s="123">
        <f t="shared" ref="AM942:BN942" si="1152">IF($A$138=1,-AM837,0)</f>
        <v>0</v>
      </c>
      <c r="AN942" s="123">
        <f t="shared" si="1152"/>
        <v>0</v>
      </c>
      <c r="AO942" s="123">
        <f t="shared" si="1152"/>
        <v>0</v>
      </c>
      <c r="AP942" s="123">
        <f t="shared" si="1152"/>
        <v>0</v>
      </c>
      <c r="AQ942" s="123">
        <f t="shared" si="1152"/>
        <v>0</v>
      </c>
      <c r="AR942" s="123">
        <f t="shared" si="1152"/>
        <v>0</v>
      </c>
      <c r="AS942" s="123">
        <f t="shared" si="1152"/>
        <v>0</v>
      </c>
      <c r="AT942" s="123">
        <f t="shared" si="1152"/>
        <v>0</v>
      </c>
      <c r="AU942" s="123">
        <f t="shared" si="1152"/>
        <v>0</v>
      </c>
      <c r="AV942" s="123">
        <f t="shared" si="1152"/>
        <v>0</v>
      </c>
      <c r="AW942" s="123">
        <f t="shared" si="1152"/>
        <v>0</v>
      </c>
      <c r="AX942" s="123">
        <f t="shared" si="1152"/>
        <v>0</v>
      </c>
      <c r="AY942" s="123">
        <f t="shared" si="1152"/>
        <v>0</v>
      </c>
      <c r="AZ942" s="123">
        <f t="shared" si="1152"/>
        <v>0</v>
      </c>
      <c r="BA942" s="123">
        <f t="shared" si="1152"/>
        <v>0</v>
      </c>
      <c r="BB942" s="123">
        <f t="shared" si="1152"/>
        <v>0</v>
      </c>
      <c r="BC942" s="123">
        <f t="shared" si="1152"/>
        <v>0</v>
      </c>
      <c r="BD942" s="123">
        <f t="shared" si="1152"/>
        <v>0</v>
      </c>
      <c r="BE942" s="123">
        <f t="shared" si="1152"/>
        <v>0</v>
      </c>
      <c r="BF942" s="123">
        <f t="shared" si="1152"/>
        <v>0</v>
      </c>
      <c r="BG942" s="123">
        <f t="shared" si="1152"/>
        <v>0</v>
      </c>
      <c r="BH942" s="123">
        <f t="shared" si="1152"/>
        <v>0</v>
      </c>
      <c r="BI942" s="123">
        <f t="shared" si="1152"/>
        <v>0</v>
      </c>
      <c r="BJ942" s="123">
        <f t="shared" si="1152"/>
        <v>0</v>
      </c>
      <c r="BK942" s="123">
        <f t="shared" si="1152"/>
        <v>0</v>
      </c>
      <c r="BL942" s="123">
        <f t="shared" si="1152"/>
        <v>0</v>
      </c>
      <c r="BM942" s="123">
        <f t="shared" si="1152"/>
        <v>0</v>
      </c>
      <c r="BN942" s="159">
        <f t="shared" si="1152"/>
        <v>0</v>
      </c>
    </row>
    <row r="943" spans="32:66" ht="20.100000000000001" customHeight="1">
      <c r="AF943" s="1551"/>
      <c r="AG943" s="222" t="s">
        <v>1191</v>
      </c>
      <c r="AH943" s="1496" t="s">
        <v>1205</v>
      </c>
      <c r="AI943" s="1464"/>
      <c r="AJ943" s="1465"/>
      <c r="AK943" s="180">
        <v>0</v>
      </c>
      <c r="AL943" s="123">
        <f>IF($A$139=1,-AL848,0)</f>
        <v>0</v>
      </c>
      <c r="AM943" s="123">
        <f t="shared" ref="AM943:BN943" si="1153">IF($A$139=1,-AM848,0)</f>
        <v>0</v>
      </c>
      <c r="AN943" s="123">
        <f t="shared" si="1153"/>
        <v>0</v>
      </c>
      <c r="AO943" s="123">
        <f t="shared" si="1153"/>
        <v>0</v>
      </c>
      <c r="AP943" s="123">
        <f t="shared" si="1153"/>
        <v>0</v>
      </c>
      <c r="AQ943" s="123">
        <f t="shared" si="1153"/>
        <v>0</v>
      </c>
      <c r="AR943" s="123">
        <f t="shared" si="1153"/>
        <v>0</v>
      </c>
      <c r="AS943" s="123">
        <f t="shared" si="1153"/>
        <v>0</v>
      </c>
      <c r="AT943" s="123">
        <f t="shared" si="1153"/>
        <v>0</v>
      </c>
      <c r="AU943" s="123">
        <f t="shared" si="1153"/>
        <v>0</v>
      </c>
      <c r="AV943" s="123">
        <f t="shared" si="1153"/>
        <v>0</v>
      </c>
      <c r="AW943" s="123">
        <f t="shared" si="1153"/>
        <v>0</v>
      </c>
      <c r="AX943" s="123">
        <f t="shared" si="1153"/>
        <v>0</v>
      </c>
      <c r="AY943" s="123">
        <f t="shared" si="1153"/>
        <v>0</v>
      </c>
      <c r="AZ943" s="123">
        <f t="shared" si="1153"/>
        <v>0</v>
      </c>
      <c r="BA943" s="123">
        <f t="shared" si="1153"/>
        <v>0</v>
      </c>
      <c r="BB943" s="123">
        <f t="shared" si="1153"/>
        <v>0</v>
      </c>
      <c r="BC943" s="123">
        <f t="shared" si="1153"/>
        <v>0</v>
      </c>
      <c r="BD943" s="123">
        <f t="shared" si="1153"/>
        <v>0</v>
      </c>
      <c r="BE943" s="123">
        <f t="shared" si="1153"/>
        <v>0</v>
      </c>
      <c r="BF943" s="123">
        <f t="shared" si="1153"/>
        <v>0</v>
      </c>
      <c r="BG943" s="123">
        <f t="shared" si="1153"/>
        <v>0</v>
      </c>
      <c r="BH943" s="123">
        <f t="shared" si="1153"/>
        <v>0</v>
      </c>
      <c r="BI943" s="123">
        <f t="shared" si="1153"/>
        <v>0</v>
      </c>
      <c r="BJ943" s="123">
        <f t="shared" si="1153"/>
        <v>0</v>
      </c>
      <c r="BK943" s="123">
        <f t="shared" si="1153"/>
        <v>0</v>
      </c>
      <c r="BL943" s="123">
        <f t="shared" si="1153"/>
        <v>0</v>
      </c>
      <c r="BM943" s="123">
        <f t="shared" si="1153"/>
        <v>0</v>
      </c>
      <c r="BN943" s="159">
        <f t="shared" si="1153"/>
        <v>0</v>
      </c>
    </row>
    <row r="944" spans="32:66" ht="20.100000000000001" customHeight="1">
      <c r="AF944" s="1551"/>
      <c r="AG944" s="222" t="s">
        <v>1191</v>
      </c>
      <c r="AH944" s="1496" t="s">
        <v>1206</v>
      </c>
      <c r="AI944" s="1464"/>
      <c r="AJ944" s="1465"/>
      <c r="AK944" s="180">
        <v>0</v>
      </c>
      <c r="AL944" s="123">
        <f>IF($A$140=1,-AL859,0)</f>
        <v>0</v>
      </c>
      <c r="AM944" s="123">
        <f t="shared" ref="AM944:BN944" si="1154">IF($A$140=1,-AM859,0)</f>
        <v>0</v>
      </c>
      <c r="AN944" s="123">
        <f t="shared" si="1154"/>
        <v>0</v>
      </c>
      <c r="AO944" s="123">
        <f t="shared" si="1154"/>
        <v>0</v>
      </c>
      <c r="AP944" s="123">
        <f t="shared" si="1154"/>
        <v>0</v>
      </c>
      <c r="AQ944" s="123">
        <f t="shared" si="1154"/>
        <v>0</v>
      </c>
      <c r="AR944" s="123">
        <f t="shared" si="1154"/>
        <v>0</v>
      </c>
      <c r="AS944" s="123">
        <f t="shared" si="1154"/>
        <v>0</v>
      </c>
      <c r="AT944" s="123">
        <f t="shared" si="1154"/>
        <v>0</v>
      </c>
      <c r="AU944" s="123">
        <f t="shared" si="1154"/>
        <v>0</v>
      </c>
      <c r="AV944" s="123">
        <f t="shared" si="1154"/>
        <v>0</v>
      </c>
      <c r="AW944" s="123">
        <f t="shared" si="1154"/>
        <v>0</v>
      </c>
      <c r="AX944" s="123">
        <f t="shared" si="1154"/>
        <v>0</v>
      </c>
      <c r="AY944" s="123">
        <f t="shared" si="1154"/>
        <v>0</v>
      </c>
      <c r="AZ944" s="123">
        <f t="shared" si="1154"/>
        <v>0</v>
      </c>
      <c r="BA944" s="123">
        <f t="shared" si="1154"/>
        <v>0</v>
      </c>
      <c r="BB944" s="123">
        <f t="shared" si="1154"/>
        <v>0</v>
      </c>
      <c r="BC944" s="123">
        <f t="shared" si="1154"/>
        <v>0</v>
      </c>
      <c r="BD944" s="123">
        <f t="shared" si="1154"/>
        <v>0</v>
      </c>
      <c r="BE944" s="123">
        <f t="shared" si="1154"/>
        <v>0</v>
      </c>
      <c r="BF944" s="123">
        <f t="shared" si="1154"/>
        <v>0</v>
      </c>
      <c r="BG944" s="123">
        <f t="shared" si="1154"/>
        <v>0</v>
      </c>
      <c r="BH944" s="123">
        <f t="shared" si="1154"/>
        <v>0</v>
      </c>
      <c r="BI944" s="123">
        <f t="shared" si="1154"/>
        <v>0</v>
      </c>
      <c r="BJ944" s="123">
        <f t="shared" si="1154"/>
        <v>0</v>
      </c>
      <c r="BK944" s="123">
        <f t="shared" si="1154"/>
        <v>0</v>
      </c>
      <c r="BL944" s="123">
        <f t="shared" si="1154"/>
        <v>0</v>
      </c>
      <c r="BM944" s="123">
        <f t="shared" si="1154"/>
        <v>0</v>
      </c>
      <c r="BN944" s="159">
        <f t="shared" si="1154"/>
        <v>0</v>
      </c>
    </row>
    <row r="945" spans="32:66" ht="20.100000000000001" customHeight="1">
      <c r="AF945" s="1551"/>
      <c r="AG945" s="222" t="s">
        <v>1192</v>
      </c>
      <c r="AH945" s="1496" t="s">
        <v>1207</v>
      </c>
      <c r="AI945" s="1464"/>
      <c r="AJ945" s="1465"/>
      <c r="AK945" s="180">
        <v>0</v>
      </c>
      <c r="AL945" s="123">
        <f>IF($C$135=1,AL804,0)</f>
        <v>0</v>
      </c>
      <c r="AM945" s="123">
        <f t="shared" ref="AM945:BN945" si="1155">IF($C$135=1,AM804,0)</f>
        <v>0</v>
      </c>
      <c r="AN945" s="123">
        <f t="shared" si="1155"/>
        <v>0</v>
      </c>
      <c r="AO945" s="123">
        <f t="shared" si="1155"/>
        <v>0</v>
      </c>
      <c r="AP945" s="123">
        <f t="shared" si="1155"/>
        <v>0</v>
      </c>
      <c r="AQ945" s="123">
        <f t="shared" si="1155"/>
        <v>0</v>
      </c>
      <c r="AR945" s="123">
        <f t="shared" si="1155"/>
        <v>0</v>
      </c>
      <c r="AS945" s="123">
        <f t="shared" si="1155"/>
        <v>0</v>
      </c>
      <c r="AT945" s="123">
        <f t="shared" si="1155"/>
        <v>0</v>
      </c>
      <c r="AU945" s="123">
        <f t="shared" si="1155"/>
        <v>0</v>
      </c>
      <c r="AV945" s="123">
        <f t="shared" si="1155"/>
        <v>0</v>
      </c>
      <c r="AW945" s="123">
        <f t="shared" si="1155"/>
        <v>0</v>
      </c>
      <c r="AX945" s="123">
        <f t="shared" si="1155"/>
        <v>0</v>
      </c>
      <c r="AY945" s="123">
        <f t="shared" si="1155"/>
        <v>0</v>
      </c>
      <c r="AZ945" s="123">
        <f t="shared" si="1155"/>
        <v>0</v>
      </c>
      <c r="BA945" s="123">
        <f t="shared" si="1155"/>
        <v>0</v>
      </c>
      <c r="BB945" s="123">
        <f t="shared" si="1155"/>
        <v>0</v>
      </c>
      <c r="BC945" s="123">
        <f t="shared" si="1155"/>
        <v>0</v>
      </c>
      <c r="BD945" s="123">
        <f t="shared" si="1155"/>
        <v>0</v>
      </c>
      <c r="BE945" s="123">
        <f t="shared" si="1155"/>
        <v>0</v>
      </c>
      <c r="BF945" s="123">
        <f t="shared" si="1155"/>
        <v>0</v>
      </c>
      <c r="BG945" s="123">
        <f t="shared" si="1155"/>
        <v>0</v>
      </c>
      <c r="BH945" s="123">
        <f t="shared" si="1155"/>
        <v>0</v>
      </c>
      <c r="BI945" s="123">
        <f t="shared" si="1155"/>
        <v>0</v>
      </c>
      <c r="BJ945" s="123">
        <f t="shared" si="1155"/>
        <v>0</v>
      </c>
      <c r="BK945" s="123">
        <f t="shared" si="1155"/>
        <v>0</v>
      </c>
      <c r="BL945" s="123">
        <f t="shared" si="1155"/>
        <v>0</v>
      </c>
      <c r="BM945" s="123">
        <f t="shared" si="1155"/>
        <v>0</v>
      </c>
      <c r="BN945" s="159">
        <f t="shared" si="1155"/>
        <v>0</v>
      </c>
    </row>
    <row r="946" spans="32:66" ht="20.100000000000001" customHeight="1">
      <c r="AF946" s="1551"/>
      <c r="AG946" s="222" t="s">
        <v>1192</v>
      </c>
      <c r="AH946" s="1496" t="s">
        <v>1208</v>
      </c>
      <c r="AI946" s="1464"/>
      <c r="AJ946" s="1465"/>
      <c r="AK946" s="180">
        <v>0</v>
      </c>
      <c r="AL946" s="123">
        <f>IF($C$136=1,AL815,0)</f>
        <v>0</v>
      </c>
      <c r="AM946" s="123">
        <f t="shared" ref="AM946:BN946" si="1156">IF($C$136=1,AM815,0)</f>
        <v>0</v>
      </c>
      <c r="AN946" s="123">
        <f t="shared" si="1156"/>
        <v>0</v>
      </c>
      <c r="AO946" s="123">
        <f t="shared" si="1156"/>
        <v>0</v>
      </c>
      <c r="AP946" s="123">
        <f t="shared" si="1156"/>
        <v>0</v>
      </c>
      <c r="AQ946" s="123">
        <f t="shared" si="1156"/>
        <v>0</v>
      </c>
      <c r="AR946" s="123">
        <f t="shared" si="1156"/>
        <v>0</v>
      </c>
      <c r="AS946" s="123">
        <f t="shared" si="1156"/>
        <v>0</v>
      </c>
      <c r="AT946" s="123">
        <f t="shared" si="1156"/>
        <v>0</v>
      </c>
      <c r="AU946" s="123">
        <f t="shared" si="1156"/>
        <v>0</v>
      </c>
      <c r="AV946" s="123">
        <f t="shared" si="1156"/>
        <v>0</v>
      </c>
      <c r="AW946" s="123">
        <f t="shared" si="1156"/>
        <v>0</v>
      </c>
      <c r="AX946" s="123">
        <f t="shared" si="1156"/>
        <v>0</v>
      </c>
      <c r="AY946" s="123">
        <f t="shared" si="1156"/>
        <v>0</v>
      </c>
      <c r="AZ946" s="123">
        <f t="shared" si="1156"/>
        <v>0</v>
      </c>
      <c r="BA946" s="123">
        <f t="shared" si="1156"/>
        <v>0</v>
      </c>
      <c r="BB946" s="123">
        <f t="shared" si="1156"/>
        <v>0</v>
      </c>
      <c r="BC946" s="123">
        <f t="shared" si="1156"/>
        <v>0</v>
      </c>
      <c r="BD946" s="123">
        <f t="shared" si="1156"/>
        <v>0</v>
      </c>
      <c r="BE946" s="123">
        <f t="shared" si="1156"/>
        <v>0</v>
      </c>
      <c r="BF946" s="123">
        <f t="shared" si="1156"/>
        <v>0</v>
      </c>
      <c r="BG946" s="123">
        <f t="shared" si="1156"/>
        <v>0</v>
      </c>
      <c r="BH946" s="123">
        <f t="shared" si="1156"/>
        <v>0</v>
      </c>
      <c r="BI946" s="123">
        <f t="shared" si="1156"/>
        <v>0</v>
      </c>
      <c r="BJ946" s="123">
        <f t="shared" si="1156"/>
        <v>0</v>
      </c>
      <c r="BK946" s="123">
        <f t="shared" si="1156"/>
        <v>0</v>
      </c>
      <c r="BL946" s="123">
        <f t="shared" si="1156"/>
        <v>0</v>
      </c>
      <c r="BM946" s="123">
        <f t="shared" si="1156"/>
        <v>0</v>
      </c>
      <c r="BN946" s="159">
        <f t="shared" si="1156"/>
        <v>0</v>
      </c>
    </row>
    <row r="947" spans="32:66" ht="20.100000000000001" customHeight="1">
      <c r="AF947" s="1551"/>
      <c r="AG947" s="222" t="s">
        <v>1192</v>
      </c>
      <c r="AH947" s="1496" t="s">
        <v>1209</v>
      </c>
      <c r="AI947" s="1464"/>
      <c r="AJ947" s="1465"/>
      <c r="AK947" s="180">
        <v>0</v>
      </c>
      <c r="AL947" s="123">
        <f>IF($C$137=1,AL826,0)</f>
        <v>0</v>
      </c>
      <c r="AM947" s="123">
        <f t="shared" ref="AM947:BN947" si="1157">IF($C$137=1,AM826,0)</f>
        <v>0</v>
      </c>
      <c r="AN947" s="123">
        <f t="shared" si="1157"/>
        <v>0</v>
      </c>
      <c r="AO947" s="123">
        <f t="shared" si="1157"/>
        <v>0</v>
      </c>
      <c r="AP947" s="123">
        <f t="shared" si="1157"/>
        <v>0</v>
      </c>
      <c r="AQ947" s="123">
        <f t="shared" si="1157"/>
        <v>0</v>
      </c>
      <c r="AR947" s="123">
        <f t="shared" si="1157"/>
        <v>0</v>
      </c>
      <c r="AS947" s="123">
        <f t="shared" si="1157"/>
        <v>0</v>
      </c>
      <c r="AT947" s="123">
        <f t="shared" si="1157"/>
        <v>0</v>
      </c>
      <c r="AU947" s="123">
        <f t="shared" si="1157"/>
        <v>0</v>
      </c>
      <c r="AV947" s="123">
        <f t="shared" si="1157"/>
        <v>0</v>
      </c>
      <c r="AW947" s="123">
        <f t="shared" si="1157"/>
        <v>0</v>
      </c>
      <c r="AX947" s="123">
        <f t="shared" si="1157"/>
        <v>0</v>
      </c>
      <c r="AY947" s="123">
        <f t="shared" si="1157"/>
        <v>0</v>
      </c>
      <c r="AZ947" s="123">
        <f t="shared" si="1157"/>
        <v>0</v>
      </c>
      <c r="BA947" s="123">
        <f t="shared" si="1157"/>
        <v>0</v>
      </c>
      <c r="BB947" s="123">
        <f t="shared" si="1157"/>
        <v>0</v>
      </c>
      <c r="BC947" s="123">
        <f t="shared" si="1157"/>
        <v>0</v>
      </c>
      <c r="BD947" s="123">
        <f t="shared" si="1157"/>
        <v>0</v>
      </c>
      <c r="BE947" s="123">
        <f t="shared" si="1157"/>
        <v>0</v>
      </c>
      <c r="BF947" s="123">
        <f t="shared" si="1157"/>
        <v>0</v>
      </c>
      <c r="BG947" s="123">
        <f t="shared" si="1157"/>
        <v>0</v>
      </c>
      <c r="BH947" s="123">
        <f t="shared" si="1157"/>
        <v>0</v>
      </c>
      <c r="BI947" s="123">
        <f t="shared" si="1157"/>
        <v>0</v>
      </c>
      <c r="BJ947" s="123">
        <f t="shared" si="1157"/>
        <v>0</v>
      </c>
      <c r="BK947" s="123">
        <f t="shared" si="1157"/>
        <v>0</v>
      </c>
      <c r="BL947" s="123">
        <f t="shared" si="1157"/>
        <v>0</v>
      </c>
      <c r="BM947" s="123">
        <f t="shared" si="1157"/>
        <v>0</v>
      </c>
      <c r="BN947" s="159">
        <f t="shared" si="1157"/>
        <v>0</v>
      </c>
    </row>
    <row r="948" spans="32:66" ht="20.100000000000001" customHeight="1">
      <c r="AF948" s="1551"/>
      <c r="AG948" s="222" t="s">
        <v>1192</v>
      </c>
      <c r="AH948" s="1496" t="s">
        <v>1210</v>
      </c>
      <c r="AI948" s="1464"/>
      <c r="AJ948" s="1465"/>
      <c r="AK948" s="180">
        <v>0</v>
      </c>
      <c r="AL948" s="123">
        <f>IF($C$138=1,AL837,0)</f>
        <v>0</v>
      </c>
      <c r="AM948" s="123">
        <f t="shared" ref="AM948:BN948" si="1158">IF($C$138=1,AM837,0)</f>
        <v>0</v>
      </c>
      <c r="AN948" s="123">
        <f t="shared" si="1158"/>
        <v>0</v>
      </c>
      <c r="AO948" s="123">
        <f t="shared" si="1158"/>
        <v>0</v>
      </c>
      <c r="AP948" s="123">
        <f t="shared" si="1158"/>
        <v>0</v>
      </c>
      <c r="AQ948" s="123">
        <f t="shared" si="1158"/>
        <v>0</v>
      </c>
      <c r="AR948" s="123">
        <f t="shared" si="1158"/>
        <v>0</v>
      </c>
      <c r="AS948" s="123">
        <f t="shared" si="1158"/>
        <v>0</v>
      </c>
      <c r="AT948" s="123">
        <f t="shared" si="1158"/>
        <v>0</v>
      </c>
      <c r="AU948" s="123">
        <f t="shared" si="1158"/>
        <v>0</v>
      </c>
      <c r="AV948" s="123">
        <f t="shared" si="1158"/>
        <v>0</v>
      </c>
      <c r="AW948" s="123">
        <f t="shared" si="1158"/>
        <v>0</v>
      </c>
      <c r="AX948" s="123">
        <f t="shared" si="1158"/>
        <v>0</v>
      </c>
      <c r="AY948" s="123">
        <f t="shared" si="1158"/>
        <v>0</v>
      </c>
      <c r="AZ948" s="123">
        <f t="shared" si="1158"/>
        <v>0</v>
      </c>
      <c r="BA948" s="123">
        <f t="shared" si="1158"/>
        <v>0</v>
      </c>
      <c r="BB948" s="123">
        <f t="shared" si="1158"/>
        <v>0</v>
      </c>
      <c r="BC948" s="123">
        <f t="shared" si="1158"/>
        <v>0</v>
      </c>
      <c r="BD948" s="123">
        <f t="shared" si="1158"/>
        <v>0</v>
      </c>
      <c r="BE948" s="123">
        <f t="shared" si="1158"/>
        <v>0</v>
      </c>
      <c r="BF948" s="123">
        <f t="shared" si="1158"/>
        <v>0</v>
      </c>
      <c r="BG948" s="123">
        <f t="shared" si="1158"/>
        <v>0</v>
      </c>
      <c r="BH948" s="123">
        <f t="shared" si="1158"/>
        <v>0</v>
      </c>
      <c r="BI948" s="123">
        <f t="shared" si="1158"/>
        <v>0</v>
      </c>
      <c r="BJ948" s="123">
        <f t="shared" si="1158"/>
        <v>0</v>
      </c>
      <c r="BK948" s="123">
        <f t="shared" si="1158"/>
        <v>0</v>
      </c>
      <c r="BL948" s="123">
        <f t="shared" si="1158"/>
        <v>0</v>
      </c>
      <c r="BM948" s="123">
        <f t="shared" si="1158"/>
        <v>0</v>
      </c>
      <c r="BN948" s="159">
        <f t="shared" si="1158"/>
        <v>0</v>
      </c>
    </row>
    <row r="949" spans="32:66" ht="20.100000000000001" customHeight="1">
      <c r="AF949" s="1551"/>
      <c r="AG949" s="222" t="s">
        <v>1192</v>
      </c>
      <c r="AH949" s="1496" t="s">
        <v>1211</v>
      </c>
      <c r="AI949" s="1464"/>
      <c r="AJ949" s="1465"/>
      <c r="AK949" s="180">
        <v>0</v>
      </c>
      <c r="AL949" s="123">
        <f>IF($C$139=1,AL848,0)</f>
        <v>0</v>
      </c>
      <c r="AM949" s="123">
        <f t="shared" ref="AM949:BN949" si="1159">IF($C$139=1,AM848,0)</f>
        <v>0</v>
      </c>
      <c r="AN949" s="123">
        <f t="shared" si="1159"/>
        <v>0</v>
      </c>
      <c r="AO949" s="123">
        <f t="shared" si="1159"/>
        <v>0</v>
      </c>
      <c r="AP949" s="123">
        <f t="shared" si="1159"/>
        <v>0</v>
      </c>
      <c r="AQ949" s="123">
        <f t="shared" si="1159"/>
        <v>0</v>
      </c>
      <c r="AR949" s="123">
        <f t="shared" si="1159"/>
        <v>0</v>
      </c>
      <c r="AS949" s="123">
        <f t="shared" si="1159"/>
        <v>0</v>
      </c>
      <c r="AT949" s="123">
        <f t="shared" si="1159"/>
        <v>0</v>
      </c>
      <c r="AU949" s="123">
        <f t="shared" si="1159"/>
        <v>0</v>
      </c>
      <c r="AV949" s="123">
        <f t="shared" si="1159"/>
        <v>0</v>
      </c>
      <c r="AW949" s="123">
        <f t="shared" si="1159"/>
        <v>0</v>
      </c>
      <c r="AX949" s="123">
        <f t="shared" si="1159"/>
        <v>0</v>
      </c>
      <c r="AY949" s="123">
        <f t="shared" si="1159"/>
        <v>0</v>
      </c>
      <c r="AZ949" s="123">
        <f t="shared" si="1159"/>
        <v>0</v>
      </c>
      <c r="BA949" s="123">
        <f t="shared" si="1159"/>
        <v>0</v>
      </c>
      <c r="BB949" s="123">
        <f t="shared" si="1159"/>
        <v>0</v>
      </c>
      <c r="BC949" s="123">
        <f t="shared" si="1159"/>
        <v>0</v>
      </c>
      <c r="BD949" s="123">
        <f t="shared" si="1159"/>
        <v>0</v>
      </c>
      <c r="BE949" s="123">
        <f t="shared" si="1159"/>
        <v>0</v>
      </c>
      <c r="BF949" s="123">
        <f t="shared" si="1159"/>
        <v>0</v>
      </c>
      <c r="BG949" s="123">
        <f t="shared" si="1159"/>
        <v>0</v>
      </c>
      <c r="BH949" s="123">
        <f t="shared" si="1159"/>
        <v>0</v>
      </c>
      <c r="BI949" s="123">
        <f t="shared" si="1159"/>
        <v>0</v>
      </c>
      <c r="BJ949" s="123">
        <f t="shared" si="1159"/>
        <v>0</v>
      </c>
      <c r="BK949" s="123">
        <f t="shared" si="1159"/>
        <v>0</v>
      </c>
      <c r="BL949" s="123">
        <f t="shared" si="1159"/>
        <v>0</v>
      </c>
      <c r="BM949" s="123">
        <f t="shared" si="1159"/>
        <v>0</v>
      </c>
      <c r="BN949" s="159">
        <f t="shared" si="1159"/>
        <v>0</v>
      </c>
    </row>
    <row r="950" spans="32:66" ht="20.100000000000001" customHeight="1" thickBot="1">
      <c r="AF950" s="1552"/>
      <c r="AG950" s="223" t="s">
        <v>1192</v>
      </c>
      <c r="AH950" s="1498" t="s">
        <v>1212</v>
      </c>
      <c r="AI950" s="1467"/>
      <c r="AJ950" s="1468"/>
      <c r="AK950" s="224">
        <v>0</v>
      </c>
      <c r="AL950" s="160">
        <f>IF($C$140=1,AL859,0)</f>
        <v>0</v>
      </c>
      <c r="AM950" s="160">
        <f t="shared" ref="AM950:BN950" si="1160">IF($C$140=1,AM859,0)</f>
        <v>0</v>
      </c>
      <c r="AN950" s="160">
        <f t="shared" si="1160"/>
        <v>0</v>
      </c>
      <c r="AO950" s="160">
        <f t="shared" si="1160"/>
        <v>0</v>
      </c>
      <c r="AP950" s="160">
        <f t="shared" si="1160"/>
        <v>0</v>
      </c>
      <c r="AQ950" s="160">
        <f t="shared" si="1160"/>
        <v>0</v>
      </c>
      <c r="AR950" s="160">
        <f t="shared" si="1160"/>
        <v>0</v>
      </c>
      <c r="AS950" s="160">
        <f t="shared" si="1160"/>
        <v>0</v>
      </c>
      <c r="AT950" s="160">
        <f t="shared" si="1160"/>
        <v>0</v>
      </c>
      <c r="AU950" s="160">
        <f t="shared" si="1160"/>
        <v>0</v>
      </c>
      <c r="AV950" s="160">
        <f t="shared" si="1160"/>
        <v>0</v>
      </c>
      <c r="AW950" s="160">
        <f t="shared" si="1160"/>
        <v>0</v>
      </c>
      <c r="AX950" s="160">
        <f t="shared" si="1160"/>
        <v>0</v>
      </c>
      <c r="AY950" s="160">
        <f t="shared" si="1160"/>
        <v>0</v>
      </c>
      <c r="AZ950" s="160">
        <f t="shared" si="1160"/>
        <v>0</v>
      </c>
      <c r="BA950" s="160">
        <f t="shared" si="1160"/>
        <v>0</v>
      </c>
      <c r="BB950" s="160">
        <f t="shared" si="1160"/>
        <v>0</v>
      </c>
      <c r="BC950" s="160">
        <f t="shared" si="1160"/>
        <v>0</v>
      </c>
      <c r="BD950" s="160">
        <f t="shared" si="1160"/>
        <v>0</v>
      </c>
      <c r="BE950" s="160">
        <f t="shared" si="1160"/>
        <v>0</v>
      </c>
      <c r="BF950" s="160">
        <f t="shared" si="1160"/>
        <v>0</v>
      </c>
      <c r="BG950" s="160">
        <f t="shared" si="1160"/>
        <v>0</v>
      </c>
      <c r="BH950" s="160">
        <f t="shared" si="1160"/>
        <v>0</v>
      </c>
      <c r="BI950" s="160">
        <f t="shared" si="1160"/>
        <v>0</v>
      </c>
      <c r="BJ950" s="160">
        <f t="shared" si="1160"/>
        <v>0</v>
      </c>
      <c r="BK950" s="160">
        <f t="shared" si="1160"/>
        <v>0</v>
      </c>
      <c r="BL950" s="160">
        <f t="shared" si="1160"/>
        <v>0</v>
      </c>
      <c r="BM950" s="160">
        <f t="shared" si="1160"/>
        <v>0</v>
      </c>
      <c r="BN950" s="161">
        <f t="shared" si="1160"/>
        <v>0</v>
      </c>
    </row>
    <row r="951" spans="32:66" ht="20.100000000000001" customHeight="1">
      <c r="AF951" s="167"/>
      <c r="AG951" s="1547" t="s">
        <v>1080</v>
      </c>
      <c r="AH951" s="1548"/>
      <c r="AI951" s="1548"/>
      <c r="AJ951" s="1549"/>
      <c r="AK951" s="179">
        <v>0</v>
      </c>
      <c r="AL951" s="162">
        <f>IF(AL929&gt;START!$C$2+2020,SUM(AL930:AL950),0)</f>
        <v>79224.822270316072</v>
      </c>
      <c r="AM951" s="162">
        <f>IF(AM929&gt;START!$C$2+2020,SUM(AM930:AM950),0)</f>
        <v>77228.58022352065</v>
      </c>
      <c r="AN951" s="162">
        <f>IF(AN929&gt;START!$C$2+2020,SUM(AN930:AN950),0)</f>
        <v>75384.052572281667</v>
      </c>
      <c r="AO951" s="162">
        <f>IF(AO929&gt;START!$C$2+2020,SUM(AO930:AO950),0)</f>
        <v>73679.709022536845</v>
      </c>
      <c r="AP951" s="162">
        <f>IF(AP929&gt;START!$C$2+2020,SUM(AP930:AP950),0)</f>
        <v>72104.895582572644</v>
      </c>
      <c r="AQ951" s="162">
        <f>IF(AQ929&gt;START!$C$2+2020,SUM(AQ930:AQ950),0)</f>
        <v>70649.767964045706</v>
      </c>
      <c r="AR951" s="162">
        <f>IF(AR929&gt;START!$C$2+2020,SUM(AR930:AR950),0)</f>
        <v>69305.230044526834</v>
      </c>
      <c r="AS951" s="162">
        <f>IF(AS929&gt;START!$C$2+2020,SUM(AS930:AS950),0)</f>
        <v>68062.877006891373</v>
      </c>
      <c r="AT951" s="162">
        <f>IF(AT929&gt;START!$C$2+2020,SUM(AT930:AT950),0)</f>
        <v>66914.942800116216</v>
      </c>
      <c r="AU951" s="162">
        <f>IF(AU929&gt;START!$C$2+2020,SUM(AU930:AU950),0)</f>
        <v>66007.772688814701</v>
      </c>
      <c r="AV951" s="162">
        <f>IF(AV929&gt;START!$C$2+2020,SUM(AV930:AV950),0)</f>
        <v>65159.568634747775</v>
      </c>
      <c r="AW951" s="162">
        <f>IF(AW929&gt;START!$C$2+2020,SUM(AW930:AW950),0)</f>
        <v>64366.497844195197</v>
      </c>
      <c r="AX951" s="162">
        <f>IF(AX929&gt;START!$C$2+2020,SUM(AX930:AX950),0)</f>
        <v>63624.976655028542</v>
      </c>
      <c r="AY951" s="162">
        <f>IF(AY929&gt;START!$C$2+2020,SUM(AY930:AY950),0)</f>
        <v>62931.654343157716</v>
      </c>
      <c r="AZ951" s="162">
        <f>IF(AZ929&gt;START!$C$2+2020,SUM(AZ930:AZ950),0)</f>
        <v>62283.397981558504</v>
      </c>
      <c r="BA951" s="162">
        <f>IF(BA929&gt;START!$C$2+2020,SUM(BA930:BA950),0)</f>
        <v>61677.278283463223</v>
      </c>
      <c r="BB951" s="162">
        <f>IF(BB929&gt;START!$C$2+2020,SUM(BB930:BB950),0)</f>
        <v>61110.556365744153</v>
      </c>
      <c r="BC951" s="162">
        <f>IF(BC929&gt;START!$C$2+2020,SUM(BC930:BC950),0)</f>
        <v>60580.671372676807</v>
      </c>
      <c r="BD951" s="162">
        <f>IF(BD929&gt;START!$C$2+2020,SUM(BD930:BD950),0)</f>
        <v>60085.228904158852</v>
      </c>
      <c r="BE951" s="162">
        <f>IF(BE929&gt;START!$C$2+2020,SUM(BE930:BE950),0)</f>
        <v>59621.990196094557</v>
      </c>
      <c r="BF951" s="162">
        <f>IF(BF929&gt;START!$C$2+2020,SUM(BF930:BF950),0)</f>
        <v>59188.862004054434</v>
      </c>
      <c r="BG951" s="162">
        <f>IF(BG929&gt;START!$C$2+2020,SUM(BG930:BG950),0)</f>
        <v>58783.887144496926</v>
      </c>
      <c r="BH951" s="162">
        <f>IF(BH929&gt;START!$C$2+2020,SUM(BH930:BH950),0)</f>
        <v>58405.23565081066</v>
      </c>
      <c r="BI951" s="162">
        <f>IF(BI929&gt;START!$C$2+2020,SUM(BI930:BI950),0)</f>
        <v>58051.196504214007</v>
      </c>
      <c r="BJ951" s="162">
        <f>IF(BJ929&gt;START!$C$2+2020,SUM(BJ930:BJ950),0)</f>
        <v>57720.169902146125</v>
      </c>
      <c r="BK951" s="162">
        <f>IF(BK929&gt;START!$C$2+2020,SUM(BK930:BK950),0)</f>
        <v>57410.660029212653</v>
      </c>
      <c r="BL951" s="162">
        <f>IF(BL929&gt;START!$C$2+2020,SUM(BL930:BL950),0)</f>
        <v>57121.268298019859</v>
      </c>
      <c r="BM951" s="162">
        <f>IF(BM929&gt;START!$C$2+2020,SUM(BM930:BM950),0)</f>
        <v>56850.687029354609</v>
      </c>
      <c r="BN951" s="162">
        <f>IF(BN929&gt;START!$C$2+2020,SUM(BN930:BN950),0)</f>
        <v>56597.693543152578</v>
      </c>
    </row>
    <row r="953" spans="32:66" ht="20.100000000000001" customHeight="1">
      <c r="AF953" s="141" t="s">
        <v>1185</v>
      </c>
      <c r="AG953" s="130"/>
      <c r="AH953" s="130"/>
      <c r="AI953" s="130"/>
      <c r="AJ953" s="130"/>
      <c r="AK953" s="130"/>
      <c r="AL953" s="130"/>
      <c r="AM953" s="130"/>
    </row>
    <row r="954" spans="32:66" ht="20.100000000000001" customHeight="1" thickBot="1">
      <c r="AF954" s="142" t="s">
        <v>1187</v>
      </c>
      <c r="AG954" s="143"/>
      <c r="AH954" s="143"/>
      <c r="AI954" s="149"/>
      <c r="AJ954" s="175"/>
      <c r="AK954" s="176">
        <v>2021</v>
      </c>
      <c r="AL954" s="135">
        <v>2022</v>
      </c>
      <c r="AM954" s="135">
        <f>AL954+1</f>
        <v>2023</v>
      </c>
      <c r="AN954" s="135">
        <f t="shared" ref="AN954" si="1161">AM954+1</f>
        <v>2024</v>
      </c>
      <c r="AO954" s="135">
        <f t="shared" ref="AO954" si="1162">AN954+1</f>
        <v>2025</v>
      </c>
      <c r="AP954" s="135">
        <f t="shared" ref="AP954" si="1163">AO954+1</f>
        <v>2026</v>
      </c>
      <c r="AQ954" s="135">
        <f t="shared" ref="AQ954" si="1164">AP954+1</f>
        <v>2027</v>
      </c>
      <c r="AR954" s="135">
        <f t="shared" ref="AR954" si="1165">AQ954+1</f>
        <v>2028</v>
      </c>
      <c r="AS954" s="135">
        <f t="shared" ref="AS954" si="1166">AR954+1</f>
        <v>2029</v>
      </c>
      <c r="AT954" s="135">
        <f t="shared" ref="AT954" si="1167">AS954+1</f>
        <v>2030</v>
      </c>
      <c r="AU954" s="135">
        <f t="shared" ref="AU954" si="1168">AT954+1</f>
        <v>2031</v>
      </c>
      <c r="AV954" s="135">
        <f t="shared" ref="AV954" si="1169">AU954+1</f>
        <v>2032</v>
      </c>
      <c r="AW954" s="135">
        <f t="shared" ref="AW954" si="1170">AV954+1</f>
        <v>2033</v>
      </c>
      <c r="AX954" s="135">
        <f t="shared" ref="AX954" si="1171">AW954+1</f>
        <v>2034</v>
      </c>
      <c r="AY954" s="135">
        <f t="shared" ref="AY954" si="1172">AX954+1</f>
        <v>2035</v>
      </c>
      <c r="AZ954" s="135">
        <f t="shared" ref="AZ954" si="1173">AY954+1</f>
        <v>2036</v>
      </c>
      <c r="BA954" s="135">
        <f t="shared" ref="BA954" si="1174">AZ954+1</f>
        <v>2037</v>
      </c>
      <c r="BB954" s="135">
        <f t="shared" ref="BB954" si="1175">BA954+1</f>
        <v>2038</v>
      </c>
      <c r="BC954" s="135">
        <f t="shared" ref="BC954" si="1176">BB954+1</f>
        <v>2039</v>
      </c>
      <c r="BD954" s="135">
        <f t="shared" ref="BD954" si="1177">BC954+1</f>
        <v>2040</v>
      </c>
      <c r="BE954" s="135">
        <f t="shared" ref="BE954" si="1178">BD954+1</f>
        <v>2041</v>
      </c>
      <c r="BF954" s="135">
        <f t="shared" ref="BF954" si="1179">BE954+1</f>
        <v>2042</v>
      </c>
      <c r="BG954" s="135">
        <f t="shared" ref="BG954" si="1180">BF954+1</f>
        <v>2043</v>
      </c>
      <c r="BH954" s="135">
        <f t="shared" ref="BH954" si="1181">BG954+1</f>
        <v>2044</v>
      </c>
      <c r="BI954" s="135">
        <f t="shared" ref="BI954" si="1182">BH954+1</f>
        <v>2045</v>
      </c>
      <c r="BJ954" s="135">
        <f t="shared" ref="BJ954" si="1183">BI954+1</f>
        <v>2046</v>
      </c>
      <c r="BK954" s="135">
        <f t="shared" ref="BK954" si="1184">BJ954+1</f>
        <v>2047</v>
      </c>
      <c r="BL954" s="135">
        <f t="shared" ref="BL954" si="1185">BK954+1</f>
        <v>2048</v>
      </c>
      <c r="BM954" s="135">
        <f t="shared" ref="BM954" si="1186">BL954+1</f>
        <v>2049</v>
      </c>
      <c r="BN954" s="135">
        <f t="shared" ref="BN954" si="1187">BM954+1</f>
        <v>2050</v>
      </c>
    </row>
    <row r="955" spans="32:66" ht="20.100000000000001" customHeight="1">
      <c r="AF955" s="1550" t="s">
        <v>870</v>
      </c>
      <c r="AG955" s="137" t="s">
        <v>1186</v>
      </c>
      <c r="AH955" s="1553" t="s">
        <v>1216</v>
      </c>
      <c r="AI955" s="1554"/>
      <c r="AJ955" s="1507"/>
      <c r="AK955" s="178">
        <v>0</v>
      </c>
      <c r="AL955" s="163">
        <f t="shared" ref="AL955:BN955" si="1188">AL248</f>
        <v>0</v>
      </c>
      <c r="AM955" s="163">
        <f t="shared" si="1188"/>
        <v>0</v>
      </c>
      <c r="AN955" s="163">
        <f t="shared" si="1188"/>
        <v>0</v>
      </c>
      <c r="AO955" s="163">
        <f t="shared" si="1188"/>
        <v>0</v>
      </c>
      <c r="AP955" s="163">
        <f t="shared" si="1188"/>
        <v>0</v>
      </c>
      <c r="AQ955" s="163">
        <f t="shared" si="1188"/>
        <v>0</v>
      </c>
      <c r="AR955" s="163">
        <f t="shared" si="1188"/>
        <v>0</v>
      </c>
      <c r="AS955" s="163">
        <f t="shared" si="1188"/>
        <v>0</v>
      </c>
      <c r="AT955" s="163">
        <f t="shared" si="1188"/>
        <v>0</v>
      </c>
      <c r="AU955" s="163">
        <f t="shared" si="1188"/>
        <v>0</v>
      </c>
      <c r="AV955" s="163">
        <f t="shared" si="1188"/>
        <v>0</v>
      </c>
      <c r="AW955" s="163">
        <f t="shared" si="1188"/>
        <v>0</v>
      </c>
      <c r="AX955" s="163">
        <f t="shared" si="1188"/>
        <v>0</v>
      </c>
      <c r="AY955" s="163">
        <f t="shared" si="1188"/>
        <v>0</v>
      </c>
      <c r="AZ955" s="163">
        <f t="shared" si="1188"/>
        <v>0</v>
      </c>
      <c r="BA955" s="163">
        <f t="shared" si="1188"/>
        <v>0</v>
      </c>
      <c r="BB955" s="163">
        <f t="shared" si="1188"/>
        <v>0</v>
      </c>
      <c r="BC955" s="163">
        <f t="shared" si="1188"/>
        <v>0</v>
      </c>
      <c r="BD955" s="163">
        <f t="shared" si="1188"/>
        <v>0</v>
      </c>
      <c r="BE955" s="163">
        <f t="shared" si="1188"/>
        <v>0</v>
      </c>
      <c r="BF955" s="163">
        <f t="shared" si="1188"/>
        <v>0</v>
      </c>
      <c r="BG955" s="163">
        <f t="shared" si="1188"/>
        <v>0</v>
      </c>
      <c r="BH955" s="163">
        <f t="shared" si="1188"/>
        <v>0</v>
      </c>
      <c r="BI955" s="163">
        <f t="shared" si="1188"/>
        <v>0</v>
      </c>
      <c r="BJ955" s="163">
        <f t="shared" si="1188"/>
        <v>0</v>
      </c>
      <c r="BK955" s="163">
        <f t="shared" si="1188"/>
        <v>0</v>
      </c>
      <c r="BL955" s="163">
        <f t="shared" si="1188"/>
        <v>0</v>
      </c>
      <c r="BM955" s="163">
        <f t="shared" si="1188"/>
        <v>0</v>
      </c>
      <c r="BN955" s="163">
        <f t="shared" si="1188"/>
        <v>0</v>
      </c>
    </row>
    <row r="956" spans="32:66" ht="20.100000000000001" customHeight="1">
      <c r="AF956" s="1551"/>
      <c r="AG956" s="222" t="s">
        <v>1188</v>
      </c>
      <c r="AH956" s="1496" t="s">
        <v>1193</v>
      </c>
      <c r="AI956" s="1464"/>
      <c r="AJ956" s="1465"/>
      <c r="AK956" s="180">
        <v>0</v>
      </c>
      <c r="AL956" s="123">
        <f t="shared" ref="AL956:BN956" si="1189">AL363</f>
        <v>0</v>
      </c>
      <c r="AM956" s="123">
        <f t="shared" si="1189"/>
        <v>0</v>
      </c>
      <c r="AN956" s="123">
        <f t="shared" si="1189"/>
        <v>0</v>
      </c>
      <c r="AO956" s="123">
        <f t="shared" si="1189"/>
        <v>0</v>
      </c>
      <c r="AP956" s="123">
        <f t="shared" si="1189"/>
        <v>0</v>
      </c>
      <c r="AQ956" s="123">
        <f t="shared" si="1189"/>
        <v>0</v>
      </c>
      <c r="AR956" s="123">
        <f t="shared" si="1189"/>
        <v>0</v>
      </c>
      <c r="AS956" s="123">
        <f t="shared" si="1189"/>
        <v>0</v>
      </c>
      <c r="AT956" s="123">
        <f t="shared" si="1189"/>
        <v>0</v>
      </c>
      <c r="AU956" s="123">
        <f t="shared" si="1189"/>
        <v>0</v>
      </c>
      <c r="AV956" s="123">
        <f t="shared" si="1189"/>
        <v>0</v>
      </c>
      <c r="AW956" s="123">
        <f t="shared" si="1189"/>
        <v>0</v>
      </c>
      <c r="AX956" s="123">
        <f t="shared" si="1189"/>
        <v>0</v>
      </c>
      <c r="AY956" s="123">
        <f t="shared" si="1189"/>
        <v>0</v>
      </c>
      <c r="AZ956" s="123">
        <f t="shared" si="1189"/>
        <v>0</v>
      </c>
      <c r="BA956" s="123">
        <f t="shared" si="1189"/>
        <v>0</v>
      </c>
      <c r="BB956" s="123">
        <f t="shared" si="1189"/>
        <v>0</v>
      </c>
      <c r="BC956" s="123">
        <f t="shared" si="1189"/>
        <v>0</v>
      </c>
      <c r="BD956" s="123">
        <f t="shared" si="1189"/>
        <v>0</v>
      </c>
      <c r="BE956" s="123">
        <f t="shared" si="1189"/>
        <v>0</v>
      </c>
      <c r="BF956" s="123">
        <f t="shared" si="1189"/>
        <v>0</v>
      </c>
      <c r="BG956" s="123">
        <f t="shared" si="1189"/>
        <v>0</v>
      </c>
      <c r="BH956" s="123">
        <f t="shared" si="1189"/>
        <v>0</v>
      </c>
      <c r="BI956" s="123">
        <f t="shared" si="1189"/>
        <v>0</v>
      </c>
      <c r="BJ956" s="123">
        <f t="shared" si="1189"/>
        <v>0</v>
      </c>
      <c r="BK956" s="123">
        <f t="shared" si="1189"/>
        <v>0</v>
      </c>
      <c r="BL956" s="123">
        <f t="shared" si="1189"/>
        <v>0</v>
      </c>
      <c r="BM956" s="123">
        <f t="shared" si="1189"/>
        <v>0</v>
      </c>
      <c r="BN956" s="159">
        <f t="shared" si="1189"/>
        <v>0</v>
      </c>
    </row>
    <row r="957" spans="32:66" ht="20.100000000000001" customHeight="1">
      <c r="AF957" s="1551"/>
      <c r="AG957" s="222" t="s">
        <v>1189</v>
      </c>
      <c r="AH957" s="1496" t="s">
        <v>1194</v>
      </c>
      <c r="AI957" s="1464"/>
      <c r="AJ957" s="1465"/>
      <c r="AK957" s="180">
        <v>0</v>
      </c>
      <c r="AL957" s="123">
        <f t="shared" ref="AL957:BN957" si="1190">AL501</f>
        <v>0</v>
      </c>
      <c r="AM957" s="123">
        <f t="shared" si="1190"/>
        <v>0</v>
      </c>
      <c r="AN957" s="123">
        <f t="shared" si="1190"/>
        <v>0</v>
      </c>
      <c r="AO957" s="123">
        <f t="shared" si="1190"/>
        <v>0</v>
      </c>
      <c r="AP957" s="123">
        <f t="shared" si="1190"/>
        <v>0</v>
      </c>
      <c r="AQ957" s="123">
        <f t="shared" si="1190"/>
        <v>0</v>
      </c>
      <c r="AR957" s="123">
        <f t="shared" si="1190"/>
        <v>0</v>
      </c>
      <c r="AS957" s="123">
        <f t="shared" si="1190"/>
        <v>0</v>
      </c>
      <c r="AT957" s="123">
        <f t="shared" si="1190"/>
        <v>0</v>
      </c>
      <c r="AU957" s="123">
        <f t="shared" si="1190"/>
        <v>0</v>
      </c>
      <c r="AV957" s="123">
        <f t="shared" si="1190"/>
        <v>0</v>
      </c>
      <c r="AW957" s="123">
        <f t="shared" si="1190"/>
        <v>0</v>
      </c>
      <c r="AX957" s="123">
        <f t="shared" si="1190"/>
        <v>0</v>
      </c>
      <c r="AY957" s="123">
        <f t="shared" si="1190"/>
        <v>0</v>
      </c>
      <c r="AZ957" s="123">
        <f t="shared" si="1190"/>
        <v>0</v>
      </c>
      <c r="BA957" s="123">
        <f t="shared" si="1190"/>
        <v>0</v>
      </c>
      <c r="BB957" s="123">
        <f t="shared" si="1190"/>
        <v>0</v>
      </c>
      <c r="BC957" s="123">
        <f t="shared" si="1190"/>
        <v>0</v>
      </c>
      <c r="BD957" s="123">
        <f t="shared" si="1190"/>
        <v>0</v>
      </c>
      <c r="BE957" s="123">
        <f t="shared" si="1190"/>
        <v>0</v>
      </c>
      <c r="BF957" s="123">
        <f t="shared" si="1190"/>
        <v>0</v>
      </c>
      <c r="BG957" s="123">
        <f t="shared" si="1190"/>
        <v>0</v>
      </c>
      <c r="BH957" s="123">
        <f t="shared" si="1190"/>
        <v>0</v>
      </c>
      <c r="BI957" s="123">
        <f t="shared" si="1190"/>
        <v>0</v>
      </c>
      <c r="BJ957" s="123">
        <f t="shared" si="1190"/>
        <v>0</v>
      </c>
      <c r="BK957" s="123">
        <f t="shared" si="1190"/>
        <v>0</v>
      </c>
      <c r="BL957" s="123">
        <f t="shared" si="1190"/>
        <v>0</v>
      </c>
      <c r="BM957" s="123">
        <f t="shared" si="1190"/>
        <v>0</v>
      </c>
      <c r="BN957" s="159">
        <f t="shared" si="1190"/>
        <v>0</v>
      </c>
    </row>
    <row r="958" spans="32:66" ht="20.100000000000001" customHeight="1">
      <c r="AF958" s="1551"/>
      <c r="AG958" s="222" t="s">
        <v>1190</v>
      </c>
      <c r="AH958" s="1496" t="s">
        <v>1195</v>
      </c>
      <c r="AI958" s="1464"/>
      <c r="AJ958" s="1465"/>
      <c r="AK958" s="180">
        <v>0</v>
      </c>
      <c r="AL958" s="123">
        <f t="shared" ref="AL958:BN958" si="1191">IF($A$114=1,-AL656,0)</f>
        <v>0</v>
      </c>
      <c r="AM958" s="123">
        <f t="shared" si="1191"/>
        <v>0</v>
      </c>
      <c r="AN958" s="123">
        <f t="shared" si="1191"/>
        <v>0</v>
      </c>
      <c r="AO958" s="123">
        <f t="shared" si="1191"/>
        <v>0</v>
      </c>
      <c r="AP958" s="123">
        <f t="shared" si="1191"/>
        <v>0</v>
      </c>
      <c r="AQ958" s="123">
        <f t="shared" si="1191"/>
        <v>0</v>
      </c>
      <c r="AR958" s="123">
        <f t="shared" si="1191"/>
        <v>0</v>
      </c>
      <c r="AS958" s="123">
        <f t="shared" si="1191"/>
        <v>0</v>
      </c>
      <c r="AT958" s="123">
        <f t="shared" si="1191"/>
        <v>0</v>
      </c>
      <c r="AU958" s="123">
        <f t="shared" si="1191"/>
        <v>0</v>
      </c>
      <c r="AV958" s="123">
        <f t="shared" si="1191"/>
        <v>0</v>
      </c>
      <c r="AW958" s="123">
        <f t="shared" si="1191"/>
        <v>0</v>
      </c>
      <c r="AX958" s="123">
        <f t="shared" si="1191"/>
        <v>0</v>
      </c>
      <c r="AY958" s="123">
        <f t="shared" si="1191"/>
        <v>0</v>
      </c>
      <c r="AZ958" s="123">
        <f t="shared" si="1191"/>
        <v>0</v>
      </c>
      <c r="BA958" s="123">
        <f t="shared" si="1191"/>
        <v>0</v>
      </c>
      <c r="BB958" s="123">
        <f t="shared" si="1191"/>
        <v>0</v>
      </c>
      <c r="BC958" s="123">
        <f t="shared" si="1191"/>
        <v>0</v>
      </c>
      <c r="BD958" s="123">
        <f t="shared" si="1191"/>
        <v>0</v>
      </c>
      <c r="BE958" s="123">
        <f t="shared" si="1191"/>
        <v>0</v>
      </c>
      <c r="BF958" s="123">
        <f t="shared" si="1191"/>
        <v>0</v>
      </c>
      <c r="BG958" s="123">
        <f t="shared" si="1191"/>
        <v>0</v>
      </c>
      <c r="BH958" s="123">
        <f t="shared" si="1191"/>
        <v>0</v>
      </c>
      <c r="BI958" s="123">
        <f t="shared" si="1191"/>
        <v>0</v>
      </c>
      <c r="BJ958" s="123">
        <f t="shared" si="1191"/>
        <v>0</v>
      </c>
      <c r="BK958" s="123">
        <f t="shared" si="1191"/>
        <v>0</v>
      </c>
      <c r="BL958" s="123">
        <f t="shared" si="1191"/>
        <v>0</v>
      </c>
      <c r="BM958" s="123">
        <f t="shared" si="1191"/>
        <v>0</v>
      </c>
      <c r="BN958" s="159">
        <f t="shared" si="1191"/>
        <v>0</v>
      </c>
    </row>
    <row r="959" spans="32:66" ht="20.100000000000001" customHeight="1">
      <c r="AF959" s="1551"/>
      <c r="AG959" s="222" t="s">
        <v>1190</v>
      </c>
      <c r="AH959" s="1496" t="s">
        <v>1196</v>
      </c>
      <c r="AI959" s="1464"/>
      <c r="AJ959" s="1465"/>
      <c r="AK959" s="180">
        <v>0</v>
      </c>
      <c r="AL959" s="123">
        <f t="shared" ref="AL959:BN959" si="1192">IF($A$115=1,-AL667,0)</f>
        <v>0</v>
      </c>
      <c r="AM959" s="123">
        <f t="shared" si="1192"/>
        <v>0</v>
      </c>
      <c r="AN959" s="123">
        <f t="shared" si="1192"/>
        <v>0</v>
      </c>
      <c r="AO959" s="123">
        <f t="shared" si="1192"/>
        <v>0</v>
      </c>
      <c r="AP959" s="123">
        <f t="shared" si="1192"/>
        <v>0</v>
      </c>
      <c r="AQ959" s="123">
        <f t="shared" si="1192"/>
        <v>0</v>
      </c>
      <c r="AR959" s="123">
        <f t="shared" si="1192"/>
        <v>0</v>
      </c>
      <c r="AS959" s="123">
        <f t="shared" si="1192"/>
        <v>0</v>
      </c>
      <c r="AT959" s="123">
        <f t="shared" si="1192"/>
        <v>0</v>
      </c>
      <c r="AU959" s="123">
        <f t="shared" si="1192"/>
        <v>0</v>
      </c>
      <c r="AV959" s="123">
        <f t="shared" si="1192"/>
        <v>0</v>
      </c>
      <c r="AW959" s="123">
        <f t="shared" si="1192"/>
        <v>0</v>
      </c>
      <c r="AX959" s="123">
        <f t="shared" si="1192"/>
        <v>0</v>
      </c>
      <c r="AY959" s="123">
        <f t="shared" si="1192"/>
        <v>0</v>
      </c>
      <c r="AZ959" s="123">
        <f t="shared" si="1192"/>
        <v>0</v>
      </c>
      <c r="BA959" s="123">
        <f t="shared" si="1192"/>
        <v>0</v>
      </c>
      <c r="BB959" s="123">
        <f t="shared" si="1192"/>
        <v>0</v>
      </c>
      <c r="BC959" s="123">
        <f t="shared" si="1192"/>
        <v>0</v>
      </c>
      <c r="BD959" s="123">
        <f t="shared" si="1192"/>
        <v>0</v>
      </c>
      <c r="BE959" s="123">
        <f t="shared" si="1192"/>
        <v>0</v>
      </c>
      <c r="BF959" s="123">
        <f t="shared" si="1192"/>
        <v>0</v>
      </c>
      <c r="BG959" s="123">
        <f t="shared" si="1192"/>
        <v>0</v>
      </c>
      <c r="BH959" s="123">
        <f t="shared" si="1192"/>
        <v>0</v>
      </c>
      <c r="BI959" s="123">
        <f t="shared" si="1192"/>
        <v>0</v>
      </c>
      <c r="BJ959" s="123">
        <f t="shared" si="1192"/>
        <v>0</v>
      </c>
      <c r="BK959" s="123">
        <f t="shared" si="1192"/>
        <v>0</v>
      </c>
      <c r="BL959" s="123">
        <f t="shared" si="1192"/>
        <v>0</v>
      </c>
      <c r="BM959" s="123">
        <f t="shared" si="1192"/>
        <v>0</v>
      </c>
      <c r="BN959" s="159">
        <f t="shared" si="1192"/>
        <v>0</v>
      </c>
    </row>
    <row r="960" spans="32:66" ht="20.100000000000001" customHeight="1">
      <c r="AF960" s="1551"/>
      <c r="AG960" s="222" t="s">
        <v>1190</v>
      </c>
      <c r="AH960" s="1496" t="s">
        <v>1197</v>
      </c>
      <c r="AI960" s="1464"/>
      <c r="AJ960" s="1465"/>
      <c r="AK960" s="180">
        <v>0</v>
      </c>
      <c r="AL960" s="123">
        <f t="shared" ref="AL960:BN960" si="1193">IF($A$116=1,-AL678,0)</f>
        <v>0</v>
      </c>
      <c r="AM960" s="123">
        <f t="shared" si="1193"/>
        <v>0</v>
      </c>
      <c r="AN960" s="123">
        <f t="shared" si="1193"/>
        <v>0</v>
      </c>
      <c r="AO960" s="123">
        <f t="shared" si="1193"/>
        <v>0</v>
      </c>
      <c r="AP960" s="123">
        <f t="shared" si="1193"/>
        <v>0</v>
      </c>
      <c r="AQ960" s="123">
        <f t="shared" si="1193"/>
        <v>0</v>
      </c>
      <c r="AR960" s="123">
        <f t="shared" si="1193"/>
        <v>0</v>
      </c>
      <c r="AS960" s="123">
        <f t="shared" si="1193"/>
        <v>0</v>
      </c>
      <c r="AT960" s="123">
        <f t="shared" si="1193"/>
        <v>0</v>
      </c>
      <c r="AU960" s="123">
        <f t="shared" si="1193"/>
        <v>0</v>
      </c>
      <c r="AV960" s="123">
        <f t="shared" si="1193"/>
        <v>0</v>
      </c>
      <c r="AW960" s="123">
        <f t="shared" si="1193"/>
        <v>0</v>
      </c>
      <c r="AX960" s="123">
        <f t="shared" si="1193"/>
        <v>0</v>
      </c>
      <c r="AY960" s="123">
        <f t="shared" si="1193"/>
        <v>0</v>
      </c>
      <c r="AZ960" s="123">
        <f t="shared" si="1193"/>
        <v>0</v>
      </c>
      <c r="BA960" s="123">
        <f t="shared" si="1193"/>
        <v>0</v>
      </c>
      <c r="BB960" s="123">
        <f t="shared" si="1193"/>
        <v>0</v>
      </c>
      <c r="BC960" s="123">
        <f t="shared" si="1193"/>
        <v>0</v>
      </c>
      <c r="BD960" s="123">
        <f t="shared" si="1193"/>
        <v>0</v>
      </c>
      <c r="BE960" s="123">
        <f t="shared" si="1193"/>
        <v>0</v>
      </c>
      <c r="BF960" s="123">
        <f t="shared" si="1193"/>
        <v>0</v>
      </c>
      <c r="BG960" s="123">
        <f t="shared" si="1193"/>
        <v>0</v>
      </c>
      <c r="BH960" s="123">
        <f t="shared" si="1193"/>
        <v>0</v>
      </c>
      <c r="BI960" s="123">
        <f t="shared" si="1193"/>
        <v>0</v>
      </c>
      <c r="BJ960" s="123">
        <f t="shared" si="1193"/>
        <v>0</v>
      </c>
      <c r="BK960" s="123">
        <f t="shared" si="1193"/>
        <v>0</v>
      </c>
      <c r="BL960" s="123">
        <f t="shared" si="1193"/>
        <v>0</v>
      </c>
      <c r="BM960" s="123">
        <f t="shared" si="1193"/>
        <v>0</v>
      </c>
      <c r="BN960" s="159">
        <f t="shared" si="1193"/>
        <v>0</v>
      </c>
    </row>
    <row r="961" spans="32:66" ht="20.100000000000001" customHeight="1">
      <c r="AF961" s="1551"/>
      <c r="AG961" s="222" t="s">
        <v>1190</v>
      </c>
      <c r="AH961" s="1496" t="s">
        <v>1198</v>
      </c>
      <c r="AI961" s="1464"/>
      <c r="AJ961" s="1465"/>
      <c r="AK961" s="180">
        <v>0</v>
      </c>
      <c r="AL961" s="123">
        <f>IF($A$117=1,-AL728,0)</f>
        <v>0</v>
      </c>
      <c r="AM961" s="123">
        <f t="shared" ref="AM961:BN961" si="1194">IF($A$117=1,-AM728,0)</f>
        <v>0</v>
      </c>
      <c r="AN961" s="123">
        <f t="shared" si="1194"/>
        <v>0</v>
      </c>
      <c r="AO961" s="123">
        <f t="shared" si="1194"/>
        <v>0</v>
      </c>
      <c r="AP961" s="123">
        <f t="shared" si="1194"/>
        <v>0</v>
      </c>
      <c r="AQ961" s="123">
        <f t="shared" si="1194"/>
        <v>0</v>
      </c>
      <c r="AR961" s="123">
        <f t="shared" si="1194"/>
        <v>0</v>
      </c>
      <c r="AS961" s="123">
        <f t="shared" si="1194"/>
        <v>0</v>
      </c>
      <c r="AT961" s="123">
        <f t="shared" si="1194"/>
        <v>0</v>
      </c>
      <c r="AU961" s="123">
        <f t="shared" si="1194"/>
        <v>0</v>
      </c>
      <c r="AV961" s="123">
        <f t="shared" si="1194"/>
        <v>0</v>
      </c>
      <c r="AW961" s="123">
        <f t="shared" si="1194"/>
        <v>0</v>
      </c>
      <c r="AX961" s="123">
        <f t="shared" si="1194"/>
        <v>0</v>
      </c>
      <c r="AY961" s="123">
        <f t="shared" si="1194"/>
        <v>0</v>
      </c>
      <c r="AZ961" s="123">
        <f t="shared" si="1194"/>
        <v>0</v>
      </c>
      <c r="BA961" s="123">
        <f t="shared" si="1194"/>
        <v>0</v>
      </c>
      <c r="BB961" s="123">
        <f t="shared" si="1194"/>
        <v>0</v>
      </c>
      <c r="BC961" s="123">
        <f t="shared" si="1194"/>
        <v>0</v>
      </c>
      <c r="BD961" s="123">
        <f t="shared" si="1194"/>
        <v>0</v>
      </c>
      <c r="BE961" s="123">
        <f t="shared" si="1194"/>
        <v>0</v>
      </c>
      <c r="BF961" s="123">
        <f t="shared" si="1194"/>
        <v>0</v>
      </c>
      <c r="BG961" s="123">
        <f t="shared" si="1194"/>
        <v>0</v>
      </c>
      <c r="BH961" s="123">
        <f t="shared" si="1194"/>
        <v>0</v>
      </c>
      <c r="BI961" s="123">
        <f t="shared" si="1194"/>
        <v>0</v>
      </c>
      <c r="BJ961" s="123">
        <f t="shared" si="1194"/>
        <v>0</v>
      </c>
      <c r="BK961" s="123">
        <f t="shared" si="1194"/>
        <v>0</v>
      </c>
      <c r="BL961" s="123">
        <f t="shared" si="1194"/>
        <v>0</v>
      </c>
      <c r="BM961" s="123">
        <f t="shared" si="1194"/>
        <v>0</v>
      </c>
      <c r="BN961" s="159">
        <f t="shared" si="1194"/>
        <v>0</v>
      </c>
    </row>
    <row r="962" spans="32:66" ht="20.100000000000001" customHeight="1">
      <c r="AF962" s="1551"/>
      <c r="AG962" s="222" t="s">
        <v>1190</v>
      </c>
      <c r="AH962" s="1496" t="s">
        <v>1199</v>
      </c>
      <c r="AI962" s="1464"/>
      <c r="AJ962" s="1465"/>
      <c r="AK962" s="180">
        <v>0</v>
      </c>
      <c r="AL962" s="123">
        <f>IF($A$118=1,-AL739,0)</f>
        <v>0</v>
      </c>
      <c r="AM962" s="123">
        <f t="shared" ref="AM962:BN962" si="1195">IF($A$118=1,-AM739,0)</f>
        <v>0</v>
      </c>
      <c r="AN962" s="123">
        <f t="shared" si="1195"/>
        <v>0</v>
      </c>
      <c r="AO962" s="123">
        <f t="shared" si="1195"/>
        <v>0</v>
      </c>
      <c r="AP962" s="123">
        <f t="shared" si="1195"/>
        <v>0</v>
      </c>
      <c r="AQ962" s="123">
        <f t="shared" si="1195"/>
        <v>0</v>
      </c>
      <c r="AR962" s="123">
        <f t="shared" si="1195"/>
        <v>0</v>
      </c>
      <c r="AS962" s="123">
        <f t="shared" si="1195"/>
        <v>0</v>
      </c>
      <c r="AT962" s="123">
        <f t="shared" si="1195"/>
        <v>0</v>
      </c>
      <c r="AU962" s="123">
        <f t="shared" si="1195"/>
        <v>0</v>
      </c>
      <c r="AV962" s="123">
        <f t="shared" si="1195"/>
        <v>0</v>
      </c>
      <c r="AW962" s="123">
        <f t="shared" si="1195"/>
        <v>0</v>
      </c>
      <c r="AX962" s="123">
        <f t="shared" si="1195"/>
        <v>0</v>
      </c>
      <c r="AY962" s="123">
        <f t="shared" si="1195"/>
        <v>0</v>
      </c>
      <c r="AZ962" s="123">
        <f t="shared" si="1195"/>
        <v>0</v>
      </c>
      <c r="BA962" s="123">
        <f t="shared" si="1195"/>
        <v>0</v>
      </c>
      <c r="BB962" s="123">
        <f t="shared" si="1195"/>
        <v>0</v>
      </c>
      <c r="BC962" s="123">
        <f t="shared" si="1195"/>
        <v>0</v>
      </c>
      <c r="BD962" s="123">
        <f t="shared" si="1195"/>
        <v>0</v>
      </c>
      <c r="BE962" s="123">
        <f t="shared" si="1195"/>
        <v>0</v>
      </c>
      <c r="BF962" s="123">
        <f t="shared" si="1195"/>
        <v>0</v>
      </c>
      <c r="BG962" s="123">
        <f t="shared" si="1195"/>
        <v>0</v>
      </c>
      <c r="BH962" s="123">
        <f t="shared" si="1195"/>
        <v>0</v>
      </c>
      <c r="BI962" s="123">
        <f t="shared" si="1195"/>
        <v>0</v>
      </c>
      <c r="BJ962" s="123">
        <f t="shared" si="1195"/>
        <v>0</v>
      </c>
      <c r="BK962" s="123">
        <f t="shared" si="1195"/>
        <v>0</v>
      </c>
      <c r="BL962" s="123">
        <f t="shared" si="1195"/>
        <v>0</v>
      </c>
      <c r="BM962" s="123">
        <f t="shared" si="1195"/>
        <v>0</v>
      </c>
      <c r="BN962" s="159">
        <f t="shared" si="1195"/>
        <v>0</v>
      </c>
    </row>
    <row r="963" spans="32:66" ht="20.100000000000001" customHeight="1">
      <c r="AF963" s="1551"/>
      <c r="AG963" s="222" t="s">
        <v>1190</v>
      </c>
      <c r="AH963" s="1496" t="s">
        <v>1200</v>
      </c>
      <c r="AI963" s="1464"/>
      <c r="AJ963" s="1465"/>
      <c r="AK963" s="180">
        <v>0</v>
      </c>
      <c r="AL963" s="123">
        <f>IF($A$119=1,-AL750,0)</f>
        <v>0</v>
      </c>
      <c r="AM963" s="123">
        <f t="shared" ref="AM963:BN963" si="1196">IF($A$119=1,-AM750,0)</f>
        <v>0</v>
      </c>
      <c r="AN963" s="123">
        <f t="shared" si="1196"/>
        <v>0</v>
      </c>
      <c r="AO963" s="123">
        <f t="shared" si="1196"/>
        <v>0</v>
      </c>
      <c r="AP963" s="123">
        <f t="shared" si="1196"/>
        <v>0</v>
      </c>
      <c r="AQ963" s="123">
        <f t="shared" si="1196"/>
        <v>0</v>
      </c>
      <c r="AR963" s="123">
        <f t="shared" si="1196"/>
        <v>0</v>
      </c>
      <c r="AS963" s="123">
        <f t="shared" si="1196"/>
        <v>0</v>
      </c>
      <c r="AT963" s="123">
        <f t="shared" si="1196"/>
        <v>0</v>
      </c>
      <c r="AU963" s="123">
        <f t="shared" si="1196"/>
        <v>0</v>
      </c>
      <c r="AV963" s="123">
        <f t="shared" si="1196"/>
        <v>0</v>
      </c>
      <c r="AW963" s="123">
        <f t="shared" si="1196"/>
        <v>0</v>
      </c>
      <c r="AX963" s="123">
        <f t="shared" si="1196"/>
        <v>0</v>
      </c>
      <c r="AY963" s="123">
        <f t="shared" si="1196"/>
        <v>0</v>
      </c>
      <c r="AZ963" s="123">
        <f t="shared" si="1196"/>
        <v>0</v>
      </c>
      <c r="BA963" s="123">
        <f t="shared" si="1196"/>
        <v>0</v>
      </c>
      <c r="BB963" s="123">
        <f t="shared" si="1196"/>
        <v>0</v>
      </c>
      <c r="BC963" s="123">
        <f t="shared" si="1196"/>
        <v>0</v>
      </c>
      <c r="BD963" s="123">
        <f t="shared" si="1196"/>
        <v>0</v>
      </c>
      <c r="BE963" s="123">
        <f t="shared" si="1196"/>
        <v>0</v>
      </c>
      <c r="BF963" s="123">
        <f t="shared" si="1196"/>
        <v>0</v>
      </c>
      <c r="BG963" s="123">
        <f t="shared" si="1196"/>
        <v>0</v>
      </c>
      <c r="BH963" s="123">
        <f t="shared" si="1196"/>
        <v>0</v>
      </c>
      <c r="BI963" s="123">
        <f t="shared" si="1196"/>
        <v>0</v>
      </c>
      <c r="BJ963" s="123">
        <f t="shared" si="1196"/>
        <v>0</v>
      </c>
      <c r="BK963" s="123">
        <f t="shared" si="1196"/>
        <v>0</v>
      </c>
      <c r="BL963" s="123">
        <f t="shared" si="1196"/>
        <v>0</v>
      </c>
      <c r="BM963" s="123">
        <f t="shared" si="1196"/>
        <v>0</v>
      </c>
      <c r="BN963" s="159">
        <f t="shared" si="1196"/>
        <v>0</v>
      </c>
    </row>
    <row r="964" spans="32:66" ht="20.100000000000001" customHeight="1">
      <c r="AF964" s="1551"/>
      <c r="AG964" s="222" t="s">
        <v>1191</v>
      </c>
      <c r="AH964" s="1496" t="s">
        <v>1201</v>
      </c>
      <c r="AI964" s="1464"/>
      <c r="AJ964" s="1465"/>
      <c r="AK964" s="180">
        <v>0</v>
      </c>
      <c r="AL964" s="123">
        <f>IF($A$135=1,-AL829,0)</f>
        <v>0</v>
      </c>
      <c r="AM964" s="123">
        <f t="shared" ref="AM964:BN964" si="1197">IF($A$135=1,-AM829,0)</f>
        <v>0</v>
      </c>
      <c r="AN964" s="123">
        <f t="shared" si="1197"/>
        <v>0</v>
      </c>
      <c r="AO964" s="123">
        <f t="shared" si="1197"/>
        <v>0</v>
      </c>
      <c r="AP964" s="123">
        <f t="shared" si="1197"/>
        <v>0</v>
      </c>
      <c r="AQ964" s="123">
        <f t="shared" si="1197"/>
        <v>0</v>
      </c>
      <c r="AR964" s="123">
        <f t="shared" si="1197"/>
        <v>0</v>
      </c>
      <c r="AS964" s="123">
        <f t="shared" si="1197"/>
        <v>0</v>
      </c>
      <c r="AT964" s="123">
        <f t="shared" si="1197"/>
        <v>0</v>
      </c>
      <c r="AU964" s="123">
        <f t="shared" si="1197"/>
        <v>0</v>
      </c>
      <c r="AV964" s="123">
        <f t="shared" si="1197"/>
        <v>0</v>
      </c>
      <c r="AW964" s="123">
        <f t="shared" si="1197"/>
        <v>0</v>
      </c>
      <c r="AX964" s="123">
        <f t="shared" si="1197"/>
        <v>0</v>
      </c>
      <c r="AY964" s="123">
        <f t="shared" si="1197"/>
        <v>0</v>
      </c>
      <c r="AZ964" s="123">
        <f t="shared" si="1197"/>
        <v>0</v>
      </c>
      <c r="BA964" s="123">
        <f t="shared" si="1197"/>
        <v>0</v>
      </c>
      <c r="BB964" s="123">
        <f t="shared" si="1197"/>
        <v>0</v>
      </c>
      <c r="BC964" s="123">
        <f t="shared" si="1197"/>
        <v>0</v>
      </c>
      <c r="BD964" s="123">
        <f t="shared" si="1197"/>
        <v>0</v>
      </c>
      <c r="BE964" s="123">
        <f t="shared" si="1197"/>
        <v>0</v>
      </c>
      <c r="BF964" s="123">
        <f t="shared" si="1197"/>
        <v>0</v>
      </c>
      <c r="BG964" s="123">
        <f t="shared" si="1197"/>
        <v>0</v>
      </c>
      <c r="BH964" s="123">
        <f t="shared" si="1197"/>
        <v>0</v>
      </c>
      <c r="BI964" s="123">
        <f t="shared" si="1197"/>
        <v>0</v>
      </c>
      <c r="BJ964" s="123">
        <f t="shared" si="1197"/>
        <v>0</v>
      </c>
      <c r="BK964" s="123">
        <f t="shared" si="1197"/>
        <v>0</v>
      </c>
      <c r="BL964" s="123">
        <f t="shared" si="1197"/>
        <v>0</v>
      </c>
      <c r="BM964" s="123">
        <f t="shared" si="1197"/>
        <v>0</v>
      </c>
      <c r="BN964" s="159">
        <f t="shared" si="1197"/>
        <v>0</v>
      </c>
    </row>
    <row r="965" spans="32:66" ht="20.100000000000001" customHeight="1">
      <c r="AF965" s="1551"/>
      <c r="AG965" s="222" t="s">
        <v>1191</v>
      </c>
      <c r="AH965" s="1496" t="s">
        <v>1202</v>
      </c>
      <c r="AI965" s="1464"/>
      <c r="AJ965" s="1465"/>
      <c r="AK965" s="180">
        <v>0</v>
      </c>
      <c r="AL965" s="123">
        <f>IF($A$136=1,-AL840,0)</f>
        <v>0</v>
      </c>
      <c r="AM965" s="123">
        <f t="shared" ref="AM965:BN965" si="1198">IF($A$136=1,-AM840,0)</f>
        <v>0</v>
      </c>
      <c r="AN965" s="123">
        <f t="shared" si="1198"/>
        <v>0</v>
      </c>
      <c r="AO965" s="123">
        <f t="shared" si="1198"/>
        <v>0</v>
      </c>
      <c r="AP965" s="123">
        <f t="shared" si="1198"/>
        <v>0</v>
      </c>
      <c r="AQ965" s="123">
        <f t="shared" si="1198"/>
        <v>0</v>
      </c>
      <c r="AR965" s="123">
        <f t="shared" si="1198"/>
        <v>0</v>
      </c>
      <c r="AS965" s="123">
        <f t="shared" si="1198"/>
        <v>0</v>
      </c>
      <c r="AT965" s="123">
        <f t="shared" si="1198"/>
        <v>0</v>
      </c>
      <c r="AU965" s="123">
        <f t="shared" si="1198"/>
        <v>0</v>
      </c>
      <c r="AV965" s="123">
        <f t="shared" si="1198"/>
        <v>0</v>
      </c>
      <c r="AW965" s="123">
        <f t="shared" si="1198"/>
        <v>0</v>
      </c>
      <c r="AX965" s="123">
        <f t="shared" si="1198"/>
        <v>0</v>
      </c>
      <c r="AY965" s="123">
        <f t="shared" si="1198"/>
        <v>0</v>
      </c>
      <c r="AZ965" s="123">
        <f t="shared" si="1198"/>
        <v>0</v>
      </c>
      <c r="BA965" s="123">
        <f t="shared" si="1198"/>
        <v>0</v>
      </c>
      <c r="BB965" s="123">
        <f t="shared" si="1198"/>
        <v>0</v>
      </c>
      <c r="BC965" s="123">
        <f t="shared" si="1198"/>
        <v>0</v>
      </c>
      <c r="BD965" s="123">
        <f t="shared" si="1198"/>
        <v>0</v>
      </c>
      <c r="BE965" s="123">
        <f t="shared" si="1198"/>
        <v>0</v>
      </c>
      <c r="BF965" s="123">
        <f t="shared" si="1198"/>
        <v>0</v>
      </c>
      <c r="BG965" s="123">
        <f t="shared" si="1198"/>
        <v>0</v>
      </c>
      <c r="BH965" s="123">
        <f t="shared" si="1198"/>
        <v>0</v>
      </c>
      <c r="BI965" s="123">
        <f t="shared" si="1198"/>
        <v>0</v>
      </c>
      <c r="BJ965" s="123">
        <f t="shared" si="1198"/>
        <v>0</v>
      </c>
      <c r="BK965" s="123">
        <f t="shared" si="1198"/>
        <v>0</v>
      </c>
      <c r="BL965" s="123">
        <f t="shared" si="1198"/>
        <v>0</v>
      </c>
      <c r="BM965" s="123">
        <f t="shared" si="1198"/>
        <v>0</v>
      </c>
      <c r="BN965" s="159">
        <f t="shared" si="1198"/>
        <v>0</v>
      </c>
    </row>
    <row r="966" spans="32:66" ht="20.100000000000001" customHeight="1">
      <c r="AF966" s="1551"/>
      <c r="AG966" s="222" t="s">
        <v>1191</v>
      </c>
      <c r="AH966" s="1496" t="s">
        <v>1203</v>
      </c>
      <c r="AI966" s="1464"/>
      <c r="AJ966" s="1465"/>
      <c r="AK966" s="180">
        <v>0</v>
      </c>
      <c r="AL966" s="123">
        <f>IF($A$137=1,-AL851,0)</f>
        <v>0</v>
      </c>
      <c r="AM966" s="123">
        <f t="shared" ref="AM966:BN966" si="1199">IF($A$137=1,-AM851,0)</f>
        <v>0</v>
      </c>
      <c r="AN966" s="123">
        <f t="shared" si="1199"/>
        <v>0</v>
      </c>
      <c r="AO966" s="123">
        <f t="shared" si="1199"/>
        <v>0</v>
      </c>
      <c r="AP966" s="123">
        <f t="shared" si="1199"/>
        <v>0</v>
      </c>
      <c r="AQ966" s="123">
        <f t="shared" si="1199"/>
        <v>0</v>
      </c>
      <c r="AR966" s="123">
        <f t="shared" si="1199"/>
        <v>0</v>
      </c>
      <c r="AS966" s="123">
        <f t="shared" si="1199"/>
        <v>0</v>
      </c>
      <c r="AT966" s="123">
        <f t="shared" si="1199"/>
        <v>0</v>
      </c>
      <c r="AU966" s="123">
        <f t="shared" si="1199"/>
        <v>0</v>
      </c>
      <c r="AV966" s="123">
        <f t="shared" si="1199"/>
        <v>0</v>
      </c>
      <c r="AW966" s="123">
        <f t="shared" si="1199"/>
        <v>0</v>
      </c>
      <c r="AX966" s="123">
        <f t="shared" si="1199"/>
        <v>0</v>
      </c>
      <c r="AY966" s="123">
        <f t="shared" si="1199"/>
        <v>0</v>
      </c>
      <c r="AZ966" s="123">
        <f t="shared" si="1199"/>
        <v>0</v>
      </c>
      <c r="BA966" s="123">
        <f t="shared" si="1199"/>
        <v>0</v>
      </c>
      <c r="BB966" s="123">
        <f t="shared" si="1199"/>
        <v>0</v>
      </c>
      <c r="BC966" s="123">
        <f t="shared" si="1199"/>
        <v>0</v>
      </c>
      <c r="BD966" s="123">
        <f t="shared" si="1199"/>
        <v>0</v>
      </c>
      <c r="BE966" s="123">
        <f t="shared" si="1199"/>
        <v>0</v>
      </c>
      <c r="BF966" s="123">
        <f t="shared" si="1199"/>
        <v>0</v>
      </c>
      <c r="BG966" s="123">
        <f t="shared" si="1199"/>
        <v>0</v>
      </c>
      <c r="BH966" s="123">
        <f t="shared" si="1199"/>
        <v>0</v>
      </c>
      <c r="BI966" s="123">
        <f t="shared" si="1199"/>
        <v>0</v>
      </c>
      <c r="BJ966" s="123">
        <f t="shared" si="1199"/>
        <v>0</v>
      </c>
      <c r="BK966" s="123">
        <f t="shared" si="1199"/>
        <v>0</v>
      </c>
      <c r="BL966" s="123">
        <f t="shared" si="1199"/>
        <v>0</v>
      </c>
      <c r="BM966" s="123">
        <f t="shared" si="1199"/>
        <v>0</v>
      </c>
      <c r="BN966" s="159">
        <f t="shared" si="1199"/>
        <v>0</v>
      </c>
    </row>
    <row r="967" spans="32:66" ht="20.100000000000001" customHeight="1">
      <c r="AF967" s="1551"/>
      <c r="AG967" s="222" t="s">
        <v>1191</v>
      </c>
      <c r="AH967" s="1496" t="s">
        <v>1204</v>
      </c>
      <c r="AI967" s="1464"/>
      <c r="AJ967" s="1465"/>
      <c r="AK967" s="180">
        <v>0</v>
      </c>
      <c r="AL967" s="123">
        <f>IF($A$138=1,-AL862,0)</f>
        <v>0</v>
      </c>
      <c r="AM967" s="123">
        <f t="shared" ref="AM967:BN967" si="1200">IF($A$138=1,-AM862,0)</f>
        <v>0</v>
      </c>
      <c r="AN967" s="123">
        <f t="shared" si="1200"/>
        <v>0</v>
      </c>
      <c r="AO967" s="123">
        <f t="shared" si="1200"/>
        <v>0</v>
      </c>
      <c r="AP967" s="123">
        <f t="shared" si="1200"/>
        <v>0</v>
      </c>
      <c r="AQ967" s="123">
        <f t="shared" si="1200"/>
        <v>0</v>
      </c>
      <c r="AR967" s="123">
        <f t="shared" si="1200"/>
        <v>0</v>
      </c>
      <c r="AS967" s="123">
        <f t="shared" si="1200"/>
        <v>0</v>
      </c>
      <c r="AT967" s="123">
        <f t="shared" si="1200"/>
        <v>0</v>
      </c>
      <c r="AU967" s="123">
        <f t="shared" si="1200"/>
        <v>0</v>
      </c>
      <c r="AV967" s="123">
        <f t="shared" si="1200"/>
        <v>0</v>
      </c>
      <c r="AW967" s="123">
        <f t="shared" si="1200"/>
        <v>0</v>
      </c>
      <c r="AX967" s="123">
        <f t="shared" si="1200"/>
        <v>0</v>
      </c>
      <c r="AY967" s="123">
        <f t="shared" si="1200"/>
        <v>0</v>
      </c>
      <c r="AZ967" s="123">
        <f t="shared" si="1200"/>
        <v>0</v>
      </c>
      <c r="BA967" s="123">
        <f t="shared" si="1200"/>
        <v>0</v>
      </c>
      <c r="BB967" s="123">
        <f t="shared" si="1200"/>
        <v>0</v>
      </c>
      <c r="BC967" s="123">
        <f t="shared" si="1200"/>
        <v>0</v>
      </c>
      <c r="BD967" s="123">
        <f t="shared" si="1200"/>
        <v>0</v>
      </c>
      <c r="BE967" s="123">
        <f t="shared" si="1200"/>
        <v>0</v>
      </c>
      <c r="BF967" s="123">
        <f t="shared" si="1200"/>
        <v>0</v>
      </c>
      <c r="BG967" s="123">
        <f t="shared" si="1200"/>
        <v>0</v>
      </c>
      <c r="BH967" s="123">
        <f t="shared" si="1200"/>
        <v>0</v>
      </c>
      <c r="BI967" s="123">
        <f t="shared" si="1200"/>
        <v>0</v>
      </c>
      <c r="BJ967" s="123">
        <f t="shared" si="1200"/>
        <v>0</v>
      </c>
      <c r="BK967" s="123">
        <f t="shared" si="1200"/>
        <v>0</v>
      </c>
      <c r="BL967" s="123">
        <f t="shared" si="1200"/>
        <v>0</v>
      </c>
      <c r="BM967" s="123">
        <f t="shared" si="1200"/>
        <v>0</v>
      </c>
      <c r="BN967" s="159">
        <f t="shared" si="1200"/>
        <v>0</v>
      </c>
    </row>
    <row r="968" spans="32:66" ht="20.100000000000001" customHeight="1">
      <c r="AF968" s="1551"/>
      <c r="AG968" s="222" t="s">
        <v>1191</v>
      </c>
      <c r="AH968" s="1496" t="s">
        <v>1205</v>
      </c>
      <c r="AI968" s="1464"/>
      <c r="AJ968" s="1465"/>
      <c r="AK968" s="180">
        <v>0</v>
      </c>
      <c r="AL968" s="123">
        <f>IF($A$139=1,-AL873,0)</f>
        <v>0</v>
      </c>
      <c r="AM968" s="123">
        <f t="shared" ref="AM968:BN968" si="1201">IF($A$139=1,-AM873,0)</f>
        <v>0</v>
      </c>
      <c r="AN968" s="123">
        <f t="shared" si="1201"/>
        <v>0</v>
      </c>
      <c r="AO968" s="123">
        <f t="shared" si="1201"/>
        <v>0</v>
      </c>
      <c r="AP968" s="123">
        <f t="shared" si="1201"/>
        <v>0</v>
      </c>
      <c r="AQ968" s="123">
        <f t="shared" si="1201"/>
        <v>0</v>
      </c>
      <c r="AR968" s="123">
        <f t="shared" si="1201"/>
        <v>0</v>
      </c>
      <c r="AS968" s="123">
        <f t="shared" si="1201"/>
        <v>0</v>
      </c>
      <c r="AT968" s="123">
        <f t="shared" si="1201"/>
        <v>0</v>
      </c>
      <c r="AU968" s="123">
        <f t="shared" si="1201"/>
        <v>0</v>
      </c>
      <c r="AV968" s="123">
        <f t="shared" si="1201"/>
        <v>0</v>
      </c>
      <c r="AW968" s="123">
        <f t="shared" si="1201"/>
        <v>0</v>
      </c>
      <c r="AX968" s="123">
        <f t="shared" si="1201"/>
        <v>0</v>
      </c>
      <c r="AY968" s="123">
        <f t="shared" si="1201"/>
        <v>0</v>
      </c>
      <c r="AZ968" s="123">
        <f t="shared" si="1201"/>
        <v>0</v>
      </c>
      <c r="BA968" s="123">
        <f t="shared" si="1201"/>
        <v>0</v>
      </c>
      <c r="BB968" s="123">
        <f t="shared" si="1201"/>
        <v>0</v>
      </c>
      <c r="BC968" s="123">
        <f t="shared" si="1201"/>
        <v>0</v>
      </c>
      <c r="BD968" s="123">
        <f t="shared" si="1201"/>
        <v>0</v>
      </c>
      <c r="BE968" s="123">
        <f t="shared" si="1201"/>
        <v>0</v>
      </c>
      <c r="BF968" s="123">
        <f t="shared" si="1201"/>
        <v>0</v>
      </c>
      <c r="BG968" s="123">
        <f t="shared" si="1201"/>
        <v>0</v>
      </c>
      <c r="BH968" s="123">
        <f t="shared" si="1201"/>
        <v>0</v>
      </c>
      <c r="BI968" s="123">
        <f t="shared" si="1201"/>
        <v>0</v>
      </c>
      <c r="BJ968" s="123">
        <f t="shared" si="1201"/>
        <v>0</v>
      </c>
      <c r="BK968" s="123">
        <f t="shared" si="1201"/>
        <v>0</v>
      </c>
      <c r="BL968" s="123">
        <f t="shared" si="1201"/>
        <v>0</v>
      </c>
      <c r="BM968" s="123">
        <f t="shared" si="1201"/>
        <v>0</v>
      </c>
      <c r="BN968" s="159">
        <f t="shared" si="1201"/>
        <v>0</v>
      </c>
    </row>
    <row r="969" spans="32:66" ht="20.100000000000001" customHeight="1">
      <c r="AF969" s="1551"/>
      <c r="AG969" s="222" t="s">
        <v>1191</v>
      </c>
      <c r="AH969" s="1496" t="s">
        <v>1206</v>
      </c>
      <c r="AI969" s="1464"/>
      <c r="AJ969" s="1465"/>
      <c r="AK969" s="180">
        <v>0</v>
      </c>
      <c r="AL969" s="123">
        <f>IF($A$140=1,-AL884,0)</f>
        <v>0</v>
      </c>
      <c r="AM969" s="123">
        <f t="shared" ref="AM969:BN969" si="1202">IF($A$140=1,-AM884,0)</f>
        <v>0</v>
      </c>
      <c r="AN969" s="123">
        <f t="shared" si="1202"/>
        <v>0</v>
      </c>
      <c r="AO969" s="123">
        <f t="shared" si="1202"/>
        <v>0</v>
      </c>
      <c r="AP969" s="123">
        <f t="shared" si="1202"/>
        <v>0</v>
      </c>
      <c r="AQ969" s="123">
        <f t="shared" si="1202"/>
        <v>0</v>
      </c>
      <c r="AR969" s="123">
        <f t="shared" si="1202"/>
        <v>0</v>
      </c>
      <c r="AS969" s="123">
        <f t="shared" si="1202"/>
        <v>0</v>
      </c>
      <c r="AT969" s="123">
        <f t="shared" si="1202"/>
        <v>0</v>
      </c>
      <c r="AU969" s="123">
        <f t="shared" si="1202"/>
        <v>0</v>
      </c>
      <c r="AV969" s="123">
        <f t="shared" si="1202"/>
        <v>0</v>
      </c>
      <c r="AW969" s="123">
        <f t="shared" si="1202"/>
        <v>0</v>
      </c>
      <c r="AX969" s="123">
        <f t="shared" si="1202"/>
        <v>0</v>
      </c>
      <c r="AY969" s="123">
        <f t="shared" si="1202"/>
        <v>0</v>
      </c>
      <c r="AZ969" s="123">
        <f t="shared" si="1202"/>
        <v>0</v>
      </c>
      <c r="BA969" s="123">
        <f t="shared" si="1202"/>
        <v>0</v>
      </c>
      <c r="BB969" s="123">
        <f t="shared" si="1202"/>
        <v>0</v>
      </c>
      <c r="BC969" s="123">
        <f t="shared" si="1202"/>
        <v>0</v>
      </c>
      <c r="BD969" s="123">
        <f t="shared" si="1202"/>
        <v>0</v>
      </c>
      <c r="BE969" s="123">
        <f t="shared" si="1202"/>
        <v>0</v>
      </c>
      <c r="BF969" s="123">
        <f t="shared" si="1202"/>
        <v>0</v>
      </c>
      <c r="BG969" s="123">
        <f t="shared" si="1202"/>
        <v>0</v>
      </c>
      <c r="BH969" s="123">
        <f t="shared" si="1202"/>
        <v>0</v>
      </c>
      <c r="BI969" s="123">
        <f t="shared" si="1202"/>
        <v>0</v>
      </c>
      <c r="BJ969" s="123">
        <f t="shared" si="1202"/>
        <v>0</v>
      </c>
      <c r="BK969" s="123">
        <f t="shared" si="1202"/>
        <v>0</v>
      </c>
      <c r="BL969" s="123">
        <f t="shared" si="1202"/>
        <v>0</v>
      </c>
      <c r="BM969" s="123">
        <f t="shared" si="1202"/>
        <v>0</v>
      </c>
      <c r="BN969" s="159">
        <f t="shared" si="1202"/>
        <v>0</v>
      </c>
    </row>
    <row r="970" spans="32:66" ht="20.100000000000001" customHeight="1">
      <c r="AF970" s="1551"/>
      <c r="AG970" s="222" t="s">
        <v>1192</v>
      </c>
      <c r="AH970" s="1496" t="s">
        <v>1207</v>
      </c>
      <c r="AI970" s="1464"/>
      <c r="AJ970" s="1465"/>
      <c r="AK970" s="180">
        <v>0</v>
      </c>
      <c r="AL970" s="123">
        <f>IF($C$135=1,AL829,0)</f>
        <v>0</v>
      </c>
      <c r="AM970" s="123">
        <f t="shared" ref="AM970:BN970" si="1203">IF($C$135=1,AM829,0)</f>
        <v>0</v>
      </c>
      <c r="AN970" s="123">
        <f t="shared" si="1203"/>
        <v>0</v>
      </c>
      <c r="AO970" s="123">
        <f t="shared" si="1203"/>
        <v>0</v>
      </c>
      <c r="AP970" s="123">
        <f t="shared" si="1203"/>
        <v>0</v>
      </c>
      <c r="AQ970" s="123">
        <f t="shared" si="1203"/>
        <v>0</v>
      </c>
      <c r="AR970" s="123">
        <f t="shared" si="1203"/>
        <v>0</v>
      </c>
      <c r="AS970" s="123">
        <f t="shared" si="1203"/>
        <v>0</v>
      </c>
      <c r="AT970" s="123">
        <f t="shared" si="1203"/>
        <v>0</v>
      </c>
      <c r="AU970" s="123">
        <f t="shared" si="1203"/>
        <v>0</v>
      </c>
      <c r="AV970" s="123">
        <f t="shared" si="1203"/>
        <v>0</v>
      </c>
      <c r="AW970" s="123">
        <f t="shared" si="1203"/>
        <v>0</v>
      </c>
      <c r="AX970" s="123">
        <f t="shared" si="1203"/>
        <v>0</v>
      </c>
      <c r="AY970" s="123">
        <f t="shared" si="1203"/>
        <v>0</v>
      </c>
      <c r="AZ970" s="123">
        <f t="shared" si="1203"/>
        <v>0</v>
      </c>
      <c r="BA970" s="123">
        <f t="shared" si="1203"/>
        <v>0</v>
      </c>
      <c r="BB970" s="123">
        <f t="shared" si="1203"/>
        <v>0</v>
      </c>
      <c r="BC970" s="123">
        <f t="shared" si="1203"/>
        <v>0</v>
      </c>
      <c r="BD970" s="123">
        <f t="shared" si="1203"/>
        <v>0</v>
      </c>
      <c r="BE970" s="123">
        <f t="shared" si="1203"/>
        <v>0</v>
      </c>
      <c r="BF970" s="123">
        <f t="shared" si="1203"/>
        <v>0</v>
      </c>
      <c r="BG970" s="123">
        <f t="shared" si="1203"/>
        <v>0</v>
      </c>
      <c r="BH970" s="123">
        <f t="shared" si="1203"/>
        <v>0</v>
      </c>
      <c r="BI970" s="123">
        <f t="shared" si="1203"/>
        <v>0</v>
      </c>
      <c r="BJ970" s="123">
        <f t="shared" si="1203"/>
        <v>0</v>
      </c>
      <c r="BK970" s="123">
        <f t="shared" si="1203"/>
        <v>0</v>
      </c>
      <c r="BL970" s="123">
        <f t="shared" si="1203"/>
        <v>0</v>
      </c>
      <c r="BM970" s="123">
        <f t="shared" si="1203"/>
        <v>0</v>
      </c>
      <c r="BN970" s="159">
        <f t="shared" si="1203"/>
        <v>0</v>
      </c>
    </row>
    <row r="971" spans="32:66" ht="20.100000000000001" customHeight="1">
      <c r="AF971" s="1551"/>
      <c r="AG971" s="222" t="s">
        <v>1192</v>
      </c>
      <c r="AH971" s="1496" t="s">
        <v>1208</v>
      </c>
      <c r="AI971" s="1464"/>
      <c r="AJ971" s="1465"/>
      <c r="AK971" s="180">
        <v>0</v>
      </c>
      <c r="AL971" s="123">
        <f>IF($C$136=1,AL840,0)</f>
        <v>0</v>
      </c>
      <c r="AM971" s="123">
        <f t="shared" ref="AM971:BN971" si="1204">IF($C$136=1,AM840,0)</f>
        <v>0</v>
      </c>
      <c r="AN971" s="123">
        <f t="shared" si="1204"/>
        <v>0</v>
      </c>
      <c r="AO971" s="123">
        <f t="shared" si="1204"/>
        <v>0</v>
      </c>
      <c r="AP971" s="123">
        <f t="shared" si="1204"/>
        <v>0</v>
      </c>
      <c r="AQ971" s="123">
        <f t="shared" si="1204"/>
        <v>0</v>
      </c>
      <c r="AR971" s="123">
        <f t="shared" si="1204"/>
        <v>0</v>
      </c>
      <c r="AS971" s="123">
        <f t="shared" si="1204"/>
        <v>0</v>
      </c>
      <c r="AT971" s="123">
        <f t="shared" si="1204"/>
        <v>0</v>
      </c>
      <c r="AU971" s="123">
        <f t="shared" si="1204"/>
        <v>0</v>
      </c>
      <c r="AV971" s="123">
        <f t="shared" si="1204"/>
        <v>0</v>
      </c>
      <c r="AW971" s="123">
        <f t="shared" si="1204"/>
        <v>0</v>
      </c>
      <c r="AX971" s="123">
        <f t="shared" si="1204"/>
        <v>0</v>
      </c>
      <c r="AY971" s="123">
        <f t="shared" si="1204"/>
        <v>0</v>
      </c>
      <c r="AZ971" s="123">
        <f t="shared" si="1204"/>
        <v>0</v>
      </c>
      <c r="BA971" s="123">
        <f t="shared" si="1204"/>
        <v>0</v>
      </c>
      <c r="BB971" s="123">
        <f t="shared" si="1204"/>
        <v>0</v>
      </c>
      <c r="BC971" s="123">
        <f t="shared" si="1204"/>
        <v>0</v>
      </c>
      <c r="BD971" s="123">
        <f t="shared" si="1204"/>
        <v>0</v>
      </c>
      <c r="BE971" s="123">
        <f t="shared" si="1204"/>
        <v>0</v>
      </c>
      <c r="BF971" s="123">
        <f t="shared" si="1204"/>
        <v>0</v>
      </c>
      <c r="BG971" s="123">
        <f t="shared" si="1204"/>
        <v>0</v>
      </c>
      <c r="BH971" s="123">
        <f t="shared" si="1204"/>
        <v>0</v>
      </c>
      <c r="BI971" s="123">
        <f t="shared" si="1204"/>
        <v>0</v>
      </c>
      <c r="BJ971" s="123">
        <f t="shared" si="1204"/>
        <v>0</v>
      </c>
      <c r="BK971" s="123">
        <f t="shared" si="1204"/>
        <v>0</v>
      </c>
      <c r="BL971" s="123">
        <f t="shared" si="1204"/>
        <v>0</v>
      </c>
      <c r="BM971" s="123">
        <f t="shared" si="1204"/>
        <v>0</v>
      </c>
      <c r="BN971" s="159">
        <f t="shared" si="1204"/>
        <v>0</v>
      </c>
    </row>
    <row r="972" spans="32:66" ht="20.100000000000001" customHeight="1">
      <c r="AF972" s="1551"/>
      <c r="AG972" s="222" t="s">
        <v>1192</v>
      </c>
      <c r="AH972" s="1496" t="s">
        <v>1209</v>
      </c>
      <c r="AI972" s="1464"/>
      <c r="AJ972" s="1465"/>
      <c r="AK972" s="180">
        <v>0</v>
      </c>
      <c r="AL972" s="123">
        <f>IF($C$137=1,AL851,0)</f>
        <v>0</v>
      </c>
      <c r="AM972" s="123">
        <f t="shared" ref="AM972:BN972" si="1205">IF($C$137=1,AM851,0)</f>
        <v>0</v>
      </c>
      <c r="AN972" s="123">
        <f t="shared" si="1205"/>
        <v>0</v>
      </c>
      <c r="AO972" s="123">
        <f t="shared" si="1205"/>
        <v>0</v>
      </c>
      <c r="AP972" s="123">
        <f t="shared" si="1205"/>
        <v>0</v>
      </c>
      <c r="AQ972" s="123">
        <f t="shared" si="1205"/>
        <v>0</v>
      </c>
      <c r="AR972" s="123">
        <f t="shared" si="1205"/>
        <v>0</v>
      </c>
      <c r="AS972" s="123">
        <f t="shared" si="1205"/>
        <v>0</v>
      </c>
      <c r="AT972" s="123">
        <f t="shared" si="1205"/>
        <v>0</v>
      </c>
      <c r="AU972" s="123">
        <f t="shared" si="1205"/>
        <v>0</v>
      </c>
      <c r="AV972" s="123">
        <f t="shared" si="1205"/>
        <v>0</v>
      </c>
      <c r="AW972" s="123">
        <f t="shared" si="1205"/>
        <v>0</v>
      </c>
      <c r="AX972" s="123">
        <f t="shared" si="1205"/>
        <v>0</v>
      </c>
      <c r="AY972" s="123">
        <f t="shared" si="1205"/>
        <v>0</v>
      </c>
      <c r="AZ972" s="123">
        <f t="shared" si="1205"/>
        <v>0</v>
      </c>
      <c r="BA972" s="123">
        <f t="shared" si="1205"/>
        <v>0</v>
      </c>
      <c r="BB972" s="123">
        <f t="shared" si="1205"/>
        <v>0</v>
      </c>
      <c r="BC972" s="123">
        <f t="shared" si="1205"/>
        <v>0</v>
      </c>
      <c r="BD972" s="123">
        <f t="shared" si="1205"/>
        <v>0</v>
      </c>
      <c r="BE972" s="123">
        <f t="shared" si="1205"/>
        <v>0</v>
      </c>
      <c r="BF972" s="123">
        <f t="shared" si="1205"/>
        <v>0</v>
      </c>
      <c r="BG972" s="123">
        <f t="shared" si="1205"/>
        <v>0</v>
      </c>
      <c r="BH972" s="123">
        <f t="shared" si="1205"/>
        <v>0</v>
      </c>
      <c r="BI972" s="123">
        <f t="shared" si="1205"/>
        <v>0</v>
      </c>
      <c r="BJ972" s="123">
        <f t="shared" si="1205"/>
        <v>0</v>
      </c>
      <c r="BK972" s="123">
        <f t="shared" si="1205"/>
        <v>0</v>
      </c>
      <c r="BL972" s="123">
        <f t="shared" si="1205"/>
        <v>0</v>
      </c>
      <c r="BM972" s="123">
        <f t="shared" si="1205"/>
        <v>0</v>
      </c>
      <c r="BN972" s="159">
        <f t="shared" si="1205"/>
        <v>0</v>
      </c>
    </row>
    <row r="973" spans="32:66" ht="20.100000000000001" customHeight="1">
      <c r="AF973" s="1551"/>
      <c r="AG973" s="222" t="s">
        <v>1192</v>
      </c>
      <c r="AH973" s="1496" t="s">
        <v>1210</v>
      </c>
      <c r="AI973" s="1464"/>
      <c r="AJ973" s="1465"/>
      <c r="AK973" s="180">
        <v>0</v>
      </c>
      <c r="AL973" s="123">
        <f>IF($C$138=1,AL862,0)</f>
        <v>0</v>
      </c>
      <c r="AM973" s="123">
        <f t="shared" ref="AM973:BN973" si="1206">IF($C$138=1,AM862,0)</f>
        <v>0</v>
      </c>
      <c r="AN973" s="123">
        <f t="shared" si="1206"/>
        <v>0</v>
      </c>
      <c r="AO973" s="123">
        <f t="shared" si="1206"/>
        <v>0</v>
      </c>
      <c r="AP973" s="123">
        <f t="shared" si="1206"/>
        <v>0</v>
      </c>
      <c r="AQ973" s="123">
        <f t="shared" si="1206"/>
        <v>0</v>
      </c>
      <c r="AR973" s="123">
        <f t="shared" si="1206"/>
        <v>0</v>
      </c>
      <c r="AS973" s="123">
        <f t="shared" si="1206"/>
        <v>0</v>
      </c>
      <c r="AT973" s="123">
        <f t="shared" si="1206"/>
        <v>0</v>
      </c>
      <c r="AU973" s="123">
        <f t="shared" si="1206"/>
        <v>0</v>
      </c>
      <c r="AV973" s="123">
        <f t="shared" si="1206"/>
        <v>0</v>
      </c>
      <c r="AW973" s="123">
        <f t="shared" si="1206"/>
        <v>0</v>
      </c>
      <c r="AX973" s="123">
        <f t="shared" si="1206"/>
        <v>0</v>
      </c>
      <c r="AY973" s="123">
        <f t="shared" si="1206"/>
        <v>0</v>
      </c>
      <c r="AZ973" s="123">
        <f t="shared" si="1206"/>
        <v>0</v>
      </c>
      <c r="BA973" s="123">
        <f t="shared" si="1206"/>
        <v>0</v>
      </c>
      <c r="BB973" s="123">
        <f t="shared" si="1206"/>
        <v>0</v>
      </c>
      <c r="BC973" s="123">
        <f t="shared" si="1206"/>
        <v>0</v>
      </c>
      <c r="BD973" s="123">
        <f t="shared" si="1206"/>
        <v>0</v>
      </c>
      <c r="BE973" s="123">
        <f t="shared" si="1206"/>
        <v>0</v>
      </c>
      <c r="BF973" s="123">
        <f t="shared" si="1206"/>
        <v>0</v>
      </c>
      <c r="BG973" s="123">
        <f t="shared" si="1206"/>
        <v>0</v>
      </c>
      <c r="BH973" s="123">
        <f t="shared" si="1206"/>
        <v>0</v>
      </c>
      <c r="BI973" s="123">
        <f t="shared" si="1206"/>
        <v>0</v>
      </c>
      <c r="BJ973" s="123">
        <f t="shared" si="1206"/>
        <v>0</v>
      </c>
      <c r="BK973" s="123">
        <f t="shared" si="1206"/>
        <v>0</v>
      </c>
      <c r="BL973" s="123">
        <f t="shared" si="1206"/>
        <v>0</v>
      </c>
      <c r="BM973" s="123">
        <f t="shared" si="1206"/>
        <v>0</v>
      </c>
      <c r="BN973" s="159">
        <f t="shared" si="1206"/>
        <v>0</v>
      </c>
    </row>
    <row r="974" spans="32:66" ht="20.100000000000001" customHeight="1">
      <c r="AF974" s="1551"/>
      <c r="AG974" s="222" t="s">
        <v>1192</v>
      </c>
      <c r="AH974" s="1496" t="s">
        <v>1211</v>
      </c>
      <c r="AI974" s="1464"/>
      <c r="AJ974" s="1465"/>
      <c r="AK974" s="180">
        <v>0</v>
      </c>
      <c r="AL974" s="123">
        <f>IF($C$139=1,AL873,0)</f>
        <v>0</v>
      </c>
      <c r="AM974" s="123">
        <f t="shared" ref="AM974:BN974" si="1207">IF($C$139=1,AM873,0)</f>
        <v>0</v>
      </c>
      <c r="AN974" s="123">
        <f t="shared" si="1207"/>
        <v>0</v>
      </c>
      <c r="AO974" s="123">
        <f t="shared" si="1207"/>
        <v>0</v>
      </c>
      <c r="AP974" s="123">
        <f t="shared" si="1207"/>
        <v>0</v>
      </c>
      <c r="AQ974" s="123">
        <f t="shared" si="1207"/>
        <v>0</v>
      </c>
      <c r="AR974" s="123">
        <f t="shared" si="1207"/>
        <v>0</v>
      </c>
      <c r="AS974" s="123">
        <f t="shared" si="1207"/>
        <v>0</v>
      </c>
      <c r="AT974" s="123">
        <f t="shared" si="1207"/>
        <v>0</v>
      </c>
      <c r="AU974" s="123">
        <f t="shared" si="1207"/>
        <v>0</v>
      </c>
      <c r="AV974" s="123">
        <f t="shared" si="1207"/>
        <v>0</v>
      </c>
      <c r="AW974" s="123">
        <f t="shared" si="1207"/>
        <v>0</v>
      </c>
      <c r="AX974" s="123">
        <f t="shared" si="1207"/>
        <v>0</v>
      </c>
      <c r="AY974" s="123">
        <f t="shared" si="1207"/>
        <v>0</v>
      </c>
      <c r="AZ974" s="123">
        <f t="shared" si="1207"/>
        <v>0</v>
      </c>
      <c r="BA974" s="123">
        <f t="shared" si="1207"/>
        <v>0</v>
      </c>
      <c r="BB974" s="123">
        <f t="shared" si="1207"/>
        <v>0</v>
      </c>
      <c r="BC974" s="123">
        <f t="shared" si="1207"/>
        <v>0</v>
      </c>
      <c r="BD974" s="123">
        <f t="shared" si="1207"/>
        <v>0</v>
      </c>
      <c r="BE974" s="123">
        <f t="shared" si="1207"/>
        <v>0</v>
      </c>
      <c r="BF974" s="123">
        <f t="shared" si="1207"/>
        <v>0</v>
      </c>
      <c r="BG974" s="123">
        <f t="shared" si="1207"/>
        <v>0</v>
      </c>
      <c r="BH974" s="123">
        <f t="shared" si="1207"/>
        <v>0</v>
      </c>
      <c r="BI974" s="123">
        <f t="shared" si="1207"/>
        <v>0</v>
      </c>
      <c r="BJ974" s="123">
        <f t="shared" si="1207"/>
        <v>0</v>
      </c>
      <c r="BK974" s="123">
        <f t="shared" si="1207"/>
        <v>0</v>
      </c>
      <c r="BL974" s="123">
        <f t="shared" si="1207"/>
        <v>0</v>
      </c>
      <c r="BM974" s="123">
        <f t="shared" si="1207"/>
        <v>0</v>
      </c>
      <c r="BN974" s="159">
        <f t="shared" si="1207"/>
        <v>0</v>
      </c>
    </row>
    <row r="975" spans="32:66" ht="20.100000000000001" customHeight="1" thickBot="1">
      <c r="AF975" s="1552"/>
      <c r="AG975" s="223" t="s">
        <v>1192</v>
      </c>
      <c r="AH975" s="1498" t="s">
        <v>1212</v>
      </c>
      <c r="AI975" s="1467"/>
      <c r="AJ975" s="1468"/>
      <c r="AK975" s="224">
        <v>0</v>
      </c>
      <c r="AL975" s="160">
        <f>IF($C$140=1,AL884,0)</f>
        <v>0</v>
      </c>
      <c r="AM975" s="160">
        <f t="shared" ref="AM975:BN975" si="1208">IF($C$140=1,AM884,0)</f>
        <v>0</v>
      </c>
      <c r="AN975" s="160">
        <f t="shared" si="1208"/>
        <v>0</v>
      </c>
      <c r="AO975" s="160">
        <f t="shared" si="1208"/>
        <v>0</v>
      </c>
      <c r="AP975" s="160">
        <f t="shared" si="1208"/>
        <v>0</v>
      </c>
      <c r="AQ975" s="160">
        <f t="shared" si="1208"/>
        <v>0</v>
      </c>
      <c r="AR975" s="160">
        <f t="shared" si="1208"/>
        <v>0</v>
      </c>
      <c r="AS975" s="160">
        <f t="shared" si="1208"/>
        <v>0</v>
      </c>
      <c r="AT975" s="160">
        <f t="shared" si="1208"/>
        <v>0</v>
      </c>
      <c r="AU975" s="160">
        <f t="shared" si="1208"/>
        <v>0</v>
      </c>
      <c r="AV975" s="160">
        <f t="shared" si="1208"/>
        <v>0</v>
      </c>
      <c r="AW975" s="160">
        <f t="shared" si="1208"/>
        <v>0</v>
      </c>
      <c r="AX975" s="160">
        <f t="shared" si="1208"/>
        <v>0</v>
      </c>
      <c r="AY975" s="160">
        <f t="shared" si="1208"/>
        <v>0</v>
      </c>
      <c r="AZ975" s="160">
        <f t="shared" si="1208"/>
        <v>0</v>
      </c>
      <c r="BA975" s="160">
        <f t="shared" si="1208"/>
        <v>0</v>
      </c>
      <c r="BB975" s="160">
        <f t="shared" si="1208"/>
        <v>0</v>
      </c>
      <c r="BC975" s="160">
        <f t="shared" si="1208"/>
        <v>0</v>
      </c>
      <c r="BD975" s="160">
        <f t="shared" si="1208"/>
        <v>0</v>
      </c>
      <c r="BE975" s="160">
        <f t="shared" si="1208"/>
        <v>0</v>
      </c>
      <c r="BF975" s="160">
        <f t="shared" si="1208"/>
        <v>0</v>
      </c>
      <c r="BG975" s="160">
        <f t="shared" si="1208"/>
        <v>0</v>
      </c>
      <c r="BH975" s="160">
        <f t="shared" si="1208"/>
        <v>0</v>
      </c>
      <c r="BI975" s="160">
        <f t="shared" si="1208"/>
        <v>0</v>
      </c>
      <c r="BJ975" s="160">
        <f t="shared" si="1208"/>
        <v>0</v>
      </c>
      <c r="BK975" s="160">
        <f t="shared" si="1208"/>
        <v>0</v>
      </c>
      <c r="BL975" s="160">
        <f t="shared" si="1208"/>
        <v>0</v>
      </c>
      <c r="BM975" s="160">
        <f t="shared" si="1208"/>
        <v>0</v>
      </c>
      <c r="BN975" s="161">
        <f t="shared" si="1208"/>
        <v>0</v>
      </c>
    </row>
    <row r="976" spans="32:66" ht="20.100000000000001" customHeight="1">
      <c r="AF976" s="167"/>
      <c r="AG976" s="1547" t="s">
        <v>1080</v>
      </c>
      <c r="AH976" s="1548"/>
      <c r="AI976" s="1548"/>
      <c r="AJ976" s="1549"/>
      <c r="AK976" s="179">
        <v>0</v>
      </c>
      <c r="AL976" s="162">
        <f>IF(AL954&gt;START!$C$2+2020,SUM(AL955:AL975),0)</f>
        <v>0</v>
      </c>
      <c r="AM976" s="162">
        <f>IF(AM954&gt;START!$C$2+2020,SUM(AM955:AM975),0)</f>
        <v>0</v>
      </c>
      <c r="AN976" s="162">
        <f>IF(AN954&gt;START!$C$2+2020,SUM(AN955:AN975),0)</f>
        <v>0</v>
      </c>
      <c r="AO976" s="162">
        <f>IF(AO954&gt;START!$C$2+2020,SUM(AO955:AO975),0)</f>
        <v>0</v>
      </c>
      <c r="AP976" s="162">
        <f>IF(AP954&gt;START!$C$2+2020,SUM(AP955:AP975),0)</f>
        <v>0</v>
      </c>
      <c r="AQ976" s="162">
        <f>IF(AQ954&gt;START!$C$2+2020,SUM(AQ955:AQ975),0)</f>
        <v>0</v>
      </c>
      <c r="AR976" s="162">
        <f>IF(AR954&gt;START!$C$2+2020,SUM(AR955:AR975),0)</f>
        <v>0</v>
      </c>
      <c r="AS976" s="162">
        <f>IF(AS954&gt;START!$C$2+2020,SUM(AS955:AS975),0)</f>
        <v>0</v>
      </c>
      <c r="AT976" s="162">
        <f>IF(AT954&gt;START!$C$2+2020,SUM(AT955:AT975),0)</f>
        <v>0</v>
      </c>
      <c r="AU976" s="162">
        <f>IF(AU954&gt;START!$C$2+2020,SUM(AU955:AU975),0)</f>
        <v>0</v>
      </c>
      <c r="AV976" s="162">
        <f>IF(AV954&gt;START!$C$2+2020,SUM(AV955:AV975),0)</f>
        <v>0</v>
      </c>
      <c r="AW976" s="162">
        <f>IF(AW954&gt;START!$C$2+2020,SUM(AW955:AW975),0)</f>
        <v>0</v>
      </c>
      <c r="AX976" s="162">
        <f>IF(AX954&gt;START!$C$2+2020,SUM(AX955:AX975),0)</f>
        <v>0</v>
      </c>
      <c r="AY976" s="162">
        <f>IF(AY954&gt;START!$C$2+2020,SUM(AY955:AY975),0)</f>
        <v>0</v>
      </c>
      <c r="AZ976" s="162">
        <f>IF(AZ954&gt;START!$C$2+2020,SUM(AZ955:AZ975),0)</f>
        <v>0</v>
      </c>
      <c r="BA976" s="162">
        <f>IF(BA954&gt;START!$C$2+2020,SUM(BA955:BA975),0)</f>
        <v>0</v>
      </c>
      <c r="BB976" s="162">
        <f>IF(BB954&gt;START!$C$2+2020,SUM(BB955:BB975),0)</f>
        <v>0</v>
      </c>
      <c r="BC976" s="162">
        <f>IF(BC954&gt;START!$C$2+2020,SUM(BC955:BC975),0)</f>
        <v>0</v>
      </c>
      <c r="BD976" s="162">
        <f>IF(BD954&gt;START!$C$2+2020,SUM(BD955:BD975),0)</f>
        <v>0</v>
      </c>
      <c r="BE976" s="162">
        <f>IF(BE954&gt;START!$C$2+2020,SUM(BE955:BE975),0)</f>
        <v>0</v>
      </c>
      <c r="BF976" s="162">
        <f>IF(BF954&gt;START!$C$2+2020,SUM(BF955:BF975),0)</f>
        <v>0</v>
      </c>
      <c r="BG976" s="162">
        <f>IF(BG954&gt;START!$C$2+2020,SUM(BG955:BG975),0)</f>
        <v>0</v>
      </c>
      <c r="BH976" s="162">
        <f>IF(BH954&gt;START!$C$2+2020,SUM(BH955:BH975),0)</f>
        <v>0</v>
      </c>
      <c r="BI976" s="162">
        <f>IF(BI954&gt;START!$C$2+2020,SUM(BI955:BI975),0)</f>
        <v>0</v>
      </c>
      <c r="BJ976" s="162">
        <f>IF(BJ954&gt;START!$C$2+2020,SUM(BJ955:BJ975),0)</f>
        <v>0</v>
      </c>
      <c r="BK976" s="162">
        <f>IF(BK954&gt;START!$C$2+2020,SUM(BK955:BK975),0)</f>
        <v>0</v>
      </c>
      <c r="BL976" s="162">
        <f>IF(BL954&gt;START!$C$2+2020,SUM(BL955:BL975),0)</f>
        <v>0</v>
      </c>
      <c r="BM976" s="162">
        <f>IF(BM954&gt;START!$C$2+2020,SUM(BM955:BM975),0)</f>
        <v>0</v>
      </c>
      <c r="BN976" s="162">
        <f>IF(BN954&gt;START!$C$2+2020,SUM(BN955:BN975),0)</f>
        <v>0</v>
      </c>
    </row>
    <row r="978" spans="14:66" ht="20.100000000000001" customHeight="1">
      <c r="AF978" s="141" t="s">
        <v>2253</v>
      </c>
      <c r="AL978" s="604"/>
    </row>
    <row r="979" spans="14:66" ht="20.100000000000001" customHeight="1">
      <c r="AF979" s="131" t="s">
        <v>2252</v>
      </c>
      <c r="AG979" s="201"/>
      <c r="AH979" s="201"/>
      <c r="AI979" s="201"/>
      <c r="AJ979" s="201"/>
      <c r="AK979" s="201"/>
      <c r="AL979" s="445">
        <v>2022</v>
      </c>
      <c r="AM979" s="445">
        <f>AL979+1</f>
        <v>2023</v>
      </c>
      <c r="AN979" s="445">
        <f t="shared" ref="AN979:BM979" si="1209">AM979+1</f>
        <v>2024</v>
      </c>
      <c r="AO979" s="445">
        <f t="shared" si="1209"/>
        <v>2025</v>
      </c>
      <c r="AP979" s="445">
        <f t="shared" si="1209"/>
        <v>2026</v>
      </c>
      <c r="AQ979" s="445">
        <f t="shared" si="1209"/>
        <v>2027</v>
      </c>
      <c r="AR979" s="445">
        <f t="shared" si="1209"/>
        <v>2028</v>
      </c>
      <c r="AS979" s="445">
        <f t="shared" si="1209"/>
        <v>2029</v>
      </c>
      <c r="AT979" s="445">
        <f t="shared" si="1209"/>
        <v>2030</v>
      </c>
      <c r="AU979" s="445">
        <f t="shared" si="1209"/>
        <v>2031</v>
      </c>
      <c r="AV979" s="445">
        <f t="shared" si="1209"/>
        <v>2032</v>
      </c>
      <c r="AW979" s="445">
        <f t="shared" si="1209"/>
        <v>2033</v>
      </c>
      <c r="AX979" s="445">
        <f t="shared" si="1209"/>
        <v>2034</v>
      </c>
      <c r="AY979" s="445">
        <f t="shared" si="1209"/>
        <v>2035</v>
      </c>
      <c r="AZ979" s="445">
        <f t="shared" si="1209"/>
        <v>2036</v>
      </c>
      <c r="BA979" s="445">
        <f t="shared" si="1209"/>
        <v>2037</v>
      </c>
      <c r="BB979" s="445">
        <f t="shared" si="1209"/>
        <v>2038</v>
      </c>
      <c r="BC979" s="445">
        <f t="shared" si="1209"/>
        <v>2039</v>
      </c>
      <c r="BD979" s="445">
        <f t="shared" si="1209"/>
        <v>2040</v>
      </c>
      <c r="BE979" s="445">
        <f t="shared" si="1209"/>
        <v>2041</v>
      </c>
      <c r="BF979" s="445">
        <f t="shared" si="1209"/>
        <v>2042</v>
      </c>
      <c r="BG979" s="445">
        <f t="shared" si="1209"/>
        <v>2043</v>
      </c>
      <c r="BH979" s="445">
        <f t="shared" si="1209"/>
        <v>2044</v>
      </c>
      <c r="BI979" s="445">
        <f t="shared" si="1209"/>
        <v>2045</v>
      </c>
      <c r="BJ979" s="445">
        <f t="shared" si="1209"/>
        <v>2046</v>
      </c>
      <c r="BK979" s="445">
        <f t="shared" si="1209"/>
        <v>2047</v>
      </c>
      <c r="BL979" s="445">
        <f t="shared" si="1209"/>
        <v>2048</v>
      </c>
      <c r="BM979" s="445">
        <f t="shared" si="1209"/>
        <v>2049</v>
      </c>
      <c r="BN979" s="445">
        <f>BM979+1</f>
        <v>2050</v>
      </c>
    </row>
    <row r="980" spans="14:66" ht="20.100000000000001" customHeight="1">
      <c r="N980" s="130"/>
      <c r="O980" s="130"/>
      <c r="P980" s="130"/>
      <c r="Q980" s="130"/>
      <c r="R980" s="130"/>
      <c r="S980" s="130"/>
      <c r="T980" s="130"/>
      <c r="U980" s="130"/>
      <c r="V980" s="130"/>
      <c r="W980" s="130"/>
      <c r="X980" s="130"/>
      <c r="Y980" s="130"/>
      <c r="Z980" s="130"/>
      <c r="AA980" s="130"/>
      <c r="AB980" s="130"/>
      <c r="AC980" s="130"/>
      <c r="AD980" s="130"/>
      <c r="AE980" s="130">
        <v>1</v>
      </c>
      <c r="AF980" s="131" t="str">
        <f>INDEX('DEFAULT DATA'!$AJT$9:$AKC$41,START!$C$3,1)</f>
        <v>Apartment</v>
      </c>
      <c r="AG980" s="201"/>
      <c r="AH980" s="201"/>
      <c r="AI980" s="201"/>
      <c r="AJ980" s="201"/>
      <c r="AK980" s="201"/>
      <c r="AL980" s="345">
        <f>IF(AL$979&gt;(2020+START!$C$2),AL220+AL263+AL382-IF($A$114=$AE980,AL523,0)-IF($A$115=$AE980,AL534,0)-IF($A$116=$AE980,AL545,0)-IF($A$117=$AE980,AL556,0)-IF($A$118=$AE980,AL567,0)-IF($A$119=$AE980,AL578,0)-IF($A$135=$AE980,AL729,0)-IF($A$136=$AE980,AL740,0)-IF($A$137=$AE980,AL751,0)-IF($A$138=$AE980,AL762,0)-IF($A$139=$AE980,AL773,0)-IF($A$140=$AE980,AL784,0)+IF($C$135=$AE980,AL796,0)+IF($C$136=$AE980,AL807,0)+IF($C$137=$AE980,AL818,0)+IF($C$138=$AE980,AL829,0)+IF($C$139=$AE980,AL840,0)+IF($C$140=$AE980,AL851,0),"")</f>
        <v>6340.23698561947</v>
      </c>
      <c r="AM980" s="345">
        <f>IF(AM$979&gt;(2020+START!$C$2),AM220+AM263+AM382-IF($A$114=$AE980,AM523,0)-IF($A$115=$AE980,AM534,0)-IF($A$116=$AE980,AM545,0)-IF($A$117=$AE980,AM556,0)-IF($A$118=$AE980,AM567,0)-IF($A$119=$AE980,AM578,0),"")</f>
        <v>6196.0322481723015</v>
      </c>
      <c r="AN980" s="345">
        <f>IF(AN$979&gt;(2020+START!$C$2),AN220+AN263+AN382-IF($A$114=$AE980,AN523,0)-IF($A$115=$AE980,AN534,0)-IF($A$116=$AE980,AN545,0)-IF($A$117=$AE980,AN556,0)-IF($A$118=$AE980,AN567,0)-IF($A$119=$AE980,AN578,0),"")</f>
        <v>6062.7870707711172</v>
      </c>
      <c r="AO980" s="345">
        <f>IF(AO$979&gt;(2020+START!$C$2),AO220+AO263+AO382-IF($A$114=$AE980,AO523,0)-IF($A$115=$AE980,AO534,0)-IF($A$116=$AE980,AO545,0)-IF($A$117=$AE980,AO556,0)-IF($A$118=$AE980,AO567,0)-IF($A$119=$AE980,AO578,0),"")</f>
        <v>5939.6685268524234</v>
      </c>
      <c r="AP980" s="345">
        <f>IF(AP$979&gt;(2020+START!$C$2),AP220+AP263+AP382-IF($A$114=$AE980,AP523,0)-IF($A$115=$AE980,AP534,0)-IF($A$116=$AE980,AP545,0)-IF($A$117=$AE980,AP556,0)-IF($A$118=$AE980,AP567,0)-IF($A$119=$AE980,AP578,0),"")</f>
        <v>5825.9069922715498</v>
      </c>
      <c r="AQ980" s="345">
        <f>IF(AQ$979&gt;(2020+START!$C$2),AQ220+AQ263+AQ382-IF($A$114=$AE980,AQ523,0)-IF($A$115=$AE980,AQ534,0)-IF($A$116=$AE980,AQ545,0)-IF($A$117=$AE980,AQ556,0)-IF($A$118=$AE980,AQ567,0)-IF($A$119=$AE980,AQ578,0),"")</f>
        <v>5720.7913343188229</v>
      </c>
      <c r="AR980" s="345">
        <f>IF(AR$979&gt;(2020+START!$C$2),AR220+AR263+AR382-IF($A$114=$AE980,AR523,0)-IF($A$115=$AE980,AR534,0)-IF($A$116=$AE980,AR545,0)-IF($A$117=$AE980,AR556,0)-IF($A$118=$AE980,AR567,0)-IF($A$119=$AE980,AR578,0),"")</f>
        <v>5623.6644663705029</v>
      </c>
      <c r="AS980" s="345">
        <f>IF(AS$979&gt;(2020+START!$C$2),AS220+AS263+AS382-IF($A$114=$AE980,AS523,0)-IF($A$115=$AE980,AS534,0)-IF($A$116=$AE980,AS545,0)-IF($A$117=$AE980,AS556,0)-IF($A$118=$AE980,AS567,0)-IF($A$119=$AE980,AS578,0),"")</f>
        <v>5533.9192403862553</v>
      </c>
      <c r="AT980" s="345">
        <f>IF(AT$979&gt;(2020+START!$C$2),AT220+AT263+AT382-IF($A$114=$AE980,AT523,0)-IF($A$115=$AE980,AT534,0)-IF($A$116=$AE980,AT545,0)-IF($A$117=$AE980,AT556,0)-IF($A$118=$AE980,AT567,0)-IF($A$119=$AE980,AT578,0),"")</f>
        <v>7559.5527711910781</v>
      </c>
      <c r="AU980" s="345">
        <f>IF(AU$979&gt;(2020+START!$C$2),AU220+AU263+AU382-IF($A$114=$AE980,AU523,0)-IF($A$115=$AE980,AU534,0)-IF($A$116=$AE980,AU545,0)-IF($A$117=$AE980,AU556,0)-IF($A$118=$AE980,AU567,0)-IF($A$119=$AE980,AU578,0),"")</f>
        <v>9545.425942159618</v>
      </c>
      <c r="AV980" s="345">
        <f>IF(AV$979&gt;(2020+START!$C$2),AV220+AV263+AV382-IF($A$114=$AE980,AV523,0)-IF($A$115=$AE980,AV534,0)-IF($A$116=$AE980,AV545,0)-IF($A$117=$AE980,AV556,0)-IF($A$118=$AE980,AV567,0)-IF($A$119=$AE980,AV578,0),"")</f>
        <v>11482.120933564074</v>
      </c>
      <c r="AW980" s="345">
        <f>IF(AW$979&gt;(2020+START!$C$2),AW220+AW263+AW382-IF($A$114=$AE980,AW523,0)-IF($A$115=$AE980,AW534,0)-IF($A$116=$AE980,AW545,0)-IF($A$117=$AE980,AW556,0)-IF($A$118=$AE980,AW567,0)-IF($A$119=$AE980,AW578,0),"")</f>
        <v>13372.834327076114</v>
      </c>
      <c r="AX980" s="345">
        <f>IF(AX$979&gt;(2020+START!$C$2),AX220+AX263+AX382-IF($A$114=$AE980,AX523,0)-IF($A$115=$AE980,AX534,0)-IF($A$116=$AE980,AX545,0)-IF($A$117=$AE980,AX556,0)-IF($A$118=$AE980,AX567,0)-IF($A$119=$AE980,AX578,0),"")</f>
        <v>15220.554926558743</v>
      </c>
      <c r="AY980" s="345">
        <f>IF(AY$979&gt;(2020+START!$C$2),AY220+AY263+AY382-IF($A$114=$AE980,AY523,0)-IF($A$115=$AE980,AY534,0)-IF($A$116=$AE980,AY545,0)-IF($A$117=$AE980,AY556,0)-IF($A$118=$AE980,AY567,0)-IF($A$119=$AE980,AY578,0),"")</f>
        <v>17028.077263623876</v>
      </c>
      <c r="AZ980" s="345">
        <f>IF(AZ$979&gt;(2020+START!$C$2),AZ220+AZ263+AZ382-IF($A$114=$AE980,AZ523,0)-IF($A$115=$AE980,AZ534,0)-IF($A$116=$AE980,AZ545,0)-IF($A$117=$AE980,AZ556,0)-IF($A$118=$AE980,AZ567,0)-IF($A$119=$AE980,AZ578,0),"")</f>
        <v>18798.014225328647</v>
      </c>
      <c r="BA980" s="345">
        <f>IF(BA$979&gt;(2020+START!$C$2),BA220+BA263+BA382-IF($A$114=$AE980,BA523,0)-IF($A$115=$AE980,BA534,0)-IF($A$116=$AE980,BA545,0)-IF($A$117=$AE980,BA556,0)-IF($A$118=$AE980,BA567,0)-IF($A$119=$AE980,BA578,0),"")</f>
        <v>20532.808861071484</v>
      </c>
      <c r="BB980" s="345">
        <f>IF(BB$979&gt;(2020+START!$C$2),BB220+BB263+BB382-IF($A$114=$AE980,BB523,0)-IF($A$115=$AE980,BB534,0)-IF($A$116=$AE980,BB545,0)-IF($A$117=$AE980,BB556,0)-IF($A$118=$AE980,BB567,0)-IF($A$119=$AE980,BB578,0),"")</f>
        <v>22234.745422039905</v>
      </c>
      <c r="BC980" s="345">
        <f>IF(BC$979&gt;(2020+START!$C$2),BC220+BC263+BC382-IF($A$114=$AE980,BC523,0)-IF($A$115=$AE980,BC534,0)-IF($A$116=$AE980,BC545,0)-IF($A$117=$AE980,BC556,0)-IF($A$118=$AE980,BC567,0)-IF($A$119=$AE980,BC578,0),"")</f>
        <v>23905.959683094257</v>
      </c>
      <c r="BD980" s="345">
        <f>IF(BD$979&gt;(2020+START!$C$2),BD220+BD263+BD382-IF($A$114=$AE980,BD523,0)-IF($A$115=$AE980,BD534,0)-IF($A$116=$AE980,BD545,0)-IF($A$117=$AE980,BD556,0)-IF($A$118=$AE980,BD567,0)-IF($A$119=$AE980,BD578,0),"")</f>
        <v>25548.448593728943</v>
      </c>
      <c r="BE980" s="345">
        <f>IF(BE$979&gt;(2020+START!$C$2),BE220+BE263+BE382-IF($A$114=$AE980,BE523,0)-IF($A$115=$AE980,BE534,0)-IF($A$116=$AE980,BE545,0)-IF($A$117=$AE980,BE556,0)-IF($A$118=$AE980,BE567,0)-IF($A$119=$AE980,BE578,0),"")</f>
        <v>25514.985108487257</v>
      </c>
      <c r="BF980" s="345">
        <f>IF(BF$979&gt;(2020+START!$C$2),BF220+BF263+BF382-IF($A$114=$AE980,BF523,0)-IF($A$115=$AE980,BF534,0)-IF($A$116=$AE980,BF545,0)-IF($A$117=$AE980,BF556,0)-IF($A$118=$AE980,BF567,0)-IF($A$119=$AE980,BF578,0),"")</f>
        <v>25483.696749786279</v>
      </c>
      <c r="BG980" s="345">
        <f>IF(BG$979&gt;(2020+START!$C$2),BG220+BG263+BG382-IF($A$114=$AE980,BG523,0)-IF($A$115=$AE980,BG534,0)-IF($A$116=$AE980,BG545,0)-IF($A$117=$AE980,BG556,0)-IF($A$118=$AE980,BG567,0)-IF($A$119=$AE980,BG578,0),"")</f>
        <v>25454.442134400862</v>
      </c>
      <c r="BH980" s="345">
        <f>IF(BH$979&gt;(2020+START!$C$2),BH220+BH263+BH382-IF($A$114=$AE980,BH523,0)-IF($A$115=$AE980,BH534,0)-IF($A$116=$AE980,BH545,0)-IF($A$117=$AE980,BH556,0)-IF($A$118=$AE980,BH567,0)-IF($A$119=$AE980,BH578,0),"")</f>
        <v>25427.089069015499</v>
      </c>
      <c r="BI980" s="345">
        <f>IF(BI$979&gt;(2020+START!$C$2),BI220+BI263+BI382-IF($A$114=$AE980,BI523,0)-IF($A$115=$AE980,BI534,0)-IF($A$116=$AE980,BI545,0)-IF($A$117=$AE980,BI556,0)-IF($A$118=$AE980,BI567,0)-IF($A$119=$AE980,BI578,0),"")</f>
        <v>25401.513952880185</v>
      </c>
      <c r="BJ980" s="345">
        <f>IF(BJ$979&gt;(2020+START!$C$2),BJ220+BJ263+BJ382-IF($A$114=$AE980,BJ523,0)-IF($A$115=$AE980,BJ534,0)-IF($A$116=$AE980,BJ545,0)-IF($A$117=$AE980,BJ556,0)-IF($A$118=$AE980,BJ567,0)-IF($A$119=$AE980,BJ578,0),"")</f>
        <v>25377.601219293665</v>
      </c>
      <c r="BK980" s="345">
        <f>IF(BK$979&gt;(2020+START!$C$2),BK220+BK263+BK382-IF($A$114=$AE980,BK523,0)-IF($A$115=$AE980,BK534,0)-IF($A$116=$AE980,BK545,0)-IF($A$117=$AE980,BK556,0)-IF($A$118=$AE980,BK567,0)-IF($A$119=$AE980,BK578,0),"")</f>
        <v>25355.242813390269</v>
      </c>
      <c r="BL980" s="345">
        <f>IF(BL$979&gt;(2020+START!$C$2),BL220+BL263+BL382-IF($A$114=$AE980,BL523,0)-IF($A$115=$AE980,BL534,0)-IF($A$116=$AE980,BL545,0)-IF($A$117=$AE980,BL556,0)-IF($A$118=$AE980,BL567,0)-IF($A$119=$AE980,BL578,0),"")</f>
        <v>25334.337703870595</v>
      </c>
      <c r="BM980" s="345">
        <f>IF(BM$979&gt;(2020+START!$C$2),BM220+BM263+BM382-IF($A$114=$AE980,BM523,0)-IF($A$115=$AE980,BM534,0)-IF($A$116=$AE980,BM545,0)-IF($A$117=$AE980,BM556,0)-IF($A$118=$AE980,BM567,0)-IF($A$119=$AE980,BM578,0),"")</f>
        <v>25314.791426469699</v>
      </c>
      <c r="BN980" s="345">
        <f>IF(BN$979&gt;(2020+START!$C$2),BN220+BN263+BN382-IF($A$114=$AE980,BN523,0)-IF($A$115=$AE980,BN534,0)-IF($A$116=$AE980,BN545,0)-IF($A$117=$AE980,BN556,0)-IF($A$118=$AE980,BN567,0)-IF($A$119=$AE980,BN578,0),"")</f>
        <v>25296.515657099859</v>
      </c>
    </row>
    <row r="981" spans="14:66" ht="20.100000000000001" customHeight="1">
      <c r="N981" s="130"/>
      <c r="O981" s="130"/>
      <c r="P981" s="130"/>
      <c r="Q981" s="130"/>
      <c r="R981" s="130"/>
      <c r="S981" s="130"/>
      <c r="T981" s="130"/>
      <c r="U981" s="130"/>
      <c r="V981" s="130"/>
      <c r="W981" s="130"/>
      <c r="X981" s="130"/>
      <c r="Y981" s="130"/>
      <c r="Z981" s="130"/>
      <c r="AA981" s="130"/>
      <c r="AB981" s="130"/>
      <c r="AC981" s="130"/>
      <c r="AD981" s="130"/>
      <c r="AE981" s="130">
        <f>AE980+1</f>
        <v>2</v>
      </c>
      <c r="AF981" s="131" t="str">
        <f>INDEX('DEFAULT DATA'!$AJT$9:$AKC$41,START!$C$3,2)</f>
        <v>Terraced</v>
      </c>
      <c r="AG981" s="201"/>
      <c r="AH981" s="201"/>
      <c r="AI981" s="201"/>
      <c r="AJ981" s="201"/>
      <c r="AK981" s="201"/>
      <c r="AL981" s="345">
        <f>IF(AL$979&gt;(2020+START!$C$2),AL221+AL273+AL392-IF($A$114=$AE981,AL523,0)-IF($A$115=$AE981,AL534,0)-IF($A$116=$AE981,AL545,0)-IF($A$117=$AE981,AL556,0)-IF($A$118=$AE981,AL567,0)-IF($A$119=$AE981,AL578,0)-IF($A$135=$AE980,AL729,0)-IF($A$136=$AE980,AL740,0)-IF($A$137=$AE980,AL751,0)-IF($A$138=$AE980,AL762,0)-IF($A$139=$AE980,AL773,0)-IF($A$140=$AE980,AL784,0)+IF($C$135=$AE980,AL796,0)+IF($C$136=$AE980,AL807,0)+IF($C$137=$AE980,AL818,0)+IF($C$138=$AE980,AL829,0)+IF($C$139=$AE980,AL840,0)+IF($C$140=$AE980,AL851,0),"")</f>
        <v>9815.7307639400351</v>
      </c>
      <c r="AM981" s="345">
        <f>IF(AM$979&gt;(2020+START!$C$2),AM221+AM273+AM392-IF($A$114=$AE981,AM523,0)-IF($A$115=$AE981,AM534,0)-IF($A$116=$AE981,AM545,0)-IF($A$117=$AE981,AM556,0)-IF($A$118=$AE981,AM567,0)-IF($A$119=$AE981,AM578,0)-IF($A$135=$AE980,AM729,0)-IF($A$136=$AE980,AM740,0)-IF($A$137=$AE980,AM751,0)-IF($A$138=$AE980,AM762,0)-IF($A$139=$AE980,AM773,0)-IF($A$140=$AE980,AM784,0)+IF($C$135=$AE980,AM796,0)+IF($C$136=$AE980,AM807,0)+IF($C$137=$AE980,AM818,0)+IF($C$138=$AE980,AM829,0)+IF($C$139=$AE980,AM840,0)+IF($C$140=$AE980,AM851,0),"")</f>
        <v>9592.4780872851134</v>
      </c>
      <c r="AN981" s="345">
        <f>IF(AN$979&gt;(2020+START!$C$2),AN221+AN273+AN392-IF($A$114=$AE981,AN523,0)-IF($A$115=$AE981,AN534,0)-IF($A$116=$AE981,AN545,0)-IF($A$117=$AE981,AN556,0)-IF($A$118=$AE981,AN567,0)-IF($A$119=$AE981,AN578,0)-IF($A$135=$AE980,AN729,0)-IF($A$136=$AE980,AN740,0)-IF($A$137=$AE980,AN751,0)-IF($A$138=$AE980,AN762,0)-IF($A$139=$AE980,AN773,0)-IF($A$140=$AE980,AN784,0)+IF($C$135=$AE980,AN796,0)+IF($C$136=$AE980,AN807,0)+IF($C$137=$AE980,AN818,0)+IF($C$138=$AE980,AN829,0)+IF($C$139=$AE980,AN840,0)+IF($C$140=$AE980,AN851,0),"")</f>
        <v>9386.1926140559663</v>
      </c>
      <c r="AO981" s="345">
        <f>IF(AO$979&gt;(2020+START!$C$2),AO221+AO273+AO392-IF($A$114=$AE981,AO523,0)-IF($A$115=$AE981,AO534,0)-IF($A$116=$AE981,AO545,0)-IF($A$117=$AE981,AO556,0)-IF($A$118=$AE981,AO567,0)-IF($A$119=$AE981,AO578,0)-IF($A$135=$AE980,AO729,0)-IF($A$136=$AE980,AO740,0)-IF($A$137=$AE980,AO751,0)-IF($A$138=$AE980,AO762,0)-IF($A$139=$AE980,AO773,0)-IF($A$140=$AE980,AO784,0)+IF($C$135=$AE980,AO796,0)+IF($C$136=$AE980,AO807,0)+IF($C$137=$AE980,AO818,0)+IF($C$138=$AE980,AO829,0)+IF($C$139=$AE980,AO840,0)+IF($C$140=$AE980,AO851,0),"")</f>
        <v>9195.5848367922354</v>
      </c>
      <c r="AP981" s="345">
        <f>IF(AP$979&gt;(2020+START!$C$2),AP221+AP273+AP392-IF($A$114=$AE981,AP523,0)-IF($A$115=$AE981,AP534,0)-IF($A$116=$AE981,AP545,0)-IF($A$117=$AE981,AP556,0)-IF($A$118=$AE981,AP567,0)-IF($A$119=$AE981,AP578,0)-IF($A$135=$AE980,AP729,0)-IF($A$136=$AE980,AP740,0)-IF($A$137=$AE980,AP751,0)-IF($A$138=$AE980,AP762,0)-IF($A$139=$AE980,AP773,0)-IF($A$140=$AE980,AP784,0)+IF($C$135=$AE980,AP796,0)+IF($C$136=$AE980,AP807,0)+IF($C$137=$AE980,AP818,0)+IF($C$138=$AE980,AP829,0)+IF($C$139=$AE980,AP840,0)+IF($C$140=$AE980,AP851,0),"")</f>
        <v>9019.4632506005473</v>
      </c>
      <c r="AQ981" s="345">
        <f>IF(AQ$979&gt;(2020+START!$C$2),AQ221+AQ273+AQ392-IF($A$114=$AE981,AQ523,0)-IF($A$115=$AE981,AQ534,0)-IF($A$116=$AE981,AQ545,0)-IF($A$117=$AE981,AQ556,0)-IF($A$118=$AE981,AQ567,0)-IF($A$119=$AE981,AQ578,0)-IF($A$135=$AE980,AQ729,0)-IF($A$136=$AE980,AQ740,0)-IF($A$137=$AE980,AQ751,0)-IF($A$138=$AE980,AQ762,0)-IF($A$139=$AE980,AQ773,0)-IF($A$140=$AE980,AQ784,0)+IF($C$135=$AE980,AQ796,0)+IF($C$136=$AE980,AQ807,0)+IF($C$137=$AE980,AQ818,0)+IF($C$138=$AE980,AQ829,0)+IF($C$139=$AE980,AQ840,0)+IF($C$140=$AE980,AQ851,0),"")</f>
        <v>8856.7269049594288</v>
      </c>
      <c r="AR981" s="345">
        <f>IF(AR$979&gt;(2020+START!$C$2),AR221+AR273+AR392-IF($A$114=$AE981,AR523,0)-IF($A$115=$AE981,AR534,0)-IF($A$116=$AE981,AR545,0)-IF($A$117=$AE981,AR556,0)-IF($A$118=$AE981,AR567,0)-IF($A$119=$AE981,AR578,0)-IF($A$135=$AE980,AR729,0)-IF($A$136=$AE980,AR740,0)-IF($A$137=$AE980,AR751,0)-IF($A$138=$AE980,AR762,0)-IF($A$139=$AE980,AR773,0)-IF($A$140=$AE980,AR784,0)+IF($C$135=$AE980,AR796,0)+IF($C$136=$AE980,AR807,0)+IF($C$137=$AE980,AR818,0)+IF($C$138=$AE980,AR829,0)+IF($C$139=$AE980,AR840,0)+IF($C$140=$AE980,AR851,0),"")</f>
        <v>8706.3585215870335</v>
      </c>
      <c r="AS981" s="345">
        <f>IF(AS$979&gt;(2020+START!$C$2),AS221+AS273+AS392-IF($A$114=$AE981,AS523,0)-IF($A$115=$AE981,AS534,0)-IF($A$116=$AE981,AS545,0)-IF($A$117=$AE981,AS556,0)-IF($A$118=$AE981,AS567,0)-IF($A$119=$AE981,AS578,0)-IF($A$135=$AE980,AS729,0)-IF($A$136=$AE980,AS740,0)-IF($A$137=$AE980,AS751,0)-IF($A$138=$AE980,AS762,0)-IF($A$139=$AE980,AS773,0)-IF($A$140=$AE980,AS784,0)+IF($C$135=$AE980,AS796,0)+IF($C$136=$AE980,AS807,0)+IF($C$137=$AE980,AS818,0)+IF($C$138=$AE980,AS829,0)+IF($C$139=$AE980,AS840,0)+IF($C$140=$AE980,AS851,0),"")</f>
        <v>8567.4181353509412</v>
      </c>
      <c r="AT981" s="345">
        <f>IF(AT$979&gt;(2020+START!$C$2),AT221+AT273+AT392-IF($A$114=$AE981,AT523,0)-IF($A$115=$AE981,AT534,0)-IF($A$116=$AE981,AT545,0)-IF($A$117=$AE981,AT556,0)-IF($A$118=$AE981,AT567,0)-IF($A$119=$AE981,AT578,0)-IF($A$135=$AE980,AT729,0)-IF($A$136=$AE980,AT740,0)-IF($A$137=$AE980,AT751,0)-IF($A$138=$AE980,AT762,0)-IF($A$139=$AE980,AT773,0)-IF($A$140=$AE980,AT784,0)+IF($C$135=$AE980,AT796,0)+IF($C$136=$AE980,AT807,0)+IF($C$137=$AE980,AT818,0)+IF($C$138=$AE980,AT829,0)+IF($C$139=$AE980,AT840,0)+IF($C$140=$AE980,AT851,0),"")</f>
        <v>8439.0372184687913</v>
      </c>
      <c r="AU981" s="345">
        <f>IF(AU$979&gt;(2020+START!$C$2),AU221+AU273+AU392-IF($A$114=$AE981,AU523,0)-IF($A$115=$AE981,AU534,0)-IF($A$116=$AE981,AU545,0)-IF($A$117=$AE981,AU556,0)-IF($A$118=$AE981,AU567,0)-IF($A$119=$AE981,AU578,0)-IF($A$135=$AE980,AU729,0)-IF($A$136=$AE980,AU740,0)-IF($A$137=$AE980,AU751,0)-IF($A$138=$AE980,AU762,0)-IF($A$139=$AE980,AU773,0)-IF($A$140=$AE980,AU784,0)+IF($C$135=$AE980,AU796,0)+IF($C$136=$AE980,AU807,0)+IF($C$137=$AE980,AU818,0)+IF($C$138=$AE980,AU829,0)+IF($C$139=$AE980,AU840,0)+IF($C$140=$AE980,AU851,0),"")</f>
        <v>8337.5825096800836</v>
      </c>
      <c r="AV981" s="345">
        <f>IF(AV$979&gt;(2020+START!$C$2),AV221+AV273+AV392-IF($A$114=$AE981,AV523,0)-IF($A$115=$AE981,AV534,0)-IF($A$116=$AE981,AV545,0)-IF($A$117=$AE981,AV556,0)-IF($A$118=$AE981,AV567,0)-IF($A$119=$AE981,AV578,0)-IF($A$135=$AE980,AV729,0)-IF($A$136=$AE980,AV740,0)-IF($A$137=$AE980,AV751,0)-IF($A$138=$AE980,AV762,0)-IF($A$139=$AE980,AV773,0)-IF($A$140=$AE980,AV784,0)+IF($C$135=$AE980,AV796,0)+IF($C$136=$AE980,AV807,0)+IF($C$137=$AE980,AV818,0)+IF($C$138=$AE980,AV829,0)+IF($C$139=$AE980,AV840,0)+IF($C$140=$AE980,AV851,0),"")</f>
        <v>8242.7223569626403</v>
      </c>
      <c r="AW981" s="345">
        <f>IF(AW$979&gt;(2020+START!$C$2),AW221+AW273+AW392-IF($A$114=$AE981,AW523,0)-IF($A$115=$AE981,AW534,0)-IF($A$116=$AE981,AW545,0)-IF($A$117=$AE981,AW556,0)-IF($A$118=$AE981,AW567,0)-IF($A$119=$AE981,AW578,0)-IF($A$135=$AE980,AW729,0)-IF($A$136=$AE980,AW740,0)-IF($A$137=$AE980,AW751,0)-IF($A$138=$AE980,AW762,0)-IF($A$139=$AE980,AW773,0)-IF($A$140=$AE980,AW784,0)+IF($C$135=$AE980,AW796,0)+IF($C$136=$AE980,AW807,0)+IF($C$137=$AE980,AW818,0)+IF($C$138=$AE980,AW829,0)+IF($C$139=$AE980,AW840,0)+IF($C$140=$AE980,AW851,0),"")</f>
        <v>8154.0281141718306</v>
      </c>
      <c r="AX981" s="345">
        <f>IF(AX$979&gt;(2020+START!$C$2),AX221+AX273+AX392-IF($A$114=$AE981,AX523,0)-IF($A$115=$AE981,AX534,0)-IF($A$116=$AE981,AX545,0)-IF($A$117=$AE981,AX556,0)-IF($A$118=$AE981,AX567,0)-IF($A$119=$AE981,AX578,0)-IF($A$135=$AE980,AX729,0)-IF($A$136=$AE980,AX740,0)-IF($A$137=$AE980,AX751,0)-IF($A$138=$AE980,AX762,0)-IF($A$139=$AE980,AX773,0)-IF($A$140=$AE980,AX784,0)+IF($C$135=$AE980,AX796,0)+IF($C$136=$AE980,AX807,0)+IF($C$137=$AE980,AX818,0)+IF($C$138=$AE980,AX829,0)+IF($C$139=$AE980,AX840,0)+IF($C$140=$AE980,AX851,0),"")</f>
        <v>8071.0989971624231</v>
      </c>
      <c r="AY981" s="345">
        <f>IF(AY$979&gt;(2020+START!$C$2),AY221+AY273+AY392-IF($A$114=$AE981,AY523,0)-IF($A$115=$AE981,AY534,0)-IF($A$116=$AE981,AY545,0)-IF($A$117=$AE981,AY556,0)-IF($A$118=$AE981,AY567,0)-IF($A$119=$AE981,AY578,0)-IF($A$135=$AE980,AY729,0)-IF($A$136=$AE980,AY740,0)-IF($A$137=$AE980,AY751,0)-IF($A$138=$AE980,AY762,0)-IF($A$139=$AE980,AY773,0)-IF($A$140=$AE980,AY784,0)+IF($C$135=$AE980,AY796,0)+IF($C$136=$AE980,AY807,0)+IF($C$137=$AE980,AY818,0)+IF($C$138=$AE980,AY829,0)+IF($C$139=$AE980,AY840,0)+IF($C$140=$AE980,AY851,0),"")</f>
        <v>7993.5602727586283</v>
      </c>
      <c r="AZ981" s="345">
        <f>IF(AZ$979&gt;(2020+START!$C$2),AZ221+AZ273+AZ392-IF($A$114=$AE981,AZ523,0)-IF($A$115=$AE981,AZ534,0)-IF($A$116=$AE981,AZ545,0)-IF($A$117=$AE981,AZ556,0)-IF($A$118=$AE981,AZ567,0)-IF($A$119=$AE981,AZ578,0)-IF($A$135=$AE980,AZ729,0)-IF($A$136=$AE980,AZ740,0)-IF($A$137=$AE980,AZ751,0)-IF($A$138=$AE980,AZ762,0)-IF($A$139=$AE980,AZ773,0)-IF($A$140=$AE980,AZ784,0)+IF($C$135=$AE980,AZ796,0)+IF($C$136=$AE980,AZ807,0)+IF($C$137=$AE980,AZ818,0)+IF($C$138=$AE980,AZ829,0)+IF($C$139=$AE980,AZ840,0)+IF($C$140=$AE980,AZ851,0),"")</f>
        <v>7921.0615654410794</v>
      </c>
      <c r="BA981" s="345">
        <f>IF(BA$979&gt;(2020+START!$C$2),BA221+BA273+BA392-IF($A$114=$AE981,BA523,0)-IF($A$115=$AE981,BA534,0)-IF($A$116=$AE981,BA545,0)-IF($A$117=$AE981,BA556,0)-IF($A$118=$AE981,BA567,0)-IF($A$119=$AE981,BA578,0)-IF($A$135=$AE980,BA729,0)-IF($A$136=$AE980,BA740,0)-IF($A$137=$AE980,BA751,0)-IF($A$138=$AE980,BA762,0)-IF($A$139=$AE980,BA773,0)-IF($A$140=$AE980,BA784,0)+IF($C$135=$AE980,BA796,0)+IF($C$136=$AE980,BA807,0)+IF($C$137=$AE980,BA818,0)+IF($C$138=$AE980,BA829,0)+IF($C$139=$AE980,BA840,0)+IF($C$140=$AE980,BA851,0),"")</f>
        <v>7853.2752740991718</v>
      </c>
      <c r="BB981" s="345">
        <f>IF(BB$979&gt;(2020+START!$C$2),BB221+BB273+BB392-IF($A$114=$AE981,BB523,0)-IF($A$115=$AE981,BB534,0)-IF($A$116=$AE981,BB545,0)-IF($A$117=$AE981,BB556,0)-IF($A$118=$AE981,BB567,0)-IF($A$119=$AE981,BB578,0)-IF($A$135=$AE980,BB729,0)-IF($A$136=$AE980,BB740,0)-IF($A$137=$AE980,BB751,0)-IF($A$138=$AE980,BB762,0)-IF($A$139=$AE980,BB773,0)-IF($A$140=$AE980,BB784,0)+IF($C$135=$AE980,BB796,0)+IF($C$136=$AE980,BB807,0)+IF($C$137=$AE980,BB818,0)+IF($C$138=$AE980,BB829,0)+IF($C$139=$AE980,BB840,0)+IF($C$140=$AE980,BB851,0),"")</f>
        <v>7789.8950916944877</v>
      </c>
      <c r="BC981" s="345">
        <f>IF(BC$979&gt;(2020+START!$C$2),BC221+BC273+BC392-IF($A$114=$AE981,BC523,0)-IF($A$115=$AE981,BC534,0)-IF($A$116=$AE981,BC545,0)-IF($A$117=$AE981,BC556,0)-IF($A$118=$AE981,BC567,0)-IF($A$119=$AE981,BC578,0)-IF($A$135=$AE980,BC729,0)-IF($A$136=$AE980,BC740,0)-IF($A$137=$AE980,BC751,0)-IF($A$138=$AE980,BC762,0)-IF($A$139=$AE980,BC773,0)-IF($A$140=$AE980,BC784,0)+IF($C$135=$AE980,BC796,0)+IF($C$136=$AE980,BC807,0)+IF($C$137=$AE980,BC818,0)+IF($C$138=$AE980,BC829,0)+IF($C$139=$AE980,BC840,0)+IF($C$140=$AE980,BC851,0),"")</f>
        <v>7730.6346211461087</v>
      </c>
      <c r="BD981" s="345">
        <f>IF(BD$979&gt;(2020+START!$C$2),BD221+BD273+BD392-IF($A$114=$AE981,BD523,0)-IF($A$115=$AE981,BD534,0)-IF($A$116=$AE981,BD545,0)-IF($A$117=$AE981,BD556,0)-IF($A$118=$AE981,BD567,0)-IF($A$119=$AE981,BD578,0)-IF($A$135=$AE980,BD729,0)-IF($A$136=$AE980,BD740,0)-IF($A$137=$AE980,BD751,0)-IF($A$138=$AE980,BD762,0)-IF($A$139=$AE980,BD773,0)-IF($A$140=$AE980,BD784,0)+IF($C$135=$AE980,BD796,0)+IF($C$136=$AE980,BD807,0)+IF($C$137=$AE980,BD818,0)+IF($C$138=$AE980,BD829,0)+IF($C$139=$AE980,BD840,0)+IF($C$140=$AE980,BD851,0),"")</f>
        <v>7675.2260811833739</v>
      </c>
      <c r="BE981" s="345">
        <f>IF(BE$979&gt;(2020+START!$C$2),BE221+BE273+BE392-IF($A$114=$AE981,BE523,0)-IF($A$115=$AE981,BE534,0)-IF($A$116=$AE981,BE545,0)-IF($A$117=$AE981,BE556,0)-IF($A$118=$AE981,BE567,0)-IF($A$119=$AE981,BE578,0)-IF($A$135=$AE980,BE729,0)-IF($A$136=$AE980,BE740,0)-IF($A$137=$AE980,BE751,0)-IF($A$138=$AE980,BE762,0)-IF($A$139=$AE980,BE773,0)-IF($A$140=$AE980,BE784,0)+IF($C$135=$AE980,BE796,0)+IF($C$136=$AE980,BE807,0)+IF($C$137=$AE980,BE818,0)+IF($C$138=$AE980,BE829,0)+IF($C$139=$AE980,BE840,0)+IF($C$140=$AE980,BE851,0),"")</f>
        <v>7623.4190963182164</v>
      </c>
      <c r="BF981" s="345">
        <f>IF(BF$979&gt;(2020+START!$C$2),BF221+BF273+BF392-IF($A$114=$AE981,BF523,0)-IF($A$115=$AE981,BF534,0)-IF($A$116=$AE981,BF545,0)-IF($A$117=$AE981,BF556,0)-IF($A$118=$AE981,BF567,0)-IF($A$119=$AE981,BF578,0)-IF($A$135=$AE980,BF729,0)-IF($A$136=$AE980,BF740,0)-IF($A$137=$AE980,BF751,0)-IF($A$138=$AE980,BF762,0)-IF($A$139=$AE980,BF773,0)-IF($A$140=$AE980,BF784,0)+IF($C$135=$AE980,BF796,0)+IF($C$136=$AE980,BF807,0)+IF($C$137=$AE980,BF818,0)+IF($C$138=$AE980,BF829,0)+IF($C$139=$AE980,BF840,0)+IF($C$140=$AE980,BF851,0),"")</f>
        <v>7574.9795654692953</v>
      </c>
      <c r="BG981" s="345">
        <f>IF(BG$979&gt;(2020+START!$C$2),BG221+BG273+BG392-IF($A$114=$AE981,BG523,0)-IF($A$115=$AE981,BG534,0)-IF($A$116=$AE981,BG545,0)-IF($A$117=$AE981,BG556,0)-IF($A$118=$AE981,BG567,0)-IF($A$119=$AE981,BG578,0)-IF($A$135=$AE980,BG729,0)-IF($A$136=$AE980,BG740,0)-IF($A$137=$AE980,BG751,0)-IF($A$138=$AE980,BG762,0)-IF($A$139=$AE980,BG773,0)-IF($A$140=$AE980,BG784,0)+IF($C$135=$AE980,BG796,0)+IF($C$136=$AE980,BG807,0)+IF($C$137=$AE980,BG818,0)+IF($C$138=$AE980,BG829,0)+IF($C$139=$AE980,BG840,0)+IF($C$140=$AE980,BG851,0),"")</f>
        <v>7529.688604125553</v>
      </c>
      <c r="BH981" s="345">
        <f>IF(BH$979&gt;(2020+START!$C$2),BH221+BH273+BH392-IF($A$114=$AE981,BH523,0)-IF($A$115=$AE981,BH534,0)-IF($A$116=$AE981,BH545,0)-IF($A$117=$AE981,BH556,0)-IF($A$118=$AE981,BH567,0)-IF($A$119=$AE981,BH578,0)-IF($A$135=$AE980,BH729,0)-IF($A$136=$AE980,BH740,0)-IF($A$137=$AE980,BH751,0)-IF($A$138=$AE980,BH762,0)-IF($A$139=$AE980,BH773,0)-IF($A$140=$AE980,BH784,0)+IF($C$135=$AE980,BH796,0)+IF($C$136=$AE980,BH807,0)+IF($C$137=$AE980,BH818,0)+IF($C$138=$AE980,BH829,0)+IF($C$139=$AE980,BH840,0)+IF($C$140=$AE980,BH851,0),"")</f>
        <v>7487.341555269154</v>
      </c>
      <c r="BI981" s="345">
        <f>IF(BI$979&gt;(2020+START!$C$2),BI221+BI273+BI392-IF($A$114=$AE981,BI523,0)-IF($A$115=$AE981,BI534,0)-IF($A$116=$AE981,BI545,0)-IF($A$117=$AE981,BI556,0)-IF($A$118=$AE981,BI567,0)-IF($A$119=$AE981,BI578,0)-IF($A$135=$AE980,BI729,0)-IF($A$136=$AE980,BI740,0)-IF($A$137=$AE980,BI751,0)-IF($A$138=$AE980,BI762,0)-IF($A$139=$AE980,BI773,0)-IF($A$140=$AE980,BI784,0)+IF($C$135=$AE980,BI796,0)+IF($C$136=$AE980,BI807,0)+IF($C$137=$AE980,BI818,0)+IF($C$138=$AE980,BI829,0)+IF($C$139=$AE980,BI840,0)+IF($C$140=$AE980,BI851,0),"")</f>
        <v>7447.7470645884214</v>
      </c>
      <c r="BJ981" s="345">
        <f>IF(BJ$979&gt;(2020+START!$C$2),BJ221+BJ273+BJ392-IF($A$114=$AE981,BJ523,0)-IF($A$115=$AE981,BJ534,0)-IF($A$116=$AE981,BJ545,0)-IF($A$117=$AE981,BJ556,0)-IF($A$118=$AE981,BJ567,0)-IF($A$119=$AE981,BJ578,0)-IF($A$135=$AE980,BJ729,0)-IF($A$136=$AE980,BJ740,0)-IF($A$137=$AE980,BJ751,0)-IF($A$138=$AE980,BJ762,0)-IF($A$139=$AE980,BJ773,0)-IF($A$140=$AE980,BJ784,0)+IF($C$135=$AE980,BJ796,0)+IF($C$136=$AE980,BJ807,0)+IF($C$137=$AE980,BJ818,0)+IF($C$138=$AE980,BJ829,0)+IF($C$139=$AE980,BJ840,0)+IF($C$140=$AE980,BJ851,0),"")</f>
        <v>7410.7262158019366</v>
      </c>
      <c r="BK981" s="345">
        <f>IF(BK$979&gt;(2020+START!$C$2),BK221+BK273+BK392-IF($A$114=$AE981,BK523,0)-IF($A$115=$AE981,BK534,0)-IF($A$116=$AE981,BK545,0)-IF($A$117=$AE981,BK556,0)-IF($A$118=$AE981,BK567,0)-IF($A$119=$AE981,BK578,0)-IF($A$135=$AE980,BK729,0)-IF($A$136=$AE980,BK740,0)-IF($A$137=$AE980,BK751,0)-IF($A$138=$AE980,BK762,0)-IF($A$139=$AE980,BK773,0)-IF($A$140=$AE980,BK784,0)+IF($C$135=$AE980,BK796,0)+IF($C$136=$AE980,BK807,0)+IF($C$137=$AE980,BK818,0)+IF($C$138=$AE980,BK829,0)+IF($C$139=$AE980,BK840,0)+IF($C$140=$AE980,BK851,0),"")</f>
        <v>7376.1117221865725</v>
      </c>
      <c r="BL981" s="345">
        <f>IF(BL$979&gt;(2020+START!$C$2),BL221+BL273+BL392-IF($A$114=$AE981,BL523,0)-IF($A$115=$AE981,BL534,0)-IF($A$116=$AE981,BL545,0)-IF($A$117=$AE981,BL556,0)-IF($A$118=$AE981,BL567,0)-IF($A$119=$AE981,BL578,0)-IF($A$135=$AE980,BL729,0)-IF($A$136=$AE980,BL740,0)-IF($A$137=$AE980,BL751,0)-IF($A$138=$AE980,BL762,0)-IF($A$139=$AE980,BL773,0)-IF($A$140=$AE980,BL784,0)+IF($C$135=$AE980,BL796,0)+IF($C$136=$AE980,BL807,0)+IF($C$137=$AE980,BL818,0)+IF($C$138=$AE980,BL829,0)+IF($C$139=$AE980,BL840,0)+IF($C$140=$AE980,BL851,0),"")</f>
        <v>7343.7471706562083</v>
      </c>
      <c r="BM981" s="345">
        <f>IF(BM$979&gt;(2020+START!$C$2),BM221+BM273+BM392-IF($A$114=$AE981,BM523,0)-IF($A$115=$AE981,BM534,0)-IF($A$116=$AE981,BM545,0)-IF($A$117=$AE981,BM556,0)-IF($A$118=$AE981,BM567,0)-IF($A$119=$AE981,BM578,0)-IF($A$135=$AE980,BM729,0)-IF($A$136=$AE980,BM740,0)-IF($A$137=$AE980,BM751,0)-IF($A$138=$AE980,BM762,0)-IF($A$139=$AE980,BM773,0)-IF($A$140=$AE980,BM784,0)+IF($C$135=$AE980,BM796,0)+IF($C$136=$AE980,BM807,0)+IF($C$137=$AE980,BM818,0)+IF($C$138=$AE980,BM829,0)+IF($C$139=$AE980,BM840,0)+IF($C$140=$AE980,BM851,0),"")</f>
        <v>7313.4863149753164</v>
      </c>
      <c r="BN981" s="345">
        <f>IF(BN$979&gt;(2020+START!$C$2),BN221+BN273+BN392-IF($A$114=$AE981,BN523,0)-IF($A$115=$AE981,BN534,0)-IF($A$116=$AE981,BN545,0)-IF($A$117=$AE981,BN556,0)-IF($A$118=$AE981,BN567,0)-IF($A$119=$AE981,BN578,0)-IF($A$135=$AE980,BN729,0)-IF($A$136=$AE980,BN740,0)-IF($A$137=$AE980,BN751,0)-IF($A$138=$AE980,BN762,0)-IF($A$139=$AE980,BN773,0)-IF($A$140=$AE980,BN784,0)+IF($C$135=$AE980,BN796,0)+IF($C$136=$AE980,BN807,0)+IF($C$137=$AE980,BN818,0)+IF($C$138=$AE980,BN829,0)+IF($C$139=$AE980,BN840,0)+IF($C$140=$AE980,BN851,0),"")</f>
        <v>7285.192414913683</v>
      </c>
    </row>
    <row r="982" spans="14:66" ht="20.100000000000001" customHeight="1">
      <c r="N982" s="130"/>
      <c r="O982" s="130"/>
      <c r="P982" s="130"/>
      <c r="Q982" s="130"/>
      <c r="R982" s="130"/>
      <c r="S982" s="130"/>
      <c r="T982" s="130"/>
      <c r="U982" s="130"/>
      <c r="V982" s="130"/>
      <c r="W982" s="130"/>
      <c r="X982" s="130"/>
      <c r="Y982" s="130"/>
      <c r="Z982" s="130"/>
      <c r="AA982" s="130"/>
      <c r="AB982" s="130"/>
      <c r="AC982" s="130"/>
      <c r="AD982" s="130"/>
      <c r="AE982" s="130">
        <f t="shared" ref="AE982:AE989" si="1210">AE981+1</f>
        <v>3</v>
      </c>
      <c r="AF982" s="131" t="str">
        <f>INDEX('DEFAULT DATA'!$AJT$9:$AKC$41,START!$C$3,3)</f>
        <v>Semi-detached</v>
      </c>
      <c r="AG982" s="201"/>
      <c r="AH982" s="201"/>
      <c r="AI982" s="201"/>
      <c r="AJ982" s="201"/>
      <c r="AK982" s="201"/>
      <c r="AL982" s="345">
        <f>IF(AL$979&gt;(2020+START!$C$2),AL222+AL283+AL402-IF($A$114=$AE982,AL523,0)-IF($A$115=$AE982,AL534,0)-IF($A$116=$AE982,AL545,0)-IF($A$117=$AE982,AL556,0)-IF($A$118=$AE982,AL567,0)-IF($A$119=$AE982,AL578,0)-IF($A$135=$AE980,AL729,0)-IF($A$136=$AE980,AL740,0)-IF($A$137=$AE980,AL751,0)-IF($A$138=$AE980,AL762,0)-IF($A$139=$AE980,AL773,0)-IF($A$140=$AE980,AL784,0)+IF($C$135=$AE980,AL796,0)+IF($C$136=$AE980,AL807,0)+IF($C$137=$AE980,AL818,0)+IF($C$138=$AE980,AL829,0)+IF($C$139=$AE980,AL840,0)+IF($C$140=$AE980,AL851,0),"")</f>
        <v>41317.689306508546</v>
      </c>
      <c r="AM982" s="345">
        <f>IF(AM$979&gt;(2020+START!$C$2),AM222+AM283+AM402-IF($A$114=$AE982,AM523,0)-IF($A$115=$AE982,AM534,0)-IF($A$116=$AE982,AM545,0)-IF($A$117=$AE982,AM556,0)-IF($A$118=$AE982,AM567,0)-IF($A$119=$AE982,AM578,0)-IF($A$135=$AE980,AM729,0)-IF($A$136=$AE980,AM740,0)-IF($A$137=$AE980,AM751,0)-IF($A$138=$AE980,AM762,0)-IF($A$139=$AE980,AM773,0)-IF($A$140=$AE980,AM784,0)+IF($C$135=$AE980,AM796,0)+IF($C$136=$AE980,AM807,0)+IF($C$137=$AE980,AM818,0)+IF($C$138=$AE980,AM829,0)+IF($C$139=$AE980,AM840,0)+IF($C$140=$AE980,AM851,0),"")</f>
        <v>40377.944222549886</v>
      </c>
      <c r="AN982" s="345">
        <f>IF(AN$979&gt;(2020+START!$C$2),AN222+AN283+AN402-IF($A$114=$AE982,AN523,0)-IF($A$115=$AE982,AN534,0)-IF($A$116=$AE982,AN545,0)-IF($A$117=$AE982,AN556,0)-IF($A$118=$AE982,AN567,0)-IF($A$119=$AE982,AN578,0)-IF($A$135=$AE980,AN729,0)-IF($A$136=$AE980,AN740,0)-IF($A$137=$AE980,AN751,0)-IF($A$138=$AE980,AN762,0)-IF($A$139=$AE980,AN773,0)-IF($A$140=$AE980,AN784,0)+IF($C$135=$AE980,AN796,0)+IF($C$136=$AE980,AN807,0)+IF($C$137=$AE980,AN818,0)+IF($C$138=$AE980,AN829,0)+IF($C$139=$AE980,AN840,0)+IF($C$140=$AE980,AN851,0),"")</f>
        <v>39509.619764972085</v>
      </c>
      <c r="AO982" s="345">
        <f>IF(AO$979&gt;(2020+START!$C$2),AO222+AO283+AO402-IF($A$114=$AE982,AO523,0)-IF($A$115=$AE982,AO534,0)-IF($A$116=$AE982,AO545,0)-IF($A$117=$AE982,AO556,0)-IF($A$118=$AE982,AO567,0)-IF($A$119=$AE982,AO578,0)-IF($A$135=$AE980,AO729,0)-IF($A$136=$AE980,AO740,0)-IF($A$137=$AE980,AO751,0)-IF($A$138=$AE980,AO762,0)-IF($A$139=$AE980,AO773,0)-IF($A$140=$AE980,AO784,0)+IF($C$135=$AE980,AO796,0)+IF($C$136=$AE980,AO807,0)+IF($C$137=$AE980,AO818,0)+IF($C$138=$AE980,AO829,0)+IF($C$139=$AE980,AO840,0)+IF($C$140=$AE980,AO851,0),"")</f>
        <v>38707.287966170195</v>
      </c>
      <c r="AP982" s="345">
        <f>IF(AP$979&gt;(2020+START!$C$2),AP222+AP283+AP402-IF($A$114=$AE982,AP523,0)-IF($A$115=$AE982,AP534,0)-IF($A$116=$AE982,AP545,0)-IF($A$117=$AE982,AP556,0)-IF($A$118=$AE982,AP567,0)-IF($A$119=$AE982,AP578,0)-IF($A$135=$AE980,AP729,0)-IF($A$136=$AE980,AP740,0)-IF($A$137=$AE980,AP751,0)-IF($A$138=$AE980,AP762,0)-IF($A$139=$AE980,AP773,0)-IF($A$140=$AE980,AP784,0)+IF($C$135=$AE980,AP796,0)+IF($C$136=$AE980,AP807,0)+IF($C$137=$AE980,AP818,0)+IF($C$138=$AE980,AP829,0)+IF($C$139=$AE980,AP840,0)+IF($C$140=$AE980,AP851,0),"")</f>
        <v>37965.933384077252</v>
      </c>
      <c r="AQ982" s="345">
        <f>IF(AQ$979&gt;(2020+START!$C$2),AQ222+AQ283+AQ402-IF($A$114=$AE982,AQ523,0)-IF($A$115=$AE982,AQ534,0)-IF($A$116=$AE982,AQ545,0)-IF($A$117=$AE982,AQ556,0)-IF($A$118=$AE982,AQ567,0)-IF($A$119=$AE982,AQ578,0)-IF($A$135=$AE980,AQ729,0)-IF($A$136=$AE980,AQ740,0)-IF($A$137=$AE980,AQ751,0)-IF($A$138=$AE980,AQ762,0)-IF($A$139=$AE980,AQ773,0)-IF($A$140=$AE980,AQ784,0)+IF($C$135=$AE980,AQ796,0)+IF($C$136=$AE980,AQ807,0)+IF($C$137=$AE980,AQ818,0)+IF($C$138=$AE980,AQ829,0)+IF($C$139=$AE980,AQ840,0)+IF($C$140=$AE980,AQ851,0),"")</f>
        <v>37280.921750223373</v>
      </c>
      <c r="AR982" s="345">
        <f>IF(AR$979&gt;(2020+START!$C$2),AR222+AR283+AR402-IF($A$114=$AE982,AR523,0)-IF($A$115=$AE982,AR534,0)-IF($A$116=$AE982,AR545,0)-IF($A$117=$AE982,AR556,0)-IF($A$118=$AE982,AR567,0)-IF($A$119=$AE982,AR578,0)-IF($A$135=$AE980,AR729,0)-IF($A$136=$AE980,AR740,0)-IF($A$137=$AE980,AR751,0)-IF($A$138=$AE980,AR762,0)-IF($A$139=$AE980,AR773,0)-IF($A$140=$AE980,AR784,0)+IF($C$135=$AE980,AR796,0)+IF($C$136=$AE980,AR807,0)+IF($C$137=$AE980,AR818,0)+IF($C$138=$AE980,AR829,0)+IF($C$139=$AE980,AR840,0)+IF($C$140=$AE980,AR851,0),"")</f>
        <v>36647.971000542384</v>
      </c>
      <c r="AS982" s="345">
        <f>IF(AS$979&gt;(2020+START!$C$2),AS222+AS283+AS402-IF($A$114=$AE982,AS523,0)-IF($A$115=$AE982,AS534,0)-IF($A$116=$AE982,AS545,0)-IF($A$117=$AE982,AS556,0)-IF($A$118=$AE982,AS567,0)-IF($A$119=$AE982,AS578,0)-IF($A$135=$AE980,AS729,0)-IF($A$136=$AE980,AS740,0)-IF($A$137=$AE980,AS751,0)-IF($A$138=$AE980,AS762,0)-IF($A$139=$AE980,AS773,0)-IF($A$140=$AE980,AS784,0)+IF($C$135=$AE980,AS796,0)+IF($C$136=$AE980,AS807,0)+IF($C$137=$AE980,AS818,0)+IF($C$138=$AE980,AS829,0)+IF($C$139=$AE980,AS840,0)+IF($C$140=$AE980,AS851,0),"")</f>
        <v>36063.124507837158</v>
      </c>
      <c r="AT982" s="345">
        <f>IF(AT$979&gt;(2020+START!$C$2),AT222+AT283+AT402-IF($A$114=$AE982,AT523,0)-IF($A$115=$AE982,AT534,0)-IF($A$116=$AE982,AT545,0)-IF($A$117=$AE982,AT556,0)-IF($A$118=$AE982,AT567,0)-IF($A$119=$AE982,AT578,0)-IF($A$135=$AE980,AT729,0)-IF($A$136=$AE980,AT740,0)-IF($A$137=$AE980,AT751,0)-IF($A$138=$AE980,AT762,0)-IF($A$139=$AE980,AT773,0)-IF($A$140=$AE980,AT784,0)+IF($C$135=$AE980,AT796,0)+IF($C$136=$AE980,AT807,0)+IF($C$137=$AE980,AT818,0)+IF($C$138=$AE980,AT829,0)+IF($C$139=$AE980,AT840,0)+IF($C$140=$AE980,AT851,0),"")</f>
        <v>35522.726348577518</v>
      </c>
      <c r="AU982" s="345">
        <f>IF(AU$979&gt;(2020+START!$C$2),AU222+AU283+AU402-IF($A$114=$AE982,AU523,0)-IF($A$115=$AE982,AU534,0)-IF($A$116=$AE982,AU545,0)-IF($A$117=$AE982,AU556,0)-IF($A$118=$AE982,AU567,0)-IF($A$119=$AE982,AU578,0)-IF($A$135=$AE980,AU729,0)-IF($A$136=$AE980,AU740,0)-IF($A$137=$AE980,AU751,0)-IF($A$138=$AE980,AU762,0)-IF($A$139=$AE980,AU773,0)-IF($A$140=$AE980,AU784,0)+IF($C$135=$AE980,AU796,0)+IF($C$136=$AE980,AU807,0)+IF($C$137=$AE980,AU818,0)+IF($C$138=$AE980,AU829,0)+IF($C$139=$AE980,AU840,0)+IF($C$140=$AE980,AU851,0),"")</f>
        <v>35095.6695927205</v>
      </c>
      <c r="AV982" s="345">
        <f>IF(AV$979&gt;(2020+START!$C$2),AV222+AV283+AV402-IF($A$114=$AE982,AV523,0)-IF($A$115=$AE982,AV534,0)-IF($A$116=$AE982,AV545,0)-IF($A$117=$AE982,AV556,0)-IF($A$118=$AE982,AV567,0)-IF($A$119=$AE982,AV578,0)-IF($A$135=$AE980,AV729,0)-IF($A$136=$AE980,AV740,0)-IF($A$137=$AE980,AV751,0)-IF($A$138=$AE980,AV762,0)-IF($A$139=$AE980,AV773,0)-IF($A$140=$AE980,AV784,0)+IF($C$135=$AE980,AV796,0)+IF($C$136=$AE980,AV807,0)+IF($C$137=$AE980,AV818,0)+IF($C$138=$AE980,AV829,0)+IF($C$139=$AE980,AV840,0)+IF($C$140=$AE980,AV851,0),"")</f>
        <v>34696.371525994189</v>
      </c>
      <c r="AW982" s="345">
        <f>IF(AW$979&gt;(2020+START!$C$2),AW222+AW283+AW402-IF($A$114=$AE982,AW523,0)-IF($A$115=$AE982,AW534,0)-IF($A$116=$AE982,AW545,0)-IF($A$117=$AE982,AW556,0)-IF($A$118=$AE982,AW567,0)-IF($A$119=$AE982,AW578,0)-IF($A$135=$AE980,AW729,0)-IF($A$136=$AE980,AW740,0)-IF($A$137=$AE980,AW751,0)-IF($A$138=$AE980,AW762,0)-IF($A$139=$AE980,AW773,0)-IF($A$140=$AE980,AW784,0)+IF($C$135=$AE980,AW796,0)+IF($C$136=$AE980,AW807,0)+IF($C$137=$AE980,AW818,0)+IF($C$138=$AE980,AW829,0)+IF($C$139=$AE980,AW840,0)+IF($C$140=$AE980,AW851,0),"")</f>
        <v>34323.027833605083</v>
      </c>
      <c r="AX982" s="345">
        <f>IF(AX$979&gt;(2020+START!$C$2),AX222+AX283+AX402-IF($A$114=$AE982,AX523,0)-IF($A$115=$AE982,AX534,0)-IF($A$116=$AE982,AX545,0)-IF($A$117=$AE982,AX556,0)-IF($A$118=$AE982,AX567,0)-IF($A$119=$AE982,AX578,0)-IF($A$135=$AE980,AX729,0)-IF($A$136=$AE980,AX740,0)-IF($A$137=$AE980,AX751,0)-IF($A$138=$AE980,AX762,0)-IF($A$139=$AE980,AX773,0)-IF($A$140=$AE980,AX784,0)+IF($C$135=$AE980,AX796,0)+IF($C$136=$AE980,AX807,0)+IF($C$137=$AE980,AX818,0)+IF($C$138=$AE980,AX829,0)+IF($C$139=$AE980,AX840,0)+IF($C$140=$AE980,AX851,0),"")</f>
        <v>33973.951481221273</v>
      </c>
      <c r="AY982" s="345">
        <f>IF(AY$979&gt;(2020+START!$C$2),AY222+AY283+AY402-IF($A$114=$AE982,AY523,0)-IF($A$115=$AE982,AY534,0)-IF($A$116=$AE982,AY545,0)-IF($A$117=$AE982,AY556,0)-IF($A$118=$AE982,AY567,0)-IF($A$119=$AE982,AY578,0)-IF($A$135=$AE980,AY729,0)-IF($A$136=$AE980,AY740,0)-IF($A$137=$AE980,AY751,0)-IF($A$138=$AE980,AY762,0)-IF($A$139=$AE980,AY773,0)-IF($A$140=$AE980,AY784,0)+IF($C$135=$AE980,AY796,0)+IF($C$136=$AE980,AY807,0)+IF($C$137=$AE980,AY818,0)+IF($C$138=$AE980,AY829,0)+IF($C$139=$AE980,AY840,0)+IF($C$140=$AE980,AY851,0),"")</f>
        <v>33647.565091742406</v>
      </c>
      <c r="AZ982" s="345">
        <f>IF(AZ$979&gt;(2020+START!$C$2),AZ222+AZ283+AZ402-IF($A$114=$AE982,AZ523,0)-IF($A$115=$AE982,AZ534,0)-IF($A$116=$AE982,AZ545,0)-IF($A$117=$AE982,AZ556,0)-IF($A$118=$AE982,AZ567,0)-IF($A$119=$AE982,AZ578,0)-IF($A$135=$AE980,AZ729,0)-IF($A$136=$AE980,AZ740,0)-IF($A$137=$AE980,AZ751,0)-IF($A$138=$AE980,AZ762,0)-IF($A$139=$AE980,AZ773,0)-IF($A$140=$AE980,AZ784,0)+IF($C$135=$AE980,AZ796,0)+IF($C$136=$AE980,AZ807,0)+IF($C$137=$AE980,AZ818,0)+IF($C$138=$AE980,AZ829,0)+IF($C$139=$AE980,AZ840,0)+IF($C$140=$AE980,AZ851,0),"")</f>
        <v>33342.393817579665</v>
      </c>
      <c r="BA982" s="345">
        <f>IF(BA$979&gt;(2020+START!$C$2),BA222+BA283+BA402-IF($A$114=$AE982,BA523,0)-IF($A$115=$AE982,BA534,0)-IF($A$116=$AE982,BA545,0)-IF($A$117=$AE982,BA556,0)-IF($A$118=$AE982,BA567,0)-IF($A$119=$AE982,BA578,0)-IF($A$135=$AE980,BA729,0)-IF($A$136=$AE980,BA740,0)-IF($A$137=$AE980,BA751,0)-IF($A$138=$AE980,BA762,0)-IF($A$139=$AE980,BA773,0)-IF($A$140=$AE980,BA784,0)+IF($C$135=$AE980,BA796,0)+IF($C$136=$AE980,BA807,0)+IF($C$137=$AE980,BA818,0)+IF($C$138=$AE980,BA829,0)+IF($C$139=$AE980,BA840,0)+IF($C$140=$AE980,BA851,0),"")</f>
        <v>33057.05867623751</v>
      </c>
      <c r="BB982" s="345">
        <f>IF(BB$979&gt;(2020+START!$C$2),BB222+BB283+BB402-IF($A$114=$AE982,BB523,0)-IF($A$115=$AE982,BB534,0)-IF($A$116=$AE982,BB545,0)-IF($A$117=$AE982,BB556,0)-IF($A$118=$AE982,BB567,0)-IF($A$119=$AE982,BB578,0)-IF($A$135=$AE980,BB729,0)-IF($A$136=$AE980,BB740,0)-IF($A$137=$AE980,BB751,0)-IF($A$138=$AE980,BB762,0)-IF($A$139=$AE980,BB773,0)-IF($A$140=$AE980,BB784,0)+IF($C$135=$AE980,BB796,0)+IF($C$136=$AE980,BB807,0)+IF($C$137=$AE980,BB818,0)+IF($C$138=$AE980,BB829,0)+IF($C$139=$AE980,BB840,0)+IF($C$140=$AE980,BB851,0),"")</f>
        <v>32790.270319082585</v>
      </c>
      <c r="BC982" s="345">
        <f>IF(BC$979&gt;(2020+START!$C$2),BC222+BC283+BC402-IF($A$114=$AE982,BC523,0)-IF($A$115=$AE982,BC534,0)-IF($A$116=$AE982,BC545,0)-IF($A$117=$AE982,BC556,0)-IF($A$118=$AE982,BC567,0)-IF($A$119=$AE982,BC578,0)-IF($A$135=$AE980,BC729,0)-IF($A$136=$AE980,BC740,0)-IF($A$137=$AE980,BC751,0)-IF($A$138=$AE980,BC762,0)-IF($A$139=$AE980,BC773,0)-IF($A$140=$AE980,BC784,0)+IF($C$135=$AE980,BC796,0)+IF($C$136=$AE980,BC807,0)+IF($C$137=$AE980,BC818,0)+IF($C$138=$AE980,BC829,0)+IF($C$139=$AE980,BC840,0)+IF($C$140=$AE980,BC851,0),"")</f>
        <v>32540.82320514274</v>
      </c>
      <c r="BD982" s="345">
        <f>IF(BD$979&gt;(2020+START!$C$2),BD222+BD283+BD402-IF($A$114=$AE982,BD523,0)-IF($A$115=$AE982,BD534,0)-IF($A$116=$AE982,BD545,0)-IF($A$117=$AE982,BD556,0)-IF($A$118=$AE982,BD567,0)-IF($A$119=$AE982,BD578,0)-IF($A$135=$AE980,BD729,0)-IF($A$136=$AE980,BD740,0)-IF($A$137=$AE980,BD751,0)-IF($A$138=$AE980,BD762,0)-IF($A$139=$AE980,BD773,0)-IF($A$140=$AE980,BD784,0)+IF($C$135=$AE980,BD796,0)+IF($C$136=$AE980,BD807,0)+IF($C$137=$AE980,BD818,0)+IF($C$138=$AE980,BD829,0)+IF($C$139=$AE980,BD840,0)+IF($C$140=$AE980,BD851,0),"")</f>
        <v>32307.59015360898</v>
      </c>
      <c r="BE982" s="345">
        <f>IF(BE$979&gt;(2020+START!$C$2),BE222+BE283+BE402-IF($A$114=$AE982,BE523,0)-IF($A$115=$AE982,BE534,0)-IF($A$116=$AE982,BE545,0)-IF($A$117=$AE982,BE556,0)-IF($A$118=$AE982,BE567,0)-IF($A$119=$AE982,BE578,0)-IF($A$135=$AE980,BE729,0)-IF($A$136=$AE980,BE740,0)-IF($A$137=$AE980,BE751,0)-IF($A$138=$AE980,BE762,0)-IF($A$139=$AE980,BE773,0)-IF($A$140=$AE980,BE784,0)+IF($C$135=$AE980,BE796,0)+IF($C$136=$AE980,BE807,0)+IF($C$137=$AE980,BE818,0)+IF($C$138=$AE980,BE829,0)+IF($C$139=$AE980,BE840,0)+IF($C$140=$AE980,BE851,0),"")</f>
        <v>32089.517250424913</v>
      </c>
      <c r="BF982" s="345">
        <f>IF(BF$979&gt;(2020+START!$C$2),BF222+BF283+BF402-IF($A$114=$AE982,BF523,0)-IF($A$115=$AE982,BF534,0)-IF($A$116=$AE982,BF545,0)-IF($A$117=$AE982,BF556,0)-IF($A$118=$AE982,BF567,0)-IF($A$119=$AE982,BF578,0)-IF($A$135=$AE980,BF729,0)-IF($A$136=$AE980,BF740,0)-IF($A$137=$AE980,BF751,0)-IF($A$138=$AE980,BF762,0)-IF($A$139=$AE980,BF773,0)-IF($A$140=$AE980,BF784,0)+IF($C$135=$AE980,BF796,0)+IF($C$136=$AE980,BF807,0)+IF($C$137=$AE980,BF818,0)+IF($C$138=$AE980,BF829,0)+IF($C$139=$AE980,BF840,0)+IF($C$140=$AE980,BF851,0),"")</f>
        <v>31885.619085947808</v>
      </c>
      <c r="BG982" s="345">
        <f>IF(BG$979&gt;(2020+START!$C$2),BG222+BG283+BG402-IF($A$114=$AE982,BG523,0)-IF($A$115=$AE982,BG534,0)-IF($A$116=$AE982,BG545,0)-IF($A$117=$AE982,BG556,0)-IF($A$118=$AE982,BG567,0)-IF($A$119=$AE982,BG578,0)-IF($A$135=$AE980,BG729,0)-IF($A$136=$AE980,BG740,0)-IF($A$137=$AE980,BG751,0)-IF($A$138=$AE980,BG762,0)-IF($A$139=$AE980,BG773,0)-IF($A$140=$AE980,BG784,0)+IF($C$135=$AE980,BG796,0)+IF($C$136=$AE980,BG807,0)+IF($C$137=$AE980,BG818,0)+IF($C$138=$AE980,BG829,0)+IF($C$139=$AE980,BG840,0)+IF($C$140=$AE980,BG851,0),"")</f>
        <v>31694.974302161718</v>
      </c>
      <c r="BH982" s="345">
        <f>IF(BH$979&gt;(2020+START!$C$2),BH222+BH283+BH402-IF($A$114=$AE982,BH523,0)-IF($A$115=$AE982,BH534,0)-IF($A$116=$AE982,BH545,0)-IF($A$117=$AE982,BH556,0)-IF($A$118=$AE982,BH567,0)-IF($A$119=$AE982,BH578,0)-IF($A$135=$AE980,BH729,0)-IF($A$136=$AE980,BH740,0)-IF($A$137=$AE980,BH751,0)-IF($A$138=$AE980,BH762,0)-IF($A$139=$AE980,BH773,0)-IF($A$140=$AE980,BH784,0)+IF($C$135=$AE980,BH796,0)+IF($C$136=$AE980,BH807,0)+IF($C$137=$AE980,BH818,0)+IF($C$138=$AE980,BH829,0)+IF($C$139=$AE980,BH840,0)+IF($C$140=$AE980,BH851,0),"")</f>
        <v>31516.721429321726</v>
      </c>
      <c r="BI982" s="345">
        <f>IF(BI$979&gt;(2020+START!$C$2),BI222+BI283+BI402-IF($A$114=$AE982,BI523,0)-IF($A$115=$AE982,BI534,0)-IF($A$116=$AE982,BI545,0)-IF($A$117=$AE982,BI556,0)-IF($A$118=$AE982,BI567,0)-IF($A$119=$AE982,BI578,0)-IF($A$135=$AE980,BI729,0)-IF($A$136=$AE980,BI740,0)-IF($A$137=$AE980,BI751,0)-IF($A$138=$AE980,BI762,0)-IF($A$139=$AE980,BI773,0)-IF($A$140=$AE980,BI784,0)+IF($C$135=$AE980,BI796,0)+IF($C$136=$AE980,BI807,0)+IF($C$137=$AE980,BI818,0)+IF($C$138=$AE980,BI829,0)+IF($C$139=$AE980,BI840,0)+IF($C$140=$AE980,BI851,0),"")</f>
        <v>31350.054993216334</v>
      </c>
      <c r="BJ982" s="345">
        <f>IF(BJ$979&gt;(2020+START!$C$2),BJ222+BJ283+BJ402-IF($A$114=$AE982,BJ523,0)-IF($A$115=$AE982,BJ534,0)-IF($A$116=$AE982,BJ545,0)-IF($A$117=$AE982,BJ556,0)-IF($A$118=$AE982,BJ567,0)-IF($A$119=$AE982,BJ578,0)-IF($A$135=$AE980,BJ729,0)-IF($A$136=$AE980,BJ740,0)-IF($A$137=$AE980,BJ751,0)-IF($A$138=$AE980,BJ762,0)-IF($A$139=$AE980,BJ773,0)-IF($A$140=$AE980,BJ784,0)+IF($C$135=$AE980,BJ796,0)+IF($C$136=$AE980,BJ807,0)+IF($C$137=$AE980,BJ818,0)+IF($C$138=$AE980,BJ829,0)+IF($C$139=$AE980,BJ840,0)+IF($C$140=$AE980,BJ851,0),"")</f>
        <v>31194.221875457792</v>
      </c>
      <c r="BK982" s="345">
        <f>IF(BK$979&gt;(2020+START!$C$2),BK222+BK283+BK402-IF($A$114=$AE982,BK523,0)-IF($A$115=$AE982,BK534,0)-IF($A$116=$AE982,BK545,0)-IF($A$117=$AE982,BK556,0)-IF($A$118=$AE982,BK567,0)-IF($A$119=$AE982,BK578,0)-IF($A$135=$AE980,BK729,0)-IF($A$136=$AE980,BK740,0)-IF($A$137=$AE980,BK751,0)-IF($A$138=$AE980,BK762,0)-IF($A$139=$AE980,BK773,0)-IF($A$140=$AE980,BK784,0)+IF($C$135=$AE980,BK796,0)+IF($C$136=$AE980,BK807,0)+IF($C$137=$AE980,BK818,0)+IF($C$138=$AE980,BK829,0)+IF($C$139=$AE980,BK840,0)+IF($C$140=$AE980,BK851,0),"")</f>
        <v>31048.517910353548</v>
      </c>
      <c r="BL982" s="345">
        <f>IF(BL$979&gt;(2020+START!$C$2),BL222+BL283+BL402-IF($A$114=$AE982,BL523,0)-IF($A$115=$AE982,BL534,0)-IF($A$116=$AE982,BL545,0)-IF($A$117=$AE982,BL556,0)-IF($A$118=$AE982,BL567,0)-IF($A$119=$AE982,BL578,0)-IF($A$135=$AE980,BL729,0)-IF($A$136=$AE980,BL740,0)-IF($A$137=$AE980,BL751,0)-IF($A$138=$AE980,BL762,0)-IF($A$139=$AE980,BL773,0)-IF($A$140=$AE980,BL784,0)+IF($C$135=$AE980,BL796,0)+IF($C$136=$AE980,BL807,0)+IF($C$137=$AE980,BL818,0)+IF($C$138=$AE980,BL829,0)+IF($C$139=$AE980,BL840,0)+IF($C$140=$AE980,BL851,0),"")</f>
        <v>30912.284702981087</v>
      </c>
      <c r="BM982" s="345">
        <f>IF(BM$979&gt;(2020+START!$C$2),BM222+BM283+BM402-IF($A$114=$AE982,BM523,0)-IF($A$115=$AE982,BM534,0)-IF($A$116=$AE982,BM545,0)-IF($A$117=$AE982,BM556,0)-IF($A$118=$AE982,BM567,0)-IF($A$119=$AE982,BM578,0)-IF($A$135=$AE980,BM729,0)-IF($A$136=$AE980,BM740,0)-IF($A$137=$AE980,BM751,0)-IF($A$138=$AE980,BM762,0)-IF($A$139=$AE980,BM773,0)-IF($A$140=$AE980,BM784,0)+IF($C$135=$AE980,BM796,0)+IF($C$136=$AE980,BM807,0)+IF($C$137=$AE980,BM818,0)+IF($C$138=$AE980,BM829,0)+IF($C$139=$AE980,BM840,0)+IF($C$140=$AE980,BM851,0),"")</f>
        <v>30784.906654087834</v>
      </c>
      <c r="BN982" s="345">
        <f>IF(BN$979&gt;(2020+START!$C$2),BN222+BN283+BN402-IF($A$114=$AE982,BN523,0)-IF($A$115=$AE982,BN534,0)-IF($A$116=$AE982,BN545,0)-IF($A$117=$AE982,BN556,0)-IF($A$118=$AE982,BN567,0)-IF($A$119=$AE982,BN578,0)-IF($A$135=$AE980,BN729,0)-IF($A$136=$AE980,BN740,0)-IF($A$137=$AE980,BN751,0)-IF($A$138=$AE980,BN762,0)-IF($A$139=$AE980,BN773,0)-IF($A$140=$AE980,BN784,0)+IF($C$135=$AE980,BN796,0)+IF($C$136=$AE980,BN807,0)+IF($C$137=$AE980,BN818,0)+IF($C$138=$AE980,BN829,0)+IF($C$139=$AE980,BN840,0)+IF($C$140=$AE980,BN851,0),"")</f>
        <v>30665.808178372645</v>
      </c>
    </row>
    <row r="983" spans="14:66" ht="20.100000000000001" customHeight="1">
      <c r="N983" s="130"/>
      <c r="O983" s="130"/>
      <c r="P983" s="130"/>
      <c r="Q983" s="130"/>
      <c r="R983" s="130"/>
      <c r="S983" s="130"/>
      <c r="T983" s="130"/>
      <c r="U983" s="130"/>
      <c r="V983" s="130"/>
      <c r="W983" s="130"/>
      <c r="X983" s="130"/>
      <c r="Y983" s="130"/>
      <c r="Z983" s="130"/>
      <c r="AA983" s="130"/>
      <c r="AB983" s="130"/>
      <c r="AC983" s="130"/>
      <c r="AD983" s="130"/>
      <c r="AE983" s="130">
        <f t="shared" si="1210"/>
        <v>4</v>
      </c>
      <c r="AF983" s="131" t="str">
        <f>INDEX('DEFAULT DATA'!$AJT$9:$AKC$41,START!$C$3,4)</f>
        <v>Detached</v>
      </c>
      <c r="AG983" s="201"/>
      <c r="AH983" s="201"/>
      <c r="AI983" s="201"/>
      <c r="AJ983" s="201"/>
      <c r="AK983" s="201"/>
      <c r="AL983" s="345">
        <f>IF(AL$979&gt;(2020+START!$C$2),AL223+AL293+AL412-IF($A$114=$AE983,AL523,0)-IF($A$115=$AE983,AL534,0)-IF($A$116=$AE983,AL545,0)-IF($A$117=$AE983,AL556,0)-IF($A$118=$AE983,AL567,0)-IF($A$119=$AE983,AL578,0)-IF($A$135=$AE980,AL729,0)-IF($A$136=$AE980,AL740,0)-IF($A$137=$AE980,AL751,0)-IF($A$138=$AE980,AL762,0)-IF($A$139=$AE980,AL773,0)-IF($A$140=$AE980,AL784,0)+IF($C$135=$AE980,AL796,0)+IF($C$136=$AE980,AL807,0)+IF($C$137=$AE980,AL818,0)+IF($C$138=$AE980,AL829,0)+IF($C$139=$AE980,AL840,0)+IF($C$140=$AE980,AL851,0),"")</f>
        <v>79224.822270316072</v>
      </c>
      <c r="AM983" s="345">
        <f>IF(AM$979&gt;(2020+START!$C$2),AM223+AM293+AM412-IF($A$114=$AE983,AM523,0)-IF($A$115=$AE983,AM534,0)-IF($A$116=$AE983,AM545,0)-IF($A$117=$AE983,AM556,0)-IF($A$118=$AE983,AM567,0)-IF($A$119=$AE983,AM578,0)-IF($A$135=$AE980,AM729,0)-IF($A$136=$AE980,AM740,0)-IF($A$137=$AE980,AM751,0)-IF($A$138=$AE980,AM762,0)-IF($A$139=$AE980,AM773,0)-IF($A$140=$AE980,AM784,0)+IF($C$135=$AE980,AM796,0)+IF($C$136=$AE980,AM807,0)+IF($C$137=$AE980,AM818,0)+IF($C$138=$AE980,AM829,0)+IF($C$139=$AE980,AM840,0)+IF($C$140=$AE980,AM851,0),"")</f>
        <v>77228.58022352065</v>
      </c>
      <c r="AN983" s="345">
        <f>IF(AN$979&gt;(2020+START!$C$2),AN223+AN293+AN412-IF($A$114=$AE983,AN523,0)-IF($A$115=$AE983,AN534,0)-IF($A$116=$AE983,AN545,0)-IF($A$117=$AE983,AN556,0)-IF($A$118=$AE983,AN567,0)-IF($A$119=$AE983,AN578,0)-IF($A$135=$AE980,AN729,0)-IF($A$136=$AE980,AN740,0)-IF($A$137=$AE980,AN751,0)-IF($A$138=$AE980,AN762,0)-IF($A$139=$AE980,AN773,0)-IF($A$140=$AE980,AN784,0)+IF($C$135=$AE980,AN796,0)+IF($C$136=$AE980,AN807,0)+IF($C$137=$AE980,AN818,0)+IF($C$138=$AE980,AN829,0)+IF($C$139=$AE980,AN840,0)+IF($C$140=$AE980,AN851,0),"")</f>
        <v>75384.052572281667</v>
      </c>
      <c r="AO983" s="345">
        <f>IF(AO$979&gt;(2020+START!$C$2),AO223+AO293+AO412-IF($A$114=$AE983,AO523,0)-IF($A$115=$AE983,AO534,0)-IF($A$116=$AE983,AO545,0)-IF($A$117=$AE983,AO556,0)-IF($A$118=$AE983,AO567,0)-IF($A$119=$AE983,AO578,0)-IF($A$135=$AE980,AO729,0)-IF($A$136=$AE980,AO740,0)-IF($A$137=$AE980,AO751,0)-IF($A$138=$AE980,AO762,0)-IF($A$139=$AE980,AO773,0)-IF($A$140=$AE980,AO784,0)+IF($C$135=$AE980,AO796,0)+IF($C$136=$AE980,AO807,0)+IF($C$137=$AE980,AO818,0)+IF($C$138=$AE980,AO829,0)+IF($C$139=$AE980,AO840,0)+IF($C$140=$AE980,AO851,0),"")</f>
        <v>73679.709022536845</v>
      </c>
      <c r="AP983" s="345">
        <f>IF(AP$979&gt;(2020+START!$C$2),AP223+AP293+AP412-IF($A$114=$AE983,AP523,0)-IF($A$115=$AE983,AP534,0)-IF($A$116=$AE983,AP545,0)-IF($A$117=$AE983,AP556,0)-IF($A$118=$AE983,AP567,0)-IF($A$119=$AE983,AP578,0)-IF($A$135=$AE980,AP729,0)-IF($A$136=$AE980,AP740,0)-IF($A$137=$AE980,AP751,0)-IF($A$138=$AE980,AP762,0)-IF($A$139=$AE980,AP773,0)-IF($A$140=$AE980,AP784,0)+IF($C$135=$AE980,AP796,0)+IF($C$136=$AE980,AP807,0)+IF($C$137=$AE980,AP818,0)+IF($C$138=$AE980,AP829,0)+IF($C$139=$AE980,AP840,0)+IF($C$140=$AE980,AP851,0),"")</f>
        <v>72104.895582572644</v>
      </c>
      <c r="AQ983" s="345">
        <f>IF(AQ$979&gt;(2020+START!$C$2),AQ223+AQ293+AQ412-IF($A$114=$AE983,AQ523,0)-IF($A$115=$AE983,AQ534,0)-IF($A$116=$AE983,AQ545,0)-IF($A$117=$AE983,AQ556,0)-IF($A$118=$AE983,AQ567,0)-IF($A$119=$AE983,AQ578,0)-IF($A$135=$AE980,AQ729,0)-IF($A$136=$AE980,AQ740,0)-IF($A$137=$AE980,AQ751,0)-IF($A$138=$AE980,AQ762,0)-IF($A$139=$AE980,AQ773,0)-IF($A$140=$AE980,AQ784,0)+IF($C$135=$AE980,AQ796,0)+IF($C$136=$AE980,AQ807,0)+IF($C$137=$AE980,AQ818,0)+IF($C$138=$AE980,AQ829,0)+IF($C$139=$AE980,AQ840,0)+IF($C$140=$AE980,AQ851,0),"")</f>
        <v>70649.767964045706</v>
      </c>
      <c r="AR983" s="345">
        <f>IF(AR$979&gt;(2020+START!$C$2),AR223+AR293+AR412-IF($A$114=$AE983,AR523,0)-IF($A$115=$AE983,AR534,0)-IF($A$116=$AE983,AR545,0)-IF($A$117=$AE983,AR556,0)-IF($A$118=$AE983,AR567,0)-IF($A$119=$AE983,AR578,0)-IF($A$135=$AE980,AR729,0)-IF($A$136=$AE980,AR740,0)-IF($A$137=$AE980,AR751,0)-IF($A$138=$AE980,AR762,0)-IF($A$139=$AE980,AR773,0)-IF($A$140=$AE980,AR784,0)+IF($C$135=$AE980,AR796,0)+IF($C$136=$AE980,AR807,0)+IF($C$137=$AE980,AR818,0)+IF($C$138=$AE980,AR829,0)+IF($C$139=$AE980,AR840,0)+IF($C$140=$AE980,AR851,0),"")</f>
        <v>69305.230044526834</v>
      </c>
      <c r="AS983" s="345">
        <f>IF(AS$979&gt;(2020+START!$C$2),AS223+AS293+AS412-IF($A$114=$AE983,AS523,0)-IF($A$115=$AE983,AS534,0)-IF($A$116=$AE983,AS545,0)-IF($A$117=$AE983,AS556,0)-IF($A$118=$AE983,AS567,0)-IF($A$119=$AE983,AS578,0)-IF($A$135=$AE980,AS729,0)-IF($A$136=$AE980,AS740,0)-IF($A$137=$AE980,AS751,0)-IF($A$138=$AE980,AS762,0)-IF($A$139=$AE980,AS773,0)-IF($A$140=$AE980,AS784,0)+IF($C$135=$AE980,AS796,0)+IF($C$136=$AE980,AS807,0)+IF($C$137=$AE980,AS818,0)+IF($C$138=$AE980,AS829,0)+IF($C$139=$AE980,AS840,0)+IF($C$140=$AE980,AS851,0),"")</f>
        <v>68062.877006891373</v>
      </c>
      <c r="AT983" s="345">
        <f>IF(AT$979&gt;(2020+START!$C$2),AT223+AT293+AT412-IF($A$114=$AE983,AT523,0)-IF($A$115=$AE983,AT534,0)-IF($A$116=$AE983,AT545,0)-IF($A$117=$AE983,AT556,0)-IF($A$118=$AE983,AT567,0)-IF($A$119=$AE983,AT578,0)-IF($A$135=$AE980,AT729,0)-IF($A$136=$AE980,AT740,0)-IF($A$137=$AE980,AT751,0)-IF($A$138=$AE980,AT762,0)-IF($A$139=$AE980,AT773,0)-IF($A$140=$AE980,AT784,0)+IF($C$135=$AE980,AT796,0)+IF($C$136=$AE980,AT807,0)+IF($C$137=$AE980,AT818,0)+IF($C$138=$AE980,AT829,0)+IF($C$139=$AE980,AT840,0)+IF($C$140=$AE980,AT851,0),"")</f>
        <v>66914.942800116216</v>
      </c>
      <c r="AU983" s="345">
        <f>IF(AU$979&gt;(2020+START!$C$2),AU223+AU293+AU412-IF($A$114=$AE983,AU523,0)-IF($A$115=$AE983,AU534,0)-IF($A$116=$AE983,AU545,0)-IF($A$117=$AE983,AU556,0)-IF($A$118=$AE983,AU567,0)-IF($A$119=$AE983,AU578,0)-IF($A$135=$AE980,AU729,0)-IF($A$136=$AE980,AU740,0)-IF($A$137=$AE980,AU751,0)-IF($A$138=$AE980,AU762,0)-IF($A$139=$AE980,AU773,0)-IF($A$140=$AE980,AU784,0)+IF($C$135=$AE980,AU796,0)+IF($C$136=$AE980,AU807,0)+IF($C$137=$AE980,AU818,0)+IF($C$138=$AE980,AU829,0)+IF($C$139=$AE980,AU840,0)+IF($C$140=$AE980,AU851,0),"")</f>
        <v>66007.772688814701</v>
      </c>
      <c r="AV983" s="345">
        <f>IF(AV$979&gt;(2020+START!$C$2),AV223+AV293+AV412-IF($A$114=$AE983,AV523,0)-IF($A$115=$AE983,AV534,0)-IF($A$116=$AE983,AV545,0)-IF($A$117=$AE983,AV556,0)-IF($A$118=$AE983,AV567,0)-IF($A$119=$AE983,AV578,0)-IF($A$135=$AE980,AV729,0)-IF($A$136=$AE980,AV740,0)-IF($A$137=$AE980,AV751,0)-IF($A$138=$AE980,AV762,0)-IF($A$139=$AE980,AV773,0)-IF($A$140=$AE980,AV784,0)+IF($C$135=$AE980,AV796,0)+IF($C$136=$AE980,AV807,0)+IF($C$137=$AE980,AV818,0)+IF($C$138=$AE980,AV829,0)+IF($C$139=$AE980,AV840,0)+IF($C$140=$AE980,AV851,0),"")</f>
        <v>65159.568634747775</v>
      </c>
      <c r="AW983" s="345">
        <f>IF(AW$979&gt;(2020+START!$C$2),AW223+AW293+AW412-IF($A$114=$AE983,AW523,0)-IF($A$115=$AE983,AW534,0)-IF($A$116=$AE983,AW545,0)-IF($A$117=$AE983,AW556,0)-IF($A$118=$AE983,AW567,0)-IF($A$119=$AE983,AW578,0)-IF($A$135=$AE980,AW729,0)-IF($A$136=$AE980,AW740,0)-IF($A$137=$AE980,AW751,0)-IF($A$138=$AE980,AW762,0)-IF($A$139=$AE980,AW773,0)-IF($A$140=$AE980,AW784,0)+IF($C$135=$AE980,AW796,0)+IF($C$136=$AE980,AW807,0)+IF($C$137=$AE980,AW818,0)+IF($C$138=$AE980,AW829,0)+IF($C$139=$AE980,AW840,0)+IF($C$140=$AE980,AW851,0),"")</f>
        <v>64366.497844195197</v>
      </c>
      <c r="AX983" s="345">
        <f>IF(AX$979&gt;(2020+START!$C$2),AX223+AX293+AX412-IF($A$114=$AE983,AX523,0)-IF($A$115=$AE983,AX534,0)-IF($A$116=$AE983,AX545,0)-IF($A$117=$AE983,AX556,0)-IF($A$118=$AE983,AX567,0)-IF($A$119=$AE983,AX578,0)-IF($A$135=$AE980,AX729,0)-IF($A$136=$AE980,AX740,0)-IF($A$137=$AE980,AX751,0)-IF($A$138=$AE980,AX762,0)-IF($A$139=$AE980,AX773,0)-IF($A$140=$AE980,AX784,0)+IF($C$135=$AE980,AX796,0)+IF($C$136=$AE980,AX807,0)+IF($C$137=$AE980,AX818,0)+IF($C$138=$AE980,AX829,0)+IF($C$139=$AE980,AX840,0)+IF($C$140=$AE980,AX851,0),"")</f>
        <v>63624.976655028542</v>
      </c>
      <c r="AY983" s="345">
        <f>IF(AY$979&gt;(2020+START!$C$2),AY223+AY293+AY412-IF($A$114=$AE983,AY523,0)-IF($A$115=$AE983,AY534,0)-IF($A$116=$AE983,AY545,0)-IF($A$117=$AE983,AY556,0)-IF($A$118=$AE983,AY567,0)-IF($A$119=$AE983,AY578,0)-IF($A$135=$AE980,AY729,0)-IF($A$136=$AE980,AY740,0)-IF($A$137=$AE980,AY751,0)-IF($A$138=$AE980,AY762,0)-IF($A$139=$AE980,AY773,0)-IF($A$140=$AE980,AY784,0)+IF($C$135=$AE980,AY796,0)+IF($C$136=$AE980,AY807,0)+IF($C$137=$AE980,AY818,0)+IF($C$138=$AE980,AY829,0)+IF($C$139=$AE980,AY840,0)+IF($C$140=$AE980,AY851,0),"")</f>
        <v>62931.654343157716</v>
      </c>
      <c r="AZ983" s="345">
        <f>IF(AZ$979&gt;(2020+START!$C$2),AZ223+AZ293+AZ412-IF($A$114=$AE983,AZ523,0)-IF($A$115=$AE983,AZ534,0)-IF($A$116=$AE983,AZ545,0)-IF($A$117=$AE983,AZ556,0)-IF($A$118=$AE983,AZ567,0)-IF($A$119=$AE983,AZ578,0)-IF($A$135=$AE980,AZ729,0)-IF($A$136=$AE980,AZ740,0)-IF($A$137=$AE980,AZ751,0)-IF($A$138=$AE980,AZ762,0)-IF($A$139=$AE980,AZ773,0)-IF($A$140=$AE980,AZ784,0)+IF($C$135=$AE980,AZ796,0)+IF($C$136=$AE980,AZ807,0)+IF($C$137=$AE980,AZ818,0)+IF($C$138=$AE980,AZ829,0)+IF($C$139=$AE980,AZ840,0)+IF($C$140=$AE980,AZ851,0),"")</f>
        <v>62283.397981558504</v>
      </c>
      <c r="BA983" s="345">
        <f>IF(BA$979&gt;(2020+START!$C$2),BA223+BA293+BA412-IF($A$114=$AE983,BA523,0)-IF($A$115=$AE983,BA534,0)-IF($A$116=$AE983,BA545,0)-IF($A$117=$AE983,BA556,0)-IF($A$118=$AE983,BA567,0)-IF($A$119=$AE983,BA578,0)-IF($A$135=$AE980,BA729,0)-IF($A$136=$AE980,BA740,0)-IF($A$137=$AE980,BA751,0)-IF($A$138=$AE980,BA762,0)-IF($A$139=$AE980,BA773,0)-IF($A$140=$AE980,BA784,0)+IF($C$135=$AE980,BA796,0)+IF($C$136=$AE980,BA807,0)+IF($C$137=$AE980,BA818,0)+IF($C$138=$AE980,BA829,0)+IF($C$139=$AE980,BA840,0)+IF($C$140=$AE980,BA851,0),"")</f>
        <v>61677.278283463223</v>
      </c>
      <c r="BB983" s="345">
        <f>IF(BB$979&gt;(2020+START!$C$2),BB223+BB293+BB412-IF($A$114=$AE983,BB523,0)-IF($A$115=$AE983,BB534,0)-IF($A$116=$AE983,BB545,0)-IF($A$117=$AE983,BB556,0)-IF($A$118=$AE983,BB567,0)-IF($A$119=$AE983,BB578,0)-IF($A$135=$AE980,BB729,0)-IF($A$136=$AE980,BB740,0)-IF($A$137=$AE980,BB751,0)-IF($A$138=$AE980,BB762,0)-IF($A$139=$AE980,BB773,0)-IF($A$140=$AE980,BB784,0)+IF($C$135=$AE980,BB796,0)+IF($C$136=$AE980,BB807,0)+IF($C$137=$AE980,BB818,0)+IF($C$138=$AE980,BB829,0)+IF($C$139=$AE980,BB840,0)+IF($C$140=$AE980,BB851,0),"")</f>
        <v>61110.556365744153</v>
      </c>
      <c r="BC983" s="345">
        <f>IF(BC$979&gt;(2020+START!$C$2),BC223+BC293+BC412-IF($A$114=$AE983,BC523,0)-IF($A$115=$AE983,BC534,0)-IF($A$116=$AE983,BC545,0)-IF($A$117=$AE983,BC556,0)-IF($A$118=$AE983,BC567,0)-IF($A$119=$AE983,BC578,0)-IF($A$135=$AE980,BC729,0)-IF($A$136=$AE980,BC740,0)-IF($A$137=$AE980,BC751,0)-IF($A$138=$AE980,BC762,0)-IF($A$139=$AE980,BC773,0)-IF($A$140=$AE980,BC784,0)+IF($C$135=$AE980,BC796,0)+IF($C$136=$AE980,BC807,0)+IF($C$137=$AE980,BC818,0)+IF($C$138=$AE980,BC829,0)+IF($C$139=$AE980,BC840,0)+IF($C$140=$AE980,BC851,0),"")</f>
        <v>60580.671372676807</v>
      </c>
      <c r="BD983" s="345">
        <f>IF(BD$979&gt;(2020+START!$C$2),BD223+BD293+BD412-IF($A$114=$AE983,BD523,0)-IF($A$115=$AE983,BD534,0)-IF($A$116=$AE983,BD545,0)-IF($A$117=$AE983,BD556,0)-IF($A$118=$AE983,BD567,0)-IF($A$119=$AE983,BD578,0)-IF($A$135=$AE980,BD729,0)-IF($A$136=$AE980,BD740,0)-IF($A$137=$AE980,BD751,0)-IF($A$138=$AE980,BD762,0)-IF($A$139=$AE980,BD773,0)-IF($A$140=$AE980,BD784,0)+IF($C$135=$AE980,BD796,0)+IF($C$136=$AE980,BD807,0)+IF($C$137=$AE980,BD818,0)+IF($C$138=$AE980,BD829,0)+IF($C$139=$AE980,BD840,0)+IF($C$140=$AE980,BD851,0),"")</f>
        <v>60085.228904158852</v>
      </c>
      <c r="BE983" s="345">
        <f>IF(BE$979&gt;(2020+START!$C$2),BE223+BE293+BE412-IF($A$114=$AE983,BE523,0)-IF($A$115=$AE983,BE534,0)-IF($A$116=$AE983,BE545,0)-IF($A$117=$AE983,BE556,0)-IF($A$118=$AE983,BE567,0)-IF($A$119=$AE983,BE578,0)-IF($A$135=$AE980,BE729,0)-IF($A$136=$AE980,BE740,0)-IF($A$137=$AE980,BE751,0)-IF($A$138=$AE980,BE762,0)-IF($A$139=$AE980,BE773,0)-IF($A$140=$AE980,BE784,0)+IF($C$135=$AE980,BE796,0)+IF($C$136=$AE980,BE807,0)+IF($C$137=$AE980,BE818,0)+IF($C$138=$AE980,BE829,0)+IF($C$139=$AE980,BE840,0)+IF($C$140=$AE980,BE851,0),"")</f>
        <v>59621.990196094557</v>
      </c>
      <c r="BF983" s="345">
        <f>IF(BF$979&gt;(2020+START!$C$2),BF223+BF293+BF412-IF($A$114=$AE983,BF523,0)-IF($A$115=$AE983,BF534,0)-IF($A$116=$AE983,BF545,0)-IF($A$117=$AE983,BF556,0)-IF($A$118=$AE983,BF567,0)-IF($A$119=$AE983,BF578,0)-IF($A$135=$AE980,BF729,0)-IF($A$136=$AE980,BF740,0)-IF($A$137=$AE980,BF751,0)-IF($A$138=$AE980,BF762,0)-IF($A$139=$AE980,BF773,0)-IF($A$140=$AE980,BF784,0)+IF($C$135=$AE980,BF796,0)+IF($C$136=$AE980,BF807,0)+IF($C$137=$AE980,BF818,0)+IF($C$138=$AE980,BF829,0)+IF($C$139=$AE980,BF840,0)+IF($C$140=$AE980,BF851,0),"")</f>
        <v>59188.862004054434</v>
      </c>
      <c r="BG983" s="345">
        <f>IF(BG$979&gt;(2020+START!$C$2),BG223+BG293+BG412-IF($A$114=$AE983,BG523,0)-IF($A$115=$AE983,BG534,0)-IF($A$116=$AE983,BG545,0)-IF($A$117=$AE983,BG556,0)-IF($A$118=$AE983,BG567,0)-IF($A$119=$AE983,BG578,0)-IF($A$135=$AE980,BG729,0)-IF($A$136=$AE980,BG740,0)-IF($A$137=$AE980,BG751,0)-IF($A$138=$AE980,BG762,0)-IF($A$139=$AE980,BG773,0)-IF($A$140=$AE980,BG784,0)+IF($C$135=$AE980,BG796,0)+IF($C$136=$AE980,BG807,0)+IF($C$137=$AE980,BG818,0)+IF($C$138=$AE980,BG829,0)+IF($C$139=$AE980,BG840,0)+IF($C$140=$AE980,BG851,0),"")</f>
        <v>58783.887144496926</v>
      </c>
      <c r="BH983" s="345">
        <f>IF(BH$979&gt;(2020+START!$C$2),BH223+BH293+BH412-IF($A$114=$AE983,BH523,0)-IF($A$115=$AE983,BH534,0)-IF($A$116=$AE983,BH545,0)-IF($A$117=$AE983,BH556,0)-IF($A$118=$AE983,BH567,0)-IF($A$119=$AE983,BH578,0)-IF($A$135=$AE980,BH729,0)-IF($A$136=$AE980,BH740,0)-IF($A$137=$AE980,BH751,0)-IF($A$138=$AE980,BH762,0)-IF($A$139=$AE980,BH773,0)-IF($A$140=$AE980,BH784,0)+IF($C$135=$AE980,BH796,0)+IF($C$136=$AE980,BH807,0)+IF($C$137=$AE980,BH818,0)+IF($C$138=$AE980,BH829,0)+IF($C$139=$AE980,BH840,0)+IF($C$140=$AE980,BH851,0),"")</f>
        <v>58405.23565081066</v>
      </c>
      <c r="BI983" s="345">
        <f>IF(BI$979&gt;(2020+START!$C$2),BI223+BI293+BI412-IF($A$114=$AE983,BI523,0)-IF($A$115=$AE983,BI534,0)-IF($A$116=$AE983,BI545,0)-IF($A$117=$AE983,BI556,0)-IF($A$118=$AE983,BI567,0)-IF($A$119=$AE983,BI578,0)-IF($A$135=$AE980,BI729,0)-IF($A$136=$AE980,BI740,0)-IF($A$137=$AE980,BI751,0)-IF($A$138=$AE980,BI762,0)-IF($A$139=$AE980,BI773,0)-IF($A$140=$AE980,BI784,0)+IF($C$135=$AE980,BI796,0)+IF($C$136=$AE980,BI807,0)+IF($C$137=$AE980,BI818,0)+IF($C$138=$AE980,BI829,0)+IF($C$139=$AE980,BI840,0)+IF($C$140=$AE980,BI851,0),"")</f>
        <v>58051.196504214007</v>
      </c>
      <c r="BJ983" s="345">
        <f>IF(BJ$979&gt;(2020+START!$C$2),BJ223+BJ293+BJ412-IF($A$114=$AE983,BJ523,0)-IF($A$115=$AE983,BJ534,0)-IF($A$116=$AE983,BJ545,0)-IF($A$117=$AE983,BJ556,0)-IF($A$118=$AE983,BJ567,0)-IF($A$119=$AE983,BJ578,0)-IF($A$135=$AE980,BJ729,0)-IF($A$136=$AE980,BJ740,0)-IF($A$137=$AE980,BJ751,0)-IF($A$138=$AE980,BJ762,0)-IF($A$139=$AE980,BJ773,0)-IF($A$140=$AE980,BJ784,0)+IF($C$135=$AE980,BJ796,0)+IF($C$136=$AE980,BJ807,0)+IF($C$137=$AE980,BJ818,0)+IF($C$138=$AE980,BJ829,0)+IF($C$139=$AE980,BJ840,0)+IF($C$140=$AE980,BJ851,0),"")</f>
        <v>57720.169902146125</v>
      </c>
      <c r="BK983" s="345">
        <f>IF(BK$979&gt;(2020+START!$C$2),BK223+BK293+BK412-IF($A$114=$AE983,BK523,0)-IF($A$115=$AE983,BK534,0)-IF($A$116=$AE983,BK545,0)-IF($A$117=$AE983,BK556,0)-IF($A$118=$AE983,BK567,0)-IF($A$119=$AE983,BK578,0)-IF($A$135=$AE980,BK729,0)-IF($A$136=$AE980,BK740,0)-IF($A$137=$AE980,BK751,0)-IF($A$138=$AE980,BK762,0)-IF($A$139=$AE980,BK773,0)-IF($A$140=$AE980,BK784,0)+IF($C$135=$AE980,BK796,0)+IF($C$136=$AE980,BK807,0)+IF($C$137=$AE980,BK818,0)+IF($C$138=$AE980,BK829,0)+IF($C$139=$AE980,BK840,0)+IF($C$140=$AE980,BK851,0),"")</f>
        <v>57410.660029212653</v>
      </c>
      <c r="BL983" s="345">
        <f>IF(BL$979&gt;(2020+START!$C$2),BL223+BL293+BL412-IF($A$114=$AE983,BL523,0)-IF($A$115=$AE983,BL534,0)-IF($A$116=$AE983,BL545,0)-IF($A$117=$AE983,BL556,0)-IF($A$118=$AE983,BL567,0)-IF($A$119=$AE983,BL578,0)-IF($A$135=$AE980,BL729,0)-IF($A$136=$AE980,BL740,0)-IF($A$137=$AE980,BL751,0)-IF($A$138=$AE980,BL762,0)-IF($A$139=$AE980,BL773,0)-IF($A$140=$AE980,BL784,0)+IF($C$135=$AE980,BL796,0)+IF($C$136=$AE980,BL807,0)+IF($C$137=$AE980,BL818,0)+IF($C$138=$AE980,BL829,0)+IF($C$139=$AE980,BL840,0)+IF($C$140=$AE980,BL851,0),"")</f>
        <v>57121.268298019859</v>
      </c>
      <c r="BM983" s="345">
        <f>IF(BM$979&gt;(2020+START!$C$2),BM223+BM293+BM412-IF($A$114=$AE983,BM523,0)-IF($A$115=$AE983,BM534,0)-IF($A$116=$AE983,BM545,0)-IF($A$117=$AE983,BM556,0)-IF($A$118=$AE983,BM567,0)-IF($A$119=$AE983,BM578,0)-IF($A$135=$AE980,BM729,0)-IF($A$136=$AE980,BM740,0)-IF($A$137=$AE980,BM751,0)-IF($A$138=$AE980,BM762,0)-IF($A$139=$AE980,BM773,0)-IF($A$140=$AE980,BM784,0)+IF($C$135=$AE980,BM796,0)+IF($C$136=$AE980,BM807,0)+IF($C$137=$AE980,BM818,0)+IF($C$138=$AE980,BM829,0)+IF($C$139=$AE980,BM840,0)+IF($C$140=$AE980,BM851,0),"")</f>
        <v>56850.687029354609</v>
      </c>
      <c r="BN983" s="345">
        <f>IF(BN$979&gt;(2020+START!$C$2),BN223+BN293+BN412-IF($A$114=$AE983,BN523,0)-IF($A$115=$AE983,BN534,0)-IF($A$116=$AE983,BN545,0)-IF($A$117=$AE983,BN556,0)-IF($A$118=$AE983,BN567,0)-IF($A$119=$AE983,BN578,0)-IF($A$135=$AE980,BN729,0)-IF($A$136=$AE980,BN740,0)-IF($A$137=$AE980,BN751,0)-IF($A$138=$AE980,BN762,0)-IF($A$139=$AE980,BN773,0)-IF($A$140=$AE980,BN784,0)+IF($C$135=$AE980,BN796,0)+IF($C$136=$AE980,BN807,0)+IF($C$137=$AE980,BN818,0)+IF($C$138=$AE980,BN829,0)+IF($C$139=$AE980,BN840,0)+IF($C$140=$AE980,BN851,0),"")</f>
        <v>56597.693543152578</v>
      </c>
    </row>
    <row r="984" spans="14:66" ht="20.100000000000001" customHeight="1">
      <c r="N984" s="130"/>
      <c r="O984" s="130"/>
      <c r="P984" s="130"/>
      <c r="Q984" s="130"/>
      <c r="R984" s="130"/>
      <c r="S984" s="130"/>
      <c r="T984" s="130"/>
      <c r="U984" s="130"/>
      <c r="V984" s="130"/>
      <c r="W984" s="130"/>
      <c r="X984" s="130"/>
      <c r="Y984" s="130"/>
      <c r="Z984" s="130"/>
      <c r="AA984" s="130"/>
      <c r="AB984" s="130"/>
      <c r="AC984" s="130"/>
      <c r="AD984" s="130"/>
      <c r="AE984" s="130">
        <f t="shared" si="1210"/>
        <v>5</v>
      </c>
      <c r="AF984" s="131" t="str">
        <f>INDEX('DEFAULT DATA'!$AJT$9:$AKC$41,START!$C$3,5)</f>
        <v>Retail</v>
      </c>
      <c r="AG984" s="201"/>
      <c r="AH984" s="201"/>
      <c r="AI984" s="201"/>
      <c r="AJ984" s="201"/>
      <c r="AK984" s="201"/>
      <c r="AL984" s="345">
        <f>IF(AL$979&gt;(2020+START!$C$2),AL224+AL305+AL422-IF($A$124=$AE983,AL623,0)-IF($A$125=$AE983,AL634,0)-IF($A$126=$AE983,AL645,0)-IF($A$127=$AE983,AL656,0)-IF($A$128=$AE983,AL667,0)-IF($A$129=$AE983,AL678,0)-IF($A$135=$AE980,AL729,0)-IF($A$136=$AE980,AL740,0)-IF($A$137=$AE980,AL751,0)-IF($A$138=$AE980,AL762,0)-IF($A$139=$AE980,AL773,0)-IF($A$140=$AE980,AL784,0)+IF($C$135=$AE980,AL796,0)+IF($C$136=$AE980,AL807,0)+IF($C$137=$AE980,AL818,0)+IF($C$138=$AE980,AL829,0)+IF($C$139=$AE980,AL840,0)+IF($C$140=$AE980,AL851,0),"")</f>
        <v>14588.207846393425</v>
      </c>
      <c r="AM984" s="345">
        <f>IF(AM$979&gt;(2020+START!$C$2),AM224+AM305+AM422-IF($A$124=$AE983,AM623,0)-IF($A$125=$AE983,AM634,0)-IF($A$126=$AE983,AM645,0)-IF($A$127=$AE983,AM656,0)-IF($A$128=$AE983,AM667,0)-IF($A$129=$AE983,AM678,0)-IF($A$135=$AE980,AM729,0)-IF($A$136=$AE980,AM740,0)-IF($A$137=$AE980,AM751,0)-IF($A$138=$AE980,AM762,0)-IF($A$139=$AE980,AM773,0)-IF($A$140=$AE980,AM784,0)+IF($C$135=$AE980,AM796,0)+IF($C$136=$AE980,AM807,0)+IF($C$137=$AE980,AM818,0)+IF($C$138=$AE980,AM829,0)+IF($C$139=$AE980,AM840,0)+IF($C$140=$AE980,AM851,0),"")</f>
        <v>13479.504050067526</v>
      </c>
      <c r="AN984" s="345">
        <f>IF(AN$979&gt;(2020+START!$C$2),AN224+AN305+AN422-IF($A$124=$AE983,AN623,0)-IF($A$125=$AE983,AN634,0)-IF($A$126=$AE983,AN645,0)-IF($A$127=$AE983,AN656,0)-IF($A$128=$AE983,AN667,0)-IF($A$129=$AE983,AN678,0)-IF($A$135=$AE980,AN729,0)-IF($A$136=$AE980,AN740,0)-IF($A$137=$AE980,AN751,0)-IF($A$138=$AE980,AN762,0)-IF($A$139=$AE980,AN773,0)-IF($A$140=$AE980,AN784,0)+IF($C$135=$AE980,AN796,0)+IF($C$136=$AE980,AN807,0)+IF($C$137=$AE980,AN818,0)+IF($C$138=$AE980,AN829,0)+IF($C$139=$AE980,AN840,0)+IF($C$140=$AE980,AN851,0),"")</f>
        <v>12455.061742262396</v>
      </c>
      <c r="AO984" s="345">
        <f>IF(AO$979&gt;(2020+START!$C$2),AO224+AO305+AO422-IF($A$124=$AE983,AO623,0)-IF($A$125=$AE983,AO634,0)-IF($A$126=$AE983,AO645,0)-IF($A$127=$AE983,AO656,0)-IF($A$128=$AE983,AO667,0)-IF($A$129=$AE983,AO678,0)-IF($A$135=$AE980,AO729,0)-IF($A$136=$AE980,AO740,0)-IF($A$137=$AE980,AO751,0)-IF($A$138=$AE980,AO762,0)-IF($A$139=$AE980,AO773,0)-IF($A$140=$AE980,AO784,0)+IF($C$135=$AE980,AO796,0)+IF($C$136=$AE980,AO807,0)+IF($C$137=$AE980,AO818,0)+IF($C$138=$AE980,AO829,0)+IF($C$139=$AE980,AO840,0)+IF($C$140=$AE980,AO851,0),"")</f>
        <v>11508.477049850453</v>
      </c>
      <c r="AP984" s="345">
        <f>IF(AP$979&gt;(2020+START!$C$2),AP224+AP305+AP422-IF($A$124=$AE983,AP623,0)-IF($A$125=$AE983,AP634,0)-IF($A$126=$AE983,AP645,0)-IF($A$127=$AE983,AP656,0)-IF($A$128=$AE983,AP667,0)-IF($A$129=$AE983,AP678,0)-IF($A$135=$AE980,AP729,0)-IF($A$136=$AE980,AP740,0)-IF($A$137=$AE980,AP751,0)-IF($A$138=$AE980,AP762,0)-IF($A$139=$AE980,AP773,0)-IF($A$140=$AE980,AP784,0)+IF($C$135=$AE980,AP796,0)+IF($C$136=$AE980,AP807,0)+IF($C$137=$AE980,AP818,0)+IF($C$138=$AE980,AP829,0)+IF($C$139=$AE980,AP840,0)+IF($C$140=$AE980,AP851,0),"")</f>
        <v>10633.832794061818</v>
      </c>
      <c r="AQ984" s="345">
        <f>IF(AQ$979&gt;(2020+START!$C$2),AQ224+AQ305+AQ422-IF($A$124=$AE983,AQ623,0)-IF($A$125=$AE983,AQ634,0)-IF($A$126=$AE983,AQ645,0)-IF($A$127=$AE983,AQ656,0)-IF($A$128=$AE983,AQ667,0)-IF($A$129=$AE983,AQ678,0)-IF($A$135=$AE980,AQ729,0)-IF($A$136=$AE980,AQ740,0)-IF($A$137=$AE980,AQ751,0)-IF($A$138=$AE980,AQ762,0)-IF($A$139=$AE980,AQ773,0)-IF($A$140=$AE980,AQ784,0)+IF($C$135=$AE980,AQ796,0)+IF($C$136=$AE980,AQ807,0)+IF($C$137=$AE980,AQ818,0)+IF($C$138=$AE980,AQ829,0)+IF($C$139=$AE980,AQ840,0)+IF($C$140=$AE980,AQ851,0),"")</f>
        <v>9825.6615017131207</v>
      </c>
      <c r="AR984" s="345">
        <f>IF(AR$979&gt;(2020+START!$C$2),AR224+AR305+AR422-IF($A$124=$AE983,AR623,0)-IF($A$125=$AE983,AR634,0)-IF($A$126=$AE983,AR645,0)-IF($A$127=$AE983,AR656,0)-IF($A$128=$AE983,AR667,0)-IF($A$129=$AE983,AR678,0)-IF($A$135=$AE980,AR729,0)-IF($A$136=$AE980,AR740,0)-IF($A$137=$AE980,AR751,0)-IF($A$138=$AE980,AR762,0)-IF($A$139=$AE980,AR773,0)-IF($A$140=$AE980,AR784,0)+IF($C$135=$AE980,AR796,0)+IF($C$136=$AE980,AR807,0)+IF($C$137=$AE980,AR818,0)+IF($C$138=$AE980,AR829,0)+IF($C$139=$AE980,AR840,0)+IF($C$140=$AE980,AR851,0),"")</f>
        <v>9078.9112275829248</v>
      </c>
      <c r="AS984" s="345">
        <f>IF(AS$979&gt;(2020+START!$C$2),AS224+AS305+AS422-IF($A$124=$AE983,AS623,0)-IF($A$125=$AE983,AS634,0)-IF($A$126=$AE983,AS645,0)-IF($A$127=$AE983,AS656,0)-IF($A$128=$AE983,AS667,0)-IF($A$129=$AE983,AS678,0)-IF($A$135=$AE980,AS729,0)-IF($A$136=$AE980,AS740,0)-IF($A$137=$AE980,AS751,0)-IF($A$138=$AE980,AS762,0)-IF($A$139=$AE980,AS773,0)-IF($A$140=$AE980,AS784,0)+IF($C$135=$AE980,AS796,0)+IF($C$136=$AE980,AS807,0)+IF($C$137=$AE980,AS818,0)+IF($C$138=$AE980,AS829,0)+IF($C$139=$AE980,AS840,0)+IF($C$140=$AE980,AS851,0),"")</f>
        <v>8388.9139742866228</v>
      </c>
      <c r="AT984" s="345">
        <f>IF(AT$979&gt;(2020+START!$C$2),AT224+AT305+AT422-IF($A$124=$AE983,AT623,0)-IF($A$125=$AE983,AT634,0)-IF($A$126=$AE983,AT645,0)-IF($A$127=$AE983,AT656,0)-IF($A$128=$AE983,AT667,0)-IF($A$129=$AE983,AT678,0)-IF($A$135=$AE980,AT729,0)-IF($A$136=$AE980,AT740,0)-IF($A$137=$AE980,AT751,0)-IF($A$138=$AE980,AT762,0)-IF($A$139=$AE980,AT773,0)-IF($A$140=$AE980,AT784,0)+IF($C$135=$AE980,AT796,0)+IF($C$136=$AE980,AT807,0)+IF($C$137=$AE980,AT818,0)+IF($C$138=$AE980,AT829,0)+IF($C$139=$AE980,AT840,0)+IF($C$140=$AE980,AT851,0),"")</f>
        <v>7751.3565122408399</v>
      </c>
      <c r="AU984" s="345">
        <f>IF(AU$979&gt;(2020+START!$C$2),AU224+AU305+AU422-IF($A$124=$AE983,AU623,0)-IF($A$125=$AE983,AU634,0)-IF($A$126=$AE983,AU645,0)-IF($A$127=$AE983,AU656,0)-IF($A$128=$AE983,AU667,0)-IF($A$129=$AE983,AU678,0)-IF($A$135=$AE980,AU729,0)-IF($A$136=$AE980,AU740,0)-IF($A$137=$AE980,AU751,0)-IF($A$138=$AE980,AU762,0)-IF($A$139=$AE980,AU773,0)-IF($A$140=$AE980,AU784,0)+IF($C$135=$AE980,AU796,0)+IF($C$136=$AE980,AU807,0)+IF($C$137=$AE980,AU818,0)+IF($C$138=$AE980,AU829,0)+IF($C$139=$AE980,AU840,0)+IF($C$140=$AE980,AU851,0),"")</f>
        <v>7247.5183389451859</v>
      </c>
      <c r="AV984" s="345">
        <f>IF(AV$979&gt;(2020+START!$C$2),AV224+AV305+AV422-IF($A$124=$AE983,AV623,0)-IF($A$125=$AE983,AV634,0)-IF($A$126=$AE983,AV645,0)-IF($A$127=$AE983,AV656,0)-IF($A$128=$AE983,AV667,0)-IF($A$129=$AE983,AV678,0)-IF($A$135=$AE980,AV729,0)-IF($A$136=$AE980,AV740,0)-IF($A$137=$AE980,AV751,0)-IF($A$138=$AE980,AV762,0)-IF($A$139=$AE980,AV773,0)-IF($A$140=$AE980,AV784,0)+IF($C$135=$AE980,AV796,0)+IF($C$136=$AE980,AV807,0)+IF($C$137=$AE980,AV818,0)+IF($C$138=$AE980,AV829,0)+IF($C$139=$AE980,AV840,0)+IF($C$140=$AE980,AV851,0),"")</f>
        <v>6776.4296469137489</v>
      </c>
      <c r="AW984" s="345">
        <f>IF(AW$979&gt;(2020+START!$C$2),AW224+AW305+AW422-IF($A$124=$AE983,AW623,0)-IF($A$125=$AE983,AW634,0)-IF($A$126=$AE983,AW645,0)-IF($A$127=$AE983,AW656,0)-IF($A$128=$AE983,AW667,0)-IF($A$129=$AE983,AW678,0)-IF($A$135=$AE980,AW729,0)-IF($A$136=$AE980,AW740,0)-IF($A$137=$AE980,AW751,0)-IF($A$138=$AE980,AW762,0)-IF($A$139=$AE980,AW773,0)-IF($A$140=$AE980,AW784,0)+IF($C$135=$AE980,AW796,0)+IF($C$136=$AE980,AW807,0)+IF($C$137=$AE980,AW818,0)+IF($C$138=$AE980,AW829,0)+IF($C$139=$AE980,AW840,0)+IF($C$140=$AE980,AW851,0),"")</f>
        <v>6335.9617198643555</v>
      </c>
      <c r="AX984" s="345">
        <f>IF(AX$979&gt;(2020+START!$C$2),AX224+AX305+AX422-IF($A$124=$AE983,AX623,0)-IF($A$125=$AE983,AX634,0)-IF($A$126=$AE983,AX645,0)-IF($A$127=$AE983,AX656,0)-IF($A$128=$AE983,AX667,0)-IF($A$129=$AE983,AX678,0)-IF($A$135=$AE980,AX729,0)-IF($A$136=$AE980,AX740,0)-IF($A$137=$AE980,AX751,0)-IF($A$138=$AE980,AX762,0)-IF($A$139=$AE980,AX773,0)-IF($A$140=$AE980,AX784,0)+IF($C$135=$AE980,AX796,0)+IF($C$136=$AE980,AX807,0)+IF($C$137=$AE980,AX818,0)+IF($C$138=$AE980,AX829,0)+IF($C$139=$AE980,AX840,0)+IF($C$140=$AE980,AX851,0),"")</f>
        <v>5924.1242080731727</v>
      </c>
      <c r="AY984" s="345">
        <f>IF(AY$979&gt;(2020+START!$C$2),AY224+AY305+AY422-IF($A$124=$AE983,AY623,0)-IF($A$125=$AE983,AY634,0)-IF($A$126=$AE983,AY645,0)-IF($A$127=$AE983,AY656,0)-IF($A$128=$AE983,AY667,0)-IF($A$129=$AE983,AY678,0)-IF($A$135=$AE980,AY729,0)-IF($A$136=$AE980,AY740,0)-IF($A$137=$AE980,AY751,0)-IF($A$138=$AE980,AY762,0)-IF($A$139=$AE980,AY773,0)-IF($A$140=$AE980,AY784,0)+IF($C$135=$AE980,AY796,0)+IF($C$136=$AE980,AY807,0)+IF($C$137=$AE980,AY818,0)+IF($C$138=$AE980,AY829,0)+IF($C$139=$AE980,AY840,0)+IF($C$140=$AE980,AY851,0),"")</f>
        <v>5539.0561345484175</v>
      </c>
      <c r="AZ984" s="345">
        <f>IF(AZ$979&gt;(2020+START!$C$2),AZ224+AZ305+AZ422-IF($A$124=$AE983,AZ623,0)-IF($A$125=$AE983,AZ634,0)-IF($A$126=$AE983,AZ645,0)-IF($A$127=$AE983,AZ656,0)-IF($A$128=$AE983,AZ667,0)-IF($A$129=$AE983,AZ678,0)-IF($A$135=$AE980,AZ729,0)-IF($A$136=$AE980,AZ740,0)-IF($A$137=$AE980,AZ751,0)-IF($A$138=$AE980,AZ762,0)-IF($A$139=$AE980,AZ773,0)-IF($A$140=$AE980,AZ784,0)+IF($C$135=$AE980,AZ796,0)+IF($C$136=$AE980,AZ807,0)+IF($C$137=$AE980,AZ818,0)+IF($C$138=$AE980,AZ829,0)+IF($C$139=$AE980,AZ840,0)+IF($C$140=$AE980,AZ851,0),"")</f>
        <v>5179.0174858027694</v>
      </c>
      <c r="BA984" s="345">
        <f>IF(BA$979&gt;(2020+START!$C$2),BA224+BA305+BA422-IF($A$124=$AE983,BA623,0)-IF($A$125=$AE983,BA634,0)-IF($A$126=$AE983,BA645,0)-IF($A$127=$AE983,BA656,0)-IF($A$128=$AE983,BA667,0)-IF($A$129=$AE983,BA678,0)-IF($A$135=$AE980,BA729,0)-IF($A$136=$AE980,BA740,0)-IF($A$137=$AE980,BA751,0)-IF($A$138=$AE980,BA762,0)-IF($A$139=$AE980,BA773,0)-IF($A$140=$AE980,BA784,0)+IF($C$135=$AE980,BA796,0)+IF($C$136=$AE980,BA807,0)+IF($C$137=$AE980,BA818,0)+IF($C$138=$AE980,BA829,0)+IF($C$139=$AE980,BA840,0)+IF($C$140=$AE980,BA851,0),"")</f>
        <v>4842.3813492255904</v>
      </c>
      <c r="BB984" s="345">
        <f>IF(BB$979&gt;(2020+START!$C$2),BB224+BB305+BB422-IF($A$124=$AE983,BB623,0)-IF($A$125=$AE983,BB634,0)-IF($A$126=$AE983,BB645,0)-IF($A$127=$AE983,BB656,0)-IF($A$128=$AE983,BB667,0)-IF($A$129=$AE983,BB678,0)-IF($A$135=$AE980,BB729,0)-IF($A$136=$AE980,BB740,0)-IF($A$137=$AE980,BB751,0)-IF($A$138=$AE980,BB762,0)-IF($A$139=$AE980,BB773,0)-IF($A$140=$AE980,BB784,0)+IF($C$135=$AE980,BB796,0)+IF($C$136=$AE980,BB807,0)+IF($C$137=$AE980,BB818,0)+IF($C$138=$AE980,BB829,0)+IF($C$139=$AE980,BB840,0)+IF($C$140=$AE980,BB851,0),"")</f>
        <v>4527.6265615259272</v>
      </c>
      <c r="BC984" s="345">
        <f>IF(BC$979&gt;(2020+START!$C$2),BC224+BC305+BC422-IF($A$124=$AE983,BC623,0)-IF($A$125=$AE983,BC634,0)-IF($A$126=$AE983,BC645,0)-IF($A$127=$AE983,BC656,0)-IF($A$128=$AE983,BC667,0)-IF($A$129=$AE983,BC678,0)-IF($A$135=$AE980,BC729,0)-IF($A$136=$AE980,BC740,0)-IF($A$137=$AE980,BC751,0)-IF($A$138=$AE980,BC762,0)-IF($A$139=$AE980,BC773,0)-IF($A$140=$AE980,BC784,0)+IF($C$135=$AE980,BC796,0)+IF($C$136=$AE980,BC807,0)+IF($C$137=$AE980,BC818,0)+IF($C$138=$AE980,BC829,0)+IF($C$139=$AE980,BC840,0)+IF($C$140=$AE980,BC851,0),"")</f>
        <v>4233.3308350267425</v>
      </c>
      <c r="BD984" s="345">
        <f>IF(BD$979&gt;(2020+START!$C$2),BD224+BD305+BD422-IF($A$124=$AE983,BD623,0)-IF($A$125=$AE983,BD634,0)-IF($A$126=$AE983,BD645,0)-IF($A$127=$AE983,BD656,0)-IF($A$128=$AE983,BD667,0)-IF($A$129=$AE983,BD678,0)-IF($A$135=$AE980,BD729,0)-IF($A$136=$AE980,BD740,0)-IF($A$137=$AE980,BD751,0)-IF($A$138=$AE980,BD762,0)-IF($A$139=$AE980,BD773,0)-IF($A$140=$AE980,BD784,0)+IF($C$135=$AE980,BD796,0)+IF($C$136=$AE980,BD807,0)+IF($C$137=$AE980,BD818,0)+IF($C$138=$AE980,BD829,0)+IF($C$139=$AE980,BD840,0)+IF($C$140=$AE980,BD851,0),"")</f>
        <v>3958.1643307500049</v>
      </c>
      <c r="BE984" s="345">
        <f>IF(BE$979&gt;(2020+START!$C$2),BE224+BE305+BE422-IF($A$124=$AE983,BE623,0)-IF($A$125=$AE983,BE634,0)-IF($A$126=$AE983,BE645,0)-IF($A$127=$AE983,BE656,0)-IF($A$128=$AE983,BE667,0)-IF($A$129=$AE983,BE678,0)-IF($A$135=$AE980,BE729,0)-IF($A$136=$AE980,BE740,0)-IF($A$137=$AE980,BE751,0)-IF($A$138=$AE980,BE762,0)-IF($A$139=$AE980,BE773,0)-IF($A$140=$AE980,BE784,0)+IF($C$135=$AE980,BE796,0)+IF($C$136=$AE980,BE807,0)+IF($C$137=$AE980,BE818,0)+IF($C$138=$AE980,BE829,0)+IF($C$139=$AE980,BE840,0)+IF($C$140=$AE980,BE851,0),"")</f>
        <v>3700.8836492512546</v>
      </c>
      <c r="BF984" s="345">
        <f>IF(BF$979&gt;(2020+START!$C$2),BF224+BF305+BF422-IF($A$124=$AE983,BF623,0)-IF($A$125=$AE983,BF634,0)-IF($A$126=$AE983,BF645,0)-IF($A$127=$AE983,BF656,0)-IF($A$128=$AE983,BF667,0)-IF($A$129=$AE983,BF678,0)-IF($A$135=$AE980,BF729,0)-IF($A$136=$AE980,BF740,0)-IF($A$137=$AE980,BF751,0)-IF($A$138=$AE980,BF762,0)-IF($A$139=$AE980,BF773,0)-IF($A$140=$AE980,BF784,0)+IF($C$135=$AE980,BF796,0)+IF($C$136=$AE980,BF807,0)+IF($C$137=$AE980,BF818,0)+IF($C$138=$AE980,BF829,0)+IF($C$139=$AE980,BF840,0)+IF($C$140=$AE980,BF851,0),"")</f>
        <v>3460.3262120499235</v>
      </c>
      <c r="BG984" s="345">
        <f>IF(BG$979&gt;(2020+START!$C$2),BG224+BG305+BG422-IF($A$124=$AE983,BG623,0)-IF($A$125=$AE983,BG634,0)-IF($A$126=$AE983,BG645,0)-IF($A$127=$AE983,BG656,0)-IF($A$128=$AE983,BG667,0)-IF($A$129=$AE983,BG678,0)-IF($A$135=$AE980,BG729,0)-IF($A$136=$AE980,BG740,0)-IF($A$137=$AE980,BG751,0)-IF($A$138=$AE980,BG762,0)-IF($A$139=$AE980,BG773,0)-IF($A$140=$AE980,BG784,0)+IF($C$135=$AE980,BG796,0)+IF($C$136=$AE980,BG807,0)+IF($C$137=$AE980,BG818,0)+IF($C$138=$AE980,BG829,0)+IF($C$139=$AE980,BG840,0)+IF($C$140=$AE980,BG851,0),"")</f>
        <v>3235.4050082666781</v>
      </c>
      <c r="BH984" s="345">
        <f>IF(BH$979&gt;(2020+START!$C$2),BH224+BH305+BH422-IF($A$124=$AE983,BH623,0)-IF($A$125=$AE983,BH634,0)-IF($A$126=$AE983,BH645,0)-IF($A$127=$AE983,BH656,0)-IF($A$128=$AE983,BH667,0)-IF($A$129=$AE983,BH678,0)-IF($A$135=$AE980,BH729,0)-IF($A$136=$AE980,BH740,0)-IF($A$137=$AE980,BH751,0)-IF($A$138=$AE980,BH762,0)-IF($A$139=$AE980,BH773,0)-IF($A$140=$AE980,BH784,0)+IF($C$135=$AE980,BH796,0)+IF($C$136=$AE980,BH807,0)+IF($C$137=$AE980,BH818,0)+IF($C$138=$AE980,BH829,0)+IF($C$139=$AE980,BH840,0)+IF($C$140=$AE980,BH851,0),"")</f>
        <v>3025.1036827293447</v>
      </c>
      <c r="BI984" s="345">
        <f>IF(BI$979&gt;(2020+START!$C$2),BI224+BI305+BI422-IF($A$124=$AE983,BI623,0)-IF($A$125=$AE983,BI634,0)-IF($A$126=$AE983,BI645,0)-IF($A$127=$AE983,BI656,0)-IF($A$128=$AE983,BI667,0)-IF($A$129=$AE983,BI678,0)-IF($A$135=$AE980,BI729,0)-IF($A$136=$AE980,BI740,0)-IF($A$137=$AE980,BI751,0)-IF($A$138=$AE980,BI762,0)-IF($A$139=$AE980,BI773,0)-IF($A$140=$AE980,BI784,0)+IF($C$135=$AE980,BI796,0)+IF($C$136=$AE980,BI807,0)+IF($C$137=$AE980,BI818,0)+IF($C$138=$AE980,BI829,0)+IF($C$139=$AE980,BI840,0)+IF($C$140=$AE980,BI851,0),"")</f>
        <v>2828.4719433519376</v>
      </c>
      <c r="BJ984" s="345">
        <f>IF(BJ$979&gt;(2020+START!$C$2),BJ224+BJ305+BJ422-IF($A$124=$AE983,BJ623,0)-IF($A$125=$AE983,BJ634,0)-IF($A$126=$AE983,BJ645,0)-IF($A$127=$AE983,BJ656,0)-IF($A$128=$AE983,BJ667,0)-IF($A$129=$AE983,BJ678,0)-IF($A$135=$AE980,BJ729,0)-IF($A$136=$AE980,BJ740,0)-IF($A$137=$AE980,BJ751,0)-IF($A$138=$AE980,BJ762,0)-IF($A$139=$AE980,BJ773,0)-IF($A$140=$AE980,BJ784,0)+IF($C$135=$AE980,BJ796,0)+IF($C$136=$AE980,BJ807,0)+IF($C$137=$AE980,BJ818,0)+IF($C$138=$AE980,BJ829,0)+IF($C$139=$AE980,BJ840,0)+IF($C$140=$AE980,BJ851,0),"")</f>
        <v>2644.6212670340619</v>
      </c>
      <c r="BK984" s="345">
        <f>IF(BK$979&gt;(2020+START!$C$2),BK224+BK305+BK422-IF($A$124=$AE983,BK623,0)-IF($A$125=$AE983,BK634,0)-IF($A$126=$AE983,BK645,0)-IF($A$127=$AE983,BK656,0)-IF($A$128=$AE983,BK667,0)-IF($A$129=$AE983,BK678,0)-IF($A$135=$AE980,BK729,0)-IF($A$136=$AE980,BK740,0)-IF($A$137=$AE980,BK751,0)-IF($A$138=$AE980,BK762,0)-IF($A$139=$AE980,BK773,0)-IF($A$140=$AE980,BK784,0)+IF($C$135=$AE980,BK796,0)+IF($C$136=$AE980,BK807,0)+IF($C$137=$AE980,BK818,0)+IF($C$138=$AE980,BK829,0)+IF($C$139=$AE980,BK840,0)+IF($C$140=$AE980,BK851,0),"")</f>
        <v>2472.7208846768481</v>
      </c>
      <c r="BL984" s="345">
        <f>IF(BL$979&gt;(2020+START!$C$2),BL224+BL305+BL422-IF($A$124=$AE983,BL623,0)-IF($A$125=$AE983,BL634,0)-IF($A$126=$AE983,BL645,0)-IF($A$127=$AE983,BL656,0)-IF($A$128=$AE983,BL667,0)-IF($A$129=$AE983,BL678,0)-IF($A$135=$AE980,BL729,0)-IF($A$136=$AE980,BL740,0)-IF($A$137=$AE980,BL751,0)-IF($A$138=$AE980,BL762,0)-IF($A$139=$AE980,BL773,0)-IF($A$140=$AE980,BL784,0)+IF($C$135=$AE980,BL796,0)+IF($C$136=$AE980,BL807,0)+IF($C$137=$AE980,BL818,0)+IF($C$138=$AE980,BL829,0)+IF($C$139=$AE980,BL840,0)+IF($C$140=$AE980,BL851,0),"")</f>
        <v>2311.9940271728528</v>
      </c>
      <c r="BM984" s="345">
        <f>IF(BM$979&gt;(2020+START!$C$2),BM224+BM305+BM422-IF($A$124=$AE983,BM623,0)-IF($A$125=$AE983,BM634,0)-IF($A$126=$AE983,BM645,0)-IF($A$127=$AE983,BM656,0)-IF($A$128=$AE983,BM667,0)-IF($A$129=$AE983,BM678,0)-IF($A$135=$AE980,BM729,0)-IF($A$136=$AE980,BM740,0)-IF($A$137=$AE980,BM751,0)-IF($A$138=$AE980,BM762,0)-IF($A$139=$AE980,BM773,0)-IF($A$140=$AE980,BM784,0)+IF($C$135=$AE980,BM796,0)+IF($C$136=$AE980,BM807,0)+IF($C$137=$AE980,BM818,0)+IF($C$138=$AE980,BM829,0)+IF($C$139=$AE980,BM840,0)+IF($C$140=$AE980,BM851,0),"")</f>
        <v>2161.7144154066177</v>
      </c>
      <c r="BN984" s="345">
        <f>IF(BN$979&gt;(2020+START!$C$2),BN224+BN305+BN422-IF($A$124=$AE983,BN623,0)-IF($A$125=$AE983,BN634,0)-IF($A$126=$AE983,BN645,0)-IF($A$127=$AE983,BN656,0)-IF($A$128=$AE983,BN667,0)-IF($A$129=$AE983,BN678,0)-IF($A$135=$AE980,BN729,0)-IF($A$136=$AE980,BN740,0)-IF($A$137=$AE980,BN751,0)-IF($A$138=$AE980,BN762,0)-IF($A$139=$AE980,BN773,0)-IF($A$140=$AE980,BN784,0)+IF($C$135=$AE980,BN796,0)+IF($C$136=$AE980,BN807,0)+IF($C$137=$AE980,BN818,0)+IF($C$138=$AE980,BN829,0)+IF($C$139=$AE980,BN840,0)+IF($C$140=$AE980,BN851,0),"")</f>
        <v>2021.2029784051874</v>
      </c>
    </row>
    <row r="985" spans="14:66" ht="20.100000000000001" customHeight="1">
      <c r="N985" s="130"/>
      <c r="O985" s="130"/>
      <c r="P985" s="130"/>
      <c r="Q985" s="130"/>
      <c r="R985" s="130"/>
      <c r="S985" s="130"/>
      <c r="T985" s="130"/>
      <c r="U985" s="130"/>
      <c r="V985" s="130"/>
      <c r="W985" s="130"/>
      <c r="X985" s="130"/>
      <c r="Y985" s="130"/>
      <c r="Z985" s="130"/>
      <c r="AA985" s="130"/>
      <c r="AB985" s="130"/>
      <c r="AC985" s="130"/>
      <c r="AD985" s="130"/>
      <c r="AE985" s="130">
        <f t="shared" si="1210"/>
        <v>6</v>
      </c>
      <c r="AF985" s="131" t="str">
        <f>INDEX('DEFAULT DATA'!$AJT$9:$AKC$41,START!$C$3,6)</f>
        <v>Health</v>
      </c>
      <c r="AG985" s="201"/>
      <c r="AH985" s="201"/>
      <c r="AI985" s="201"/>
      <c r="AJ985" s="201"/>
      <c r="AK985" s="201"/>
      <c r="AL985" s="123">
        <f>IF(AL$979&gt;(2020+START!$C$2),AL225+AL315+AL432-IF($A$124=$AE983,AL623,0)-IF($A$125=$AE983,AL634,0)-IF($A$126=$AE983,AL645,0)-IF($A$127=$AE983,AL656,0)-IF($A$128=$AE983,AL667,0)-IF($A$129=$AE983,AL678,0)-IF($A$135=$AE980,AL729,0)-IF($A$136=$AE980,AL740,0)-IF($A$137=$AE980,AL751,0)-IF($A$138=$AE980,AL762,0)-IF($A$139=$AE980,AL773,0)-IF($A$140=$AE980,AL784,0)+IF($C$135=$AE980,AL796,0)+IF($C$136=$AE980,AL807,0)+IF($C$137=$AE980,AL818,0)+IF($C$138=$AE980,AL829,0)+IF($C$139=$AE980,AL840,0)+IF($C$140=$AE980,AL851,0),"")</f>
        <v>4974.1817648662272</v>
      </c>
      <c r="AM985" s="123">
        <f>IF(AM$979&gt;(2020+START!$C$2),AM225+AM315+AM432-IF($A$124=$AE983,AM623,0)-IF($A$125=$AE983,AM634,0)-IF($A$126=$AE983,AM645,0)-IF($A$127=$AE983,AM656,0)-IF($A$128=$AE983,AM667,0)-IF($A$129=$AE983,AM678,0)-IF($A$135=$AE980,AM729,0)-IF($A$136=$AE980,AM740,0)-IF($A$137=$AE980,AM751,0)-IF($A$138=$AE980,AM762,0)-IF($A$139=$AE980,AM773,0)-IF($A$140=$AE980,AM784,0)+IF($C$135=$AE980,AM796,0)+IF($C$136=$AE980,AM807,0)+IF($C$137=$AE980,AM818,0)+IF($C$138=$AE980,AM829,0)+IF($C$139=$AE980,AM840,0)+IF($C$140=$AE980,AM851,0),"")</f>
        <v>4634.5206783861495</v>
      </c>
      <c r="AN985" s="123">
        <f>IF(AN$979&gt;(2020+START!$C$2),AN225+AN315+AN432-IF($A$124=$AE983,AN623,0)-IF($A$125=$AE983,AN634,0)-IF($A$126=$AE983,AN645,0)-IF($A$127=$AE983,AN656,0)-IF($A$128=$AE983,AN667,0)-IF($A$129=$AE983,AN678,0)-IF($A$135=$AE980,AN729,0)-IF($A$136=$AE980,AN740,0)-IF($A$137=$AE980,AN751,0)-IF($A$138=$AE980,AN762,0)-IF($A$139=$AE980,AN773,0)-IF($A$140=$AE980,AN784,0)+IF($C$135=$AE980,AN796,0)+IF($C$136=$AE980,AN807,0)+IF($C$137=$AE980,AN818,0)+IF($C$138=$AE980,AN829,0)+IF($C$139=$AE980,AN840,0)+IF($C$140=$AE980,AN851,0),"")</f>
        <v>4320.6738344785563</v>
      </c>
      <c r="AO985" s="123">
        <f>IF(AO$979&gt;(2020+START!$C$2),AO225+AO315+AO432-IF($A$124=$AE983,AO623,0)-IF($A$125=$AE983,AO634,0)-IF($A$126=$AE983,AO645,0)-IF($A$127=$AE983,AO656,0)-IF($A$128=$AE983,AO667,0)-IF($A$129=$AE983,AO678,0)-IF($A$135=$AE980,AO729,0)-IF($A$136=$AE980,AO740,0)-IF($A$137=$AE980,AO751,0)-IF($A$138=$AE980,AO762,0)-IF($A$139=$AE980,AO773,0)-IF($A$140=$AE980,AO784,0)+IF($C$135=$AE980,AO796,0)+IF($C$136=$AE980,AO807,0)+IF($C$137=$AE980,AO818,0)+IF($C$138=$AE980,AO829,0)+IF($C$139=$AE980,AO840,0)+IF($C$140=$AE980,AO851,0),"")</f>
        <v>4030.6793507079401</v>
      </c>
      <c r="AP985" s="123">
        <f>IF(AP$979&gt;(2020+START!$C$2),AP225+AP315+AP432-IF($A$124=$AE983,AP623,0)-IF($A$125=$AE983,AP634,0)-IF($A$126=$AE983,AP645,0)-IF($A$127=$AE983,AP656,0)-IF($A$128=$AE983,AP667,0)-IF($A$129=$AE983,AP678,0)-IF($A$135=$AE980,AP729,0)-IF($A$136=$AE980,AP740,0)-IF($A$137=$AE980,AP751,0)-IF($A$138=$AE980,AP762,0)-IF($A$139=$AE980,AP773,0)-IF($A$140=$AE980,AP784,0)+IF($C$135=$AE980,AP796,0)+IF($C$136=$AE980,AP807,0)+IF($C$137=$AE980,AP818,0)+IF($C$138=$AE980,AP829,0)+IF($C$139=$AE980,AP840,0)+IF($C$140=$AE980,AP851,0),"")</f>
        <v>3762.7244477038912</v>
      </c>
      <c r="AQ985" s="123">
        <f>IF(AQ$979&gt;(2020+START!$C$2),AQ225+AQ315+AQ432-IF($A$124=$AE983,AQ623,0)-IF($A$125=$AE983,AQ634,0)-IF($A$126=$AE983,AQ645,0)-IF($A$127=$AE983,AQ656,0)-IF($A$128=$AE983,AQ667,0)-IF($A$129=$AE983,AQ678,0)-IF($A$135=$AE980,AQ729,0)-IF($A$136=$AE980,AQ740,0)-IF($A$137=$AE980,AQ751,0)-IF($A$138=$AE980,AQ762,0)-IF($A$139=$AE980,AQ773,0)-IF($A$140=$AE980,AQ784,0)+IF($C$135=$AE980,AQ796,0)+IF($C$136=$AE980,AQ807,0)+IF($C$137=$AE980,AQ818,0)+IF($C$138=$AE980,AQ829,0)+IF($C$139=$AE980,AQ840,0)+IF($C$140=$AE980,AQ851,0),"")</f>
        <v>3515.1341173281498</v>
      </c>
      <c r="AR985" s="123">
        <f>IF(AR$979&gt;(2020+START!$C$2),AR225+AR315+AR432-IF($A$124=$AE983,AR623,0)-IF($A$125=$AE983,AR634,0)-IF($A$126=$AE983,AR645,0)-IF($A$127=$AE983,AR656,0)-IF($A$128=$AE983,AR667,0)-IF($A$129=$AE983,AR678,0)-IF($A$135=$AE980,AR729,0)-IF($A$136=$AE980,AR740,0)-IF($A$137=$AE980,AR751,0)-IF($A$138=$AE980,AR762,0)-IF($A$139=$AE980,AR773,0)-IF($A$140=$AE980,AR784,0)+IF($C$135=$AE980,AR796,0)+IF($C$136=$AE980,AR807,0)+IF($C$137=$AE980,AR818,0)+IF($C$138=$AE980,AR829,0)+IF($C$139=$AE980,AR840,0)+IF($C$140=$AE980,AR851,0),"")</f>
        <v>3286.3606520609646</v>
      </c>
      <c r="AS985" s="123">
        <f>IF(AS$979&gt;(2020+START!$C$2),AS225+AS315+AS432-IF($A$124=$AE983,AS623,0)-IF($A$125=$AE983,AS634,0)-IF($A$126=$AE983,AS645,0)-IF($A$127=$AE983,AS656,0)-IF($A$128=$AE983,AS667,0)-IF($A$129=$AE983,AS678,0)-IF($A$135=$AE980,AS729,0)-IF($A$136=$AE980,AS740,0)-IF($A$137=$AE980,AS751,0)-IF($A$138=$AE980,AS762,0)-IF($A$139=$AE980,AS773,0)-IF($A$140=$AE980,AS784,0)+IF($C$135=$AE980,AS796,0)+IF($C$136=$AE980,AS807,0)+IF($C$137=$AE980,AS818,0)+IF($C$138=$AE980,AS829,0)+IF($C$139=$AE980,AS840,0)+IF($C$140=$AE980,AS851,0),"")</f>
        <v>3074.9739701540857</v>
      </c>
      <c r="AT985" s="123">
        <f>IF(AT$979&gt;(2020+START!$C$2),AT225+AT315+AT432-IF($A$124=$AE983,AT623,0)-IF($A$125=$AE983,AT634,0)-IF($A$126=$AE983,AT645,0)-IF($A$127=$AE983,AT656,0)-IF($A$128=$AE983,AT667,0)-IF($A$129=$AE983,AT678,0)-IF($A$135=$AE980,AT729,0)-IF($A$136=$AE980,AT740,0)-IF($A$137=$AE980,AT751,0)-IF($A$138=$AE980,AT762,0)-IF($A$139=$AE980,AT773,0)-IF($A$140=$AE980,AT784,0)+IF($C$135=$AE980,AT796,0)+IF($C$136=$AE980,AT807,0)+IF($C$137=$AE980,AT818,0)+IF($C$138=$AE980,AT829,0)+IF($C$139=$AE980,AT840,0)+IF($C$140=$AE980,AT851,0),"")</f>
        <v>2879.6526760721299</v>
      </c>
      <c r="AU985" s="123">
        <f>IF(AU$979&gt;(2020+START!$C$2),AU225+AU315+AU432-IF($A$124=$AE983,AU623,0)-IF($A$125=$AE983,AU634,0)-IF($A$126=$AE983,AU645,0)-IF($A$127=$AE983,AU656,0)-IF($A$128=$AE983,AU667,0)-IF($A$129=$AE983,AU678,0)-IF($A$135=$AE980,AU729,0)-IF($A$136=$AE980,AU740,0)-IF($A$137=$AE980,AU751,0)-IF($A$138=$AE980,AU762,0)-IF($A$139=$AE980,AU773,0)-IF($A$140=$AE980,AU784,0)+IF($C$135=$AE980,AU796,0)+IF($C$136=$AE980,AU807,0)+IF($C$137=$AE980,AU818,0)+IF($C$138=$AE980,AU829,0)+IF($C$139=$AE980,AU840,0)+IF($C$140=$AE980,AU851,0),"")</f>
        <v>2725.2974534068371</v>
      </c>
      <c r="AV985" s="123">
        <f>IF(AV$979&gt;(2020+START!$C$2),AV225+AV315+AV432-IF($A$124=$AE983,AV623,0)-IF($A$125=$AE983,AV634,0)-IF($A$126=$AE983,AV645,0)-IF($A$127=$AE983,AV656,0)-IF($A$128=$AE983,AV667,0)-IF($A$129=$AE983,AV678,0)-IF($A$135=$AE980,AV729,0)-IF($A$136=$AE980,AV740,0)-IF($A$137=$AE980,AV751,0)-IF($A$138=$AE980,AV762,0)-IF($A$139=$AE980,AV773,0)-IF($A$140=$AE980,AV784,0)+IF($C$135=$AE980,AV796,0)+IF($C$136=$AE980,AV807,0)+IF($C$137=$AE980,AV818,0)+IF($C$138=$AE980,AV829,0)+IF($C$139=$AE980,AV840,0)+IF($C$140=$AE980,AV851,0),"")</f>
        <v>2580.9753202147876</v>
      </c>
      <c r="AW985" s="123">
        <f>IF(AW$979&gt;(2020+START!$C$2),AW225+AW315+AW432-IF($A$124=$AE983,AW623,0)-IF($A$125=$AE983,AW634,0)-IF($A$126=$AE983,AW645,0)-IF($A$127=$AE983,AW656,0)-IF($A$128=$AE983,AW667,0)-IF($A$129=$AE983,AW678,0)-IF($A$135=$AE980,AW729,0)-IF($A$136=$AE980,AW740,0)-IF($A$137=$AE980,AW751,0)-IF($A$138=$AE980,AW762,0)-IF($A$139=$AE980,AW773,0)-IF($A$140=$AE980,AW784,0)+IF($C$135=$AE980,AW796,0)+IF($C$136=$AE980,AW807,0)+IF($C$137=$AE980,AW818,0)+IF($C$138=$AE980,AW829,0)+IF($C$139=$AE980,AW840,0)+IF($C$140=$AE980,AW851,0),"")</f>
        <v>2446.0341256802221</v>
      </c>
      <c r="AX985" s="123">
        <f>IF(AX$979&gt;(2020+START!$C$2),AX225+AX315+AX432-IF($A$124=$AE983,AX623,0)-IF($A$125=$AE983,AX634,0)-IF($A$126=$AE983,AX645,0)-IF($A$127=$AE983,AX656,0)-IF($A$128=$AE983,AX667,0)-IF($A$129=$AE983,AX678,0)-IF($A$135=$AE980,AX729,0)-IF($A$136=$AE980,AX740,0)-IF($A$137=$AE980,AX751,0)-IF($A$138=$AE980,AX762,0)-IF($A$139=$AE980,AX773,0)-IF($A$140=$AE980,AX784,0)+IF($C$135=$AE980,AX796,0)+IF($C$136=$AE980,AX807,0)+IF($C$137=$AE980,AX818,0)+IF($C$138=$AE980,AX829,0)+IF($C$139=$AE980,AX840,0)+IF($C$140=$AE980,AX851,0),"")</f>
        <v>2319.8641087904025</v>
      </c>
      <c r="AY985" s="123">
        <f>IF(AY$979&gt;(2020+START!$C$2),AY225+AY315+AY432-IF($A$124=$AE983,AY623,0)-IF($A$125=$AE983,AY634,0)-IF($A$126=$AE983,AY645,0)-IF($A$127=$AE983,AY656,0)-IF($A$128=$AE983,AY667,0)-IF($A$129=$AE983,AY678,0)-IF($A$135=$AE980,AY729,0)-IF($A$136=$AE980,AY740,0)-IF($A$137=$AE980,AY751,0)-IF($A$138=$AE980,AY762,0)-IF($A$139=$AE980,AY773,0)-IF($A$140=$AE980,AY784,0)+IF($C$135=$AE980,AY796,0)+IF($C$136=$AE980,AY807,0)+IF($C$137=$AE980,AY818,0)+IF($C$138=$AE980,AY829,0)+IF($C$139=$AE980,AY840,0)+IF($C$140=$AE980,AY851,0),"")</f>
        <v>2201.8951429984218</v>
      </c>
      <c r="AZ985" s="123">
        <f>IF(AZ$979&gt;(2020+START!$C$2),AZ225+AZ315+AZ432-IF($A$124=$AE983,AZ623,0)-IF($A$125=$AE983,AZ634,0)-IF($A$126=$AE983,AZ645,0)-IF($A$127=$AE983,AZ656,0)-IF($A$128=$AE983,AZ667,0)-IF($A$129=$AE983,AZ678,0)-IF($A$135=$AE980,AZ729,0)-IF($A$136=$AE980,AZ740,0)-IF($A$137=$AE980,AZ751,0)-IF($A$138=$AE980,AZ762,0)-IF($A$139=$AE980,AZ773,0)-IF($A$140=$AE980,AZ784,0)+IF($C$135=$AE980,AZ796,0)+IF($C$136=$AE980,AZ807,0)+IF($C$137=$AE980,AZ818,0)+IF($C$138=$AE980,AZ829,0)+IF($C$139=$AE980,AZ840,0)+IF($C$140=$AE980,AZ851,0),"")</f>
        <v>2091.5941599829198</v>
      </c>
      <c r="BA985" s="123">
        <f>IF(BA$979&gt;(2020+START!$C$2),BA225+BA315+BA432-IF($A$124=$AE983,BA623,0)-IF($A$125=$AE983,BA634,0)-IF($A$126=$AE983,BA645,0)-IF($A$127=$AE983,BA656,0)-IF($A$128=$AE983,BA667,0)-IF($A$129=$AE983,BA678,0)-IF($A$135=$AE980,BA729,0)-IF($A$136=$AE980,BA740,0)-IF($A$137=$AE980,BA751,0)-IF($A$138=$AE980,BA762,0)-IF($A$139=$AE980,BA773,0)-IF($A$140=$AE980,BA784,0)+IF($C$135=$AE980,BA796,0)+IF($C$136=$AE980,BA807,0)+IF($C$137=$AE980,BA818,0)+IF($C$138=$AE980,BA829,0)+IF($C$139=$AE980,BA840,0)+IF($C$140=$AE980,BA851,0),"")</f>
        <v>1988.4627408634258</v>
      </c>
      <c r="BB985" s="123">
        <f>IF(BB$979&gt;(2020+START!$C$2),BB225+BB315+BB432-IF($A$124=$AE983,BB623,0)-IF($A$125=$AE983,BB634,0)-IF($A$126=$AE983,BB645,0)-IF($A$127=$AE983,BB656,0)-IF($A$128=$AE983,BB667,0)-IF($A$129=$AE983,BB678,0)-IF($A$135=$AE980,BB729,0)-IF($A$136=$AE980,BB740,0)-IF($A$137=$AE980,BB751,0)-IF($A$138=$AE980,BB762,0)-IF($A$139=$AE980,BB773,0)-IF($A$140=$AE980,BB784,0)+IF($C$135=$AE980,BB796,0)+IF($C$136=$AE980,BB807,0)+IF($C$137=$AE980,BB818,0)+IF($C$138=$AE980,BB829,0)+IF($C$139=$AE980,BB840,0)+IF($C$140=$AE980,BB851,0),"")</f>
        <v>1892.0348639866984</v>
      </c>
      <c r="BC985" s="123">
        <f>IF(BC$979&gt;(2020+START!$C$2),BC225+BC315+BC432-IF($A$124=$AE983,BC623,0)-IF($A$125=$AE983,BC634,0)-IF($A$126=$AE983,BC645,0)-IF($A$127=$AE983,BC656,0)-IF($A$128=$AE983,BC667,0)-IF($A$129=$AE983,BC678,0)-IF($A$135=$AE980,BC729,0)-IF($A$136=$AE980,BC740,0)-IF($A$137=$AE980,BC751,0)-IF($A$138=$AE980,BC762,0)-IF($A$139=$AE980,BC773,0)-IF($A$140=$AE980,BC784,0)+IF($C$135=$AE980,BC796,0)+IF($C$136=$AE980,BC807,0)+IF($C$137=$AE980,BC818,0)+IF($C$138=$AE980,BC829,0)+IF($C$139=$AE980,BC840,0)+IF($C$140=$AE980,BC851,0),"")</f>
        <v>1801.8747991069583</v>
      </c>
      <c r="BD985" s="123">
        <f>IF(BD$979&gt;(2020+START!$C$2),BD225+BD315+BD432-IF($A$124=$AE983,BD623,0)-IF($A$125=$AE983,BD634,0)-IF($A$126=$AE983,BD645,0)-IF($A$127=$AE983,BD656,0)-IF($A$128=$AE983,BD667,0)-IF($A$129=$AE983,BD678,0)-IF($A$135=$AE980,BD729,0)-IF($A$136=$AE980,BD740,0)-IF($A$137=$AE980,BD751,0)-IF($A$138=$AE980,BD762,0)-IF($A$139=$AE980,BD773,0)-IF($A$140=$AE980,BD784,0)+IF($C$135=$AE980,BD796,0)+IF($C$136=$AE980,BD807,0)+IF($C$137=$AE980,BD818,0)+IF($C$138=$AE980,BD829,0)+IF($C$139=$AE980,BD840,0)+IF($C$140=$AE980,BD851,0),"")</f>
        <v>1717.5751384444015</v>
      </c>
      <c r="BE985" s="123">
        <f>IF(BE$979&gt;(2020+START!$C$2),BE225+BE315+BE432-IF($A$124=$AE983,BE623,0)-IF($A$125=$AE983,BE634,0)-IF($A$126=$AE983,BE645,0)-IF($A$127=$AE983,BE656,0)-IF($A$128=$AE983,BE667,0)-IF($A$129=$AE983,BE678,0)-IF($A$135=$AE980,BE729,0)-IF($A$136=$AE980,BE740,0)-IF($A$137=$AE980,BE751,0)-IF($A$138=$AE980,BE762,0)-IF($A$139=$AE980,BE773,0)-IF($A$140=$AE980,BE784,0)+IF($C$135=$AE980,BE796,0)+IF($C$136=$AE980,BE807,0)+IF($C$137=$AE980,BE818,0)+IF($C$138=$AE980,BE829,0)+IF($C$139=$AE980,BE840,0)+IF($C$140=$AE980,BE851,0),"")</f>
        <v>1638.7549557249106</v>
      </c>
      <c r="BF985" s="123">
        <f>IF(BF$979&gt;(2020+START!$C$2),BF225+BF315+BF432-IF($A$124=$AE983,BF623,0)-IF($A$125=$AE983,BF634,0)-IF($A$126=$AE983,BF645,0)-IF($A$127=$AE983,BF656,0)-IF($A$128=$AE983,BF667,0)-IF($A$129=$AE983,BF678,0)-IF($A$135=$AE980,BF729,0)-IF($A$136=$AE980,BF740,0)-IF($A$137=$AE980,BF751,0)-IF($A$138=$AE980,BF762,0)-IF($A$139=$AE980,BF773,0)-IF($A$140=$AE980,BF784,0)+IF($C$135=$AE980,BF796,0)+IF($C$136=$AE980,BF807,0)+IF($C$137=$AE980,BF818,0)+IF($C$138=$AE980,BF829,0)+IF($C$139=$AE980,BF840,0)+IF($C$140=$AE980,BF851,0),"")</f>
        <v>1565.0580848821867</v>
      </c>
      <c r="BG985" s="123">
        <f>IF(BG$979&gt;(2020+START!$C$2),BG225+BG315+BG432-IF($A$124=$AE983,BG623,0)-IF($A$125=$AE983,BG634,0)-IF($A$126=$AE983,BG645,0)-IF($A$127=$AE983,BG656,0)-IF($A$128=$AE983,BG667,0)-IF($A$129=$AE983,BG678,0)-IF($A$135=$AE980,BG729,0)-IF($A$136=$AE980,BG740,0)-IF($A$137=$AE980,BG751,0)-IF($A$138=$AE980,BG762,0)-IF($A$139=$AE980,BG773,0)-IF($A$140=$AE980,BG784,0)+IF($C$135=$AE980,BG796,0)+IF($C$136=$AE980,BG807,0)+IF($C$137=$AE980,BG818,0)+IF($C$138=$AE980,BG829,0)+IF($C$139=$AE980,BG840,0)+IF($C$140=$AE980,BG851,0),"")</f>
        <v>1496.1515106442398</v>
      </c>
      <c r="BH985" s="123">
        <f>IF(BH$979&gt;(2020+START!$C$2),BH225+BH315+BH432-IF($A$124=$AE983,BH623,0)-IF($A$125=$AE983,BH634,0)-IF($A$126=$AE983,BH645,0)-IF($A$127=$AE983,BH656,0)-IF($A$128=$AE983,BH667,0)-IF($A$129=$AE983,BH678,0)-IF($A$135=$AE980,BH729,0)-IF($A$136=$AE980,BH740,0)-IF($A$137=$AE980,BH751,0)-IF($A$138=$AE980,BH762,0)-IF($A$139=$AE980,BH773,0)-IF($A$140=$AE980,BH784,0)+IF($C$135=$AE980,BH796,0)+IF($C$136=$AE980,BH807,0)+IF($C$137=$AE980,BH818,0)+IF($C$138=$AE980,BH829,0)+IF($C$139=$AE980,BH840,0)+IF($C$140=$AE980,BH851,0),"")</f>
        <v>1431.7238637317596</v>
      </c>
      <c r="BI985" s="123">
        <f>IF(BI$979&gt;(2020+START!$C$2),BI225+BI315+BI432-IF($A$124=$AE983,BI623,0)-IF($A$125=$AE983,BI634,0)-IF($A$126=$AE983,BI645,0)-IF($A$127=$AE983,BI656,0)-IF($A$128=$AE983,BI667,0)-IF($A$129=$AE983,BI678,0)-IF($A$135=$AE980,BI729,0)-IF($A$136=$AE980,BI740,0)-IF($A$137=$AE980,BI751,0)-IF($A$138=$AE980,BI762,0)-IF($A$139=$AE980,BI773,0)-IF($A$140=$AE980,BI784,0)+IF($C$135=$AE980,BI796,0)+IF($C$136=$AE980,BI807,0)+IF($C$137=$AE980,BI818,0)+IF($C$138=$AE980,BI829,0)+IF($C$139=$AE980,BI840,0)+IF($C$140=$AE980,BI851,0),"")</f>
        <v>1371.4840138685904</v>
      </c>
      <c r="BJ985" s="123">
        <f>IF(BJ$979&gt;(2020+START!$C$2),BJ225+BJ315+BJ432-IF($A$124=$AE983,BJ623,0)-IF($A$125=$AE983,BJ634,0)-IF($A$126=$AE983,BJ645,0)-IF($A$127=$AE983,BJ656,0)-IF($A$128=$AE983,BJ667,0)-IF($A$129=$AE983,BJ678,0)-IF($A$135=$AE980,BJ729,0)-IF($A$136=$AE980,BJ740,0)-IF($A$137=$AE980,BJ751,0)-IF($A$138=$AE980,BJ762,0)-IF($A$139=$AE980,BJ773,0)-IF($A$140=$AE980,BJ784,0)+IF($C$135=$AE980,BJ796,0)+IF($C$136=$AE980,BJ807,0)+IF($C$137=$AE980,BJ818,0)+IF($C$138=$AE980,BJ829,0)+IF($C$139=$AE980,BJ840,0)+IF($C$140=$AE980,BJ851,0),"")</f>
        <v>1315.1597542465272</v>
      </c>
      <c r="BK985" s="123">
        <f>IF(BK$979&gt;(2020+START!$C$2),BK225+BK315+BK432-IF($A$124=$AE983,BK623,0)-IF($A$125=$AE983,BK634,0)-IF($A$126=$AE983,BK645,0)-IF($A$127=$AE983,BK656,0)-IF($A$128=$AE983,BK667,0)-IF($A$129=$AE983,BK678,0)-IF($A$135=$AE980,BK729,0)-IF($A$136=$AE980,BK740,0)-IF($A$137=$AE980,BK751,0)-IF($A$138=$AE980,BK762,0)-IF($A$139=$AE980,BK773,0)-IF($A$140=$AE980,BK784,0)+IF($C$135=$AE980,BK796,0)+IF($C$136=$AE980,BK807,0)+IF($C$137=$AE980,BK818,0)+IF($C$138=$AE980,BK829,0)+IF($C$139=$AE980,BK840,0)+IF($C$140=$AE980,BK851,0),"")</f>
        <v>1262.4965714998982</v>
      </c>
      <c r="BL985" s="123">
        <f>IF(BL$979&gt;(2020+START!$C$2),BL225+BL315+BL432-IF($A$124=$AE983,BL623,0)-IF($A$125=$AE983,BL634,0)-IF($A$126=$AE983,BL645,0)-IF($A$127=$AE983,BL656,0)-IF($A$128=$AE983,BL667,0)-IF($A$129=$AE983,BL678,0)-IF($A$135=$AE980,BL729,0)-IF($A$136=$AE980,BL740,0)-IF($A$137=$AE980,BL751,0)-IF($A$138=$AE980,BL762,0)-IF($A$139=$AE980,BL773,0)-IF($A$140=$AE980,BL784,0)+IF($C$135=$AE980,BL796,0)+IF($C$136=$AE980,BL807,0)+IF($C$137=$AE980,BL818,0)+IF($C$138=$AE980,BL829,0)+IF($C$139=$AE980,BL840,0)+IF($C$140=$AE980,BL851,0),"")</f>
        <v>1213.2564956318001</v>
      </c>
      <c r="BM985" s="123">
        <f>IF(BM$979&gt;(2020+START!$C$2),BM225+BM315+BM432-IF($A$124=$AE983,BM623,0)-IF($A$125=$AE983,BM634,0)-IF($A$126=$AE983,BM645,0)-IF($A$127=$AE983,BM656,0)-IF($A$128=$AE983,BM667,0)-IF($A$129=$AE983,BM678,0)-IF($A$135=$AE980,BM729,0)-IF($A$136=$AE980,BM740,0)-IF($A$137=$AE980,BM751,0)-IF($A$138=$AE980,BM762,0)-IF($A$139=$AE980,BM773,0)-IF($A$140=$AE980,BM784,0)+IF($C$135=$AE980,BM796,0)+IF($C$136=$AE980,BM807,0)+IF($C$137=$AE980,BM818,0)+IF($C$138=$AE980,BM829,0)+IF($C$139=$AE980,BM840,0)+IF($C$140=$AE980,BM851,0),"")</f>
        <v>1167.2170246951284</v>
      </c>
      <c r="BN985" s="123">
        <f>IF(BN$979&gt;(2020+START!$C$2),BN225+BN315+BN432-IF($A$124=$AE983,BN623,0)-IF($A$125=$AE983,BN634,0)-IF($A$126=$AE983,BN645,0)-IF($A$127=$AE983,BN656,0)-IF($A$128=$AE983,BN667,0)-IF($A$129=$AE983,BN678,0)-IF($A$135=$AE980,BN729,0)-IF($A$136=$AE980,BN740,0)-IF($A$137=$AE980,BN751,0)-IF($A$138=$AE980,BN762,0)-IF($A$139=$AE980,BN773,0)-IF($A$140=$AE980,BN784,0)+IF($C$135=$AE980,BN796,0)+IF($C$136=$AE980,BN807,0)+IF($C$137=$AE980,BN818,0)+IF($C$138=$AE980,BN829,0)+IF($C$139=$AE980,BN840,0)+IF($C$140=$AE980,BN851,0),"")</f>
        <v>1124.1701193693402</v>
      </c>
    </row>
    <row r="986" spans="14:66" ht="20.100000000000001" customHeight="1">
      <c r="N986" s="130"/>
      <c r="O986" s="130"/>
      <c r="P986" s="130"/>
      <c r="Q986" s="130"/>
      <c r="R986" s="130"/>
      <c r="S986" s="130"/>
      <c r="T986" s="130"/>
      <c r="U986" s="130"/>
      <c r="V986" s="130"/>
      <c r="W986" s="130"/>
      <c r="X986" s="130"/>
      <c r="Y986" s="130"/>
      <c r="Z986" s="130"/>
      <c r="AA986" s="130"/>
      <c r="AB986" s="130"/>
      <c r="AC986" s="130"/>
      <c r="AD986" s="130"/>
      <c r="AE986" s="130">
        <f t="shared" si="1210"/>
        <v>7</v>
      </c>
      <c r="AF986" s="131" t="str">
        <f>INDEX('DEFAULT DATA'!$AJT$9:$AKC$41,START!$C$3,7)</f>
        <v>Hospitality</v>
      </c>
      <c r="AG986" s="201"/>
      <c r="AH986" s="201"/>
      <c r="AI986" s="201"/>
      <c r="AJ986" s="201"/>
      <c r="AK986" s="201"/>
      <c r="AL986" s="123">
        <f>IF(AL$979&gt;(2020+START!$C$2),AL226+AL325+AL442-IF($A$124=$AE983,AL623,0)-IF($A$125=$AE983,AL634,0)-IF($A$126=$AE983,AL645,0)-IF($A$127=$AE983,AL656,0)-IF($A$128=$AE983,AL667,0)-IF($A$129=$AE983,AL678,0)-IF($A$135=$AE980,AL729,0)-IF($A$136=$AE980,AL740,0)-IF($A$137=$AE980,AL751,0)-IF($A$138=$AE980,AL762,0)-IF($A$139=$AE980,AL773,0)-IF($A$140=$AE980,AL784,0)+IF($C$135=$AE980,AL796,0)+IF($C$136=$AE980,AL807,0)+IF($C$137=$AE980,AL818,0)+IF($C$138=$AE980,AL829,0)+IF($C$139=$AE980,AL840,0)+IF($C$140=$AE980,AL851,0),"")</f>
        <v>47592.940608383826</v>
      </c>
      <c r="AM986" s="123">
        <f>IF(AM$979&gt;(2020+START!$C$2),AM226+AM325+AM442-IF($A$124=$AE983,AM623,0)-IF($A$125=$AE983,AM634,0)-IF($A$126=$AE983,AM645,0)-IF($A$127=$AE983,AM656,0)-IF($A$128=$AE983,AM667,0)-IF($A$129=$AE983,AM678,0)-IF($A$135=$AE980,AM729,0)-IF($A$136=$AE980,AM740,0)-IF($A$137=$AE980,AM751,0)-IF($A$138=$AE980,AM762,0)-IF($A$139=$AE980,AM773,0)-IF($A$140=$AE980,AM784,0)+IF($C$135=$AE980,AM796,0)+IF($C$136=$AE980,AM807,0)+IF($C$137=$AE980,AM818,0)+IF($C$138=$AE980,AM829,0)+IF($C$139=$AE980,AM840,0)+IF($C$140=$AE980,AM851,0),"")</f>
        <v>44747.052147840353</v>
      </c>
      <c r="AN986" s="123">
        <f>IF(AN$979&gt;(2020+START!$C$2),AN226+AN325+AN442-IF($A$124=$AE983,AN623,0)-IF($A$125=$AE983,AN634,0)-IF($A$126=$AE983,AN645,0)-IF($A$127=$AE983,AN656,0)-IF($A$128=$AE983,AN667,0)-IF($A$129=$AE983,AN678,0)-IF($A$135=$AE980,AN729,0)-IF($A$136=$AE980,AN740,0)-IF($A$137=$AE980,AN751,0)-IF($A$138=$AE980,AN762,0)-IF($A$139=$AE980,AN773,0)-IF($A$140=$AE980,AN784,0)+IF($C$135=$AE980,AN796,0)+IF($C$136=$AE980,AN807,0)+IF($C$137=$AE980,AN818,0)+IF($C$138=$AE980,AN829,0)+IF($C$139=$AE980,AN840,0)+IF($C$140=$AE980,AN851,0),"")</f>
        <v>42117.451210298183</v>
      </c>
      <c r="AO986" s="123">
        <f>IF(AO$979&gt;(2020+START!$C$2),AO226+AO325+AO442-IF($A$124=$AE983,AO623,0)-IF($A$125=$AE983,AO634,0)-IF($A$126=$AE983,AO645,0)-IF($A$127=$AE983,AO656,0)-IF($A$128=$AE983,AO667,0)-IF($A$129=$AE983,AO678,0)-IF($A$135=$AE980,AO729,0)-IF($A$136=$AE980,AO740,0)-IF($A$137=$AE980,AO751,0)-IF($A$138=$AE980,AO762,0)-IF($A$139=$AE980,AO773,0)-IF($A$140=$AE980,AO784,0)+IF($C$135=$AE980,AO796,0)+IF($C$136=$AE980,AO807,0)+IF($C$137=$AE980,AO818,0)+IF($C$138=$AE980,AO829,0)+IF($C$139=$AE980,AO840,0)+IF($C$140=$AE980,AO851,0),"")</f>
        <v>39687.699944009219</v>
      </c>
      <c r="AP986" s="123">
        <f>IF(AP$979&gt;(2020+START!$C$2),AP226+AP325+AP442-IF($A$124=$AE983,AP623,0)-IF($A$125=$AE983,AP634,0)-IF($A$126=$AE983,AP645,0)-IF($A$127=$AE983,AP656,0)-IF($A$128=$AE983,AP667,0)-IF($A$129=$AE983,AP678,0)-IF($A$135=$AE980,AP729,0)-IF($A$136=$AE980,AP740,0)-IF($A$137=$AE980,AP751,0)-IF($A$138=$AE980,AP762,0)-IF($A$139=$AE980,AP773,0)-IF($A$140=$AE980,AP784,0)+IF($C$135=$AE980,AP796,0)+IF($C$136=$AE980,AP807,0)+IF($C$137=$AE980,AP818,0)+IF($C$138=$AE980,AP829,0)+IF($C$139=$AE980,AP840,0)+IF($C$140=$AE980,AP851,0),"")</f>
        <v>37442.609773958218</v>
      </c>
      <c r="AQ986" s="123">
        <f>IF(AQ$979&gt;(2020+START!$C$2),AQ226+AQ325+AQ442-IF($A$124=$AE983,AQ623,0)-IF($A$125=$AE983,AQ634,0)-IF($A$126=$AE983,AQ645,0)-IF($A$127=$AE983,AQ656,0)-IF($A$128=$AE983,AQ667,0)-IF($A$129=$AE983,AQ678,0)-IF($A$135=$AE980,AQ729,0)-IF($A$136=$AE980,AQ740,0)-IF($A$137=$AE980,AQ751,0)-IF($A$138=$AE980,AQ762,0)-IF($A$139=$AE980,AQ773,0)-IF($A$140=$AE980,AQ784,0)+IF($C$135=$AE980,AQ796,0)+IF($C$136=$AE980,AQ807,0)+IF($C$137=$AE980,AQ818,0)+IF($C$138=$AE980,AQ829,0)+IF($C$139=$AE980,AQ840,0)+IF($C$140=$AE980,AQ851,0),"")</f>
        <v>35368.146456831091</v>
      </c>
      <c r="AR986" s="123">
        <f>IF(AR$979&gt;(2020+START!$C$2),AR226+AR325+AR442-IF($A$124=$AE983,AR623,0)-IF($A$125=$AE983,AR634,0)-IF($A$126=$AE983,AR645,0)-IF($A$127=$AE983,AR656,0)-IF($A$128=$AE983,AR667,0)-IF($A$129=$AE983,AR678,0)-IF($A$135=$AE980,AR729,0)-IF($A$136=$AE980,AR740,0)-IF($A$137=$AE980,AR751,0)-IF($A$138=$AE980,AR762,0)-IF($A$139=$AE980,AR773,0)-IF($A$140=$AE980,AR784,0)+IF($C$135=$AE980,AR796,0)+IF($C$136=$AE980,AR807,0)+IF($C$137=$AE980,AR818,0)+IF($C$138=$AE980,AR829,0)+IF($C$139=$AE980,AR840,0)+IF($C$140=$AE980,AR851,0),"")</f>
        <v>33451.342351805622</v>
      </c>
      <c r="AS986" s="123">
        <f>IF(AS$979&gt;(2020+START!$C$2),AS226+AS325+AS442-IF($A$124=$AE983,AS623,0)-IF($A$125=$AE983,AS634,0)-IF($A$126=$AE983,AS645,0)-IF($A$127=$AE983,AS656,0)-IF($A$128=$AE983,AS667,0)-IF($A$129=$AE983,AS678,0)-IF($A$135=$AE980,AS729,0)-IF($A$136=$AE980,AS740,0)-IF($A$137=$AE980,AS751,0)-IF($A$138=$AE980,AS762,0)-IF($A$139=$AE980,AS773,0)-IF($A$140=$AE980,AS784,0)+IF($C$135=$AE980,AS796,0)+IF($C$136=$AE980,AS807,0)+IF($C$137=$AE980,AS818,0)+IF($C$138=$AE980,AS829,0)+IF($C$139=$AE980,AS840,0)+IF($C$140=$AE980,AS851,0),"")</f>
        <v>31680.215358762096</v>
      </c>
      <c r="AT986" s="123">
        <f>IF(AT$979&gt;(2020+START!$C$2),AT226+AT325+AT442-IF($A$124=$AE983,AT623,0)-IF($A$125=$AE983,AT634,0)-IF($A$126=$AE983,AT645,0)-IF($A$127=$AE983,AT656,0)-IF($A$128=$AE983,AT667,0)-IF($A$129=$AE983,AT678,0)-IF($A$135=$AE980,AT729,0)-IF($A$136=$AE980,AT740,0)-IF($A$137=$AE980,AT751,0)-IF($A$138=$AE980,AT762,0)-IF($A$139=$AE980,AT773,0)-IF($A$140=$AE980,AT784,0)+IF($C$135=$AE980,AT796,0)+IF($C$136=$AE980,AT807,0)+IF($C$137=$AE980,AT818,0)+IF($C$138=$AE980,AT829,0)+IF($C$139=$AE980,AT840,0)+IF($C$140=$AE980,AT851,0),"")</f>
        <v>30043.694017189871</v>
      </c>
      <c r="AU986" s="123">
        <f>IF(AU$979&gt;(2020+START!$C$2),AU226+AU325+AU442-IF($A$124=$AE983,AU623,0)-IF($A$125=$AE983,AU634,0)-IF($A$126=$AE983,AU645,0)-IF($A$127=$AE983,AU656,0)-IF($A$128=$AE983,AU667,0)-IF($A$129=$AE983,AU678,0)-IF($A$135=$AE980,AU729,0)-IF($A$136=$AE980,AU740,0)-IF($A$137=$AE980,AU751,0)-IF($A$138=$AE980,AU762,0)-IF($A$139=$AE980,AU773,0)-IF($A$140=$AE980,AU784,0)+IF($C$135=$AE980,AU796,0)+IF($C$136=$AE980,AU807,0)+IF($C$137=$AE980,AU818,0)+IF($C$138=$AE980,AU829,0)+IF($C$139=$AE980,AU840,0)+IF($C$140=$AE980,AU851,0),"")</f>
        <v>28750.411493836877</v>
      </c>
      <c r="AV986" s="123">
        <f>IF(AV$979&gt;(2020+START!$C$2),AV226+AV325+AV442-IF($A$124=$AE983,AV623,0)-IF($A$125=$AE983,AV634,0)-IF($A$126=$AE983,AV645,0)-IF($A$127=$AE983,AV656,0)-IF($A$128=$AE983,AV667,0)-IF($A$129=$AE983,AV678,0)-IF($A$135=$AE980,AV729,0)-IF($A$136=$AE980,AV740,0)-IF($A$137=$AE980,AV751,0)-IF($A$138=$AE980,AV762,0)-IF($A$139=$AE980,AV773,0)-IF($A$140=$AE980,AV784,0)+IF($C$135=$AE980,AV796,0)+IF($C$136=$AE980,AV807,0)+IF($C$137=$AE980,AV818,0)+IF($C$138=$AE980,AV829,0)+IF($C$139=$AE980,AV840,0)+IF($C$140=$AE980,AV851,0),"")</f>
        <v>27541.192334501829</v>
      </c>
      <c r="AW986" s="123">
        <f>IF(AW$979&gt;(2020+START!$C$2),AW226+AW325+AW442-IF($A$124=$AE983,AW623,0)-IF($A$125=$AE983,AW634,0)-IF($A$126=$AE983,AW645,0)-IF($A$127=$AE983,AW656,0)-IF($A$128=$AE983,AW667,0)-IF($A$129=$AE983,AW678,0)-IF($A$135=$AE980,AW729,0)-IF($A$136=$AE980,AW740,0)-IF($A$137=$AE980,AW751,0)-IF($A$138=$AE980,AW762,0)-IF($A$139=$AE980,AW773,0)-IF($A$140=$AE980,AW784,0)+IF($C$135=$AE980,AW796,0)+IF($C$136=$AE980,AW807,0)+IF($C$137=$AE980,AW818,0)+IF($C$138=$AE980,AW829,0)+IF($C$139=$AE980,AW840,0)+IF($C$140=$AE980,AW851,0),"")</f>
        <v>26410.572420523557</v>
      </c>
      <c r="AX986" s="123">
        <f>IF(AX$979&gt;(2020+START!$C$2),AX226+AX325+AX442-IF($A$124=$AE983,AX623,0)-IF($A$125=$AE983,AX634,0)-IF($A$126=$AE983,AX645,0)-IF($A$127=$AE983,AX656,0)-IF($A$128=$AE983,AX667,0)-IF($A$129=$AE983,AX678,0)-IF($A$135=$AE980,AX729,0)-IF($A$136=$AE980,AX740,0)-IF($A$137=$AE980,AX751,0)-IF($A$138=$AE980,AX762,0)-IF($A$139=$AE980,AX773,0)-IF($A$140=$AE980,AX784,0)+IF($C$135=$AE980,AX796,0)+IF($C$136=$AE980,AX807,0)+IF($C$137=$AE980,AX818,0)+IF($C$138=$AE980,AX829,0)+IF($C$139=$AE980,AX840,0)+IF($C$140=$AE980,AX851,0),"")</f>
        <v>25353.442800953868</v>
      </c>
      <c r="AY986" s="123">
        <f>IF(AY$979&gt;(2020+START!$C$2),AY226+AY325+AY442-IF($A$124=$AE983,AY623,0)-IF($A$125=$AE983,AY634,0)-IF($A$126=$AE983,AY645,0)-IF($A$127=$AE983,AY656,0)-IF($A$128=$AE983,AY667,0)-IF($A$129=$AE983,AY678,0)-IF($A$135=$AE980,AY729,0)-IF($A$136=$AE980,AY740,0)-IF($A$137=$AE980,AY751,0)-IF($A$138=$AE980,AY762,0)-IF($A$139=$AE980,AY773,0)-IF($A$140=$AE980,AY784,0)+IF($C$135=$AE980,AY796,0)+IF($C$136=$AE980,AY807,0)+IF($C$137=$AE980,AY818,0)+IF($C$138=$AE980,AY829,0)+IF($C$139=$AE980,AY840,0)+IF($C$140=$AE980,AY851,0),"")</f>
        <v>24365.026606656218</v>
      </c>
      <c r="AZ986" s="123">
        <f>IF(AZ$979&gt;(2020+START!$C$2),AZ226+AZ325+AZ442-IF($A$124=$AE983,AZ623,0)-IF($A$125=$AE983,AZ634,0)-IF($A$126=$AE983,AZ645,0)-IF($A$127=$AE983,AZ656,0)-IF($A$128=$AE983,AZ667,0)-IF($A$129=$AE983,AZ678,0)-IF($A$135=$AE980,AZ729,0)-IF($A$136=$AE980,AZ740,0)-IF($A$137=$AE980,AZ751,0)-IF($A$138=$AE980,AZ762,0)-IF($A$139=$AE980,AZ773,0)-IF($A$140=$AE980,AZ784,0)+IF($C$135=$AE980,AZ796,0)+IF($C$136=$AE980,AZ807,0)+IF($C$137=$AE980,AZ818,0)+IF($C$138=$AE980,AZ829,0)+IF($C$139=$AE980,AZ840,0)+IF($C$140=$AE980,AZ851,0),"")</f>
        <v>23440.857464987908</v>
      </c>
      <c r="BA986" s="123">
        <f>IF(BA$979&gt;(2020+START!$C$2),BA226+BA325+BA442-IF($A$124=$AE983,BA623,0)-IF($A$125=$AE983,BA634,0)-IF($A$126=$AE983,BA645,0)-IF($A$127=$AE983,BA656,0)-IF($A$128=$AE983,BA667,0)-IF($A$129=$AE983,BA678,0)-IF($A$135=$AE980,BA729,0)-IF($A$136=$AE980,BA740,0)-IF($A$137=$AE980,BA751,0)-IF($A$138=$AE980,BA762,0)-IF($A$139=$AE980,BA773,0)-IF($A$140=$AE980,BA784,0)+IF($C$135=$AE980,BA796,0)+IF($C$136=$AE980,BA807,0)+IF($C$137=$AE980,BA818,0)+IF($C$138=$AE980,BA829,0)+IF($C$139=$AE980,BA840,0)+IF($C$140=$AE980,BA851,0),"")</f>
        <v>22576.759317528042</v>
      </c>
      <c r="BB986" s="123">
        <f>IF(BB$979&gt;(2020+START!$C$2),BB226+BB325+BB442-IF($A$124=$AE983,BB623,0)-IF($A$125=$AE983,BB634,0)-IF($A$126=$AE983,BB645,0)-IF($A$127=$AE983,BB656,0)-IF($A$128=$AE983,BB667,0)-IF($A$129=$AE983,BB678,0)-IF($A$135=$AE980,BB729,0)-IF($A$136=$AE980,BB740,0)-IF($A$137=$AE980,BB751,0)-IF($A$138=$AE980,BB762,0)-IF($A$139=$AE980,BB773,0)-IF($A$140=$AE980,BB784,0)+IF($C$135=$AE980,BB796,0)+IF($C$136=$AE980,BB807,0)+IF($C$137=$AE980,BB818,0)+IF($C$138=$AE980,BB829,0)+IF($C$139=$AE980,BB840,0)+IF($C$140=$AE980,BB851,0),"")</f>
        <v>21768.827549653062</v>
      </c>
      <c r="BC986" s="123">
        <f>IF(BC$979&gt;(2020+START!$C$2),BC226+BC325+BC442-IF($A$124=$AE983,BC623,0)-IF($A$125=$AE983,BC634,0)-IF($A$126=$AE983,BC645,0)-IF($A$127=$AE983,BC656,0)-IF($A$128=$AE983,BC667,0)-IF($A$129=$AE983,BC678,0)-IF($A$135=$AE980,BC729,0)-IF($A$136=$AE980,BC740,0)-IF($A$137=$AE980,BC751,0)-IF($A$138=$AE980,BC762,0)-IF($A$139=$AE980,BC773,0)-IF($A$140=$AE980,BC784,0)+IF($C$135=$AE980,BC796,0)+IF($C$136=$AE980,BC807,0)+IF($C$137=$AE980,BC818,0)+IF($C$138=$AE980,BC829,0)+IF($C$139=$AE980,BC840,0)+IF($C$140=$AE980,BC851,0),"")</f>
        <v>21013.411346689962</v>
      </c>
      <c r="BD986" s="123">
        <f>IF(BD$979&gt;(2020+START!$C$2),BD226+BD325+BD442-IF($A$124=$AE983,BD623,0)-IF($A$125=$AE983,BD634,0)-IF($A$126=$AE983,BD645,0)-IF($A$127=$AE983,BD656,0)-IF($A$128=$AE983,BD667,0)-IF($A$129=$AE983,BD678,0)-IF($A$135=$AE980,BD729,0)-IF($A$136=$AE980,BD740,0)-IF($A$137=$AE980,BD751,0)-IF($A$138=$AE980,BD762,0)-IF($A$139=$AE980,BD773,0)-IF($A$140=$AE980,BD784,0)+IF($C$135=$AE980,BD796,0)+IF($C$136=$AE980,BD807,0)+IF($C$137=$AE980,BD818,0)+IF($C$138=$AE980,BD829,0)+IF($C$139=$AE980,BD840,0)+IF($C$140=$AE980,BD851,0),"")</f>
        <v>20307.097196919462</v>
      </c>
      <c r="BE986" s="123">
        <f>IF(BE$979&gt;(2020+START!$C$2),BE226+BE325+BE442-IF($A$124=$AE983,BE623,0)-IF($A$125=$AE983,BE634,0)-IF($A$126=$AE983,BE645,0)-IF($A$127=$AE983,BE656,0)-IF($A$128=$AE983,BE667,0)-IF($A$129=$AE983,BE678,0)-IF($A$135=$AE980,BE729,0)-IF($A$136=$AE980,BE740,0)-IF($A$137=$AE980,BE751,0)-IF($A$138=$AE980,BE762,0)-IF($A$139=$AE980,BE773,0)-IF($A$140=$AE980,BE784,0)+IF($C$135=$AE980,BE796,0)+IF($C$136=$AE980,BE807,0)+IF($C$137=$AE980,BE818,0)+IF($C$138=$AE980,BE829,0)+IF($C$139=$AE980,BE840,0)+IF($C$140=$AE980,BE851,0),"")</f>
        <v>19646.69346688404</v>
      </c>
      <c r="BF986" s="123">
        <f>IF(BF$979&gt;(2020+START!$C$2),BF226+BF325+BF442-IF($A$124=$AE983,BF623,0)-IF($A$125=$AE983,BF634,0)-IF($A$126=$AE983,BF645,0)-IF($A$127=$AE983,BF656,0)-IF($A$128=$AE983,BF667,0)-IF($A$129=$AE983,BF678,0)-IF($A$135=$AE980,BF729,0)-IF($A$136=$AE980,BF740,0)-IF($A$137=$AE980,BF751,0)-IF($A$138=$AE980,BF762,0)-IF($A$139=$AE980,BF773,0)-IF($A$140=$AE980,BF784,0)+IF($C$135=$AE980,BF796,0)+IF($C$136=$AE980,BF807,0)+IF($C$137=$AE980,BF818,0)+IF($C$138=$AE980,BF829,0)+IF($C$139=$AE980,BF840,0)+IF($C$140=$AE980,BF851,0),"")</f>
        <v>19029.215979300927</v>
      </c>
      <c r="BG986" s="123">
        <f>IF(BG$979&gt;(2020+START!$C$2),BG226+BG325+BG442-IF($A$124=$AE983,BG623,0)-IF($A$125=$AE983,BG634,0)-IF($A$126=$AE983,BG645,0)-IF($A$127=$AE983,BG656,0)-IF($A$128=$AE983,BG667,0)-IF($A$129=$AE983,BG678,0)-IF($A$135=$AE980,BG729,0)-IF($A$136=$AE980,BG740,0)-IF($A$137=$AE980,BG751,0)-IF($A$138=$AE980,BG762,0)-IF($A$139=$AE980,BG773,0)-IF($A$140=$AE980,BG784,0)+IF($C$135=$AE980,BG796,0)+IF($C$136=$AE980,BG807,0)+IF($C$137=$AE980,BG818,0)+IF($C$138=$AE980,BG829,0)+IF($C$139=$AE980,BG840,0)+IF($C$140=$AE980,BG851,0),"")</f>
        <v>18451.874528410714</v>
      </c>
      <c r="BH986" s="123">
        <f>IF(BH$979&gt;(2020+START!$C$2),BH226+BH325+BH442-IF($A$124=$AE983,BH623,0)-IF($A$125=$AE983,BH634,0)-IF($A$126=$AE983,BH645,0)-IF($A$127=$AE983,BH656,0)-IF($A$128=$AE983,BH667,0)-IF($A$129=$AE983,BH678,0)-IF($A$135=$AE980,BH729,0)-IF($A$136=$AE980,BH740,0)-IF($A$137=$AE980,BH751,0)-IF($A$138=$AE980,BH762,0)-IF($A$139=$AE980,BH773,0)-IF($A$140=$AE980,BH784,0)+IF($C$135=$AE980,BH796,0)+IF($C$136=$AE980,BH807,0)+IF($C$137=$AE980,BH818,0)+IF($C$138=$AE980,BH829,0)+IF($C$139=$AE980,BH840,0)+IF($C$140=$AE980,BH851,0),"")</f>
        <v>17912.060271828363</v>
      </c>
      <c r="BI986" s="123">
        <f>IF(BI$979&gt;(2020+START!$C$2),BI226+BI325+BI442-IF($A$124=$AE983,BI623,0)-IF($A$125=$AE983,BI634,0)-IF($A$126=$AE983,BI645,0)-IF($A$127=$AE983,BI656,0)-IF($A$128=$AE983,BI667,0)-IF($A$129=$AE983,BI678,0)-IF($A$135=$AE980,BI729,0)-IF($A$136=$AE980,BI740,0)-IF($A$137=$AE980,BI751,0)-IF($A$138=$AE980,BI762,0)-IF($A$139=$AE980,BI773,0)-IF($A$140=$AE980,BI784,0)+IF($C$135=$AE980,BI796,0)+IF($C$136=$AE980,BI807,0)+IF($C$137=$AE980,BI818,0)+IF($C$138=$AE980,BI829,0)+IF($C$139=$AE980,BI840,0)+IF($C$140=$AE980,BI851,0),"")</f>
        <v>17407.333941923865</v>
      </c>
      <c r="BJ986" s="123">
        <f>IF(BJ$979&gt;(2020+START!$C$2),BJ226+BJ325+BJ442-IF($A$124=$AE983,BJ623,0)-IF($A$125=$AE983,BJ634,0)-IF($A$126=$AE983,BJ645,0)-IF($A$127=$AE983,BJ656,0)-IF($A$128=$AE983,BJ667,0)-IF($A$129=$AE983,BJ678,0)-IF($A$135=$AE980,BJ729,0)-IF($A$136=$AE980,BJ740,0)-IF($A$137=$AE980,BJ751,0)-IF($A$138=$AE980,BJ762,0)-IF($A$139=$AE980,BJ773,0)-IF($A$140=$AE980,BJ784,0)+IF($C$135=$AE980,BJ796,0)+IF($C$136=$AE980,BJ807,0)+IF($C$137=$AE980,BJ818,0)+IF($C$138=$AE980,BJ829,0)+IF($C$139=$AE980,BJ840,0)+IF($C$140=$AE980,BJ851,0),"")</f>
        <v>16935.414823463161</v>
      </c>
      <c r="BK986" s="123">
        <f>IF(BK$979&gt;(2020+START!$C$2),BK226+BK325+BK442-IF($A$124=$AE983,BK623,0)-IF($A$125=$AE983,BK634,0)-IF($A$126=$AE983,BK645,0)-IF($A$127=$AE983,BK656,0)-IF($A$128=$AE983,BK667,0)-IF($A$129=$AE983,BK678,0)-IF($A$135=$AE980,BK729,0)-IF($A$136=$AE980,BK740,0)-IF($A$137=$AE980,BK751,0)-IF($A$138=$AE980,BK762,0)-IF($A$139=$AE980,BK773,0)-IF($A$140=$AE980,BK784,0)+IF($C$135=$AE980,BK796,0)+IF($C$136=$AE980,BK807,0)+IF($C$137=$AE980,BK818,0)+IF($C$138=$AE980,BK829,0)+IF($C$139=$AE980,BK840,0)+IF($C$140=$AE980,BK851,0),"")</f>
        <v>16494.1704477024</v>
      </c>
      <c r="BL986" s="123">
        <f>IF(BL$979&gt;(2020+START!$C$2),BL226+BL325+BL442-IF($A$124=$AE983,BL623,0)-IF($A$125=$AE983,BL634,0)-IF($A$126=$AE983,BL645,0)-IF($A$127=$AE983,BL656,0)-IF($A$128=$AE983,BL667,0)-IF($A$129=$AE983,BL678,0)-IF($A$135=$AE980,BL729,0)-IF($A$136=$AE980,BL740,0)-IF($A$137=$AE980,BL751,0)-IF($A$138=$AE980,BL762,0)-IF($A$139=$AE980,BL773,0)-IF($A$140=$AE980,BL784,0)+IF($C$135=$AE980,BL796,0)+IF($C$136=$AE980,BL807,0)+IF($C$137=$AE980,BL818,0)+IF($C$138=$AE980,BL829,0)+IF($C$139=$AE980,BL840,0)+IF($C$140=$AE980,BL851,0),"")</f>
        <v>16081.606956366089</v>
      </c>
      <c r="BM986" s="123">
        <f>IF(BM$979&gt;(2020+START!$C$2),BM226+BM325+BM442-IF($A$124=$AE983,BM623,0)-IF($A$125=$AE983,BM634,0)-IF($A$126=$AE983,BM645,0)-IF($A$127=$AE983,BM656,0)-IF($A$128=$AE983,BM667,0)-IF($A$129=$AE983,BM678,0)-IF($A$135=$AE980,BM729,0)-IF($A$136=$AE980,BM740,0)-IF($A$137=$AE980,BM751,0)-IF($A$138=$AE980,BM762,0)-IF($A$139=$AE980,BM773,0)-IF($A$140=$AE980,BM784,0)+IF($C$135=$AE980,BM796,0)+IF($C$136=$AE980,BM807,0)+IF($C$137=$AE980,BM818,0)+IF($C$138=$AE980,BM829,0)+IF($C$139=$AE980,BM840,0)+IF($C$140=$AE980,BM851,0),"")</f>
        <v>15695.860091966639</v>
      </c>
      <c r="BN986" s="123">
        <f>IF(BN$979&gt;(2020+START!$C$2),BN226+BN325+BN442-IF($A$124=$AE983,BN623,0)-IF($A$125=$AE983,BN634,0)-IF($A$126=$AE983,BN645,0)-IF($A$127=$AE983,BN656,0)-IF($A$128=$AE983,BN667,0)-IF($A$129=$AE983,BN678,0)-IF($A$135=$AE980,BN729,0)-IF($A$136=$AE980,BN740,0)-IF($A$137=$AE980,BN751,0)-IF($A$138=$AE980,BN762,0)-IF($A$139=$AE980,BN773,0)-IF($A$140=$AE980,BN784,0)+IF($C$135=$AE980,BN796,0)+IF($C$136=$AE980,BN807,0)+IF($C$137=$AE980,BN818,0)+IF($C$138=$AE980,BN829,0)+IF($C$139=$AE980,BN840,0)+IF($C$140=$AE980,BN851,0),"")</f>
        <v>15335.186773753154</v>
      </c>
    </row>
    <row r="987" spans="14:66" ht="20.100000000000001" customHeight="1">
      <c r="N987" s="130"/>
      <c r="O987" s="130"/>
      <c r="P987" s="130"/>
      <c r="Q987" s="130"/>
      <c r="R987" s="130"/>
      <c r="S987" s="130"/>
      <c r="T987" s="130"/>
      <c r="U987" s="130"/>
      <c r="V987" s="130"/>
      <c r="W987" s="130"/>
      <c r="X987" s="130"/>
      <c r="Y987" s="130"/>
      <c r="Z987" s="130"/>
      <c r="AA987" s="130"/>
      <c r="AB987" s="130"/>
      <c r="AC987" s="130"/>
      <c r="AD987" s="130"/>
      <c r="AE987" s="130">
        <f t="shared" si="1210"/>
        <v>8</v>
      </c>
      <c r="AF987" s="131" t="str">
        <f>INDEX('DEFAULT DATA'!$AJT$9:$AKC$41,START!$C$3,8)</f>
        <v>Offices</v>
      </c>
      <c r="AG987" s="201"/>
      <c r="AH987" s="201"/>
      <c r="AI987" s="201"/>
      <c r="AJ987" s="201"/>
      <c r="AK987" s="201"/>
      <c r="AL987" s="123">
        <f>IF(AL$979&gt;(2020+START!$C$2),AL227+AL335+AL452-IF($A$124=$AE983,AL623,0)-IF($A$125=$AE983,AL634,0)-IF($A$126=$AE983,AL645,0)-IF($A$127=$AE983,AL656,0)-IF($A$128=$AE983,AL667,0)-IF($A$129=$AE983,AL678,0)-IF($A$135=$AE980,AL729,0)-IF($A$136=$AE980,AL740,0)-IF($A$137=$AE980,AL751,0)-IF($A$138=$AE980,AL762,0)-IF($A$139=$AE980,AL773,0)-IF($A$140=$AE980,AL784,0)+IF($C$135=$AE980,AL796,0)+IF($C$136=$AE980,AL807,0)+IF($C$137=$AE980,AL818,0)+IF($C$138=$AE980,AL829,0)+IF($C$139=$AE980,AL840,0)+IF($C$140=$AE980,AL851,0),"")</f>
        <v>8712.666485741096</v>
      </c>
      <c r="AM987" s="123">
        <f>IF(AM$979&gt;(2020+START!$C$2),AM227+AM335+AM452-IF($A$124=$AE983,AM623,0)-IF($A$125=$AE983,AM634,0)-IF($A$126=$AE983,AM645,0)-IF($A$127=$AE983,AM656,0)-IF($A$128=$AE983,AM667,0)-IF($A$129=$AE983,AM678,0)-IF($A$135=$AE980,AM729,0)-IF($A$136=$AE980,AM740,0)-IF($A$137=$AE980,AM751,0)-IF($A$138=$AE980,AM762,0)-IF($A$139=$AE980,AM773,0)-IF($A$140=$AE980,AM784,0)+IF($C$135=$AE980,AM796,0)+IF($C$136=$AE980,AM807,0)+IF($C$137=$AE980,AM818,0)+IF($C$138=$AE980,AM829,0)+IF($C$139=$AE980,AM840,0)+IF($C$140=$AE980,AM851,0),"")</f>
        <v>8292.8877198283735</v>
      </c>
      <c r="AN987" s="123">
        <f>IF(AN$979&gt;(2020+START!$C$2),AN227+AN335+AN452-IF($A$124=$AE983,AN623,0)-IF($A$125=$AE983,AN634,0)-IF($A$126=$AE983,AN645,0)-IF($A$127=$AE983,AN656,0)-IF($A$128=$AE983,AN667,0)-IF($A$129=$AE983,AN678,0)-IF($A$135=$AE980,AN729,0)-IF($A$136=$AE980,AN740,0)-IF($A$137=$AE980,AN751,0)-IF($A$138=$AE980,AN762,0)-IF($A$139=$AE980,AN773,0)-IF($A$140=$AE980,AN784,0)+IF($C$135=$AE980,AN796,0)+IF($C$136=$AE980,AN807,0)+IF($C$137=$AE980,AN818,0)+IF($C$138=$AE980,AN829,0)+IF($C$139=$AE980,AN840,0)+IF($C$140=$AE980,AN851,0),"")</f>
        <v>7905.012140125018</v>
      </c>
      <c r="AO987" s="123">
        <f>IF(AO$979&gt;(2020+START!$C$2),AO227+AO335+AO452-IF($A$124=$AE983,AO623,0)-IF($A$125=$AE983,AO634,0)-IF($A$126=$AE983,AO645,0)-IF($A$127=$AE983,AO656,0)-IF($A$128=$AE983,AO667,0)-IF($A$129=$AE983,AO678,0)-IF($A$135=$AE980,AO729,0)-IF($A$136=$AE980,AO740,0)-IF($A$137=$AE980,AO751,0)-IF($A$138=$AE980,AO762,0)-IF($A$139=$AE980,AO773,0)-IF($A$140=$AE980,AO784,0)+IF($C$135=$AE980,AO796,0)+IF($C$136=$AE980,AO807,0)+IF($C$137=$AE980,AO818,0)+IF($C$138=$AE980,AO829,0)+IF($C$139=$AE980,AO840,0)+IF($C$140=$AE980,AO851,0),"")</f>
        <v>7546.6151044791159</v>
      </c>
      <c r="AP987" s="123">
        <f>IF(AP$979&gt;(2020+START!$C$2),AP227+AP335+AP452-IF($A$124=$AE983,AP623,0)-IF($A$125=$AE983,AP634,0)-IF($A$126=$AE983,AP645,0)-IF($A$127=$AE983,AP656,0)-IF($A$128=$AE983,AP667,0)-IF($A$129=$AE983,AP678,0)-IF($A$135=$AE980,AP729,0)-IF($A$136=$AE980,AP740,0)-IF($A$137=$AE980,AP751,0)-IF($A$138=$AE980,AP762,0)-IF($A$139=$AE980,AP773,0)-IF($A$140=$AE980,AP784,0)+IF($C$135=$AE980,AP796,0)+IF($C$136=$AE980,AP807,0)+IF($C$137=$AE980,AP818,0)+IF($C$138=$AE980,AP829,0)+IF($C$139=$AE980,AP840,0)+IF($C$140=$AE980,AP851,0),"")</f>
        <v>7215.4562435423031</v>
      </c>
      <c r="AQ987" s="123">
        <f>IF(AQ$979&gt;(2020+START!$C$2),AQ227+AQ335+AQ452-IF($A$124=$AE983,AQ623,0)-IF($A$125=$AE983,AQ634,0)-IF($A$126=$AE983,AQ645,0)-IF($A$127=$AE983,AQ656,0)-IF($A$128=$AE983,AQ667,0)-IF($A$129=$AE983,AQ678,0)-IF($A$135=$AE980,AQ729,0)-IF($A$136=$AE980,AQ740,0)-IF($A$137=$AE980,AQ751,0)-IF($A$138=$AE980,AQ762,0)-IF($A$139=$AE980,AQ773,0)-IF($A$140=$AE980,AQ784,0)+IF($C$135=$AE980,AQ796,0)+IF($C$136=$AE980,AQ807,0)+IF($C$137=$AE980,AQ818,0)+IF($C$138=$AE980,AQ829,0)+IF($C$139=$AE980,AQ840,0)+IF($C$140=$AE980,AQ851,0),"")</f>
        <v>6909.4654560366889</v>
      </c>
      <c r="AR987" s="123">
        <f>IF(AR$979&gt;(2020+START!$C$2),AR227+AR335+AR452-IF($A$124=$AE983,AR623,0)-IF($A$125=$AE983,AR634,0)-IF($A$126=$AE983,AR645,0)-IF($A$127=$AE983,AR656,0)-IF($A$128=$AE983,AR667,0)-IF($A$129=$AE983,AR678,0)-IF($A$135=$AE980,AR729,0)-IF($A$136=$AE980,AR740,0)-IF($A$137=$AE980,AR751,0)-IF($A$138=$AE980,AR762,0)-IF($A$139=$AE980,AR773,0)-IF($A$140=$AE980,AR784,0)+IF($C$135=$AE980,AR796,0)+IF($C$136=$AE980,AR807,0)+IF($C$137=$AE980,AR818,0)+IF($C$138=$AE980,AR829,0)+IF($C$139=$AE980,AR840,0)+IF($C$140=$AE980,AR851,0),"")</f>
        <v>6626.7299683814999</v>
      </c>
      <c r="AS987" s="123">
        <f>IF(AS$979&gt;(2020+START!$C$2),AS227+AS335+AS452-IF($A$124=$AE983,AS623,0)-IF($A$125=$AE983,AS634,0)-IF($A$126=$AE983,AS645,0)-IF($A$127=$AE983,AS656,0)-IF($A$128=$AE983,AS667,0)-IF($A$129=$AE983,AS678,0)-IF($A$135=$AE980,AS729,0)-IF($A$136=$AE980,AS740,0)-IF($A$137=$AE980,AS751,0)-IF($A$138=$AE980,AS762,0)-IF($A$139=$AE980,AS773,0)-IF($A$140=$AE980,AS784,0)+IF($C$135=$AE980,AS796,0)+IF($C$136=$AE980,AS807,0)+IF($C$137=$AE980,AS818,0)+IF($C$138=$AE980,AS829,0)+IF($C$139=$AE980,AS840,0)+IF($C$140=$AE980,AS851,0),"")</f>
        <v>6365.4823777881065</v>
      </c>
      <c r="AT987" s="123">
        <f>IF(AT$979&gt;(2020+START!$C$2),AT227+AT335+AT452-IF($A$124=$AE983,AT623,0)-IF($A$125=$AE983,AT634,0)-IF($A$126=$AE983,AT645,0)-IF($A$127=$AE983,AT656,0)-IF($A$128=$AE983,AT667,0)-IF($A$129=$AE983,AT678,0)-IF($A$135=$AE980,AT729,0)-IF($A$136=$AE980,AT740,0)-IF($A$137=$AE980,AT751,0)-IF($A$138=$AE980,AT762,0)-IF($A$139=$AE980,AT773,0)-IF($A$140=$AE980,AT784,0)+IF($C$135=$AE980,AT796,0)+IF($C$136=$AE980,AT807,0)+IF($C$137=$AE980,AT818,0)+IF($C$138=$AE980,AT829,0)+IF($C$139=$AE980,AT840,0)+IF($C$140=$AE980,AT851,0),"")</f>
        <v>6124.0896040798107</v>
      </c>
      <c r="AU987" s="123">
        <f>IF(AU$979&gt;(2020+START!$C$2),AU227+AU335+AU452-IF($A$124=$AE983,AU623,0)-IF($A$125=$AE983,AU634,0)-IF($A$126=$AE983,AU645,0)-IF($A$127=$AE983,AU656,0)-IF($A$128=$AE983,AU667,0)-IF($A$129=$AE983,AU678,0)-IF($A$135=$AE980,AU729,0)-IF($A$136=$AE980,AU740,0)-IF($A$137=$AE980,AU751,0)-IF($A$138=$AE980,AU762,0)-IF($A$139=$AE980,AU773,0)-IF($A$140=$AE980,AU784,0)+IF($C$135=$AE980,AU796,0)+IF($C$136=$AE980,AU807,0)+IF($C$137=$AE980,AU818,0)+IF($C$138=$AE980,AU829,0)+IF($C$139=$AE980,AU840,0)+IF($C$140=$AE980,AU851,0),"")</f>
        <v>5933.3257884361228</v>
      </c>
      <c r="AV987" s="123">
        <f>IF(AV$979&gt;(2020+START!$C$2),AV227+AV335+AV452-IF($A$124=$AE983,AV623,0)-IF($A$125=$AE983,AV634,0)-IF($A$126=$AE983,AV645,0)-IF($A$127=$AE983,AV656,0)-IF($A$128=$AE983,AV667,0)-IF($A$129=$AE983,AV678,0)-IF($A$135=$AE980,AV729,0)-IF($A$136=$AE980,AV740,0)-IF($A$137=$AE980,AV751,0)-IF($A$138=$AE980,AV762,0)-IF($A$139=$AE980,AV773,0)-IF($A$140=$AE980,AV784,0)+IF($C$135=$AE980,AV796,0)+IF($C$136=$AE980,AV807,0)+IF($C$137=$AE980,AV818,0)+IF($C$138=$AE980,AV829,0)+IF($C$139=$AE980,AV840,0)+IF($C$140=$AE980,AV851,0),"")</f>
        <v>5754.9616208092757</v>
      </c>
      <c r="AW987" s="123">
        <f>IF(AW$979&gt;(2020+START!$C$2),AW227+AW335+AW452-IF($A$124=$AE983,AW623,0)-IF($A$125=$AE983,AW634,0)-IF($A$126=$AE983,AW645,0)-IF($A$127=$AE983,AW656,0)-IF($A$128=$AE983,AW667,0)-IF($A$129=$AE983,AW678,0)-IF($A$135=$AE980,AW729,0)-IF($A$136=$AE980,AW740,0)-IF($A$137=$AE980,AW751,0)-IF($A$138=$AE980,AW762,0)-IF($A$139=$AE980,AW773,0)-IF($A$140=$AE980,AW784,0)+IF($C$135=$AE980,AW796,0)+IF($C$136=$AE980,AW807,0)+IF($C$137=$AE980,AW818,0)+IF($C$138=$AE980,AW829,0)+IF($C$139=$AE980,AW840,0)+IF($C$140=$AE980,AW851,0),"")</f>
        <v>5588.1911240781728</v>
      </c>
      <c r="AX987" s="123">
        <f>IF(AX$979&gt;(2020+START!$C$2),AX227+AX335+AX452-IF($A$124=$AE983,AX623,0)-IF($A$125=$AE983,AX634,0)-IF($A$126=$AE983,AX645,0)-IF($A$127=$AE983,AX656,0)-IF($A$128=$AE983,AX667,0)-IF($A$129=$AE983,AX678,0)-IF($A$135=$AE980,AX729,0)-IF($A$136=$AE980,AX740,0)-IF($A$137=$AE980,AX751,0)-IF($A$138=$AE980,AX762,0)-IF($A$139=$AE980,AX773,0)-IF($A$140=$AE980,AX784,0)+IF($C$135=$AE980,AX796,0)+IF($C$136=$AE980,AX807,0)+IF($C$137=$AE980,AX818,0)+IF($C$138=$AE980,AX829,0)+IF($C$139=$AE980,AX840,0)+IF($C$140=$AE980,AX851,0),"")</f>
        <v>5432.2607096345919</v>
      </c>
      <c r="AY987" s="123">
        <f>IF(AY$979&gt;(2020+START!$C$2),AY227+AY335+AY452-IF($A$124=$AE983,AY623,0)-IF($A$125=$AE983,AY634,0)-IF($A$126=$AE983,AY645,0)-IF($A$127=$AE983,AY656,0)-IF($A$128=$AE983,AY667,0)-IF($A$129=$AE983,AY678,0)-IF($A$135=$AE980,AY729,0)-IF($A$136=$AE980,AY740,0)-IF($A$137=$AE980,AY751,0)-IF($A$138=$AE980,AY762,0)-IF($A$139=$AE980,AY773,0)-IF($A$140=$AE980,AY784,0)+IF($C$135=$AE980,AY796,0)+IF($C$136=$AE980,AY807,0)+IF($C$137=$AE980,AY818,0)+IF($C$138=$AE980,AY829,0)+IF($C$139=$AE980,AY840,0)+IF($C$140=$AE980,AY851,0),"")</f>
        <v>5286.4657721298436</v>
      </c>
      <c r="AZ987" s="123">
        <f>IF(AZ$979&gt;(2020+START!$C$2),AZ227+AZ335+AZ452-IF($A$124=$AE983,AZ623,0)-IF($A$125=$AE983,AZ634,0)-IF($A$126=$AE983,AZ645,0)-IF($A$127=$AE983,AZ656,0)-IF($A$128=$AE983,AZ667,0)-IF($A$129=$AE983,AZ678,0)-IF($A$135=$AE980,AZ729,0)-IF($A$136=$AE980,AZ740,0)-IF($A$137=$AE980,AZ751,0)-IF($A$138=$AE980,AZ762,0)-IF($A$139=$AE980,AZ773,0)-IF($A$140=$AE980,AZ784,0)+IF($C$135=$AE980,AZ796,0)+IF($C$136=$AE980,AZ807,0)+IF($C$137=$AE980,AZ818,0)+IF($C$138=$AE980,AZ829,0)+IF($C$139=$AE980,AZ840,0)+IF($C$140=$AE980,AZ851,0),"")</f>
        <v>5150.1475055629035</v>
      </c>
      <c r="BA987" s="123">
        <f>IF(BA$979&gt;(2020+START!$C$2),BA227+BA335+BA452-IF($A$124=$AE983,BA623,0)-IF($A$125=$AE983,BA634,0)-IF($A$126=$AE983,BA645,0)-IF($A$127=$AE983,BA656,0)-IF($A$128=$AE983,BA667,0)-IF($A$129=$AE983,BA678,0)-IF($A$135=$AE980,BA729,0)-IF($A$136=$AE980,BA740,0)-IF($A$137=$AE980,BA751,0)-IF($A$138=$AE980,BA762,0)-IF($A$139=$AE980,BA773,0)-IF($A$140=$AE980,BA784,0)+IF($C$135=$AE980,BA796,0)+IF($C$136=$AE980,BA807,0)+IF($C$137=$AE980,BA818,0)+IF($C$138=$AE980,BA829,0)+IF($C$139=$AE980,BA840,0)+IF($C$140=$AE980,BA851,0),"")</f>
        <v>5022.6899263228152</v>
      </c>
      <c r="BB987" s="123">
        <f>IF(BB$979&gt;(2020+START!$C$2),BB227+BB335+BB452-IF($A$124=$AE983,BB623,0)-IF($A$125=$AE983,BB634,0)-IF($A$126=$AE983,BB645,0)-IF($A$127=$AE983,BB656,0)-IF($A$128=$AE983,BB667,0)-IF($A$129=$AE983,BB678,0)-IF($A$135=$AE980,BB729,0)-IF($A$136=$AE980,BB740,0)-IF($A$137=$AE980,BB751,0)-IF($A$138=$AE980,BB762,0)-IF($A$139=$AE980,BB773,0)-IF($A$140=$AE980,BB784,0)+IF($C$135=$AE980,BB796,0)+IF($C$136=$AE980,BB807,0)+IF($C$137=$AE980,BB818,0)+IF($C$138=$AE980,BB829,0)+IF($C$139=$AE980,BB840,0)+IF($C$140=$AE980,BB851,0),"")</f>
        <v>4903.5170897333319</v>
      </c>
      <c r="BC987" s="123">
        <f>IF(BC$979&gt;(2020+START!$C$2),BC227+BC335+BC452-IF($A$124=$AE983,BC623,0)-IF($A$125=$AE983,BC634,0)-IF($A$126=$AE983,BC645,0)-IF($A$127=$AE983,BC656,0)-IF($A$128=$AE983,BC667,0)-IF($A$129=$AE983,BC678,0)-IF($A$135=$AE980,BC729,0)-IF($A$136=$AE980,BC740,0)-IF($A$137=$AE980,BC751,0)-IF($A$138=$AE980,BC762,0)-IF($A$139=$AE980,BC773,0)-IF($A$140=$AE980,BC784,0)+IF($C$135=$AE980,BC796,0)+IF($C$136=$AE980,BC807,0)+IF($C$137=$AE980,BC818,0)+IF($C$138=$AE980,BC829,0)+IF($C$139=$AE980,BC840,0)+IF($C$140=$AE980,BC851,0),"")</f>
        <v>4792.0904875221659</v>
      </c>
      <c r="BD987" s="123">
        <f>IF(BD$979&gt;(2020+START!$C$2),BD227+BD335+BD452-IF($A$124=$AE983,BD623,0)-IF($A$125=$AE983,BD634,0)-IF($A$126=$AE983,BD645,0)-IF($A$127=$AE983,BD656,0)-IF($A$128=$AE983,BD667,0)-IF($A$129=$AE983,BD678,0)-IF($A$135=$AE980,BD729,0)-IF($A$136=$AE980,BD740,0)-IF($A$137=$AE980,BD751,0)-IF($A$138=$AE980,BD762,0)-IF($A$139=$AE980,BD773,0)-IF($A$140=$AE980,BD784,0)+IF($C$135=$AE980,BD796,0)+IF($C$136=$AE980,BD807,0)+IF($C$137=$AE980,BD818,0)+IF($C$138=$AE980,BD829,0)+IF($C$139=$AE980,BD840,0)+IF($C$140=$AE980,BD851,0),"")</f>
        <v>4687.9066144547251</v>
      </c>
      <c r="BE987" s="123">
        <f>IF(BE$979&gt;(2020+START!$C$2),BE227+BE335+BE452-IF($A$124=$AE983,BE623,0)-IF($A$125=$AE983,BE634,0)-IF($A$126=$AE983,BE645,0)-IF($A$127=$AE983,BE656,0)-IF($A$128=$AE983,BE667,0)-IF($A$129=$AE983,BE678,0)-IF($A$135=$AE980,BE729,0)-IF($A$136=$AE980,BE740,0)-IF($A$137=$AE980,BE751,0)-IF($A$138=$AE980,BE762,0)-IF($A$139=$AE980,BE773,0)-IF($A$140=$AE980,BE784,0)+IF($C$135=$AE980,BE796,0)+IF($C$136=$AE980,BE807,0)+IF($C$137=$AE980,BE818,0)+IF($C$138=$AE980,BE829,0)+IF($C$139=$AE980,BE840,0)+IF($C$140=$AE980,BE851,0),"")</f>
        <v>4590.4946931366676</v>
      </c>
      <c r="BF987" s="123">
        <f>IF(BF$979&gt;(2020+START!$C$2),BF227+BF335+BF452-IF($A$124=$AE983,BF623,0)-IF($A$125=$AE983,BF634,0)-IF($A$126=$AE983,BF645,0)-IF($A$127=$AE983,BF656,0)-IF($A$128=$AE983,BF667,0)-IF($A$129=$AE983,BF678,0)-IF($A$135=$AE980,BF729,0)-IF($A$136=$AE980,BF740,0)-IF($A$137=$AE980,BF751,0)-IF($A$138=$AE980,BF762,0)-IF($A$139=$AE980,BF773,0)-IF($A$140=$AE980,BF784,0)+IF($C$135=$AE980,BF796,0)+IF($C$136=$AE980,BF807,0)+IF($C$137=$AE980,BF818,0)+IF($C$138=$AE980,BF829,0)+IF($C$139=$AE980,BF840,0)+IF($C$140=$AE980,BF851,0),"")</f>
        <v>4499.4145467042845</v>
      </c>
      <c r="BG987" s="123">
        <f>IF(BG$979&gt;(2020+START!$C$2),BG227+BG335+BG452-IF($A$124=$AE983,BG623,0)-IF($A$125=$AE983,BG634,0)-IF($A$126=$AE983,BG645,0)-IF($A$127=$AE983,BG656,0)-IF($A$128=$AE983,BG667,0)-IF($A$129=$AE983,BG678,0)-IF($A$135=$AE980,BG729,0)-IF($A$136=$AE980,BG740,0)-IF($A$137=$AE980,BG751,0)-IF($A$138=$AE980,BG762,0)-IF($A$139=$AE980,BG773,0)-IF($A$140=$AE980,BG784,0)+IF($C$135=$AE980,BG796,0)+IF($C$136=$AE980,BG807,0)+IF($C$137=$AE980,BG818,0)+IF($C$138=$AE980,BG829,0)+IF($C$139=$AE980,BG840,0)+IF($C$140=$AE980,BG851,0),"")</f>
        <v>4414.2546097900067</v>
      </c>
      <c r="BH987" s="123">
        <f>IF(BH$979&gt;(2020+START!$C$2),BH227+BH335+BH452-IF($A$124=$AE983,BH623,0)-IF($A$125=$AE983,BH634,0)-IF($A$126=$AE983,BH645,0)-IF($A$127=$AE983,BH656,0)-IF($A$128=$AE983,BH667,0)-IF($A$129=$AE983,BH678,0)-IF($A$135=$AE980,BH729,0)-IF($A$136=$AE980,BH740,0)-IF($A$137=$AE980,BH751,0)-IF($A$138=$AE980,BH762,0)-IF($A$139=$AE980,BH773,0)-IF($A$140=$AE980,BH784,0)+IF($C$135=$AE980,BH796,0)+IF($C$136=$AE980,BH807,0)+IF($C$137=$AE980,BH818,0)+IF($C$138=$AE980,BH829,0)+IF($C$139=$AE980,BH840,0)+IF($C$140=$AE980,BH851,0),"")</f>
        <v>4334.6300687751564</v>
      </c>
      <c r="BI987" s="123">
        <f>IF(BI$979&gt;(2020+START!$C$2),BI227+BI335+BI452-IF($A$124=$AE983,BI623,0)-IF($A$125=$AE983,BI634,0)-IF($A$126=$AE983,BI645,0)-IF($A$127=$AE983,BI656,0)-IF($A$128=$AE983,BI667,0)-IF($A$129=$AE983,BI678,0)-IF($A$135=$AE980,BI729,0)-IF($A$136=$AE980,BI740,0)-IF($A$137=$AE980,BI751,0)-IF($A$138=$AE980,BI762,0)-IF($A$139=$AE980,BI773,0)-IF($A$140=$AE980,BI784,0)+IF($C$135=$AE980,BI796,0)+IF($C$136=$AE980,BI807,0)+IF($C$137=$AE980,BI818,0)+IF($C$138=$AE980,BI829,0)+IF($C$139=$AE980,BI840,0)+IF($C$140=$AE980,BI851,0),"")</f>
        <v>4260.1811229262712</v>
      </c>
      <c r="BJ987" s="123">
        <f>IF(BJ$979&gt;(2020+START!$C$2),BJ227+BJ335+BJ452-IF($A$124=$AE983,BJ623,0)-IF($A$125=$AE983,BJ634,0)-IF($A$126=$AE983,BJ645,0)-IF($A$127=$AE983,BJ656,0)-IF($A$128=$AE983,BJ667,0)-IF($A$129=$AE983,BJ678,0)-IF($A$135=$AE980,BJ729,0)-IF($A$136=$AE980,BJ740,0)-IF($A$137=$AE980,BJ751,0)-IF($A$138=$AE980,BJ762,0)-IF($A$139=$AE980,BJ773,0)-IF($A$140=$AE980,BJ784,0)+IF($C$135=$AE980,BJ796,0)+IF($C$136=$AE980,BJ807,0)+IF($C$137=$AE980,BJ818,0)+IF($C$138=$AE980,BJ829,0)+IF($C$139=$AE980,BJ840,0)+IF($C$140=$AE980,BJ851,0),"")</f>
        <v>4190.5713585575631</v>
      </c>
      <c r="BK987" s="123">
        <f>IF(BK$979&gt;(2020+START!$C$2),BK227+BK335+BK452-IF($A$124=$AE983,BK623,0)-IF($A$125=$AE983,BK634,0)-IF($A$126=$AE983,BK645,0)-IF($A$127=$AE983,BK656,0)-IF($A$128=$AE983,BK667,0)-IF($A$129=$AE983,BK678,0)-IF($A$135=$AE980,BK729,0)-IF($A$136=$AE980,BK740,0)-IF($A$137=$AE980,BK751,0)-IF($A$138=$AE980,BK762,0)-IF($A$139=$AE980,BK773,0)-IF($A$140=$AE980,BK784,0)+IF($C$135=$AE980,BK796,0)+IF($C$136=$AE980,BK807,0)+IF($C$137=$AE980,BK818,0)+IF($C$138=$AE980,BK829,0)+IF($C$139=$AE980,BK840,0)+IF($C$140=$AE980,BK851,0),"")</f>
        <v>4125.4862288728218</v>
      </c>
      <c r="BL987" s="123">
        <f>IF(BL$979&gt;(2020+START!$C$2),BL227+BL335+BL452-IF($A$124=$AE983,BL623,0)-IF($A$125=$AE983,BL634,0)-IF($A$126=$AE983,BL645,0)-IF($A$127=$AE983,BL656,0)-IF($A$128=$AE983,BL667,0)-IF($A$129=$AE983,BL678,0)-IF($A$135=$AE980,BL729,0)-IF($A$136=$AE980,BL740,0)-IF($A$137=$AE980,BL751,0)-IF($A$138=$AE980,BL762,0)-IF($A$139=$AE980,BL773,0)-IF($A$140=$AE980,BL784,0)+IF($C$135=$AE980,BL796,0)+IF($C$136=$AE980,BL807,0)+IF($C$137=$AE980,BL818,0)+IF($C$138=$AE980,BL829,0)+IF($C$139=$AE980,BL840,0)+IF($C$140=$AE980,BL851,0),"")</f>
        <v>4064.6316326175879</v>
      </c>
      <c r="BM987" s="123">
        <f>IF(BM$979&gt;(2020+START!$C$2),BM227+BM335+BM452-IF($A$124=$AE983,BM623,0)-IF($A$125=$AE983,BM634,0)-IF($A$126=$AE983,BM645,0)-IF($A$127=$AE983,BM656,0)-IF($A$128=$AE983,BM667,0)-IF($A$129=$AE983,BM678,0)-IF($A$135=$AE980,BM729,0)-IF($A$136=$AE980,BM740,0)-IF($A$137=$AE980,BM751,0)-IF($A$138=$AE980,BM762,0)-IF($A$139=$AE980,BM773,0)-IF($A$140=$AE980,BM784,0)+IF($C$135=$AE980,BM796,0)+IF($C$136=$AE980,BM807,0)+IF($C$137=$AE980,BM818,0)+IF($C$138=$AE980,BM829,0)+IF($C$139=$AE980,BM840,0)+IF($C$140=$AE980,BM851,0),"")</f>
        <v>4007.7325851189448</v>
      </c>
      <c r="BN987" s="123">
        <f>IF(BN$979&gt;(2020+START!$C$2),BN227+BN335+BN452-IF($A$124=$AE983,BN623,0)-IF($A$125=$AE983,BN634,0)-IF($A$126=$AE983,BN645,0)-IF($A$127=$AE983,BN656,0)-IF($A$128=$AE983,BN667,0)-IF($A$129=$AE983,BN678,0)-IF($A$135=$AE980,BN729,0)-IF($A$136=$AE980,BN740,0)-IF($A$137=$AE980,BN751,0)-IF($A$138=$AE980,BN762,0)-IF($A$139=$AE980,BN773,0)-IF($A$140=$AE980,BN784,0)+IF($C$135=$AE980,BN796,0)+IF($C$136=$AE980,BN807,0)+IF($C$137=$AE980,BN818,0)+IF($C$138=$AE980,BN829,0)+IF($C$139=$AE980,BN840,0)+IF($C$140=$AE980,BN851,0),"")</f>
        <v>3954.5319757077136</v>
      </c>
    </row>
    <row r="988" spans="14:66" ht="20.100000000000001" customHeight="1">
      <c r="N988" s="130"/>
      <c r="O988" s="130"/>
      <c r="P988" s="130"/>
      <c r="Q988" s="130"/>
      <c r="R988" s="130"/>
      <c r="S988" s="130"/>
      <c r="T988" s="130"/>
      <c r="U988" s="130"/>
      <c r="V988" s="130"/>
      <c r="W988" s="130"/>
      <c r="X988" s="130"/>
      <c r="Y988" s="130"/>
      <c r="Z988" s="130"/>
      <c r="AA988" s="130"/>
      <c r="AB988" s="130"/>
      <c r="AC988" s="130"/>
      <c r="AD988" s="130"/>
      <c r="AE988" s="130">
        <f t="shared" si="1210"/>
        <v>9</v>
      </c>
      <c r="AF988" s="131" t="str">
        <f>INDEX('DEFAULT DATA'!$AJT$9:$AKC$41,START!$C$3,9)</f>
        <v>Industrial</v>
      </c>
      <c r="AG988" s="201"/>
      <c r="AH988" s="201"/>
      <c r="AI988" s="201"/>
      <c r="AJ988" s="201"/>
      <c r="AK988" s="201"/>
      <c r="AL988" s="123">
        <f>IF(AL$979&gt;(2020+START!$C$2),AL228+AL345+AL462-IF($A$124=$AE983,AL623,0)-IF($A$125=$AE983,AL634,0)-IF($A$126=$AE983,AL645,0)-IF($A$127=$AE983,AL656,0)-IF($A$128=$AE983,AL667,0)-IF($A$129=$AE983,AL678,0)-IF($A$135=$AE980,AL729,0)-IF($A$136=$AE980,AL740,0)-IF($A$137=$AE980,AL751,0)-IF($A$138=$AE980,AL762,0)-IF($A$139=$AE980,AL773,0)-IF($A$140=$AE980,AL784,0)+IF($C$135=$AE980,AL796,0)+IF($C$136=$AE980,AL807,0)+IF($C$137=$AE980,AL818,0)+IF($C$138=$AE980,AL829,0)+IF($C$139=$AE980,AL840,0)+IF($C$140=$AE980,AL851,0),"")</f>
        <v>137765.96378561738</v>
      </c>
      <c r="AM988" s="123">
        <f>IF(AM$979&gt;(2020+START!$C$2),AM228+AM345+AM462-IF($A$124=$AE983,AM623,0)-IF($A$125=$AE983,AM634,0)-IF($A$126=$AE983,AM645,0)-IF($A$127=$AE983,AM656,0)-IF($A$128=$AE983,AM667,0)-IF($A$129=$AE983,AM678,0)-IF($A$135=$AE980,AM729,0)-IF($A$136=$AE980,AM740,0)-IF($A$137=$AE980,AM751,0)-IF($A$138=$AE980,AM762,0)-IF($A$139=$AE980,AM773,0)-IF($A$140=$AE980,AM784,0)+IF($C$135=$AE980,AM796,0)+IF($C$136=$AE980,AM807,0)+IF($C$137=$AE980,AM818,0)+IF($C$138=$AE980,AM829,0)+IF($C$139=$AE980,AM840,0)+IF($C$140=$AE980,AM851,0),"")</f>
        <v>132765.89539104709</v>
      </c>
      <c r="AN988" s="123">
        <f>IF(AN$979&gt;(2020+START!$C$2),AN228+AN345+AN462-IF($A$124=$AE983,AN623,0)-IF($A$125=$AE983,AN634,0)-IF($A$126=$AE983,AN645,0)-IF($A$127=$AE983,AN656,0)-IF($A$128=$AE983,AN667,0)-IF($A$129=$AE983,AN678,0)-IF($A$135=$AE980,AN729,0)-IF($A$136=$AE980,AN740,0)-IF($A$137=$AE980,AN751,0)-IF($A$138=$AE980,AN762,0)-IF($A$139=$AE980,AN773,0)-IF($A$140=$AE980,AN784,0)+IF($C$135=$AE980,AN796,0)+IF($C$136=$AE980,AN807,0)+IF($C$137=$AE980,AN818,0)+IF($C$138=$AE980,AN829,0)+IF($C$139=$AE980,AN840,0)+IF($C$140=$AE980,AN851,0),"")</f>
        <v>128145.83219446409</v>
      </c>
      <c r="AO988" s="123">
        <f>IF(AO$979&gt;(2020+START!$C$2),AO228+AO345+AO462-IF($A$124=$AE983,AO623,0)-IF($A$125=$AE983,AO634,0)-IF($A$126=$AE983,AO645,0)-IF($A$127=$AE983,AO656,0)-IF($A$128=$AE983,AO667,0)-IF($A$129=$AE983,AO678,0)-IF($A$135=$AE980,AO729,0)-IF($A$136=$AE980,AO740,0)-IF($A$137=$AE980,AO751,0)-IF($A$138=$AE980,AO762,0)-IF($A$139=$AE980,AO773,0)-IF($A$140=$AE980,AO784,0)+IF($C$135=$AE980,AO796,0)+IF($C$136=$AE980,AO807,0)+IF($C$137=$AE980,AO818,0)+IF($C$138=$AE980,AO829,0)+IF($C$139=$AE980,AO840,0)+IF($C$140=$AE980,AO851,0),"")</f>
        <v>123876.89380082142</v>
      </c>
      <c r="AP988" s="123">
        <f>IF(AP$979&gt;(2020+START!$C$2),AP228+AP345+AP462-IF($A$124=$AE983,AP623,0)-IF($A$125=$AE983,AP634,0)-IF($A$126=$AE983,AP645,0)-IF($A$127=$AE983,AP656,0)-IF($A$128=$AE983,AP667,0)-IF($A$129=$AE983,AP678,0)-IF($A$135=$AE980,AP729,0)-IF($A$136=$AE980,AP740,0)-IF($A$137=$AE980,AP751,0)-IF($A$138=$AE980,AP762,0)-IF($A$139=$AE980,AP773,0)-IF($A$140=$AE980,AP784,0)+IF($C$135=$AE980,AP796,0)+IF($C$136=$AE980,AP807,0)+IF($C$137=$AE980,AP818,0)+IF($C$138=$AE980,AP829,0)+IF($C$139=$AE980,AP840,0)+IF($C$140=$AE980,AP851,0),"")</f>
        <v>119932.3947250956</v>
      </c>
      <c r="AQ988" s="123">
        <f>IF(AQ$979&gt;(2020+START!$C$2),AQ228+AQ345+AQ462-IF($A$124=$AE983,AQ623,0)-IF($A$125=$AE983,AQ634,0)-IF($A$126=$AE983,AQ645,0)-IF($A$127=$AE983,AQ656,0)-IF($A$128=$AE983,AQ667,0)-IF($A$129=$AE983,AQ678,0)-IF($A$135=$AE980,AQ729,0)-IF($A$136=$AE980,AQ740,0)-IF($A$137=$AE980,AQ751,0)-IF($A$138=$AE980,AQ762,0)-IF($A$139=$AE980,AQ773,0)-IF($A$140=$AE980,AQ784,0)+IF($C$135=$AE980,AQ796,0)+IF($C$136=$AE980,AQ807,0)+IF($C$137=$AE980,AQ818,0)+IF($C$138=$AE980,AQ829,0)+IF($C$139=$AE980,AQ840,0)+IF($C$140=$AE980,AQ851,0),"")</f>
        <v>116287.67757912494</v>
      </c>
      <c r="AR988" s="123">
        <f>IF(AR$979&gt;(2020+START!$C$2),AR228+AR345+AR462-IF($A$124=$AE983,AR623,0)-IF($A$125=$AE983,AR634,0)-IF($A$126=$AE983,AR645,0)-IF($A$127=$AE983,AR656,0)-IF($A$128=$AE983,AR667,0)-IF($A$129=$AE983,AR678,0)-IF($A$135=$AE980,AR729,0)-IF($A$136=$AE980,AR740,0)-IF($A$137=$AE980,AR751,0)-IF($A$138=$AE980,AR762,0)-IF($A$139=$AE980,AR773,0)-IF($A$140=$AE980,AR784,0)+IF($C$135=$AE980,AR796,0)+IF($C$136=$AE980,AR807,0)+IF($C$137=$AE980,AR818,0)+IF($C$138=$AE980,AR829,0)+IF($C$139=$AE980,AR840,0)+IF($C$140=$AE980,AR851,0),"")</f>
        <v>112919.95893624803</v>
      </c>
      <c r="AS988" s="123">
        <f>IF(AS$979&gt;(2020+START!$C$2),AS228+AS345+AS462-IF($A$124=$AE983,AS623,0)-IF($A$125=$AE983,AS634,0)-IF($A$126=$AE983,AS645,0)-IF($A$127=$AE983,AS656,0)-IF($A$128=$AE983,AS667,0)-IF($A$129=$AE983,AS678,0)-IF($A$135=$AE980,AS729,0)-IF($A$136=$AE980,AS740,0)-IF($A$137=$AE980,AS751,0)-IF($A$138=$AE980,AS762,0)-IF($A$139=$AE980,AS773,0)-IF($A$140=$AE980,AS784,0)+IF($C$135=$AE980,AS796,0)+IF($C$136=$AE980,AS807,0)+IF($C$137=$AE980,AS818,0)+IF($C$138=$AE980,AS829,0)+IF($C$139=$AE980,AS840,0)+IF($C$140=$AE980,AS851,0),"")</f>
        <v>109808.18691022978</v>
      </c>
      <c r="AT988" s="123">
        <f>IF(AT$979&gt;(2020+START!$C$2),AT228+AT345+AT462-IF($A$124=$AE983,AT623,0)-IF($A$125=$AE983,AT634,0)-IF($A$126=$AE983,AT645,0)-IF($A$127=$AE983,AT656,0)-IF($A$128=$AE983,AT667,0)-IF($A$129=$AE983,AT678,0)-IF($A$135=$AE980,AT729,0)-IF($A$136=$AE980,AT740,0)-IF($A$137=$AE980,AT751,0)-IF($A$138=$AE980,AT762,0)-IF($A$139=$AE980,AT773,0)-IF($A$140=$AE980,AT784,0)+IF($C$135=$AE980,AT796,0)+IF($C$136=$AE980,AT807,0)+IF($C$137=$AE980,AT818,0)+IF($C$138=$AE980,AT829,0)+IF($C$139=$AE980,AT840,0)+IF($C$140=$AE980,AT851,0),"")</f>
        <v>106932.90955818893</v>
      </c>
      <c r="AU988" s="123">
        <f>IF(AU$979&gt;(2020+START!$C$2),AU228+AU345+AU462-IF($A$124=$AE983,AU623,0)-IF($A$125=$AE983,AU634,0)-IF($A$126=$AE983,AU645,0)-IF($A$127=$AE983,AU656,0)-IF($A$128=$AE983,AU667,0)-IF($A$129=$AE983,AU678,0)-IF($A$135=$AE980,AU729,0)-IF($A$136=$AE980,AU740,0)-IF($A$137=$AE980,AU751,0)-IF($A$138=$AE980,AU762,0)-IF($A$139=$AE980,AU773,0)-IF($A$140=$AE980,AU784,0)+IF($C$135=$AE980,AU796,0)+IF($C$136=$AE980,AU807,0)+IF($C$137=$AE980,AU818,0)+IF($C$138=$AE980,AU829,0)+IF($C$139=$AE980,AU840,0)+IF($C$140=$AE980,AU851,0),"")</f>
        <v>104660.68379814189</v>
      </c>
      <c r="AV988" s="123">
        <f>IF(AV$979&gt;(2020+START!$C$2),AV228+AV345+AV462-IF($A$124=$AE983,AV623,0)-IF($A$125=$AE983,AV634,0)-IF($A$126=$AE983,AV645,0)-IF($A$127=$AE983,AV656,0)-IF($A$128=$AE983,AV667,0)-IF($A$129=$AE983,AV678,0)-IF($A$135=$AE980,AV729,0)-IF($A$136=$AE980,AV740,0)-IF($A$137=$AE980,AV751,0)-IF($A$138=$AE980,AV762,0)-IF($A$139=$AE980,AV773,0)-IF($A$140=$AE980,AV784,0)+IF($C$135=$AE980,AV796,0)+IF($C$136=$AE980,AV807,0)+IF($C$137=$AE980,AV818,0)+IF($C$138=$AE980,AV829,0)+IF($C$139=$AE980,AV840,0)+IF($C$140=$AE980,AV851,0),"")</f>
        <v>102536.15271249792</v>
      </c>
      <c r="AW988" s="123">
        <f>IF(AW$979&gt;(2020+START!$C$2),AW228+AW345+AW462-IF($A$124=$AE983,AW623,0)-IF($A$125=$AE983,AW634,0)-IF($A$126=$AE983,AW645,0)-IF($A$127=$AE983,AW656,0)-IF($A$128=$AE983,AW667,0)-IF($A$129=$AE983,AW678,0)-IF($A$135=$AE980,AW729,0)-IF($A$136=$AE980,AW740,0)-IF($A$137=$AE980,AW751,0)-IF($A$138=$AE980,AW762,0)-IF($A$139=$AE980,AW773,0)-IF($A$140=$AE980,AW784,0)+IF($C$135=$AE980,AW796,0)+IF($C$136=$AE980,AW807,0)+IF($C$137=$AE980,AW818,0)+IF($C$138=$AE980,AW829,0)+IF($C$139=$AE980,AW840,0)+IF($C$140=$AE980,AW851,0),"")</f>
        <v>100549.71614742081</v>
      </c>
      <c r="AX988" s="123">
        <f>IF(AX$979&gt;(2020+START!$C$2),AX228+AX345+AX462-IF($A$124=$AE983,AX623,0)-IF($A$125=$AE983,AX634,0)-IF($A$126=$AE983,AX645,0)-IF($A$127=$AE983,AX656,0)-IF($A$128=$AE983,AX667,0)-IF($A$129=$AE983,AX678,0)-IF($A$135=$AE980,AX729,0)-IF($A$136=$AE980,AX740,0)-IF($A$137=$AE980,AX751,0)-IF($A$138=$AE980,AX762,0)-IF($A$139=$AE980,AX773,0)-IF($A$140=$AE980,AX784,0)+IF($C$135=$AE980,AX796,0)+IF($C$136=$AE980,AX807,0)+IF($C$137=$AE980,AX818,0)+IF($C$138=$AE980,AX829,0)+IF($C$139=$AE980,AX840,0)+IF($C$140=$AE980,AX851,0),"")</f>
        <v>98692.3979590737</v>
      </c>
      <c r="AY988" s="123">
        <f>IF(AY$979&gt;(2020+START!$C$2),AY228+AY345+AY462-IF($A$124=$AE983,AY623,0)-IF($A$125=$AE983,AY634,0)-IF($A$126=$AE983,AY645,0)-IF($A$127=$AE983,AY656,0)-IF($A$128=$AE983,AY667,0)-IF($A$129=$AE983,AY678,0)-IF($A$135=$AE980,AY729,0)-IF($A$136=$AE980,AY740,0)-IF($A$137=$AE980,AY751,0)-IF($A$138=$AE980,AY762,0)-IF($A$139=$AE980,AY773,0)-IF($A$140=$AE980,AY784,0)+IF($C$135=$AE980,AY796,0)+IF($C$136=$AE980,AY807,0)+IF($C$137=$AE980,AY818,0)+IF($C$138=$AE980,AY829,0)+IF($C$139=$AE980,AY840,0)+IF($C$140=$AE980,AY851,0),"")</f>
        <v>96955.805452969158</v>
      </c>
      <c r="AZ988" s="123">
        <f>IF(AZ$979&gt;(2020+START!$C$2),AZ228+AZ345+AZ462-IF($A$124=$AE983,AZ623,0)-IF($A$125=$AE983,AZ634,0)-IF($A$126=$AE983,AZ645,0)-IF($A$127=$AE983,AZ656,0)-IF($A$128=$AE983,AZ667,0)-IF($A$129=$AE983,AZ678,0)-IF($A$135=$AE980,AZ729,0)-IF($A$136=$AE980,AZ740,0)-IF($A$137=$AE980,AZ751,0)-IF($A$138=$AE980,AZ762,0)-IF($A$139=$AE980,AZ773,0)-IF($A$140=$AE980,AZ784,0)+IF($C$135=$AE980,AZ796,0)+IF($C$136=$AE980,AZ807,0)+IF($C$137=$AE980,AZ818,0)+IF($C$138=$AE980,AZ829,0)+IF($C$139=$AE980,AZ840,0)+IF($C$140=$AE980,AZ851,0),"")</f>
        <v>95332.091459761417</v>
      </c>
      <c r="BA988" s="123">
        <f>IF(BA$979&gt;(2020+START!$C$2),BA228+BA345+BA462-IF($A$124=$AE983,BA623,0)-IF($A$125=$AE983,BA634,0)-IF($A$126=$AE983,BA645,0)-IF($A$127=$AE983,BA656,0)-IF($A$128=$AE983,BA667,0)-IF($A$129=$AE983,BA678,0)-IF($A$135=$AE980,BA729,0)-IF($A$136=$AE980,BA740,0)-IF($A$137=$AE980,BA751,0)-IF($A$138=$AE980,BA762,0)-IF($A$139=$AE980,BA773,0)-IF($A$140=$AE980,BA784,0)+IF($C$135=$AE980,BA796,0)+IF($C$136=$AE980,BA807,0)+IF($C$137=$AE980,BA818,0)+IF($C$138=$AE980,BA829,0)+IF($C$139=$AE980,BA840,0)+IF($C$140=$AE980,BA851,0),"")</f>
        <v>93813.918876112177</v>
      </c>
      <c r="BB988" s="123">
        <f>IF(BB$979&gt;(2020+START!$C$2),BB228+BB345+BB462-IF($A$124=$AE983,BB623,0)-IF($A$125=$AE983,BB634,0)-IF($A$126=$AE983,BB645,0)-IF($A$127=$AE983,BB656,0)-IF($A$128=$AE983,BB667,0)-IF($A$129=$AE983,BB678,0)-IF($A$135=$AE980,BB729,0)-IF($A$136=$AE980,BB740,0)-IF($A$137=$AE980,BB751,0)-IF($A$138=$AE980,BB762,0)-IF($A$139=$AE980,BB773,0)-IF($A$140=$AE980,BB784,0)+IF($C$135=$AE980,BB796,0)+IF($C$136=$AE980,BB807,0)+IF($C$137=$AE980,BB818,0)+IF($C$138=$AE980,BB829,0)+IF($C$139=$AE980,BB840,0)+IF($C$140=$AE980,BB851,0),"")</f>
        <v>92394.427510400143</v>
      </c>
      <c r="BC988" s="123">
        <f>IF(BC$979&gt;(2020+START!$C$2),BC228+BC345+BC462-IF($A$124=$AE983,BC623,0)-IF($A$125=$AE983,BC634,0)-IF($A$126=$AE983,BC645,0)-IF($A$127=$AE983,BC656,0)-IF($A$128=$AE983,BC667,0)-IF($A$129=$AE983,BC678,0)-IF($A$135=$AE980,BC729,0)-IF($A$136=$AE980,BC740,0)-IF($A$137=$AE980,BC751,0)-IF($A$138=$AE980,BC762,0)-IF($A$139=$AE980,BC773,0)-IF($A$140=$AE980,BC784,0)+IF($C$135=$AE980,BC796,0)+IF($C$136=$AE980,BC807,0)+IF($C$137=$AE980,BC818,0)+IF($C$138=$AE980,BC829,0)+IF($C$139=$AE980,BC840,0)+IF($C$140=$AE980,BC851,0),"")</f>
        <v>91067.203083459375</v>
      </c>
      <c r="BD988" s="123">
        <f>IF(BD$979&gt;(2020+START!$C$2),BD228+BD345+BD462-IF($A$124=$AE983,BD623,0)-IF($A$125=$AE983,BD634,0)-IF($A$126=$AE983,BD645,0)-IF($A$127=$AE983,BD656,0)-IF($A$128=$AE983,BD667,0)-IF($A$129=$AE983,BD678,0)-IF($A$135=$AE980,BD729,0)-IF($A$136=$AE980,BD740,0)-IF($A$137=$AE980,BD751,0)-IF($A$138=$AE980,BD762,0)-IF($A$139=$AE980,BD773,0)-IF($A$140=$AE980,BD784,0)+IF($C$135=$AE980,BD796,0)+IF($C$136=$AE980,BD807,0)+IF($C$137=$AE980,BD818,0)+IF($C$138=$AE980,BD829,0)+IF($C$139=$AE980,BD840,0)+IF($C$140=$AE980,BD851,0),"")</f>
        <v>89826.248244269766</v>
      </c>
      <c r="BE988" s="123">
        <f>IF(BE$979&gt;(2020+START!$C$2),BE228+BE345+BE462-IF($A$124=$AE983,BE623,0)-IF($A$125=$AE983,BE634,0)-IF($A$126=$AE983,BE645,0)-IF($A$127=$AE983,BE656,0)-IF($A$128=$AE983,BE667,0)-IF($A$129=$AE983,BE678,0)-IF($A$135=$AE980,BE729,0)-IF($A$136=$AE980,BE740,0)-IF($A$137=$AE980,BE751,0)-IF($A$138=$AE980,BE762,0)-IF($A$139=$AE980,BE773,0)-IF($A$140=$AE980,BE784,0)+IF($C$135=$AE980,BE796,0)+IF($C$136=$AE980,BE807,0)+IF($C$137=$AE980,BE818,0)+IF($C$138=$AE980,BE829,0)+IF($C$139=$AE980,BE840,0)+IF($C$140=$AE980,BE851,0),"")</f>
        <v>88665.955469627486</v>
      </c>
      <c r="BF988" s="123">
        <f>IF(BF$979&gt;(2020+START!$C$2),BF228+BF345+BF462-IF($A$124=$AE983,BF623,0)-IF($A$125=$AE983,BF634,0)-IF($A$126=$AE983,BF645,0)-IF($A$127=$AE983,BF656,0)-IF($A$128=$AE983,BF667,0)-IF($A$129=$AE983,BF678,0)-IF($A$135=$AE980,BF729,0)-IF($A$136=$AE980,BF740,0)-IF($A$137=$AE980,BF751,0)-IF($A$138=$AE980,BF762,0)-IF($A$139=$AE980,BF773,0)-IF($A$140=$AE980,BF784,0)+IF($C$135=$AE980,BF796,0)+IF($C$136=$AE980,BF807,0)+IF($C$137=$AE980,BF818,0)+IF($C$138=$AE980,BF829,0)+IF($C$139=$AE980,BF840,0)+IF($C$140=$AE980,BF851,0),"")</f>
        <v>87581.081725336946</v>
      </c>
      <c r="BG988" s="123">
        <f>IF(BG$979&gt;(2020+START!$C$2),BG228+BG345+BG462-IF($A$124=$AE983,BG623,0)-IF($A$125=$AE983,BG634,0)-IF($A$126=$AE983,BG645,0)-IF($A$127=$AE983,BG656,0)-IF($A$128=$AE983,BG667,0)-IF($A$129=$AE983,BG678,0)-IF($A$135=$AE980,BG729,0)-IF($A$136=$AE980,BG740,0)-IF($A$137=$AE980,BG751,0)-IF($A$138=$AE980,BG762,0)-IF($A$139=$AE980,BG773,0)-IF($A$140=$AE980,BG784,0)+IF($C$135=$AE980,BG796,0)+IF($C$136=$AE980,BG807,0)+IF($C$137=$AE980,BG818,0)+IF($C$138=$AE980,BG829,0)+IF($C$139=$AE980,BG840,0)+IF($C$140=$AE980,BG851,0),"")</f>
        <v>86566.724774425296</v>
      </c>
      <c r="BH988" s="123">
        <f>IF(BH$979&gt;(2020+START!$C$2),BH228+BH345+BH462-IF($A$124=$AE983,BH623,0)-IF($A$125=$AE983,BH634,0)-IF($A$126=$AE983,BH645,0)-IF($A$127=$AE983,BH656,0)-IF($A$128=$AE983,BH667,0)-IF($A$129=$AE983,BH678,0)-IF($A$135=$AE980,BH729,0)-IF($A$136=$AE980,BH740,0)-IF($A$137=$AE980,BH751,0)-IF($A$138=$AE980,BH762,0)-IF($A$139=$AE980,BH773,0)-IF($A$140=$AE980,BH784,0)+IF($C$135=$AE980,BH796,0)+IF($C$136=$AE980,BH807,0)+IF($C$137=$AE980,BH818,0)+IF($C$138=$AE980,BH829,0)+IF($C$139=$AE980,BH840,0)+IF($C$140=$AE980,BH851,0),"")</f>
        <v>85618.3010253229</v>
      </c>
      <c r="BI988" s="123">
        <f>IF(BI$979&gt;(2020+START!$C$2),BI228+BI345+BI462-IF($A$124=$AE983,BI623,0)-IF($A$125=$AE983,BI634,0)-IF($A$126=$AE983,BI645,0)-IF($A$127=$AE983,BI656,0)-IF($A$128=$AE983,BI667,0)-IF($A$129=$AE983,BI678,0)-IF($A$135=$AE980,BI729,0)-IF($A$136=$AE980,BI740,0)-IF($A$137=$AE980,BI751,0)-IF($A$138=$AE980,BI762,0)-IF($A$139=$AE980,BI773,0)-IF($A$140=$AE980,BI784,0)+IF($C$135=$AE980,BI796,0)+IF($C$136=$AE980,BI807,0)+IF($C$137=$AE980,BI818,0)+IF($C$138=$AE980,BI829,0)+IF($C$139=$AE980,BI840,0)+IF($C$140=$AE980,BI851,0),"")</f>
        <v>84731.524819912171</v>
      </c>
      <c r="BJ988" s="123">
        <f>IF(BJ$979&gt;(2020+START!$C$2),BJ228+BJ345+BJ462-IF($A$124=$AE983,BJ623,0)-IF($A$125=$AE983,BJ634,0)-IF($A$126=$AE983,BJ645,0)-IF($A$127=$AE983,BJ656,0)-IF($A$128=$AE983,BJ667,0)-IF($A$129=$AE983,BJ678,0)-IF($A$135=$AE980,BJ729,0)-IF($A$136=$AE980,BJ740,0)-IF($A$137=$AE980,BJ751,0)-IF($A$138=$AE980,BJ762,0)-IF($A$139=$AE980,BJ773,0)-IF($A$140=$AE980,BJ784,0)+IF($C$135=$AE980,BJ796,0)+IF($C$136=$AE980,BJ807,0)+IF($C$137=$AE980,BJ818,0)+IF($C$138=$AE980,BJ829,0)+IF($C$139=$AE980,BJ840,0)+IF($C$140=$AE980,BJ851,0),"")</f>
        <v>83902.389067853132</v>
      </c>
      <c r="BK988" s="123">
        <f>IF(BK$979&gt;(2020+START!$C$2),BK228+BK345+BK462-IF($A$124=$AE983,BK623,0)-IF($A$125=$AE983,BK634,0)-IF($A$126=$AE983,BK645,0)-IF($A$127=$AE983,BK656,0)-IF($A$128=$AE983,BK667,0)-IF($A$129=$AE983,BK678,0)-IF($A$135=$AE980,BK729,0)-IF($A$136=$AE980,BK740,0)-IF($A$137=$AE980,BK751,0)-IF($A$138=$AE980,BK762,0)-IF($A$139=$AE980,BK773,0)-IF($A$140=$AE980,BK784,0)+IF($C$135=$AE980,BK796,0)+IF($C$136=$AE980,BK807,0)+IF($C$137=$AE980,BK818,0)+IF($C$138=$AE980,BK829,0)+IF($C$139=$AE980,BK840,0)+IF($C$140=$AE980,BK851,0),"")</f>
        <v>83127.147139677923</v>
      </c>
      <c r="BL988" s="123">
        <f>IF(BL$979&gt;(2020+START!$C$2),BL228+BL345+BL462-IF($A$124=$AE983,BL623,0)-IF($A$125=$AE983,BL634,0)-IF($A$126=$AE983,BL645,0)-IF($A$127=$AE983,BL656,0)-IF($A$128=$AE983,BL667,0)-IF($A$129=$AE983,BL678,0)-IF($A$135=$AE980,BL729,0)-IF($A$136=$AE980,BL740,0)-IF($A$137=$AE980,BL751,0)-IF($A$138=$AE980,BL762,0)-IF($A$139=$AE980,BL773,0)-IF($A$140=$AE980,BL784,0)+IF($C$135=$AE980,BL796,0)+IF($C$136=$AE980,BL807,0)+IF($C$137=$AE980,BL818,0)+IF($C$138=$AE980,BL829,0)+IF($C$139=$AE980,BL840,0)+IF($C$140=$AE980,BL851,0),"")</f>
        <v>82402.295936834111</v>
      </c>
      <c r="BM988" s="123">
        <f>IF(BM$979&gt;(2020+START!$C$2),BM228+BM345+BM462-IF($A$124=$AE983,BM623,0)-IF($A$125=$AE983,BM634,0)-IF($A$126=$AE983,BM645,0)-IF($A$127=$AE983,BM656,0)-IF($A$128=$AE983,BM667,0)-IF($A$129=$AE983,BM678,0)-IF($A$135=$AE980,BM729,0)-IF($A$136=$AE980,BM740,0)-IF($A$137=$AE980,BM751,0)-IF($A$138=$AE980,BM762,0)-IF($A$139=$AE980,BM773,0)-IF($A$140=$AE980,BM784,0)+IF($C$135=$AE980,BM796,0)+IF($C$136=$AE980,BM807,0)+IF($C$137=$AE980,BM818,0)+IF($C$138=$AE980,BM829,0)+IF($C$139=$AE980,BM840,0)+IF($C$140=$AE980,BM851,0),"")</f>
        <v>81724.560062175136</v>
      </c>
      <c r="BN988" s="123">
        <f>IF(BN$979&gt;(2020+START!$C$2),BN228+BN345+BN462-IF($A$124=$AE983,BN623,0)-IF($A$125=$AE983,BN634,0)-IF($A$126=$AE983,BN645,0)-IF($A$127=$AE983,BN656,0)-IF($A$128=$AE983,BN667,0)-IF($A$129=$AE983,BN678,0)-IF($A$135=$AE980,BN729,0)-IF($A$136=$AE980,BN740,0)-IF($A$137=$AE980,BN751,0)-IF($A$138=$AE980,BN762,0)-IF($A$139=$AE980,BN773,0)-IF($A$140=$AE980,BN784,0)+IF($C$135=$AE980,BN796,0)+IF($C$136=$AE980,BN807,0)+IF($C$137=$AE980,BN818,0)+IF($C$138=$AE980,BN829,0)+IF($C$139=$AE980,BN840,0)+IF($C$140=$AE980,BN851,0),"")</f>
        <v>81090.877019369</v>
      </c>
    </row>
    <row r="989" spans="14:66" ht="20.100000000000001" customHeight="1">
      <c r="N989" s="130"/>
      <c r="O989" s="130"/>
      <c r="P989" s="130"/>
      <c r="Q989" s="130"/>
      <c r="R989" s="130"/>
      <c r="S989" s="130"/>
      <c r="T989" s="130"/>
      <c r="U989" s="130"/>
      <c r="V989" s="130"/>
      <c r="W989" s="130"/>
      <c r="X989" s="130"/>
      <c r="Y989" s="130"/>
      <c r="Z989" s="130"/>
      <c r="AA989" s="130"/>
      <c r="AB989" s="130"/>
      <c r="AC989" s="130"/>
      <c r="AD989" s="130"/>
      <c r="AE989" s="130">
        <f t="shared" si="1210"/>
        <v>10</v>
      </c>
      <c r="AF989" s="319" t="str">
        <f>INDEX('DEFAULT DATA'!$AJT$9:$AKC$41,START!$C$3,10)</f>
        <v>Warehouses</v>
      </c>
      <c r="AG989" s="483"/>
      <c r="AH989" s="483"/>
      <c r="AI989" s="483"/>
      <c r="AJ989" s="483"/>
      <c r="AK989" s="483"/>
      <c r="AL989" s="123">
        <f>IF(AL$979&gt;(2020+START!$C$2),AL229+AL355+AL472-IF($A$124=$AE983,AL623,0)-IF($A$125=$AE983,AL634,0)-IF($A$126=$AE983,AL645,0)-IF($A$127=$AE983,AL656,0)-IF($A$128=$AE983,AL667,0)-IF($A$129=$AE983,AL678,0)-IF($A$135=$AE980,AL729,0)-IF($A$136=$AE980,AL740,0)-IF($A$137=$AE980,AL751,0)-IF($A$138=$AE980,AL762,0)-IF($A$139=$AE980,AL773,0)-IF($A$140=$AE980,AL784,0)+IF($C$135=$AE980,AL796,0)+IF($C$136=$AE980,AL807,0)+IF($C$137=$AE980,AL818,0)+IF($C$138=$AE980,AL829,0)+IF($C$139=$AE980,AL840,0)+IF($C$140=$AE980,AL851,0),"")</f>
        <v>3818.0236228025269</v>
      </c>
      <c r="AM989" s="123">
        <f>IF(AM$979&gt;(2020+START!$C$2),AM229+AM355+AM472-IF($A$124=$AE983,AM623,0)-IF($A$125=$AE983,AM634,0)-IF($A$126=$AE983,AM645,0)-IF($A$127=$AE983,AM656,0)-IF($A$128=$AE983,AM667,0)-IF($A$129=$AE983,AM678,0)-IF($A$135=$AE980,AM729,0)-IF($A$136=$AE980,AM740,0)-IF($A$137=$AE980,AM751,0)-IF($A$138=$AE980,AM762,0)-IF($A$139=$AE980,AM773,0)-IF($A$140=$AE980,AM784,0)+IF($C$135=$AE980,AM796,0)+IF($C$136=$AE980,AM807,0)+IF($C$137=$AE980,AM818,0)+IF($C$138=$AE980,AM829,0)+IF($C$139=$AE980,AM840,0)+IF($C$140=$AE980,AM851,0),"")</f>
        <v>3567.8076096982732</v>
      </c>
      <c r="AN989" s="123">
        <f>IF(AN$979&gt;(2020+START!$C$2),AN229+AN355+AN472-IF($A$124=$AE983,AN623,0)-IF($A$125=$AE983,AN634,0)-IF($A$126=$AE983,AN645,0)-IF($A$127=$AE983,AN656,0)-IF($A$128=$AE983,AN667,0)-IF($A$129=$AE983,AN678,0)-IF($A$135=$AE980,AN729,0)-IF($A$136=$AE980,AN740,0)-IF($A$137=$AE980,AN751,0)-IF($A$138=$AE980,AN762,0)-IF($A$139=$AE980,AN773,0)-IF($A$140=$AE980,AN784,0)+IF($C$135=$AE980,AN796,0)+IF($C$136=$AE980,AN807,0)+IF($C$137=$AE980,AN818,0)+IF($C$138=$AE980,AN829,0)+IF($C$139=$AE980,AN840,0)+IF($C$140=$AE980,AN851,0),"")</f>
        <v>3336.6080135899424</v>
      </c>
      <c r="AO989" s="123">
        <f>IF(AO$979&gt;(2020+START!$C$2),AO229+AO355+AO472-IF($A$124=$AE983,AO623,0)-IF($A$125=$AE983,AO634,0)-IF($A$126=$AE983,AO645,0)-IF($A$127=$AE983,AO656,0)-IF($A$128=$AE983,AO667,0)-IF($A$129=$AE983,AO678,0)-IF($A$135=$AE980,AO729,0)-IF($A$136=$AE980,AO740,0)-IF($A$137=$AE980,AO751,0)-IF($A$138=$AE980,AO762,0)-IF($A$139=$AE980,AO773,0)-IF($A$140=$AE980,AO784,0)+IF($C$135=$AE980,AO796,0)+IF($C$136=$AE980,AO807,0)+IF($C$137=$AE980,AO818,0)+IF($C$138=$AE980,AO829,0)+IF($C$139=$AE980,AO840,0)+IF($C$140=$AE980,AO851,0),"")</f>
        <v>3122.9795867858443</v>
      </c>
      <c r="AP989" s="123">
        <f>IF(AP$979&gt;(2020+START!$C$2),AP229+AP355+AP472-IF($A$124=$AE983,AP623,0)-IF($A$125=$AE983,AP634,0)-IF($A$126=$AE983,AP645,0)-IF($A$127=$AE983,AP656,0)-IF($A$128=$AE983,AP667,0)-IF($A$129=$AE983,AP678,0)-IF($A$135=$AE980,AP729,0)-IF($A$136=$AE980,AP740,0)-IF($A$137=$AE980,AP751,0)-IF($A$138=$AE980,AP762,0)-IF($A$139=$AE980,AP773,0)-IF($A$140=$AE980,AP784,0)+IF($C$135=$AE980,AP796,0)+IF($C$136=$AE980,AP807,0)+IF($C$137=$AE980,AP818,0)+IF($C$138=$AE980,AP829,0)+IF($C$139=$AE980,AP840,0)+IF($C$140=$AE980,AP851,0),"")</f>
        <v>2925.5869204188584</v>
      </c>
      <c r="AQ989" s="123">
        <f>IF(AQ$979&gt;(2020+START!$C$2),AQ229+AQ355+AQ472-IF($A$124=$AE983,AQ623,0)-IF($A$125=$AE983,AQ634,0)-IF($A$126=$AE983,AQ645,0)-IF($A$127=$AE983,AQ656,0)-IF($A$128=$AE983,AQ667,0)-IF($A$129=$AE983,AQ678,0)-IF($A$135=$AE980,AQ729,0)-IF($A$136=$AE980,AQ740,0)-IF($A$137=$AE980,AQ751,0)-IF($A$138=$AE980,AQ762,0)-IF($A$139=$AE980,AQ773,0)-IF($A$140=$AE980,AQ784,0)+IF($C$135=$AE980,AQ796,0)+IF($C$136=$AE980,AQ807,0)+IF($C$137=$AE980,AQ818,0)+IF($C$138=$AE980,AQ829,0)+IF($C$139=$AE980,AQ840,0)+IF($C$140=$AE980,AQ851,0),"")</f>
        <v>2743.1960966957631</v>
      </c>
      <c r="AR989" s="123">
        <f>IF(AR$979&gt;(2020+START!$C$2),AR229+AR355+AR472-IF($A$124=$AE983,AR623,0)-IF($A$125=$AE983,AR634,0)-IF($A$126=$AE983,AR645,0)-IF($A$127=$AE983,AR656,0)-IF($A$128=$AE983,AR667,0)-IF($A$129=$AE983,AR678,0)-IF($A$135=$AE980,AR729,0)-IF($A$136=$AE980,AR740,0)-IF($A$137=$AE980,AR751,0)-IF($A$138=$AE980,AR762,0)-IF($A$139=$AE980,AR773,0)-IF($A$140=$AE980,AR784,0)+IF($C$135=$AE980,AR796,0)+IF($C$136=$AE980,AR807,0)+IF($C$137=$AE980,AR818,0)+IF($C$138=$AE980,AR829,0)+IF($C$139=$AE980,AR840,0)+IF($C$140=$AE980,AR851,0),"")</f>
        <v>2574.6669755756229</v>
      </c>
      <c r="AS989" s="123">
        <f>IF(AS$979&gt;(2020+START!$C$2),AS229+AS355+AS472-IF($A$124=$AE983,AS623,0)-IF($A$125=$AE983,AS634,0)-IF($A$126=$AE983,AS645,0)-IF($A$127=$AE983,AS656,0)-IF($A$128=$AE983,AS667,0)-IF($A$129=$AE983,AS678,0)-IF($A$135=$AE980,AS729,0)-IF($A$136=$AE980,AS740,0)-IF($A$137=$AE980,AS751,0)-IF($A$138=$AE980,AS762,0)-IF($A$139=$AE980,AS773,0)-IF($A$140=$AE980,AS784,0)+IF($C$135=$AE980,AS796,0)+IF($C$136=$AE980,AS807,0)+IF($C$137=$AE980,AS818,0)+IF($C$138=$AE980,AS829,0)+IF($C$139=$AE980,AS840,0)+IF($C$140=$AE980,AS851,0),"")</f>
        <v>2418.9460676606132</v>
      </c>
      <c r="AT989" s="123">
        <f>IF(AT$979&gt;(2020+START!$C$2),AT229+AT355+AT472-IF($A$124=$AE983,AT623,0)-IF($A$125=$AE983,AT634,0)-IF($A$126=$AE983,AT645,0)-IF($A$127=$AE983,AT656,0)-IF($A$128=$AE983,AT667,0)-IF($A$129=$AE983,AT678,0)-IF($A$135=$AE980,AT729,0)-IF($A$136=$AE980,AT740,0)-IF($A$137=$AE980,AT751,0)-IF($A$138=$AE980,AT762,0)-IF($A$139=$AE980,AT773,0)-IF($A$140=$AE980,AT784,0)+IF($C$135=$AE980,AT796,0)+IF($C$136=$AE980,AT807,0)+IF($C$137=$AE980,AT818,0)+IF($C$138=$AE980,AT829,0)+IF($C$139=$AE980,AT840,0)+IF($C$140=$AE980,AT851,0),"")</f>
        <v>2275.0599487471441</v>
      </c>
      <c r="AU989" s="123">
        <f>IF(AU$979&gt;(2020+START!$C$2),AU229+AU355+AU472-IF($A$124=$AE983,AU623,0)-IF($A$125=$AE983,AU634,0)-IF($A$126=$AE983,AU645,0)-IF($A$127=$AE983,AU656,0)-IF($A$128=$AE983,AU667,0)-IF($A$129=$AE983,AU678,0)-IF($A$135=$AE980,AU729,0)-IF($A$136=$AE980,AU740,0)-IF($A$137=$AE980,AU751,0)-IF($A$138=$AE980,AU762,0)-IF($A$139=$AE980,AU773,0)-IF($A$140=$AE980,AU784,0)+IF($C$135=$AE980,AU796,0)+IF($C$136=$AE980,AU807,0)+IF($C$137=$AE980,AU818,0)+IF($C$138=$AE980,AU829,0)+IF($C$139=$AE980,AU840,0)+IF($C$140=$AE980,AU851,0),"")</f>
        <v>2161.3520500373688</v>
      </c>
      <c r="AV989" s="123">
        <f>IF(AV$979&gt;(2020+START!$C$2),AV229+AV355+AV472-IF($A$124=$AE983,AV623,0)-IF($A$125=$AE983,AV634,0)-IF($A$126=$AE983,AV645,0)-IF($A$127=$AE983,AV656,0)-IF($A$128=$AE983,AV667,0)-IF($A$129=$AE983,AV678,0)-IF($A$135=$AE980,AV729,0)-IF($A$136=$AE980,AV740,0)-IF($A$137=$AE980,AV751,0)-IF($A$138=$AE980,AV762,0)-IF($A$139=$AE980,AV773,0)-IF($A$140=$AE980,AV784,0)+IF($C$135=$AE980,AV796,0)+IF($C$136=$AE980,AV807,0)+IF($C$137=$AE980,AV818,0)+IF($C$138=$AE980,AV829,0)+IF($C$139=$AE980,AV840,0)+IF($C$140=$AE980,AV851,0),"")</f>
        <v>2055.0351647437292</v>
      </c>
      <c r="AW989" s="123">
        <f>IF(AW$979&gt;(2020+START!$C$2),AW229+AW355+AW472-IF($A$124=$AE983,AW623,0)-IF($A$125=$AE983,AW634,0)-IF($A$126=$AE983,AW645,0)-IF($A$127=$AE983,AW656,0)-IF($A$128=$AE983,AW667,0)-IF($A$129=$AE983,AW678,0)-IF($A$135=$AE980,AW729,0)-IF($A$136=$AE980,AW740,0)-IF($A$137=$AE980,AW751,0)-IF($A$138=$AE980,AW762,0)-IF($A$139=$AE980,AW773,0)-IF($A$140=$AE980,AW784,0)+IF($C$135=$AE980,AW796,0)+IF($C$136=$AE980,AW807,0)+IF($C$137=$AE980,AW818,0)+IF($C$138=$AE980,AW829,0)+IF($C$139=$AE980,AW840,0)+IF($C$140=$AE980,AW851,0),"")</f>
        <v>1955.6288769941757</v>
      </c>
      <c r="AX989" s="123">
        <f>IF(AX$979&gt;(2020+START!$C$2),AX229+AX355+AX472-IF($A$124=$AE983,AX623,0)-IF($A$125=$AE983,AX634,0)-IF($A$126=$AE983,AX645,0)-IF($A$127=$AE983,AX656,0)-IF($A$128=$AE983,AX667,0)-IF($A$129=$AE983,AX678,0)-IF($A$135=$AE980,AX729,0)-IF($A$136=$AE980,AX740,0)-IF($A$137=$AE980,AX751,0)-IF($A$138=$AE980,AX762,0)-IF($A$139=$AE980,AX773,0)-IF($A$140=$AE980,AX784,0)+IF($C$135=$AE980,AX796,0)+IF($C$136=$AE980,AX807,0)+IF($C$137=$AE980,AX818,0)+IF($C$138=$AE980,AX829,0)+IF($C$139=$AE980,AX840,0)+IF($C$140=$AE980,AX851,0),"")</f>
        <v>1862.6839979483434</v>
      </c>
      <c r="AY989" s="123">
        <f>IF(AY$979&gt;(2020+START!$C$2),AY229+AY355+AY472-IF($A$124=$AE983,AY623,0)-IF($A$125=$AE983,AY634,0)-IF($A$126=$AE983,AY645,0)-IF($A$127=$AE983,AY656,0)-IF($A$128=$AE983,AY667,0)-IF($A$129=$AE983,AY678,0)-IF($A$135=$AE980,AY729,0)-IF($A$136=$AE980,AY740,0)-IF($A$137=$AE980,AY751,0)-IF($A$138=$AE980,AY762,0)-IF($A$139=$AE980,AY773,0)-IF($A$140=$AE980,AY784,0)+IF($C$135=$AE980,AY796,0)+IF($C$136=$AE980,AY807,0)+IF($C$137=$AE980,AY818,0)+IF($C$138=$AE980,AY829,0)+IF($C$139=$AE980,AY840,0)+IF($C$140=$AE980,AY851,0),"")</f>
        <v>1775.78053604049</v>
      </c>
      <c r="AZ989" s="123">
        <f>IF(AZ$979&gt;(2020+START!$C$2),AZ229+AZ355+AZ472-IF($A$124=$AE983,AZ623,0)-IF($A$125=$AE983,AZ634,0)-IF($A$126=$AE983,AZ645,0)-IF($A$127=$AE983,AZ656,0)-IF($A$128=$AE983,AZ667,0)-IF($A$129=$AE983,AZ678,0)-IF($A$135=$AE980,AZ729,0)-IF($A$136=$AE980,AZ740,0)-IF($A$137=$AE980,AZ751,0)-IF($A$138=$AE980,AZ762,0)-IF($A$139=$AE980,AZ773,0)-IF($A$140=$AE980,AZ784,0)+IF($C$135=$AE980,AZ796,0)+IF($C$136=$AE980,AZ807,0)+IF($C$137=$AE980,AZ818,0)+IF($C$138=$AE980,AZ829,0)+IF($C$139=$AE980,AZ840,0)+IF($C$140=$AE980,AZ851,0),"")</f>
        <v>1694.5257991566473</v>
      </c>
      <c r="BA989" s="123">
        <f>IF(BA$979&gt;(2020+START!$C$2),BA229+BA355+BA472-IF($A$124=$AE983,BA623,0)-IF($A$125=$AE983,BA634,0)-IF($A$126=$AE983,BA645,0)-IF($A$127=$AE983,BA656,0)-IF($A$128=$AE983,BA667,0)-IF($A$129=$AE983,BA678,0)-IF($A$135=$AE980,BA729,0)-IF($A$136=$AE980,BA740,0)-IF($A$137=$AE980,BA751,0)-IF($A$138=$AE980,BA762,0)-IF($A$139=$AE980,BA773,0)-IF($A$140=$AE980,BA784,0)+IF($C$135=$AE980,BA796,0)+IF($C$136=$AE980,BA807,0)+IF($C$137=$AE980,BA818,0)+IF($C$138=$AE980,BA829,0)+IF($C$139=$AE980,BA840,0)+IF($C$140=$AE980,BA851,0),"")</f>
        <v>1618.5526201702542</v>
      </c>
      <c r="BB989" s="123">
        <f>IF(BB$979&gt;(2020+START!$C$2),BB229+BB355+BB472-IF($A$124=$AE983,BB623,0)-IF($A$125=$AE983,BB634,0)-IF($A$126=$AE983,BB645,0)-IF($A$127=$AE983,BB656,0)-IF($A$128=$AE983,BB667,0)-IF($A$129=$AE983,BB678,0)-IF($A$135=$AE980,BB729,0)-IF($A$136=$AE980,BB740,0)-IF($A$137=$AE980,BB751,0)-IF($A$138=$AE980,BB762,0)-IF($A$139=$AE980,BB773,0)-IF($A$140=$AE980,BB784,0)+IF($C$135=$AE980,BB796,0)+IF($C$136=$AE980,BB807,0)+IF($C$137=$AE980,BB818,0)+IF($C$138=$AE980,BB829,0)+IF($C$139=$AE980,BB840,0)+IF($C$140=$AE980,BB851,0),"")</f>
        <v>1547.517697817977</v>
      </c>
      <c r="BC989" s="123">
        <f>IF(BC$979&gt;(2020+START!$C$2),BC229+BC355+BC472-IF($A$124=$AE983,BC623,0)-IF($A$125=$AE983,BC634,0)-IF($A$126=$AE983,BC645,0)-IF($A$127=$AE983,BC656,0)-IF($A$128=$AE983,BC667,0)-IF($A$129=$AE983,BC678,0)-IF($A$135=$AE980,BC729,0)-IF($A$136=$AE980,BC740,0)-IF($A$137=$AE980,BC751,0)-IF($A$138=$AE980,BC762,0)-IF($A$139=$AE980,BC773,0)-IF($A$140=$AE980,BC784,0)+IF($C$135=$AE980,BC796,0)+IF($C$136=$AE980,BC807,0)+IF($C$137=$AE980,BC818,0)+IF($C$138=$AE980,BC829,0)+IF($C$139=$AE980,BC840,0)+IF($C$140=$AE980,BC851,0),"")</f>
        <v>1481.1000454185973</v>
      </c>
      <c r="BD989" s="123">
        <f>IF(BD$979&gt;(2020+START!$C$2),BD229+BD355+BD472-IF($A$124=$AE983,BD623,0)-IF($A$125=$AE983,BD634,0)-IF($A$126=$AE983,BD645,0)-IF($A$127=$AE983,BD656,0)-IF($A$128=$AE983,BD667,0)-IF($A$129=$AE983,BD678,0)-IF($A$135=$AE980,BD729,0)-IF($A$136=$AE980,BD740,0)-IF($A$137=$AE980,BD751,0)-IF($A$138=$AE980,BD762,0)-IF($A$139=$AE980,BD773,0)-IF($A$140=$AE980,BD784,0)+IF($C$135=$AE980,BD796,0)+IF($C$136=$AE980,BD807,0)+IF($C$137=$AE980,BD818,0)+IF($C$138=$AE980,BD829,0)+IF($C$139=$AE980,BD840,0)+IF($C$140=$AE980,BD851,0),"")</f>
        <v>1418.9995404251777</v>
      </c>
      <c r="BE989" s="123">
        <f>IF(BE$979&gt;(2020+START!$C$2),BE229+BE355+BE472-IF($A$124=$AE983,BE623,0)-IF($A$125=$AE983,BE634,0)-IF($A$126=$AE983,BE645,0)-IF($A$127=$AE983,BE656,0)-IF($A$128=$AE983,BE667,0)-IF($A$129=$AE983,BE678,0)-IF($A$135=$AE980,BE729,0)-IF($A$136=$AE980,BE740,0)-IF($A$137=$AE980,BE751,0)-IF($A$138=$AE980,BE762,0)-IF($A$139=$AE980,BE773,0)-IF($A$140=$AE980,BE784,0)+IF($C$135=$AE980,BE796,0)+IF($C$136=$AE980,BE807,0)+IF($C$137=$AE980,BE818,0)+IF($C$138=$AE980,BE829,0)+IF($C$139=$AE980,BE840,0)+IF($C$140=$AE980,BE851,0),"")</f>
        <v>1360.93556825633</v>
      </c>
      <c r="BF989" s="123">
        <f>IF(BF$979&gt;(2020+START!$C$2),BF229+BF355+BF472-IF($A$124=$AE983,BF623,0)-IF($A$125=$AE983,BF634,0)-IF($A$126=$AE983,BF645,0)-IF($A$127=$AE983,BF656,0)-IF($A$128=$AE983,BF667,0)-IF($A$129=$AE983,BF678,0)-IF($A$135=$AE980,BF729,0)-IF($A$136=$AE980,BF740,0)-IF($A$137=$AE980,BF751,0)-IF($A$138=$AE980,BF762,0)-IF($A$139=$AE980,BF773,0)-IF($A$140=$AE980,BF784,0)+IF($C$135=$AE980,BF796,0)+IF($C$136=$AE980,BF807,0)+IF($C$137=$AE980,BF818,0)+IF($C$138=$AE980,BF829,0)+IF($C$139=$AE980,BF840,0)+IF($C$140=$AE980,BF851,0),"")</f>
        <v>1306.6457542784574</v>
      </c>
      <c r="BG989" s="123">
        <f>IF(BG$979&gt;(2020+START!$C$2),BG229+BG355+BG472-IF($A$124=$AE983,BG623,0)-IF($A$125=$AE983,BG634,0)-IF($A$126=$AE983,BG645,0)-IF($A$127=$AE983,BG656,0)-IF($A$128=$AE983,BG667,0)-IF($A$129=$AE983,BG678,0)-IF($A$135=$AE980,BG729,0)-IF($A$136=$AE980,BG740,0)-IF($A$137=$AE980,BG751,0)-IF($A$138=$AE980,BG762,0)-IF($A$139=$AE980,BG773,0)-IF($A$140=$AE980,BG784,0)+IF($C$135=$AE980,BG796,0)+IF($C$136=$AE980,BG807,0)+IF($C$137=$AE980,BG818,0)+IF($C$138=$AE980,BG829,0)+IF($C$139=$AE980,BG840,0)+IF($C$140=$AE980,BG851,0),"")</f>
        <v>1255.8847782091468</v>
      </c>
      <c r="BH989" s="123">
        <f>IF(BH$979&gt;(2020+START!$C$2),BH229+BH355+BH472-IF($A$124=$AE983,BH623,0)-IF($A$125=$AE983,BH634,0)-IF($A$126=$AE983,BH645,0)-IF($A$127=$AE983,BH656,0)-IF($A$128=$AE983,BH667,0)-IF($A$129=$AE983,BH678,0)-IF($A$135=$AE980,BH729,0)-IF($A$136=$AE980,BH740,0)-IF($A$137=$AE980,BH751,0)-IF($A$138=$AE980,BH762,0)-IF($A$139=$AE980,BH773,0)-IF($A$140=$AE980,BH784,0)+IF($C$135=$AE980,BH796,0)+IF($C$136=$AE980,BH807,0)+IF($C$137=$AE980,BH818,0)+IF($C$138=$AE980,BH829,0)+IF($C$139=$AE980,BH840,0)+IF($C$140=$AE980,BH851,0),"")</f>
        <v>1208.4232655843412</v>
      </c>
      <c r="BI989" s="123">
        <f>IF(BI$979&gt;(2020+START!$C$2),BI229+BI355+BI472-IF($A$124=$AE983,BI623,0)-IF($A$125=$AE983,BI634,0)-IF($A$126=$AE983,BI645,0)-IF($A$127=$AE983,BI656,0)-IF($A$128=$AE983,BI667,0)-IF($A$129=$AE983,BI678,0)-IF($A$135=$AE980,BI729,0)-IF($A$136=$AE980,BI740,0)-IF($A$137=$AE980,BI751,0)-IF($A$138=$AE980,BI762,0)-IF($A$139=$AE980,BI773,0)-IF($A$140=$AE980,BI784,0)+IF($C$135=$AE980,BI796,0)+IF($C$136=$AE980,BI807,0)+IF($C$137=$AE980,BI818,0)+IF($C$138=$AE980,BI829,0)+IF($C$139=$AE980,BI840,0)+IF($C$140=$AE980,BI851,0),"")</f>
        <v>1164.0467512801479</v>
      </c>
      <c r="BJ989" s="123">
        <f>IF(BJ$979&gt;(2020+START!$C$2),BJ229+BJ355+BJ472-IF($A$124=$AE983,BJ623,0)-IF($A$125=$AE983,BJ634,0)-IF($A$126=$AE983,BJ645,0)-IF($A$127=$AE983,BJ656,0)-IF($A$128=$AE983,BJ667,0)-IF($A$129=$AE983,BJ678,0)-IF($A$135=$AE980,BJ729,0)-IF($A$136=$AE980,BJ740,0)-IF($A$137=$AE980,BJ751,0)-IF($A$138=$AE980,BJ762,0)-IF($A$139=$AE980,BJ773,0)-IF($A$140=$AE980,BJ784,0)+IF($C$135=$AE980,BJ796,0)+IF($C$136=$AE980,BJ807,0)+IF($C$137=$AE980,BJ818,0)+IF($C$138=$AE980,BJ829,0)+IF($C$139=$AE980,BJ840,0)+IF($C$140=$AE980,BJ851,0),"")</f>
        <v>1122.5547104057273</v>
      </c>
      <c r="BK989" s="123">
        <f>IF(BK$979&gt;(2020+START!$C$2),BK229+BK355+BK472-IF($A$124=$AE983,BK623,0)-IF($A$125=$AE983,BK634,0)-IF($A$126=$AE983,BK645,0)-IF($A$127=$AE983,BK656,0)-IF($A$128=$AE983,BK667,0)-IF($A$129=$AE983,BK678,0)-IF($A$135=$AE980,BK729,0)-IF($A$136=$AE980,BK740,0)-IF($A$137=$AE980,BK751,0)-IF($A$138=$AE980,BK762,0)-IF($A$139=$AE980,BK773,0)-IF($A$140=$AE980,BK784,0)+IF($C$135=$AE980,BK796,0)+IF($C$136=$AE980,BK807,0)+IF($C$137=$AE980,BK818,0)+IF($C$138=$AE980,BK829,0)+IF($C$139=$AE980,BK840,0)+IF($C$140=$AE980,BK851,0),"")</f>
        <v>1083.7596521881439</v>
      </c>
      <c r="BL989" s="123">
        <f>IF(BL$979&gt;(2020+START!$C$2),BL229+BL355+BL472-IF($A$124=$AE983,BL623,0)-IF($A$125=$AE983,BL634,0)-IF($A$126=$AE983,BL645,0)-IF($A$127=$AE983,BL656,0)-IF($A$128=$AE983,BL667,0)-IF($A$129=$AE983,BL678,0)-IF($A$135=$AE980,BL729,0)-IF($A$136=$AE980,BL740,0)-IF($A$137=$AE980,BL751,0)-IF($A$138=$AE980,BL762,0)-IF($A$139=$AE980,BL773,0)-IF($A$140=$AE980,BL784,0)+IF($C$135=$AE980,BL796,0)+IF($C$136=$AE980,BL807,0)+IF($C$137=$AE980,BL818,0)+IF($C$138=$AE980,BL829,0)+IF($C$139=$AE980,BL840,0)+IF($C$140=$AE980,BL851,0),"")</f>
        <v>1047.4862727547036</v>
      </c>
      <c r="BM989" s="123">
        <f>IF(BM$979&gt;(2020+START!$C$2),BM229+BM355+BM472-IF($A$124=$AE983,BM623,0)-IF($A$125=$AE983,BM634,0)-IF($A$126=$AE983,BM645,0)-IF($A$127=$AE983,BM656,0)-IF($A$128=$AE983,BM667,0)-IF($A$129=$AE983,BM678,0)-IF($A$135=$AE980,BM729,0)-IF($A$136=$AE980,BM740,0)-IF($A$137=$AE980,BM751,0)-IF($A$138=$AE980,BM762,0)-IF($A$139=$AE980,BM773,0)-IF($A$140=$AE980,BM784,0)+IF($C$135=$AE980,BM796,0)+IF($C$136=$AE980,BM807,0)+IF($C$137=$AE980,BM818,0)+IF($C$138=$AE980,BM829,0)+IF($C$139=$AE980,BM840,0)+IF($C$140=$AE980,BM851,0),"")</f>
        <v>1013.5706629844368</v>
      </c>
      <c r="BN989" s="123">
        <f>IF(BN$979&gt;(2020+START!$C$2),BN229+BN355+BN472-IF($A$124=$AE983,BN623,0)-IF($A$125=$AE983,BN634,0)-IF($A$126=$AE983,BN645,0)-IF($A$127=$AE983,BN656,0)-IF($A$128=$AE983,BN667,0)-IF($A$129=$AE983,BN678,0)-IF($A$135=$AE980,BN729,0)-IF($A$136=$AE980,BN740,0)-IF($A$137=$AE980,BN751,0)-IF($A$138=$AE980,BN762,0)-IF($A$139=$AE980,BN773,0)-IF($A$140=$AE980,BN784,0)+IF($C$135=$AE980,BN796,0)+IF($C$136=$AE980,BN807,0)+IF($C$137=$AE980,BN818,0)+IF($C$138=$AE980,BN829,0)+IF($C$139=$AE980,BN840,0)+IF($C$140=$AE980,BN851,0),"")</f>
        <v>981.85956784923735</v>
      </c>
    </row>
    <row r="990" spans="14:66" ht="20.100000000000001" customHeight="1">
      <c r="AF990" s="131" t="s">
        <v>1142</v>
      </c>
      <c r="AG990" s="201"/>
      <c r="AH990" s="201"/>
      <c r="AI990" s="201"/>
      <c r="AJ990" s="201"/>
      <c r="AK990" s="201"/>
      <c r="AL990" s="123">
        <f t="shared" ref="AL990:BN990" si="1211">AL230</f>
        <v>354150.46344018861</v>
      </c>
      <c r="AM990" s="123">
        <f t="shared" si="1211"/>
        <v>340882.70237839571</v>
      </c>
      <c r="AN990" s="123">
        <f t="shared" si="1211"/>
        <v>328623.29115729901</v>
      </c>
      <c r="AO990" s="123">
        <f t="shared" si="1211"/>
        <v>317295.59518900566</v>
      </c>
      <c r="AP990" s="123">
        <f t="shared" si="1211"/>
        <v>306828.80411430268</v>
      </c>
      <c r="AQ990" s="123">
        <f t="shared" si="1211"/>
        <v>297157.48916127707</v>
      </c>
      <c r="AR990" s="123">
        <f t="shared" si="1211"/>
        <v>288221.19414468145</v>
      </c>
      <c r="AS990" s="123">
        <f t="shared" si="1211"/>
        <v>279964.05754934705</v>
      </c>
      <c r="AT990" s="123">
        <f t="shared" si="1211"/>
        <v>272334.46333525807</v>
      </c>
      <c r="AU990" s="123">
        <f t="shared" si="1211"/>
        <v>266305.07611817669</v>
      </c>
      <c r="AV990" s="123">
        <f t="shared" si="1211"/>
        <v>260667.59907020562</v>
      </c>
      <c r="AW990" s="123">
        <f t="shared" si="1211"/>
        <v>255396.55803035269</v>
      </c>
      <c r="AX990" s="123">
        <f t="shared" si="1211"/>
        <v>250468.13465809016</v>
      </c>
      <c r="AY990" s="123">
        <f t="shared" si="1211"/>
        <v>245860.05880502472</v>
      </c>
      <c r="AZ990" s="123">
        <f t="shared" si="1211"/>
        <v>241551.50788240854</v>
      </c>
      <c r="BA990" s="123">
        <f t="shared" si="1211"/>
        <v>237523.01276976237</v>
      </c>
      <c r="BB990" s="123">
        <f t="shared" si="1211"/>
        <v>233756.36983943827</v>
      </c>
      <c r="BC990" s="123">
        <f t="shared" si="1211"/>
        <v>230234.55869958515</v>
      </c>
      <c r="BD990" s="123">
        <f t="shared" si="1211"/>
        <v>226941.66528382254</v>
      </c>
      <c r="BE990" s="123">
        <f t="shared" si="1211"/>
        <v>223862.80994008449</v>
      </c>
      <c r="BF990" s="123">
        <f t="shared" si="1211"/>
        <v>220984.08019368944</v>
      </c>
      <c r="BG990" s="123">
        <f t="shared" si="1211"/>
        <v>218292.46788081</v>
      </c>
      <c r="BH990" s="123">
        <f t="shared" si="1211"/>
        <v>215775.81036826776</v>
      </c>
      <c r="BI990" s="123">
        <f t="shared" si="1211"/>
        <v>213422.73559404077</v>
      </c>
      <c r="BJ990" s="123">
        <f t="shared" si="1211"/>
        <v>211222.61068013855</v>
      </c>
      <c r="BK990" s="123">
        <f t="shared" si="1211"/>
        <v>209165.49388563991</v>
      </c>
      <c r="BL990" s="123">
        <f t="shared" si="1211"/>
        <v>207242.08968278373</v>
      </c>
      <c r="BM990" s="123">
        <f t="shared" si="1211"/>
        <v>205443.70675311322</v>
      </c>
      <c r="BN990" s="123">
        <f t="shared" si="1211"/>
        <v>203762.21871387123</v>
      </c>
    </row>
    <row r="991" spans="14:66" ht="20.100000000000001" customHeight="1">
      <c r="AF991" s="131" t="s">
        <v>2254</v>
      </c>
      <c r="AG991" s="201"/>
      <c r="AH991" s="201"/>
      <c r="AI991" s="201"/>
      <c r="AJ991" s="201"/>
      <c r="AK991" s="201"/>
      <c r="AL991" s="123">
        <f>SUM(AL980:AL989)</f>
        <v>354150.46344018861</v>
      </c>
      <c r="AM991" s="123">
        <f t="shared" ref="AM991:BN991" si="1212">SUM(AM980:AM989)</f>
        <v>340882.70237839571</v>
      </c>
      <c r="AN991" s="123">
        <f t="shared" si="1212"/>
        <v>328623.29115729901</v>
      </c>
      <c r="AO991" s="123">
        <f t="shared" si="1212"/>
        <v>317295.59518900566</v>
      </c>
      <c r="AP991" s="123">
        <f t="shared" si="1212"/>
        <v>306828.80411430268</v>
      </c>
      <c r="AQ991" s="123">
        <f t="shared" si="1212"/>
        <v>297157.48916127707</v>
      </c>
      <c r="AR991" s="123">
        <f t="shared" si="1212"/>
        <v>288221.19414468145</v>
      </c>
      <c r="AS991" s="123">
        <f t="shared" si="1212"/>
        <v>279964.05754934705</v>
      </c>
      <c r="AT991" s="123">
        <f t="shared" si="1212"/>
        <v>274443.02145487233</v>
      </c>
      <c r="AU991" s="123">
        <f t="shared" si="1212"/>
        <v>270465.0396561792</v>
      </c>
      <c r="AV991" s="123">
        <f t="shared" si="1212"/>
        <v>266825.53025094996</v>
      </c>
      <c r="AW991" s="123">
        <f t="shared" si="1212"/>
        <v>263502.4925336095</v>
      </c>
      <c r="AX991" s="123">
        <f t="shared" si="1212"/>
        <v>260475.35584444503</v>
      </c>
      <c r="AY991" s="123">
        <f t="shared" si="1212"/>
        <v>257724.88661662518</v>
      </c>
      <c r="AZ991" s="123">
        <f t="shared" si="1212"/>
        <v>255233.1014651625</v>
      </c>
      <c r="BA991" s="123">
        <f t="shared" si="1212"/>
        <v>252983.18592509368</v>
      </c>
      <c r="BB991" s="123">
        <f t="shared" si="1212"/>
        <v>250959.41847167825</v>
      </c>
      <c r="BC991" s="123">
        <f t="shared" si="1212"/>
        <v>249147.0994792837</v>
      </c>
      <c r="BD991" s="123">
        <f t="shared" si="1212"/>
        <v>247532.4847979437</v>
      </c>
      <c r="BE991" s="123">
        <f t="shared" si="1212"/>
        <v>244453.62945420563</v>
      </c>
      <c r="BF991" s="123">
        <f t="shared" si="1212"/>
        <v>241574.89970781055</v>
      </c>
      <c r="BG991" s="123">
        <f t="shared" si="1212"/>
        <v>238883.28739493113</v>
      </c>
      <c r="BH991" s="123">
        <f t="shared" si="1212"/>
        <v>236366.62988238889</v>
      </c>
      <c r="BI991" s="123">
        <f t="shared" si="1212"/>
        <v>234013.55510816193</v>
      </c>
      <c r="BJ991" s="123">
        <f t="shared" si="1212"/>
        <v>231813.43019425971</v>
      </c>
      <c r="BK991" s="123">
        <f t="shared" si="1212"/>
        <v>229756.31339976107</v>
      </c>
      <c r="BL991" s="123">
        <f t="shared" si="1212"/>
        <v>227832.90919690489</v>
      </c>
      <c r="BM991" s="123">
        <f t="shared" si="1212"/>
        <v>226034.52626723435</v>
      </c>
      <c r="BN991" s="123">
        <f t="shared" si="1212"/>
        <v>224353.03822799239</v>
      </c>
    </row>
  </sheetData>
  <mergeCells count="653">
    <mergeCell ref="BQ848:CH848"/>
    <mergeCell ref="BQ849:CH849"/>
    <mergeCell ref="BQ850:CH850"/>
    <mergeCell ref="BQ835:CH835"/>
    <mergeCell ref="BQ836:CH836"/>
    <mergeCell ref="BQ837:CH837"/>
    <mergeCell ref="BQ838:CH838"/>
    <mergeCell ref="BQ839:CH839"/>
    <mergeCell ref="BQ843:CH843"/>
    <mergeCell ref="BQ844:CH844"/>
    <mergeCell ref="BQ845:CH845"/>
    <mergeCell ref="BQ846:CH846"/>
    <mergeCell ref="BQ824:CH824"/>
    <mergeCell ref="BQ825:CH825"/>
    <mergeCell ref="BQ826:CH826"/>
    <mergeCell ref="BQ827:CH827"/>
    <mergeCell ref="BQ828:CH828"/>
    <mergeCell ref="BQ832:CH832"/>
    <mergeCell ref="BQ833:CH833"/>
    <mergeCell ref="BQ834:CH834"/>
    <mergeCell ref="BQ847:CH847"/>
    <mergeCell ref="BQ812:CH812"/>
    <mergeCell ref="BQ813:CH813"/>
    <mergeCell ref="BQ814:CH814"/>
    <mergeCell ref="BQ815:CH815"/>
    <mergeCell ref="BQ816:CH816"/>
    <mergeCell ref="BQ817:CH817"/>
    <mergeCell ref="BQ821:CH821"/>
    <mergeCell ref="BQ822:CH822"/>
    <mergeCell ref="BQ823:CH823"/>
    <mergeCell ref="BQ800:CH800"/>
    <mergeCell ref="BQ801:CH801"/>
    <mergeCell ref="BQ802:CH802"/>
    <mergeCell ref="BQ803:CH803"/>
    <mergeCell ref="BQ804:CH804"/>
    <mergeCell ref="BQ805:CH805"/>
    <mergeCell ref="BQ806:CH806"/>
    <mergeCell ref="BQ810:CH810"/>
    <mergeCell ref="BQ811:CH811"/>
    <mergeCell ref="BQ788:CH788"/>
    <mergeCell ref="BQ789:CH789"/>
    <mergeCell ref="BQ790:CH790"/>
    <mergeCell ref="BQ791:CH791"/>
    <mergeCell ref="BQ792:CH792"/>
    <mergeCell ref="BQ793:CH793"/>
    <mergeCell ref="BQ794:CH794"/>
    <mergeCell ref="BQ795:CH795"/>
    <mergeCell ref="BQ799:CH799"/>
    <mergeCell ref="BQ772:CH772"/>
    <mergeCell ref="BQ776:CH776"/>
    <mergeCell ref="BQ777:CH777"/>
    <mergeCell ref="BQ778:CH778"/>
    <mergeCell ref="BQ779:CH779"/>
    <mergeCell ref="BQ780:CH780"/>
    <mergeCell ref="BQ781:CH781"/>
    <mergeCell ref="BQ782:CH782"/>
    <mergeCell ref="BQ783:CH783"/>
    <mergeCell ref="BQ760:CH760"/>
    <mergeCell ref="BQ761:CH761"/>
    <mergeCell ref="BQ765:CH765"/>
    <mergeCell ref="BQ766:CH766"/>
    <mergeCell ref="BQ767:CH767"/>
    <mergeCell ref="BQ768:CH768"/>
    <mergeCell ref="BQ769:CH769"/>
    <mergeCell ref="BQ770:CH770"/>
    <mergeCell ref="BQ771:CH771"/>
    <mergeCell ref="BQ748:CH748"/>
    <mergeCell ref="BQ749:CH749"/>
    <mergeCell ref="BQ750:CH750"/>
    <mergeCell ref="BQ754:CH754"/>
    <mergeCell ref="BQ755:CH755"/>
    <mergeCell ref="BQ756:CH756"/>
    <mergeCell ref="BQ757:CH757"/>
    <mergeCell ref="BQ758:CH758"/>
    <mergeCell ref="BQ759:CH759"/>
    <mergeCell ref="BQ736:CH736"/>
    <mergeCell ref="BQ737:CH737"/>
    <mergeCell ref="BQ738:CH738"/>
    <mergeCell ref="BQ739:CH739"/>
    <mergeCell ref="BQ743:CH743"/>
    <mergeCell ref="BQ744:CH744"/>
    <mergeCell ref="BQ745:CH745"/>
    <mergeCell ref="BQ746:CH746"/>
    <mergeCell ref="BQ747:CH747"/>
    <mergeCell ref="BQ303:CG303"/>
    <mergeCell ref="BQ304:CG304"/>
    <mergeCell ref="BQ290:CG290"/>
    <mergeCell ref="BQ291:CG291"/>
    <mergeCell ref="BQ292:CG292"/>
    <mergeCell ref="BQ297:CG297"/>
    <mergeCell ref="BQ298:CG298"/>
    <mergeCell ref="BQ299:CG299"/>
    <mergeCell ref="BQ300:CG300"/>
    <mergeCell ref="BQ301:CG301"/>
    <mergeCell ref="BQ302:CG302"/>
    <mergeCell ref="BQ279:CG279"/>
    <mergeCell ref="BQ280:CG280"/>
    <mergeCell ref="BQ281:CG281"/>
    <mergeCell ref="BQ282:CG282"/>
    <mergeCell ref="BQ285:CG285"/>
    <mergeCell ref="BQ286:CG286"/>
    <mergeCell ref="BQ287:CG287"/>
    <mergeCell ref="BQ288:CG288"/>
    <mergeCell ref="BQ289:CG289"/>
    <mergeCell ref="BQ268:CG268"/>
    <mergeCell ref="BQ269:CG269"/>
    <mergeCell ref="BQ270:CG270"/>
    <mergeCell ref="BQ271:CG271"/>
    <mergeCell ref="BQ272:CG272"/>
    <mergeCell ref="BQ275:CG275"/>
    <mergeCell ref="BQ276:CG276"/>
    <mergeCell ref="BQ277:CG277"/>
    <mergeCell ref="BQ278:CG278"/>
    <mergeCell ref="BQ257:CG257"/>
    <mergeCell ref="BQ258:CG258"/>
    <mergeCell ref="BQ259:CG259"/>
    <mergeCell ref="BQ260:CG260"/>
    <mergeCell ref="BQ261:CG261"/>
    <mergeCell ref="BQ262:CG262"/>
    <mergeCell ref="BQ265:CG265"/>
    <mergeCell ref="BQ266:CG266"/>
    <mergeCell ref="BQ267:CG267"/>
    <mergeCell ref="BQ256:CG256"/>
    <mergeCell ref="CH140:CH141"/>
    <mergeCell ref="CH153:CH154"/>
    <mergeCell ref="CH166:CH167"/>
    <mergeCell ref="CH179:CH180"/>
    <mergeCell ref="CH192:CH193"/>
    <mergeCell ref="CH205:CH206"/>
    <mergeCell ref="AG116:AN116"/>
    <mergeCell ref="AG117:AN117"/>
    <mergeCell ref="AG118:AN118"/>
    <mergeCell ref="AG119:AN119"/>
    <mergeCell ref="AG120:AN120"/>
    <mergeCell ref="AG121:AN121"/>
    <mergeCell ref="AG122:AN122"/>
    <mergeCell ref="AG123:AN123"/>
    <mergeCell ref="AG124:AN124"/>
    <mergeCell ref="AO127:AS127"/>
    <mergeCell ref="AG20:AY20"/>
    <mergeCell ref="AG19:AY19"/>
    <mergeCell ref="AG18:AY18"/>
    <mergeCell ref="AG17:AY17"/>
    <mergeCell ref="AG16:AY16"/>
    <mergeCell ref="CH252:CH253"/>
    <mergeCell ref="BQ255:CG255"/>
    <mergeCell ref="AG15:AY15"/>
    <mergeCell ref="AO125:AS125"/>
    <mergeCell ref="AG36:AJ36"/>
    <mergeCell ref="AG37:AJ37"/>
    <mergeCell ref="AG38:AJ38"/>
    <mergeCell ref="AG39:AJ39"/>
    <mergeCell ref="AG40:AJ40"/>
    <mergeCell ref="AG115:AN115"/>
    <mergeCell ref="AG85:AJ85"/>
    <mergeCell ref="AG43:AJ43"/>
    <mergeCell ref="AG44:AJ44"/>
    <mergeCell ref="AG133:AJ133"/>
    <mergeCell ref="AG110:AM110"/>
    <mergeCell ref="AG10:AY10"/>
    <mergeCell ref="AG12:AY12"/>
    <mergeCell ref="AG50:AJ50"/>
    <mergeCell ref="AG51:AJ51"/>
    <mergeCell ref="AG48:AJ48"/>
    <mergeCell ref="AG143:AJ143"/>
    <mergeCell ref="AG138:AJ138"/>
    <mergeCell ref="AG142:AJ142"/>
    <mergeCell ref="AG55:AJ55"/>
    <mergeCell ref="AG137:AJ137"/>
    <mergeCell ref="AO119:AS119"/>
    <mergeCell ref="AO120:AS120"/>
    <mergeCell ref="AO121:AS121"/>
    <mergeCell ref="AG67:AJ67"/>
    <mergeCell ref="AG68:AJ68"/>
    <mergeCell ref="AG111:AM111"/>
    <mergeCell ref="AG112:AM112"/>
    <mergeCell ref="AO115:AS115"/>
    <mergeCell ref="AO116:AS116"/>
    <mergeCell ref="AO117:AS117"/>
    <mergeCell ref="AO118:AS118"/>
    <mergeCell ref="AO126:AS126"/>
    <mergeCell ref="AO124:AS124"/>
    <mergeCell ref="AG21:AY23"/>
    <mergeCell ref="AL3:AT3"/>
    <mergeCell ref="AU3:BD3"/>
    <mergeCell ref="BE3:BN3"/>
    <mergeCell ref="AG11:AY11"/>
    <mergeCell ref="AF265:AF272"/>
    <mergeCell ref="AO122:AS122"/>
    <mergeCell ref="AO123:AS123"/>
    <mergeCell ref="AG148:AJ148"/>
    <mergeCell ref="AG149:AJ149"/>
    <mergeCell ref="AG150:AJ150"/>
    <mergeCell ref="AG6:AJ6"/>
    <mergeCell ref="AG65:AJ65"/>
    <mergeCell ref="AG144:AJ144"/>
    <mergeCell ref="AG131:AJ131"/>
    <mergeCell ref="AG145:AJ145"/>
    <mergeCell ref="AG146:AJ146"/>
    <mergeCell ref="AG147:AJ147"/>
    <mergeCell ref="AG49:AJ49"/>
    <mergeCell ref="AG9:AY9"/>
    <mergeCell ref="AG151:AJ151"/>
    <mergeCell ref="AG134:AJ134"/>
    <mergeCell ref="AG135:AJ135"/>
    <mergeCell ref="AG136:AJ136"/>
    <mergeCell ref="AG132:AJ132"/>
    <mergeCell ref="AF414:AF421"/>
    <mergeCell ref="AF307:AF314"/>
    <mergeCell ref="AF132:AF137"/>
    <mergeCell ref="AF297:AF304"/>
    <mergeCell ref="AF317:AF324"/>
    <mergeCell ref="AF327:AF334"/>
    <mergeCell ref="AF337:AF344"/>
    <mergeCell ref="AF347:AF354"/>
    <mergeCell ref="AF404:AF411"/>
    <mergeCell ref="AF275:AF282"/>
    <mergeCell ref="AF285:AF292"/>
    <mergeCell ref="AF374:AF381"/>
    <mergeCell ref="AF384:AF391"/>
    <mergeCell ref="AF394:AF401"/>
    <mergeCell ref="AF255:AF262"/>
    <mergeCell ref="AF208:AF215"/>
    <mergeCell ref="AF195:AF202"/>
    <mergeCell ref="AF143:AF150"/>
    <mergeCell ref="AF61:AF68"/>
    <mergeCell ref="AG45:AJ45"/>
    <mergeCell ref="AG64:AJ64"/>
    <mergeCell ref="AG98:AJ98"/>
    <mergeCell ref="AG101:AJ101"/>
    <mergeCell ref="AF73:AF75"/>
    <mergeCell ref="AG105:AJ105"/>
    <mergeCell ref="AF93:AF95"/>
    <mergeCell ref="AF99:AF106"/>
    <mergeCell ref="AG47:AJ47"/>
    <mergeCell ref="AG103:AJ103"/>
    <mergeCell ref="AG104:AJ104"/>
    <mergeCell ref="AG99:AJ99"/>
    <mergeCell ref="AG100:AJ100"/>
    <mergeCell ref="AF43:AF50"/>
    <mergeCell ref="AF55:AF57"/>
    <mergeCell ref="AF110:AF113"/>
    <mergeCell ref="AG107:AJ107"/>
    <mergeCell ref="AG102:AJ102"/>
    <mergeCell ref="AG81:AJ81"/>
    <mergeCell ref="AF25:AF33"/>
    <mergeCell ref="AG82:AJ82"/>
    <mergeCell ref="AG69:AJ69"/>
    <mergeCell ref="AG66:AJ66"/>
    <mergeCell ref="D81:E82"/>
    <mergeCell ref="AG28:AW28"/>
    <mergeCell ref="AG29:AW29"/>
    <mergeCell ref="AF37:AF39"/>
    <mergeCell ref="AG30:AW30"/>
    <mergeCell ref="AG31:AW31"/>
    <mergeCell ref="AG33:AW33"/>
    <mergeCell ref="AF79:AF86"/>
    <mergeCell ref="AG42:AJ42"/>
    <mergeCell ref="AG56:AJ56"/>
    <mergeCell ref="AG78:AJ78"/>
    <mergeCell ref="AG79:AJ79"/>
    <mergeCell ref="AG80:AJ80"/>
    <mergeCell ref="AG83:AJ83"/>
    <mergeCell ref="AG84:AJ84"/>
    <mergeCell ref="AG46:AJ46"/>
    <mergeCell ref="B92:B93"/>
    <mergeCell ref="C92:C93"/>
    <mergeCell ref="D99:E100"/>
    <mergeCell ref="F99:F100"/>
    <mergeCell ref="B99:B100"/>
    <mergeCell ref="AG113:AM113"/>
    <mergeCell ref="AG106:AJ106"/>
    <mergeCell ref="AG4:AJ4"/>
    <mergeCell ref="AG32:AW32"/>
    <mergeCell ref="A70:K70"/>
    <mergeCell ref="A109:K109"/>
    <mergeCell ref="F73:F74"/>
    <mergeCell ref="F81:F82"/>
    <mergeCell ref="D73:E74"/>
    <mergeCell ref="AG5:AJ5"/>
    <mergeCell ref="AG54:AJ54"/>
    <mergeCell ref="AG58:AJ58"/>
    <mergeCell ref="AG60:AJ60"/>
    <mergeCell ref="AG61:AJ61"/>
    <mergeCell ref="AG62:AJ62"/>
    <mergeCell ref="AG63:AJ63"/>
    <mergeCell ref="AG86:AJ86"/>
    <mergeCell ref="AG87:AJ87"/>
    <mergeCell ref="AF9:AF23"/>
    <mergeCell ref="I122:J123"/>
    <mergeCell ref="D92:E93"/>
    <mergeCell ref="F92:F93"/>
    <mergeCell ref="I133:J134"/>
    <mergeCell ref="C99:C100"/>
    <mergeCell ref="G112:H112"/>
    <mergeCell ref="I112:J113"/>
    <mergeCell ref="D112:E112"/>
    <mergeCell ref="F112:F113"/>
    <mergeCell ref="C112:C113"/>
    <mergeCell ref="C122:C123"/>
    <mergeCell ref="E122:E123"/>
    <mergeCell ref="F122:F123"/>
    <mergeCell ref="G122:H122"/>
    <mergeCell ref="AF515:AF522"/>
    <mergeCell ref="AF526:AF533"/>
    <mergeCell ref="AF537:AF544"/>
    <mergeCell ref="AF548:AF555"/>
    <mergeCell ref="AF559:AF566"/>
    <mergeCell ref="AF570:AF577"/>
    <mergeCell ref="AF615:AF622"/>
    <mergeCell ref="AF434:AF441"/>
    <mergeCell ref="AF444:AF451"/>
    <mergeCell ref="AF454:AF461"/>
    <mergeCell ref="AF464:AF471"/>
    <mergeCell ref="AF116:AF122"/>
    <mergeCell ref="AG125:AN125"/>
    <mergeCell ref="AG126:AN126"/>
    <mergeCell ref="AG127:AN127"/>
    <mergeCell ref="AF182:AF189"/>
    <mergeCell ref="AF169:AF176"/>
    <mergeCell ref="AF156:AF163"/>
    <mergeCell ref="AH897:AJ897"/>
    <mergeCell ref="AF424:AF431"/>
    <mergeCell ref="AH874:AJ874"/>
    <mergeCell ref="AH875:AJ875"/>
    <mergeCell ref="AF855:AF875"/>
    <mergeCell ref="AH855:AJ855"/>
    <mergeCell ref="AF626:AF633"/>
    <mergeCell ref="AF637:AF644"/>
    <mergeCell ref="AF648:AF655"/>
    <mergeCell ref="AF659:AF666"/>
    <mergeCell ref="AF670:AF677"/>
    <mergeCell ref="AH865:AJ865"/>
    <mergeCell ref="AH866:AJ866"/>
    <mergeCell ref="AH867:AJ867"/>
    <mergeCell ref="AH868:AJ868"/>
    <mergeCell ref="AH869:AJ869"/>
    <mergeCell ref="AH870:AJ870"/>
    <mergeCell ref="AH871:AJ871"/>
    <mergeCell ref="AH872:AJ872"/>
    <mergeCell ref="AH873:AJ873"/>
    <mergeCell ref="AH856:AJ856"/>
    <mergeCell ref="AH857:AJ857"/>
    <mergeCell ref="AH858:AJ858"/>
    <mergeCell ref="AH859:AJ859"/>
    <mergeCell ref="AH923:AJ923"/>
    <mergeCell ref="AH861:AJ861"/>
    <mergeCell ref="AH862:AJ862"/>
    <mergeCell ref="AH863:AJ863"/>
    <mergeCell ref="AH864:AJ864"/>
    <mergeCell ref="AG876:AJ876"/>
    <mergeCell ref="AH860:AJ860"/>
    <mergeCell ref="AF880:AF900"/>
    <mergeCell ref="AH880:AJ880"/>
    <mergeCell ref="AH881:AJ881"/>
    <mergeCell ref="AH882:AJ882"/>
    <mergeCell ref="AH883:AJ883"/>
    <mergeCell ref="AH884:AJ884"/>
    <mergeCell ref="AH885:AJ885"/>
    <mergeCell ref="AH886:AJ886"/>
    <mergeCell ref="AH887:AJ887"/>
    <mergeCell ref="AH888:AJ888"/>
    <mergeCell ref="AH889:AJ889"/>
    <mergeCell ref="AH890:AJ890"/>
    <mergeCell ref="AH891:AJ891"/>
    <mergeCell ref="AH892:AJ892"/>
    <mergeCell ref="AH893:AJ893"/>
    <mergeCell ref="AH894:AJ894"/>
    <mergeCell ref="AH895:AJ895"/>
    <mergeCell ref="AH896:AJ896"/>
    <mergeCell ref="AH949:AJ949"/>
    <mergeCell ref="AH898:AJ898"/>
    <mergeCell ref="AH899:AJ899"/>
    <mergeCell ref="AH900:AJ900"/>
    <mergeCell ref="AG901:AJ901"/>
    <mergeCell ref="AF905:AF925"/>
    <mergeCell ref="AH905:AJ905"/>
    <mergeCell ref="AH906:AJ906"/>
    <mergeCell ref="AH907:AJ907"/>
    <mergeCell ref="AH908:AJ908"/>
    <mergeCell ref="AH909:AJ909"/>
    <mergeCell ref="AH910:AJ910"/>
    <mergeCell ref="AH911:AJ911"/>
    <mergeCell ref="AH912:AJ912"/>
    <mergeCell ref="AH913:AJ913"/>
    <mergeCell ref="AH914:AJ914"/>
    <mergeCell ref="AH915:AJ915"/>
    <mergeCell ref="AH916:AJ916"/>
    <mergeCell ref="AH917:AJ917"/>
    <mergeCell ref="AH918:AJ918"/>
    <mergeCell ref="AH919:AJ919"/>
    <mergeCell ref="AH920:AJ920"/>
    <mergeCell ref="AH921:AJ921"/>
    <mergeCell ref="AH922:AJ922"/>
    <mergeCell ref="AH974:AJ974"/>
    <mergeCell ref="AH924:AJ924"/>
    <mergeCell ref="AH925:AJ925"/>
    <mergeCell ref="AG926:AJ926"/>
    <mergeCell ref="AF930:AF950"/>
    <mergeCell ref="AH930:AJ930"/>
    <mergeCell ref="AH931:AJ931"/>
    <mergeCell ref="AH932:AJ932"/>
    <mergeCell ref="AH933:AJ933"/>
    <mergeCell ref="AH934:AJ934"/>
    <mergeCell ref="AH935:AJ935"/>
    <mergeCell ref="AH936:AJ936"/>
    <mergeCell ref="AH937:AJ937"/>
    <mergeCell ref="AH938:AJ938"/>
    <mergeCell ref="AH939:AJ939"/>
    <mergeCell ref="AH940:AJ940"/>
    <mergeCell ref="AH941:AJ941"/>
    <mergeCell ref="AH942:AJ942"/>
    <mergeCell ref="AH943:AJ943"/>
    <mergeCell ref="AH944:AJ944"/>
    <mergeCell ref="AH945:AJ945"/>
    <mergeCell ref="AH946:AJ946"/>
    <mergeCell ref="AH947:AJ947"/>
    <mergeCell ref="AH948:AJ948"/>
    <mergeCell ref="AH975:AJ975"/>
    <mergeCell ref="AH950:AJ950"/>
    <mergeCell ref="AG976:AJ976"/>
    <mergeCell ref="AG951:AJ951"/>
    <mergeCell ref="AF955:AF975"/>
    <mergeCell ref="AH955:AJ955"/>
    <mergeCell ref="AH956:AJ956"/>
    <mergeCell ref="AH957:AJ957"/>
    <mergeCell ref="AH958:AJ958"/>
    <mergeCell ref="AH959:AJ959"/>
    <mergeCell ref="AH960:AJ960"/>
    <mergeCell ref="AH961:AJ961"/>
    <mergeCell ref="AH962:AJ962"/>
    <mergeCell ref="AH963:AJ963"/>
    <mergeCell ref="AH964:AJ964"/>
    <mergeCell ref="AH965:AJ965"/>
    <mergeCell ref="AH966:AJ966"/>
    <mergeCell ref="AH967:AJ967"/>
    <mergeCell ref="AH968:AJ968"/>
    <mergeCell ref="AH969:AJ969"/>
    <mergeCell ref="AH970:AJ970"/>
    <mergeCell ref="AH971:AJ971"/>
    <mergeCell ref="AH972:AJ972"/>
    <mergeCell ref="AH973:AJ973"/>
    <mergeCell ref="BQ307:CG307"/>
    <mergeCell ref="BQ308:CG308"/>
    <mergeCell ref="BQ309:CG309"/>
    <mergeCell ref="BQ310:CG310"/>
    <mergeCell ref="BQ311:CG311"/>
    <mergeCell ref="BQ312:CG312"/>
    <mergeCell ref="BQ313:CG313"/>
    <mergeCell ref="BQ314:CG314"/>
    <mergeCell ref="BQ317:CG317"/>
    <mergeCell ref="BQ318:CG318"/>
    <mergeCell ref="BQ319:CG319"/>
    <mergeCell ref="BQ320:CG320"/>
    <mergeCell ref="BQ321:CG321"/>
    <mergeCell ref="BQ322:CG322"/>
    <mergeCell ref="BQ323:CG323"/>
    <mergeCell ref="BQ324:CG324"/>
    <mergeCell ref="BQ327:CG327"/>
    <mergeCell ref="BQ328:CG328"/>
    <mergeCell ref="BQ329:CG329"/>
    <mergeCell ref="BQ330:CG330"/>
    <mergeCell ref="BQ331:CG331"/>
    <mergeCell ref="BQ332:CG332"/>
    <mergeCell ref="BQ333:CG333"/>
    <mergeCell ref="BQ334:CG334"/>
    <mergeCell ref="BQ337:CG337"/>
    <mergeCell ref="BQ338:CG338"/>
    <mergeCell ref="BQ339:CG339"/>
    <mergeCell ref="BQ351:CG351"/>
    <mergeCell ref="BQ352:CG352"/>
    <mergeCell ref="BQ353:CG353"/>
    <mergeCell ref="BQ354:CG354"/>
    <mergeCell ref="BQ340:CG340"/>
    <mergeCell ref="BQ341:CG341"/>
    <mergeCell ref="BQ342:CG342"/>
    <mergeCell ref="BQ343:CG343"/>
    <mergeCell ref="BQ344:CG344"/>
    <mergeCell ref="BQ347:CG347"/>
    <mergeCell ref="BQ348:CG348"/>
    <mergeCell ref="BQ349:CG349"/>
    <mergeCell ref="BQ350:CG350"/>
    <mergeCell ref="BQ515:CK515"/>
    <mergeCell ref="BQ516:CK516"/>
    <mergeCell ref="BQ517:CK517"/>
    <mergeCell ref="BQ518:CK518"/>
    <mergeCell ref="BQ519:CK519"/>
    <mergeCell ref="BQ520:CK520"/>
    <mergeCell ref="BQ521:CK521"/>
    <mergeCell ref="BQ522:CK522"/>
    <mergeCell ref="AL498:AO498"/>
    <mergeCell ref="AL499:AO499"/>
    <mergeCell ref="BQ526:CK526"/>
    <mergeCell ref="BQ527:CK527"/>
    <mergeCell ref="BQ528:CK528"/>
    <mergeCell ref="BQ529:CK529"/>
    <mergeCell ref="BQ530:CK530"/>
    <mergeCell ref="BQ531:CK531"/>
    <mergeCell ref="BQ532:CK532"/>
    <mergeCell ref="BQ533:CK533"/>
    <mergeCell ref="BQ537:CK537"/>
    <mergeCell ref="BQ538:CK538"/>
    <mergeCell ref="BQ539:CK539"/>
    <mergeCell ref="BQ540:CK540"/>
    <mergeCell ref="BQ541:CK541"/>
    <mergeCell ref="BQ542:CK542"/>
    <mergeCell ref="BQ543:CK543"/>
    <mergeCell ref="BQ544:CK544"/>
    <mergeCell ref="BQ548:CK548"/>
    <mergeCell ref="BQ549:CK549"/>
    <mergeCell ref="BQ550:CK550"/>
    <mergeCell ref="BQ551:CK551"/>
    <mergeCell ref="BQ552:CK552"/>
    <mergeCell ref="BQ553:CK553"/>
    <mergeCell ref="BQ554:CK554"/>
    <mergeCell ref="BQ555:CK555"/>
    <mergeCell ref="BQ559:CK559"/>
    <mergeCell ref="BQ560:CK560"/>
    <mergeCell ref="BQ561:CK561"/>
    <mergeCell ref="BQ574:CK574"/>
    <mergeCell ref="BQ575:CK575"/>
    <mergeCell ref="BQ576:CK576"/>
    <mergeCell ref="BQ577:CK577"/>
    <mergeCell ref="BQ562:CK562"/>
    <mergeCell ref="BQ563:CK563"/>
    <mergeCell ref="BQ564:CK564"/>
    <mergeCell ref="BQ565:CK565"/>
    <mergeCell ref="BQ566:CK566"/>
    <mergeCell ref="BQ570:CK570"/>
    <mergeCell ref="BQ571:CK571"/>
    <mergeCell ref="BQ572:CK572"/>
    <mergeCell ref="BQ573:CK573"/>
    <mergeCell ref="AI720:AJ720"/>
    <mergeCell ref="AI731:AJ731"/>
    <mergeCell ref="AI742:AJ742"/>
    <mergeCell ref="AI753:AJ753"/>
    <mergeCell ref="AI764:AJ764"/>
    <mergeCell ref="AI775:AJ775"/>
    <mergeCell ref="BQ639:CK639"/>
    <mergeCell ref="BQ644:CK644"/>
    <mergeCell ref="BQ652:CK652"/>
    <mergeCell ref="BQ660:CK660"/>
    <mergeCell ref="BQ665:CK665"/>
    <mergeCell ref="BQ673:CK673"/>
    <mergeCell ref="BQ721:CH721"/>
    <mergeCell ref="BQ722:CH722"/>
    <mergeCell ref="BQ723:CH723"/>
    <mergeCell ref="BQ724:CH724"/>
    <mergeCell ref="BQ725:CH725"/>
    <mergeCell ref="BQ726:CH726"/>
    <mergeCell ref="BQ727:CH727"/>
    <mergeCell ref="BQ728:CH728"/>
    <mergeCell ref="BQ732:CH732"/>
    <mergeCell ref="BQ733:CH733"/>
    <mergeCell ref="BQ734:CH734"/>
    <mergeCell ref="BQ735:CH735"/>
    <mergeCell ref="AI787:AJ787"/>
    <mergeCell ref="AI798:AJ798"/>
    <mergeCell ref="AI809:AJ809"/>
    <mergeCell ref="AI820:AJ820"/>
    <mergeCell ref="AI831:AJ831"/>
    <mergeCell ref="AI842:AJ842"/>
    <mergeCell ref="CM615:CN615"/>
    <mergeCell ref="BQ615:CK615"/>
    <mergeCell ref="BQ616:CK616"/>
    <mergeCell ref="BQ617:CK617"/>
    <mergeCell ref="BQ618:CK618"/>
    <mergeCell ref="BQ619:CK619"/>
    <mergeCell ref="BQ620:CK620"/>
    <mergeCell ref="BQ621:CK621"/>
    <mergeCell ref="BQ622:CK622"/>
    <mergeCell ref="BQ626:CK626"/>
    <mergeCell ref="CM626:CN626"/>
    <mergeCell ref="BQ627:CK627"/>
    <mergeCell ref="BQ628:CK628"/>
    <mergeCell ref="BQ629:CK629"/>
    <mergeCell ref="BQ630:CK630"/>
    <mergeCell ref="BQ631:CK631"/>
    <mergeCell ref="BQ632:CK632"/>
    <mergeCell ref="BQ633:CK633"/>
    <mergeCell ref="CM616:CN616"/>
    <mergeCell ref="CM617:CN617"/>
    <mergeCell ref="CM618:CN618"/>
    <mergeCell ref="CM619:CN619"/>
    <mergeCell ref="CM620:CN620"/>
    <mergeCell ref="CM621:CN621"/>
    <mergeCell ref="CM622:CN622"/>
    <mergeCell ref="CM627:CN627"/>
    <mergeCell ref="CM628:CN628"/>
    <mergeCell ref="CM629:CN629"/>
    <mergeCell ref="CM630:CN630"/>
    <mergeCell ref="CM631:CN631"/>
    <mergeCell ref="CM632:CN632"/>
    <mergeCell ref="CM633:CN633"/>
    <mergeCell ref="BQ637:CK637"/>
    <mergeCell ref="CM637:CN637"/>
    <mergeCell ref="BQ638:CK638"/>
    <mergeCell ref="CM638:CN638"/>
    <mergeCell ref="CM639:CN639"/>
    <mergeCell ref="BQ640:CK640"/>
    <mergeCell ref="CM640:CN640"/>
    <mergeCell ref="BQ641:CK641"/>
    <mergeCell ref="CM641:CN641"/>
    <mergeCell ref="BQ642:CK642"/>
    <mergeCell ref="CM642:CN642"/>
    <mergeCell ref="BQ643:CK643"/>
    <mergeCell ref="CM643:CN643"/>
    <mergeCell ref="CM644:CN644"/>
    <mergeCell ref="BQ648:CK648"/>
    <mergeCell ref="CM648:CN648"/>
    <mergeCell ref="BQ649:CK649"/>
    <mergeCell ref="CM649:CN649"/>
    <mergeCell ref="BQ650:CK650"/>
    <mergeCell ref="CM650:CN650"/>
    <mergeCell ref="BQ651:CK651"/>
    <mergeCell ref="CM651:CN651"/>
    <mergeCell ref="CM652:CN652"/>
    <mergeCell ref="BQ653:CK653"/>
    <mergeCell ref="CM653:CN653"/>
    <mergeCell ref="BQ654:CK654"/>
    <mergeCell ref="CM654:CN654"/>
    <mergeCell ref="BQ655:CK655"/>
    <mergeCell ref="CM655:CN655"/>
    <mergeCell ref="BQ659:CK659"/>
    <mergeCell ref="CM659:CN659"/>
    <mergeCell ref="CM660:CN660"/>
    <mergeCell ref="BQ661:CK661"/>
    <mergeCell ref="CM661:CN661"/>
    <mergeCell ref="BQ662:CK662"/>
    <mergeCell ref="CM662:CN662"/>
    <mergeCell ref="BQ663:CK663"/>
    <mergeCell ref="CM663:CN663"/>
    <mergeCell ref="BQ664:CK664"/>
    <mergeCell ref="CM664:CN664"/>
    <mergeCell ref="CM665:CN665"/>
    <mergeCell ref="BQ666:CK666"/>
    <mergeCell ref="CM666:CN666"/>
    <mergeCell ref="BQ670:CK670"/>
    <mergeCell ref="CM670:CN670"/>
    <mergeCell ref="BQ671:CK671"/>
    <mergeCell ref="CM671:CN671"/>
    <mergeCell ref="BQ672:CK672"/>
    <mergeCell ref="CM672:CN672"/>
    <mergeCell ref="CM678:CN678"/>
    <mergeCell ref="CM673:CN673"/>
    <mergeCell ref="BQ674:CK674"/>
    <mergeCell ref="CM674:CN674"/>
    <mergeCell ref="BQ675:CK675"/>
    <mergeCell ref="CM675:CN675"/>
    <mergeCell ref="BQ676:CK676"/>
    <mergeCell ref="CM676:CN676"/>
    <mergeCell ref="BQ677:CK677"/>
    <mergeCell ref="CM677:CN67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Drop Down 1">
              <controlPr defaultSize="0" autoLine="0" autoPict="0">
                <anchor moveWithCells="1">
                  <from>
                    <xdr:col>4</xdr:col>
                    <xdr:colOff>19050</xdr:colOff>
                    <xdr:row>74</xdr:row>
                    <xdr:rowOff>9525</xdr:rowOff>
                  </from>
                  <to>
                    <xdr:col>4</xdr:col>
                    <xdr:colOff>838200</xdr:colOff>
                    <xdr:row>75</xdr:row>
                    <xdr:rowOff>0</xdr:rowOff>
                  </to>
                </anchor>
              </controlPr>
            </control>
          </mc:Choice>
        </mc:AlternateContent>
        <mc:AlternateContent xmlns:mc="http://schemas.openxmlformats.org/markup-compatibility/2006">
          <mc:Choice Requires="x14">
            <control shapeId="13337" r:id="rId5" name="Drop Down 25">
              <controlPr defaultSize="0" autoLine="0" autoPict="0">
                <anchor moveWithCells="1">
                  <from>
                    <xdr:col>3</xdr:col>
                    <xdr:colOff>28575</xdr:colOff>
                    <xdr:row>74</xdr:row>
                    <xdr:rowOff>9525</xdr:rowOff>
                  </from>
                  <to>
                    <xdr:col>4</xdr:col>
                    <xdr:colOff>0</xdr:colOff>
                    <xdr:row>75</xdr:row>
                    <xdr:rowOff>0</xdr:rowOff>
                  </to>
                </anchor>
              </controlPr>
            </control>
          </mc:Choice>
        </mc:AlternateContent>
        <mc:AlternateContent xmlns:mc="http://schemas.openxmlformats.org/markup-compatibility/2006">
          <mc:Choice Requires="x14">
            <control shapeId="13363" r:id="rId6" name="Drop Down 51">
              <controlPr defaultSize="0" autoLine="0" autoPict="0">
                <anchor moveWithCells="1">
                  <from>
                    <xdr:col>4</xdr:col>
                    <xdr:colOff>19050</xdr:colOff>
                    <xdr:row>75</xdr:row>
                    <xdr:rowOff>9525</xdr:rowOff>
                  </from>
                  <to>
                    <xdr:col>4</xdr:col>
                    <xdr:colOff>838200</xdr:colOff>
                    <xdr:row>76</xdr:row>
                    <xdr:rowOff>0</xdr:rowOff>
                  </to>
                </anchor>
              </controlPr>
            </control>
          </mc:Choice>
        </mc:AlternateContent>
        <mc:AlternateContent xmlns:mc="http://schemas.openxmlformats.org/markup-compatibility/2006">
          <mc:Choice Requires="x14">
            <control shapeId="13364" r:id="rId7" name="Drop Down 52">
              <controlPr defaultSize="0" autoLine="0" autoPict="0">
                <anchor moveWithCells="1">
                  <from>
                    <xdr:col>3</xdr:col>
                    <xdr:colOff>28575</xdr:colOff>
                    <xdr:row>75</xdr:row>
                    <xdr:rowOff>9525</xdr:rowOff>
                  </from>
                  <to>
                    <xdr:col>4</xdr:col>
                    <xdr:colOff>0</xdr:colOff>
                    <xdr:row>76</xdr:row>
                    <xdr:rowOff>0</xdr:rowOff>
                  </to>
                </anchor>
              </controlPr>
            </control>
          </mc:Choice>
        </mc:AlternateContent>
        <mc:AlternateContent xmlns:mc="http://schemas.openxmlformats.org/markup-compatibility/2006">
          <mc:Choice Requires="x14">
            <control shapeId="13365" r:id="rId8" name="Drop Down 53">
              <controlPr defaultSize="0" autoLine="0" autoPict="0">
                <anchor moveWithCells="1">
                  <from>
                    <xdr:col>4</xdr:col>
                    <xdr:colOff>19050</xdr:colOff>
                    <xdr:row>76</xdr:row>
                    <xdr:rowOff>9525</xdr:rowOff>
                  </from>
                  <to>
                    <xdr:col>4</xdr:col>
                    <xdr:colOff>838200</xdr:colOff>
                    <xdr:row>77</xdr:row>
                    <xdr:rowOff>0</xdr:rowOff>
                  </to>
                </anchor>
              </controlPr>
            </control>
          </mc:Choice>
        </mc:AlternateContent>
        <mc:AlternateContent xmlns:mc="http://schemas.openxmlformats.org/markup-compatibility/2006">
          <mc:Choice Requires="x14">
            <control shapeId="13366" r:id="rId9" name="Drop Down 54">
              <controlPr defaultSize="0" autoLine="0" autoPict="0">
                <anchor moveWithCells="1">
                  <from>
                    <xdr:col>3</xdr:col>
                    <xdr:colOff>28575</xdr:colOff>
                    <xdr:row>76</xdr:row>
                    <xdr:rowOff>9525</xdr:rowOff>
                  </from>
                  <to>
                    <xdr:col>4</xdr:col>
                    <xdr:colOff>0</xdr:colOff>
                    <xdr:row>77</xdr:row>
                    <xdr:rowOff>0</xdr:rowOff>
                  </to>
                </anchor>
              </controlPr>
            </control>
          </mc:Choice>
        </mc:AlternateContent>
        <mc:AlternateContent xmlns:mc="http://schemas.openxmlformats.org/markup-compatibility/2006">
          <mc:Choice Requires="x14">
            <control shapeId="13367" r:id="rId10" name="Drop Down 55">
              <controlPr defaultSize="0" autoLine="0" autoPict="0">
                <anchor moveWithCells="1">
                  <from>
                    <xdr:col>4</xdr:col>
                    <xdr:colOff>19050</xdr:colOff>
                    <xdr:row>77</xdr:row>
                    <xdr:rowOff>9525</xdr:rowOff>
                  </from>
                  <to>
                    <xdr:col>4</xdr:col>
                    <xdr:colOff>838200</xdr:colOff>
                    <xdr:row>78</xdr:row>
                    <xdr:rowOff>0</xdr:rowOff>
                  </to>
                </anchor>
              </controlPr>
            </control>
          </mc:Choice>
        </mc:AlternateContent>
        <mc:AlternateContent xmlns:mc="http://schemas.openxmlformats.org/markup-compatibility/2006">
          <mc:Choice Requires="x14">
            <control shapeId="13368" r:id="rId11" name="Drop Down 56">
              <controlPr defaultSize="0" autoLine="0" autoPict="0">
                <anchor moveWithCells="1">
                  <from>
                    <xdr:col>3</xdr:col>
                    <xdr:colOff>28575</xdr:colOff>
                    <xdr:row>77</xdr:row>
                    <xdr:rowOff>9525</xdr:rowOff>
                  </from>
                  <to>
                    <xdr:col>4</xdr:col>
                    <xdr:colOff>0</xdr:colOff>
                    <xdr:row>78</xdr:row>
                    <xdr:rowOff>0</xdr:rowOff>
                  </to>
                </anchor>
              </controlPr>
            </control>
          </mc:Choice>
        </mc:AlternateContent>
        <mc:AlternateContent xmlns:mc="http://schemas.openxmlformats.org/markup-compatibility/2006">
          <mc:Choice Requires="x14">
            <control shapeId="13369" r:id="rId12" name="Drop Down 57">
              <controlPr defaultSize="0" autoLine="0" autoPict="0">
                <anchor moveWithCells="1">
                  <from>
                    <xdr:col>4</xdr:col>
                    <xdr:colOff>19050</xdr:colOff>
                    <xdr:row>82</xdr:row>
                    <xdr:rowOff>9525</xdr:rowOff>
                  </from>
                  <to>
                    <xdr:col>4</xdr:col>
                    <xdr:colOff>838200</xdr:colOff>
                    <xdr:row>83</xdr:row>
                    <xdr:rowOff>0</xdr:rowOff>
                  </to>
                </anchor>
              </controlPr>
            </control>
          </mc:Choice>
        </mc:AlternateContent>
        <mc:AlternateContent xmlns:mc="http://schemas.openxmlformats.org/markup-compatibility/2006">
          <mc:Choice Requires="x14">
            <control shapeId="13370" r:id="rId13" name="Drop Down 58">
              <controlPr defaultSize="0" autoLine="0" autoPict="0">
                <anchor moveWithCells="1">
                  <from>
                    <xdr:col>3</xdr:col>
                    <xdr:colOff>28575</xdr:colOff>
                    <xdr:row>82</xdr:row>
                    <xdr:rowOff>9525</xdr:rowOff>
                  </from>
                  <to>
                    <xdr:col>4</xdr:col>
                    <xdr:colOff>0</xdr:colOff>
                    <xdr:row>83</xdr:row>
                    <xdr:rowOff>0</xdr:rowOff>
                  </to>
                </anchor>
              </controlPr>
            </control>
          </mc:Choice>
        </mc:AlternateContent>
        <mc:AlternateContent xmlns:mc="http://schemas.openxmlformats.org/markup-compatibility/2006">
          <mc:Choice Requires="x14">
            <control shapeId="13371" r:id="rId14" name="Drop Down 59">
              <controlPr defaultSize="0" autoLine="0" autoPict="0">
                <anchor moveWithCells="1">
                  <from>
                    <xdr:col>4</xdr:col>
                    <xdr:colOff>19050</xdr:colOff>
                    <xdr:row>83</xdr:row>
                    <xdr:rowOff>9525</xdr:rowOff>
                  </from>
                  <to>
                    <xdr:col>4</xdr:col>
                    <xdr:colOff>838200</xdr:colOff>
                    <xdr:row>84</xdr:row>
                    <xdr:rowOff>0</xdr:rowOff>
                  </to>
                </anchor>
              </controlPr>
            </control>
          </mc:Choice>
        </mc:AlternateContent>
        <mc:AlternateContent xmlns:mc="http://schemas.openxmlformats.org/markup-compatibility/2006">
          <mc:Choice Requires="x14">
            <control shapeId="13372" r:id="rId15" name="Drop Down 60">
              <controlPr defaultSize="0" autoLine="0" autoPict="0">
                <anchor moveWithCells="1">
                  <from>
                    <xdr:col>3</xdr:col>
                    <xdr:colOff>28575</xdr:colOff>
                    <xdr:row>83</xdr:row>
                    <xdr:rowOff>9525</xdr:rowOff>
                  </from>
                  <to>
                    <xdr:col>4</xdr:col>
                    <xdr:colOff>0</xdr:colOff>
                    <xdr:row>84</xdr:row>
                    <xdr:rowOff>0</xdr:rowOff>
                  </to>
                </anchor>
              </controlPr>
            </control>
          </mc:Choice>
        </mc:AlternateContent>
        <mc:AlternateContent xmlns:mc="http://schemas.openxmlformats.org/markup-compatibility/2006">
          <mc:Choice Requires="x14">
            <control shapeId="13373" r:id="rId16" name="Drop Down 61">
              <controlPr defaultSize="0" autoLine="0" autoPict="0">
                <anchor moveWithCells="1">
                  <from>
                    <xdr:col>4</xdr:col>
                    <xdr:colOff>19050</xdr:colOff>
                    <xdr:row>84</xdr:row>
                    <xdr:rowOff>9525</xdr:rowOff>
                  </from>
                  <to>
                    <xdr:col>4</xdr:col>
                    <xdr:colOff>838200</xdr:colOff>
                    <xdr:row>85</xdr:row>
                    <xdr:rowOff>0</xdr:rowOff>
                  </to>
                </anchor>
              </controlPr>
            </control>
          </mc:Choice>
        </mc:AlternateContent>
        <mc:AlternateContent xmlns:mc="http://schemas.openxmlformats.org/markup-compatibility/2006">
          <mc:Choice Requires="x14">
            <control shapeId="13374" r:id="rId17" name="Drop Down 62">
              <controlPr defaultSize="0" autoLine="0" autoPict="0">
                <anchor moveWithCells="1">
                  <from>
                    <xdr:col>3</xdr:col>
                    <xdr:colOff>28575</xdr:colOff>
                    <xdr:row>84</xdr:row>
                    <xdr:rowOff>9525</xdr:rowOff>
                  </from>
                  <to>
                    <xdr:col>4</xdr:col>
                    <xdr:colOff>0</xdr:colOff>
                    <xdr:row>85</xdr:row>
                    <xdr:rowOff>0</xdr:rowOff>
                  </to>
                </anchor>
              </controlPr>
            </control>
          </mc:Choice>
        </mc:AlternateContent>
        <mc:AlternateContent xmlns:mc="http://schemas.openxmlformats.org/markup-compatibility/2006">
          <mc:Choice Requires="x14">
            <control shapeId="13375" r:id="rId18" name="Drop Down 63">
              <controlPr defaultSize="0" autoLine="0" autoPict="0">
                <anchor moveWithCells="1">
                  <from>
                    <xdr:col>4</xdr:col>
                    <xdr:colOff>19050</xdr:colOff>
                    <xdr:row>85</xdr:row>
                    <xdr:rowOff>9525</xdr:rowOff>
                  </from>
                  <to>
                    <xdr:col>4</xdr:col>
                    <xdr:colOff>838200</xdr:colOff>
                    <xdr:row>86</xdr:row>
                    <xdr:rowOff>0</xdr:rowOff>
                  </to>
                </anchor>
              </controlPr>
            </control>
          </mc:Choice>
        </mc:AlternateContent>
        <mc:AlternateContent xmlns:mc="http://schemas.openxmlformats.org/markup-compatibility/2006">
          <mc:Choice Requires="x14">
            <control shapeId="13376" r:id="rId19" name="Drop Down 64">
              <controlPr defaultSize="0" autoLine="0" autoPict="0">
                <anchor moveWithCells="1">
                  <from>
                    <xdr:col>3</xdr:col>
                    <xdr:colOff>28575</xdr:colOff>
                    <xdr:row>85</xdr:row>
                    <xdr:rowOff>9525</xdr:rowOff>
                  </from>
                  <to>
                    <xdr:col>4</xdr:col>
                    <xdr:colOff>0</xdr:colOff>
                    <xdr:row>86</xdr:row>
                    <xdr:rowOff>0</xdr:rowOff>
                  </to>
                </anchor>
              </controlPr>
            </control>
          </mc:Choice>
        </mc:AlternateContent>
        <mc:AlternateContent xmlns:mc="http://schemas.openxmlformats.org/markup-compatibility/2006">
          <mc:Choice Requires="x14">
            <control shapeId="13377" r:id="rId20" name="Drop Down 65">
              <controlPr defaultSize="0" autoLine="0" autoPict="0">
                <anchor moveWithCells="1">
                  <from>
                    <xdr:col>4</xdr:col>
                    <xdr:colOff>19050</xdr:colOff>
                    <xdr:row>86</xdr:row>
                    <xdr:rowOff>9525</xdr:rowOff>
                  </from>
                  <to>
                    <xdr:col>4</xdr:col>
                    <xdr:colOff>838200</xdr:colOff>
                    <xdr:row>87</xdr:row>
                    <xdr:rowOff>0</xdr:rowOff>
                  </to>
                </anchor>
              </controlPr>
            </control>
          </mc:Choice>
        </mc:AlternateContent>
        <mc:AlternateContent xmlns:mc="http://schemas.openxmlformats.org/markup-compatibility/2006">
          <mc:Choice Requires="x14">
            <control shapeId="13378" r:id="rId21" name="Drop Down 66">
              <controlPr defaultSize="0" autoLine="0" autoPict="0">
                <anchor moveWithCells="1">
                  <from>
                    <xdr:col>3</xdr:col>
                    <xdr:colOff>28575</xdr:colOff>
                    <xdr:row>86</xdr:row>
                    <xdr:rowOff>9525</xdr:rowOff>
                  </from>
                  <to>
                    <xdr:col>4</xdr:col>
                    <xdr:colOff>0</xdr:colOff>
                    <xdr:row>87</xdr:row>
                    <xdr:rowOff>0</xdr:rowOff>
                  </to>
                </anchor>
              </controlPr>
            </control>
          </mc:Choice>
        </mc:AlternateContent>
        <mc:AlternateContent xmlns:mc="http://schemas.openxmlformats.org/markup-compatibility/2006">
          <mc:Choice Requires="x14">
            <control shapeId="13379" r:id="rId22" name="Drop Down 67">
              <controlPr defaultSize="0" autoLine="0" autoPict="0">
                <anchor moveWithCells="1">
                  <from>
                    <xdr:col>4</xdr:col>
                    <xdr:colOff>19050</xdr:colOff>
                    <xdr:row>87</xdr:row>
                    <xdr:rowOff>9525</xdr:rowOff>
                  </from>
                  <to>
                    <xdr:col>4</xdr:col>
                    <xdr:colOff>838200</xdr:colOff>
                    <xdr:row>88</xdr:row>
                    <xdr:rowOff>0</xdr:rowOff>
                  </to>
                </anchor>
              </controlPr>
            </control>
          </mc:Choice>
        </mc:AlternateContent>
        <mc:AlternateContent xmlns:mc="http://schemas.openxmlformats.org/markup-compatibility/2006">
          <mc:Choice Requires="x14">
            <control shapeId="13380" r:id="rId23" name="Drop Down 68">
              <controlPr defaultSize="0" autoLine="0" autoPict="0">
                <anchor moveWithCells="1">
                  <from>
                    <xdr:col>3</xdr:col>
                    <xdr:colOff>28575</xdr:colOff>
                    <xdr:row>87</xdr:row>
                    <xdr:rowOff>9525</xdr:rowOff>
                  </from>
                  <to>
                    <xdr:col>4</xdr:col>
                    <xdr:colOff>0</xdr:colOff>
                    <xdr:row>88</xdr:row>
                    <xdr:rowOff>0</xdr:rowOff>
                  </to>
                </anchor>
              </controlPr>
            </control>
          </mc:Choice>
        </mc:AlternateContent>
        <mc:AlternateContent xmlns:mc="http://schemas.openxmlformats.org/markup-compatibility/2006">
          <mc:Choice Requires="x14">
            <control shapeId="13381" r:id="rId24" name="Drop Down 69">
              <controlPr defaultSize="0" autoLine="0" autoPict="0">
                <anchor moveWithCells="1">
                  <from>
                    <xdr:col>4</xdr:col>
                    <xdr:colOff>19050</xdr:colOff>
                    <xdr:row>113</xdr:row>
                    <xdr:rowOff>9525</xdr:rowOff>
                  </from>
                  <to>
                    <xdr:col>4</xdr:col>
                    <xdr:colOff>838200</xdr:colOff>
                    <xdr:row>114</xdr:row>
                    <xdr:rowOff>0</xdr:rowOff>
                  </to>
                </anchor>
              </controlPr>
            </control>
          </mc:Choice>
        </mc:AlternateContent>
        <mc:AlternateContent xmlns:mc="http://schemas.openxmlformats.org/markup-compatibility/2006">
          <mc:Choice Requires="x14">
            <control shapeId="13382" r:id="rId25" name="Drop Down 70">
              <controlPr defaultSize="0" autoLine="0" autoPict="0">
                <anchor moveWithCells="1">
                  <from>
                    <xdr:col>3</xdr:col>
                    <xdr:colOff>28575</xdr:colOff>
                    <xdr:row>113</xdr:row>
                    <xdr:rowOff>9525</xdr:rowOff>
                  </from>
                  <to>
                    <xdr:col>4</xdr:col>
                    <xdr:colOff>0</xdr:colOff>
                    <xdr:row>114</xdr:row>
                    <xdr:rowOff>0</xdr:rowOff>
                  </to>
                </anchor>
              </controlPr>
            </control>
          </mc:Choice>
        </mc:AlternateContent>
        <mc:AlternateContent xmlns:mc="http://schemas.openxmlformats.org/markup-compatibility/2006">
          <mc:Choice Requires="x14">
            <control shapeId="13383" r:id="rId26" name="Drop Down 71">
              <controlPr defaultSize="0" autoLine="0" autoPict="0">
                <anchor moveWithCells="1">
                  <from>
                    <xdr:col>4</xdr:col>
                    <xdr:colOff>19050</xdr:colOff>
                    <xdr:row>114</xdr:row>
                    <xdr:rowOff>9525</xdr:rowOff>
                  </from>
                  <to>
                    <xdr:col>4</xdr:col>
                    <xdr:colOff>838200</xdr:colOff>
                    <xdr:row>115</xdr:row>
                    <xdr:rowOff>0</xdr:rowOff>
                  </to>
                </anchor>
              </controlPr>
            </control>
          </mc:Choice>
        </mc:AlternateContent>
        <mc:AlternateContent xmlns:mc="http://schemas.openxmlformats.org/markup-compatibility/2006">
          <mc:Choice Requires="x14">
            <control shapeId="13384" r:id="rId27" name="Drop Down 72">
              <controlPr defaultSize="0" autoLine="0" autoPict="0">
                <anchor moveWithCells="1">
                  <from>
                    <xdr:col>3</xdr:col>
                    <xdr:colOff>28575</xdr:colOff>
                    <xdr:row>114</xdr:row>
                    <xdr:rowOff>9525</xdr:rowOff>
                  </from>
                  <to>
                    <xdr:col>4</xdr:col>
                    <xdr:colOff>0</xdr:colOff>
                    <xdr:row>115</xdr:row>
                    <xdr:rowOff>0</xdr:rowOff>
                  </to>
                </anchor>
              </controlPr>
            </control>
          </mc:Choice>
        </mc:AlternateContent>
        <mc:AlternateContent xmlns:mc="http://schemas.openxmlformats.org/markup-compatibility/2006">
          <mc:Choice Requires="x14">
            <control shapeId="13385" r:id="rId28" name="Drop Down 73">
              <controlPr defaultSize="0" autoLine="0" autoPict="0">
                <anchor moveWithCells="1">
                  <from>
                    <xdr:col>4</xdr:col>
                    <xdr:colOff>19050</xdr:colOff>
                    <xdr:row>115</xdr:row>
                    <xdr:rowOff>9525</xdr:rowOff>
                  </from>
                  <to>
                    <xdr:col>4</xdr:col>
                    <xdr:colOff>838200</xdr:colOff>
                    <xdr:row>116</xdr:row>
                    <xdr:rowOff>0</xdr:rowOff>
                  </to>
                </anchor>
              </controlPr>
            </control>
          </mc:Choice>
        </mc:AlternateContent>
        <mc:AlternateContent xmlns:mc="http://schemas.openxmlformats.org/markup-compatibility/2006">
          <mc:Choice Requires="x14">
            <control shapeId="13386" r:id="rId29" name="Drop Down 74">
              <controlPr defaultSize="0" autoLine="0" autoPict="0">
                <anchor moveWithCells="1">
                  <from>
                    <xdr:col>3</xdr:col>
                    <xdr:colOff>28575</xdr:colOff>
                    <xdr:row>115</xdr:row>
                    <xdr:rowOff>9525</xdr:rowOff>
                  </from>
                  <to>
                    <xdr:col>4</xdr:col>
                    <xdr:colOff>0</xdr:colOff>
                    <xdr:row>116</xdr:row>
                    <xdr:rowOff>0</xdr:rowOff>
                  </to>
                </anchor>
              </controlPr>
            </control>
          </mc:Choice>
        </mc:AlternateContent>
        <mc:AlternateContent xmlns:mc="http://schemas.openxmlformats.org/markup-compatibility/2006">
          <mc:Choice Requires="x14">
            <control shapeId="13387" r:id="rId30" name="Drop Down 75">
              <controlPr defaultSize="0" autoLine="0" autoPict="0">
                <anchor moveWithCells="1">
                  <from>
                    <xdr:col>4</xdr:col>
                    <xdr:colOff>19050</xdr:colOff>
                    <xdr:row>116</xdr:row>
                    <xdr:rowOff>9525</xdr:rowOff>
                  </from>
                  <to>
                    <xdr:col>4</xdr:col>
                    <xdr:colOff>838200</xdr:colOff>
                    <xdr:row>117</xdr:row>
                    <xdr:rowOff>0</xdr:rowOff>
                  </to>
                </anchor>
              </controlPr>
            </control>
          </mc:Choice>
        </mc:AlternateContent>
        <mc:AlternateContent xmlns:mc="http://schemas.openxmlformats.org/markup-compatibility/2006">
          <mc:Choice Requires="x14">
            <control shapeId="13388" r:id="rId31" name="Drop Down 76">
              <controlPr defaultSize="0" autoLine="0" autoPict="0">
                <anchor moveWithCells="1">
                  <from>
                    <xdr:col>3</xdr:col>
                    <xdr:colOff>28575</xdr:colOff>
                    <xdr:row>116</xdr:row>
                    <xdr:rowOff>9525</xdr:rowOff>
                  </from>
                  <to>
                    <xdr:col>4</xdr:col>
                    <xdr:colOff>0</xdr:colOff>
                    <xdr:row>117</xdr:row>
                    <xdr:rowOff>0</xdr:rowOff>
                  </to>
                </anchor>
              </controlPr>
            </control>
          </mc:Choice>
        </mc:AlternateContent>
        <mc:AlternateContent xmlns:mc="http://schemas.openxmlformats.org/markup-compatibility/2006">
          <mc:Choice Requires="x14">
            <control shapeId="13389" r:id="rId32" name="Drop Down 77">
              <controlPr defaultSize="0" autoLine="0" autoPict="0">
                <anchor moveWithCells="1">
                  <from>
                    <xdr:col>4</xdr:col>
                    <xdr:colOff>19050</xdr:colOff>
                    <xdr:row>117</xdr:row>
                    <xdr:rowOff>9525</xdr:rowOff>
                  </from>
                  <to>
                    <xdr:col>4</xdr:col>
                    <xdr:colOff>838200</xdr:colOff>
                    <xdr:row>118</xdr:row>
                    <xdr:rowOff>0</xdr:rowOff>
                  </to>
                </anchor>
              </controlPr>
            </control>
          </mc:Choice>
        </mc:AlternateContent>
        <mc:AlternateContent xmlns:mc="http://schemas.openxmlformats.org/markup-compatibility/2006">
          <mc:Choice Requires="x14">
            <control shapeId="13390" r:id="rId33" name="Drop Down 78">
              <controlPr defaultSize="0" autoLine="0" autoPict="0">
                <anchor moveWithCells="1">
                  <from>
                    <xdr:col>3</xdr:col>
                    <xdr:colOff>28575</xdr:colOff>
                    <xdr:row>117</xdr:row>
                    <xdr:rowOff>9525</xdr:rowOff>
                  </from>
                  <to>
                    <xdr:col>4</xdr:col>
                    <xdr:colOff>0</xdr:colOff>
                    <xdr:row>118</xdr:row>
                    <xdr:rowOff>0</xdr:rowOff>
                  </to>
                </anchor>
              </controlPr>
            </control>
          </mc:Choice>
        </mc:AlternateContent>
        <mc:AlternateContent xmlns:mc="http://schemas.openxmlformats.org/markup-compatibility/2006">
          <mc:Choice Requires="x14">
            <control shapeId="13391" r:id="rId34" name="Drop Down 79">
              <controlPr defaultSize="0" autoLine="0" autoPict="0">
                <anchor moveWithCells="1">
                  <from>
                    <xdr:col>4</xdr:col>
                    <xdr:colOff>19050</xdr:colOff>
                    <xdr:row>118</xdr:row>
                    <xdr:rowOff>9525</xdr:rowOff>
                  </from>
                  <to>
                    <xdr:col>4</xdr:col>
                    <xdr:colOff>838200</xdr:colOff>
                    <xdr:row>119</xdr:row>
                    <xdr:rowOff>0</xdr:rowOff>
                  </to>
                </anchor>
              </controlPr>
            </control>
          </mc:Choice>
        </mc:AlternateContent>
        <mc:AlternateContent xmlns:mc="http://schemas.openxmlformats.org/markup-compatibility/2006">
          <mc:Choice Requires="x14">
            <control shapeId="13392" r:id="rId35" name="Drop Down 80">
              <controlPr defaultSize="0" autoLine="0" autoPict="0">
                <anchor moveWithCells="1">
                  <from>
                    <xdr:col>3</xdr:col>
                    <xdr:colOff>28575</xdr:colOff>
                    <xdr:row>118</xdr:row>
                    <xdr:rowOff>9525</xdr:rowOff>
                  </from>
                  <to>
                    <xdr:col>4</xdr:col>
                    <xdr:colOff>0</xdr:colOff>
                    <xdr:row>119</xdr:row>
                    <xdr:rowOff>0</xdr:rowOff>
                  </to>
                </anchor>
              </controlPr>
            </control>
          </mc:Choice>
        </mc:AlternateContent>
        <mc:AlternateContent xmlns:mc="http://schemas.openxmlformats.org/markup-compatibility/2006">
          <mc:Choice Requires="x14">
            <control shapeId="13393" r:id="rId36" name="Drop Down 81">
              <controlPr defaultSize="0" autoLine="0" autoPict="0">
                <anchor moveWithCells="1">
                  <from>
                    <xdr:col>0</xdr:col>
                    <xdr:colOff>38100</xdr:colOff>
                    <xdr:row>113</xdr:row>
                    <xdr:rowOff>9525</xdr:rowOff>
                  </from>
                  <to>
                    <xdr:col>1</xdr:col>
                    <xdr:colOff>180975</xdr:colOff>
                    <xdr:row>114</xdr:row>
                    <xdr:rowOff>0</xdr:rowOff>
                  </to>
                </anchor>
              </controlPr>
            </control>
          </mc:Choice>
        </mc:AlternateContent>
        <mc:AlternateContent xmlns:mc="http://schemas.openxmlformats.org/markup-compatibility/2006">
          <mc:Choice Requires="x14">
            <control shapeId="13394" r:id="rId37" name="Drop Down 82">
              <controlPr defaultSize="0" autoLine="0" autoPict="0">
                <anchor moveWithCells="1">
                  <from>
                    <xdr:col>0</xdr:col>
                    <xdr:colOff>38100</xdr:colOff>
                    <xdr:row>114</xdr:row>
                    <xdr:rowOff>9525</xdr:rowOff>
                  </from>
                  <to>
                    <xdr:col>1</xdr:col>
                    <xdr:colOff>180975</xdr:colOff>
                    <xdr:row>115</xdr:row>
                    <xdr:rowOff>0</xdr:rowOff>
                  </to>
                </anchor>
              </controlPr>
            </control>
          </mc:Choice>
        </mc:AlternateContent>
        <mc:AlternateContent xmlns:mc="http://schemas.openxmlformats.org/markup-compatibility/2006">
          <mc:Choice Requires="x14">
            <control shapeId="13395" r:id="rId38" name="Drop Down 83">
              <controlPr defaultSize="0" autoLine="0" autoPict="0">
                <anchor moveWithCells="1">
                  <from>
                    <xdr:col>0</xdr:col>
                    <xdr:colOff>38100</xdr:colOff>
                    <xdr:row>115</xdr:row>
                    <xdr:rowOff>9525</xdr:rowOff>
                  </from>
                  <to>
                    <xdr:col>1</xdr:col>
                    <xdr:colOff>180975</xdr:colOff>
                    <xdr:row>116</xdr:row>
                    <xdr:rowOff>0</xdr:rowOff>
                  </to>
                </anchor>
              </controlPr>
            </control>
          </mc:Choice>
        </mc:AlternateContent>
        <mc:AlternateContent xmlns:mc="http://schemas.openxmlformats.org/markup-compatibility/2006">
          <mc:Choice Requires="x14">
            <control shapeId="13396" r:id="rId39" name="Drop Down 84">
              <controlPr defaultSize="0" autoLine="0" autoPict="0">
                <anchor moveWithCells="1">
                  <from>
                    <xdr:col>0</xdr:col>
                    <xdr:colOff>38100</xdr:colOff>
                    <xdr:row>116</xdr:row>
                    <xdr:rowOff>9525</xdr:rowOff>
                  </from>
                  <to>
                    <xdr:col>1</xdr:col>
                    <xdr:colOff>180975</xdr:colOff>
                    <xdr:row>117</xdr:row>
                    <xdr:rowOff>0</xdr:rowOff>
                  </to>
                </anchor>
              </controlPr>
            </control>
          </mc:Choice>
        </mc:AlternateContent>
        <mc:AlternateContent xmlns:mc="http://schemas.openxmlformats.org/markup-compatibility/2006">
          <mc:Choice Requires="x14">
            <control shapeId="13397" r:id="rId40" name="Drop Down 85">
              <controlPr defaultSize="0" autoLine="0" autoPict="0">
                <anchor moveWithCells="1">
                  <from>
                    <xdr:col>0</xdr:col>
                    <xdr:colOff>38100</xdr:colOff>
                    <xdr:row>117</xdr:row>
                    <xdr:rowOff>9525</xdr:rowOff>
                  </from>
                  <to>
                    <xdr:col>1</xdr:col>
                    <xdr:colOff>180975</xdr:colOff>
                    <xdr:row>118</xdr:row>
                    <xdr:rowOff>0</xdr:rowOff>
                  </to>
                </anchor>
              </controlPr>
            </control>
          </mc:Choice>
        </mc:AlternateContent>
        <mc:AlternateContent xmlns:mc="http://schemas.openxmlformats.org/markup-compatibility/2006">
          <mc:Choice Requires="x14">
            <control shapeId="13398" r:id="rId41" name="Drop Down 86">
              <controlPr defaultSize="0" autoLine="0" autoPict="0">
                <anchor moveWithCells="1">
                  <from>
                    <xdr:col>0</xdr:col>
                    <xdr:colOff>38100</xdr:colOff>
                    <xdr:row>118</xdr:row>
                    <xdr:rowOff>9525</xdr:rowOff>
                  </from>
                  <to>
                    <xdr:col>1</xdr:col>
                    <xdr:colOff>180975</xdr:colOff>
                    <xdr:row>119</xdr:row>
                    <xdr:rowOff>0</xdr:rowOff>
                  </to>
                </anchor>
              </controlPr>
            </control>
          </mc:Choice>
        </mc:AlternateContent>
        <mc:AlternateContent xmlns:mc="http://schemas.openxmlformats.org/markup-compatibility/2006">
          <mc:Choice Requires="x14">
            <control shapeId="13399" r:id="rId42" name="Drop Down 87">
              <controlPr defaultSize="0" autoLine="0" autoPict="0">
                <anchor moveWithCells="1">
                  <from>
                    <xdr:col>0</xdr:col>
                    <xdr:colOff>38100</xdr:colOff>
                    <xdr:row>123</xdr:row>
                    <xdr:rowOff>9525</xdr:rowOff>
                  </from>
                  <to>
                    <xdr:col>1</xdr:col>
                    <xdr:colOff>180975</xdr:colOff>
                    <xdr:row>124</xdr:row>
                    <xdr:rowOff>0</xdr:rowOff>
                  </to>
                </anchor>
              </controlPr>
            </control>
          </mc:Choice>
        </mc:AlternateContent>
        <mc:AlternateContent xmlns:mc="http://schemas.openxmlformats.org/markup-compatibility/2006">
          <mc:Choice Requires="x14">
            <control shapeId="13400" r:id="rId43" name="Drop Down 88">
              <controlPr defaultSize="0" autoLine="0" autoPict="0">
                <anchor moveWithCells="1">
                  <from>
                    <xdr:col>0</xdr:col>
                    <xdr:colOff>38100</xdr:colOff>
                    <xdr:row>124</xdr:row>
                    <xdr:rowOff>9525</xdr:rowOff>
                  </from>
                  <to>
                    <xdr:col>1</xdr:col>
                    <xdr:colOff>180975</xdr:colOff>
                    <xdr:row>125</xdr:row>
                    <xdr:rowOff>0</xdr:rowOff>
                  </to>
                </anchor>
              </controlPr>
            </control>
          </mc:Choice>
        </mc:AlternateContent>
        <mc:AlternateContent xmlns:mc="http://schemas.openxmlformats.org/markup-compatibility/2006">
          <mc:Choice Requires="x14">
            <control shapeId="13401" r:id="rId44" name="Drop Down 89">
              <controlPr defaultSize="0" autoLine="0" autoPict="0">
                <anchor moveWithCells="1">
                  <from>
                    <xdr:col>0</xdr:col>
                    <xdr:colOff>38100</xdr:colOff>
                    <xdr:row>125</xdr:row>
                    <xdr:rowOff>9525</xdr:rowOff>
                  </from>
                  <to>
                    <xdr:col>1</xdr:col>
                    <xdr:colOff>180975</xdr:colOff>
                    <xdr:row>126</xdr:row>
                    <xdr:rowOff>0</xdr:rowOff>
                  </to>
                </anchor>
              </controlPr>
            </control>
          </mc:Choice>
        </mc:AlternateContent>
        <mc:AlternateContent xmlns:mc="http://schemas.openxmlformats.org/markup-compatibility/2006">
          <mc:Choice Requires="x14">
            <control shapeId="13402" r:id="rId45" name="Drop Down 90">
              <controlPr defaultSize="0" autoLine="0" autoPict="0">
                <anchor moveWithCells="1">
                  <from>
                    <xdr:col>0</xdr:col>
                    <xdr:colOff>38100</xdr:colOff>
                    <xdr:row>126</xdr:row>
                    <xdr:rowOff>9525</xdr:rowOff>
                  </from>
                  <to>
                    <xdr:col>1</xdr:col>
                    <xdr:colOff>180975</xdr:colOff>
                    <xdr:row>127</xdr:row>
                    <xdr:rowOff>0</xdr:rowOff>
                  </to>
                </anchor>
              </controlPr>
            </control>
          </mc:Choice>
        </mc:AlternateContent>
        <mc:AlternateContent xmlns:mc="http://schemas.openxmlformats.org/markup-compatibility/2006">
          <mc:Choice Requires="x14">
            <control shapeId="13403" r:id="rId46" name="Drop Down 91">
              <controlPr defaultSize="0" autoLine="0" autoPict="0">
                <anchor moveWithCells="1">
                  <from>
                    <xdr:col>0</xdr:col>
                    <xdr:colOff>38100</xdr:colOff>
                    <xdr:row>127</xdr:row>
                    <xdr:rowOff>9525</xdr:rowOff>
                  </from>
                  <to>
                    <xdr:col>1</xdr:col>
                    <xdr:colOff>180975</xdr:colOff>
                    <xdr:row>128</xdr:row>
                    <xdr:rowOff>0</xdr:rowOff>
                  </to>
                </anchor>
              </controlPr>
            </control>
          </mc:Choice>
        </mc:AlternateContent>
        <mc:AlternateContent xmlns:mc="http://schemas.openxmlformats.org/markup-compatibility/2006">
          <mc:Choice Requires="x14">
            <control shapeId="13404" r:id="rId47" name="Drop Down 92">
              <controlPr defaultSize="0" autoLine="0" autoPict="0">
                <anchor moveWithCells="1">
                  <from>
                    <xdr:col>0</xdr:col>
                    <xdr:colOff>38100</xdr:colOff>
                    <xdr:row>128</xdr:row>
                    <xdr:rowOff>9525</xdr:rowOff>
                  </from>
                  <to>
                    <xdr:col>1</xdr:col>
                    <xdr:colOff>180975</xdr:colOff>
                    <xdr:row>129</xdr:row>
                    <xdr:rowOff>0</xdr:rowOff>
                  </to>
                </anchor>
              </controlPr>
            </control>
          </mc:Choice>
        </mc:AlternateContent>
        <mc:AlternateContent xmlns:mc="http://schemas.openxmlformats.org/markup-compatibility/2006">
          <mc:Choice Requires="x14">
            <control shapeId="13409" r:id="rId48" name="Drop Down 97">
              <controlPr defaultSize="0" autoLine="0" autoPict="0">
                <anchor moveWithCells="1">
                  <from>
                    <xdr:col>9</xdr:col>
                    <xdr:colOff>19050</xdr:colOff>
                    <xdr:row>113</xdr:row>
                    <xdr:rowOff>9525</xdr:rowOff>
                  </from>
                  <to>
                    <xdr:col>9</xdr:col>
                    <xdr:colOff>838200</xdr:colOff>
                    <xdr:row>114</xdr:row>
                    <xdr:rowOff>0</xdr:rowOff>
                  </to>
                </anchor>
              </controlPr>
            </control>
          </mc:Choice>
        </mc:AlternateContent>
        <mc:AlternateContent xmlns:mc="http://schemas.openxmlformats.org/markup-compatibility/2006">
          <mc:Choice Requires="x14">
            <control shapeId="13410" r:id="rId49" name="Drop Down 98">
              <controlPr defaultSize="0" autoLine="0" autoPict="0">
                <anchor moveWithCells="1">
                  <from>
                    <xdr:col>8</xdr:col>
                    <xdr:colOff>28575</xdr:colOff>
                    <xdr:row>113</xdr:row>
                    <xdr:rowOff>9525</xdr:rowOff>
                  </from>
                  <to>
                    <xdr:col>9</xdr:col>
                    <xdr:colOff>0</xdr:colOff>
                    <xdr:row>114</xdr:row>
                    <xdr:rowOff>0</xdr:rowOff>
                  </to>
                </anchor>
              </controlPr>
            </control>
          </mc:Choice>
        </mc:AlternateContent>
        <mc:AlternateContent xmlns:mc="http://schemas.openxmlformats.org/markup-compatibility/2006">
          <mc:Choice Requires="x14">
            <control shapeId="13411" r:id="rId50" name="Drop Down 99">
              <controlPr defaultSize="0" autoLine="0" autoPict="0">
                <anchor moveWithCells="1">
                  <from>
                    <xdr:col>9</xdr:col>
                    <xdr:colOff>19050</xdr:colOff>
                    <xdr:row>114</xdr:row>
                    <xdr:rowOff>9525</xdr:rowOff>
                  </from>
                  <to>
                    <xdr:col>9</xdr:col>
                    <xdr:colOff>838200</xdr:colOff>
                    <xdr:row>115</xdr:row>
                    <xdr:rowOff>0</xdr:rowOff>
                  </to>
                </anchor>
              </controlPr>
            </control>
          </mc:Choice>
        </mc:AlternateContent>
        <mc:AlternateContent xmlns:mc="http://schemas.openxmlformats.org/markup-compatibility/2006">
          <mc:Choice Requires="x14">
            <control shapeId="13412" r:id="rId51" name="Drop Down 100">
              <controlPr defaultSize="0" autoLine="0" autoPict="0">
                <anchor moveWithCells="1">
                  <from>
                    <xdr:col>8</xdr:col>
                    <xdr:colOff>28575</xdr:colOff>
                    <xdr:row>114</xdr:row>
                    <xdr:rowOff>9525</xdr:rowOff>
                  </from>
                  <to>
                    <xdr:col>8</xdr:col>
                    <xdr:colOff>847725</xdr:colOff>
                    <xdr:row>115</xdr:row>
                    <xdr:rowOff>0</xdr:rowOff>
                  </to>
                </anchor>
              </controlPr>
            </control>
          </mc:Choice>
        </mc:AlternateContent>
        <mc:AlternateContent xmlns:mc="http://schemas.openxmlformats.org/markup-compatibility/2006">
          <mc:Choice Requires="x14">
            <control shapeId="13413" r:id="rId52" name="Drop Down 101">
              <controlPr defaultSize="0" autoLine="0" autoPict="0">
                <anchor moveWithCells="1">
                  <from>
                    <xdr:col>9</xdr:col>
                    <xdr:colOff>19050</xdr:colOff>
                    <xdr:row>115</xdr:row>
                    <xdr:rowOff>9525</xdr:rowOff>
                  </from>
                  <to>
                    <xdr:col>9</xdr:col>
                    <xdr:colOff>838200</xdr:colOff>
                    <xdr:row>116</xdr:row>
                    <xdr:rowOff>0</xdr:rowOff>
                  </to>
                </anchor>
              </controlPr>
            </control>
          </mc:Choice>
        </mc:AlternateContent>
        <mc:AlternateContent xmlns:mc="http://schemas.openxmlformats.org/markup-compatibility/2006">
          <mc:Choice Requires="x14">
            <control shapeId="13414" r:id="rId53" name="Drop Down 102">
              <controlPr defaultSize="0" autoLine="0" autoPict="0">
                <anchor moveWithCells="1">
                  <from>
                    <xdr:col>8</xdr:col>
                    <xdr:colOff>28575</xdr:colOff>
                    <xdr:row>115</xdr:row>
                    <xdr:rowOff>9525</xdr:rowOff>
                  </from>
                  <to>
                    <xdr:col>8</xdr:col>
                    <xdr:colOff>847725</xdr:colOff>
                    <xdr:row>116</xdr:row>
                    <xdr:rowOff>0</xdr:rowOff>
                  </to>
                </anchor>
              </controlPr>
            </control>
          </mc:Choice>
        </mc:AlternateContent>
        <mc:AlternateContent xmlns:mc="http://schemas.openxmlformats.org/markup-compatibility/2006">
          <mc:Choice Requires="x14">
            <control shapeId="13415" r:id="rId54" name="Drop Down 103">
              <controlPr defaultSize="0" autoLine="0" autoPict="0">
                <anchor moveWithCells="1">
                  <from>
                    <xdr:col>9</xdr:col>
                    <xdr:colOff>19050</xdr:colOff>
                    <xdr:row>116</xdr:row>
                    <xdr:rowOff>9525</xdr:rowOff>
                  </from>
                  <to>
                    <xdr:col>9</xdr:col>
                    <xdr:colOff>838200</xdr:colOff>
                    <xdr:row>117</xdr:row>
                    <xdr:rowOff>0</xdr:rowOff>
                  </to>
                </anchor>
              </controlPr>
            </control>
          </mc:Choice>
        </mc:AlternateContent>
        <mc:AlternateContent xmlns:mc="http://schemas.openxmlformats.org/markup-compatibility/2006">
          <mc:Choice Requires="x14">
            <control shapeId="13416" r:id="rId55" name="Drop Down 104">
              <controlPr defaultSize="0" autoLine="0" autoPict="0">
                <anchor moveWithCells="1">
                  <from>
                    <xdr:col>8</xdr:col>
                    <xdr:colOff>28575</xdr:colOff>
                    <xdr:row>116</xdr:row>
                    <xdr:rowOff>9525</xdr:rowOff>
                  </from>
                  <to>
                    <xdr:col>8</xdr:col>
                    <xdr:colOff>847725</xdr:colOff>
                    <xdr:row>117</xdr:row>
                    <xdr:rowOff>0</xdr:rowOff>
                  </to>
                </anchor>
              </controlPr>
            </control>
          </mc:Choice>
        </mc:AlternateContent>
        <mc:AlternateContent xmlns:mc="http://schemas.openxmlformats.org/markup-compatibility/2006">
          <mc:Choice Requires="x14">
            <control shapeId="13417" r:id="rId56" name="Drop Down 105">
              <controlPr defaultSize="0" autoLine="0" autoPict="0">
                <anchor moveWithCells="1">
                  <from>
                    <xdr:col>9</xdr:col>
                    <xdr:colOff>19050</xdr:colOff>
                    <xdr:row>117</xdr:row>
                    <xdr:rowOff>9525</xdr:rowOff>
                  </from>
                  <to>
                    <xdr:col>9</xdr:col>
                    <xdr:colOff>838200</xdr:colOff>
                    <xdr:row>118</xdr:row>
                    <xdr:rowOff>0</xdr:rowOff>
                  </to>
                </anchor>
              </controlPr>
            </control>
          </mc:Choice>
        </mc:AlternateContent>
        <mc:AlternateContent xmlns:mc="http://schemas.openxmlformats.org/markup-compatibility/2006">
          <mc:Choice Requires="x14">
            <control shapeId="13418" r:id="rId57" name="Drop Down 106">
              <controlPr defaultSize="0" autoLine="0" autoPict="0">
                <anchor moveWithCells="1">
                  <from>
                    <xdr:col>8</xdr:col>
                    <xdr:colOff>28575</xdr:colOff>
                    <xdr:row>117</xdr:row>
                    <xdr:rowOff>9525</xdr:rowOff>
                  </from>
                  <to>
                    <xdr:col>9</xdr:col>
                    <xdr:colOff>0</xdr:colOff>
                    <xdr:row>118</xdr:row>
                    <xdr:rowOff>0</xdr:rowOff>
                  </to>
                </anchor>
              </controlPr>
            </control>
          </mc:Choice>
        </mc:AlternateContent>
        <mc:AlternateContent xmlns:mc="http://schemas.openxmlformats.org/markup-compatibility/2006">
          <mc:Choice Requires="x14">
            <control shapeId="13419" r:id="rId58" name="Drop Down 107">
              <controlPr defaultSize="0" autoLine="0" autoPict="0">
                <anchor moveWithCells="1">
                  <from>
                    <xdr:col>9</xdr:col>
                    <xdr:colOff>19050</xdr:colOff>
                    <xdr:row>118</xdr:row>
                    <xdr:rowOff>9525</xdr:rowOff>
                  </from>
                  <to>
                    <xdr:col>9</xdr:col>
                    <xdr:colOff>838200</xdr:colOff>
                    <xdr:row>119</xdr:row>
                    <xdr:rowOff>0</xdr:rowOff>
                  </to>
                </anchor>
              </controlPr>
            </control>
          </mc:Choice>
        </mc:AlternateContent>
        <mc:AlternateContent xmlns:mc="http://schemas.openxmlformats.org/markup-compatibility/2006">
          <mc:Choice Requires="x14">
            <control shapeId="13420" r:id="rId59" name="Drop Down 108">
              <controlPr defaultSize="0" autoLine="0" autoPict="0">
                <anchor moveWithCells="1">
                  <from>
                    <xdr:col>8</xdr:col>
                    <xdr:colOff>28575</xdr:colOff>
                    <xdr:row>118</xdr:row>
                    <xdr:rowOff>9525</xdr:rowOff>
                  </from>
                  <to>
                    <xdr:col>9</xdr:col>
                    <xdr:colOff>0</xdr:colOff>
                    <xdr:row>119</xdr:row>
                    <xdr:rowOff>0</xdr:rowOff>
                  </to>
                </anchor>
              </controlPr>
            </control>
          </mc:Choice>
        </mc:AlternateContent>
        <mc:AlternateContent xmlns:mc="http://schemas.openxmlformats.org/markup-compatibility/2006">
          <mc:Choice Requires="x14">
            <control shapeId="13421" r:id="rId60" name="Drop Down 109">
              <controlPr defaultSize="0" autoLine="0" autoPict="0">
                <anchor moveWithCells="1">
                  <from>
                    <xdr:col>4</xdr:col>
                    <xdr:colOff>19050</xdr:colOff>
                    <xdr:row>93</xdr:row>
                    <xdr:rowOff>9525</xdr:rowOff>
                  </from>
                  <to>
                    <xdr:col>4</xdr:col>
                    <xdr:colOff>838200</xdr:colOff>
                    <xdr:row>94</xdr:row>
                    <xdr:rowOff>0</xdr:rowOff>
                  </to>
                </anchor>
              </controlPr>
            </control>
          </mc:Choice>
        </mc:AlternateContent>
        <mc:AlternateContent xmlns:mc="http://schemas.openxmlformats.org/markup-compatibility/2006">
          <mc:Choice Requires="x14">
            <control shapeId="13422" r:id="rId61" name="Drop Down 110">
              <controlPr defaultSize="0" autoLine="0" autoPict="0">
                <anchor moveWithCells="1">
                  <from>
                    <xdr:col>3</xdr:col>
                    <xdr:colOff>28575</xdr:colOff>
                    <xdr:row>93</xdr:row>
                    <xdr:rowOff>9525</xdr:rowOff>
                  </from>
                  <to>
                    <xdr:col>4</xdr:col>
                    <xdr:colOff>0</xdr:colOff>
                    <xdr:row>94</xdr:row>
                    <xdr:rowOff>0</xdr:rowOff>
                  </to>
                </anchor>
              </controlPr>
            </control>
          </mc:Choice>
        </mc:AlternateContent>
        <mc:AlternateContent xmlns:mc="http://schemas.openxmlformats.org/markup-compatibility/2006">
          <mc:Choice Requires="x14">
            <control shapeId="13423" r:id="rId62" name="Drop Down 111">
              <controlPr defaultSize="0" autoLine="0" autoPict="0">
                <anchor moveWithCells="1">
                  <from>
                    <xdr:col>4</xdr:col>
                    <xdr:colOff>19050</xdr:colOff>
                    <xdr:row>94</xdr:row>
                    <xdr:rowOff>9525</xdr:rowOff>
                  </from>
                  <to>
                    <xdr:col>4</xdr:col>
                    <xdr:colOff>838200</xdr:colOff>
                    <xdr:row>95</xdr:row>
                    <xdr:rowOff>0</xdr:rowOff>
                  </to>
                </anchor>
              </controlPr>
            </control>
          </mc:Choice>
        </mc:AlternateContent>
        <mc:AlternateContent xmlns:mc="http://schemas.openxmlformats.org/markup-compatibility/2006">
          <mc:Choice Requires="x14">
            <control shapeId="13424" r:id="rId63" name="Drop Down 112">
              <controlPr defaultSize="0" autoLine="0" autoPict="0">
                <anchor moveWithCells="1">
                  <from>
                    <xdr:col>3</xdr:col>
                    <xdr:colOff>28575</xdr:colOff>
                    <xdr:row>94</xdr:row>
                    <xdr:rowOff>9525</xdr:rowOff>
                  </from>
                  <to>
                    <xdr:col>4</xdr:col>
                    <xdr:colOff>0</xdr:colOff>
                    <xdr:row>95</xdr:row>
                    <xdr:rowOff>0</xdr:rowOff>
                  </to>
                </anchor>
              </controlPr>
            </control>
          </mc:Choice>
        </mc:AlternateContent>
        <mc:AlternateContent xmlns:mc="http://schemas.openxmlformats.org/markup-compatibility/2006">
          <mc:Choice Requires="x14">
            <control shapeId="13425" r:id="rId64" name="Drop Down 113">
              <controlPr defaultSize="0" autoLine="0" autoPict="0">
                <anchor moveWithCells="1">
                  <from>
                    <xdr:col>4</xdr:col>
                    <xdr:colOff>19050</xdr:colOff>
                    <xdr:row>95</xdr:row>
                    <xdr:rowOff>9525</xdr:rowOff>
                  </from>
                  <to>
                    <xdr:col>4</xdr:col>
                    <xdr:colOff>838200</xdr:colOff>
                    <xdr:row>96</xdr:row>
                    <xdr:rowOff>0</xdr:rowOff>
                  </to>
                </anchor>
              </controlPr>
            </control>
          </mc:Choice>
        </mc:AlternateContent>
        <mc:AlternateContent xmlns:mc="http://schemas.openxmlformats.org/markup-compatibility/2006">
          <mc:Choice Requires="x14">
            <control shapeId="13426" r:id="rId65" name="Drop Down 114">
              <controlPr defaultSize="0" autoLine="0" autoPict="0">
                <anchor moveWithCells="1">
                  <from>
                    <xdr:col>3</xdr:col>
                    <xdr:colOff>28575</xdr:colOff>
                    <xdr:row>95</xdr:row>
                    <xdr:rowOff>9525</xdr:rowOff>
                  </from>
                  <to>
                    <xdr:col>4</xdr:col>
                    <xdr:colOff>0</xdr:colOff>
                    <xdr:row>96</xdr:row>
                    <xdr:rowOff>0</xdr:rowOff>
                  </to>
                </anchor>
              </controlPr>
            </control>
          </mc:Choice>
        </mc:AlternateContent>
        <mc:AlternateContent xmlns:mc="http://schemas.openxmlformats.org/markup-compatibility/2006">
          <mc:Choice Requires="x14">
            <control shapeId="13427" r:id="rId66" name="Drop Down 115">
              <controlPr defaultSize="0" autoLine="0" autoPict="0">
                <anchor moveWithCells="1">
                  <from>
                    <xdr:col>4</xdr:col>
                    <xdr:colOff>19050</xdr:colOff>
                    <xdr:row>96</xdr:row>
                    <xdr:rowOff>9525</xdr:rowOff>
                  </from>
                  <to>
                    <xdr:col>4</xdr:col>
                    <xdr:colOff>838200</xdr:colOff>
                    <xdr:row>97</xdr:row>
                    <xdr:rowOff>0</xdr:rowOff>
                  </to>
                </anchor>
              </controlPr>
            </control>
          </mc:Choice>
        </mc:AlternateContent>
        <mc:AlternateContent xmlns:mc="http://schemas.openxmlformats.org/markup-compatibility/2006">
          <mc:Choice Requires="x14">
            <control shapeId="13428" r:id="rId67" name="Drop Down 116">
              <controlPr defaultSize="0" autoLine="0" autoPict="0">
                <anchor moveWithCells="1">
                  <from>
                    <xdr:col>3</xdr:col>
                    <xdr:colOff>28575</xdr:colOff>
                    <xdr:row>96</xdr:row>
                    <xdr:rowOff>9525</xdr:rowOff>
                  </from>
                  <to>
                    <xdr:col>4</xdr:col>
                    <xdr:colOff>0</xdr:colOff>
                    <xdr:row>97</xdr:row>
                    <xdr:rowOff>0</xdr:rowOff>
                  </to>
                </anchor>
              </controlPr>
            </control>
          </mc:Choice>
        </mc:AlternateContent>
        <mc:AlternateContent xmlns:mc="http://schemas.openxmlformats.org/markup-compatibility/2006">
          <mc:Choice Requires="x14">
            <control shapeId="13429" r:id="rId68" name="Drop Down 117">
              <controlPr defaultSize="0" autoLine="0" autoPict="0">
                <anchor moveWithCells="1">
                  <from>
                    <xdr:col>4</xdr:col>
                    <xdr:colOff>19050</xdr:colOff>
                    <xdr:row>100</xdr:row>
                    <xdr:rowOff>9525</xdr:rowOff>
                  </from>
                  <to>
                    <xdr:col>4</xdr:col>
                    <xdr:colOff>838200</xdr:colOff>
                    <xdr:row>101</xdr:row>
                    <xdr:rowOff>0</xdr:rowOff>
                  </to>
                </anchor>
              </controlPr>
            </control>
          </mc:Choice>
        </mc:AlternateContent>
        <mc:AlternateContent xmlns:mc="http://schemas.openxmlformats.org/markup-compatibility/2006">
          <mc:Choice Requires="x14">
            <control shapeId="13430" r:id="rId69" name="Drop Down 118">
              <controlPr defaultSize="0" autoLine="0" autoPict="0">
                <anchor moveWithCells="1">
                  <from>
                    <xdr:col>3</xdr:col>
                    <xdr:colOff>28575</xdr:colOff>
                    <xdr:row>100</xdr:row>
                    <xdr:rowOff>9525</xdr:rowOff>
                  </from>
                  <to>
                    <xdr:col>4</xdr:col>
                    <xdr:colOff>0</xdr:colOff>
                    <xdr:row>101</xdr:row>
                    <xdr:rowOff>0</xdr:rowOff>
                  </to>
                </anchor>
              </controlPr>
            </control>
          </mc:Choice>
        </mc:AlternateContent>
        <mc:AlternateContent xmlns:mc="http://schemas.openxmlformats.org/markup-compatibility/2006">
          <mc:Choice Requires="x14">
            <control shapeId="13431" r:id="rId70" name="Drop Down 119">
              <controlPr defaultSize="0" autoLine="0" autoPict="0">
                <anchor moveWithCells="1">
                  <from>
                    <xdr:col>4</xdr:col>
                    <xdr:colOff>19050</xdr:colOff>
                    <xdr:row>101</xdr:row>
                    <xdr:rowOff>9525</xdr:rowOff>
                  </from>
                  <to>
                    <xdr:col>4</xdr:col>
                    <xdr:colOff>838200</xdr:colOff>
                    <xdr:row>102</xdr:row>
                    <xdr:rowOff>0</xdr:rowOff>
                  </to>
                </anchor>
              </controlPr>
            </control>
          </mc:Choice>
        </mc:AlternateContent>
        <mc:AlternateContent xmlns:mc="http://schemas.openxmlformats.org/markup-compatibility/2006">
          <mc:Choice Requires="x14">
            <control shapeId="13432" r:id="rId71" name="Drop Down 120">
              <controlPr defaultSize="0" autoLine="0" autoPict="0">
                <anchor moveWithCells="1">
                  <from>
                    <xdr:col>3</xdr:col>
                    <xdr:colOff>28575</xdr:colOff>
                    <xdr:row>101</xdr:row>
                    <xdr:rowOff>9525</xdr:rowOff>
                  </from>
                  <to>
                    <xdr:col>4</xdr:col>
                    <xdr:colOff>0</xdr:colOff>
                    <xdr:row>102</xdr:row>
                    <xdr:rowOff>0</xdr:rowOff>
                  </to>
                </anchor>
              </controlPr>
            </control>
          </mc:Choice>
        </mc:AlternateContent>
        <mc:AlternateContent xmlns:mc="http://schemas.openxmlformats.org/markup-compatibility/2006">
          <mc:Choice Requires="x14">
            <control shapeId="13433" r:id="rId72" name="Drop Down 121">
              <controlPr defaultSize="0" autoLine="0" autoPict="0">
                <anchor moveWithCells="1">
                  <from>
                    <xdr:col>4</xdr:col>
                    <xdr:colOff>19050</xdr:colOff>
                    <xdr:row>102</xdr:row>
                    <xdr:rowOff>9525</xdr:rowOff>
                  </from>
                  <to>
                    <xdr:col>4</xdr:col>
                    <xdr:colOff>838200</xdr:colOff>
                    <xdr:row>103</xdr:row>
                    <xdr:rowOff>0</xdr:rowOff>
                  </to>
                </anchor>
              </controlPr>
            </control>
          </mc:Choice>
        </mc:AlternateContent>
        <mc:AlternateContent xmlns:mc="http://schemas.openxmlformats.org/markup-compatibility/2006">
          <mc:Choice Requires="x14">
            <control shapeId="13434" r:id="rId73" name="Drop Down 122">
              <controlPr defaultSize="0" autoLine="0" autoPict="0">
                <anchor moveWithCells="1">
                  <from>
                    <xdr:col>3</xdr:col>
                    <xdr:colOff>28575</xdr:colOff>
                    <xdr:row>102</xdr:row>
                    <xdr:rowOff>9525</xdr:rowOff>
                  </from>
                  <to>
                    <xdr:col>4</xdr:col>
                    <xdr:colOff>0</xdr:colOff>
                    <xdr:row>103</xdr:row>
                    <xdr:rowOff>0</xdr:rowOff>
                  </to>
                </anchor>
              </controlPr>
            </control>
          </mc:Choice>
        </mc:AlternateContent>
        <mc:AlternateContent xmlns:mc="http://schemas.openxmlformats.org/markup-compatibility/2006">
          <mc:Choice Requires="x14">
            <control shapeId="13435" r:id="rId74" name="Drop Down 123">
              <controlPr defaultSize="0" autoLine="0" autoPict="0">
                <anchor moveWithCells="1">
                  <from>
                    <xdr:col>4</xdr:col>
                    <xdr:colOff>19050</xdr:colOff>
                    <xdr:row>103</xdr:row>
                    <xdr:rowOff>9525</xdr:rowOff>
                  </from>
                  <to>
                    <xdr:col>4</xdr:col>
                    <xdr:colOff>838200</xdr:colOff>
                    <xdr:row>104</xdr:row>
                    <xdr:rowOff>0</xdr:rowOff>
                  </to>
                </anchor>
              </controlPr>
            </control>
          </mc:Choice>
        </mc:AlternateContent>
        <mc:AlternateContent xmlns:mc="http://schemas.openxmlformats.org/markup-compatibility/2006">
          <mc:Choice Requires="x14">
            <control shapeId="13436" r:id="rId75" name="Drop Down 124">
              <controlPr defaultSize="0" autoLine="0" autoPict="0">
                <anchor moveWithCells="1">
                  <from>
                    <xdr:col>3</xdr:col>
                    <xdr:colOff>28575</xdr:colOff>
                    <xdr:row>103</xdr:row>
                    <xdr:rowOff>9525</xdr:rowOff>
                  </from>
                  <to>
                    <xdr:col>4</xdr:col>
                    <xdr:colOff>0</xdr:colOff>
                    <xdr:row>104</xdr:row>
                    <xdr:rowOff>0</xdr:rowOff>
                  </to>
                </anchor>
              </controlPr>
            </control>
          </mc:Choice>
        </mc:AlternateContent>
        <mc:AlternateContent xmlns:mc="http://schemas.openxmlformats.org/markup-compatibility/2006">
          <mc:Choice Requires="x14">
            <control shapeId="13437" r:id="rId76" name="Drop Down 125">
              <controlPr defaultSize="0" autoLine="0" autoPict="0">
                <anchor moveWithCells="1">
                  <from>
                    <xdr:col>4</xdr:col>
                    <xdr:colOff>19050</xdr:colOff>
                    <xdr:row>104</xdr:row>
                    <xdr:rowOff>9525</xdr:rowOff>
                  </from>
                  <to>
                    <xdr:col>4</xdr:col>
                    <xdr:colOff>838200</xdr:colOff>
                    <xdr:row>105</xdr:row>
                    <xdr:rowOff>0</xdr:rowOff>
                  </to>
                </anchor>
              </controlPr>
            </control>
          </mc:Choice>
        </mc:AlternateContent>
        <mc:AlternateContent xmlns:mc="http://schemas.openxmlformats.org/markup-compatibility/2006">
          <mc:Choice Requires="x14">
            <control shapeId="13438" r:id="rId77" name="Drop Down 126">
              <controlPr defaultSize="0" autoLine="0" autoPict="0">
                <anchor moveWithCells="1">
                  <from>
                    <xdr:col>3</xdr:col>
                    <xdr:colOff>28575</xdr:colOff>
                    <xdr:row>104</xdr:row>
                    <xdr:rowOff>9525</xdr:rowOff>
                  </from>
                  <to>
                    <xdr:col>4</xdr:col>
                    <xdr:colOff>0</xdr:colOff>
                    <xdr:row>105</xdr:row>
                    <xdr:rowOff>0</xdr:rowOff>
                  </to>
                </anchor>
              </controlPr>
            </control>
          </mc:Choice>
        </mc:AlternateContent>
        <mc:AlternateContent xmlns:mc="http://schemas.openxmlformats.org/markup-compatibility/2006">
          <mc:Choice Requires="x14">
            <control shapeId="13439" r:id="rId78" name="Drop Down 127">
              <controlPr defaultSize="0" autoLine="0" autoPict="0">
                <anchor moveWithCells="1">
                  <from>
                    <xdr:col>4</xdr:col>
                    <xdr:colOff>19050</xdr:colOff>
                    <xdr:row>105</xdr:row>
                    <xdr:rowOff>9525</xdr:rowOff>
                  </from>
                  <to>
                    <xdr:col>4</xdr:col>
                    <xdr:colOff>838200</xdr:colOff>
                    <xdr:row>106</xdr:row>
                    <xdr:rowOff>0</xdr:rowOff>
                  </to>
                </anchor>
              </controlPr>
            </control>
          </mc:Choice>
        </mc:AlternateContent>
        <mc:AlternateContent xmlns:mc="http://schemas.openxmlformats.org/markup-compatibility/2006">
          <mc:Choice Requires="x14">
            <control shapeId="13440" r:id="rId79" name="Drop Down 128">
              <controlPr defaultSize="0" autoLine="0" autoPict="0">
                <anchor moveWithCells="1">
                  <from>
                    <xdr:col>3</xdr:col>
                    <xdr:colOff>28575</xdr:colOff>
                    <xdr:row>105</xdr:row>
                    <xdr:rowOff>9525</xdr:rowOff>
                  </from>
                  <to>
                    <xdr:col>4</xdr:col>
                    <xdr:colOff>0</xdr:colOff>
                    <xdr:row>106</xdr:row>
                    <xdr:rowOff>0</xdr:rowOff>
                  </to>
                </anchor>
              </controlPr>
            </control>
          </mc:Choice>
        </mc:AlternateContent>
        <mc:AlternateContent xmlns:mc="http://schemas.openxmlformats.org/markup-compatibility/2006">
          <mc:Choice Requires="x14">
            <control shapeId="13441" r:id="rId80" name="Drop Down 129">
              <controlPr defaultSize="0" autoLine="0" autoPict="0">
                <anchor moveWithCells="1">
                  <from>
                    <xdr:col>9</xdr:col>
                    <xdr:colOff>19050</xdr:colOff>
                    <xdr:row>123</xdr:row>
                    <xdr:rowOff>9525</xdr:rowOff>
                  </from>
                  <to>
                    <xdr:col>9</xdr:col>
                    <xdr:colOff>838200</xdr:colOff>
                    <xdr:row>124</xdr:row>
                    <xdr:rowOff>0</xdr:rowOff>
                  </to>
                </anchor>
              </controlPr>
            </control>
          </mc:Choice>
        </mc:AlternateContent>
        <mc:AlternateContent xmlns:mc="http://schemas.openxmlformats.org/markup-compatibility/2006">
          <mc:Choice Requires="x14">
            <control shapeId="13442" r:id="rId81" name="Drop Down 130">
              <controlPr defaultSize="0" autoLine="0" autoPict="0">
                <anchor moveWithCells="1">
                  <from>
                    <xdr:col>8</xdr:col>
                    <xdr:colOff>28575</xdr:colOff>
                    <xdr:row>123</xdr:row>
                    <xdr:rowOff>9525</xdr:rowOff>
                  </from>
                  <to>
                    <xdr:col>8</xdr:col>
                    <xdr:colOff>847725</xdr:colOff>
                    <xdr:row>124</xdr:row>
                    <xdr:rowOff>0</xdr:rowOff>
                  </to>
                </anchor>
              </controlPr>
            </control>
          </mc:Choice>
        </mc:AlternateContent>
        <mc:AlternateContent xmlns:mc="http://schemas.openxmlformats.org/markup-compatibility/2006">
          <mc:Choice Requires="x14">
            <control shapeId="13443" r:id="rId82" name="Drop Down 131">
              <controlPr defaultSize="0" autoLine="0" autoPict="0">
                <anchor moveWithCells="1">
                  <from>
                    <xdr:col>9</xdr:col>
                    <xdr:colOff>19050</xdr:colOff>
                    <xdr:row>124</xdr:row>
                    <xdr:rowOff>9525</xdr:rowOff>
                  </from>
                  <to>
                    <xdr:col>9</xdr:col>
                    <xdr:colOff>838200</xdr:colOff>
                    <xdr:row>125</xdr:row>
                    <xdr:rowOff>0</xdr:rowOff>
                  </to>
                </anchor>
              </controlPr>
            </control>
          </mc:Choice>
        </mc:AlternateContent>
        <mc:AlternateContent xmlns:mc="http://schemas.openxmlformats.org/markup-compatibility/2006">
          <mc:Choice Requires="x14">
            <control shapeId="13444" r:id="rId83" name="Drop Down 132">
              <controlPr defaultSize="0" autoLine="0" autoPict="0">
                <anchor moveWithCells="1">
                  <from>
                    <xdr:col>8</xdr:col>
                    <xdr:colOff>28575</xdr:colOff>
                    <xdr:row>124</xdr:row>
                    <xdr:rowOff>9525</xdr:rowOff>
                  </from>
                  <to>
                    <xdr:col>8</xdr:col>
                    <xdr:colOff>847725</xdr:colOff>
                    <xdr:row>125</xdr:row>
                    <xdr:rowOff>0</xdr:rowOff>
                  </to>
                </anchor>
              </controlPr>
            </control>
          </mc:Choice>
        </mc:AlternateContent>
        <mc:AlternateContent xmlns:mc="http://schemas.openxmlformats.org/markup-compatibility/2006">
          <mc:Choice Requires="x14">
            <control shapeId="13445" r:id="rId84" name="Drop Down 133">
              <controlPr defaultSize="0" autoLine="0" autoPict="0">
                <anchor moveWithCells="1">
                  <from>
                    <xdr:col>9</xdr:col>
                    <xdr:colOff>19050</xdr:colOff>
                    <xdr:row>125</xdr:row>
                    <xdr:rowOff>9525</xdr:rowOff>
                  </from>
                  <to>
                    <xdr:col>9</xdr:col>
                    <xdr:colOff>838200</xdr:colOff>
                    <xdr:row>126</xdr:row>
                    <xdr:rowOff>0</xdr:rowOff>
                  </to>
                </anchor>
              </controlPr>
            </control>
          </mc:Choice>
        </mc:AlternateContent>
        <mc:AlternateContent xmlns:mc="http://schemas.openxmlformats.org/markup-compatibility/2006">
          <mc:Choice Requires="x14">
            <control shapeId="13446" r:id="rId85" name="Drop Down 134">
              <controlPr defaultSize="0" autoLine="0" autoPict="0">
                <anchor moveWithCells="1">
                  <from>
                    <xdr:col>8</xdr:col>
                    <xdr:colOff>28575</xdr:colOff>
                    <xdr:row>125</xdr:row>
                    <xdr:rowOff>9525</xdr:rowOff>
                  </from>
                  <to>
                    <xdr:col>8</xdr:col>
                    <xdr:colOff>847725</xdr:colOff>
                    <xdr:row>126</xdr:row>
                    <xdr:rowOff>0</xdr:rowOff>
                  </to>
                </anchor>
              </controlPr>
            </control>
          </mc:Choice>
        </mc:AlternateContent>
        <mc:AlternateContent xmlns:mc="http://schemas.openxmlformats.org/markup-compatibility/2006">
          <mc:Choice Requires="x14">
            <control shapeId="13447" r:id="rId86" name="Drop Down 135">
              <controlPr defaultSize="0" autoLine="0" autoPict="0">
                <anchor moveWithCells="1">
                  <from>
                    <xdr:col>9</xdr:col>
                    <xdr:colOff>19050</xdr:colOff>
                    <xdr:row>126</xdr:row>
                    <xdr:rowOff>9525</xdr:rowOff>
                  </from>
                  <to>
                    <xdr:col>9</xdr:col>
                    <xdr:colOff>838200</xdr:colOff>
                    <xdr:row>127</xdr:row>
                    <xdr:rowOff>0</xdr:rowOff>
                  </to>
                </anchor>
              </controlPr>
            </control>
          </mc:Choice>
        </mc:AlternateContent>
        <mc:AlternateContent xmlns:mc="http://schemas.openxmlformats.org/markup-compatibility/2006">
          <mc:Choice Requires="x14">
            <control shapeId="13448" r:id="rId87" name="Drop Down 136">
              <controlPr defaultSize="0" autoLine="0" autoPict="0">
                <anchor moveWithCells="1">
                  <from>
                    <xdr:col>8</xdr:col>
                    <xdr:colOff>28575</xdr:colOff>
                    <xdr:row>126</xdr:row>
                    <xdr:rowOff>9525</xdr:rowOff>
                  </from>
                  <to>
                    <xdr:col>8</xdr:col>
                    <xdr:colOff>847725</xdr:colOff>
                    <xdr:row>127</xdr:row>
                    <xdr:rowOff>0</xdr:rowOff>
                  </to>
                </anchor>
              </controlPr>
            </control>
          </mc:Choice>
        </mc:AlternateContent>
        <mc:AlternateContent xmlns:mc="http://schemas.openxmlformats.org/markup-compatibility/2006">
          <mc:Choice Requires="x14">
            <control shapeId="13449" r:id="rId88" name="Drop Down 137">
              <controlPr defaultSize="0" autoLine="0" autoPict="0">
                <anchor moveWithCells="1">
                  <from>
                    <xdr:col>9</xdr:col>
                    <xdr:colOff>19050</xdr:colOff>
                    <xdr:row>127</xdr:row>
                    <xdr:rowOff>9525</xdr:rowOff>
                  </from>
                  <to>
                    <xdr:col>9</xdr:col>
                    <xdr:colOff>838200</xdr:colOff>
                    <xdr:row>128</xdr:row>
                    <xdr:rowOff>0</xdr:rowOff>
                  </to>
                </anchor>
              </controlPr>
            </control>
          </mc:Choice>
        </mc:AlternateContent>
        <mc:AlternateContent xmlns:mc="http://schemas.openxmlformats.org/markup-compatibility/2006">
          <mc:Choice Requires="x14">
            <control shapeId="13450" r:id="rId89" name="Drop Down 138">
              <controlPr defaultSize="0" autoLine="0" autoPict="0">
                <anchor moveWithCells="1">
                  <from>
                    <xdr:col>8</xdr:col>
                    <xdr:colOff>28575</xdr:colOff>
                    <xdr:row>127</xdr:row>
                    <xdr:rowOff>9525</xdr:rowOff>
                  </from>
                  <to>
                    <xdr:col>8</xdr:col>
                    <xdr:colOff>847725</xdr:colOff>
                    <xdr:row>128</xdr:row>
                    <xdr:rowOff>0</xdr:rowOff>
                  </to>
                </anchor>
              </controlPr>
            </control>
          </mc:Choice>
        </mc:AlternateContent>
        <mc:AlternateContent xmlns:mc="http://schemas.openxmlformats.org/markup-compatibility/2006">
          <mc:Choice Requires="x14">
            <control shapeId="13451" r:id="rId90" name="Drop Down 139">
              <controlPr defaultSize="0" autoLine="0" autoPict="0">
                <anchor moveWithCells="1">
                  <from>
                    <xdr:col>9</xdr:col>
                    <xdr:colOff>19050</xdr:colOff>
                    <xdr:row>128</xdr:row>
                    <xdr:rowOff>9525</xdr:rowOff>
                  </from>
                  <to>
                    <xdr:col>9</xdr:col>
                    <xdr:colOff>838200</xdr:colOff>
                    <xdr:row>129</xdr:row>
                    <xdr:rowOff>0</xdr:rowOff>
                  </to>
                </anchor>
              </controlPr>
            </control>
          </mc:Choice>
        </mc:AlternateContent>
        <mc:AlternateContent xmlns:mc="http://schemas.openxmlformats.org/markup-compatibility/2006">
          <mc:Choice Requires="x14">
            <control shapeId="13452" r:id="rId91" name="Drop Down 140">
              <controlPr defaultSize="0" autoLine="0" autoPict="0">
                <anchor moveWithCells="1">
                  <from>
                    <xdr:col>8</xdr:col>
                    <xdr:colOff>28575</xdr:colOff>
                    <xdr:row>128</xdr:row>
                    <xdr:rowOff>9525</xdr:rowOff>
                  </from>
                  <to>
                    <xdr:col>8</xdr:col>
                    <xdr:colOff>847725</xdr:colOff>
                    <xdr:row>129</xdr:row>
                    <xdr:rowOff>0</xdr:rowOff>
                  </to>
                </anchor>
              </controlPr>
            </control>
          </mc:Choice>
        </mc:AlternateContent>
        <mc:AlternateContent xmlns:mc="http://schemas.openxmlformats.org/markup-compatibility/2006">
          <mc:Choice Requires="x14">
            <control shapeId="13495" r:id="rId92" name="Drop Down 183">
              <controlPr defaultSize="0" autoLine="0" autoPict="0">
                <anchor moveWithCells="1">
                  <from>
                    <xdr:col>9</xdr:col>
                    <xdr:colOff>19050</xdr:colOff>
                    <xdr:row>134</xdr:row>
                    <xdr:rowOff>9525</xdr:rowOff>
                  </from>
                  <to>
                    <xdr:col>9</xdr:col>
                    <xdr:colOff>838200</xdr:colOff>
                    <xdr:row>135</xdr:row>
                    <xdr:rowOff>0</xdr:rowOff>
                  </to>
                </anchor>
              </controlPr>
            </control>
          </mc:Choice>
        </mc:AlternateContent>
        <mc:AlternateContent xmlns:mc="http://schemas.openxmlformats.org/markup-compatibility/2006">
          <mc:Choice Requires="x14">
            <control shapeId="13496" r:id="rId93" name="Drop Down 184">
              <controlPr defaultSize="0" autoLine="0" autoPict="0">
                <anchor moveWithCells="1">
                  <from>
                    <xdr:col>8</xdr:col>
                    <xdr:colOff>28575</xdr:colOff>
                    <xdr:row>134</xdr:row>
                    <xdr:rowOff>9525</xdr:rowOff>
                  </from>
                  <to>
                    <xdr:col>9</xdr:col>
                    <xdr:colOff>0</xdr:colOff>
                    <xdr:row>135</xdr:row>
                    <xdr:rowOff>0</xdr:rowOff>
                  </to>
                </anchor>
              </controlPr>
            </control>
          </mc:Choice>
        </mc:AlternateContent>
        <mc:AlternateContent xmlns:mc="http://schemas.openxmlformats.org/markup-compatibility/2006">
          <mc:Choice Requires="x14">
            <control shapeId="13497" r:id="rId94" name="Drop Down 185">
              <controlPr defaultSize="0" autoLine="0" autoPict="0">
                <anchor moveWithCells="1">
                  <from>
                    <xdr:col>9</xdr:col>
                    <xdr:colOff>19050</xdr:colOff>
                    <xdr:row>135</xdr:row>
                    <xdr:rowOff>9525</xdr:rowOff>
                  </from>
                  <to>
                    <xdr:col>9</xdr:col>
                    <xdr:colOff>838200</xdr:colOff>
                    <xdr:row>136</xdr:row>
                    <xdr:rowOff>0</xdr:rowOff>
                  </to>
                </anchor>
              </controlPr>
            </control>
          </mc:Choice>
        </mc:AlternateContent>
        <mc:AlternateContent xmlns:mc="http://schemas.openxmlformats.org/markup-compatibility/2006">
          <mc:Choice Requires="x14">
            <control shapeId="13498" r:id="rId95" name="Drop Down 186">
              <controlPr defaultSize="0" autoLine="0" autoPict="0">
                <anchor moveWithCells="1">
                  <from>
                    <xdr:col>8</xdr:col>
                    <xdr:colOff>28575</xdr:colOff>
                    <xdr:row>135</xdr:row>
                    <xdr:rowOff>9525</xdr:rowOff>
                  </from>
                  <to>
                    <xdr:col>9</xdr:col>
                    <xdr:colOff>0</xdr:colOff>
                    <xdr:row>136</xdr:row>
                    <xdr:rowOff>0</xdr:rowOff>
                  </to>
                </anchor>
              </controlPr>
            </control>
          </mc:Choice>
        </mc:AlternateContent>
        <mc:AlternateContent xmlns:mc="http://schemas.openxmlformats.org/markup-compatibility/2006">
          <mc:Choice Requires="x14">
            <control shapeId="13499" r:id="rId96" name="Drop Down 187">
              <controlPr defaultSize="0" autoLine="0" autoPict="0">
                <anchor moveWithCells="1">
                  <from>
                    <xdr:col>9</xdr:col>
                    <xdr:colOff>19050</xdr:colOff>
                    <xdr:row>136</xdr:row>
                    <xdr:rowOff>9525</xdr:rowOff>
                  </from>
                  <to>
                    <xdr:col>9</xdr:col>
                    <xdr:colOff>838200</xdr:colOff>
                    <xdr:row>137</xdr:row>
                    <xdr:rowOff>0</xdr:rowOff>
                  </to>
                </anchor>
              </controlPr>
            </control>
          </mc:Choice>
        </mc:AlternateContent>
        <mc:AlternateContent xmlns:mc="http://schemas.openxmlformats.org/markup-compatibility/2006">
          <mc:Choice Requires="x14">
            <control shapeId="13500" r:id="rId97" name="Drop Down 188">
              <controlPr defaultSize="0" autoLine="0" autoPict="0">
                <anchor moveWithCells="1">
                  <from>
                    <xdr:col>8</xdr:col>
                    <xdr:colOff>28575</xdr:colOff>
                    <xdr:row>136</xdr:row>
                    <xdr:rowOff>9525</xdr:rowOff>
                  </from>
                  <to>
                    <xdr:col>9</xdr:col>
                    <xdr:colOff>0</xdr:colOff>
                    <xdr:row>137</xdr:row>
                    <xdr:rowOff>0</xdr:rowOff>
                  </to>
                </anchor>
              </controlPr>
            </control>
          </mc:Choice>
        </mc:AlternateContent>
        <mc:AlternateContent xmlns:mc="http://schemas.openxmlformats.org/markup-compatibility/2006">
          <mc:Choice Requires="x14">
            <control shapeId="13501" r:id="rId98" name="Drop Down 189">
              <controlPr defaultSize="0" autoLine="0" autoPict="0">
                <anchor moveWithCells="1">
                  <from>
                    <xdr:col>9</xdr:col>
                    <xdr:colOff>19050</xdr:colOff>
                    <xdr:row>137</xdr:row>
                    <xdr:rowOff>9525</xdr:rowOff>
                  </from>
                  <to>
                    <xdr:col>9</xdr:col>
                    <xdr:colOff>838200</xdr:colOff>
                    <xdr:row>138</xdr:row>
                    <xdr:rowOff>0</xdr:rowOff>
                  </to>
                </anchor>
              </controlPr>
            </control>
          </mc:Choice>
        </mc:AlternateContent>
        <mc:AlternateContent xmlns:mc="http://schemas.openxmlformats.org/markup-compatibility/2006">
          <mc:Choice Requires="x14">
            <control shapeId="13502" r:id="rId99" name="Drop Down 190">
              <controlPr defaultSize="0" autoLine="0" autoPict="0">
                <anchor moveWithCells="1">
                  <from>
                    <xdr:col>8</xdr:col>
                    <xdr:colOff>28575</xdr:colOff>
                    <xdr:row>137</xdr:row>
                    <xdr:rowOff>9525</xdr:rowOff>
                  </from>
                  <to>
                    <xdr:col>9</xdr:col>
                    <xdr:colOff>0</xdr:colOff>
                    <xdr:row>138</xdr:row>
                    <xdr:rowOff>0</xdr:rowOff>
                  </to>
                </anchor>
              </controlPr>
            </control>
          </mc:Choice>
        </mc:AlternateContent>
        <mc:AlternateContent xmlns:mc="http://schemas.openxmlformats.org/markup-compatibility/2006">
          <mc:Choice Requires="x14">
            <control shapeId="13503" r:id="rId100" name="Drop Down 191">
              <controlPr defaultSize="0" autoLine="0" autoPict="0">
                <anchor moveWithCells="1">
                  <from>
                    <xdr:col>9</xdr:col>
                    <xdr:colOff>19050</xdr:colOff>
                    <xdr:row>138</xdr:row>
                    <xdr:rowOff>9525</xdr:rowOff>
                  </from>
                  <to>
                    <xdr:col>9</xdr:col>
                    <xdr:colOff>838200</xdr:colOff>
                    <xdr:row>139</xdr:row>
                    <xdr:rowOff>0</xdr:rowOff>
                  </to>
                </anchor>
              </controlPr>
            </control>
          </mc:Choice>
        </mc:AlternateContent>
        <mc:AlternateContent xmlns:mc="http://schemas.openxmlformats.org/markup-compatibility/2006">
          <mc:Choice Requires="x14">
            <control shapeId="13504" r:id="rId101" name="Drop Down 192">
              <controlPr defaultSize="0" autoLine="0" autoPict="0">
                <anchor moveWithCells="1">
                  <from>
                    <xdr:col>8</xdr:col>
                    <xdr:colOff>28575</xdr:colOff>
                    <xdr:row>138</xdr:row>
                    <xdr:rowOff>9525</xdr:rowOff>
                  </from>
                  <to>
                    <xdr:col>9</xdr:col>
                    <xdr:colOff>0</xdr:colOff>
                    <xdr:row>139</xdr:row>
                    <xdr:rowOff>0</xdr:rowOff>
                  </to>
                </anchor>
              </controlPr>
            </control>
          </mc:Choice>
        </mc:AlternateContent>
        <mc:AlternateContent xmlns:mc="http://schemas.openxmlformats.org/markup-compatibility/2006">
          <mc:Choice Requires="x14">
            <control shapeId="13505" r:id="rId102" name="Drop Down 193">
              <controlPr defaultSize="0" autoLine="0" autoPict="0">
                <anchor moveWithCells="1">
                  <from>
                    <xdr:col>9</xdr:col>
                    <xdr:colOff>19050</xdr:colOff>
                    <xdr:row>139</xdr:row>
                    <xdr:rowOff>9525</xdr:rowOff>
                  </from>
                  <to>
                    <xdr:col>9</xdr:col>
                    <xdr:colOff>838200</xdr:colOff>
                    <xdr:row>140</xdr:row>
                    <xdr:rowOff>0</xdr:rowOff>
                  </to>
                </anchor>
              </controlPr>
            </control>
          </mc:Choice>
        </mc:AlternateContent>
        <mc:AlternateContent xmlns:mc="http://schemas.openxmlformats.org/markup-compatibility/2006">
          <mc:Choice Requires="x14">
            <control shapeId="13506" r:id="rId103" name="Drop Down 194">
              <controlPr defaultSize="0" autoLine="0" autoPict="0">
                <anchor moveWithCells="1">
                  <from>
                    <xdr:col>8</xdr:col>
                    <xdr:colOff>28575</xdr:colOff>
                    <xdr:row>139</xdr:row>
                    <xdr:rowOff>9525</xdr:rowOff>
                  </from>
                  <to>
                    <xdr:col>9</xdr:col>
                    <xdr:colOff>0</xdr:colOff>
                    <xdr:row>140</xdr:row>
                    <xdr:rowOff>0</xdr:rowOff>
                  </to>
                </anchor>
              </controlPr>
            </control>
          </mc:Choice>
        </mc:AlternateContent>
        <mc:AlternateContent xmlns:mc="http://schemas.openxmlformats.org/markup-compatibility/2006">
          <mc:Choice Requires="x14">
            <control shapeId="13507" r:id="rId104" name="Drop Down 195">
              <controlPr defaultSize="0" autoLine="0" autoPict="0">
                <anchor moveWithCells="1">
                  <from>
                    <xdr:col>0</xdr:col>
                    <xdr:colOff>38100</xdr:colOff>
                    <xdr:row>134</xdr:row>
                    <xdr:rowOff>9525</xdr:rowOff>
                  </from>
                  <to>
                    <xdr:col>1</xdr:col>
                    <xdr:colOff>180975</xdr:colOff>
                    <xdr:row>135</xdr:row>
                    <xdr:rowOff>0</xdr:rowOff>
                  </to>
                </anchor>
              </controlPr>
            </control>
          </mc:Choice>
        </mc:AlternateContent>
        <mc:AlternateContent xmlns:mc="http://schemas.openxmlformats.org/markup-compatibility/2006">
          <mc:Choice Requires="x14">
            <control shapeId="13508" r:id="rId105" name="Drop Down 196">
              <controlPr defaultSize="0" autoLine="0" autoPict="0">
                <anchor moveWithCells="1">
                  <from>
                    <xdr:col>0</xdr:col>
                    <xdr:colOff>38100</xdr:colOff>
                    <xdr:row>135</xdr:row>
                    <xdr:rowOff>9525</xdr:rowOff>
                  </from>
                  <to>
                    <xdr:col>1</xdr:col>
                    <xdr:colOff>180975</xdr:colOff>
                    <xdr:row>136</xdr:row>
                    <xdr:rowOff>0</xdr:rowOff>
                  </to>
                </anchor>
              </controlPr>
            </control>
          </mc:Choice>
        </mc:AlternateContent>
        <mc:AlternateContent xmlns:mc="http://schemas.openxmlformats.org/markup-compatibility/2006">
          <mc:Choice Requires="x14">
            <control shapeId="13509" r:id="rId106" name="Drop Down 197">
              <controlPr defaultSize="0" autoLine="0" autoPict="0">
                <anchor moveWithCells="1">
                  <from>
                    <xdr:col>0</xdr:col>
                    <xdr:colOff>38100</xdr:colOff>
                    <xdr:row>136</xdr:row>
                    <xdr:rowOff>9525</xdr:rowOff>
                  </from>
                  <to>
                    <xdr:col>1</xdr:col>
                    <xdr:colOff>180975</xdr:colOff>
                    <xdr:row>137</xdr:row>
                    <xdr:rowOff>0</xdr:rowOff>
                  </to>
                </anchor>
              </controlPr>
            </control>
          </mc:Choice>
        </mc:AlternateContent>
        <mc:AlternateContent xmlns:mc="http://schemas.openxmlformats.org/markup-compatibility/2006">
          <mc:Choice Requires="x14">
            <control shapeId="13510" r:id="rId107" name="Drop Down 198">
              <controlPr defaultSize="0" autoLine="0" autoPict="0">
                <anchor moveWithCells="1">
                  <from>
                    <xdr:col>0</xdr:col>
                    <xdr:colOff>38100</xdr:colOff>
                    <xdr:row>137</xdr:row>
                    <xdr:rowOff>9525</xdr:rowOff>
                  </from>
                  <to>
                    <xdr:col>1</xdr:col>
                    <xdr:colOff>180975</xdr:colOff>
                    <xdr:row>138</xdr:row>
                    <xdr:rowOff>0</xdr:rowOff>
                  </to>
                </anchor>
              </controlPr>
            </control>
          </mc:Choice>
        </mc:AlternateContent>
        <mc:AlternateContent xmlns:mc="http://schemas.openxmlformats.org/markup-compatibility/2006">
          <mc:Choice Requires="x14">
            <control shapeId="13511" r:id="rId108" name="Drop Down 199">
              <controlPr defaultSize="0" autoLine="0" autoPict="0">
                <anchor moveWithCells="1">
                  <from>
                    <xdr:col>0</xdr:col>
                    <xdr:colOff>38100</xdr:colOff>
                    <xdr:row>138</xdr:row>
                    <xdr:rowOff>9525</xdr:rowOff>
                  </from>
                  <to>
                    <xdr:col>1</xdr:col>
                    <xdr:colOff>180975</xdr:colOff>
                    <xdr:row>139</xdr:row>
                    <xdr:rowOff>0</xdr:rowOff>
                  </to>
                </anchor>
              </controlPr>
            </control>
          </mc:Choice>
        </mc:AlternateContent>
        <mc:AlternateContent xmlns:mc="http://schemas.openxmlformats.org/markup-compatibility/2006">
          <mc:Choice Requires="x14">
            <control shapeId="13512" r:id="rId109" name="Drop Down 200">
              <controlPr defaultSize="0" autoLine="0" autoPict="0">
                <anchor moveWithCells="1">
                  <from>
                    <xdr:col>0</xdr:col>
                    <xdr:colOff>38100</xdr:colOff>
                    <xdr:row>139</xdr:row>
                    <xdr:rowOff>9525</xdr:rowOff>
                  </from>
                  <to>
                    <xdr:col>1</xdr:col>
                    <xdr:colOff>180975</xdr:colOff>
                    <xdr:row>140</xdr:row>
                    <xdr:rowOff>0</xdr:rowOff>
                  </to>
                </anchor>
              </controlPr>
            </control>
          </mc:Choice>
        </mc:AlternateContent>
        <mc:AlternateContent xmlns:mc="http://schemas.openxmlformats.org/markup-compatibility/2006">
          <mc:Choice Requires="x14">
            <control shapeId="13513" r:id="rId110" name="Drop Down 201">
              <controlPr defaultSize="0" autoLine="0" autoPict="0">
                <anchor moveWithCells="1">
                  <from>
                    <xdr:col>1</xdr:col>
                    <xdr:colOff>190500</xdr:colOff>
                    <xdr:row>134</xdr:row>
                    <xdr:rowOff>19050</xdr:rowOff>
                  </from>
                  <to>
                    <xdr:col>3</xdr:col>
                    <xdr:colOff>695325</xdr:colOff>
                    <xdr:row>135</xdr:row>
                    <xdr:rowOff>9525</xdr:rowOff>
                  </to>
                </anchor>
              </controlPr>
            </control>
          </mc:Choice>
        </mc:AlternateContent>
        <mc:AlternateContent xmlns:mc="http://schemas.openxmlformats.org/markup-compatibility/2006">
          <mc:Choice Requires="x14">
            <control shapeId="13526" r:id="rId111" name="Drop Down 214">
              <controlPr defaultSize="0" autoLine="0" autoPict="0">
                <anchor moveWithCells="1">
                  <from>
                    <xdr:col>1</xdr:col>
                    <xdr:colOff>190500</xdr:colOff>
                    <xdr:row>135</xdr:row>
                    <xdr:rowOff>19050</xdr:rowOff>
                  </from>
                  <to>
                    <xdr:col>3</xdr:col>
                    <xdr:colOff>685800</xdr:colOff>
                    <xdr:row>136</xdr:row>
                    <xdr:rowOff>9525</xdr:rowOff>
                  </to>
                </anchor>
              </controlPr>
            </control>
          </mc:Choice>
        </mc:AlternateContent>
        <mc:AlternateContent xmlns:mc="http://schemas.openxmlformats.org/markup-compatibility/2006">
          <mc:Choice Requires="x14">
            <control shapeId="13527" r:id="rId112" name="Drop Down 215">
              <controlPr defaultSize="0" autoLine="0" autoPict="0">
                <anchor moveWithCells="1">
                  <from>
                    <xdr:col>1</xdr:col>
                    <xdr:colOff>190500</xdr:colOff>
                    <xdr:row>136</xdr:row>
                    <xdr:rowOff>19050</xdr:rowOff>
                  </from>
                  <to>
                    <xdr:col>3</xdr:col>
                    <xdr:colOff>685800</xdr:colOff>
                    <xdr:row>137</xdr:row>
                    <xdr:rowOff>9525</xdr:rowOff>
                  </to>
                </anchor>
              </controlPr>
            </control>
          </mc:Choice>
        </mc:AlternateContent>
        <mc:AlternateContent xmlns:mc="http://schemas.openxmlformats.org/markup-compatibility/2006">
          <mc:Choice Requires="x14">
            <control shapeId="13528" r:id="rId113" name="Drop Down 216">
              <controlPr defaultSize="0" autoLine="0" autoPict="0">
                <anchor moveWithCells="1">
                  <from>
                    <xdr:col>1</xdr:col>
                    <xdr:colOff>190500</xdr:colOff>
                    <xdr:row>137</xdr:row>
                    <xdr:rowOff>19050</xdr:rowOff>
                  </from>
                  <to>
                    <xdr:col>3</xdr:col>
                    <xdr:colOff>685800</xdr:colOff>
                    <xdr:row>138</xdr:row>
                    <xdr:rowOff>9525</xdr:rowOff>
                  </to>
                </anchor>
              </controlPr>
            </control>
          </mc:Choice>
        </mc:AlternateContent>
        <mc:AlternateContent xmlns:mc="http://schemas.openxmlformats.org/markup-compatibility/2006">
          <mc:Choice Requires="x14">
            <control shapeId="13529" r:id="rId114" name="Drop Down 217">
              <controlPr defaultSize="0" autoLine="0" autoPict="0">
                <anchor moveWithCells="1">
                  <from>
                    <xdr:col>1</xdr:col>
                    <xdr:colOff>190500</xdr:colOff>
                    <xdr:row>138</xdr:row>
                    <xdr:rowOff>19050</xdr:rowOff>
                  </from>
                  <to>
                    <xdr:col>3</xdr:col>
                    <xdr:colOff>685800</xdr:colOff>
                    <xdr:row>139</xdr:row>
                    <xdr:rowOff>9525</xdr:rowOff>
                  </to>
                </anchor>
              </controlPr>
            </control>
          </mc:Choice>
        </mc:AlternateContent>
        <mc:AlternateContent xmlns:mc="http://schemas.openxmlformats.org/markup-compatibility/2006">
          <mc:Choice Requires="x14">
            <control shapeId="13530" r:id="rId115" name="Drop Down 218">
              <controlPr defaultSize="0" autoLine="0" autoPict="0">
                <anchor moveWithCells="1">
                  <from>
                    <xdr:col>1</xdr:col>
                    <xdr:colOff>190500</xdr:colOff>
                    <xdr:row>139</xdr:row>
                    <xdr:rowOff>19050</xdr:rowOff>
                  </from>
                  <to>
                    <xdr:col>3</xdr:col>
                    <xdr:colOff>685800</xdr:colOff>
                    <xdr:row>140</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sheetPr>
  <dimension ref="B1:AE25"/>
  <sheetViews>
    <sheetView showGridLines="0" showRowColHeaders="0" topLeftCell="A58" zoomScaleNormal="100" workbookViewId="0"/>
  </sheetViews>
  <sheetFormatPr defaultRowHeight="15"/>
  <cols>
    <col min="1" max="1" width="4.7109375" style="61" customWidth="1"/>
    <col min="2" max="2" width="20.7109375" style="61" customWidth="1"/>
    <col min="3" max="31" width="5.7109375" style="61" customWidth="1"/>
    <col min="32" max="32" width="6.7109375" style="61" customWidth="1"/>
    <col min="33" max="16384" width="9.140625" style="61"/>
  </cols>
  <sheetData>
    <row r="1" spans="2:31" s="628" customFormat="1" ht="30" customHeight="1">
      <c r="B1" s="1" t="s">
        <v>2261</v>
      </c>
    </row>
    <row r="2" spans="2:31">
      <c r="B2" s="61" t="s">
        <v>2265</v>
      </c>
    </row>
    <row r="3" spans="2:31">
      <c r="B3" s="61" t="s">
        <v>603</v>
      </c>
      <c r="C3" s="61" t="str">
        <f>INDEX('DEFAULT DATA'!A9:A41,START!C3,1)</f>
        <v>Romania</v>
      </c>
    </row>
    <row r="4" spans="2:31">
      <c r="B4" s="61" t="s">
        <v>1521</v>
      </c>
      <c r="C4" s="620">
        <f>2021+START!C2</f>
        <v>2022</v>
      </c>
    </row>
    <row r="5" spans="2:31">
      <c r="B5" s="620"/>
    </row>
    <row r="6" spans="2:31">
      <c r="B6" s="61" t="s">
        <v>2262</v>
      </c>
    </row>
    <row r="7" spans="2:31">
      <c r="B7" s="61" t="s">
        <v>2259</v>
      </c>
    </row>
    <row r="8" spans="2:31">
      <c r="B8" s="621"/>
      <c r="C8" s="622">
        <v>2022</v>
      </c>
      <c r="D8" s="622">
        <f>C8+1</f>
        <v>2023</v>
      </c>
      <c r="E8" s="622">
        <f t="shared" ref="E8:AE8" si="0">D8+1</f>
        <v>2024</v>
      </c>
      <c r="F8" s="622">
        <f t="shared" si="0"/>
        <v>2025</v>
      </c>
      <c r="G8" s="622">
        <f t="shared" si="0"/>
        <v>2026</v>
      </c>
      <c r="H8" s="622">
        <f t="shared" si="0"/>
        <v>2027</v>
      </c>
      <c r="I8" s="622">
        <f t="shared" si="0"/>
        <v>2028</v>
      </c>
      <c r="J8" s="622">
        <f t="shared" si="0"/>
        <v>2029</v>
      </c>
      <c r="K8" s="622">
        <f t="shared" si="0"/>
        <v>2030</v>
      </c>
      <c r="L8" s="622">
        <f t="shared" si="0"/>
        <v>2031</v>
      </c>
      <c r="M8" s="622">
        <f t="shared" si="0"/>
        <v>2032</v>
      </c>
      <c r="N8" s="622">
        <f t="shared" si="0"/>
        <v>2033</v>
      </c>
      <c r="O8" s="622">
        <f t="shared" si="0"/>
        <v>2034</v>
      </c>
      <c r="P8" s="622">
        <f t="shared" si="0"/>
        <v>2035</v>
      </c>
      <c r="Q8" s="622">
        <f t="shared" si="0"/>
        <v>2036</v>
      </c>
      <c r="R8" s="622">
        <f t="shared" si="0"/>
        <v>2037</v>
      </c>
      <c r="S8" s="622">
        <f>R8+1</f>
        <v>2038</v>
      </c>
      <c r="T8" s="622">
        <f t="shared" si="0"/>
        <v>2039</v>
      </c>
      <c r="U8" s="622">
        <f t="shared" si="0"/>
        <v>2040</v>
      </c>
      <c r="V8" s="622">
        <f t="shared" si="0"/>
        <v>2041</v>
      </c>
      <c r="W8" s="622">
        <f t="shared" si="0"/>
        <v>2042</v>
      </c>
      <c r="X8" s="622">
        <f t="shared" si="0"/>
        <v>2043</v>
      </c>
      <c r="Y8" s="622">
        <f t="shared" si="0"/>
        <v>2044</v>
      </c>
      <c r="Z8" s="622">
        <f t="shared" si="0"/>
        <v>2045</v>
      </c>
      <c r="AA8" s="622">
        <f t="shared" si="0"/>
        <v>2046</v>
      </c>
      <c r="AB8" s="622">
        <f t="shared" si="0"/>
        <v>2047</v>
      </c>
      <c r="AC8" s="622">
        <f t="shared" si="0"/>
        <v>2048</v>
      </c>
      <c r="AD8" s="622">
        <f t="shared" si="0"/>
        <v>2049</v>
      </c>
      <c r="AE8" s="622">
        <f t="shared" si="0"/>
        <v>2050</v>
      </c>
    </row>
    <row r="9" spans="2:31">
      <c r="B9" s="623" t="s">
        <v>2257</v>
      </c>
      <c r="C9" s="629">
        <f>TRANSPORT!Y655</f>
        <v>89872.96829503568</v>
      </c>
      <c r="D9" s="629">
        <f>TRANSPORT!Z655</f>
        <v>89815.93652156934</v>
      </c>
      <c r="E9" s="629">
        <f>TRANSPORT!AA655</f>
        <v>89862.576132675633</v>
      </c>
      <c r="F9" s="629">
        <f>TRANSPORT!AB655</f>
        <v>93119.693410631298</v>
      </c>
      <c r="G9" s="629">
        <f>TRANSPORT!AC655</f>
        <v>96165.864227084821</v>
      </c>
      <c r="H9" s="629">
        <f>TRANSPORT!AD655</f>
        <v>96183.975839018502</v>
      </c>
      <c r="I9" s="629">
        <f>TRANSPORT!AE655</f>
        <v>96297.459328324185</v>
      </c>
      <c r="J9" s="629">
        <f>TRANSPORT!AF655</f>
        <v>96501.823087338838</v>
      </c>
      <c r="K9" s="629">
        <f>TRANSPORT!AG655</f>
        <v>96792.889875603811</v>
      </c>
      <c r="L9" s="629">
        <f>TRANSPORT!AH655</f>
        <v>96788.146651039089</v>
      </c>
      <c r="M9" s="629">
        <f>TRANSPORT!AI655</f>
        <v>96835.108888208735</v>
      </c>
      <c r="N9" s="629">
        <f>TRANSPORT!AJ655</f>
        <v>96931.452707052944</v>
      </c>
      <c r="O9" s="629">
        <f>TRANSPORT!AK655</f>
        <v>97074.517252497419</v>
      </c>
      <c r="P9" s="629">
        <f>TRANSPORT!AL655</f>
        <v>97262.697556338273</v>
      </c>
      <c r="Q9" s="629">
        <f>TRANSPORT!AM655</f>
        <v>97493.340558475829</v>
      </c>
      <c r="R9" s="629">
        <f>TRANSPORT!AN655</f>
        <v>97764.75735382225</v>
      </c>
      <c r="S9" s="629">
        <f>TRANSPORT!AO655</f>
        <v>98075.747361683912</v>
      </c>
      <c r="T9" s="629">
        <f>TRANSPORT!AP655</f>
        <v>98424.687761276626</v>
      </c>
      <c r="U9" s="629">
        <f>TRANSPORT!AQ655</f>
        <v>98809.511681227712</v>
      </c>
      <c r="V9" s="629">
        <f>TRANSPORT!AR655</f>
        <v>99229.313154932024</v>
      </c>
      <c r="W9" s="629">
        <f>TRANSPORT!AS655</f>
        <v>99682.739361157888</v>
      </c>
      <c r="X9" s="629">
        <f>TRANSPORT!AT655</f>
        <v>100167.96644801665</v>
      </c>
      <c r="Y9" s="629">
        <f>TRANSPORT!AU655</f>
        <v>100684.34118847837</v>
      </c>
      <c r="Z9" s="629">
        <f>TRANSPORT!AV655</f>
        <v>101230.17843019575</v>
      </c>
      <c r="AA9" s="629">
        <f>TRANSPORT!AW655</f>
        <v>101805.82857825575</v>
      </c>
      <c r="AB9" s="629">
        <f>TRANSPORT!AX655</f>
        <v>102409.46747673537</v>
      </c>
      <c r="AC9" s="629">
        <f>TRANSPORT!AY655</f>
        <v>103039.58702707202</v>
      </c>
      <c r="AD9" s="629">
        <f>TRANSPORT!AZ655</f>
        <v>103695.87846892585</v>
      </c>
      <c r="AE9" s="629">
        <f>TRANSPORT!BA655</f>
        <v>104377.52218970271</v>
      </c>
    </row>
    <row r="10" spans="2:31">
      <c r="B10" s="623" t="s">
        <v>2266</v>
      </c>
      <c r="C10" s="629">
        <f>'LAND USE CHANGE'!Q102</f>
        <v>0</v>
      </c>
      <c r="D10" s="629">
        <f>'LAND USE CHANGE'!R102</f>
        <v>0</v>
      </c>
      <c r="E10" s="629">
        <f>'LAND USE CHANGE'!S102</f>
        <v>0</v>
      </c>
      <c r="F10" s="629">
        <f>'LAND USE CHANGE'!T102</f>
        <v>0</v>
      </c>
      <c r="G10" s="629">
        <f>'LAND USE CHANGE'!U102</f>
        <v>0</v>
      </c>
      <c r="H10" s="629">
        <f>'LAND USE CHANGE'!V102</f>
        <v>0</v>
      </c>
      <c r="I10" s="629">
        <f>'LAND USE CHANGE'!W102</f>
        <v>0</v>
      </c>
      <c r="J10" s="629">
        <f>'LAND USE CHANGE'!X102</f>
        <v>0</v>
      </c>
      <c r="K10" s="629">
        <f>'LAND USE CHANGE'!Y102</f>
        <v>43895.255555555552</v>
      </c>
      <c r="L10" s="629">
        <f>'LAND USE CHANGE'!Z102</f>
        <v>806.66666666666686</v>
      </c>
      <c r="M10" s="629">
        <f>'LAND USE CHANGE'!AA102</f>
        <v>806.66666666666686</v>
      </c>
      <c r="N10" s="629">
        <f>'LAND USE CHANGE'!AB102</f>
        <v>806.66666666666686</v>
      </c>
      <c r="O10" s="629">
        <f>'LAND USE CHANGE'!AC102</f>
        <v>806.66666666666686</v>
      </c>
      <c r="P10" s="629">
        <f>'LAND USE CHANGE'!AD102</f>
        <v>806.66666666666686</v>
      </c>
      <c r="Q10" s="629">
        <f>'LAND USE CHANGE'!AE102</f>
        <v>806.66666666666686</v>
      </c>
      <c r="R10" s="629">
        <f>'LAND USE CHANGE'!AF102</f>
        <v>806.66666666666686</v>
      </c>
      <c r="S10" s="629">
        <f>'LAND USE CHANGE'!AG102</f>
        <v>44862.798692686622</v>
      </c>
      <c r="T10" s="629">
        <f>'LAND USE CHANGE'!AH102</f>
        <v>1774.666666666667</v>
      </c>
      <c r="U10" s="629">
        <f>'LAND USE CHANGE'!AI102</f>
        <v>1774.666666666667</v>
      </c>
      <c r="V10" s="629">
        <f>'LAND USE CHANGE'!AJ102</f>
        <v>1774.666666666667</v>
      </c>
      <c r="W10" s="629">
        <f>'LAND USE CHANGE'!AK102</f>
        <v>1774.666666666667</v>
      </c>
      <c r="X10" s="629">
        <f>'LAND USE CHANGE'!AL102</f>
        <v>1774.666666666667</v>
      </c>
      <c r="Y10" s="629">
        <f>'LAND USE CHANGE'!AM102</f>
        <v>1774.666666666667</v>
      </c>
      <c r="Z10" s="629">
        <f>'LAND USE CHANGE'!AN102</f>
        <v>1774.666666666667</v>
      </c>
      <c r="AA10" s="629">
        <f>'LAND USE CHANGE'!AO102</f>
        <v>1774.666666666667</v>
      </c>
      <c r="AB10" s="629">
        <f>'LAND USE CHANGE'!AP102</f>
        <v>1774.666666666667</v>
      </c>
      <c r="AC10" s="629">
        <f>'LAND USE CHANGE'!AQ102</f>
        <v>1774.666666666667</v>
      </c>
      <c r="AD10" s="629">
        <f>'LAND USE CHANGE'!AR102</f>
        <v>1774.666666666667</v>
      </c>
      <c r="AE10" s="629">
        <f>'LAND USE CHANGE'!AS102</f>
        <v>968</v>
      </c>
    </row>
    <row r="11" spans="2:31">
      <c r="B11" s="623" t="s">
        <v>2258</v>
      </c>
      <c r="C11" s="629">
        <f>BUILDINGS!AL991</f>
        <v>354150.46344018861</v>
      </c>
      <c r="D11" s="629">
        <f>BUILDINGS!AM991</f>
        <v>340882.70237839571</v>
      </c>
      <c r="E11" s="629">
        <f>BUILDINGS!AN991</f>
        <v>328623.29115729901</v>
      </c>
      <c r="F11" s="629">
        <f>BUILDINGS!AO991</f>
        <v>317295.59518900566</v>
      </c>
      <c r="G11" s="629">
        <f>BUILDINGS!AP991</f>
        <v>306828.80411430268</v>
      </c>
      <c r="H11" s="629">
        <f>BUILDINGS!AQ991</f>
        <v>297157.48916127707</v>
      </c>
      <c r="I11" s="629">
        <f>BUILDINGS!AR991</f>
        <v>288221.19414468145</v>
      </c>
      <c r="J11" s="629">
        <f>BUILDINGS!AS991</f>
        <v>279964.05754934705</v>
      </c>
      <c r="K11" s="629">
        <f>BUILDINGS!AT991</f>
        <v>274443.02145487233</v>
      </c>
      <c r="L11" s="629">
        <f>BUILDINGS!AU991</f>
        <v>270465.0396561792</v>
      </c>
      <c r="M11" s="629">
        <f>BUILDINGS!AV991</f>
        <v>266825.53025094996</v>
      </c>
      <c r="N11" s="629">
        <f>BUILDINGS!AW991</f>
        <v>263502.4925336095</v>
      </c>
      <c r="O11" s="629">
        <f>BUILDINGS!AX991</f>
        <v>260475.35584444503</v>
      </c>
      <c r="P11" s="629">
        <f>BUILDINGS!AY991</f>
        <v>257724.88661662518</v>
      </c>
      <c r="Q11" s="629">
        <f>BUILDINGS!AZ991</f>
        <v>255233.1014651625</v>
      </c>
      <c r="R11" s="629">
        <f>BUILDINGS!BA991</f>
        <v>252983.18592509368</v>
      </c>
      <c r="S11" s="629">
        <f>BUILDINGS!BB991</f>
        <v>250959.41847167825</v>
      </c>
      <c r="T11" s="629">
        <f>BUILDINGS!BC991</f>
        <v>249147.0994792837</v>
      </c>
      <c r="U11" s="629">
        <f>BUILDINGS!BD991</f>
        <v>247532.4847979437</v>
      </c>
      <c r="V11" s="629">
        <f>BUILDINGS!BE991</f>
        <v>244453.62945420563</v>
      </c>
      <c r="W11" s="629">
        <f>BUILDINGS!BF991</f>
        <v>241574.89970781055</v>
      </c>
      <c r="X11" s="629">
        <f>BUILDINGS!BG991</f>
        <v>238883.28739493113</v>
      </c>
      <c r="Y11" s="629">
        <f>BUILDINGS!BH991</f>
        <v>236366.62988238889</v>
      </c>
      <c r="Z11" s="629">
        <f>BUILDINGS!BI991</f>
        <v>234013.55510816193</v>
      </c>
      <c r="AA11" s="629">
        <f>BUILDINGS!BJ991</f>
        <v>231813.43019425971</v>
      </c>
      <c r="AB11" s="629">
        <f>BUILDINGS!BK991</f>
        <v>229756.31339976107</v>
      </c>
      <c r="AC11" s="629">
        <f>BUILDINGS!BL991</f>
        <v>227832.90919690489</v>
      </c>
      <c r="AD11" s="629">
        <f>BUILDINGS!BM991</f>
        <v>226034.52626723435</v>
      </c>
      <c r="AE11" s="629">
        <f>BUILDINGS!BN991</f>
        <v>224353.03822799239</v>
      </c>
    </row>
    <row r="12" spans="2:31">
      <c r="B12" s="624" t="s">
        <v>2269</v>
      </c>
      <c r="C12" s="629">
        <f>'LAND USE CHANGE'!Q103</f>
        <v>0</v>
      </c>
      <c r="D12" s="629">
        <f>'LAND USE CHANGE'!R103</f>
        <v>0</v>
      </c>
      <c r="E12" s="629">
        <f>'LAND USE CHANGE'!S103</f>
        <v>0</v>
      </c>
      <c r="F12" s="629">
        <f>'LAND USE CHANGE'!T103</f>
        <v>0</v>
      </c>
      <c r="G12" s="629">
        <f>'LAND USE CHANGE'!U103</f>
        <v>0</v>
      </c>
      <c r="H12" s="629">
        <f>'LAND USE CHANGE'!V103</f>
        <v>0</v>
      </c>
      <c r="I12" s="629">
        <f>'LAND USE CHANGE'!W103</f>
        <v>0</v>
      </c>
      <c r="J12" s="629">
        <f>'LAND USE CHANGE'!X103</f>
        <v>0</v>
      </c>
      <c r="K12" s="629">
        <f>'LAND USE CHANGE'!Y103</f>
        <v>-87182.9756962846</v>
      </c>
      <c r="L12" s="629">
        <f>'LAND USE CHANGE'!Z103</f>
        <v>-87182.9756962846</v>
      </c>
      <c r="M12" s="629">
        <f>'LAND USE CHANGE'!AA103</f>
        <v>-87182.9756962846</v>
      </c>
      <c r="N12" s="629">
        <f>'LAND USE CHANGE'!AB103</f>
        <v>-87182.9756962846</v>
      </c>
      <c r="O12" s="629">
        <f>'LAND USE CHANGE'!AC103</f>
        <v>-87182.9756962846</v>
      </c>
      <c r="P12" s="629">
        <f>'LAND USE CHANGE'!AD103</f>
        <v>-87182.9756962846</v>
      </c>
      <c r="Q12" s="629">
        <f>'LAND USE CHANGE'!AE103</f>
        <v>-87182.9756962846</v>
      </c>
      <c r="R12" s="629">
        <f>'LAND USE CHANGE'!AF103</f>
        <v>-87182.9756962846</v>
      </c>
      <c r="S12" s="629">
        <f>'LAND USE CHANGE'!AG103</f>
        <v>-87182.9756962846</v>
      </c>
      <c r="T12" s="629">
        <f>'LAND USE CHANGE'!AH103</f>
        <v>-87182.9756962846</v>
      </c>
      <c r="U12" s="629">
        <f>'LAND USE CHANGE'!AI103</f>
        <v>-87182.9756962846</v>
      </c>
      <c r="V12" s="629">
        <f>'LAND USE CHANGE'!AJ103</f>
        <v>-87182.9756962846</v>
      </c>
      <c r="W12" s="629">
        <f>'LAND USE CHANGE'!AK103</f>
        <v>-87182.9756962846</v>
      </c>
      <c r="X12" s="629">
        <f>'LAND USE CHANGE'!AL103</f>
        <v>-87182.9756962846</v>
      </c>
      <c r="Y12" s="629">
        <f>'LAND USE CHANGE'!AM103</f>
        <v>-87182.9756962846</v>
      </c>
      <c r="Z12" s="629">
        <f>'LAND USE CHANGE'!AN103</f>
        <v>-87182.9756962846</v>
      </c>
      <c r="AA12" s="629">
        <f>'LAND USE CHANGE'!AO103</f>
        <v>-87182.9756962846</v>
      </c>
      <c r="AB12" s="629">
        <f>'LAND USE CHANGE'!AP103</f>
        <v>-87182.9756962846</v>
      </c>
      <c r="AC12" s="629">
        <f>'LAND USE CHANGE'!AQ103</f>
        <v>-87182.9756962846</v>
      </c>
      <c r="AD12" s="629">
        <f>'LAND USE CHANGE'!AR103</f>
        <v>-87182.9756962846</v>
      </c>
      <c r="AE12" s="629">
        <f>'LAND USE CHANGE'!AS103</f>
        <v>-35307.884185622774</v>
      </c>
    </row>
    <row r="13" spans="2:31">
      <c r="B13" s="623" t="s">
        <v>2260</v>
      </c>
      <c r="C13" s="629">
        <f t="shared" ref="C13:AE13" si="1">SUM(C9:C12)</f>
        <v>444023.43173522432</v>
      </c>
      <c r="D13" s="629">
        <f t="shared" si="1"/>
        <v>430698.63889996504</v>
      </c>
      <c r="E13" s="629">
        <f t="shared" si="1"/>
        <v>418485.86728997465</v>
      </c>
      <c r="F13" s="629">
        <f t="shared" si="1"/>
        <v>410415.28859963699</v>
      </c>
      <c r="G13" s="629">
        <f t="shared" si="1"/>
        <v>402994.66834138753</v>
      </c>
      <c r="H13" s="629">
        <f t="shared" si="1"/>
        <v>393341.46500029555</v>
      </c>
      <c r="I13" s="629">
        <f t="shared" si="1"/>
        <v>384518.65347300563</v>
      </c>
      <c r="J13" s="629">
        <f t="shared" si="1"/>
        <v>376465.88063668588</v>
      </c>
      <c r="K13" s="629">
        <f t="shared" si="1"/>
        <v>327948.19118974707</v>
      </c>
      <c r="L13" s="629">
        <f t="shared" si="1"/>
        <v>280876.87727760035</v>
      </c>
      <c r="M13" s="629">
        <f t="shared" si="1"/>
        <v>277284.33010954078</v>
      </c>
      <c r="N13" s="629">
        <f t="shared" si="1"/>
        <v>274057.6362110445</v>
      </c>
      <c r="O13" s="629">
        <f t="shared" si="1"/>
        <v>271173.56406732451</v>
      </c>
      <c r="P13" s="629">
        <f t="shared" si="1"/>
        <v>268611.27514334553</v>
      </c>
      <c r="Q13" s="629">
        <f t="shared" si="1"/>
        <v>266350.13299402042</v>
      </c>
      <c r="R13" s="629">
        <f t="shared" si="1"/>
        <v>264371.63424929796</v>
      </c>
      <c r="S13" s="629">
        <f t="shared" si="1"/>
        <v>306714.98882976413</v>
      </c>
      <c r="T13" s="629">
        <f t="shared" si="1"/>
        <v>262163.47821094241</v>
      </c>
      <c r="U13" s="629">
        <f t="shared" si="1"/>
        <v>260933.68744955346</v>
      </c>
      <c r="V13" s="629">
        <f t="shared" si="1"/>
        <v>258274.63357951969</v>
      </c>
      <c r="W13" s="629">
        <f t="shared" si="1"/>
        <v>255849.33003935049</v>
      </c>
      <c r="X13" s="629">
        <f t="shared" si="1"/>
        <v>253642.94481332984</v>
      </c>
      <c r="Y13" s="629">
        <f t="shared" si="1"/>
        <v>251642.66204124934</v>
      </c>
      <c r="Z13" s="629">
        <f t="shared" si="1"/>
        <v>249835.42450873973</v>
      </c>
      <c r="AA13" s="629">
        <f t="shared" si="1"/>
        <v>248210.94974289753</v>
      </c>
      <c r="AB13" s="629">
        <f t="shared" si="1"/>
        <v>246757.47184687847</v>
      </c>
      <c r="AC13" s="629">
        <f t="shared" si="1"/>
        <v>245464.18719435896</v>
      </c>
      <c r="AD13" s="629">
        <f t="shared" si="1"/>
        <v>244322.09570654226</v>
      </c>
      <c r="AE13" s="629">
        <f t="shared" si="1"/>
        <v>294390.67623207229</v>
      </c>
    </row>
    <row r="14" spans="2:31">
      <c r="B14" s="623" t="s">
        <v>2268</v>
      </c>
      <c r="C14" s="801">
        <f>(BUILDINGS!AL990+TRANSPORT!Y654)</f>
        <v>427992.12960487173</v>
      </c>
      <c r="D14" s="801">
        <f>(BUILDINGS!AM990+TRANSPORT!Z654)</f>
        <v>415727.64664946927</v>
      </c>
      <c r="E14" s="801">
        <f>(BUILDINGS!AN990+TRANSPORT!AA654)</f>
        <v>404505.08094565081</v>
      </c>
      <c r="F14" s="801">
        <f>(BUILDINGS!AO990+TRANSPORT!AB654)</f>
        <v>394230.97876175935</v>
      </c>
      <c r="G14" s="801">
        <f>(BUILDINGS!AP990+TRANSPORT!AC654)</f>
        <v>384842.56600051327</v>
      </c>
      <c r="H14" s="801">
        <f>(BUILDINGS!AQ990+TRANSPORT!AD654)</f>
        <v>376274.69038771279</v>
      </c>
      <c r="I14" s="801">
        <f>(BUILDINGS!AR990+TRANSPORT!AE654)</f>
        <v>368466.83933455648</v>
      </c>
      <c r="J14" s="801">
        <f>(BUILDINGS!AS990+TRANSPORT!AF654)</f>
        <v>361363.12407463411</v>
      </c>
      <c r="K14" s="801">
        <f>(BUILDINGS!AT990+TRANSPORT!AG654)</f>
        <v>354911.92910934507</v>
      </c>
      <c r="L14" s="801">
        <f>(BUILDINGS!AU990+TRANSPORT!AH654)</f>
        <v>349608.90753113135</v>
      </c>
      <c r="M14" s="801">
        <f>(BUILDINGS!AV990+TRANSPORT!AI654)</f>
        <v>344708.58186285954</v>
      </c>
      <c r="N14" s="801">
        <f>(BUILDINGS!AW990+TRANSPORT!AJ654)</f>
        <v>340185.40892284981</v>
      </c>
      <c r="O14" s="801">
        <f>(BUILDINGS!AX990+TRANSPORT!AK654)</f>
        <v>336015.10437297676</v>
      </c>
      <c r="P14" s="801">
        <f>(BUILDINGS!AY990+TRANSPORT!AL654)</f>
        <v>332175.73487955419</v>
      </c>
      <c r="Q14" s="801">
        <f>(BUILDINGS!AZ990+TRANSPORT!AM654)</f>
        <v>328645.72658982599</v>
      </c>
      <c r="R14" s="801">
        <f>(BUILDINGS!BA990+TRANSPORT!AN654)</f>
        <v>325405.77403154946</v>
      </c>
      <c r="S14" s="801">
        <f>(BUILDINGS!BB990+TRANSPORT!AO654)</f>
        <v>322438.10928040865</v>
      </c>
      <c r="T14" s="801">
        <f>(BUILDINGS!BC990+TRANSPORT!AP654)</f>
        <v>319725.69308089564</v>
      </c>
      <c r="U14" s="801">
        <f>(BUILDINGS!BD990+TRANSPORT!AQ654)</f>
        <v>317252.10825275042</v>
      </c>
      <c r="V14" s="801">
        <f>(BUILDINGS!BE990+TRANSPORT!AR654)</f>
        <v>315002.94779258384</v>
      </c>
      <c r="W14" s="801">
        <f>(BUILDINGS!BF990+TRANSPORT!AS654)</f>
        <v>312964.29911236471</v>
      </c>
      <c r="X14" s="801">
        <f>(BUILDINGS!BG990+TRANSPORT!AT654)</f>
        <v>311122.65031148877</v>
      </c>
      <c r="Y14" s="801">
        <f>(BUILDINGS!BH990+TRANSPORT!AU654)</f>
        <v>309466.34681453166</v>
      </c>
      <c r="Z14" s="801">
        <f>(BUILDINGS!BI990+TRANSPORT!AV654)</f>
        <v>307983.51075366966</v>
      </c>
      <c r="AA14" s="801">
        <f>(BUILDINGS!BJ990+TRANSPORT!AW654)</f>
        <v>306664.89539716253</v>
      </c>
      <c r="AB14" s="801">
        <f>(BUILDINGS!BK990+TRANSPORT!AX654)</f>
        <v>305499.75316349562</v>
      </c>
      <c r="AC14" s="801">
        <f>(BUILDINGS!BL990+TRANSPORT!AY654)</f>
        <v>304478.27624897182</v>
      </c>
      <c r="AD14" s="801">
        <f>(BUILDINGS!BM990+TRANSPORT!AZ654)</f>
        <v>303592.3366490262</v>
      </c>
      <c r="AE14" s="801">
        <f>(BUILDINGS!BN990+TRANSPORT!BA654)</f>
        <v>302833.8470500409</v>
      </c>
    </row>
    <row r="16" spans="2:31">
      <c r="B16" s="61" t="s">
        <v>2263</v>
      </c>
    </row>
    <row r="17" spans="2:31">
      <c r="B17" s="61" t="s">
        <v>2259</v>
      </c>
    </row>
    <row r="18" spans="2:31">
      <c r="B18" s="621"/>
      <c r="C18" s="622">
        <v>2022</v>
      </c>
      <c r="D18" s="622">
        <f>C18+1</f>
        <v>2023</v>
      </c>
      <c r="E18" s="622">
        <f t="shared" ref="E18:R18" si="2">D18+1</f>
        <v>2024</v>
      </c>
      <c r="F18" s="622">
        <f t="shared" si="2"/>
        <v>2025</v>
      </c>
      <c r="G18" s="622">
        <f t="shared" si="2"/>
        <v>2026</v>
      </c>
      <c r="H18" s="622">
        <f t="shared" si="2"/>
        <v>2027</v>
      </c>
      <c r="I18" s="622">
        <f t="shared" si="2"/>
        <v>2028</v>
      </c>
      <c r="J18" s="622">
        <f t="shared" si="2"/>
        <v>2029</v>
      </c>
      <c r="K18" s="622">
        <f t="shared" si="2"/>
        <v>2030</v>
      </c>
      <c r="L18" s="622">
        <f t="shared" si="2"/>
        <v>2031</v>
      </c>
      <c r="M18" s="622">
        <f t="shared" si="2"/>
        <v>2032</v>
      </c>
      <c r="N18" s="622">
        <f t="shared" si="2"/>
        <v>2033</v>
      </c>
      <c r="O18" s="622">
        <f t="shared" si="2"/>
        <v>2034</v>
      </c>
      <c r="P18" s="622">
        <f t="shared" si="2"/>
        <v>2035</v>
      </c>
      <c r="Q18" s="622">
        <f t="shared" si="2"/>
        <v>2036</v>
      </c>
      <c r="R18" s="622">
        <f t="shared" si="2"/>
        <v>2037</v>
      </c>
      <c r="S18" s="622">
        <f>R18+1</f>
        <v>2038</v>
      </c>
      <c r="T18" s="622">
        <f t="shared" ref="T18:AE18" si="3">S18+1</f>
        <v>2039</v>
      </c>
      <c r="U18" s="622">
        <f t="shared" si="3"/>
        <v>2040</v>
      </c>
      <c r="V18" s="622">
        <f t="shared" si="3"/>
        <v>2041</v>
      </c>
      <c r="W18" s="622">
        <f t="shared" si="3"/>
        <v>2042</v>
      </c>
      <c r="X18" s="622">
        <f t="shared" si="3"/>
        <v>2043</v>
      </c>
      <c r="Y18" s="622">
        <f t="shared" si="3"/>
        <v>2044</v>
      </c>
      <c r="Z18" s="622">
        <f t="shared" si="3"/>
        <v>2045</v>
      </c>
      <c r="AA18" s="622">
        <f t="shared" si="3"/>
        <v>2046</v>
      </c>
      <c r="AB18" s="622">
        <f t="shared" si="3"/>
        <v>2047</v>
      </c>
      <c r="AC18" s="622">
        <f t="shared" si="3"/>
        <v>2048</v>
      </c>
      <c r="AD18" s="622">
        <f t="shared" si="3"/>
        <v>2049</v>
      </c>
      <c r="AE18" s="622">
        <f t="shared" si="3"/>
        <v>2050</v>
      </c>
    </row>
    <row r="19" spans="2:31">
      <c r="B19" s="623" t="s">
        <v>2264</v>
      </c>
      <c r="C19" s="640">
        <f>TRANSPORT!Y204</f>
        <v>194942</v>
      </c>
      <c r="D19" s="640">
        <f>TRANSPORT!Z204</f>
        <v>194163</v>
      </c>
      <c r="E19" s="640">
        <f>TRANSPORT!AA204</f>
        <v>193387</v>
      </c>
      <c r="F19" s="640">
        <f>TRANSPORT!AB204</f>
        <v>192614</v>
      </c>
      <c r="G19" s="640">
        <f>TRANSPORT!AC204</f>
        <v>191844</v>
      </c>
      <c r="H19" s="640">
        <f>TRANSPORT!AD204</f>
        <v>191077</v>
      </c>
      <c r="I19" s="640">
        <f>TRANSPORT!AE204</f>
        <v>190313</v>
      </c>
      <c r="J19" s="640">
        <f>TRANSPORT!AF204</f>
        <v>189552</v>
      </c>
      <c r="K19" s="640">
        <f>TRANSPORT!AG204</f>
        <v>188794</v>
      </c>
      <c r="L19" s="640">
        <f>TRANSPORT!AH204</f>
        <v>188228</v>
      </c>
      <c r="M19" s="640">
        <f>TRANSPORT!AI204</f>
        <v>187664</v>
      </c>
      <c r="N19" s="640">
        <f>TRANSPORT!AJ204</f>
        <v>187102</v>
      </c>
      <c r="O19" s="640">
        <f>TRANSPORT!AK204</f>
        <v>186541</v>
      </c>
      <c r="P19" s="640">
        <f>TRANSPORT!AL204</f>
        <v>185982</v>
      </c>
      <c r="Q19" s="640">
        <f>TRANSPORT!AM204</f>
        <v>185425</v>
      </c>
      <c r="R19" s="640">
        <f>TRANSPORT!AN204</f>
        <v>184869</v>
      </c>
      <c r="S19" s="640">
        <f>TRANSPORT!AO204</f>
        <v>184315</v>
      </c>
      <c r="T19" s="640">
        <f>TRANSPORT!AP204</f>
        <v>183763</v>
      </c>
      <c r="U19" s="640">
        <f>TRANSPORT!AQ204</f>
        <v>183212</v>
      </c>
      <c r="V19" s="640">
        <f>TRANSPORT!AR204</f>
        <v>182663</v>
      </c>
      <c r="W19" s="640">
        <f>TRANSPORT!AS204</f>
        <v>182116</v>
      </c>
      <c r="X19" s="625">
        <f>TRANSPORT!AT204</f>
        <v>181570</v>
      </c>
      <c r="Y19" s="625">
        <f>TRANSPORT!AU204</f>
        <v>181026</v>
      </c>
      <c r="Z19" s="625">
        <f>TRANSPORT!AV204</f>
        <v>180483</v>
      </c>
      <c r="AA19" s="625">
        <f>TRANSPORT!AW204</f>
        <v>179942</v>
      </c>
      <c r="AB19" s="625">
        <f>TRANSPORT!AX204</f>
        <v>179403</v>
      </c>
      <c r="AC19" s="625">
        <f>TRANSPORT!AY204</f>
        <v>178865</v>
      </c>
      <c r="AD19" s="625">
        <f>TRANSPORT!AZ204</f>
        <v>178329</v>
      </c>
      <c r="AE19" s="625">
        <f>TRANSPORT!BA204</f>
        <v>177795</v>
      </c>
    </row>
    <row r="20" spans="2:31">
      <c r="B20" s="623" t="s">
        <v>2257</v>
      </c>
      <c r="C20" s="626">
        <f>IF(C19=0,0,C9/C19)</f>
        <v>0.46102414202704228</v>
      </c>
      <c r="D20" s="626">
        <f t="shared" ref="D20:AE20" si="4">IF(D19=0,0,D9/D19)</f>
        <v>0.46258008231006598</v>
      </c>
      <c r="E20" s="626">
        <f t="shared" si="4"/>
        <v>0.46467744022439789</v>
      </c>
      <c r="F20" s="626">
        <f t="shared" si="4"/>
        <v>0.4834523628117961</v>
      </c>
      <c r="G20" s="626">
        <f t="shared" si="4"/>
        <v>0.50127115899942043</v>
      </c>
      <c r="H20" s="626">
        <f t="shared" si="4"/>
        <v>0.50337809280561507</v>
      </c>
      <c r="I20" s="626">
        <f t="shared" si="4"/>
        <v>0.50599517283803097</v>
      </c>
      <c r="J20" s="626">
        <f t="shared" si="4"/>
        <v>0.50910474744312295</v>
      </c>
      <c r="K20" s="626">
        <f t="shared" si="4"/>
        <v>0.51269049797982891</v>
      </c>
      <c r="L20" s="626">
        <f t="shared" si="4"/>
        <v>0.51420695460313603</v>
      </c>
      <c r="M20" s="626">
        <f t="shared" si="4"/>
        <v>0.5160025838104737</v>
      </c>
      <c r="N20" s="626">
        <f t="shared" si="4"/>
        <v>0.51806743224045149</v>
      </c>
      <c r="O20" s="626">
        <f t="shared" si="4"/>
        <v>0.52039239230248269</v>
      </c>
      <c r="P20" s="626">
        <f t="shared" si="4"/>
        <v>0.52296833863674053</v>
      </c>
      <c r="Q20" s="626">
        <f t="shared" si="4"/>
        <v>0.52578314983673091</v>
      </c>
      <c r="R20" s="626">
        <f t="shared" si="4"/>
        <v>0.52883261852350716</v>
      </c>
      <c r="S20" s="626">
        <f t="shared" si="4"/>
        <v>0.53210941790784205</v>
      </c>
      <c r="T20" s="626">
        <f t="shared" si="4"/>
        <v>0.53560666598432016</v>
      </c>
      <c r="U20" s="626">
        <f t="shared" si="4"/>
        <v>0.53931790320081496</v>
      </c>
      <c r="V20" s="626">
        <f t="shared" si="4"/>
        <v>0.54323707130032917</v>
      </c>
      <c r="W20" s="626">
        <f t="shared" si="4"/>
        <v>0.54735849327438491</v>
      </c>
      <c r="X20" s="626">
        <f t="shared" si="4"/>
        <v>0.55167685437030711</v>
      </c>
      <c r="Y20" s="626">
        <f t="shared" si="4"/>
        <v>0.55618718409774492</v>
      </c>
      <c r="Z20" s="626">
        <f t="shared" si="4"/>
        <v>0.56088483918261411</v>
      </c>
      <c r="AA20" s="626">
        <f t="shared" si="4"/>
        <v>0.5657702402899587</v>
      </c>
      <c r="AB20" s="626">
        <f t="shared" si="4"/>
        <v>0.57083475458456867</v>
      </c>
      <c r="AC20" s="626">
        <f t="shared" si="4"/>
        <v>0.5760746206752132</v>
      </c>
      <c r="AD20" s="626">
        <f t="shared" si="4"/>
        <v>0.58148634528834819</v>
      </c>
      <c r="AE20" s="626">
        <f t="shared" si="4"/>
        <v>0.58706669023146152</v>
      </c>
    </row>
    <row r="21" spans="2:31">
      <c r="B21" s="623" t="s">
        <v>2266</v>
      </c>
      <c r="C21" s="626">
        <f>IF(C19=0,0,C10/C19)</f>
        <v>0</v>
      </c>
      <c r="D21" s="626">
        <f t="shared" ref="D21:AE21" si="5">IF(D19=0,0,D10/D19)</f>
        <v>0</v>
      </c>
      <c r="E21" s="626">
        <f t="shared" si="5"/>
        <v>0</v>
      </c>
      <c r="F21" s="626">
        <f t="shared" si="5"/>
        <v>0</v>
      </c>
      <c r="G21" s="626">
        <f t="shared" si="5"/>
        <v>0</v>
      </c>
      <c r="H21" s="626">
        <f t="shared" si="5"/>
        <v>0</v>
      </c>
      <c r="I21" s="626">
        <f t="shared" si="5"/>
        <v>0</v>
      </c>
      <c r="J21" s="626">
        <f t="shared" si="5"/>
        <v>0</v>
      </c>
      <c r="K21" s="626">
        <f t="shared" si="5"/>
        <v>0.23250344584867927</v>
      </c>
      <c r="L21" s="626">
        <f t="shared" si="5"/>
        <v>4.2855827329975711E-3</v>
      </c>
      <c r="M21" s="626">
        <f t="shared" si="5"/>
        <v>4.2984625003552462E-3</v>
      </c>
      <c r="N21" s="626">
        <f t="shared" si="5"/>
        <v>4.3113738317424018E-3</v>
      </c>
      <c r="O21" s="626">
        <f t="shared" si="5"/>
        <v>4.3243397787439053E-3</v>
      </c>
      <c r="P21" s="626">
        <f t="shared" si="5"/>
        <v>4.3373373050438584E-3</v>
      </c>
      <c r="Q21" s="626">
        <f t="shared" si="5"/>
        <v>4.3503662756730049E-3</v>
      </c>
      <c r="R21" s="626">
        <f t="shared" si="5"/>
        <v>4.3634501547942968E-3</v>
      </c>
      <c r="S21" s="626">
        <f t="shared" si="5"/>
        <v>0.24340286299371522</v>
      </c>
      <c r="T21" s="626">
        <f t="shared" si="5"/>
        <v>9.6573666443553214E-3</v>
      </c>
      <c r="U21" s="626">
        <f t="shared" si="5"/>
        <v>9.6864106426798845E-3</v>
      </c>
      <c r="V21" s="626">
        <f t="shared" si="5"/>
        <v>9.7155234867853206E-3</v>
      </c>
      <c r="W21" s="626">
        <f t="shared" si="5"/>
        <v>9.7447048401385211E-3</v>
      </c>
      <c r="X21" s="626">
        <f t="shared" si="5"/>
        <v>9.7740081878430734E-3</v>
      </c>
      <c r="Y21" s="626">
        <f t="shared" si="5"/>
        <v>9.8033799932974661E-3</v>
      </c>
      <c r="Z21" s="626">
        <f t="shared" si="5"/>
        <v>9.8328743796738029E-3</v>
      </c>
      <c r="AA21" s="626">
        <f t="shared" si="5"/>
        <v>9.86243715567609E-3</v>
      </c>
      <c r="AB21" s="626">
        <f t="shared" si="5"/>
        <v>9.8920679512977325E-3</v>
      </c>
      <c r="AC21" s="626">
        <f t="shared" si="5"/>
        <v>9.9218218581984575E-3</v>
      </c>
      <c r="AD21" s="626">
        <f t="shared" si="5"/>
        <v>9.9516436847998189E-3</v>
      </c>
      <c r="AE21" s="626">
        <f t="shared" si="5"/>
        <v>5.4444725667200993E-3</v>
      </c>
    </row>
    <row r="22" spans="2:31">
      <c r="B22" s="623" t="s">
        <v>2258</v>
      </c>
      <c r="C22" s="626">
        <f>IF(C19=0,0,C11/C19)</f>
        <v>1.8166965735459193</v>
      </c>
      <c r="D22" s="626">
        <f t="shared" ref="D22:AE22" si="6">IF(D19=0,0,D11/D19)</f>
        <v>1.7556522219907795</v>
      </c>
      <c r="E22" s="626">
        <f t="shared" si="6"/>
        <v>1.6993039405818333</v>
      </c>
      <c r="F22" s="626">
        <f t="shared" si="6"/>
        <v>1.6473132544311715</v>
      </c>
      <c r="G22" s="626">
        <f t="shared" si="6"/>
        <v>1.5993661731109792</v>
      </c>
      <c r="H22" s="626">
        <f t="shared" si="6"/>
        <v>1.5551714186494296</v>
      </c>
      <c r="I22" s="626">
        <f t="shared" si="6"/>
        <v>1.5144587818209025</v>
      </c>
      <c r="J22" s="626">
        <f t="shared" si="6"/>
        <v>1.4769775974368355</v>
      </c>
      <c r="K22" s="626">
        <f t="shared" si="6"/>
        <v>1.4536638953296839</v>
      </c>
      <c r="L22" s="626">
        <f t="shared" si="6"/>
        <v>1.4369012030950719</v>
      </c>
      <c r="M22" s="626">
        <f t="shared" si="6"/>
        <v>1.4218258709765856</v>
      </c>
      <c r="N22" s="626">
        <f t="shared" si="6"/>
        <v>1.4083360548450017</v>
      </c>
      <c r="O22" s="626">
        <f t="shared" si="6"/>
        <v>1.3963437305710007</v>
      </c>
      <c r="P22" s="626">
        <f t="shared" si="6"/>
        <v>1.3857517749923389</v>
      </c>
      <c r="Q22" s="626">
        <f t="shared" si="6"/>
        <v>1.3764762112183497</v>
      </c>
      <c r="R22" s="626">
        <f t="shared" si="6"/>
        <v>1.3684456881634761</v>
      </c>
      <c r="S22" s="626">
        <f t="shared" si="6"/>
        <v>1.3615789190878564</v>
      </c>
      <c r="T22" s="626">
        <f t="shared" si="6"/>
        <v>1.3558066611846982</v>
      </c>
      <c r="U22" s="626">
        <f t="shared" si="6"/>
        <v>1.3510713533935752</v>
      </c>
      <c r="V22" s="626">
        <f t="shared" si="6"/>
        <v>1.3382766594997653</v>
      </c>
      <c r="W22" s="626">
        <f t="shared" si="6"/>
        <v>1.3264891591502699</v>
      </c>
      <c r="X22" s="626">
        <f t="shared" si="6"/>
        <v>1.3156539483115666</v>
      </c>
      <c r="Y22" s="626">
        <f t="shared" si="6"/>
        <v>1.3057054228806297</v>
      </c>
      <c r="Z22" s="626">
        <f t="shared" si="6"/>
        <v>1.2965961066037353</v>
      </c>
      <c r="AA22" s="626">
        <f t="shared" si="6"/>
        <v>1.2882674983842555</v>
      </c>
      <c r="AB22" s="626">
        <f t="shared" si="6"/>
        <v>1.2806715238862285</v>
      </c>
      <c r="AC22" s="626">
        <f t="shared" si="6"/>
        <v>1.2737702132720481</v>
      </c>
      <c r="AD22" s="626">
        <f t="shared" si="6"/>
        <v>1.2675141242716235</v>
      </c>
      <c r="AE22" s="626">
        <f t="shared" si="6"/>
        <v>1.2618635969964982</v>
      </c>
    </row>
    <row r="23" spans="2:31">
      <c r="B23" s="624" t="s">
        <v>2269</v>
      </c>
      <c r="C23" s="626">
        <f>IF(C19=0,0,C12/C19)</f>
        <v>0</v>
      </c>
      <c r="D23" s="626">
        <f t="shared" ref="D23:AE23" si="7">IF(D19=0,0,D12/D19)</f>
        <v>0</v>
      </c>
      <c r="E23" s="626">
        <f t="shared" si="7"/>
        <v>0</v>
      </c>
      <c r="F23" s="626">
        <f t="shared" si="7"/>
        <v>0</v>
      </c>
      <c r="G23" s="626">
        <f t="shared" si="7"/>
        <v>0</v>
      </c>
      <c r="H23" s="626">
        <f t="shared" si="7"/>
        <v>0</v>
      </c>
      <c r="I23" s="626">
        <f t="shared" si="7"/>
        <v>0</v>
      </c>
      <c r="J23" s="626">
        <f t="shared" si="7"/>
        <v>0</v>
      </c>
      <c r="K23" s="626">
        <f t="shared" si="7"/>
        <v>-0.46178891117453202</v>
      </c>
      <c r="L23" s="626">
        <f t="shared" si="7"/>
        <v>-0.46317750651488937</v>
      </c>
      <c r="M23" s="626">
        <f t="shared" si="7"/>
        <v>-0.46456952690065545</v>
      </c>
      <c r="N23" s="626">
        <f t="shared" si="7"/>
        <v>-0.46596495866577908</v>
      </c>
      <c r="O23" s="626">
        <f t="shared" si="7"/>
        <v>-0.46736629318104117</v>
      </c>
      <c r="P23" s="626">
        <f t="shared" si="7"/>
        <v>-0.46877104072590142</v>
      </c>
      <c r="Q23" s="626">
        <f t="shared" si="7"/>
        <v>-0.47017918671314335</v>
      </c>
      <c r="R23" s="626">
        <f t="shared" si="7"/>
        <v>-0.47159326710419053</v>
      </c>
      <c r="S23" s="626">
        <f t="shared" si="7"/>
        <v>-0.47301074625659661</v>
      </c>
      <c r="T23" s="626">
        <f t="shared" si="7"/>
        <v>-0.4744316086278772</v>
      </c>
      <c r="U23" s="626">
        <f t="shared" si="7"/>
        <v>-0.47585843556254287</v>
      </c>
      <c r="V23" s="626">
        <f t="shared" si="7"/>
        <v>-0.47728864464223514</v>
      </c>
      <c r="W23" s="626">
        <f t="shared" si="7"/>
        <v>-0.47872221933429571</v>
      </c>
      <c r="X23" s="626">
        <f t="shared" si="7"/>
        <v>-0.48016178716905106</v>
      </c>
      <c r="Y23" s="626">
        <f t="shared" si="7"/>
        <v>-0.48160471808626715</v>
      </c>
      <c r="Z23" s="626">
        <f t="shared" si="7"/>
        <v>-0.4830536709622768</v>
      </c>
      <c r="AA23" s="626">
        <f t="shared" si="7"/>
        <v>-0.4845059835740661</v>
      </c>
      <c r="AB23" s="626">
        <f t="shared" si="7"/>
        <v>-0.48596163774454498</v>
      </c>
      <c r="AC23" s="626">
        <f t="shared" si="7"/>
        <v>-0.48742333992835157</v>
      </c>
      <c r="AD23" s="626">
        <f t="shared" si="7"/>
        <v>-0.48888837876220131</v>
      </c>
      <c r="AE23" s="626">
        <f t="shared" si="7"/>
        <v>-0.19858761036937356</v>
      </c>
    </row>
    <row r="24" spans="2:31">
      <c r="B24" s="623" t="s">
        <v>2260</v>
      </c>
      <c r="C24" s="626">
        <f t="shared" ref="C24:AE24" si="8">SUM(C20:C23)</f>
        <v>2.2777207155729617</v>
      </c>
      <c r="D24" s="626">
        <f t="shared" si="8"/>
        <v>2.2182323043008454</v>
      </c>
      <c r="E24" s="626">
        <f t="shared" si="8"/>
        <v>2.1639813808062311</v>
      </c>
      <c r="F24" s="626">
        <f t="shared" si="8"/>
        <v>2.1307656172429676</v>
      </c>
      <c r="G24" s="626">
        <f t="shared" si="8"/>
        <v>2.1006373321103995</v>
      </c>
      <c r="H24" s="626">
        <f t="shared" si="8"/>
        <v>2.0585495114550447</v>
      </c>
      <c r="I24" s="626">
        <f t="shared" si="8"/>
        <v>2.0204539546589335</v>
      </c>
      <c r="J24" s="626">
        <f t="shared" si="8"/>
        <v>1.9860823448799585</v>
      </c>
      <c r="K24" s="626">
        <f t="shared" si="8"/>
        <v>1.73706892798366</v>
      </c>
      <c r="L24" s="626">
        <f t="shared" si="8"/>
        <v>1.4922162339163163</v>
      </c>
      <c r="M24" s="626">
        <f t="shared" si="8"/>
        <v>1.4775573903867589</v>
      </c>
      <c r="N24" s="626">
        <f t="shared" si="8"/>
        <v>1.4647499022514165</v>
      </c>
      <c r="O24" s="626">
        <f t="shared" si="8"/>
        <v>1.4536941694711862</v>
      </c>
      <c r="P24" s="626">
        <f t="shared" si="8"/>
        <v>1.4442864102082218</v>
      </c>
      <c r="Q24" s="626">
        <f t="shared" si="8"/>
        <v>1.4364305406176103</v>
      </c>
      <c r="R24" s="626">
        <f t="shared" si="8"/>
        <v>1.4300484897375871</v>
      </c>
      <c r="S24" s="626">
        <f t="shared" si="8"/>
        <v>1.6640804537328171</v>
      </c>
      <c r="T24" s="626">
        <f t="shared" si="8"/>
        <v>1.4266390851854964</v>
      </c>
      <c r="U24" s="626">
        <f t="shared" si="8"/>
        <v>1.4242172316745272</v>
      </c>
      <c r="V24" s="626">
        <f t="shared" si="8"/>
        <v>1.4139406096446445</v>
      </c>
      <c r="W24" s="626">
        <f t="shared" si="8"/>
        <v>1.4048701379304978</v>
      </c>
      <c r="X24" s="626">
        <f t="shared" si="8"/>
        <v>1.3969430237006657</v>
      </c>
      <c r="Y24" s="626">
        <f t="shared" si="8"/>
        <v>1.390091268885405</v>
      </c>
      <c r="Z24" s="626">
        <f t="shared" si="8"/>
        <v>1.3842601492037465</v>
      </c>
      <c r="AA24" s="626">
        <f t="shared" si="8"/>
        <v>1.3793941922558242</v>
      </c>
      <c r="AB24" s="626">
        <f t="shared" si="8"/>
        <v>1.3754367086775499</v>
      </c>
      <c r="AC24" s="626">
        <f t="shared" si="8"/>
        <v>1.3723433158771081</v>
      </c>
      <c r="AD24" s="626">
        <f t="shared" si="8"/>
        <v>1.3700637344825701</v>
      </c>
      <c r="AE24" s="626">
        <f t="shared" si="8"/>
        <v>1.6557871494253062</v>
      </c>
    </row>
    <row r="25" spans="2:31">
      <c r="B25" s="623" t="s">
        <v>2268</v>
      </c>
      <c r="C25" s="626">
        <f>IF(C19=0,0,C14/C19)</f>
        <v>2.1954844497587578</v>
      </c>
      <c r="D25" s="626">
        <f t="shared" ref="D25:AE25" si="9">IF(D19=0,0,D14/D19)</f>
        <v>2.1411270254861599</v>
      </c>
      <c r="E25" s="626">
        <f t="shared" si="9"/>
        <v>2.0916870365932083</v>
      </c>
      <c r="F25" s="626">
        <f t="shared" si="9"/>
        <v>2.0467410404319488</v>
      </c>
      <c r="G25" s="626">
        <f t="shared" si="9"/>
        <v>2.0060182544177212</v>
      </c>
      <c r="H25" s="626">
        <f t="shared" si="9"/>
        <v>1.9692306786673057</v>
      </c>
      <c r="I25" s="626">
        <f t="shared" si="9"/>
        <v>1.9361096684648789</v>
      </c>
      <c r="J25" s="626">
        <f t="shared" si="9"/>
        <v>1.9064062846851213</v>
      </c>
      <c r="K25" s="626">
        <f t="shared" si="9"/>
        <v>1.8798898752573974</v>
      </c>
      <c r="L25" s="626">
        <f t="shared" si="9"/>
        <v>1.8573692943192901</v>
      </c>
      <c r="M25" s="626">
        <f t="shared" si="9"/>
        <v>1.8368391479605015</v>
      </c>
      <c r="N25" s="626">
        <f t="shared" si="9"/>
        <v>1.8181815743436724</v>
      </c>
      <c r="O25" s="626">
        <f t="shared" si="9"/>
        <v>1.8012935728498118</v>
      </c>
      <c r="P25" s="626">
        <f t="shared" si="9"/>
        <v>1.786063892632374</v>
      </c>
      <c r="Q25" s="626">
        <f t="shared" si="9"/>
        <v>1.7723916763641687</v>
      </c>
      <c r="R25" s="626">
        <f t="shared" si="9"/>
        <v>1.760196539341639</v>
      </c>
      <c r="S25" s="626">
        <f t="shared" si="9"/>
        <v>1.7493861556596515</v>
      </c>
      <c r="T25" s="626">
        <f t="shared" si="9"/>
        <v>1.7398806782698129</v>
      </c>
      <c r="U25" s="626">
        <f t="shared" si="9"/>
        <v>1.7316120573584177</v>
      </c>
      <c r="V25" s="626">
        <f t="shared" si="9"/>
        <v>1.7245033082374857</v>
      </c>
      <c r="W25" s="626">
        <f t="shared" si="9"/>
        <v>1.7184887605282606</v>
      </c>
      <c r="X25" s="626">
        <f t="shared" si="9"/>
        <v>1.7135135226716351</v>
      </c>
      <c r="Y25" s="626">
        <f t="shared" si="9"/>
        <v>1.7095132567395384</v>
      </c>
      <c r="Z25" s="626">
        <f t="shared" si="9"/>
        <v>1.7064405553634949</v>
      </c>
      <c r="AA25" s="626">
        <f t="shared" si="9"/>
        <v>1.7042430082869064</v>
      </c>
      <c r="AB25" s="626">
        <f t="shared" si="9"/>
        <v>1.7028686987591937</v>
      </c>
      <c r="AC25" s="626">
        <f t="shared" si="9"/>
        <v>1.7022797990046785</v>
      </c>
      <c r="AD25" s="626">
        <f t="shared" si="9"/>
        <v>1.7024283018972024</v>
      </c>
      <c r="AE25" s="626">
        <f t="shared" si="9"/>
        <v>1.7032753848535724</v>
      </c>
    </row>
  </sheetData>
  <pageMargins left="0.7" right="0.7" top="0.75" bottom="0.75" header="0.3" footer="0.3"/>
  <pageSetup paperSize="8" orientation="landscape"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0" tint="-0.34998626667073579"/>
  </sheetPr>
  <dimension ref="A1:ALZ383"/>
  <sheetViews>
    <sheetView tabSelected="1" topLeftCell="A350" zoomScale="90" zoomScaleNormal="90" workbookViewId="0">
      <selection activeCell="O363" sqref="O363"/>
    </sheetView>
  </sheetViews>
  <sheetFormatPr defaultRowHeight="20.100000000000001" customHeight="1"/>
  <cols>
    <col min="1" max="1" width="5.7109375" style="668" customWidth="1"/>
    <col min="2" max="2" width="40.7109375" style="668" customWidth="1"/>
    <col min="3" max="73" width="10.7109375" style="668" customWidth="1"/>
    <col min="74" max="121" width="9.42578125" style="668" bestFit="1" customWidth="1"/>
    <col min="122" max="128" width="9.28515625" style="668" bestFit="1" customWidth="1"/>
    <col min="129" max="141" width="9.42578125" style="668" bestFit="1" customWidth="1"/>
    <col min="142" max="199" width="9.28515625" style="668" bestFit="1" customWidth="1"/>
    <col min="200" max="300" width="9.42578125" style="668" bestFit="1" customWidth="1"/>
    <col min="301" max="301" width="10.85546875" style="668" bestFit="1" customWidth="1"/>
    <col min="302" max="339" width="9.42578125" style="668" bestFit="1" customWidth="1"/>
    <col min="340" max="343" width="9.28515625" style="668" bestFit="1" customWidth="1"/>
    <col min="344" max="582" width="9.42578125" style="668" bestFit="1" customWidth="1"/>
    <col min="583" max="583" width="13.140625" style="668" bestFit="1" customWidth="1"/>
    <col min="584" max="956" width="9.42578125" style="668" bestFit="1" customWidth="1"/>
    <col min="957" max="966" width="9.28515625" style="668" bestFit="1" customWidth="1"/>
    <col min="967" max="1014" width="9.42578125" style="668" bestFit="1" customWidth="1"/>
    <col min="1015" max="16384" width="9.140625" style="668"/>
  </cols>
  <sheetData>
    <row r="1" spans="2:34" s="1335" customFormat="1" ht="30" customHeight="1">
      <c r="B1" s="1040" t="s">
        <v>216</v>
      </c>
      <c r="C1" s="248"/>
      <c r="D1" s="248"/>
      <c r="E1" s="248"/>
      <c r="F1" s="248"/>
      <c r="G1" s="248"/>
      <c r="H1" s="248"/>
      <c r="I1" s="248"/>
      <c r="J1" s="248"/>
      <c r="K1" s="248"/>
      <c r="L1" s="248"/>
      <c r="M1" s="248"/>
      <c r="N1" s="248"/>
      <c r="O1" s="248"/>
      <c r="P1" s="248"/>
      <c r="Q1" s="248"/>
      <c r="R1" s="248"/>
    </row>
    <row r="2" spans="2:34" s="1336" customFormat="1" ht="20.100000000000001" customHeight="1">
      <c r="B2" s="1041" t="s">
        <v>222</v>
      </c>
      <c r="C2" s="1634" t="s">
        <v>5467</v>
      </c>
      <c r="D2" s="1635"/>
      <c r="E2" s="1635"/>
      <c r="F2" s="1635"/>
      <c r="G2" s="1636"/>
      <c r="H2" s="1320" t="s">
        <v>3072</v>
      </c>
      <c r="I2" s="1056"/>
      <c r="J2" s="1056"/>
      <c r="K2" s="1056"/>
      <c r="L2" s="1056"/>
      <c r="M2" s="1056"/>
      <c r="N2" s="1056"/>
      <c r="O2" s="1056"/>
      <c r="P2" s="1056"/>
      <c r="Q2" s="1056"/>
      <c r="R2" s="1056"/>
      <c r="S2" s="1057"/>
      <c r="T2" s="1057"/>
      <c r="U2" s="1057"/>
      <c r="V2" s="1057"/>
      <c r="W2" s="1057"/>
      <c r="X2" s="1057"/>
      <c r="Y2" s="1057"/>
      <c r="Z2" s="1057"/>
      <c r="AA2" s="1057"/>
      <c r="AB2" s="1057"/>
      <c r="AC2" s="1057"/>
      <c r="AD2" s="1057"/>
      <c r="AE2" s="1057"/>
      <c r="AF2" s="1057"/>
      <c r="AG2" s="1057"/>
      <c r="AH2" s="1057"/>
    </row>
    <row r="3" spans="2:34" s="1336" customFormat="1" ht="20.100000000000001" customHeight="1">
      <c r="B3" s="82" t="s">
        <v>3069</v>
      </c>
      <c r="C3" s="1643" t="s">
        <v>3063</v>
      </c>
      <c r="D3" s="1644"/>
      <c r="E3" s="1644"/>
      <c r="F3" s="1644"/>
      <c r="G3" s="1645"/>
      <c r="H3" s="1320" t="s">
        <v>3073</v>
      </c>
      <c r="I3" s="1056"/>
      <c r="J3" s="1056"/>
      <c r="K3" s="1056"/>
      <c r="L3" s="1056"/>
      <c r="M3" s="1056"/>
      <c r="N3" s="1056"/>
      <c r="O3" s="1056"/>
      <c r="P3" s="1056"/>
      <c r="Q3" s="1056"/>
      <c r="R3" s="1056"/>
      <c r="S3" s="1057"/>
      <c r="T3" s="1057"/>
      <c r="U3" s="1057"/>
      <c r="V3" s="1057"/>
      <c r="W3" s="1057"/>
      <c r="X3" s="1057"/>
      <c r="Y3" s="1057"/>
      <c r="Z3" s="1057"/>
      <c r="AA3" s="1057"/>
      <c r="AB3" s="1057"/>
      <c r="AC3" s="1057"/>
      <c r="AD3" s="1057"/>
      <c r="AE3" s="1057"/>
      <c r="AF3" s="1057"/>
      <c r="AG3" s="1057"/>
      <c r="AH3" s="1057"/>
    </row>
    <row r="4" spans="2:34" s="1336" customFormat="1" ht="20.100000000000001" customHeight="1">
      <c r="B4" s="82" t="s">
        <v>3070</v>
      </c>
      <c r="C4" s="151">
        <v>2022</v>
      </c>
      <c r="D4" s="1237"/>
      <c r="E4" s="1237"/>
      <c r="F4" s="1237"/>
      <c r="G4" s="1237"/>
      <c r="H4" s="1320" t="s">
        <v>3077</v>
      </c>
      <c r="I4" s="1319"/>
      <c r="J4" s="1319"/>
      <c r="K4" s="1319"/>
      <c r="L4" s="1319"/>
      <c r="M4" s="1056"/>
      <c r="N4" s="1056"/>
      <c r="O4" s="1056"/>
      <c r="P4" s="1056"/>
      <c r="Q4" s="1056"/>
      <c r="R4" s="1056"/>
      <c r="S4" s="1057"/>
      <c r="T4" s="1057"/>
      <c r="U4" s="1057"/>
      <c r="V4" s="1057"/>
      <c r="W4" s="1057"/>
      <c r="X4" s="1057"/>
      <c r="Y4" s="1057"/>
      <c r="Z4" s="1057"/>
      <c r="AA4" s="1057"/>
      <c r="AB4" s="1057"/>
      <c r="AC4" s="1057"/>
      <c r="AD4" s="1057"/>
      <c r="AE4" s="1057"/>
      <c r="AF4" s="1057"/>
      <c r="AG4" s="1057"/>
      <c r="AH4" s="1057"/>
    </row>
    <row r="5" spans="2:34" ht="20.100000000000001" customHeight="1">
      <c r="D5" s="82"/>
      <c r="E5" s="82"/>
      <c r="F5" s="82"/>
      <c r="G5" s="82"/>
      <c r="H5" s="1319"/>
      <c r="I5" s="1319"/>
      <c r="J5" s="1319"/>
      <c r="K5" s="1319"/>
      <c r="L5" s="1319"/>
      <c r="M5" s="1319"/>
      <c r="N5" s="82"/>
      <c r="O5" s="82"/>
      <c r="P5" s="82"/>
      <c r="Q5" s="82"/>
      <c r="R5" s="82"/>
      <c r="S5" s="82"/>
      <c r="T5" s="82"/>
      <c r="U5" s="82"/>
      <c r="V5" s="82"/>
      <c r="W5" s="82"/>
      <c r="X5" s="82"/>
      <c r="Y5" s="82"/>
      <c r="Z5" s="82"/>
      <c r="AA5" s="82"/>
      <c r="AB5" s="82"/>
      <c r="AC5" s="82"/>
      <c r="AD5" s="82"/>
      <c r="AE5" s="82"/>
      <c r="AF5" s="82"/>
      <c r="AG5" s="82"/>
      <c r="AH5" s="82"/>
    </row>
    <row r="6" spans="2:34" ht="20.100000000000001" customHeight="1">
      <c r="B6" s="82" t="s">
        <v>3062</v>
      </c>
      <c r="C6" s="1646">
        <v>0</v>
      </c>
      <c r="D6" s="1647"/>
      <c r="E6" s="1647"/>
      <c r="F6" s="1647"/>
      <c r="G6" s="1648"/>
      <c r="H6" s="1655" t="s">
        <v>3071</v>
      </c>
      <c r="I6" s="1655"/>
      <c r="J6" s="1655"/>
      <c r="K6" s="1655"/>
      <c r="L6" s="1655"/>
      <c r="M6" s="1319"/>
      <c r="N6" s="82"/>
      <c r="O6" s="82"/>
      <c r="P6" s="82"/>
      <c r="Q6" s="82"/>
      <c r="R6" s="82"/>
      <c r="S6" s="82"/>
      <c r="T6" s="82"/>
      <c r="U6" s="82"/>
      <c r="V6" s="82"/>
      <c r="W6" s="82"/>
      <c r="X6" s="82"/>
      <c r="Y6" s="82"/>
      <c r="Z6" s="82"/>
      <c r="AA6" s="82"/>
      <c r="AB6" s="82"/>
      <c r="AC6" s="82"/>
      <c r="AD6" s="82"/>
      <c r="AE6" s="82"/>
      <c r="AF6" s="82"/>
      <c r="AG6" s="82"/>
      <c r="AH6" s="82"/>
    </row>
    <row r="7" spans="2:34" ht="20.100000000000001" customHeight="1">
      <c r="B7" s="82"/>
      <c r="C7" s="1649"/>
      <c r="D7" s="1650"/>
      <c r="E7" s="1650"/>
      <c r="F7" s="1650"/>
      <c r="G7" s="1651"/>
      <c r="H7" s="1655"/>
      <c r="I7" s="1655"/>
      <c r="J7" s="1655"/>
      <c r="K7" s="1655"/>
      <c r="L7" s="1655"/>
      <c r="M7" s="1319"/>
      <c r="N7" s="82"/>
      <c r="O7" s="82"/>
      <c r="P7" s="82"/>
      <c r="Q7" s="82"/>
      <c r="R7" s="82"/>
      <c r="S7" s="82"/>
      <c r="T7" s="82"/>
      <c r="U7" s="82"/>
      <c r="V7" s="82"/>
      <c r="W7" s="82"/>
      <c r="X7" s="82"/>
      <c r="Y7" s="82"/>
      <c r="Z7" s="82"/>
      <c r="AA7" s="82"/>
      <c r="AB7" s="82"/>
      <c r="AC7" s="82"/>
      <c r="AD7" s="82"/>
      <c r="AE7" s="82"/>
      <c r="AF7" s="82"/>
      <c r="AG7" s="82"/>
      <c r="AH7" s="82"/>
    </row>
    <row r="8" spans="2:34" ht="20.100000000000001" customHeight="1">
      <c r="B8" s="82"/>
      <c r="C8" s="1652"/>
      <c r="D8" s="1653"/>
      <c r="E8" s="1653"/>
      <c r="F8" s="1653"/>
      <c r="G8" s="1654"/>
      <c r="H8" s="1319"/>
      <c r="I8" s="1319"/>
      <c r="J8" s="1319"/>
      <c r="K8" s="1319"/>
      <c r="L8" s="1319"/>
      <c r="M8" s="1319"/>
      <c r="N8" s="82"/>
      <c r="O8" s="82"/>
      <c r="P8" s="82"/>
      <c r="Q8" s="82"/>
      <c r="R8" s="82"/>
      <c r="S8" s="82"/>
      <c r="T8" s="82"/>
      <c r="U8" s="82"/>
      <c r="V8" s="82"/>
      <c r="W8" s="82"/>
      <c r="X8" s="82"/>
      <c r="Y8" s="82"/>
      <c r="Z8" s="82"/>
      <c r="AA8" s="82"/>
      <c r="AB8" s="82"/>
      <c r="AC8" s="82"/>
      <c r="AD8" s="82"/>
      <c r="AE8" s="82"/>
      <c r="AF8" s="82"/>
      <c r="AG8" s="82"/>
      <c r="AH8" s="82"/>
    </row>
    <row r="9" spans="2:34" ht="20.100000000000001" customHeight="1">
      <c r="D9" s="82"/>
      <c r="E9" s="82"/>
      <c r="F9" s="82"/>
      <c r="G9" s="82"/>
      <c r="H9" s="1320" t="str">
        <f>IF(E10&lt;&gt;"","The local dataset can be changed on the Start page.","")</f>
        <v/>
      </c>
      <c r="I9" s="1319"/>
      <c r="J9" s="1319"/>
      <c r="K9" s="1319"/>
      <c r="L9" s="1319"/>
      <c r="M9" s="1319"/>
      <c r="N9" s="82"/>
      <c r="O9" s="82"/>
      <c r="P9" s="82"/>
      <c r="Q9" s="82"/>
      <c r="R9" s="82"/>
      <c r="S9" s="82"/>
      <c r="T9" s="82"/>
      <c r="U9" s="82"/>
      <c r="V9" s="82"/>
      <c r="W9" s="82"/>
      <c r="X9" s="82"/>
      <c r="Y9" s="82"/>
      <c r="Z9" s="82"/>
      <c r="AA9" s="82"/>
      <c r="AB9" s="82"/>
      <c r="AC9" s="82"/>
      <c r="AD9" s="82"/>
      <c r="AE9" s="82"/>
      <c r="AF9" s="82"/>
      <c r="AG9" s="82"/>
      <c r="AH9" s="82"/>
    </row>
    <row r="10" spans="2:34" ht="20.100000000000001" customHeight="1">
      <c r="B10" s="82" t="s">
        <v>3076</v>
      </c>
      <c r="C10" s="82">
        <v>27</v>
      </c>
      <c r="D10" s="82"/>
      <c r="E10" s="112" t="str">
        <f>IF(C10=33,(INDEX('DEFAULT DATA'!A42:A100,START!E3,1)),"")</f>
        <v/>
      </c>
      <c r="F10" s="82"/>
      <c r="G10" s="82"/>
      <c r="H10" s="1320" t="s">
        <v>3074</v>
      </c>
      <c r="M10" s="1319"/>
      <c r="N10" s="82"/>
      <c r="O10" s="82"/>
      <c r="P10" s="82"/>
      <c r="Q10" s="82"/>
      <c r="R10" s="82"/>
      <c r="S10" s="82"/>
      <c r="T10" s="82"/>
      <c r="U10" s="82"/>
      <c r="V10" s="82"/>
      <c r="W10" s="82"/>
      <c r="X10" s="82"/>
      <c r="Y10" s="82"/>
      <c r="Z10" s="82"/>
      <c r="AA10" s="82"/>
      <c r="AB10" s="82"/>
      <c r="AC10" s="82"/>
      <c r="AD10" s="82"/>
      <c r="AE10" s="82"/>
      <c r="AF10" s="82"/>
      <c r="AG10" s="82"/>
      <c r="AH10" s="82"/>
    </row>
    <row r="11" spans="2:34" ht="20.100000000000001" customHeight="1">
      <c r="B11" s="82"/>
      <c r="C11" s="82"/>
      <c r="D11" s="82"/>
      <c r="E11" s="112"/>
      <c r="F11" s="82"/>
      <c r="G11" s="82"/>
      <c r="H11" s="1655" t="s">
        <v>3075</v>
      </c>
      <c r="I11" s="1655"/>
      <c r="J11" s="1655"/>
      <c r="K11" s="1655"/>
      <c r="L11" s="1655"/>
      <c r="M11" s="1319"/>
      <c r="N11" s="82"/>
      <c r="O11" s="82"/>
      <c r="P11" s="82"/>
      <c r="Q11" s="82"/>
      <c r="R11" s="82"/>
      <c r="S11" s="82"/>
      <c r="T11" s="82"/>
      <c r="U11" s="82"/>
      <c r="V11" s="82"/>
      <c r="W11" s="82"/>
      <c r="X11" s="82"/>
      <c r="Y11" s="82"/>
      <c r="Z11" s="82"/>
      <c r="AA11" s="82"/>
      <c r="AB11" s="82"/>
      <c r="AC11" s="82"/>
      <c r="AD11" s="82"/>
      <c r="AE11" s="82"/>
      <c r="AF11" s="82"/>
      <c r="AG11" s="82"/>
      <c r="AH11" s="82"/>
    </row>
    <row r="12" spans="2:34" ht="20.100000000000001" customHeight="1">
      <c r="B12" s="82"/>
      <c r="C12" s="82"/>
      <c r="D12" s="82"/>
      <c r="E12" s="112"/>
      <c r="F12" s="82"/>
      <c r="G12" s="82"/>
      <c r="H12" s="1655"/>
      <c r="I12" s="1655"/>
      <c r="J12" s="1655"/>
      <c r="K12" s="1655"/>
      <c r="L12" s="1655"/>
      <c r="M12" s="1319"/>
      <c r="N12" s="82"/>
      <c r="O12" s="82"/>
      <c r="P12" s="82"/>
      <c r="Q12" s="82"/>
      <c r="R12" s="82"/>
      <c r="S12" s="82"/>
      <c r="T12" s="82"/>
      <c r="U12" s="82"/>
      <c r="V12" s="82"/>
      <c r="W12" s="82"/>
      <c r="X12" s="82"/>
      <c r="Y12" s="82"/>
      <c r="Z12" s="82"/>
      <c r="AA12" s="82"/>
      <c r="AB12" s="82"/>
      <c r="AC12" s="82"/>
      <c r="AD12" s="82"/>
      <c r="AE12" s="82"/>
      <c r="AF12" s="82"/>
      <c r="AG12" s="82"/>
      <c r="AH12" s="82"/>
    </row>
    <row r="13" spans="2:34" ht="20.100000000000001" customHeight="1">
      <c r="B13" s="82"/>
      <c r="C13" s="82"/>
      <c r="D13" s="82"/>
      <c r="E13" s="112"/>
      <c r="F13" s="82"/>
      <c r="G13" s="82"/>
      <c r="H13" s="1437"/>
      <c r="I13" s="1437"/>
      <c r="J13" s="1437"/>
      <c r="K13" s="1437"/>
      <c r="L13" s="1437"/>
      <c r="M13" s="1437"/>
      <c r="N13" s="82"/>
      <c r="O13" s="82"/>
      <c r="P13" s="82"/>
      <c r="Q13" s="82"/>
      <c r="R13" s="82"/>
      <c r="S13" s="82"/>
      <c r="T13" s="82"/>
      <c r="U13" s="82"/>
      <c r="V13" s="82"/>
      <c r="W13" s="82"/>
      <c r="X13" s="82"/>
      <c r="Y13" s="82"/>
      <c r="Z13" s="82"/>
      <c r="AA13" s="82"/>
      <c r="AB13" s="82"/>
      <c r="AC13" s="82"/>
      <c r="AD13" s="82"/>
      <c r="AE13" s="82"/>
      <c r="AF13" s="82"/>
      <c r="AG13" s="82"/>
      <c r="AH13" s="82"/>
    </row>
    <row r="14" spans="2:34" ht="20.100000000000001" customHeight="1">
      <c r="H14" s="82"/>
      <c r="I14" s="82"/>
      <c r="J14" s="82"/>
      <c r="K14" s="82"/>
      <c r="L14" s="82"/>
      <c r="M14" s="82"/>
      <c r="N14" s="82"/>
      <c r="O14" s="82"/>
      <c r="P14" s="82"/>
      <c r="Q14" s="82"/>
      <c r="R14" s="82"/>
      <c r="S14" s="82"/>
      <c r="T14" s="82"/>
      <c r="U14" s="82"/>
      <c r="V14" s="82"/>
      <c r="W14" s="82"/>
      <c r="X14" s="82"/>
      <c r="Y14" s="82"/>
      <c r="Z14" s="82"/>
      <c r="AA14" s="82"/>
      <c r="AB14" s="82"/>
      <c r="AC14" s="82"/>
      <c r="AD14" s="82"/>
      <c r="AE14" s="82"/>
      <c r="AF14" s="82"/>
      <c r="AG14" s="82"/>
      <c r="AH14" s="82"/>
    </row>
    <row r="15" spans="2:34" ht="20.100000000000001" customHeight="1">
      <c r="B15" s="414" t="s">
        <v>214</v>
      </c>
      <c r="C15" s="125"/>
      <c r="D15" s="82"/>
      <c r="E15" s="82"/>
      <c r="F15" s="82"/>
      <c r="G15" s="82"/>
      <c r="H15" s="82"/>
      <c r="I15" s="82"/>
      <c r="J15" s="82"/>
      <c r="K15" s="82"/>
      <c r="L15" s="82"/>
      <c r="M15" s="82"/>
      <c r="N15" s="82"/>
      <c r="O15" s="82"/>
      <c r="P15" s="82"/>
      <c r="Q15" s="82"/>
      <c r="R15" s="82"/>
      <c r="S15" s="82"/>
      <c r="T15" s="82"/>
      <c r="U15" s="82"/>
      <c r="V15" s="82"/>
      <c r="W15" s="82"/>
      <c r="X15" s="82"/>
      <c r="Y15" s="82"/>
      <c r="Z15" s="82"/>
      <c r="AA15" s="82"/>
      <c r="AB15" s="82"/>
      <c r="AC15" s="82"/>
      <c r="AD15" s="82"/>
      <c r="AE15" s="82"/>
      <c r="AF15" s="82"/>
      <c r="AG15" s="82"/>
      <c r="AH15" s="82"/>
    </row>
    <row r="16" spans="2:34" ht="20.100000000000001" customHeight="1">
      <c r="B16" s="82"/>
      <c r="C16" s="82"/>
      <c r="D16" s="53">
        <v>2021</v>
      </c>
      <c r="E16" s="53">
        <f>D16+1</f>
        <v>2022</v>
      </c>
      <c r="F16" s="53">
        <f>E16+1</f>
        <v>2023</v>
      </c>
      <c r="G16" s="53">
        <f t="shared" ref="G16:N16" si="0">F16+1</f>
        <v>2024</v>
      </c>
      <c r="H16" s="53">
        <f t="shared" si="0"/>
        <v>2025</v>
      </c>
      <c r="I16" s="53">
        <f t="shared" si="0"/>
        <v>2026</v>
      </c>
      <c r="J16" s="53">
        <f t="shared" si="0"/>
        <v>2027</v>
      </c>
      <c r="K16" s="53">
        <f t="shared" si="0"/>
        <v>2028</v>
      </c>
      <c r="L16" s="53">
        <f t="shared" si="0"/>
        <v>2029</v>
      </c>
      <c r="M16" s="53">
        <f t="shared" si="0"/>
        <v>2030</v>
      </c>
      <c r="N16" s="53">
        <f t="shared" si="0"/>
        <v>2031</v>
      </c>
      <c r="O16" s="53">
        <f t="shared" ref="O16:X16" si="1">N16+1</f>
        <v>2032</v>
      </c>
      <c r="P16" s="53">
        <f t="shared" si="1"/>
        <v>2033</v>
      </c>
      <c r="Q16" s="53">
        <f t="shared" si="1"/>
        <v>2034</v>
      </c>
      <c r="R16" s="53">
        <f t="shared" si="1"/>
        <v>2035</v>
      </c>
      <c r="S16" s="53">
        <f t="shared" si="1"/>
        <v>2036</v>
      </c>
      <c r="T16" s="53">
        <f t="shared" si="1"/>
        <v>2037</v>
      </c>
      <c r="U16" s="53">
        <f t="shared" si="1"/>
        <v>2038</v>
      </c>
      <c r="V16" s="53">
        <f t="shared" si="1"/>
        <v>2039</v>
      </c>
      <c r="W16" s="53">
        <f t="shared" si="1"/>
        <v>2040</v>
      </c>
      <c r="X16" s="53">
        <f t="shared" si="1"/>
        <v>2041</v>
      </c>
      <c r="Y16" s="53">
        <f t="shared" ref="Y16:AG16" si="2">X16+1</f>
        <v>2042</v>
      </c>
      <c r="Z16" s="53">
        <f t="shared" si="2"/>
        <v>2043</v>
      </c>
      <c r="AA16" s="53">
        <f t="shared" si="2"/>
        <v>2044</v>
      </c>
      <c r="AB16" s="53">
        <f t="shared" si="2"/>
        <v>2045</v>
      </c>
      <c r="AC16" s="53">
        <f t="shared" si="2"/>
        <v>2046</v>
      </c>
      <c r="AD16" s="53">
        <f t="shared" si="2"/>
        <v>2047</v>
      </c>
      <c r="AE16" s="53">
        <f t="shared" si="2"/>
        <v>2048</v>
      </c>
      <c r="AF16" s="53">
        <f t="shared" si="2"/>
        <v>2049</v>
      </c>
      <c r="AG16" s="53">
        <f t="shared" si="2"/>
        <v>2050</v>
      </c>
      <c r="AH16" s="82"/>
    </row>
    <row r="17" spans="2:34" ht="20.100000000000001" customHeight="1">
      <c r="B17" s="82" t="s">
        <v>215</v>
      </c>
      <c r="C17" s="82"/>
      <c r="D17" s="389">
        <v>-0.2</v>
      </c>
      <c r="E17" s="389">
        <v>-0.2</v>
      </c>
      <c r="F17" s="389">
        <v>-0.2</v>
      </c>
      <c r="G17" s="389">
        <v>-0.2</v>
      </c>
      <c r="H17" s="389">
        <v>-0.2</v>
      </c>
      <c r="I17" s="389">
        <v>-0.2</v>
      </c>
      <c r="J17" s="389">
        <v>-0.2</v>
      </c>
      <c r="K17" s="389">
        <v>-0.2</v>
      </c>
      <c r="L17" s="389">
        <v>-0.2</v>
      </c>
      <c r="M17" s="389">
        <v>-0.2</v>
      </c>
      <c r="N17" s="389">
        <v>-0.4</v>
      </c>
      <c r="O17" s="389">
        <v>-0.4</v>
      </c>
      <c r="P17" s="389">
        <v>-0.4</v>
      </c>
      <c r="Q17" s="389">
        <v>-0.4</v>
      </c>
      <c r="R17" s="389">
        <v>-0.4</v>
      </c>
      <c r="S17" s="389">
        <v>-0.4</v>
      </c>
      <c r="T17" s="389">
        <v>-0.4</v>
      </c>
      <c r="U17" s="389">
        <v>-0.4</v>
      </c>
      <c r="V17" s="389">
        <v>-0.4</v>
      </c>
      <c r="W17" s="389">
        <v>-0.4</v>
      </c>
      <c r="X17" s="389">
        <v>-0.4</v>
      </c>
      <c r="Y17" s="389">
        <v>-0.4</v>
      </c>
      <c r="Z17" s="389">
        <v>-0.4</v>
      </c>
      <c r="AA17" s="389">
        <v>-0.4</v>
      </c>
      <c r="AB17" s="389">
        <v>-0.4</v>
      </c>
      <c r="AC17" s="389">
        <v>-0.4</v>
      </c>
      <c r="AD17" s="389">
        <v>-0.4</v>
      </c>
      <c r="AE17" s="389">
        <v>-0.4</v>
      </c>
      <c r="AF17" s="389">
        <v>-0.4</v>
      </c>
      <c r="AG17" s="389">
        <v>-0.4</v>
      </c>
      <c r="AH17" s="82"/>
    </row>
    <row r="19" spans="2:34" ht="20.100000000000001" customHeight="1">
      <c r="B19" s="414" t="s">
        <v>223</v>
      </c>
      <c r="C19" s="82"/>
      <c r="D19" s="1140"/>
      <c r="E19" s="1058"/>
      <c r="F19" s="1058"/>
      <c r="G19" s="1058"/>
      <c r="H19" s="1058"/>
      <c r="I19" s="1058"/>
      <c r="J19" s="1058"/>
      <c r="K19" s="1058"/>
      <c r="L19" s="1058"/>
      <c r="M19" s="1058"/>
      <c r="N19" s="1058"/>
      <c r="O19" s="1058"/>
      <c r="P19" s="1058"/>
      <c r="Q19" s="1058"/>
      <c r="R19" s="1058"/>
      <c r="S19" s="1058"/>
      <c r="T19" s="1058"/>
      <c r="U19" s="1058"/>
      <c r="V19" s="1058"/>
      <c r="W19" s="1058"/>
      <c r="X19" s="1058"/>
      <c r="Y19" s="1058"/>
      <c r="Z19" s="1058"/>
      <c r="AA19" s="1058"/>
      <c r="AB19" s="1058"/>
      <c r="AC19" s="1058"/>
      <c r="AD19" s="1058"/>
      <c r="AE19" s="1058"/>
      <c r="AF19" s="1058"/>
      <c r="AG19" s="1058"/>
      <c r="AH19" s="82"/>
    </row>
    <row r="20" spans="2:34" ht="20.100000000000001" customHeight="1">
      <c r="B20" s="82" t="s">
        <v>3003</v>
      </c>
      <c r="C20" s="401">
        <v>348.18181818181819</v>
      </c>
      <c r="D20" s="1140"/>
      <c r="E20" s="1058"/>
      <c r="F20" s="1058"/>
      <c r="G20" s="1058"/>
      <c r="H20" s="1058"/>
      <c r="I20" s="1058"/>
      <c r="J20" s="1058"/>
      <c r="K20" s="1058"/>
      <c r="L20" s="1058"/>
      <c r="M20" s="1058"/>
      <c r="N20" s="1058"/>
      <c r="O20" s="1058"/>
      <c r="P20" s="1058"/>
      <c r="Q20" s="1058"/>
      <c r="R20" s="1058"/>
      <c r="S20" s="1058"/>
      <c r="T20" s="1058"/>
      <c r="U20" s="1058"/>
      <c r="V20" s="1058"/>
      <c r="W20" s="1058"/>
      <c r="X20" s="1058"/>
      <c r="Y20" s="1058"/>
      <c r="Z20" s="1058"/>
      <c r="AA20" s="1058"/>
      <c r="AB20" s="1058"/>
      <c r="AC20" s="1058"/>
      <c r="AD20" s="1058"/>
      <c r="AE20" s="1058"/>
      <c r="AF20" s="1058"/>
      <c r="AG20" s="1058"/>
      <c r="AH20" s="82"/>
    </row>
    <row r="21" spans="2:34" ht="20.100000000000001" customHeight="1">
      <c r="B21" s="82"/>
      <c r="C21" s="82"/>
      <c r="D21" s="53">
        <v>2021</v>
      </c>
      <c r="E21" s="53">
        <f>D21+1</f>
        <v>2022</v>
      </c>
      <c r="F21" s="53">
        <f>E21+1</f>
        <v>2023</v>
      </c>
      <c r="G21" s="53">
        <f t="shared" ref="G21:AG21" si="3">F21+1</f>
        <v>2024</v>
      </c>
      <c r="H21" s="53">
        <f t="shared" si="3"/>
        <v>2025</v>
      </c>
      <c r="I21" s="53">
        <f t="shared" si="3"/>
        <v>2026</v>
      </c>
      <c r="J21" s="53">
        <f t="shared" si="3"/>
        <v>2027</v>
      </c>
      <c r="K21" s="53">
        <f t="shared" si="3"/>
        <v>2028</v>
      </c>
      <c r="L21" s="53">
        <f t="shared" si="3"/>
        <v>2029</v>
      </c>
      <c r="M21" s="53">
        <f t="shared" si="3"/>
        <v>2030</v>
      </c>
      <c r="N21" s="53">
        <f t="shared" si="3"/>
        <v>2031</v>
      </c>
      <c r="O21" s="53">
        <f t="shared" si="3"/>
        <v>2032</v>
      </c>
      <c r="P21" s="53">
        <f t="shared" si="3"/>
        <v>2033</v>
      </c>
      <c r="Q21" s="53">
        <f t="shared" si="3"/>
        <v>2034</v>
      </c>
      <c r="R21" s="53">
        <f t="shared" si="3"/>
        <v>2035</v>
      </c>
      <c r="S21" s="53">
        <f t="shared" si="3"/>
        <v>2036</v>
      </c>
      <c r="T21" s="53">
        <f t="shared" si="3"/>
        <v>2037</v>
      </c>
      <c r="U21" s="53">
        <f t="shared" si="3"/>
        <v>2038</v>
      </c>
      <c r="V21" s="53">
        <f t="shared" si="3"/>
        <v>2039</v>
      </c>
      <c r="W21" s="53">
        <f t="shared" si="3"/>
        <v>2040</v>
      </c>
      <c r="X21" s="53">
        <f t="shared" si="3"/>
        <v>2041</v>
      </c>
      <c r="Y21" s="53">
        <f t="shared" si="3"/>
        <v>2042</v>
      </c>
      <c r="Z21" s="53">
        <f t="shared" si="3"/>
        <v>2043</v>
      </c>
      <c r="AA21" s="53">
        <f t="shared" si="3"/>
        <v>2044</v>
      </c>
      <c r="AB21" s="53">
        <f t="shared" si="3"/>
        <v>2045</v>
      </c>
      <c r="AC21" s="53">
        <f t="shared" si="3"/>
        <v>2046</v>
      </c>
      <c r="AD21" s="53">
        <f t="shared" si="3"/>
        <v>2047</v>
      </c>
      <c r="AE21" s="53">
        <f t="shared" si="3"/>
        <v>2048</v>
      </c>
      <c r="AF21" s="53">
        <f t="shared" si="3"/>
        <v>2049</v>
      </c>
      <c r="AG21" s="53">
        <f t="shared" si="3"/>
        <v>2050</v>
      </c>
      <c r="AH21" s="82"/>
    </row>
    <row r="22" spans="2:34" ht="20.100000000000001" customHeight="1">
      <c r="B22" s="82" t="s">
        <v>221</v>
      </c>
      <c r="C22" s="82"/>
      <c r="D22" s="820">
        <v>-4.8</v>
      </c>
      <c r="E22" s="820">
        <v>-4.8</v>
      </c>
      <c r="F22" s="820">
        <v>-4.8</v>
      </c>
      <c r="G22" s="820">
        <v>-4.8</v>
      </c>
      <c r="H22" s="820">
        <v>-4.8</v>
      </c>
      <c r="I22" s="820">
        <v>-4.8</v>
      </c>
      <c r="J22" s="820">
        <v>-4.8</v>
      </c>
      <c r="K22" s="820">
        <v>-4.8</v>
      </c>
      <c r="L22" s="820">
        <v>-4.8</v>
      </c>
      <c r="M22" s="820">
        <v>-4.8</v>
      </c>
      <c r="N22" s="820">
        <v>-2.8</v>
      </c>
      <c r="O22" s="820">
        <v>-2.8</v>
      </c>
      <c r="P22" s="820">
        <v>-2.8</v>
      </c>
      <c r="Q22" s="820">
        <v>-2.8</v>
      </c>
      <c r="R22" s="820">
        <v>-2.8</v>
      </c>
      <c r="S22" s="820">
        <v>-2.8</v>
      </c>
      <c r="T22" s="820">
        <v>-2.8</v>
      </c>
      <c r="U22" s="820">
        <v>-2.8</v>
      </c>
      <c r="V22" s="820">
        <v>-2.8</v>
      </c>
      <c r="W22" s="820">
        <v>-2.8</v>
      </c>
      <c r="X22" s="820">
        <v>-2.8</v>
      </c>
      <c r="Y22" s="820">
        <v>-2.8</v>
      </c>
      <c r="Z22" s="820">
        <v>-2.8</v>
      </c>
      <c r="AA22" s="820">
        <v>-2.8</v>
      </c>
      <c r="AB22" s="820">
        <v>-2.8</v>
      </c>
      <c r="AC22" s="820">
        <v>-2.8</v>
      </c>
      <c r="AD22" s="820">
        <v>-2.8</v>
      </c>
      <c r="AE22" s="820">
        <v>-2.8</v>
      </c>
      <c r="AF22" s="820">
        <v>-2.8</v>
      </c>
      <c r="AG22" s="820">
        <v>-2.8</v>
      </c>
      <c r="AH22" s="82"/>
    </row>
    <row r="23" spans="2:34" ht="20.100000000000001" customHeight="1">
      <c r="B23" s="82" t="s">
        <v>217</v>
      </c>
      <c r="C23" s="735"/>
      <c r="D23" s="1046">
        <f>IF('LOCAL DATASET'!D21=$C$4,'LOCAL DATASET'!$C$20,INT('LOCAL DATASET'!C23*(100+'LOCAL DATASET'!D22)/100))</f>
        <v>0</v>
      </c>
      <c r="E23" s="1046">
        <f>IF('LOCAL DATASET'!E21=$C$4,'LOCAL DATASET'!$C$20,INT('LOCAL DATASET'!D23*(100+'LOCAL DATASET'!E22)/100))</f>
        <v>348.18181818181819</v>
      </c>
      <c r="F23" s="1046">
        <f>IF('LOCAL DATASET'!F21=$C$4,'LOCAL DATASET'!$C$20,INT('LOCAL DATASET'!E23*(100+'LOCAL DATASET'!F22)/100))</f>
        <v>331</v>
      </c>
      <c r="G23" s="1046">
        <f>IF('LOCAL DATASET'!G21=$C$4,'LOCAL DATASET'!$C$20,INT('LOCAL DATASET'!F23*(100+'LOCAL DATASET'!G22)/100))</f>
        <v>315</v>
      </c>
      <c r="H23" s="1046">
        <f>IF('LOCAL DATASET'!H21=$C$4,'LOCAL DATASET'!$C$20,INT('LOCAL DATASET'!G23*(100+'LOCAL DATASET'!H22)/100))</f>
        <v>299</v>
      </c>
      <c r="I23" s="1046">
        <f>IF('LOCAL DATASET'!I21=$C$4,'LOCAL DATASET'!$C$20,INT('LOCAL DATASET'!H23*(100+'LOCAL DATASET'!I22)/100))</f>
        <v>284</v>
      </c>
      <c r="J23" s="1046">
        <f>IF('LOCAL DATASET'!J21=$C$4,'LOCAL DATASET'!$C$20,INT('LOCAL DATASET'!I23*(100+'LOCAL DATASET'!J22)/100))</f>
        <v>270</v>
      </c>
      <c r="K23" s="1046">
        <f>IF('LOCAL DATASET'!K21=$C$4,'LOCAL DATASET'!$C$20,INT('LOCAL DATASET'!J23*(100+'LOCAL DATASET'!K22)/100))</f>
        <v>257</v>
      </c>
      <c r="L23" s="1046">
        <f>IF('LOCAL DATASET'!L21=$C$4,'LOCAL DATASET'!$C$20,INT('LOCAL DATASET'!K23*(100+'LOCAL DATASET'!L22)/100))</f>
        <v>244</v>
      </c>
      <c r="M23" s="1046">
        <f>IF('LOCAL DATASET'!M21=$C$4,'LOCAL DATASET'!$C$20,INT('LOCAL DATASET'!L23*(100+'LOCAL DATASET'!M22)/100))</f>
        <v>232</v>
      </c>
      <c r="N23" s="1046">
        <f>IF('LOCAL DATASET'!N21=$C$4,'LOCAL DATASET'!$C$20,INT('LOCAL DATASET'!M23*(100+'LOCAL DATASET'!N22)/100))</f>
        <v>225</v>
      </c>
      <c r="O23" s="1046">
        <f>IF('LOCAL DATASET'!O21=$C$4,'LOCAL DATASET'!$C$20,INT('LOCAL DATASET'!N23*(100+'LOCAL DATASET'!O22)/100))</f>
        <v>218</v>
      </c>
      <c r="P23" s="1046">
        <f>IF('LOCAL DATASET'!P21=$C$4,'LOCAL DATASET'!$C$20,INT('LOCAL DATASET'!O23*(100+'LOCAL DATASET'!P22)/100))</f>
        <v>211</v>
      </c>
      <c r="Q23" s="1046">
        <f>IF('LOCAL DATASET'!Q21=$C$4,'LOCAL DATASET'!$C$20,INT('LOCAL DATASET'!P23*(100+'LOCAL DATASET'!Q22)/100))</f>
        <v>205</v>
      </c>
      <c r="R23" s="1046">
        <f>IF('LOCAL DATASET'!R21=$C$4,'LOCAL DATASET'!$C$20,INT('LOCAL DATASET'!Q23*(100+'LOCAL DATASET'!R22)/100))</f>
        <v>199</v>
      </c>
      <c r="S23" s="1046">
        <f>IF('LOCAL DATASET'!S21=$C$4,'LOCAL DATASET'!$C$20,INT('LOCAL DATASET'!R23*(100+'LOCAL DATASET'!S22)/100))</f>
        <v>193</v>
      </c>
      <c r="T23" s="1046">
        <f>IF('LOCAL DATASET'!T21=$C$4,'LOCAL DATASET'!$C$20,INT('LOCAL DATASET'!S23*(100+'LOCAL DATASET'!T22)/100))</f>
        <v>187</v>
      </c>
      <c r="U23" s="1046">
        <f>IF('LOCAL DATASET'!U21=$C$4,'LOCAL DATASET'!$C$20,INT('LOCAL DATASET'!T23*(100+'LOCAL DATASET'!U22)/100))</f>
        <v>181</v>
      </c>
      <c r="V23" s="1046">
        <f>IF('LOCAL DATASET'!V21=$C$4,'LOCAL DATASET'!$C$20,INT('LOCAL DATASET'!U23*(100+'LOCAL DATASET'!V22)/100))</f>
        <v>175</v>
      </c>
      <c r="W23" s="1046">
        <f>IF('LOCAL DATASET'!W21=$C$4,'LOCAL DATASET'!$C$20,INT('LOCAL DATASET'!V23*(100+'LOCAL DATASET'!W22)/100))</f>
        <v>170</v>
      </c>
      <c r="X23" s="1046">
        <f>IF('LOCAL DATASET'!X21=$C$4,'LOCAL DATASET'!$C$20,INT('LOCAL DATASET'!W23*(100+'LOCAL DATASET'!X22)/100))</f>
        <v>165</v>
      </c>
      <c r="Y23" s="1046">
        <f>IF('LOCAL DATASET'!Y21=$C$4,'LOCAL DATASET'!$C$20,INT('LOCAL DATASET'!X23*(100+'LOCAL DATASET'!Y22)/100))</f>
        <v>160</v>
      </c>
      <c r="Z23" s="1046">
        <f>IF('LOCAL DATASET'!Z21=$C$4,'LOCAL DATASET'!$C$20,INT('LOCAL DATASET'!Y23*(100+'LOCAL DATASET'!Z22)/100))</f>
        <v>155</v>
      </c>
      <c r="AA23" s="1046">
        <f>IF('LOCAL DATASET'!AA21=$C$4,'LOCAL DATASET'!$C$20,INT('LOCAL DATASET'!Z23*(100+'LOCAL DATASET'!AA22)/100))</f>
        <v>150</v>
      </c>
      <c r="AB23" s="1046">
        <f>IF('LOCAL DATASET'!AB21=$C$4,'LOCAL DATASET'!$C$20,INT('LOCAL DATASET'!AA23*(100+'LOCAL DATASET'!AB22)/100))</f>
        <v>145</v>
      </c>
      <c r="AC23" s="1046">
        <f>IF('LOCAL DATASET'!AC21=$C$4,'LOCAL DATASET'!$C$20,INT('LOCAL DATASET'!AB23*(100+'LOCAL DATASET'!AC22)/100))</f>
        <v>140</v>
      </c>
      <c r="AD23" s="1046">
        <f>IF('LOCAL DATASET'!AD21=$C$4,'LOCAL DATASET'!$C$20,INT('LOCAL DATASET'!AC23*(100+'LOCAL DATASET'!AD22)/100))</f>
        <v>136</v>
      </c>
      <c r="AE23" s="1046">
        <f>IF('LOCAL DATASET'!AE21=$C$4,'LOCAL DATASET'!$C$20,INT('LOCAL DATASET'!AD23*(100+'LOCAL DATASET'!AE22)/100))</f>
        <v>132</v>
      </c>
      <c r="AF23" s="1046">
        <f>IF('LOCAL DATASET'!AF21=$C$4,'LOCAL DATASET'!$C$20,INT('LOCAL DATASET'!AE23*(100+'LOCAL DATASET'!AF22)/100))</f>
        <v>128</v>
      </c>
      <c r="AG23" s="1046">
        <f>IF('LOCAL DATASET'!AG21=$C$4,'LOCAL DATASET'!$C$20,INT('LOCAL DATASET'!AF23*(100+'LOCAL DATASET'!AG22)/100))</f>
        <v>124</v>
      </c>
      <c r="AH23" s="735"/>
    </row>
    <row r="24" spans="2:34" ht="20.100000000000001" customHeight="1">
      <c r="B24" s="82"/>
      <c r="C24" s="735"/>
      <c r="D24" s="1047"/>
      <c r="E24" s="1047"/>
      <c r="F24" s="1047"/>
      <c r="G24" s="1047"/>
      <c r="H24" s="1047"/>
      <c r="I24" s="1047"/>
      <c r="J24" s="1047"/>
      <c r="K24" s="1047"/>
      <c r="L24" s="1047"/>
      <c r="M24" s="1047"/>
      <c r="N24" s="1047"/>
      <c r="O24" s="1047"/>
      <c r="P24" s="1047"/>
      <c r="Q24" s="1047"/>
      <c r="R24" s="1047"/>
      <c r="S24" s="1047"/>
      <c r="T24" s="1047"/>
      <c r="U24" s="1047"/>
      <c r="V24" s="1047"/>
      <c r="W24" s="1047"/>
      <c r="X24" s="1047"/>
      <c r="Y24" s="1047"/>
      <c r="Z24" s="1047"/>
      <c r="AA24" s="1047"/>
      <c r="AB24" s="1047"/>
      <c r="AC24" s="1047"/>
      <c r="AD24" s="1047"/>
      <c r="AE24" s="1047"/>
      <c r="AF24" s="1047"/>
      <c r="AG24" s="1047"/>
      <c r="AH24" s="735"/>
    </row>
    <row r="25" spans="2:34" ht="20.100000000000001" customHeight="1">
      <c r="B25" s="82" t="s">
        <v>3004</v>
      </c>
      <c r="C25" s="401">
        <v>350</v>
      </c>
      <c r="D25" s="1140"/>
      <c r="E25" s="1058"/>
      <c r="F25" s="1058"/>
      <c r="G25" s="1058"/>
      <c r="H25" s="1058"/>
      <c r="I25" s="1058"/>
      <c r="J25" s="1058"/>
      <c r="K25" s="1058"/>
      <c r="L25" s="1058"/>
      <c r="M25" s="1058"/>
      <c r="N25" s="1058"/>
      <c r="O25" s="1058"/>
      <c r="P25" s="1058"/>
      <c r="Q25" s="1058"/>
      <c r="R25" s="1058"/>
      <c r="S25" s="1058"/>
      <c r="T25" s="1058"/>
      <c r="U25" s="1058"/>
      <c r="V25" s="1058"/>
      <c r="W25" s="1058"/>
      <c r="X25" s="1058"/>
      <c r="Y25" s="1058"/>
      <c r="Z25" s="1058"/>
      <c r="AA25" s="1058"/>
      <c r="AB25" s="1058"/>
      <c r="AC25" s="1058"/>
      <c r="AD25" s="1058"/>
      <c r="AE25" s="1058"/>
      <c r="AF25" s="1058"/>
      <c r="AG25" s="1058"/>
      <c r="AH25" s="735"/>
    </row>
    <row r="26" spans="2:34" ht="20.100000000000001" customHeight="1">
      <c r="B26" s="82"/>
      <c r="C26" s="82"/>
      <c r="D26" s="53">
        <v>2021</v>
      </c>
      <c r="E26" s="53">
        <f>D26+1</f>
        <v>2022</v>
      </c>
      <c r="F26" s="53">
        <f>E26+1</f>
        <v>2023</v>
      </c>
      <c r="G26" s="53">
        <f t="shared" ref="G26" si="4">F26+1</f>
        <v>2024</v>
      </c>
      <c r="H26" s="53">
        <f t="shared" ref="H26" si="5">G26+1</f>
        <v>2025</v>
      </c>
      <c r="I26" s="53">
        <f t="shared" ref="I26" si="6">H26+1</f>
        <v>2026</v>
      </c>
      <c r="J26" s="53">
        <f t="shared" ref="J26" si="7">I26+1</f>
        <v>2027</v>
      </c>
      <c r="K26" s="53">
        <f t="shared" ref="K26" si="8">J26+1</f>
        <v>2028</v>
      </c>
      <c r="L26" s="53">
        <f t="shared" ref="L26" si="9">K26+1</f>
        <v>2029</v>
      </c>
      <c r="M26" s="53">
        <f t="shared" ref="M26" si="10">L26+1</f>
        <v>2030</v>
      </c>
      <c r="N26" s="53">
        <f t="shared" ref="N26" si="11">M26+1</f>
        <v>2031</v>
      </c>
      <c r="O26" s="53">
        <f t="shared" ref="O26" si="12">N26+1</f>
        <v>2032</v>
      </c>
      <c r="P26" s="53">
        <f t="shared" ref="P26" si="13">O26+1</f>
        <v>2033</v>
      </c>
      <c r="Q26" s="53">
        <f t="shared" ref="Q26" si="14">P26+1</f>
        <v>2034</v>
      </c>
      <c r="R26" s="53">
        <f t="shared" ref="R26" si="15">Q26+1</f>
        <v>2035</v>
      </c>
      <c r="S26" s="53">
        <f t="shared" ref="S26" si="16">R26+1</f>
        <v>2036</v>
      </c>
      <c r="T26" s="53">
        <f t="shared" ref="T26" si="17">S26+1</f>
        <v>2037</v>
      </c>
      <c r="U26" s="53">
        <f t="shared" ref="U26" si="18">T26+1</f>
        <v>2038</v>
      </c>
      <c r="V26" s="53">
        <f t="shared" ref="V26" si="19">U26+1</f>
        <v>2039</v>
      </c>
      <c r="W26" s="53">
        <f t="shared" ref="W26" si="20">V26+1</f>
        <v>2040</v>
      </c>
      <c r="X26" s="53">
        <f t="shared" ref="X26" si="21">W26+1</f>
        <v>2041</v>
      </c>
      <c r="Y26" s="53">
        <f t="shared" ref="Y26" si="22">X26+1</f>
        <v>2042</v>
      </c>
      <c r="Z26" s="53">
        <f t="shared" ref="Z26" si="23">Y26+1</f>
        <v>2043</v>
      </c>
      <c r="AA26" s="53">
        <f t="shared" ref="AA26" si="24">Z26+1</f>
        <v>2044</v>
      </c>
      <c r="AB26" s="53">
        <f t="shared" ref="AB26" si="25">AA26+1</f>
        <v>2045</v>
      </c>
      <c r="AC26" s="53">
        <f t="shared" ref="AC26" si="26">AB26+1</f>
        <v>2046</v>
      </c>
      <c r="AD26" s="53">
        <f t="shared" ref="AD26" si="27">AC26+1</f>
        <v>2047</v>
      </c>
      <c r="AE26" s="53">
        <f t="shared" ref="AE26" si="28">AD26+1</f>
        <v>2048</v>
      </c>
      <c r="AF26" s="53">
        <f t="shared" ref="AF26" si="29">AE26+1</f>
        <v>2049</v>
      </c>
      <c r="AG26" s="53">
        <f t="shared" ref="AG26" si="30">AF26+1</f>
        <v>2050</v>
      </c>
      <c r="AH26" s="735"/>
    </row>
    <row r="27" spans="2:34" ht="20.100000000000001" customHeight="1">
      <c r="B27" s="82" t="s">
        <v>221</v>
      </c>
      <c r="C27" s="82"/>
      <c r="D27" s="820">
        <v>0</v>
      </c>
      <c r="E27" s="820">
        <v>0</v>
      </c>
      <c r="F27" s="820">
        <v>0</v>
      </c>
      <c r="G27" s="820">
        <v>0</v>
      </c>
      <c r="H27" s="820">
        <v>0</v>
      </c>
      <c r="I27" s="820">
        <v>0</v>
      </c>
      <c r="J27" s="820">
        <v>0</v>
      </c>
      <c r="K27" s="820">
        <v>0</v>
      </c>
      <c r="L27" s="820">
        <v>0</v>
      </c>
      <c r="M27" s="820">
        <v>0</v>
      </c>
      <c r="N27" s="820">
        <v>0</v>
      </c>
      <c r="O27" s="820">
        <v>0</v>
      </c>
      <c r="P27" s="820">
        <v>0</v>
      </c>
      <c r="Q27" s="820">
        <v>0</v>
      </c>
      <c r="R27" s="820">
        <v>0</v>
      </c>
      <c r="S27" s="820">
        <v>0</v>
      </c>
      <c r="T27" s="820">
        <v>0</v>
      </c>
      <c r="U27" s="820">
        <v>0</v>
      </c>
      <c r="V27" s="820">
        <v>0</v>
      </c>
      <c r="W27" s="820">
        <v>0</v>
      </c>
      <c r="X27" s="820">
        <v>0</v>
      </c>
      <c r="Y27" s="820">
        <v>0</v>
      </c>
      <c r="Z27" s="820">
        <v>0</v>
      </c>
      <c r="AA27" s="820">
        <v>0</v>
      </c>
      <c r="AB27" s="820">
        <v>0</v>
      </c>
      <c r="AC27" s="820">
        <v>0</v>
      </c>
      <c r="AD27" s="820">
        <v>0</v>
      </c>
      <c r="AE27" s="820">
        <v>0</v>
      </c>
      <c r="AF27" s="820">
        <v>0</v>
      </c>
      <c r="AG27" s="820">
        <v>0</v>
      </c>
      <c r="AH27" s="735"/>
    </row>
    <row r="28" spans="2:34" ht="20.100000000000001" customHeight="1">
      <c r="B28" s="82" t="s">
        <v>3005</v>
      </c>
      <c r="C28" s="735"/>
      <c r="D28" s="1046">
        <f>IF(D26&lt;($C$4+1),$C$25,C25*(100+D27)/100)</f>
        <v>350</v>
      </c>
      <c r="E28" s="1046">
        <f>IF(E26&lt;($C$4+1),$C$25,D28*(100+E27)/100)</f>
        <v>350</v>
      </c>
      <c r="F28" s="1046">
        <f t="shared" ref="F28:AG28" si="31">IF(F26&lt;($C$4+1),$C$25,E28*(100+F27)/100)</f>
        <v>350</v>
      </c>
      <c r="G28" s="1046">
        <f t="shared" si="31"/>
        <v>350</v>
      </c>
      <c r="H28" s="1046">
        <f t="shared" si="31"/>
        <v>350</v>
      </c>
      <c r="I28" s="1046">
        <f t="shared" si="31"/>
        <v>350</v>
      </c>
      <c r="J28" s="1046">
        <f t="shared" si="31"/>
        <v>350</v>
      </c>
      <c r="K28" s="1046">
        <f t="shared" si="31"/>
        <v>350</v>
      </c>
      <c r="L28" s="1046">
        <f t="shared" si="31"/>
        <v>350</v>
      </c>
      <c r="M28" s="1046">
        <f t="shared" si="31"/>
        <v>350</v>
      </c>
      <c r="N28" s="1046">
        <f t="shared" si="31"/>
        <v>350</v>
      </c>
      <c r="O28" s="1046">
        <f t="shared" si="31"/>
        <v>350</v>
      </c>
      <c r="P28" s="1046">
        <f t="shared" si="31"/>
        <v>350</v>
      </c>
      <c r="Q28" s="1046">
        <f t="shared" si="31"/>
        <v>350</v>
      </c>
      <c r="R28" s="1046">
        <f t="shared" si="31"/>
        <v>350</v>
      </c>
      <c r="S28" s="1046">
        <f t="shared" si="31"/>
        <v>350</v>
      </c>
      <c r="T28" s="1046">
        <f t="shared" si="31"/>
        <v>350</v>
      </c>
      <c r="U28" s="1046">
        <f t="shared" si="31"/>
        <v>350</v>
      </c>
      <c r="V28" s="1046">
        <f t="shared" si="31"/>
        <v>350</v>
      </c>
      <c r="W28" s="1046">
        <f t="shared" si="31"/>
        <v>350</v>
      </c>
      <c r="X28" s="1046">
        <f t="shared" si="31"/>
        <v>350</v>
      </c>
      <c r="Y28" s="1046">
        <f t="shared" si="31"/>
        <v>350</v>
      </c>
      <c r="Z28" s="1046">
        <f t="shared" si="31"/>
        <v>350</v>
      </c>
      <c r="AA28" s="1046">
        <f t="shared" si="31"/>
        <v>350</v>
      </c>
      <c r="AB28" s="1046">
        <f t="shared" si="31"/>
        <v>350</v>
      </c>
      <c r="AC28" s="1046">
        <f t="shared" si="31"/>
        <v>350</v>
      </c>
      <c r="AD28" s="1046">
        <f t="shared" si="31"/>
        <v>350</v>
      </c>
      <c r="AE28" s="1046">
        <f t="shared" si="31"/>
        <v>350</v>
      </c>
      <c r="AF28" s="1046">
        <f t="shared" si="31"/>
        <v>350</v>
      </c>
      <c r="AG28" s="1046">
        <f t="shared" si="31"/>
        <v>350</v>
      </c>
      <c r="AH28" s="735"/>
    </row>
    <row r="29" spans="2:34" ht="20.100000000000001" customHeight="1">
      <c r="B29" s="82"/>
      <c r="C29" s="735"/>
      <c r="D29" s="1047"/>
      <c r="E29" s="1047"/>
      <c r="F29" s="1047"/>
      <c r="G29" s="1047"/>
      <c r="H29" s="1047"/>
      <c r="I29" s="1047"/>
      <c r="J29" s="1047"/>
      <c r="K29" s="1047"/>
      <c r="L29" s="1047"/>
      <c r="M29" s="1047"/>
      <c r="N29" s="1047"/>
      <c r="O29" s="1047"/>
      <c r="P29" s="1047"/>
      <c r="Q29" s="1047"/>
      <c r="R29" s="1047"/>
      <c r="S29" s="1047"/>
      <c r="T29" s="1047"/>
      <c r="U29" s="1047"/>
      <c r="V29" s="1047"/>
      <c r="W29" s="1047"/>
      <c r="X29" s="1047"/>
      <c r="Y29" s="1047"/>
      <c r="Z29" s="1047"/>
      <c r="AA29" s="1047"/>
      <c r="AB29" s="1047"/>
      <c r="AC29" s="1047"/>
      <c r="AD29" s="1047"/>
      <c r="AE29" s="1047"/>
      <c r="AF29" s="1047"/>
      <c r="AG29" s="1047"/>
      <c r="AH29" s="735"/>
    </row>
    <row r="30" spans="2:34" ht="20.100000000000001" customHeight="1">
      <c r="B30" s="414" t="s">
        <v>36</v>
      </c>
      <c r="C30" s="1140"/>
      <c r="D30" s="82"/>
      <c r="E30" s="82"/>
      <c r="F30" s="82"/>
      <c r="G30" s="82"/>
      <c r="H30" s="82"/>
      <c r="I30" s="82"/>
      <c r="J30" s="82"/>
      <c r="K30" s="82"/>
      <c r="L30" s="82"/>
      <c r="M30" s="82"/>
      <c r="N30" s="82"/>
      <c r="O30" s="82"/>
      <c r="P30" s="82"/>
      <c r="Q30" s="82"/>
      <c r="R30" s="82"/>
      <c r="S30" s="82"/>
      <c r="T30" s="82"/>
      <c r="U30" s="82"/>
      <c r="V30" s="82"/>
      <c r="W30" s="82"/>
      <c r="X30" s="82"/>
      <c r="Y30" s="82"/>
      <c r="Z30" s="82"/>
      <c r="AA30" s="82"/>
      <c r="AB30" s="82"/>
      <c r="AC30" s="82"/>
      <c r="AD30" s="82"/>
      <c r="AE30" s="82"/>
      <c r="AF30" s="82"/>
      <c r="AG30" s="82"/>
      <c r="AH30" s="82"/>
    </row>
    <row r="31" spans="2:34" ht="20.100000000000001" customHeight="1">
      <c r="B31" s="82" t="s">
        <v>4088</v>
      </c>
      <c r="C31" s="390">
        <v>1216.230079338347</v>
      </c>
      <c r="D31" s="82" t="s">
        <v>1753</v>
      </c>
      <c r="E31" s="82"/>
      <c r="F31" s="82"/>
      <c r="G31" s="82"/>
      <c r="H31" s="82"/>
      <c r="I31" s="82"/>
      <c r="J31" s="82"/>
      <c r="K31" s="82"/>
      <c r="L31" s="82"/>
      <c r="M31" s="82"/>
      <c r="N31" s="82"/>
      <c r="O31" s="82"/>
      <c r="P31" s="82"/>
      <c r="Q31" s="82"/>
      <c r="R31" s="82"/>
      <c r="S31" s="82"/>
      <c r="T31" s="82"/>
      <c r="U31" s="82"/>
      <c r="V31" s="82"/>
      <c r="W31" s="82"/>
      <c r="X31" s="82"/>
      <c r="Y31" s="82"/>
      <c r="Z31" s="82"/>
      <c r="AA31" s="82"/>
      <c r="AB31" s="82"/>
      <c r="AC31" s="82"/>
      <c r="AD31" s="82"/>
      <c r="AE31" s="82"/>
      <c r="AF31" s="82"/>
      <c r="AG31" s="82"/>
      <c r="AH31" s="82"/>
    </row>
    <row r="32" spans="2:34" ht="20.100000000000001" customHeight="1">
      <c r="B32" s="82" t="s">
        <v>218</v>
      </c>
      <c r="C32" s="389">
        <v>12</v>
      </c>
      <c r="D32" s="82" t="s">
        <v>220</v>
      </c>
      <c r="E32" s="82"/>
      <c r="F32" s="82"/>
      <c r="G32" s="82"/>
      <c r="H32" s="82"/>
      <c r="I32" s="82"/>
      <c r="J32" s="82"/>
      <c r="K32" s="82"/>
      <c r="L32" s="82"/>
      <c r="M32" s="82"/>
      <c r="N32" s="82"/>
      <c r="O32" s="82"/>
      <c r="P32" s="82"/>
      <c r="Q32" s="82"/>
      <c r="R32" s="82"/>
      <c r="S32" s="82"/>
      <c r="T32" s="82"/>
      <c r="U32" s="82"/>
      <c r="V32" s="82"/>
      <c r="W32" s="82"/>
      <c r="X32" s="82"/>
      <c r="Y32" s="82"/>
      <c r="Z32" s="82"/>
      <c r="AA32" s="82"/>
      <c r="AB32" s="82"/>
      <c r="AC32" s="82"/>
      <c r="AD32" s="82"/>
      <c r="AE32" s="82"/>
      <c r="AF32" s="82"/>
      <c r="AG32" s="82"/>
      <c r="AH32" s="82"/>
    </row>
    <row r="33" spans="2:46" ht="20.100000000000001" customHeight="1">
      <c r="B33" s="82"/>
      <c r="C33" s="82"/>
      <c r="D33" s="53">
        <f t="shared" ref="D33:AG33" si="32">D21</f>
        <v>2021</v>
      </c>
      <c r="E33" s="53">
        <f t="shared" si="32"/>
        <v>2022</v>
      </c>
      <c r="F33" s="53">
        <f t="shared" si="32"/>
        <v>2023</v>
      </c>
      <c r="G33" s="53">
        <f t="shared" si="32"/>
        <v>2024</v>
      </c>
      <c r="H33" s="53">
        <f t="shared" si="32"/>
        <v>2025</v>
      </c>
      <c r="I33" s="53">
        <f t="shared" si="32"/>
        <v>2026</v>
      </c>
      <c r="J33" s="53">
        <f t="shared" si="32"/>
        <v>2027</v>
      </c>
      <c r="K33" s="53">
        <f t="shared" si="32"/>
        <v>2028</v>
      </c>
      <c r="L33" s="53">
        <f t="shared" si="32"/>
        <v>2029</v>
      </c>
      <c r="M33" s="53">
        <f t="shared" si="32"/>
        <v>2030</v>
      </c>
      <c r="N33" s="53">
        <f t="shared" si="32"/>
        <v>2031</v>
      </c>
      <c r="O33" s="53">
        <f t="shared" si="32"/>
        <v>2032</v>
      </c>
      <c r="P33" s="53">
        <f t="shared" si="32"/>
        <v>2033</v>
      </c>
      <c r="Q33" s="53">
        <f t="shared" si="32"/>
        <v>2034</v>
      </c>
      <c r="R33" s="53">
        <f t="shared" si="32"/>
        <v>2035</v>
      </c>
      <c r="S33" s="53">
        <f t="shared" si="32"/>
        <v>2036</v>
      </c>
      <c r="T33" s="53">
        <f t="shared" si="32"/>
        <v>2037</v>
      </c>
      <c r="U33" s="53">
        <f t="shared" si="32"/>
        <v>2038</v>
      </c>
      <c r="V33" s="53">
        <f t="shared" si="32"/>
        <v>2039</v>
      </c>
      <c r="W33" s="53">
        <f t="shared" si="32"/>
        <v>2040</v>
      </c>
      <c r="X33" s="53">
        <f t="shared" si="32"/>
        <v>2041</v>
      </c>
      <c r="Y33" s="53">
        <f t="shared" si="32"/>
        <v>2042</v>
      </c>
      <c r="Z33" s="53">
        <f t="shared" si="32"/>
        <v>2043</v>
      </c>
      <c r="AA33" s="53">
        <f t="shared" si="32"/>
        <v>2044</v>
      </c>
      <c r="AB33" s="53">
        <f t="shared" si="32"/>
        <v>2045</v>
      </c>
      <c r="AC33" s="53">
        <f t="shared" si="32"/>
        <v>2046</v>
      </c>
      <c r="AD33" s="53">
        <f t="shared" si="32"/>
        <v>2047</v>
      </c>
      <c r="AE33" s="53">
        <f t="shared" si="32"/>
        <v>2048</v>
      </c>
      <c r="AF33" s="53">
        <f t="shared" si="32"/>
        <v>2049</v>
      </c>
      <c r="AG33" s="53">
        <f t="shared" si="32"/>
        <v>2050</v>
      </c>
      <c r="AH33" s="82"/>
    </row>
    <row r="34" spans="2:46" ht="20.100000000000001" customHeight="1">
      <c r="B34" s="82" t="s">
        <v>4361</v>
      </c>
      <c r="C34" s="82"/>
      <c r="D34" s="389">
        <v>2.2999999999999998</v>
      </c>
      <c r="E34" s="389">
        <v>2.2999999999999998</v>
      </c>
      <c r="F34" s="389">
        <v>2.2999999999999998</v>
      </c>
      <c r="G34" s="389">
        <v>2.2999999999999998</v>
      </c>
      <c r="H34" s="389">
        <v>2.2999999999999998</v>
      </c>
      <c r="I34" s="389">
        <v>2.2999999999999998</v>
      </c>
      <c r="J34" s="389">
        <v>2.2999999999999998</v>
      </c>
      <c r="K34" s="389">
        <v>2.2999999999999998</v>
      </c>
      <c r="L34" s="389">
        <v>2.2999999999999998</v>
      </c>
      <c r="M34" s="389">
        <v>2.2999999999999998</v>
      </c>
      <c r="N34" s="389">
        <v>0.7</v>
      </c>
      <c r="O34" s="389">
        <v>0.7</v>
      </c>
      <c r="P34" s="389">
        <v>0.7</v>
      </c>
      <c r="Q34" s="389">
        <v>0.7</v>
      </c>
      <c r="R34" s="389">
        <v>0.7</v>
      </c>
      <c r="S34" s="389">
        <v>0.7</v>
      </c>
      <c r="T34" s="389">
        <v>0.7</v>
      </c>
      <c r="U34" s="389">
        <v>0.7</v>
      </c>
      <c r="V34" s="389">
        <v>0.7</v>
      </c>
      <c r="W34" s="389">
        <v>0.7</v>
      </c>
      <c r="X34" s="389">
        <v>0.7</v>
      </c>
      <c r="Y34" s="389">
        <v>0.7</v>
      </c>
      <c r="Z34" s="389">
        <v>0.7</v>
      </c>
      <c r="AA34" s="389">
        <v>0.7</v>
      </c>
      <c r="AB34" s="389">
        <v>0.7</v>
      </c>
      <c r="AC34" s="389">
        <v>0.7</v>
      </c>
      <c r="AD34" s="389">
        <v>0.7</v>
      </c>
      <c r="AE34" s="389">
        <v>0.7</v>
      </c>
      <c r="AF34" s="389">
        <v>0.7</v>
      </c>
      <c r="AG34" s="389">
        <v>0.7</v>
      </c>
      <c r="AH34" s="82"/>
    </row>
    <row r="35" spans="2:46" ht="20.100000000000001" customHeight="1">
      <c r="B35" s="82"/>
      <c r="C35" s="82"/>
      <c r="D35" s="1387">
        <f>IF(D33&lt;($C$4+1),$C$31,C31*(100+D34)/100)</f>
        <v>1216.230079338347</v>
      </c>
      <c r="E35" s="1387">
        <f>IF(E33&lt;($C$4+1),$C$31,D35*(100+E34)/100)</f>
        <v>1216.230079338347</v>
      </c>
      <c r="F35" s="1387">
        <f t="shared" ref="F35:AG35" si="33">IF(F33&lt;($C$4+1),$C$31,E35*(100+F34)/100)</f>
        <v>1244.2033711631288</v>
      </c>
      <c r="G35" s="1387">
        <f t="shared" si="33"/>
        <v>1272.8200486998808</v>
      </c>
      <c r="H35" s="1387">
        <f t="shared" si="33"/>
        <v>1302.0949098199781</v>
      </c>
      <c r="I35" s="1387">
        <f t="shared" si="33"/>
        <v>1332.0430927458376</v>
      </c>
      <c r="J35" s="1387">
        <f t="shared" si="33"/>
        <v>1362.6800838789918</v>
      </c>
      <c r="K35" s="1387">
        <f t="shared" si="33"/>
        <v>1394.0217258082087</v>
      </c>
      <c r="L35" s="1387">
        <f t="shared" si="33"/>
        <v>1426.0842255017974</v>
      </c>
      <c r="M35" s="1387">
        <f t="shared" si="33"/>
        <v>1458.8841626883386</v>
      </c>
      <c r="N35" s="1387">
        <f t="shared" si="33"/>
        <v>1469.0963518271569</v>
      </c>
      <c r="O35" s="1387">
        <f t="shared" si="33"/>
        <v>1479.380026289947</v>
      </c>
      <c r="P35" s="1387">
        <f t="shared" si="33"/>
        <v>1489.7356864739766</v>
      </c>
      <c r="Q35" s="1387">
        <f t="shared" si="33"/>
        <v>1500.1638362792944</v>
      </c>
      <c r="R35" s="1387">
        <f t="shared" si="33"/>
        <v>1510.6649831332497</v>
      </c>
      <c r="S35" s="1387">
        <f t="shared" si="33"/>
        <v>1521.2396380151827</v>
      </c>
      <c r="T35" s="1387">
        <f t="shared" si="33"/>
        <v>1531.8883154812888</v>
      </c>
      <c r="U35" s="1387">
        <f t="shared" si="33"/>
        <v>1542.6115336896578</v>
      </c>
      <c r="V35" s="1387">
        <f t="shared" si="33"/>
        <v>1553.4098144254854</v>
      </c>
      <c r="W35" s="1387">
        <f t="shared" si="33"/>
        <v>1564.2836831264638</v>
      </c>
      <c r="X35" s="1387">
        <f t="shared" si="33"/>
        <v>1575.233668908349</v>
      </c>
      <c r="Y35" s="1387">
        <f t="shared" si="33"/>
        <v>1586.2603045907076</v>
      </c>
      <c r="Z35" s="1387">
        <f t="shared" si="33"/>
        <v>1597.3641267228427</v>
      </c>
      <c r="AA35" s="1387">
        <f t="shared" si="33"/>
        <v>1608.5456756099024</v>
      </c>
      <c r="AB35" s="1387">
        <f t="shared" si="33"/>
        <v>1619.805495339172</v>
      </c>
      <c r="AC35" s="1387">
        <f t="shared" si="33"/>
        <v>1631.1441338065461</v>
      </c>
      <c r="AD35" s="1387">
        <f t="shared" si="33"/>
        <v>1642.5621427431918</v>
      </c>
      <c r="AE35" s="1387">
        <f t="shared" si="33"/>
        <v>1654.060077742394</v>
      </c>
      <c r="AF35" s="1387">
        <f t="shared" si="33"/>
        <v>1665.6384982865909</v>
      </c>
      <c r="AG35" s="1387">
        <f t="shared" si="33"/>
        <v>1677.2979677745971</v>
      </c>
      <c r="AH35" s="82"/>
      <c r="AI35" s="82"/>
      <c r="AJ35" s="82"/>
      <c r="AK35" s="82"/>
      <c r="AL35" s="82"/>
      <c r="AM35" s="82"/>
      <c r="AN35" s="82"/>
      <c r="AO35" s="82"/>
      <c r="AP35" s="82"/>
      <c r="AQ35" s="82"/>
      <c r="AR35" s="82"/>
      <c r="AS35" s="82"/>
      <c r="AT35" s="82"/>
    </row>
    <row r="36" spans="2:46" ht="20.100000000000001" customHeight="1">
      <c r="B36" s="82"/>
      <c r="C36" s="82"/>
      <c r="E36" s="388" t="s">
        <v>4362</v>
      </c>
      <c r="F36" s="112" t="s">
        <v>4363</v>
      </c>
      <c r="G36" s="1418"/>
      <c r="H36" s="82"/>
      <c r="I36" s="82"/>
      <c r="J36" s="82"/>
      <c r="K36" s="82"/>
      <c r="L36" s="82"/>
      <c r="M36" s="82"/>
      <c r="N36" s="82"/>
      <c r="O36" s="82"/>
      <c r="P36" s="82"/>
      <c r="Q36" s="82"/>
      <c r="R36" s="82"/>
      <c r="S36" s="82"/>
      <c r="T36" s="82"/>
      <c r="U36" s="82"/>
      <c r="V36" s="82"/>
      <c r="W36" s="82"/>
      <c r="X36" s="82"/>
      <c r="Y36" s="82"/>
      <c r="Z36" s="82"/>
      <c r="AA36" s="82"/>
      <c r="AB36" s="82"/>
      <c r="AC36" s="82"/>
      <c r="AD36" s="82"/>
      <c r="AE36" s="82"/>
      <c r="AF36" s="82"/>
      <c r="AG36" s="82"/>
      <c r="AH36" s="82"/>
    </row>
    <row r="37" spans="2:46" ht="20.100000000000001" customHeight="1">
      <c r="B37" s="82" t="s">
        <v>3009</v>
      </c>
      <c r="C37" s="82"/>
      <c r="D37" s="1140" t="s">
        <v>65</v>
      </c>
      <c r="E37" s="82" t="s">
        <v>4096</v>
      </c>
      <c r="F37" s="82" t="s">
        <v>4096</v>
      </c>
      <c r="I37" s="82"/>
      <c r="J37" s="82"/>
      <c r="K37" s="82"/>
      <c r="L37" s="82"/>
      <c r="M37" s="82"/>
      <c r="N37" s="82"/>
      <c r="O37" s="82"/>
      <c r="P37" s="82"/>
      <c r="Q37" s="82"/>
      <c r="R37" s="82"/>
      <c r="S37" s="82"/>
      <c r="T37" s="82"/>
      <c r="U37" s="82"/>
      <c r="V37" s="82"/>
      <c r="W37" s="82"/>
      <c r="X37" s="82"/>
      <c r="Y37" s="82"/>
      <c r="Z37" s="82"/>
      <c r="AA37" s="82"/>
      <c r="AB37" s="82"/>
      <c r="AC37" s="82"/>
      <c r="AD37" s="82"/>
      <c r="AE37" s="82"/>
      <c r="AF37" s="82"/>
      <c r="AG37" s="82"/>
      <c r="AH37" s="82"/>
    </row>
    <row r="38" spans="2:46" ht="20.100000000000001" customHeight="1">
      <c r="B38" s="1042" t="s">
        <v>4113</v>
      </c>
      <c r="C38" s="82"/>
      <c r="D38" s="75">
        <v>0.4</v>
      </c>
      <c r="E38" s="401">
        <v>433.01922201480062</v>
      </c>
      <c r="F38" s="401">
        <v>261.91600618637949</v>
      </c>
      <c r="H38" s="82"/>
      <c r="I38" s="82"/>
      <c r="J38" s="82"/>
      <c r="K38" s="82"/>
      <c r="L38" s="82"/>
      <c r="M38" s="82"/>
      <c r="N38" s="82"/>
      <c r="O38" s="82"/>
      <c r="P38" s="82"/>
      <c r="Q38" s="82"/>
      <c r="R38" s="82"/>
      <c r="S38" s="82"/>
      <c r="T38" s="82"/>
      <c r="U38" s="82"/>
      <c r="V38" s="82"/>
      <c r="W38" s="82"/>
      <c r="X38" s="82"/>
      <c r="Y38" s="82"/>
      <c r="Z38" s="82"/>
      <c r="AA38" s="82"/>
      <c r="AB38" s="82"/>
      <c r="AC38" s="82"/>
      <c r="AD38" s="82"/>
      <c r="AE38" s="82"/>
      <c r="AF38" s="82"/>
      <c r="AG38" s="82"/>
      <c r="AH38" s="82"/>
    </row>
    <row r="39" spans="2:46" ht="20.100000000000001" customHeight="1">
      <c r="B39" s="1042" t="s">
        <v>1693</v>
      </c>
      <c r="C39" s="82"/>
      <c r="D39" s="75">
        <v>0</v>
      </c>
      <c r="E39" s="401">
        <v>433.01922201480062</v>
      </c>
      <c r="F39" s="401">
        <v>261.91600618637949</v>
      </c>
      <c r="H39" s="82"/>
      <c r="I39" s="82"/>
      <c r="J39" s="82"/>
      <c r="K39" s="82"/>
      <c r="L39" s="82"/>
      <c r="M39" s="82"/>
      <c r="N39" s="82"/>
      <c r="O39" s="82"/>
      <c r="P39" s="82"/>
      <c r="Q39" s="82"/>
      <c r="R39" s="82"/>
      <c r="S39" s="82"/>
      <c r="T39" s="82"/>
      <c r="U39" s="82"/>
      <c r="V39" s="82"/>
      <c r="W39" s="82"/>
      <c r="X39" s="82"/>
      <c r="Y39" s="82"/>
      <c r="Z39" s="82"/>
      <c r="AA39" s="82"/>
      <c r="AB39" s="82"/>
      <c r="AC39" s="82"/>
      <c r="AD39" s="82"/>
      <c r="AE39" s="82"/>
      <c r="AF39" s="82"/>
      <c r="AG39" s="82"/>
      <c r="AH39" s="82"/>
    </row>
    <row r="40" spans="2:46" ht="20.100000000000001" customHeight="1">
      <c r="B40" s="1042" t="s">
        <v>4116</v>
      </c>
      <c r="C40" s="82"/>
      <c r="D40" s="75">
        <v>94.5</v>
      </c>
      <c r="E40" s="401">
        <v>433.01922201480062</v>
      </c>
      <c r="F40" s="401">
        <v>261.91600618637949</v>
      </c>
      <c r="H40" s="82" t="s">
        <v>4365</v>
      </c>
      <c r="I40" s="82"/>
      <c r="J40" s="82"/>
      <c r="K40" s="82"/>
      <c r="L40" s="82"/>
      <c r="M40" s="82"/>
      <c r="N40" s="82"/>
      <c r="O40" s="82"/>
      <c r="P40" s="82"/>
      <c r="Q40" s="82"/>
      <c r="R40" s="82"/>
      <c r="S40" s="82"/>
      <c r="T40" s="82"/>
      <c r="U40" s="82"/>
      <c r="V40" s="82"/>
      <c r="W40" s="82"/>
      <c r="X40" s="82"/>
      <c r="Y40" s="82"/>
      <c r="Z40" s="82"/>
      <c r="AA40" s="82"/>
      <c r="AB40" s="82"/>
      <c r="AC40" s="82"/>
      <c r="AD40" s="82"/>
      <c r="AE40" s="82"/>
      <c r="AF40" s="82"/>
      <c r="AG40" s="82"/>
      <c r="AH40" s="82"/>
    </row>
    <row r="41" spans="2:46" ht="20.100000000000001" customHeight="1">
      <c r="B41" s="1042" t="s">
        <v>1694</v>
      </c>
      <c r="C41" s="82"/>
      <c r="D41" s="75">
        <v>2.5</v>
      </c>
      <c r="E41" s="401">
        <v>433.01922201480062</v>
      </c>
      <c r="F41" s="401">
        <v>261.91600618637949</v>
      </c>
      <c r="H41" s="1410">
        <v>2020</v>
      </c>
      <c r="I41" s="1410">
        <v>2025</v>
      </c>
      <c r="J41" s="1410">
        <v>2030</v>
      </c>
      <c r="K41" s="1410">
        <v>2035</v>
      </c>
      <c r="L41" s="1410">
        <v>2040</v>
      </c>
      <c r="M41" s="1410">
        <v>2045</v>
      </c>
      <c r="N41" s="1410">
        <v>2050</v>
      </c>
      <c r="O41" s="82"/>
      <c r="P41" s="82"/>
      <c r="Q41" s="82"/>
      <c r="R41" s="82"/>
      <c r="S41" s="82"/>
      <c r="T41" s="82"/>
      <c r="U41" s="82"/>
      <c r="V41" s="82"/>
      <c r="W41" s="82"/>
      <c r="X41" s="82"/>
      <c r="Y41" s="82"/>
      <c r="Z41" s="82"/>
      <c r="AA41" s="82"/>
      <c r="AB41" s="82"/>
      <c r="AC41" s="82"/>
      <c r="AD41" s="82"/>
      <c r="AE41" s="82"/>
      <c r="AF41" s="82"/>
      <c r="AG41" s="82"/>
      <c r="AH41" s="82"/>
    </row>
    <row r="42" spans="2:46" ht="20.100000000000001" customHeight="1">
      <c r="B42" s="1042" t="s">
        <v>4112</v>
      </c>
      <c r="C42" s="82"/>
      <c r="D42" s="75">
        <v>0.5</v>
      </c>
      <c r="E42" s="401">
        <v>433.01922201480062</v>
      </c>
      <c r="F42" s="401">
        <v>261.91600618637949</v>
      </c>
      <c r="H42" s="445">
        <v>0.1</v>
      </c>
      <c r="I42" s="445">
        <v>0.2</v>
      </c>
      <c r="J42" s="445">
        <v>0.4</v>
      </c>
      <c r="K42" s="445">
        <v>0.6</v>
      </c>
      <c r="L42" s="445">
        <v>0.9</v>
      </c>
      <c r="M42" s="445">
        <v>1.2</v>
      </c>
      <c r="N42" s="445">
        <v>1.4</v>
      </c>
      <c r="O42" s="82"/>
      <c r="P42" s="82"/>
      <c r="Q42" s="82"/>
      <c r="R42" s="82"/>
      <c r="S42" s="82"/>
      <c r="T42" s="82"/>
      <c r="U42" s="82"/>
      <c r="V42" s="82"/>
      <c r="W42" s="82"/>
      <c r="X42" s="82"/>
      <c r="Y42" s="82"/>
      <c r="Z42" s="82"/>
      <c r="AA42" s="82"/>
      <c r="AB42" s="82"/>
      <c r="AC42" s="82"/>
      <c r="AD42" s="82"/>
      <c r="AE42" s="82"/>
      <c r="AF42" s="82"/>
      <c r="AG42" s="82"/>
      <c r="AH42" s="82"/>
    </row>
    <row r="43" spans="2:46" ht="20.100000000000001" customHeight="1">
      <c r="B43" s="1043" t="str">
        <f>IF(D43=100,"","percentages need to total 100")</f>
        <v>percentages need to total 100</v>
      </c>
      <c r="C43" s="82"/>
      <c r="D43" s="1140">
        <f t="shared" ref="D43" si="34">SUM(D40:D42)</f>
        <v>97.5</v>
      </c>
      <c r="E43" s="82"/>
      <c r="F43" s="82"/>
      <c r="H43" s="82"/>
      <c r="I43" s="82"/>
      <c r="J43" s="82"/>
      <c r="K43" s="82"/>
      <c r="L43" s="82"/>
      <c r="M43" s="82"/>
      <c r="N43" s="82"/>
      <c r="O43" s="82"/>
      <c r="P43" s="82"/>
      <c r="Q43" s="82"/>
      <c r="R43" s="82"/>
      <c r="S43" s="82"/>
      <c r="T43" s="82"/>
      <c r="U43" s="82"/>
      <c r="V43" s="82"/>
      <c r="W43" s="82"/>
      <c r="X43" s="82"/>
      <c r="Y43" s="82"/>
      <c r="Z43" s="82"/>
      <c r="AA43" s="82"/>
      <c r="AB43" s="82"/>
      <c r="AC43" s="82"/>
      <c r="AD43" s="82"/>
      <c r="AE43" s="82"/>
      <c r="AF43" s="82"/>
      <c r="AG43" s="82"/>
      <c r="AH43" s="82"/>
    </row>
    <row r="44" spans="2:46" ht="20.100000000000001" customHeight="1">
      <c r="B44" s="1043"/>
      <c r="C44" s="1565" t="s">
        <v>4086</v>
      </c>
      <c r="D44" s="1565"/>
      <c r="E44" s="82"/>
      <c r="F44" s="82"/>
      <c r="G44" s="82"/>
      <c r="H44" s="82"/>
      <c r="I44" s="82"/>
      <c r="J44" s="82"/>
      <c r="K44" s="82"/>
      <c r="L44" s="82"/>
      <c r="M44" s="82"/>
      <c r="N44" s="82"/>
      <c r="O44" s="82"/>
      <c r="P44" s="82"/>
      <c r="Q44" s="82"/>
      <c r="R44" s="82"/>
      <c r="S44" s="82"/>
      <c r="T44" s="82"/>
      <c r="U44" s="82"/>
      <c r="V44" s="82"/>
      <c r="W44" s="82"/>
      <c r="X44" s="82"/>
      <c r="Y44" s="82"/>
      <c r="Z44" s="82"/>
      <c r="AA44" s="82"/>
      <c r="AB44" s="82"/>
      <c r="AC44" s="82"/>
      <c r="AD44" s="82"/>
      <c r="AE44" s="82"/>
      <c r="AF44" s="82"/>
      <c r="AG44" s="82"/>
      <c r="AH44" s="82"/>
    </row>
    <row r="45" spans="2:46" ht="20.100000000000001" customHeight="1">
      <c r="B45" s="735" t="s">
        <v>4087</v>
      </c>
      <c r="C45" s="82" t="s">
        <v>4084</v>
      </c>
      <c r="D45" s="1140" t="s">
        <v>4085</v>
      </c>
      <c r="E45" s="82"/>
      <c r="F45" s="82"/>
      <c r="G45" s="82"/>
      <c r="H45" s="82"/>
      <c r="I45" s="82"/>
      <c r="J45" s="82"/>
      <c r="K45" s="82"/>
      <c r="L45" s="82"/>
      <c r="M45" s="82"/>
      <c r="N45" s="82"/>
      <c r="O45" s="82"/>
      <c r="P45" s="82"/>
      <c r="Q45" s="82"/>
      <c r="R45" s="82"/>
      <c r="S45" s="82"/>
      <c r="T45" s="82"/>
      <c r="U45" s="82"/>
      <c r="V45" s="82"/>
      <c r="W45" s="82"/>
      <c r="X45" s="82"/>
      <c r="Y45" s="82"/>
      <c r="Z45" s="82"/>
      <c r="AA45" s="82"/>
      <c r="AB45" s="82"/>
      <c r="AC45" s="82"/>
      <c r="AD45" s="82"/>
      <c r="AE45" s="82"/>
      <c r="AF45" s="82"/>
      <c r="AG45" s="82"/>
      <c r="AH45" s="82"/>
    </row>
    <row r="46" spans="2:46" ht="20.100000000000001" customHeight="1">
      <c r="B46" s="735" t="s">
        <v>60</v>
      </c>
      <c r="C46" s="389">
        <v>0</v>
      </c>
      <c r="D46" s="1140">
        <f>100-C46</f>
        <v>100</v>
      </c>
      <c r="E46" s="82"/>
      <c r="F46" s="82"/>
      <c r="G46" s="82"/>
      <c r="H46" s="82"/>
      <c r="I46" s="82"/>
      <c r="J46" s="82"/>
      <c r="K46" s="82"/>
      <c r="L46" s="82"/>
      <c r="M46" s="82"/>
      <c r="N46" s="82"/>
      <c r="O46" s="82"/>
      <c r="P46" s="82"/>
      <c r="Q46" s="82"/>
      <c r="R46" s="82"/>
      <c r="S46" s="82"/>
      <c r="T46" s="82"/>
      <c r="U46" s="82"/>
      <c r="V46" s="82"/>
      <c r="W46" s="82"/>
      <c r="X46" s="82"/>
      <c r="Y46" s="82"/>
      <c r="Z46" s="82"/>
      <c r="AA46" s="82"/>
      <c r="AB46" s="82"/>
      <c r="AC46" s="82"/>
      <c r="AD46" s="82"/>
      <c r="AE46" s="82"/>
      <c r="AF46" s="82"/>
      <c r="AG46" s="82"/>
      <c r="AH46" s="82"/>
    </row>
    <row r="47" spans="2:46" ht="20.100000000000001" customHeight="1">
      <c r="B47" s="735" t="s">
        <v>4083</v>
      </c>
      <c r="C47" s="389">
        <v>0</v>
      </c>
      <c r="D47" s="1140">
        <f t="shared" ref="D47:D50" si="35">100-C47</f>
        <v>100</v>
      </c>
      <c r="E47" s="82"/>
      <c r="F47" s="82"/>
      <c r="G47" s="82"/>
      <c r="H47" s="82"/>
      <c r="I47" s="82"/>
      <c r="J47" s="82"/>
      <c r="K47" s="82"/>
      <c r="L47" s="82"/>
      <c r="M47" s="82"/>
      <c r="N47" s="82"/>
      <c r="O47" s="82"/>
      <c r="P47" s="82"/>
      <c r="Q47" s="82"/>
      <c r="R47" s="82"/>
      <c r="S47" s="82"/>
      <c r="T47" s="82"/>
      <c r="U47" s="82"/>
      <c r="V47" s="82"/>
      <c r="W47" s="82"/>
      <c r="X47" s="82"/>
      <c r="Y47" s="82"/>
      <c r="Z47" s="82"/>
      <c r="AA47" s="82"/>
      <c r="AB47" s="82"/>
      <c r="AC47" s="82"/>
      <c r="AD47" s="82"/>
      <c r="AE47" s="82"/>
      <c r="AF47" s="82"/>
      <c r="AG47" s="82"/>
      <c r="AH47" s="82"/>
    </row>
    <row r="48" spans="2:46" ht="20.100000000000001" customHeight="1">
      <c r="B48" s="735" t="s">
        <v>62</v>
      </c>
      <c r="C48" s="389">
        <v>0</v>
      </c>
      <c r="D48" s="1140">
        <f t="shared" si="35"/>
        <v>100</v>
      </c>
      <c r="E48" s="82"/>
      <c r="F48" s="82"/>
      <c r="G48" s="82"/>
      <c r="H48" s="82"/>
      <c r="I48" s="82"/>
      <c r="J48" s="82"/>
      <c r="K48" s="82"/>
      <c r="L48" s="82"/>
      <c r="M48" s="82"/>
      <c r="N48" s="82"/>
      <c r="O48" s="82"/>
      <c r="P48" s="82"/>
      <c r="Q48" s="82"/>
      <c r="R48" s="82"/>
      <c r="S48" s="82"/>
      <c r="T48" s="82"/>
      <c r="U48" s="82"/>
      <c r="V48" s="82"/>
      <c r="W48" s="82"/>
      <c r="X48" s="82"/>
      <c r="Y48" s="82"/>
      <c r="Z48" s="82"/>
      <c r="AA48" s="82"/>
      <c r="AB48" s="82"/>
      <c r="AC48" s="82"/>
      <c r="AD48" s="82"/>
      <c r="AE48" s="82"/>
      <c r="AF48" s="82"/>
      <c r="AG48" s="82"/>
      <c r="AH48" s="82"/>
    </row>
    <row r="49" spans="2:34" ht="20.100000000000001" customHeight="1">
      <c r="B49" s="735" t="s">
        <v>63</v>
      </c>
      <c r="C49" s="389">
        <v>0</v>
      </c>
      <c r="D49" s="1140">
        <f t="shared" si="35"/>
        <v>100</v>
      </c>
      <c r="E49" s="82"/>
      <c r="F49" s="82"/>
      <c r="G49" s="82"/>
      <c r="H49" s="82"/>
      <c r="I49" s="82"/>
      <c r="J49" s="82"/>
      <c r="K49" s="82"/>
      <c r="L49" s="82"/>
      <c r="M49" s="82"/>
      <c r="N49" s="82"/>
      <c r="O49" s="82"/>
      <c r="P49" s="82"/>
      <c r="Q49" s="82"/>
      <c r="R49" s="82"/>
      <c r="S49" s="82"/>
      <c r="T49" s="82"/>
      <c r="U49" s="82"/>
      <c r="V49" s="82"/>
      <c r="W49" s="82"/>
      <c r="X49" s="82"/>
      <c r="Y49" s="82"/>
      <c r="Z49" s="82"/>
      <c r="AA49" s="82"/>
      <c r="AB49" s="82"/>
      <c r="AC49" s="82"/>
      <c r="AD49" s="82"/>
      <c r="AE49" s="82"/>
      <c r="AF49" s="82"/>
      <c r="AG49" s="82"/>
      <c r="AH49" s="82"/>
    </row>
    <row r="50" spans="2:34" ht="20.100000000000001" customHeight="1">
      <c r="B50" s="735" t="s">
        <v>64</v>
      </c>
      <c r="C50" s="389">
        <v>0</v>
      </c>
      <c r="D50" s="1140">
        <f t="shared" si="35"/>
        <v>100</v>
      </c>
      <c r="E50" s="82"/>
      <c r="F50" s="82"/>
      <c r="G50" s="82"/>
      <c r="H50" s="82"/>
      <c r="I50" s="82"/>
      <c r="J50" s="82"/>
      <c r="K50" s="82"/>
      <c r="L50" s="82"/>
      <c r="M50" s="82"/>
      <c r="N50" s="82"/>
      <c r="O50" s="82"/>
      <c r="P50" s="82"/>
      <c r="Q50" s="82"/>
      <c r="R50" s="82"/>
      <c r="S50" s="82"/>
      <c r="T50" s="82"/>
      <c r="U50" s="82"/>
      <c r="V50" s="82"/>
      <c r="W50" s="82"/>
      <c r="X50" s="82"/>
      <c r="Y50" s="82"/>
      <c r="Z50" s="82"/>
      <c r="AA50" s="82"/>
      <c r="AB50" s="82"/>
      <c r="AC50" s="82"/>
      <c r="AD50" s="82"/>
      <c r="AE50" s="82"/>
      <c r="AF50" s="82"/>
      <c r="AG50" s="82"/>
      <c r="AH50" s="82"/>
    </row>
    <row r="51" spans="2:34" ht="20.100000000000001" customHeight="1">
      <c r="B51" s="735"/>
      <c r="C51" s="82"/>
      <c r="D51" s="1140"/>
      <c r="E51" s="82"/>
      <c r="F51" s="82"/>
      <c r="G51" s="82"/>
      <c r="H51" s="82"/>
      <c r="I51" s="82"/>
      <c r="J51" s="82"/>
      <c r="K51" s="82"/>
      <c r="L51" s="82"/>
      <c r="M51" s="82"/>
      <c r="N51" s="82"/>
      <c r="O51" s="82"/>
      <c r="P51" s="82"/>
      <c r="Q51" s="82"/>
      <c r="R51" s="82"/>
      <c r="S51" s="82"/>
      <c r="T51" s="82"/>
      <c r="U51" s="82"/>
      <c r="V51" s="82"/>
      <c r="W51" s="82"/>
      <c r="X51" s="82"/>
      <c r="Y51" s="82"/>
      <c r="Z51" s="82"/>
      <c r="AA51" s="82"/>
      <c r="AB51" s="82"/>
      <c r="AC51" s="82"/>
      <c r="AD51" s="82"/>
      <c r="AE51" s="82"/>
      <c r="AF51" s="82"/>
      <c r="AG51" s="82"/>
      <c r="AH51" s="82"/>
    </row>
    <row r="52" spans="2:34" ht="20.100000000000001" customHeight="1">
      <c r="B52" s="414" t="s">
        <v>605</v>
      </c>
      <c r="C52" s="1140"/>
      <c r="D52" s="82"/>
      <c r="E52" s="82"/>
      <c r="F52" s="82"/>
      <c r="G52" s="82"/>
      <c r="H52" s="82"/>
      <c r="I52" s="82"/>
      <c r="J52" s="82"/>
      <c r="K52" s="82"/>
      <c r="L52" s="82"/>
      <c r="M52" s="82"/>
      <c r="N52" s="82"/>
      <c r="O52" s="82"/>
      <c r="P52" s="82"/>
      <c r="Q52" s="82"/>
      <c r="R52" s="82"/>
      <c r="S52" s="82"/>
      <c r="T52" s="82"/>
      <c r="U52" s="82"/>
      <c r="V52" s="82"/>
      <c r="W52" s="82"/>
      <c r="X52" s="82"/>
      <c r="Y52" s="82"/>
      <c r="Z52" s="82"/>
      <c r="AA52" s="82"/>
      <c r="AB52" s="82"/>
      <c r="AC52" s="82"/>
      <c r="AD52" s="82"/>
      <c r="AE52" s="82"/>
      <c r="AF52" s="82"/>
      <c r="AG52" s="82"/>
      <c r="AH52" s="82"/>
    </row>
    <row r="53" spans="2:34" ht="20.100000000000001" customHeight="1">
      <c r="B53" s="82" t="s">
        <v>4088</v>
      </c>
      <c r="C53" s="390">
        <v>5412.7575023540339</v>
      </c>
      <c r="D53" s="82" t="s">
        <v>1753</v>
      </c>
      <c r="E53" s="82"/>
      <c r="F53" s="82"/>
      <c r="G53" s="82"/>
      <c r="H53" s="82"/>
      <c r="I53" s="82"/>
      <c r="J53" s="82"/>
      <c r="K53" s="82"/>
      <c r="L53" s="82"/>
      <c r="M53" s="82"/>
      <c r="N53" s="82"/>
      <c r="O53" s="82"/>
      <c r="P53" s="82"/>
      <c r="Q53" s="82"/>
      <c r="R53" s="82"/>
      <c r="S53" s="82"/>
      <c r="T53" s="82"/>
      <c r="U53" s="82"/>
      <c r="V53" s="82"/>
      <c r="W53" s="82"/>
      <c r="X53" s="82"/>
      <c r="Y53" s="82"/>
      <c r="Z53" s="82"/>
      <c r="AA53" s="82"/>
      <c r="AB53" s="82"/>
      <c r="AC53" s="82"/>
      <c r="AD53" s="82"/>
      <c r="AE53" s="82"/>
      <c r="AF53" s="82"/>
      <c r="AG53" s="82"/>
      <c r="AH53" s="82"/>
    </row>
    <row r="54" spans="2:34" ht="20.100000000000001" customHeight="1">
      <c r="B54" s="82" t="s">
        <v>4082</v>
      </c>
      <c r="C54" s="389">
        <v>1.95</v>
      </c>
      <c r="D54" s="82" t="s">
        <v>220</v>
      </c>
      <c r="E54" s="82"/>
      <c r="F54" s="82"/>
      <c r="G54" s="82"/>
      <c r="H54" s="82"/>
      <c r="I54" s="82"/>
      <c r="J54" s="82"/>
      <c r="K54" s="82"/>
      <c r="L54" s="82"/>
      <c r="M54" s="82"/>
      <c r="N54" s="82"/>
      <c r="O54" s="82"/>
      <c r="P54" s="82"/>
      <c r="Q54" s="82"/>
      <c r="R54" s="82"/>
      <c r="S54" s="82"/>
      <c r="T54" s="82"/>
      <c r="U54" s="82"/>
      <c r="V54" s="82"/>
      <c r="W54" s="82"/>
      <c r="X54" s="82"/>
      <c r="Y54" s="82"/>
      <c r="Z54" s="82"/>
      <c r="AA54" s="82"/>
      <c r="AB54" s="82"/>
      <c r="AC54" s="82"/>
      <c r="AD54" s="82"/>
      <c r="AE54" s="82"/>
      <c r="AF54" s="82"/>
      <c r="AG54" s="82"/>
      <c r="AH54" s="82"/>
    </row>
    <row r="55" spans="2:34" ht="20.100000000000001" customHeight="1">
      <c r="B55" s="82"/>
      <c r="C55" s="82"/>
      <c r="D55" s="1410">
        <v>2021</v>
      </c>
      <c r="E55" s="1410">
        <v>2022</v>
      </c>
      <c r="F55" s="1410">
        <v>2023</v>
      </c>
      <c r="G55" s="1410">
        <v>2024</v>
      </c>
      <c r="H55" s="1410">
        <v>2025</v>
      </c>
      <c r="I55" s="1410">
        <v>2026</v>
      </c>
      <c r="J55" s="1410">
        <v>2027</v>
      </c>
      <c r="K55" s="1410">
        <v>2028</v>
      </c>
      <c r="L55" s="1410">
        <v>2029</v>
      </c>
      <c r="M55" s="1410">
        <v>2030</v>
      </c>
      <c r="N55" s="1410">
        <v>2031</v>
      </c>
      <c r="O55" s="1410">
        <v>2032</v>
      </c>
      <c r="P55" s="1410">
        <v>2033</v>
      </c>
      <c r="Q55" s="1410">
        <v>2034</v>
      </c>
      <c r="R55" s="1410">
        <v>2035</v>
      </c>
      <c r="S55" s="1410">
        <v>2036</v>
      </c>
      <c r="T55" s="1410">
        <v>2037</v>
      </c>
      <c r="U55" s="1410">
        <v>2038</v>
      </c>
      <c r="V55" s="1410">
        <v>2039</v>
      </c>
      <c r="W55" s="1410">
        <v>2040</v>
      </c>
      <c r="X55" s="1410">
        <v>2041</v>
      </c>
      <c r="Y55" s="1410">
        <v>2042</v>
      </c>
      <c r="Z55" s="1410">
        <v>2043</v>
      </c>
      <c r="AA55" s="1410">
        <v>2044</v>
      </c>
      <c r="AB55" s="1410">
        <v>2045</v>
      </c>
      <c r="AC55" s="1410">
        <v>2046</v>
      </c>
      <c r="AD55" s="1410">
        <v>2047</v>
      </c>
      <c r="AE55" s="1410">
        <v>2048</v>
      </c>
      <c r="AF55" s="1410">
        <v>2049</v>
      </c>
      <c r="AG55" s="1410">
        <v>2050</v>
      </c>
      <c r="AH55" s="82"/>
    </row>
    <row r="56" spans="2:34" ht="20.100000000000001" customHeight="1">
      <c r="B56" s="82" t="s">
        <v>4361</v>
      </c>
      <c r="C56" s="82"/>
      <c r="D56" s="389">
        <f>INDEX('DEFAULT DATA'!$R$9:$T$40,'LOCAL DATASET'!$C$10,1)</f>
        <v>2.2999999999999998</v>
      </c>
      <c r="E56" s="389">
        <f>INDEX('DEFAULT DATA'!$R$9:$T$40,'LOCAL DATASET'!$C$10,1)</f>
        <v>2.2999999999999998</v>
      </c>
      <c r="F56" s="389">
        <f>INDEX('DEFAULT DATA'!$R$9:$T$40,'LOCAL DATASET'!$C$10,1)</f>
        <v>2.2999999999999998</v>
      </c>
      <c r="G56" s="389">
        <f>INDEX('DEFAULT DATA'!$R$9:$T$40,'LOCAL DATASET'!$C$10,1)</f>
        <v>2.2999999999999998</v>
      </c>
      <c r="H56" s="389">
        <f>INDEX('DEFAULT DATA'!$R$9:$T$40,'LOCAL DATASET'!$C$10,1)</f>
        <v>2.2999999999999998</v>
      </c>
      <c r="I56" s="389">
        <f>INDEX('DEFAULT DATA'!$R$9:$T$40,'LOCAL DATASET'!$C$10,1)</f>
        <v>2.2999999999999998</v>
      </c>
      <c r="J56" s="389">
        <f>INDEX('DEFAULT DATA'!$R$9:$T$40,'LOCAL DATASET'!$C$10,1)</f>
        <v>2.2999999999999998</v>
      </c>
      <c r="K56" s="389">
        <f>INDEX('DEFAULT DATA'!$R$9:$T$40,'LOCAL DATASET'!$C$10,1)</f>
        <v>2.2999999999999998</v>
      </c>
      <c r="L56" s="389">
        <f>INDEX('DEFAULT DATA'!$R$9:$T$40,'LOCAL DATASET'!$C$10,1)</f>
        <v>2.2999999999999998</v>
      </c>
      <c r="M56" s="389">
        <f>INDEX('DEFAULT DATA'!$R$9:$T$40,'LOCAL DATASET'!$C$10,1)</f>
        <v>2.2999999999999998</v>
      </c>
      <c r="N56" s="389">
        <f>INDEX('DEFAULT DATA'!$R$9:$T$40,'LOCAL DATASET'!$C$10,2)</f>
        <v>0.7</v>
      </c>
      <c r="O56" s="389">
        <f>INDEX('DEFAULT DATA'!$R$9:$T$40,'LOCAL DATASET'!$C$10,2)</f>
        <v>0.7</v>
      </c>
      <c r="P56" s="389">
        <f>INDEX('DEFAULT DATA'!$R$9:$T$40,'LOCAL DATASET'!$C$10,2)</f>
        <v>0.7</v>
      </c>
      <c r="Q56" s="389">
        <f>INDEX('DEFAULT DATA'!$R$9:$T$40,'LOCAL DATASET'!$C$10,2)</f>
        <v>0.7</v>
      </c>
      <c r="R56" s="389">
        <f>INDEX('DEFAULT DATA'!$R$9:$T$40,'LOCAL DATASET'!$C$10,2)</f>
        <v>0.7</v>
      </c>
      <c r="S56" s="389">
        <f>INDEX('DEFAULT DATA'!$R$9:$T$40,'LOCAL DATASET'!$C$10,2)</f>
        <v>0.7</v>
      </c>
      <c r="T56" s="389">
        <f>INDEX('DEFAULT DATA'!$R$9:$T$40,'LOCAL DATASET'!$C$10,2)</f>
        <v>0.7</v>
      </c>
      <c r="U56" s="389">
        <f>INDEX('DEFAULT DATA'!$R$9:$T$40,'LOCAL DATASET'!$C$10,2)</f>
        <v>0.7</v>
      </c>
      <c r="V56" s="389">
        <f>INDEX('DEFAULT DATA'!$R$9:$T$40,'LOCAL DATASET'!$C$10,2)</f>
        <v>0.7</v>
      </c>
      <c r="W56" s="389">
        <f>INDEX('DEFAULT DATA'!$R$9:$T$40,'LOCAL DATASET'!$C$10,2)</f>
        <v>0.7</v>
      </c>
      <c r="X56" s="389">
        <f>INDEX('DEFAULT DATA'!$R$9:$T$40,'LOCAL DATASET'!$C$10,3)</f>
        <v>0.7</v>
      </c>
      <c r="Y56" s="389">
        <f>INDEX('DEFAULT DATA'!$R$9:$T$40,'LOCAL DATASET'!$C$10,3)</f>
        <v>0.7</v>
      </c>
      <c r="Z56" s="389">
        <f>INDEX('DEFAULT DATA'!$R$9:$T$40,'LOCAL DATASET'!$C$10,3)</f>
        <v>0.7</v>
      </c>
      <c r="AA56" s="389">
        <f>INDEX('DEFAULT DATA'!$R$9:$T$40,'LOCAL DATASET'!$C$10,3)</f>
        <v>0.7</v>
      </c>
      <c r="AB56" s="389">
        <f>INDEX('DEFAULT DATA'!$R$9:$T$40,'LOCAL DATASET'!$C$10,3)</f>
        <v>0.7</v>
      </c>
      <c r="AC56" s="389">
        <f>INDEX('DEFAULT DATA'!$R$9:$T$40,'LOCAL DATASET'!$C$10,3)</f>
        <v>0.7</v>
      </c>
      <c r="AD56" s="389">
        <f>INDEX('DEFAULT DATA'!$R$9:$T$40,'LOCAL DATASET'!$C$10,3)</f>
        <v>0.7</v>
      </c>
      <c r="AE56" s="389">
        <f>INDEX('DEFAULT DATA'!$R$9:$T$40,'LOCAL DATASET'!$C$10,3)</f>
        <v>0.7</v>
      </c>
      <c r="AF56" s="389">
        <f>INDEX('DEFAULT DATA'!$R$9:$T$40,'LOCAL DATASET'!$C$10,3)</f>
        <v>0.7</v>
      </c>
      <c r="AG56" s="389">
        <f>INDEX('DEFAULT DATA'!$R$9:$T$40,'LOCAL DATASET'!$C$10,3)</f>
        <v>0.7</v>
      </c>
      <c r="AH56" s="82"/>
    </row>
    <row r="57" spans="2:34" ht="20.100000000000001" customHeight="1">
      <c r="B57" s="82"/>
      <c r="C57" s="82"/>
      <c r="D57" s="1387">
        <v>2.4</v>
      </c>
      <c r="E57" s="1387">
        <v>2.4</v>
      </c>
      <c r="F57" s="1387">
        <v>2.4</v>
      </c>
      <c r="G57" s="1387">
        <v>2.4</v>
      </c>
      <c r="H57" s="1387">
        <v>2.4</v>
      </c>
      <c r="I57" s="1387">
        <v>2.4</v>
      </c>
      <c r="J57" s="1387">
        <v>2.4</v>
      </c>
      <c r="K57" s="1387">
        <v>2.4</v>
      </c>
      <c r="L57" s="1387">
        <v>2.4</v>
      </c>
      <c r="M57" s="1387">
        <v>2.4</v>
      </c>
      <c r="N57" s="1387">
        <v>0.8</v>
      </c>
      <c r="O57" s="1387">
        <v>0.8</v>
      </c>
      <c r="P57" s="1387">
        <v>0.8</v>
      </c>
      <c r="Q57" s="1387">
        <v>0.8</v>
      </c>
      <c r="R57" s="1387">
        <v>0.8</v>
      </c>
      <c r="S57" s="1387">
        <v>0.8</v>
      </c>
      <c r="T57" s="1387">
        <v>0.8</v>
      </c>
      <c r="U57" s="1387">
        <v>0.8</v>
      </c>
      <c r="V57" s="1387">
        <v>0.8</v>
      </c>
      <c r="W57" s="1387">
        <v>0.8</v>
      </c>
      <c r="X57" s="1387">
        <v>0.8</v>
      </c>
      <c r="Y57" s="1387">
        <v>0.8</v>
      </c>
      <c r="Z57" s="1387">
        <v>0.8</v>
      </c>
      <c r="AA57" s="1387">
        <v>0.8</v>
      </c>
      <c r="AB57" s="1387">
        <v>0.8</v>
      </c>
      <c r="AC57" s="1387">
        <v>0.8</v>
      </c>
      <c r="AD57" s="1387">
        <v>0.8</v>
      </c>
      <c r="AE57" s="1387">
        <v>0.8</v>
      </c>
      <c r="AF57" s="1387">
        <v>0.8</v>
      </c>
      <c r="AG57" s="1387">
        <v>0.8</v>
      </c>
      <c r="AH57" s="82"/>
    </row>
    <row r="58" spans="2:34" ht="20.100000000000001" customHeight="1">
      <c r="B58" s="82"/>
      <c r="C58" s="82"/>
      <c r="D58" s="82"/>
      <c r="E58" s="82"/>
      <c r="F58" s="82"/>
      <c r="G58" s="82"/>
      <c r="H58" s="82"/>
      <c r="I58" s="82"/>
      <c r="J58" s="82"/>
      <c r="K58" s="82"/>
      <c r="L58" s="82"/>
      <c r="M58" s="82"/>
      <c r="N58" s="82"/>
      <c r="O58" s="82"/>
      <c r="P58" s="82"/>
      <c r="Q58" s="82"/>
      <c r="R58" s="82"/>
      <c r="S58" s="82"/>
      <c r="T58" s="82"/>
      <c r="U58" s="82"/>
      <c r="V58" s="82"/>
      <c r="W58" s="82"/>
      <c r="X58" s="82"/>
      <c r="Y58" s="82"/>
      <c r="Z58" s="82"/>
      <c r="AA58" s="82"/>
      <c r="AB58" s="82"/>
      <c r="AC58" s="82"/>
      <c r="AD58" s="82"/>
      <c r="AE58" s="82"/>
      <c r="AF58" s="82"/>
      <c r="AG58" s="82"/>
      <c r="AH58" s="82"/>
    </row>
    <row r="59" spans="2:34" ht="20.100000000000001" customHeight="1">
      <c r="B59" s="82" t="s">
        <v>1791</v>
      </c>
      <c r="C59" s="82" t="s">
        <v>4089</v>
      </c>
      <c r="D59" s="82"/>
      <c r="E59" s="82"/>
      <c r="F59" s="82"/>
      <c r="G59" s="82"/>
      <c r="H59" s="82"/>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row>
    <row r="60" spans="2:34" ht="20.100000000000001" customHeight="1">
      <c r="B60" s="82" t="s">
        <v>1713</v>
      </c>
      <c r="C60" s="82" t="s">
        <v>4089</v>
      </c>
      <c r="D60" s="82"/>
      <c r="E60" s="82"/>
      <c r="F60" s="82"/>
      <c r="G60" s="82"/>
      <c r="H60" s="82"/>
      <c r="I60" s="82"/>
      <c r="J60" s="82"/>
      <c r="K60" s="82"/>
      <c r="L60" s="82"/>
      <c r="M60" s="82"/>
      <c r="N60" s="82"/>
      <c r="O60" s="82"/>
      <c r="P60" s="82"/>
      <c r="Q60" s="82"/>
      <c r="R60" s="82"/>
      <c r="S60" s="82"/>
      <c r="T60" s="82"/>
      <c r="U60" s="82"/>
      <c r="V60" s="82"/>
      <c r="W60" s="82"/>
      <c r="X60" s="82"/>
      <c r="Y60" s="82"/>
      <c r="Z60" s="82"/>
      <c r="AA60" s="82"/>
      <c r="AB60" s="82"/>
      <c r="AC60" s="82"/>
      <c r="AD60" s="82"/>
      <c r="AE60" s="82"/>
      <c r="AF60" s="82"/>
      <c r="AG60" s="82"/>
      <c r="AH60" s="82"/>
    </row>
    <row r="61" spans="2:34" ht="20.100000000000001" customHeight="1">
      <c r="B61" s="82"/>
      <c r="C61" s="82"/>
      <c r="D61" s="1393"/>
      <c r="E61" s="388" t="s">
        <v>4362</v>
      </c>
      <c r="F61" s="112" t="s">
        <v>4363</v>
      </c>
      <c r="G61" s="1393"/>
      <c r="H61" s="82"/>
      <c r="I61" s="82"/>
      <c r="J61" s="82"/>
      <c r="K61" s="82"/>
      <c r="L61" s="82"/>
      <c r="M61" s="82"/>
      <c r="N61" s="82"/>
      <c r="O61" s="82"/>
      <c r="P61" s="82"/>
      <c r="Q61" s="82"/>
      <c r="R61" s="82"/>
      <c r="S61" s="82"/>
      <c r="T61" s="82"/>
      <c r="U61" s="82"/>
      <c r="V61" s="82"/>
      <c r="W61" s="82"/>
      <c r="X61" s="82"/>
      <c r="Y61" s="82"/>
      <c r="Z61" s="82"/>
      <c r="AA61" s="82"/>
      <c r="AB61" s="82"/>
      <c r="AC61" s="82"/>
      <c r="AD61" s="82"/>
      <c r="AE61" s="82"/>
      <c r="AF61" s="82"/>
      <c r="AG61" s="82"/>
      <c r="AH61" s="82"/>
    </row>
    <row r="62" spans="2:34" ht="20.100000000000001" customHeight="1">
      <c r="B62" s="82" t="s">
        <v>4090</v>
      </c>
      <c r="C62" s="82"/>
      <c r="D62" s="1140" t="s">
        <v>65</v>
      </c>
      <c r="E62" s="82" t="s">
        <v>4096</v>
      </c>
      <c r="F62" s="82" t="s">
        <v>4096</v>
      </c>
      <c r="I62" s="82"/>
      <c r="J62" s="82"/>
      <c r="K62" s="82"/>
      <c r="L62" s="82"/>
      <c r="M62" s="82"/>
      <c r="N62" s="82"/>
      <c r="O62" s="82"/>
      <c r="P62" s="82"/>
      <c r="Q62" s="82"/>
      <c r="R62" s="82"/>
      <c r="S62" s="82"/>
      <c r="T62" s="82"/>
      <c r="U62" s="82"/>
      <c r="V62" s="82"/>
      <c r="W62" s="82"/>
      <c r="X62" s="82"/>
      <c r="Y62" s="82"/>
      <c r="Z62" s="82"/>
      <c r="AA62" s="82"/>
      <c r="AB62" s="82"/>
      <c r="AC62" s="82"/>
      <c r="AD62" s="82"/>
      <c r="AE62" s="82"/>
      <c r="AF62" s="82"/>
      <c r="AG62" s="82"/>
      <c r="AH62" s="82"/>
    </row>
    <row r="63" spans="2:34" ht="20.100000000000001" customHeight="1">
      <c r="B63" s="1042" t="s">
        <v>1693</v>
      </c>
      <c r="C63" s="82"/>
      <c r="D63" s="1449">
        <v>2</v>
      </c>
      <c r="E63" s="401">
        <v>261.13475999999997</v>
      </c>
      <c r="F63" s="401"/>
      <c r="H63" s="82"/>
      <c r="I63" s="82"/>
      <c r="J63" s="82"/>
      <c r="K63" s="82"/>
      <c r="L63" s="82"/>
      <c r="M63" s="82"/>
      <c r="N63" s="82"/>
      <c r="O63" s="82"/>
      <c r="P63" s="82"/>
      <c r="Q63" s="82"/>
      <c r="R63" s="82"/>
      <c r="S63" s="82"/>
      <c r="T63" s="82"/>
      <c r="U63" s="82"/>
      <c r="V63" s="82"/>
      <c r="W63" s="82"/>
      <c r="X63" s="82"/>
      <c r="Y63" s="82"/>
      <c r="Z63" s="82"/>
      <c r="AA63" s="82"/>
      <c r="AB63" s="82"/>
      <c r="AC63" s="82"/>
      <c r="AD63" s="82"/>
      <c r="AE63" s="82"/>
      <c r="AF63" s="82"/>
      <c r="AG63" s="82"/>
      <c r="AH63" s="82"/>
    </row>
    <row r="64" spans="2:34" ht="20.100000000000001" customHeight="1">
      <c r="B64" s="1042" t="s">
        <v>1694</v>
      </c>
      <c r="C64" s="82"/>
      <c r="D64" s="1449">
        <v>2</v>
      </c>
      <c r="E64" s="401">
        <v>261.13475999999997</v>
      </c>
      <c r="F64" s="401"/>
      <c r="H64" s="82"/>
      <c r="I64" s="82"/>
      <c r="J64" s="82"/>
      <c r="K64" s="82"/>
      <c r="L64" s="82"/>
      <c r="M64" s="82"/>
      <c r="N64" s="82"/>
      <c r="O64" s="82"/>
      <c r="P64" s="82"/>
      <c r="Q64" s="82"/>
      <c r="R64" s="82"/>
      <c r="S64" s="82"/>
      <c r="T64" s="82"/>
      <c r="U64" s="82"/>
      <c r="V64" s="82"/>
      <c r="W64" s="82"/>
      <c r="X64" s="82"/>
      <c r="Y64" s="82"/>
      <c r="Z64" s="82"/>
      <c r="AA64" s="82"/>
      <c r="AB64" s="82"/>
      <c r="AC64" s="82"/>
      <c r="AD64" s="82"/>
      <c r="AE64" s="82"/>
      <c r="AF64" s="82"/>
      <c r="AG64" s="82"/>
      <c r="AH64" s="82"/>
    </row>
    <row r="65" spans="2:34" ht="20.100000000000001" customHeight="1">
      <c r="B65" s="82" t="s">
        <v>1712</v>
      </c>
      <c r="C65" s="82"/>
      <c r="D65" s="1449">
        <v>2</v>
      </c>
      <c r="E65" s="401">
        <v>261.13475999999997</v>
      </c>
      <c r="F65" s="401"/>
      <c r="P65" s="82"/>
      <c r="Q65" s="82"/>
      <c r="R65" s="82"/>
      <c r="S65" s="82"/>
      <c r="T65" s="82"/>
      <c r="U65" s="82"/>
      <c r="V65" s="82"/>
      <c r="W65" s="82"/>
      <c r="X65" s="82"/>
      <c r="Y65" s="82"/>
      <c r="Z65" s="82"/>
      <c r="AA65" s="82"/>
      <c r="AB65" s="82"/>
      <c r="AC65" s="82"/>
      <c r="AD65" s="82"/>
      <c r="AE65" s="82"/>
      <c r="AF65" s="82"/>
      <c r="AG65" s="82"/>
      <c r="AH65" s="82"/>
    </row>
    <row r="66" spans="2:34" ht="20.100000000000001" customHeight="1">
      <c r="B66" s="1042" t="s">
        <v>4113</v>
      </c>
      <c r="C66" s="82"/>
      <c r="D66" s="1449">
        <v>2</v>
      </c>
      <c r="E66" s="401">
        <v>261.13475999999997</v>
      </c>
      <c r="F66" s="401"/>
      <c r="P66" s="82"/>
      <c r="Q66" s="82"/>
      <c r="R66" s="82"/>
      <c r="S66" s="82"/>
      <c r="T66" s="82"/>
      <c r="U66" s="82"/>
      <c r="V66" s="82"/>
      <c r="W66" s="82"/>
      <c r="X66" s="82"/>
      <c r="Y66" s="82"/>
      <c r="Z66" s="82"/>
      <c r="AA66" s="82"/>
      <c r="AB66" s="82"/>
      <c r="AC66" s="82"/>
      <c r="AD66" s="82"/>
      <c r="AE66" s="82"/>
      <c r="AF66" s="82"/>
      <c r="AG66" s="82"/>
      <c r="AH66" s="82"/>
    </row>
    <row r="67" spans="2:34" ht="20.100000000000001" customHeight="1">
      <c r="B67" s="82" t="s">
        <v>4114</v>
      </c>
      <c r="C67" s="82"/>
      <c r="D67" s="1449">
        <v>2</v>
      </c>
      <c r="E67" s="401">
        <v>261.13475999999997</v>
      </c>
      <c r="F67" s="401"/>
      <c r="P67" s="82"/>
      <c r="Q67" s="82"/>
      <c r="R67" s="82"/>
      <c r="S67" s="82"/>
      <c r="T67" s="82"/>
      <c r="U67" s="82"/>
      <c r="V67" s="82"/>
      <c r="W67" s="82"/>
      <c r="X67" s="82"/>
      <c r="Y67" s="82"/>
      <c r="Z67" s="82"/>
      <c r="AA67" s="82"/>
      <c r="AB67" s="82"/>
      <c r="AC67" s="82"/>
      <c r="AD67" s="82"/>
      <c r="AE67" s="82"/>
      <c r="AF67" s="82"/>
      <c r="AG67" s="82"/>
      <c r="AH67" s="82"/>
    </row>
    <row r="68" spans="2:34" ht="20.100000000000001" customHeight="1">
      <c r="B68" s="82" t="s">
        <v>4115</v>
      </c>
      <c r="C68" s="82"/>
      <c r="D68" s="1449">
        <v>2</v>
      </c>
      <c r="E68" s="401">
        <v>261.13475999999997</v>
      </c>
      <c r="F68" s="401"/>
      <c r="H68" s="82"/>
      <c r="I68" s="82"/>
      <c r="J68" s="82"/>
      <c r="K68" s="82"/>
      <c r="L68" s="82"/>
      <c r="M68" s="82"/>
      <c r="N68" s="82"/>
      <c r="O68" s="82"/>
      <c r="P68" s="82"/>
      <c r="Q68" s="82"/>
      <c r="R68" s="82"/>
      <c r="S68" s="82"/>
      <c r="T68" s="82"/>
      <c r="U68" s="82"/>
      <c r="V68" s="82"/>
      <c r="W68" s="82"/>
      <c r="X68" s="82"/>
      <c r="Y68" s="82"/>
      <c r="Z68" s="82"/>
      <c r="AA68" s="82"/>
      <c r="AB68" s="82"/>
      <c r="AC68" s="82"/>
      <c r="AD68" s="82"/>
      <c r="AE68" s="82"/>
      <c r="AF68" s="82"/>
      <c r="AG68" s="82"/>
      <c r="AH68" s="82"/>
    </row>
    <row r="69" spans="2:34" ht="20.100000000000001" customHeight="1">
      <c r="B69" s="1042" t="s">
        <v>4116</v>
      </c>
      <c r="C69" s="82"/>
      <c r="D69" s="1449">
        <v>2</v>
      </c>
      <c r="E69" s="401">
        <v>261.13475999999997</v>
      </c>
      <c r="F69" s="401"/>
      <c r="H69" s="82"/>
      <c r="I69" s="82"/>
      <c r="J69" s="82"/>
      <c r="K69" s="82"/>
      <c r="L69" s="82"/>
      <c r="M69" s="82"/>
      <c r="N69" s="82"/>
      <c r="O69" s="82"/>
      <c r="P69" s="82"/>
      <c r="Q69" s="82"/>
      <c r="R69" s="82"/>
      <c r="S69" s="82"/>
      <c r="T69" s="82"/>
      <c r="U69" s="82"/>
      <c r="V69" s="82"/>
      <c r="W69" s="82"/>
      <c r="X69" s="82"/>
      <c r="Y69" s="82"/>
      <c r="Z69" s="82"/>
      <c r="AA69" s="82"/>
      <c r="AB69" s="82"/>
      <c r="AC69" s="82"/>
      <c r="AD69" s="82"/>
      <c r="AE69" s="82"/>
      <c r="AF69" s="82"/>
      <c r="AG69" s="82"/>
      <c r="AH69" s="82"/>
    </row>
    <row r="70" spans="2:34" ht="20.100000000000001" customHeight="1">
      <c r="B70" s="82" t="s">
        <v>4117</v>
      </c>
      <c r="C70" s="82"/>
      <c r="D70" s="1449">
        <v>2</v>
      </c>
      <c r="E70" s="401">
        <v>261.13475999999997</v>
      </c>
      <c r="F70" s="401"/>
      <c r="H70" s="82"/>
      <c r="I70" s="82"/>
      <c r="J70" s="82"/>
      <c r="K70" s="82"/>
      <c r="L70" s="82"/>
      <c r="M70" s="82"/>
      <c r="N70" s="82"/>
      <c r="O70" s="82"/>
      <c r="P70" s="82"/>
      <c r="Q70" s="82"/>
      <c r="R70" s="82"/>
      <c r="S70" s="82"/>
      <c r="T70" s="82"/>
      <c r="U70" s="82"/>
      <c r="V70" s="82"/>
      <c r="W70" s="82"/>
      <c r="X70" s="82"/>
      <c r="Y70" s="82"/>
      <c r="Z70" s="82"/>
      <c r="AA70" s="82"/>
      <c r="AB70" s="82"/>
      <c r="AC70" s="82"/>
      <c r="AD70" s="82"/>
      <c r="AE70" s="82"/>
      <c r="AF70" s="82"/>
      <c r="AG70" s="82"/>
      <c r="AH70" s="82"/>
    </row>
    <row r="71" spans="2:34" ht="20.100000000000001" customHeight="1">
      <c r="B71" s="82" t="s">
        <v>4118</v>
      </c>
      <c r="C71" s="82"/>
      <c r="D71" s="1449">
        <v>2</v>
      </c>
      <c r="E71" s="401">
        <v>261.13475999999997</v>
      </c>
      <c r="F71" s="401"/>
      <c r="H71" s="82"/>
      <c r="I71" s="82"/>
      <c r="J71" s="82"/>
      <c r="K71" s="82"/>
      <c r="L71" s="82"/>
      <c r="M71" s="82"/>
      <c r="N71" s="82"/>
      <c r="O71" s="82"/>
      <c r="P71" s="82"/>
      <c r="Q71" s="82"/>
      <c r="R71" s="82"/>
      <c r="S71" s="82"/>
      <c r="T71" s="82"/>
      <c r="U71" s="82"/>
      <c r="V71" s="82"/>
      <c r="W71" s="82"/>
      <c r="X71" s="82"/>
      <c r="Y71" s="82"/>
      <c r="Z71" s="82"/>
      <c r="AA71" s="82"/>
      <c r="AB71" s="82"/>
      <c r="AC71" s="82"/>
      <c r="AD71" s="82"/>
      <c r="AE71" s="82"/>
      <c r="AF71" s="82"/>
      <c r="AG71" s="82"/>
      <c r="AH71" s="82"/>
    </row>
    <row r="72" spans="2:34" ht="20.100000000000001" customHeight="1">
      <c r="B72" s="82" t="s">
        <v>4091</v>
      </c>
      <c r="C72" s="82"/>
      <c r="D72" s="1449">
        <v>2</v>
      </c>
      <c r="E72" s="401">
        <v>261.13475999999997</v>
      </c>
      <c r="F72" s="401"/>
      <c r="H72" s="82"/>
      <c r="I72" s="82"/>
      <c r="J72" s="82"/>
      <c r="K72" s="82"/>
      <c r="L72" s="82"/>
      <c r="M72" s="82"/>
      <c r="N72" s="82"/>
      <c r="O72" s="82"/>
      <c r="P72" s="82"/>
      <c r="Q72" s="82"/>
      <c r="R72" s="82"/>
      <c r="S72" s="82"/>
      <c r="T72" s="82"/>
      <c r="U72" s="82"/>
      <c r="V72" s="82"/>
      <c r="W72" s="82"/>
      <c r="X72" s="82"/>
      <c r="Y72" s="82"/>
      <c r="Z72" s="82"/>
      <c r="AA72" s="82"/>
      <c r="AB72" s="82"/>
      <c r="AC72" s="82"/>
      <c r="AD72" s="82"/>
      <c r="AE72" s="82"/>
      <c r="AF72" s="82"/>
      <c r="AG72" s="82"/>
      <c r="AH72" s="82"/>
    </row>
    <row r="73" spans="2:34" ht="20.100000000000001" customHeight="1">
      <c r="B73" s="1042" t="s">
        <v>4092</v>
      </c>
      <c r="C73" s="82"/>
      <c r="D73" s="1449">
        <v>2</v>
      </c>
      <c r="E73" s="401">
        <v>261.13475999999997</v>
      </c>
      <c r="F73" s="401"/>
      <c r="H73" s="82"/>
      <c r="I73" s="82"/>
      <c r="J73" s="82"/>
      <c r="K73" s="82"/>
      <c r="L73" s="82"/>
      <c r="M73" s="82"/>
      <c r="N73" s="82"/>
      <c r="O73" s="82"/>
      <c r="P73" s="82"/>
      <c r="Q73" s="82"/>
      <c r="R73" s="82"/>
      <c r="S73" s="82"/>
      <c r="T73" s="82"/>
      <c r="U73" s="82"/>
      <c r="V73" s="82"/>
      <c r="W73" s="82"/>
      <c r="X73" s="82"/>
      <c r="Y73" s="82"/>
      <c r="Z73" s="82"/>
      <c r="AA73" s="82"/>
      <c r="AB73" s="82"/>
      <c r="AC73" s="82"/>
      <c r="AD73" s="82"/>
      <c r="AE73" s="82"/>
      <c r="AF73" s="82"/>
      <c r="AG73" s="82"/>
      <c r="AH73" s="82"/>
    </row>
    <row r="74" spans="2:34" ht="20.100000000000001" customHeight="1">
      <c r="B74" s="1042" t="s">
        <v>4093</v>
      </c>
      <c r="C74" s="82"/>
      <c r="D74" s="1449">
        <v>2</v>
      </c>
      <c r="E74" s="401">
        <v>261.13475999999997</v>
      </c>
      <c r="F74" s="401"/>
      <c r="H74" s="82"/>
      <c r="I74" s="82"/>
      <c r="J74" s="82"/>
      <c r="K74" s="82"/>
      <c r="L74" s="82"/>
      <c r="M74" s="82"/>
      <c r="N74" s="82"/>
      <c r="O74" s="82"/>
      <c r="P74" s="82"/>
      <c r="Q74" s="82"/>
      <c r="R74" s="82"/>
      <c r="S74" s="82"/>
      <c r="T74" s="82"/>
      <c r="U74" s="82"/>
      <c r="V74" s="82"/>
      <c r="W74" s="82"/>
      <c r="X74" s="82"/>
      <c r="Y74" s="82"/>
      <c r="Z74" s="82"/>
      <c r="AA74" s="82"/>
      <c r="AB74" s="82"/>
      <c r="AC74" s="82"/>
      <c r="AD74" s="82"/>
      <c r="AE74" s="82"/>
      <c r="AF74" s="82"/>
      <c r="AG74" s="82"/>
      <c r="AH74" s="82"/>
    </row>
    <row r="75" spans="2:34" ht="20.100000000000001" customHeight="1">
      <c r="B75" s="82" t="s">
        <v>4094</v>
      </c>
      <c r="C75" s="82"/>
      <c r="D75" s="1449">
        <v>2</v>
      </c>
      <c r="E75" s="401">
        <v>261.13475999999997</v>
      </c>
      <c r="F75" s="401"/>
      <c r="H75" s="82" t="s">
        <v>4364</v>
      </c>
      <c r="I75" s="82"/>
      <c r="J75" s="82"/>
      <c r="K75" s="82"/>
      <c r="L75" s="82"/>
      <c r="M75" s="82"/>
      <c r="N75" s="82"/>
      <c r="O75" s="82"/>
      <c r="P75" s="82"/>
      <c r="Q75" s="82"/>
      <c r="R75" s="82"/>
      <c r="S75" s="82"/>
      <c r="T75" s="82"/>
      <c r="U75" s="82"/>
      <c r="V75" s="82"/>
      <c r="W75" s="82"/>
      <c r="X75" s="82"/>
      <c r="Y75" s="82"/>
      <c r="Z75" s="82"/>
      <c r="AA75" s="82"/>
      <c r="AB75" s="82"/>
      <c r="AC75" s="82"/>
      <c r="AD75" s="82"/>
      <c r="AE75" s="82"/>
      <c r="AF75" s="82"/>
      <c r="AG75" s="82"/>
      <c r="AH75" s="82"/>
    </row>
    <row r="76" spans="2:34" ht="20.100000000000001" customHeight="1">
      <c r="B76" s="82" t="s">
        <v>4095</v>
      </c>
      <c r="C76" s="82"/>
      <c r="D76" s="1449">
        <v>2</v>
      </c>
      <c r="E76" s="401">
        <v>261.13475999999997</v>
      </c>
      <c r="F76" s="401"/>
      <c r="H76" s="1140">
        <v>2020</v>
      </c>
      <c r="I76" s="1140">
        <v>2025</v>
      </c>
      <c r="J76" s="1140">
        <v>2030</v>
      </c>
      <c r="K76" s="1140">
        <v>2035</v>
      </c>
      <c r="L76" s="1140">
        <v>2040</v>
      </c>
      <c r="M76" s="1140">
        <v>2045</v>
      </c>
      <c r="N76" s="1140">
        <v>2050</v>
      </c>
      <c r="O76" s="82"/>
      <c r="P76" s="82"/>
      <c r="Q76" s="82"/>
      <c r="R76" s="82"/>
      <c r="S76" s="82"/>
      <c r="T76" s="82"/>
      <c r="U76" s="82"/>
      <c r="V76" s="82"/>
      <c r="W76" s="82"/>
      <c r="X76" s="82"/>
      <c r="Y76" s="82"/>
      <c r="Z76" s="82"/>
      <c r="AA76" s="82"/>
      <c r="AB76" s="82"/>
      <c r="AC76" s="82"/>
      <c r="AD76" s="82"/>
      <c r="AE76" s="82"/>
      <c r="AF76" s="82"/>
      <c r="AG76" s="82"/>
      <c r="AH76" s="82"/>
    </row>
    <row r="77" spans="2:34" ht="20.100000000000001" customHeight="1">
      <c r="B77" s="1042" t="s">
        <v>3010</v>
      </c>
      <c r="C77" s="82"/>
      <c r="D77" s="1449">
        <v>2</v>
      </c>
      <c r="E77" s="401">
        <v>261.13475999999997</v>
      </c>
      <c r="F77" s="401"/>
      <c r="H77" s="445">
        <f t="shared" ref="H77:N77" si="36">H42</f>
        <v>0.1</v>
      </c>
      <c r="I77" s="445">
        <f t="shared" si="36"/>
        <v>0.2</v>
      </c>
      <c r="J77" s="445">
        <f t="shared" si="36"/>
        <v>0.4</v>
      </c>
      <c r="K77" s="445">
        <f t="shared" si="36"/>
        <v>0.6</v>
      </c>
      <c r="L77" s="445">
        <f t="shared" si="36"/>
        <v>0.9</v>
      </c>
      <c r="M77" s="445">
        <f t="shared" si="36"/>
        <v>1.2</v>
      </c>
      <c r="N77" s="445">
        <f t="shared" si="36"/>
        <v>1.4</v>
      </c>
      <c r="O77" s="82"/>
      <c r="P77" s="82"/>
      <c r="Q77" s="82"/>
      <c r="R77" s="82"/>
      <c r="S77" s="82"/>
      <c r="T77" s="82"/>
      <c r="U77" s="82"/>
      <c r="V77" s="82"/>
      <c r="W77" s="82"/>
      <c r="X77" s="82"/>
      <c r="Y77" s="82"/>
      <c r="Z77" s="82"/>
      <c r="AA77" s="82"/>
      <c r="AB77" s="82"/>
      <c r="AC77" s="82"/>
      <c r="AD77" s="82"/>
      <c r="AE77" s="82"/>
      <c r="AF77" s="82"/>
      <c r="AG77" s="82"/>
      <c r="AH77" s="82"/>
    </row>
    <row r="78" spans="2:34" ht="20.100000000000001" customHeight="1">
      <c r="B78" s="82"/>
      <c r="C78" s="82"/>
      <c r="D78" s="82"/>
      <c r="E78" s="82"/>
      <c r="F78" s="82"/>
      <c r="G78" s="82"/>
      <c r="H78" s="82"/>
      <c r="I78" s="82"/>
      <c r="J78" s="82"/>
      <c r="K78" s="82"/>
      <c r="L78" s="82"/>
      <c r="M78" s="82"/>
      <c r="N78" s="82"/>
      <c r="O78" s="82"/>
      <c r="P78" s="82"/>
      <c r="Q78" s="82"/>
      <c r="R78" s="82"/>
      <c r="S78" s="82"/>
      <c r="T78" s="82"/>
      <c r="U78" s="82"/>
      <c r="V78" s="82"/>
      <c r="W78" s="82"/>
      <c r="X78" s="82"/>
      <c r="Y78" s="82"/>
      <c r="Z78" s="82"/>
      <c r="AA78" s="82"/>
      <c r="AB78" s="82"/>
      <c r="AC78" s="82"/>
      <c r="AD78" s="82"/>
      <c r="AE78" s="82"/>
      <c r="AF78" s="82"/>
      <c r="AG78" s="82"/>
      <c r="AH78" s="82"/>
    </row>
    <row r="79" spans="2:34" ht="20.100000000000001" customHeight="1">
      <c r="B79" s="1043"/>
      <c r="C79" s="1565" t="s">
        <v>4086</v>
      </c>
      <c r="D79" s="1565"/>
      <c r="E79" s="82"/>
      <c r="F79" s="82"/>
      <c r="G79" s="82"/>
      <c r="H79" s="82"/>
      <c r="I79" s="82"/>
      <c r="J79" s="82"/>
      <c r="K79" s="82"/>
      <c r="L79" s="82"/>
      <c r="M79" s="82"/>
      <c r="N79" s="82"/>
      <c r="O79" s="82"/>
      <c r="P79" s="82"/>
      <c r="Q79" s="82"/>
      <c r="R79" s="82"/>
      <c r="S79" s="82"/>
      <c r="T79" s="82"/>
      <c r="U79" s="82"/>
      <c r="V79" s="82"/>
      <c r="W79" s="82"/>
      <c r="X79" s="82"/>
      <c r="Y79" s="82"/>
      <c r="Z79" s="82"/>
      <c r="AA79" s="82"/>
      <c r="AB79" s="82"/>
      <c r="AC79" s="82"/>
      <c r="AD79" s="82"/>
      <c r="AE79" s="82"/>
      <c r="AF79" s="82"/>
      <c r="AG79" s="82"/>
      <c r="AH79" s="82"/>
    </row>
    <row r="80" spans="2:34" ht="20.100000000000001" customHeight="1">
      <c r="B80" s="735" t="s">
        <v>4087</v>
      </c>
      <c r="C80" s="82" t="s">
        <v>4084</v>
      </c>
      <c r="D80" s="1140" t="s">
        <v>4085</v>
      </c>
      <c r="E80" s="82"/>
      <c r="F80" s="82"/>
      <c r="G80" s="82"/>
      <c r="H80" s="82"/>
      <c r="I80" s="82"/>
      <c r="J80" s="82"/>
      <c r="K80" s="82"/>
      <c r="L80" s="82"/>
      <c r="M80" s="82"/>
      <c r="N80" s="82"/>
      <c r="O80" s="82"/>
      <c r="P80" s="82"/>
      <c r="Q80" s="82"/>
      <c r="R80" s="82"/>
      <c r="S80" s="82"/>
      <c r="T80" s="82"/>
      <c r="U80" s="82"/>
      <c r="V80" s="82"/>
      <c r="W80" s="82"/>
      <c r="X80" s="82"/>
      <c r="Y80" s="82"/>
      <c r="Z80" s="82"/>
      <c r="AA80" s="82"/>
      <c r="AB80" s="82"/>
      <c r="AC80" s="82"/>
      <c r="AD80" s="82"/>
      <c r="AE80" s="82"/>
      <c r="AF80" s="82"/>
      <c r="AG80" s="82"/>
      <c r="AH80" s="82"/>
    </row>
    <row r="81" spans="1:34" ht="20.100000000000001" customHeight="1">
      <c r="B81" s="735" t="s">
        <v>60</v>
      </c>
      <c r="C81" s="131"/>
      <c r="D81" s="1140">
        <f>100-C81</f>
        <v>100</v>
      </c>
      <c r="E81" s="82"/>
      <c r="F81" s="82"/>
      <c r="G81" s="82"/>
      <c r="H81" s="82"/>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row>
    <row r="82" spans="1:34" ht="20.100000000000001" customHeight="1">
      <c r="B82" s="735" t="s">
        <v>4083</v>
      </c>
      <c r="C82" s="131"/>
      <c r="D82" s="1140">
        <f t="shared" ref="D82:D85" si="37">100-C82</f>
        <v>100</v>
      </c>
      <c r="E82" s="82"/>
      <c r="F82" s="82"/>
      <c r="G82" s="82"/>
      <c r="H82" s="82"/>
      <c r="I82" s="82"/>
      <c r="J82" s="82"/>
      <c r="K82" s="82"/>
      <c r="L82" s="82"/>
      <c r="M82" s="82"/>
      <c r="N82" s="82"/>
      <c r="O82" s="82"/>
      <c r="P82" s="82"/>
      <c r="Q82" s="82"/>
      <c r="R82" s="82"/>
      <c r="S82" s="82"/>
      <c r="T82" s="82"/>
      <c r="U82" s="82"/>
      <c r="V82" s="82"/>
      <c r="W82" s="82"/>
      <c r="X82" s="82"/>
      <c r="Y82" s="82"/>
      <c r="Z82" s="82"/>
      <c r="AA82" s="82"/>
      <c r="AB82" s="82"/>
      <c r="AC82" s="82"/>
      <c r="AD82" s="82"/>
      <c r="AE82" s="82"/>
      <c r="AF82" s="82"/>
      <c r="AG82" s="82"/>
      <c r="AH82" s="82"/>
    </row>
    <row r="83" spans="1:34" ht="20.100000000000001" customHeight="1">
      <c r="B83" s="735" t="s">
        <v>62</v>
      </c>
      <c r="C83" s="131"/>
      <c r="D83" s="1140">
        <f t="shared" si="37"/>
        <v>100</v>
      </c>
      <c r="E83" s="82"/>
      <c r="F83" s="82"/>
      <c r="G83" s="82"/>
      <c r="H83" s="82"/>
      <c r="I83" s="82"/>
      <c r="J83" s="82"/>
      <c r="K83" s="82"/>
      <c r="L83" s="82"/>
      <c r="M83" s="82"/>
      <c r="N83" s="82"/>
      <c r="O83" s="82"/>
      <c r="P83" s="82"/>
      <c r="Q83" s="82"/>
      <c r="R83" s="82"/>
      <c r="S83" s="82"/>
      <c r="T83" s="82"/>
      <c r="U83" s="82"/>
      <c r="V83" s="82"/>
      <c r="W83" s="82"/>
      <c r="X83" s="82"/>
      <c r="Y83" s="82"/>
      <c r="Z83" s="82"/>
      <c r="AA83" s="82"/>
      <c r="AB83" s="82"/>
      <c r="AC83" s="82"/>
      <c r="AD83" s="82"/>
      <c r="AE83" s="82"/>
      <c r="AF83" s="82"/>
      <c r="AG83" s="82"/>
      <c r="AH83" s="82"/>
    </row>
    <row r="84" spans="1:34" ht="20.100000000000001" customHeight="1">
      <c r="B84" s="735" t="s">
        <v>63</v>
      </c>
      <c r="C84" s="131"/>
      <c r="D84" s="1140">
        <f t="shared" si="37"/>
        <v>100</v>
      </c>
      <c r="E84" s="82"/>
      <c r="F84" s="82"/>
      <c r="G84" s="82"/>
      <c r="H84" s="82"/>
      <c r="I84" s="82"/>
      <c r="J84" s="82"/>
      <c r="K84" s="82"/>
      <c r="L84" s="82"/>
      <c r="M84" s="82"/>
      <c r="N84" s="82"/>
      <c r="O84" s="82"/>
      <c r="P84" s="82"/>
      <c r="Q84" s="82"/>
      <c r="R84" s="82"/>
      <c r="S84" s="82"/>
      <c r="T84" s="82"/>
      <c r="U84" s="82"/>
      <c r="V84" s="82"/>
      <c r="W84" s="82"/>
      <c r="X84" s="82"/>
      <c r="Y84" s="82"/>
      <c r="Z84" s="82"/>
      <c r="AA84" s="82"/>
      <c r="AB84" s="82"/>
      <c r="AC84" s="82"/>
      <c r="AD84" s="82"/>
      <c r="AE84" s="82"/>
      <c r="AF84" s="82"/>
      <c r="AG84" s="82"/>
      <c r="AH84" s="82"/>
    </row>
    <row r="85" spans="1:34" ht="20.100000000000001" customHeight="1">
      <c r="B85" s="735" t="s">
        <v>64</v>
      </c>
      <c r="C85" s="131"/>
      <c r="D85" s="1140">
        <f t="shared" si="37"/>
        <v>100</v>
      </c>
      <c r="E85" s="82"/>
      <c r="F85" s="82"/>
      <c r="G85" s="82"/>
      <c r="H85" s="82"/>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row>
    <row r="86" spans="1:34" ht="20.100000000000001" customHeight="1">
      <c r="B86" s="82"/>
      <c r="C86" s="82"/>
      <c r="D86" s="82"/>
      <c r="E86" s="82"/>
      <c r="F86" s="82"/>
      <c r="G86" s="82"/>
      <c r="H86" s="82"/>
      <c r="I86" s="82"/>
      <c r="J86" s="82"/>
      <c r="K86" s="82"/>
      <c r="L86" s="82"/>
      <c r="M86" s="82"/>
      <c r="N86" s="82"/>
      <c r="O86" s="82"/>
      <c r="P86" s="82"/>
      <c r="Q86" s="82"/>
      <c r="R86" s="82"/>
      <c r="S86" s="82"/>
      <c r="T86" s="82"/>
      <c r="U86" s="82"/>
      <c r="V86" s="82"/>
      <c r="W86" s="82"/>
      <c r="X86" s="82"/>
      <c r="Y86" s="82"/>
      <c r="Z86" s="82"/>
      <c r="AA86" s="82"/>
      <c r="AB86" s="82"/>
      <c r="AC86" s="82"/>
      <c r="AD86" s="82"/>
      <c r="AE86" s="82"/>
      <c r="AF86" s="82"/>
      <c r="AG86" s="82"/>
      <c r="AH86" s="82"/>
    </row>
    <row r="87" spans="1:34" ht="20.100000000000001" customHeight="1">
      <c r="B87" s="414" t="s">
        <v>38</v>
      </c>
      <c r="C87" s="1318"/>
      <c r="D87" s="82"/>
      <c r="E87" s="82"/>
      <c r="F87" s="82"/>
      <c r="G87" s="82"/>
      <c r="H87" s="82"/>
      <c r="I87" s="82"/>
      <c r="J87" s="82"/>
      <c r="K87" s="82"/>
      <c r="L87" s="82"/>
      <c r="M87" s="82"/>
      <c r="N87" s="82"/>
      <c r="O87" s="82"/>
      <c r="P87" s="82"/>
      <c r="Q87" s="82"/>
      <c r="R87" s="82"/>
      <c r="S87" s="82"/>
      <c r="T87" s="82"/>
      <c r="U87" s="82"/>
      <c r="V87" s="82"/>
      <c r="W87" s="82"/>
      <c r="X87" s="82"/>
      <c r="Y87" s="82"/>
      <c r="Z87" s="82"/>
      <c r="AA87" s="82"/>
      <c r="AB87" s="82"/>
      <c r="AC87" s="82"/>
      <c r="AD87" s="82"/>
      <c r="AE87" s="82"/>
      <c r="AF87" s="82"/>
      <c r="AG87" s="82"/>
      <c r="AH87" s="82"/>
    </row>
    <row r="88" spans="1:34" ht="20.100000000000001" customHeight="1">
      <c r="B88" s="82" t="s">
        <v>4088</v>
      </c>
      <c r="C88" s="390">
        <v>100</v>
      </c>
      <c r="D88" s="82" t="s">
        <v>1753</v>
      </c>
      <c r="E88" s="82"/>
      <c r="F88" s="82"/>
      <c r="G88" s="82"/>
      <c r="H88" s="82"/>
      <c r="I88" s="82"/>
      <c r="J88" s="82"/>
      <c r="K88" s="82"/>
      <c r="L88" s="82"/>
      <c r="M88" s="82"/>
      <c r="N88" s="82"/>
      <c r="O88" s="82"/>
      <c r="P88" s="82"/>
      <c r="Q88" s="82"/>
      <c r="R88" s="82"/>
      <c r="S88" s="82"/>
      <c r="T88" s="82"/>
      <c r="U88" s="82"/>
      <c r="V88" s="82"/>
      <c r="W88" s="82"/>
      <c r="X88" s="82"/>
      <c r="Y88" s="82"/>
      <c r="Z88" s="82"/>
      <c r="AA88" s="82"/>
      <c r="AB88" s="82"/>
      <c r="AC88" s="82"/>
      <c r="AD88" s="82"/>
      <c r="AE88" s="82"/>
      <c r="AF88" s="82"/>
      <c r="AG88" s="82"/>
      <c r="AH88" s="82"/>
    </row>
    <row r="89" spans="1:34" ht="20.100000000000001" customHeight="1">
      <c r="B89" s="82" t="s">
        <v>4097</v>
      </c>
      <c r="C89" s="389">
        <v>18</v>
      </c>
      <c r="D89" s="82" t="s">
        <v>220</v>
      </c>
      <c r="E89" s="82"/>
      <c r="F89" s="82"/>
      <c r="G89" s="82"/>
      <c r="H89" s="82"/>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row>
    <row r="90" spans="1:34" ht="20.100000000000001" customHeight="1">
      <c r="B90" s="82" t="s">
        <v>4098</v>
      </c>
      <c r="C90" s="389"/>
      <c r="D90" s="82" t="s">
        <v>1697</v>
      </c>
      <c r="E90" s="82"/>
      <c r="F90" s="82"/>
      <c r="G90" s="82"/>
      <c r="H90" s="82"/>
      <c r="I90" s="82"/>
      <c r="J90" s="82"/>
      <c r="K90" s="82"/>
      <c r="L90" s="82"/>
      <c r="M90" s="82"/>
      <c r="N90" s="82"/>
      <c r="O90" s="82"/>
      <c r="P90" s="82"/>
      <c r="Q90" s="82"/>
      <c r="R90" s="82"/>
      <c r="S90" s="82"/>
      <c r="T90" s="82"/>
      <c r="U90" s="82"/>
      <c r="V90" s="82"/>
      <c r="W90" s="82"/>
      <c r="X90" s="82"/>
      <c r="Y90" s="82"/>
      <c r="Z90" s="82"/>
      <c r="AA90" s="82"/>
      <c r="AB90" s="82"/>
      <c r="AC90" s="82"/>
      <c r="AD90" s="82"/>
      <c r="AE90" s="82"/>
      <c r="AF90" s="82"/>
      <c r="AG90" s="82"/>
      <c r="AH90" s="82"/>
    </row>
    <row r="91" spans="1:34" ht="20.100000000000001" customHeight="1">
      <c r="B91" s="82"/>
      <c r="C91" s="82"/>
      <c r="D91" s="1410">
        <v>2021</v>
      </c>
      <c r="E91" s="1410">
        <v>2022</v>
      </c>
      <c r="F91" s="1410">
        <v>2023</v>
      </c>
      <c r="G91" s="1410">
        <v>2024</v>
      </c>
      <c r="H91" s="1410">
        <v>2025</v>
      </c>
      <c r="I91" s="1410">
        <v>2026</v>
      </c>
      <c r="J91" s="1410">
        <v>2027</v>
      </c>
      <c r="K91" s="1410">
        <v>2028</v>
      </c>
      <c r="L91" s="1410">
        <v>2029</v>
      </c>
      <c r="M91" s="1410">
        <v>2030</v>
      </c>
      <c r="N91" s="1410">
        <v>2031</v>
      </c>
      <c r="O91" s="1410">
        <v>2032</v>
      </c>
      <c r="P91" s="1410">
        <v>2033</v>
      </c>
      <c r="Q91" s="1410">
        <v>2034</v>
      </c>
      <c r="R91" s="1410">
        <v>2035</v>
      </c>
      <c r="S91" s="1410">
        <v>2036</v>
      </c>
      <c r="T91" s="1410">
        <v>2037</v>
      </c>
      <c r="U91" s="1410">
        <v>2038</v>
      </c>
      <c r="V91" s="1410">
        <v>2039</v>
      </c>
      <c r="W91" s="1410">
        <v>2040</v>
      </c>
      <c r="X91" s="1410">
        <v>2041</v>
      </c>
      <c r="Y91" s="1410">
        <v>2042</v>
      </c>
      <c r="Z91" s="1410">
        <v>2043</v>
      </c>
      <c r="AA91" s="1410">
        <v>2044</v>
      </c>
      <c r="AB91" s="1410">
        <v>2045</v>
      </c>
      <c r="AC91" s="1410">
        <v>2046</v>
      </c>
      <c r="AD91" s="1410">
        <v>2047</v>
      </c>
      <c r="AE91" s="1410">
        <v>2048</v>
      </c>
      <c r="AF91" s="1410">
        <v>2049</v>
      </c>
      <c r="AG91" s="1410">
        <v>2050</v>
      </c>
      <c r="AH91" s="82"/>
    </row>
    <row r="92" spans="1:34" ht="20.100000000000001" customHeight="1">
      <c r="B92" s="82" t="s">
        <v>4361</v>
      </c>
      <c r="C92" s="82"/>
      <c r="D92" s="389">
        <f>INDEX('DEFAULT DATA'!$R$9:$T$40,'LOCAL DATASET'!$C$10,1)</f>
        <v>2.2999999999999998</v>
      </c>
      <c r="E92" s="389">
        <f>INDEX('DEFAULT DATA'!$R$9:$T$40,'LOCAL DATASET'!$C$10,1)</f>
        <v>2.2999999999999998</v>
      </c>
      <c r="F92" s="389">
        <f>INDEX('DEFAULT DATA'!$R$9:$T$40,'LOCAL DATASET'!$C$10,1)</f>
        <v>2.2999999999999998</v>
      </c>
      <c r="G92" s="389">
        <f>INDEX('DEFAULT DATA'!$R$9:$T$40,'LOCAL DATASET'!$C$10,1)</f>
        <v>2.2999999999999998</v>
      </c>
      <c r="H92" s="389">
        <f>INDEX('DEFAULT DATA'!$R$9:$T$40,'LOCAL DATASET'!$C$10,1)</f>
        <v>2.2999999999999998</v>
      </c>
      <c r="I92" s="389">
        <f>INDEX('DEFAULT DATA'!$R$9:$T$40,'LOCAL DATASET'!$C$10,1)</f>
        <v>2.2999999999999998</v>
      </c>
      <c r="J92" s="389">
        <f>INDEX('DEFAULT DATA'!$R$9:$T$40,'LOCAL DATASET'!$C$10,1)</f>
        <v>2.2999999999999998</v>
      </c>
      <c r="K92" s="389">
        <f>INDEX('DEFAULT DATA'!$R$9:$T$40,'LOCAL DATASET'!$C$10,1)</f>
        <v>2.2999999999999998</v>
      </c>
      <c r="L92" s="389">
        <f>INDEX('DEFAULT DATA'!$R$9:$T$40,'LOCAL DATASET'!$C$10,1)</f>
        <v>2.2999999999999998</v>
      </c>
      <c r="M92" s="389">
        <f>INDEX('DEFAULT DATA'!$R$9:$T$40,'LOCAL DATASET'!$C$10,1)</f>
        <v>2.2999999999999998</v>
      </c>
      <c r="N92" s="389">
        <f>INDEX('DEFAULT DATA'!$R$9:$T$40,'LOCAL DATASET'!$C$10,2)</f>
        <v>0.7</v>
      </c>
      <c r="O92" s="389">
        <f>INDEX('DEFAULT DATA'!$R$9:$T$40,'LOCAL DATASET'!$C$10,2)</f>
        <v>0.7</v>
      </c>
      <c r="P92" s="389">
        <f>INDEX('DEFAULT DATA'!$R$9:$T$40,'LOCAL DATASET'!$C$10,2)</f>
        <v>0.7</v>
      </c>
      <c r="Q92" s="389">
        <f>INDEX('DEFAULT DATA'!$R$9:$T$40,'LOCAL DATASET'!$C$10,2)</f>
        <v>0.7</v>
      </c>
      <c r="R92" s="389">
        <f>INDEX('DEFAULT DATA'!$R$9:$T$40,'LOCAL DATASET'!$C$10,2)</f>
        <v>0.7</v>
      </c>
      <c r="S92" s="389">
        <f>INDEX('DEFAULT DATA'!$R$9:$T$40,'LOCAL DATASET'!$C$10,2)</f>
        <v>0.7</v>
      </c>
      <c r="T92" s="389">
        <f>INDEX('DEFAULT DATA'!$R$9:$T$40,'LOCAL DATASET'!$C$10,2)</f>
        <v>0.7</v>
      </c>
      <c r="U92" s="389">
        <f>INDEX('DEFAULT DATA'!$R$9:$T$40,'LOCAL DATASET'!$C$10,2)</f>
        <v>0.7</v>
      </c>
      <c r="V92" s="389">
        <f>INDEX('DEFAULT DATA'!$R$9:$T$40,'LOCAL DATASET'!$C$10,2)</f>
        <v>0.7</v>
      </c>
      <c r="W92" s="389">
        <f>INDEX('DEFAULT DATA'!$R$9:$T$40,'LOCAL DATASET'!$C$10,2)</f>
        <v>0.7</v>
      </c>
      <c r="X92" s="389">
        <f>INDEX('DEFAULT DATA'!$R$9:$T$40,'LOCAL DATASET'!$C$10,3)</f>
        <v>0.7</v>
      </c>
      <c r="Y92" s="389">
        <f>INDEX('DEFAULT DATA'!$R$9:$T$40,'LOCAL DATASET'!$C$10,3)</f>
        <v>0.7</v>
      </c>
      <c r="Z92" s="389">
        <f>INDEX('DEFAULT DATA'!$R$9:$T$40,'LOCAL DATASET'!$C$10,3)</f>
        <v>0.7</v>
      </c>
      <c r="AA92" s="389">
        <f>INDEX('DEFAULT DATA'!$R$9:$T$40,'LOCAL DATASET'!$C$10,3)</f>
        <v>0.7</v>
      </c>
      <c r="AB92" s="389">
        <f>INDEX('DEFAULT DATA'!$R$9:$T$40,'LOCAL DATASET'!$C$10,3)</f>
        <v>0.7</v>
      </c>
      <c r="AC92" s="389">
        <f>INDEX('DEFAULT DATA'!$R$9:$T$40,'LOCAL DATASET'!$C$10,3)</f>
        <v>0.7</v>
      </c>
      <c r="AD92" s="389">
        <f>INDEX('DEFAULT DATA'!$R$9:$T$40,'LOCAL DATASET'!$C$10,3)</f>
        <v>0.7</v>
      </c>
      <c r="AE92" s="389">
        <f>INDEX('DEFAULT DATA'!$R$9:$T$40,'LOCAL DATASET'!$C$10,3)</f>
        <v>0.7</v>
      </c>
      <c r="AF92" s="389">
        <f>INDEX('DEFAULT DATA'!$R$9:$T$40,'LOCAL DATASET'!$C$10,3)</f>
        <v>0.7</v>
      </c>
      <c r="AG92" s="389">
        <f>INDEX('DEFAULT DATA'!$R$9:$T$40,'LOCAL DATASET'!$C$10,3)</f>
        <v>0.7</v>
      </c>
      <c r="AH92" s="82"/>
    </row>
    <row r="93" spans="1:34" ht="20.100000000000001" customHeight="1">
      <c r="B93" s="82"/>
      <c r="C93" s="82"/>
      <c r="D93" s="1387">
        <f>IF(D91&lt;($C$4+1),$C$88,C88*(100+D92)/100)</f>
        <v>100</v>
      </c>
      <c r="E93" s="1387">
        <f>IF(E91&lt;($C$4+1),$C$88,D93*(100+E92)/100)</f>
        <v>100</v>
      </c>
      <c r="F93" s="1387">
        <f t="shared" ref="F93:AG93" si="38">IF(F91&lt;($C$4+1),$C$88,E93*(100+F92)/100)</f>
        <v>102.3</v>
      </c>
      <c r="G93" s="1387">
        <f t="shared" si="38"/>
        <v>104.65289999999999</v>
      </c>
      <c r="H93" s="1387">
        <f t="shared" si="38"/>
        <v>107.05991669999997</v>
      </c>
      <c r="I93" s="1387">
        <f t="shared" si="38"/>
        <v>109.52229478409998</v>
      </c>
      <c r="J93" s="1387">
        <f t="shared" si="38"/>
        <v>112.04130756413427</v>
      </c>
      <c r="K93" s="1387">
        <f t="shared" si="38"/>
        <v>114.61825763810936</v>
      </c>
      <c r="L93" s="1387">
        <f t="shared" si="38"/>
        <v>117.25447756378585</v>
      </c>
      <c r="M93" s="1387">
        <f t="shared" si="38"/>
        <v>119.95133054775293</v>
      </c>
      <c r="N93" s="1387">
        <f t="shared" si="38"/>
        <v>120.79098986158721</v>
      </c>
      <c r="O93" s="1387">
        <f t="shared" si="38"/>
        <v>121.63652679061832</v>
      </c>
      <c r="P93" s="1387">
        <f t="shared" si="38"/>
        <v>122.48798247815265</v>
      </c>
      <c r="Q93" s="1387">
        <f t="shared" si="38"/>
        <v>123.34539835549971</v>
      </c>
      <c r="R93" s="1387">
        <f t="shared" si="38"/>
        <v>124.2088161439882</v>
      </c>
      <c r="S93" s="1387">
        <f t="shared" si="38"/>
        <v>125.07827785699612</v>
      </c>
      <c r="T93" s="1387">
        <f t="shared" si="38"/>
        <v>125.95382580199509</v>
      </c>
      <c r="U93" s="1387">
        <f t="shared" si="38"/>
        <v>126.83550258260907</v>
      </c>
      <c r="V93" s="1387">
        <f t="shared" si="38"/>
        <v>127.72335110068734</v>
      </c>
      <c r="W93" s="1387">
        <f t="shared" si="38"/>
        <v>128.61741455839217</v>
      </c>
      <c r="X93" s="1387">
        <f t="shared" si="38"/>
        <v>129.51773646030091</v>
      </c>
      <c r="Y93" s="1387">
        <f t="shared" si="38"/>
        <v>130.42436061552303</v>
      </c>
      <c r="Z93" s="1387">
        <f t="shared" si="38"/>
        <v>131.33733113983169</v>
      </c>
      <c r="AA93" s="1387">
        <f t="shared" si="38"/>
        <v>132.25669245781052</v>
      </c>
      <c r="AB93" s="1387">
        <f t="shared" si="38"/>
        <v>133.1824893050152</v>
      </c>
      <c r="AC93" s="1387">
        <f t="shared" si="38"/>
        <v>134.11476673015031</v>
      </c>
      <c r="AD93" s="1387">
        <f t="shared" si="38"/>
        <v>135.05357009726137</v>
      </c>
      <c r="AE93" s="1387">
        <f t="shared" si="38"/>
        <v>135.99894508794222</v>
      </c>
      <c r="AF93" s="1387">
        <f t="shared" si="38"/>
        <v>136.9509377035578</v>
      </c>
      <c r="AG93" s="1387">
        <f t="shared" si="38"/>
        <v>137.9095942674827</v>
      </c>
      <c r="AH93" s="82"/>
    </row>
    <row r="94" spans="1:34" ht="20.100000000000001" customHeight="1">
      <c r="B94" s="82"/>
      <c r="C94" s="82"/>
      <c r="D94" s="82"/>
      <c r="E94" s="82"/>
      <c r="F94" s="82"/>
      <c r="G94" s="82"/>
      <c r="H94" s="82"/>
      <c r="I94" s="82"/>
      <c r="J94" s="82"/>
      <c r="K94" s="82"/>
      <c r="L94" s="82"/>
      <c r="M94" s="82"/>
      <c r="N94" s="82"/>
      <c r="O94" s="82"/>
      <c r="P94" s="82"/>
      <c r="Q94" s="82"/>
      <c r="R94" s="82"/>
      <c r="S94" s="82"/>
      <c r="T94" s="82"/>
      <c r="U94" s="82"/>
      <c r="V94" s="82"/>
      <c r="W94" s="82"/>
      <c r="X94" s="82"/>
      <c r="Y94" s="82"/>
      <c r="Z94" s="82"/>
      <c r="AA94" s="82"/>
      <c r="AB94" s="82"/>
      <c r="AC94" s="82"/>
      <c r="AD94" s="82"/>
      <c r="AE94" s="82"/>
      <c r="AF94" s="82"/>
      <c r="AG94" s="82"/>
      <c r="AH94" s="82"/>
    </row>
    <row r="95" spans="1:34" ht="20.100000000000001" customHeight="1">
      <c r="B95" s="82" t="s">
        <v>162</v>
      </c>
      <c r="C95" s="1140" t="s">
        <v>2544</v>
      </c>
      <c r="D95" s="82"/>
      <c r="E95" s="82"/>
      <c r="F95" s="82"/>
      <c r="G95" s="82"/>
      <c r="H95" s="82"/>
      <c r="I95" s="82"/>
      <c r="J95" s="82"/>
      <c r="K95" s="82"/>
      <c r="L95" s="82"/>
      <c r="M95" s="82"/>
      <c r="N95" s="82"/>
      <c r="O95" s="82"/>
      <c r="P95" s="82"/>
      <c r="Q95" s="82"/>
      <c r="R95" s="82"/>
      <c r="S95" s="82"/>
      <c r="T95" s="82"/>
      <c r="U95" s="82"/>
      <c r="V95" s="82"/>
      <c r="W95" s="82"/>
      <c r="X95" s="82"/>
      <c r="Y95" s="82"/>
      <c r="Z95" s="82"/>
      <c r="AA95" s="82"/>
      <c r="AB95" s="82"/>
      <c r="AC95" s="82"/>
      <c r="AD95" s="82"/>
      <c r="AE95" s="82"/>
      <c r="AF95" s="82"/>
      <c r="AG95" s="82"/>
      <c r="AH95" s="82"/>
    </row>
    <row r="96" spans="1:34" ht="20.100000000000001" customHeight="1">
      <c r="A96" s="82">
        <v>1</v>
      </c>
      <c r="B96" s="131"/>
      <c r="C96" s="131"/>
      <c r="D96" s="82"/>
      <c r="E96" s="82"/>
      <c r="F96" s="82"/>
      <c r="G96" s="82"/>
      <c r="H96" s="82"/>
      <c r="I96" s="82"/>
      <c r="J96" s="82"/>
      <c r="K96" s="82"/>
      <c r="L96" s="82"/>
      <c r="M96" s="82"/>
      <c r="N96" s="82"/>
      <c r="O96" s="82"/>
      <c r="P96" s="82"/>
      <c r="Q96" s="82"/>
      <c r="R96" s="82"/>
      <c r="S96" s="82"/>
      <c r="T96" s="82"/>
      <c r="U96" s="82"/>
      <c r="V96" s="82"/>
      <c r="W96" s="82"/>
      <c r="X96" s="82"/>
      <c r="Y96" s="82"/>
      <c r="Z96" s="82"/>
      <c r="AA96" s="82"/>
      <c r="AB96" s="82"/>
      <c r="AC96" s="82"/>
      <c r="AD96" s="82"/>
      <c r="AE96" s="82"/>
      <c r="AF96" s="82"/>
      <c r="AG96" s="82"/>
      <c r="AH96" s="82"/>
    </row>
    <row r="97" spans="1:34" ht="20.100000000000001" customHeight="1">
      <c r="A97" s="82">
        <v>2</v>
      </c>
      <c r="B97" s="131"/>
      <c r="C97" s="131"/>
      <c r="D97" s="82"/>
      <c r="E97" s="82"/>
      <c r="F97" s="82"/>
      <c r="G97" s="82"/>
      <c r="H97" s="82"/>
      <c r="I97" s="82"/>
      <c r="J97" s="82"/>
      <c r="K97" s="82"/>
      <c r="L97" s="82"/>
      <c r="M97" s="82"/>
      <c r="N97" s="82"/>
      <c r="O97" s="82"/>
      <c r="P97" s="82"/>
      <c r="Q97" s="82"/>
      <c r="R97" s="82"/>
      <c r="S97" s="82"/>
      <c r="T97" s="82"/>
      <c r="U97" s="82"/>
      <c r="V97" s="82"/>
      <c r="W97" s="82"/>
      <c r="X97" s="82"/>
      <c r="Y97" s="82"/>
      <c r="Z97" s="82"/>
      <c r="AA97" s="82"/>
      <c r="AB97" s="82"/>
      <c r="AC97" s="82"/>
      <c r="AD97" s="82"/>
      <c r="AE97" s="82"/>
      <c r="AF97" s="82"/>
      <c r="AG97" s="82"/>
      <c r="AH97" s="82"/>
    </row>
    <row r="98" spans="1:34" ht="20.100000000000001" customHeight="1">
      <c r="A98" s="82">
        <v>3</v>
      </c>
      <c r="B98" s="131"/>
      <c r="C98" s="131"/>
      <c r="D98" s="82"/>
      <c r="E98" s="82"/>
      <c r="F98" s="82"/>
      <c r="G98" s="82"/>
      <c r="H98" s="82"/>
      <c r="I98" s="82"/>
      <c r="J98" s="82"/>
      <c r="K98" s="82"/>
      <c r="L98" s="82"/>
      <c r="M98" s="82"/>
      <c r="N98" s="82"/>
      <c r="O98" s="82"/>
      <c r="P98" s="82"/>
      <c r="Q98" s="82"/>
      <c r="R98" s="82"/>
      <c r="S98" s="82"/>
      <c r="T98" s="82"/>
      <c r="U98" s="82"/>
      <c r="V98" s="82"/>
      <c r="W98" s="82"/>
      <c r="X98" s="82"/>
      <c r="Y98" s="82"/>
      <c r="Z98" s="82"/>
      <c r="AA98" s="82"/>
      <c r="AB98" s="82"/>
      <c r="AC98" s="82"/>
      <c r="AD98" s="82"/>
      <c r="AE98" s="82"/>
      <c r="AF98" s="82"/>
      <c r="AG98" s="82"/>
      <c r="AH98" s="82"/>
    </row>
    <row r="99" spans="1:34" ht="20.100000000000001" customHeight="1">
      <c r="A99" s="82">
        <v>4</v>
      </c>
      <c r="B99" s="131"/>
      <c r="C99" s="131"/>
      <c r="D99" s="82"/>
      <c r="E99" s="82"/>
      <c r="F99" s="82"/>
      <c r="G99" s="82"/>
      <c r="H99" s="82"/>
      <c r="I99" s="82"/>
      <c r="J99" s="82"/>
      <c r="K99" s="82"/>
      <c r="L99" s="82"/>
      <c r="M99" s="82"/>
      <c r="N99" s="82"/>
      <c r="O99" s="82"/>
      <c r="P99" s="82"/>
      <c r="Q99" s="82"/>
      <c r="R99" s="82"/>
      <c r="S99" s="82"/>
      <c r="T99" s="82"/>
      <c r="U99" s="82"/>
      <c r="V99" s="82"/>
      <c r="W99" s="82"/>
      <c r="X99" s="82"/>
      <c r="Y99" s="82"/>
      <c r="Z99" s="82"/>
      <c r="AA99" s="82"/>
      <c r="AB99" s="82"/>
      <c r="AC99" s="82"/>
      <c r="AD99" s="82"/>
      <c r="AE99" s="82"/>
      <c r="AF99" s="82"/>
      <c r="AG99" s="82"/>
      <c r="AH99" s="82"/>
    </row>
    <row r="100" spans="1:34" ht="20.100000000000001" customHeight="1">
      <c r="A100" s="82">
        <v>5</v>
      </c>
      <c r="B100" s="131"/>
      <c r="C100" s="131"/>
      <c r="D100" s="82"/>
      <c r="E100" s="82"/>
      <c r="F100" s="82"/>
      <c r="G100" s="82"/>
      <c r="H100" s="82"/>
      <c r="I100" s="82"/>
      <c r="J100" s="82"/>
      <c r="K100" s="82"/>
      <c r="L100" s="82"/>
      <c r="M100" s="82"/>
      <c r="N100" s="82"/>
      <c r="O100" s="82"/>
      <c r="P100" s="82"/>
      <c r="Q100" s="82"/>
      <c r="R100" s="82"/>
      <c r="S100" s="82"/>
      <c r="T100" s="82"/>
      <c r="U100" s="82"/>
      <c r="V100" s="82"/>
      <c r="W100" s="82"/>
      <c r="X100" s="82"/>
      <c r="Y100" s="82"/>
      <c r="Z100" s="82"/>
      <c r="AA100" s="82"/>
      <c r="AB100" s="82"/>
      <c r="AC100" s="82"/>
      <c r="AD100" s="82"/>
      <c r="AE100" s="82"/>
      <c r="AF100" s="82"/>
      <c r="AG100" s="82"/>
      <c r="AH100" s="82"/>
    </row>
    <row r="101" spans="1:34" ht="20.100000000000001" customHeight="1">
      <c r="A101" s="82">
        <v>6</v>
      </c>
      <c r="B101" s="131"/>
      <c r="C101" s="131"/>
      <c r="D101" s="82"/>
      <c r="E101" s="82"/>
      <c r="F101" s="82"/>
      <c r="G101" s="82"/>
      <c r="H101" s="82"/>
      <c r="I101" s="82"/>
      <c r="J101" s="82"/>
      <c r="K101" s="82"/>
      <c r="L101" s="82"/>
      <c r="M101" s="82"/>
      <c r="N101" s="82"/>
      <c r="O101" s="82"/>
      <c r="P101" s="82"/>
      <c r="Q101" s="82"/>
      <c r="R101" s="82"/>
      <c r="S101" s="82"/>
      <c r="T101" s="82"/>
      <c r="U101" s="82"/>
      <c r="V101" s="82"/>
      <c r="W101" s="82"/>
      <c r="X101" s="82"/>
      <c r="Y101" s="82"/>
      <c r="Z101" s="82"/>
      <c r="AA101" s="82"/>
      <c r="AB101" s="82"/>
      <c r="AC101" s="82"/>
      <c r="AD101" s="82"/>
      <c r="AE101" s="82"/>
      <c r="AF101" s="82"/>
      <c r="AG101" s="82"/>
      <c r="AH101" s="82"/>
    </row>
    <row r="102" spans="1:34" ht="20.100000000000001" customHeight="1">
      <c r="A102" s="82">
        <v>7</v>
      </c>
      <c r="B102" s="131"/>
      <c r="C102" s="131"/>
      <c r="D102" s="82"/>
      <c r="E102" s="82"/>
      <c r="F102" s="82"/>
      <c r="G102" s="82"/>
      <c r="H102" s="82"/>
      <c r="I102" s="82"/>
      <c r="J102" s="82"/>
      <c r="K102" s="82"/>
      <c r="L102" s="82"/>
      <c r="M102" s="82"/>
      <c r="N102" s="82"/>
      <c r="O102" s="82"/>
      <c r="P102" s="82"/>
      <c r="Q102" s="82"/>
      <c r="R102" s="82"/>
      <c r="S102" s="82"/>
      <c r="T102" s="82"/>
      <c r="U102" s="82"/>
      <c r="V102" s="82"/>
      <c r="W102" s="82"/>
      <c r="X102" s="82"/>
      <c r="Y102" s="82"/>
      <c r="Z102" s="82"/>
      <c r="AA102" s="82"/>
      <c r="AB102" s="82"/>
      <c r="AC102" s="82"/>
      <c r="AD102" s="82"/>
      <c r="AE102" s="82"/>
      <c r="AF102" s="82"/>
      <c r="AG102" s="82"/>
      <c r="AH102" s="82"/>
    </row>
    <row r="103" spans="1:34" ht="20.100000000000001" customHeight="1">
      <c r="F103" s="82"/>
      <c r="G103" s="82"/>
      <c r="H103" s="82"/>
      <c r="I103" s="82"/>
      <c r="J103" s="82"/>
      <c r="K103" s="82"/>
      <c r="L103" s="82"/>
      <c r="M103" s="82"/>
      <c r="N103" s="82"/>
      <c r="O103" s="82"/>
      <c r="P103" s="82"/>
      <c r="Q103" s="82"/>
      <c r="R103" s="82"/>
      <c r="S103" s="82"/>
      <c r="T103" s="82"/>
      <c r="U103" s="82"/>
      <c r="V103" s="82"/>
      <c r="W103" s="82"/>
      <c r="X103" s="82"/>
      <c r="Y103" s="82"/>
      <c r="Z103" s="82"/>
      <c r="AA103" s="82"/>
      <c r="AB103" s="82"/>
      <c r="AC103" s="82"/>
      <c r="AD103" s="82"/>
      <c r="AE103" s="82"/>
      <c r="AF103" s="82"/>
      <c r="AG103" s="82"/>
      <c r="AH103" s="82"/>
    </row>
    <row r="104" spans="1:34" ht="20.100000000000001" customHeight="1">
      <c r="B104" s="414" t="s">
        <v>39</v>
      </c>
      <c r="C104" s="1318"/>
      <c r="D104" s="82"/>
      <c r="E104" s="82"/>
      <c r="F104" s="82"/>
      <c r="G104" s="82"/>
      <c r="H104" s="82"/>
      <c r="I104" s="82"/>
      <c r="J104" s="82"/>
      <c r="K104" s="82"/>
      <c r="L104" s="82"/>
      <c r="M104" s="82"/>
      <c r="N104" s="82"/>
      <c r="O104" s="82"/>
      <c r="P104" s="82"/>
      <c r="Q104" s="82"/>
      <c r="R104" s="82"/>
      <c r="S104" s="82"/>
      <c r="T104" s="82"/>
      <c r="U104" s="82"/>
      <c r="V104" s="82"/>
      <c r="W104" s="82"/>
      <c r="X104" s="82"/>
      <c r="Y104" s="82"/>
      <c r="Z104" s="82"/>
      <c r="AA104" s="82"/>
      <c r="AB104" s="82"/>
      <c r="AC104" s="82"/>
      <c r="AD104" s="82"/>
      <c r="AE104" s="82"/>
      <c r="AF104" s="82"/>
      <c r="AG104" s="82"/>
      <c r="AH104" s="82"/>
    </row>
    <row r="105" spans="1:34" ht="20.100000000000001" customHeight="1">
      <c r="B105" s="82" t="s">
        <v>4088</v>
      </c>
      <c r="C105" s="390">
        <v>100</v>
      </c>
      <c r="D105" s="82" t="s">
        <v>1753</v>
      </c>
      <c r="E105" s="82"/>
      <c r="F105" s="82"/>
      <c r="G105" s="82"/>
      <c r="H105" s="82"/>
      <c r="I105" s="82"/>
      <c r="J105" s="82"/>
      <c r="K105" s="82"/>
      <c r="L105" s="82"/>
      <c r="M105" s="82"/>
      <c r="N105" s="82"/>
      <c r="O105" s="82"/>
      <c r="P105" s="82"/>
      <c r="Q105" s="82"/>
      <c r="R105" s="82"/>
      <c r="S105" s="82"/>
      <c r="T105" s="82"/>
      <c r="U105" s="82"/>
      <c r="V105" s="82"/>
      <c r="W105" s="82"/>
      <c r="X105" s="82"/>
      <c r="Y105" s="82"/>
      <c r="Z105" s="82"/>
      <c r="AA105" s="82"/>
      <c r="AB105" s="82"/>
      <c r="AC105" s="82"/>
      <c r="AD105" s="82"/>
      <c r="AE105" s="82"/>
      <c r="AF105" s="82"/>
      <c r="AG105" s="82"/>
      <c r="AH105" s="82"/>
    </row>
    <row r="106" spans="1:34" ht="20.100000000000001" customHeight="1">
      <c r="B106" s="82" t="s">
        <v>4097</v>
      </c>
      <c r="C106" s="389">
        <v>18</v>
      </c>
      <c r="D106" s="82" t="s">
        <v>220</v>
      </c>
      <c r="E106" s="82"/>
      <c r="F106" s="82"/>
      <c r="G106" s="82"/>
      <c r="H106" s="82"/>
      <c r="I106" s="82"/>
      <c r="J106" s="82"/>
      <c r="K106" s="82"/>
      <c r="L106" s="82"/>
      <c r="M106" s="82"/>
      <c r="N106" s="82"/>
      <c r="O106" s="82"/>
      <c r="P106" s="82"/>
      <c r="Q106" s="82"/>
      <c r="R106" s="82"/>
      <c r="S106" s="82"/>
      <c r="T106" s="82"/>
      <c r="U106" s="82"/>
      <c r="V106" s="82"/>
      <c r="W106" s="82"/>
      <c r="X106" s="82"/>
      <c r="Y106" s="82"/>
      <c r="Z106" s="82"/>
      <c r="AA106" s="82"/>
      <c r="AB106" s="82"/>
      <c r="AC106" s="82"/>
      <c r="AD106" s="82"/>
      <c r="AE106" s="82"/>
      <c r="AF106" s="82"/>
      <c r="AG106" s="82"/>
      <c r="AH106" s="82"/>
    </row>
    <row r="107" spans="1:34" ht="20.100000000000001" customHeight="1">
      <c r="B107" s="82" t="s">
        <v>4098</v>
      </c>
      <c r="C107" s="389"/>
      <c r="D107" s="82" t="s">
        <v>1697</v>
      </c>
      <c r="E107" s="82"/>
      <c r="F107" s="82"/>
      <c r="G107" s="82"/>
      <c r="H107" s="82"/>
      <c r="I107" s="82"/>
      <c r="J107" s="82"/>
      <c r="K107" s="82"/>
      <c r="L107" s="82"/>
      <c r="M107" s="82"/>
      <c r="N107" s="82"/>
      <c r="O107" s="82"/>
      <c r="P107" s="82"/>
      <c r="Q107" s="82"/>
      <c r="R107" s="82"/>
      <c r="S107" s="82"/>
      <c r="T107" s="82"/>
      <c r="U107" s="82"/>
      <c r="V107" s="82"/>
      <c r="W107" s="82"/>
      <c r="X107" s="82"/>
      <c r="Y107" s="82"/>
      <c r="Z107" s="82"/>
      <c r="AA107" s="82"/>
      <c r="AB107" s="82"/>
      <c r="AC107" s="82"/>
      <c r="AD107" s="82"/>
      <c r="AE107" s="82"/>
      <c r="AF107" s="82"/>
      <c r="AG107" s="82"/>
      <c r="AH107" s="82"/>
    </row>
    <row r="108" spans="1:34" ht="20.100000000000001" customHeight="1">
      <c r="B108" s="82"/>
      <c r="C108" s="82"/>
      <c r="D108" s="1410">
        <v>2021</v>
      </c>
      <c r="E108" s="1410">
        <v>2022</v>
      </c>
      <c r="F108" s="1410">
        <v>2023</v>
      </c>
      <c r="G108" s="1410">
        <v>2024</v>
      </c>
      <c r="H108" s="1410">
        <v>2025</v>
      </c>
      <c r="I108" s="1410">
        <v>2026</v>
      </c>
      <c r="J108" s="1410">
        <v>2027</v>
      </c>
      <c r="K108" s="1410">
        <v>2028</v>
      </c>
      <c r="L108" s="1410">
        <v>2029</v>
      </c>
      <c r="M108" s="1410">
        <v>2030</v>
      </c>
      <c r="N108" s="1410">
        <v>2031</v>
      </c>
      <c r="O108" s="1410">
        <v>2032</v>
      </c>
      <c r="P108" s="1410">
        <v>2033</v>
      </c>
      <c r="Q108" s="1410">
        <v>2034</v>
      </c>
      <c r="R108" s="1410">
        <v>2035</v>
      </c>
      <c r="S108" s="1410">
        <v>2036</v>
      </c>
      <c r="T108" s="1410">
        <v>2037</v>
      </c>
      <c r="U108" s="1410">
        <v>2038</v>
      </c>
      <c r="V108" s="1410">
        <v>2039</v>
      </c>
      <c r="W108" s="1410">
        <v>2040</v>
      </c>
      <c r="X108" s="1410">
        <v>2041</v>
      </c>
      <c r="Y108" s="1410">
        <v>2042</v>
      </c>
      <c r="Z108" s="1410">
        <v>2043</v>
      </c>
      <c r="AA108" s="1410">
        <v>2044</v>
      </c>
      <c r="AB108" s="1410">
        <v>2045</v>
      </c>
      <c r="AC108" s="1410">
        <v>2046</v>
      </c>
      <c r="AD108" s="1410">
        <v>2047</v>
      </c>
      <c r="AE108" s="1410">
        <v>2048</v>
      </c>
      <c r="AF108" s="1410">
        <v>2049</v>
      </c>
      <c r="AG108" s="1410">
        <v>2050</v>
      </c>
      <c r="AH108" s="82"/>
    </row>
    <row r="109" spans="1:34" ht="20.100000000000001" customHeight="1">
      <c r="B109" s="82" t="s">
        <v>4361</v>
      </c>
      <c r="C109" s="82"/>
      <c r="D109" s="389">
        <f>INDEX('DEFAULT DATA'!$R$9:$T$40,'LOCAL DATASET'!$C$10,1)</f>
        <v>2.2999999999999998</v>
      </c>
      <c r="E109" s="389">
        <f>INDEX('DEFAULT DATA'!$R$9:$T$40,'LOCAL DATASET'!$C$10,1)</f>
        <v>2.2999999999999998</v>
      </c>
      <c r="F109" s="389">
        <f>INDEX('DEFAULT DATA'!$R$9:$T$40,'LOCAL DATASET'!$C$10,1)</f>
        <v>2.2999999999999998</v>
      </c>
      <c r="G109" s="389">
        <f>INDEX('DEFAULT DATA'!$R$9:$T$40,'LOCAL DATASET'!$C$10,1)</f>
        <v>2.2999999999999998</v>
      </c>
      <c r="H109" s="389">
        <f>INDEX('DEFAULT DATA'!$R$9:$T$40,'LOCAL DATASET'!$C$10,1)</f>
        <v>2.2999999999999998</v>
      </c>
      <c r="I109" s="389">
        <f>INDEX('DEFAULT DATA'!$R$9:$T$40,'LOCAL DATASET'!$C$10,1)</f>
        <v>2.2999999999999998</v>
      </c>
      <c r="J109" s="389">
        <f>INDEX('DEFAULT DATA'!$R$9:$T$40,'LOCAL DATASET'!$C$10,1)</f>
        <v>2.2999999999999998</v>
      </c>
      <c r="K109" s="389">
        <f>INDEX('DEFAULT DATA'!$R$9:$T$40,'LOCAL DATASET'!$C$10,1)</f>
        <v>2.2999999999999998</v>
      </c>
      <c r="L109" s="389">
        <f>INDEX('DEFAULT DATA'!$R$9:$T$40,'LOCAL DATASET'!$C$10,1)</f>
        <v>2.2999999999999998</v>
      </c>
      <c r="M109" s="389">
        <f>INDEX('DEFAULT DATA'!$R$9:$T$40,'LOCAL DATASET'!$C$10,1)</f>
        <v>2.2999999999999998</v>
      </c>
      <c r="N109" s="389">
        <f>INDEX('DEFAULT DATA'!$R$9:$T$40,'LOCAL DATASET'!$C$10,2)</f>
        <v>0.7</v>
      </c>
      <c r="O109" s="389">
        <f>INDEX('DEFAULT DATA'!$R$9:$T$40,'LOCAL DATASET'!$C$10,2)</f>
        <v>0.7</v>
      </c>
      <c r="P109" s="389">
        <f>INDEX('DEFAULT DATA'!$R$9:$T$40,'LOCAL DATASET'!$C$10,2)</f>
        <v>0.7</v>
      </c>
      <c r="Q109" s="389">
        <f>INDEX('DEFAULT DATA'!$R$9:$T$40,'LOCAL DATASET'!$C$10,2)</f>
        <v>0.7</v>
      </c>
      <c r="R109" s="389">
        <f>INDEX('DEFAULT DATA'!$R$9:$T$40,'LOCAL DATASET'!$C$10,2)</f>
        <v>0.7</v>
      </c>
      <c r="S109" s="389">
        <f>INDEX('DEFAULT DATA'!$R$9:$T$40,'LOCAL DATASET'!$C$10,2)</f>
        <v>0.7</v>
      </c>
      <c r="T109" s="389">
        <f>INDEX('DEFAULT DATA'!$R$9:$T$40,'LOCAL DATASET'!$C$10,2)</f>
        <v>0.7</v>
      </c>
      <c r="U109" s="389">
        <f>INDEX('DEFAULT DATA'!$R$9:$T$40,'LOCAL DATASET'!$C$10,2)</f>
        <v>0.7</v>
      </c>
      <c r="V109" s="389">
        <f>INDEX('DEFAULT DATA'!$R$9:$T$40,'LOCAL DATASET'!$C$10,2)</f>
        <v>0.7</v>
      </c>
      <c r="W109" s="389">
        <f>INDEX('DEFAULT DATA'!$R$9:$T$40,'LOCAL DATASET'!$C$10,2)</f>
        <v>0.7</v>
      </c>
      <c r="X109" s="389">
        <f>INDEX('DEFAULT DATA'!$R$9:$T$40,'LOCAL DATASET'!$C$10,3)</f>
        <v>0.7</v>
      </c>
      <c r="Y109" s="389">
        <f>INDEX('DEFAULT DATA'!$R$9:$T$40,'LOCAL DATASET'!$C$10,3)</f>
        <v>0.7</v>
      </c>
      <c r="Z109" s="389">
        <f>INDEX('DEFAULT DATA'!$R$9:$T$40,'LOCAL DATASET'!$C$10,3)</f>
        <v>0.7</v>
      </c>
      <c r="AA109" s="389">
        <f>INDEX('DEFAULT DATA'!$R$9:$T$40,'LOCAL DATASET'!$C$10,3)</f>
        <v>0.7</v>
      </c>
      <c r="AB109" s="389">
        <f>INDEX('DEFAULT DATA'!$R$9:$T$40,'LOCAL DATASET'!$C$10,3)</f>
        <v>0.7</v>
      </c>
      <c r="AC109" s="389">
        <f>INDEX('DEFAULT DATA'!$R$9:$T$40,'LOCAL DATASET'!$C$10,3)</f>
        <v>0.7</v>
      </c>
      <c r="AD109" s="389">
        <f>INDEX('DEFAULT DATA'!$R$9:$T$40,'LOCAL DATASET'!$C$10,3)</f>
        <v>0.7</v>
      </c>
      <c r="AE109" s="389">
        <f>INDEX('DEFAULT DATA'!$R$9:$T$40,'LOCAL DATASET'!$C$10,3)</f>
        <v>0.7</v>
      </c>
      <c r="AF109" s="389">
        <f>INDEX('DEFAULT DATA'!$R$9:$T$40,'LOCAL DATASET'!$C$10,3)</f>
        <v>0.7</v>
      </c>
      <c r="AG109" s="389">
        <f>INDEX('DEFAULT DATA'!$R$9:$T$40,'LOCAL DATASET'!$C$10,3)</f>
        <v>0.7</v>
      </c>
      <c r="AH109" s="82"/>
    </row>
    <row r="110" spans="1:34" ht="20.100000000000001" customHeight="1">
      <c r="B110" s="82"/>
      <c r="C110" s="82"/>
      <c r="D110" s="1387">
        <f>IF(D108&lt;($C$4+1),$C$105,C105*(100+D109)/100)</f>
        <v>100</v>
      </c>
      <c r="E110" s="1387">
        <f>IF(E108&lt;($C$4+1),$C$105,D110*(100+E109)/100)</f>
        <v>100</v>
      </c>
      <c r="F110" s="1387">
        <f t="shared" ref="F110:AG110" si="39">IF(F108&lt;($C$4+1),$C$105,E110*(100+F109)/100)</f>
        <v>102.3</v>
      </c>
      <c r="G110" s="1387">
        <f t="shared" si="39"/>
        <v>104.65289999999999</v>
      </c>
      <c r="H110" s="1387">
        <f t="shared" si="39"/>
        <v>107.05991669999997</v>
      </c>
      <c r="I110" s="1387">
        <f t="shared" si="39"/>
        <v>109.52229478409998</v>
      </c>
      <c r="J110" s="1387">
        <f t="shared" si="39"/>
        <v>112.04130756413427</v>
      </c>
      <c r="K110" s="1387">
        <f t="shared" si="39"/>
        <v>114.61825763810936</v>
      </c>
      <c r="L110" s="1387">
        <f t="shared" si="39"/>
        <v>117.25447756378585</v>
      </c>
      <c r="M110" s="1387">
        <f t="shared" si="39"/>
        <v>119.95133054775293</v>
      </c>
      <c r="N110" s="1387">
        <f t="shared" si="39"/>
        <v>120.79098986158721</v>
      </c>
      <c r="O110" s="1387">
        <f t="shared" si="39"/>
        <v>121.63652679061832</v>
      </c>
      <c r="P110" s="1387">
        <f t="shared" si="39"/>
        <v>122.48798247815265</v>
      </c>
      <c r="Q110" s="1387">
        <f t="shared" si="39"/>
        <v>123.34539835549971</v>
      </c>
      <c r="R110" s="1387">
        <f t="shared" si="39"/>
        <v>124.2088161439882</v>
      </c>
      <c r="S110" s="1387">
        <f t="shared" si="39"/>
        <v>125.07827785699612</v>
      </c>
      <c r="T110" s="1387">
        <f t="shared" si="39"/>
        <v>125.95382580199509</v>
      </c>
      <c r="U110" s="1387">
        <f t="shared" si="39"/>
        <v>126.83550258260907</v>
      </c>
      <c r="V110" s="1387">
        <f t="shared" si="39"/>
        <v>127.72335110068734</v>
      </c>
      <c r="W110" s="1387">
        <f t="shared" si="39"/>
        <v>128.61741455839217</v>
      </c>
      <c r="X110" s="1387">
        <f t="shared" si="39"/>
        <v>129.51773646030091</v>
      </c>
      <c r="Y110" s="1387">
        <f t="shared" si="39"/>
        <v>130.42436061552303</v>
      </c>
      <c r="Z110" s="1387">
        <f t="shared" si="39"/>
        <v>131.33733113983169</v>
      </c>
      <c r="AA110" s="1387">
        <f t="shared" si="39"/>
        <v>132.25669245781052</v>
      </c>
      <c r="AB110" s="1387">
        <f t="shared" si="39"/>
        <v>133.1824893050152</v>
      </c>
      <c r="AC110" s="1387">
        <f t="shared" si="39"/>
        <v>134.11476673015031</v>
      </c>
      <c r="AD110" s="1387">
        <f t="shared" si="39"/>
        <v>135.05357009726137</v>
      </c>
      <c r="AE110" s="1387">
        <f t="shared" si="39"/>
        <v>135.99894508794222</v>
      </c>
      <c r="AF110" s="1387">
        <f t="shared" si="39"/>
        <v>136.9509377035578</v>
      </c>
      <c r="AG110" s="1387">
        <f t="shared" si="39"/>
        <v>137.9095942674827</v>
      </c>
      <c r="AH110" s="82"/>
    </row>
    <row r="111" spans="1:34" ht="20.100000000000001" customHeight="1">
      <c r="F111" s="82"/>
      <c r="G111" s="82"/>
      <c r="H111" s="82"/>
      <c r="I111" s="82"/>
      <c r="J111" s="82"/>
      <c r="K111" s="82"/>
      <c r="L111" s="82"/>
      <c r="M111" s="82"/>
      <c r="N111" s="82"/>
      <c r="O111" s="82"/>
      <c r="P111" s="82"/>
      <c r="Q111" s="82"/>
      <c r="R111" s="82"/>
      <c r="S111" s="82"/>
      <c r="T111" s="82"/>
      <c r="U111" s="82"/>
      <c r="V111" s="82"/>
      <c r="W111" s="82"/>
      <c r="X111" s="82"/>
      <c r="Y111" s="82"/>
      <c r="Z111" s="82"/>
      <c r="AA111" s="82"/>
      <c r="AB111" s="82"/>
      <c r="AC111" s="82"/>
      <c r="AD111" s="82"/>
      <c r="AE111" s="82"/>
      <c r="AF111" s="82"/>
      <c r="AG111" s="82"/>
      <c r="AH111" s="82"/>
    </row>
    <row r="112" spans="1:34" ht="20.100000000000001" customHeight="1">
      <c r="B112" s="82" t="s">
        <v>163</v>
      </c>
      <c r="C112" s="1140" t="s">
        <v>2544</v>
      </c>
      <c r="D112" s="82"/>
      <c r="E112" s="82"/>
      <c r="F112" s="82"/>
      <c r="G112" s="82"/>
      <c r="H112" s="82"/>
      <c r="I112" s="82"/>
      <c r="J112" s="82"/>
      <c r="K112" s="82"/>
      <c r="L112" s="82"/>
      <c r="M112" s="82"/>
      <c r="N112" s="82"/>
      <c r="O112" s="82"/>
      <c r="P112" s="82"/>
      <c r="Q112" s="82"/>
      <c r="R112" s="82"/>
      <c r="S112" s="82"/>
      <c r="T112" s="82"/>
      <c r="U112" s="82"/>
      <c r="V112" s="82"/>
      <c r="W112" s="82"/>
      <c r="X112" s="82"/>
      <c r="Y112" s="82"/>
      <c r="Z112" s="82"/>
      <c r="AA112" s="82"/>
      <c r="AB112" s="82"/>
      <c r="AC112" s="82"/>
      <c r="AD112" s="82"/>
      <c r="AE112" s="82"/>
      <c r="AF112" s="82"/>
      <c r="AG112" s="82"/>
      <c r="AH112" s="82"/>
    </row>
    <row r="113" spans="1:34" ht="20.100000000000001" customHeight="1">
      <c r="A113" s="82">
        <v>1</v>
      </c>
      <c r="B113" s="131"/>
      <c r="C113" s="131"/>
      <c r="D113" s="82"/>
      <c r="E113" s="82"/>
      <c r="F113" s="82"/>
      <c r="G113" s="82"/>
      <c r="H113" s="82"/>
      <c r="I113" s="82"/>
      <c r="J113" s="82"/>
      <c r="K113" s="82"/>
      <c r="L113" s="82"/>
      <c r="M113" s="82"/>
      <c r="N113" s="82"/>
      <c r="O113" s="82"/>
      <c r="P113" s="82"/>
      <c r="Q113" s="82"/>
      <c r="R113" s="82"/>
      <c r="S113" s="82"/>
      <c r="T113" s="82"/>
      <c r="U113" s="82"/>
      <c r="V113" s="82"/>
      <c r="W113" s="82"/>
      <c r="X113" s="82"/>
      <c r="Y113" s="82"/>
      <c r="Z113" s="82"/>
      <c r="AA113" s="82"/>
      <c r="AB113" s="82"/>
      <c r="AC113" s="82"/>
      <c r="AD113" s="82"/>
      <c r="AE113" s="82"/>
      <c r="AF113" s="82"/>
      <c r="AG113" s="82"/>
      <c r="AH113" s="82"/>
    </row>
    <row r="114" spans="1:34" ht="20.100000000000001" customHeight="1">
      <c r="A114" s="82">
        <v>2</v>
      </c>
      <c r="B114" s="131"/>
      <c r="C114" s="131"/>
      <c r="D114" s="82"/>
      <c r="E114" s="82"/>
      <c r="F114" s="82"/>
      <c r="G114" s="82"/>
      <c r="H114" s="82"/>
      <c r="I114" s="82"/>
      <c r="J114" s="82"/>
      <c r="K114" s="82"/>
      <c r="L114" s="82"/>
      <c r="M114" s="82"/>
      <c r="N114" s="82"/>
      <c r="O114" s="82"/>
      <c r="P114" s="82"/>
      <c r="Q114" s="82"/>
      <c r="R114" s="82"/>
      <c r="S114" s="82"/>
      <c r="T114" s="82"/>
      <c r="U114" s="82"/>
      <c r="V114" s="82"/>
      <c r="W114" s="82"/>
      <c r="X114" s="82"/>
      <c r="Y114" s="82"/>
      <c r="Z114" s="82"/>
      <c r="AA114" s="82"/>
      <c r="AB114" s="82"/>
      <c r="AC114" s="82"/>
      <c r="AD114" s="82"/>
      <c r="AE114" s="82"/>
      <c r="AF114" s="82"/>
      <c r="AG114" s="82"/>
      <c r="AH114" s="82"/>
    </row>
    <row r="115" spans="1:34" ht="20.100000000000001" customHeight="1">
      <c r="A115" s="82">
        <v>3</v>
      </c>
      <c r="B115" s="131"/>
      <c r="C115" s="131"/>
      <c r="D115" s="82"/>
      <c r="E115" s="82"/>
      <c r="F115" s="82"/>
      <c r="G115" s="82"/>
      <c r="H115" s="82"/>
      <c r="I115" s="82"/>
      <c r="J115" s="82"/>
      <c r="K115" s="82"/>
      <c r="L115" s="82"/>
      <c r="M115" s="82"/>
      <c r="N115" s="82"/>
      <c r="O115" s="82"/>
      <c r="P115" s="82"/>
      <c r="Q115" s="82"/>
      <c r="R115" s="82"/>
      <c r="S115" s="82"/>
      <c r="T115" s="82"/>
      <c r="U115" s="82"/>
      <c r="V115" s="82"/>
      <c r="W115" s="82"/>
      <c r="X115" s="82"/>
      <c r="Y115" s="82"/>
      <c r="Z115" s="82"/>
      <c r="AA115" s="82"/>
      <c r="AB115" s="82"/>
      <c r="AC115" s="82"/>
      <c r="AD115" s="82"/>
      <c r="AE115" s="82"/>
      <c r="AF115" s="82"/>
      <c r="AG115" s="82"/>
      <c r="AH115" s="82"/>
    </row>
    <row r="116" spans="1:34" ht="20.100000000000001" customHeight="1">
      <c r="A116" s="82">
        <v>4</v>
      </c>
      <c r="B116" s="131"/>
      <c r="C116" s="131"/>
      <c r="D116" s="82"/>
      <c r="E116" s="82"/>
      <c r="F116" s="82"/>
      <c r="G116" s="82"/>
      <c r="H116" s="82"/>
      <c r="I116" s="82"/>
      <c r="J116" s="82"/>
      <c r="K116" s="82"/>
      <c r="L116" s="82"/>
      <c r="M116" s="82"/>
      <c r="N116" s="82"/>
      <c r="O116" s="82"/>
      <c r="P116" s="82"/>
      <c r="Q116" s="82"/>
      <c r="R116" s="82"/>
      <c r="S116" s="82"/>
      <c r="T116" s="82"/>
      <c r="U116" s="82"/>
      <c r="V116" s="82"/>
      <c r="W116" s="82"/>
      <c r="X116" s="82"/>
      <c r="Y116" s="82"/>
      <c r="Z116" s="82"/>
      <c r="AA116" s="82"/>
      <c r="AB116" s="82"/>
      <c r="AC116" s="82"/>
      <c r="AD116" s="82"/>
      <c r="AE116" s="82"/>
      <c r="AF116" s="82"/>
      <c r="AG116" s="82"/>
      <c r="AH116" s="82"/>
    </row>
    <row r="117" spans="1:34" ht="20.100000000000001" customHeight="1">
      <c r="A117" s="82">
        <v>5</v>
      </c>
      <c r="B117" s="131"/>
      <c r="C117" s="131"/>
      <c r="D117" s="82"/>
      <c r="E117" s="82"/>
      <c r="F117" s="82"/>
      <c r="G117" s="82"/>
      <c r="H117" s="82"/>
      <c r="I117" s="82"/>
      <c r="J117" s="82"/>
      <c r="K117" s="82"/>
      <c r="L117" s="82"/>
      <c r="M117" s="82"/>
      <c r="N117" s="82"/>
      <c r="O117" s="82"/>
      <c r="P117" s="82"/>
      <c r="Q117" s="82"/>
      <c r="R117" s="82"/>
      <c r="S117" s="82"/>
      <c r="T117" s="82"/>
      <c r="U117" s="82"/>
      <c r="V117" s="82"/>
      <c r="W117" s="82"/>
      <c r="X117" s="82"/>
      <c r="Y117" s="82"/>
      <c r="Z117" s="82"/>
      <c r="AA117" s="82"/>
      <c r="AB117" s="82"/>
      <c r="AC117" s="82"/>
      <c r="AD117" s="82"/>
      <c r="AE117" s="82"/>
      <c r="AF117" s="82"/>
      <c r="AG117" s="82"/>
      <c r="AH117" s="82"/>
    </row>
    <row r="118" spans="1:34" ht="20.100000000000001" customHeight="1">
      <c r="A118" s="82">
        <v>6</v>
      </c>
      <c r="B118" s="131"/>
      <c r="C118" s="131"/>
      <c r="D118" s="82"/>
      <c r="E118" s="82"/>
      <c r="F118" s="82"/>
      <c r="G118" s="82"/>
      <c r="H118" s="82"/>
      <c r="I118" s="82"/>
      <c r="J118" s="82"/>
      <c r="K118" s="82"/>
      <c r="L118" s="82"/>
      <c r="M118" s="82"/>
      <c r="N118" s="82"/>
      <c r="O118" s="82"/>
      <c r="P118" s="82"/>
      <c r="Q118" s="82"/>
      <c r="R118" s="82"/>
      <c r="S118" s="82"/>
      <c r="T118" s="82"/>
      <c r="U118" s="82"/>
      <c r="V118" s="82"/>
      <c r="W118" s="82"/>
      <c r="X118" s="82"/>
      <c r="Y118" s="82"/>
      <c r="Z118" s="82"/>
      <c r="AA118" s="82"/>
      <c r="AB118" s="82"/>
      <c r="AC118" s="82"/>
      <c r="AD118" s="82"/>
      <c r="AE118" s="82"/>
      <c r="AF118" s="82"/>
      <c r="AG118" s="82"/>
      <c r="AH118" s="82"/>
    </row>
    <row r="119" spans="1:34" ht="20.100000000000001" customHeight="1">
      <c r="A119" s="82">
        <v>7</v>
      </c>
      <c r="B119" s="131"/>
      <c r="C119" s="131"/>
      <c r="D119" s="82"/>
      <c r="E119" s="82"/>
      <c r="F119" s="82"/>
      <c r="G119" s="82"/>
      <c r="H119" s="82"/>
      <c r="I119" s="82"/>
      <c r="J119" s="82"/>
      <c r="K119" s="82"/>
      <c r="L119" s="82"/>
      <c r="M119" s="82"/>
      <c r="N119" s="82"/>
      <c r="O119" s="82"/>
      <c r="P119" s="82"/>
      <c r="Q119" s="82"/>
      <c r="R119" s="82"/>
      <c r="S119" s="82"/>
      <c r="T119" s="82"/>
      <c r="U119" s="82"/>
      <c r="V119" s="82"/>
      <c r="W119" s="82"/>
      <c r="X119" s="82"/>
      <c r="Y119" s="82"/>
      <c r="Z119" s="82"/>
      <c r="AA119" s="82"/>
      <c r="AB119" s="82"/>
      <c r="AC119" s="82"/>
      <c r="AD119" s="82"/>
      <c r="AE119" s="82"/>
      <c r="AF119" s="82"/>
      <c r="AG119" s="82"/>
      <c r="AH119" s="82"/>
    </row>
    <row r="120" spans="1:34" ht="20.100000000000001" customHeight="1">
      <c r="A120" s="82">
        <v>8</v>
      </c>
      <c r="B120" s="131"/>
      <c r="C120" s="131"/>
      <c r="D120" s="82"/>
      <c r="E120" s="82"/>
      <c r="F120" s="82"/>
      <c r="G120" s="82"/>
      <c r="H120" s="82"/>
      <c r="I120" s="82"/>
      <c r="J120" s="82"/>
      <c r="K120" s="82"/>
      <c r="L120" s="82"/>
      <c r="M120" s="82"/>
      <c r="N120" s="82"/>
      <c r="O120" s="82"/>
      <c r="P120" s="82"/>
      <c r="Q120" s="82"/>
      <c r="R120" s="82"/>
      <c r="S120" s="82"/>
      <c r="T120" s="82"/>
      <c r="U120" s="82"/>
      <c r="V120" s="82"/>
      <c r="W120" s="82"/>
      <c r="X120" s="82"/>
      <c r="Y120" s="82"/>
      <c r="Z120" s="82"/>
      <c r="AA120" s="82"/>
      <c r="AB120" s="82"/>
      <c r="AC120" s="82"/>
      <c r="AD120" s="82"/>
      <c r="AE120" s="82"/>
      <c r="AF120" s="82"/>
      <c r="AG120" s="82"/>
      <c r="AH120" s="82"/>
    </row>
    <row r="121" spans="1:34" ht="20.100000000000001" customHeight="1">
      <c r="A121" s="82">
        <v>9</v>
      </c>
      <c r="B121" s="131"/>
      <c r="C121" s="131"/>
      <c r="D121" s="82"/>
      <c r="E121" s="82"/>
      <c r="F121" s="82"/>
      <c r="G121" s="82"/>
      <c r="H121" s="82"/>
      <c r="I121" s="82"/>
      <c r="J121" s="82"/>
      <c r="K121" s="82"/>
      <c r="L121" s="82"/>
      <c r="M121" s="82"/>
      <c r="N121" s="82"/>
      <c r="O121" s="82"/>
      <c r="P121" s="82"/>
      <c r="Q121" s="82"/>
      <c r="R121" s="82"/>
      <c r="S121" s="82"/>
      <c r="T121" s="82"/>
      <c r="U121" s="82"/>
      <c r="V121" s="82"/>
      <c r="W121" s="82"/>
      <c r="X121" s="82"/>
      <c r="Y121" s="82"/>
      <c r="Z121" s="82"/>
      <c r="AA121" s="82"/>
      <c r="AB121" s="82"/>
      <c r="AC121" s="82"/>
      <c r="AD121" s="82"/>
      <c r="AE121" s="82"/>
      <c r="AF121" s="82"/>
      <c r="AG121" s="82"/>
      <c r="AH121" s="82"/>
    </row>
    <row r="122" spans="1:34" ht="20.100000000000001" customHeight="1">
      <c r="A122" s="82">
        <v>10</v>
      </c>
      <c r="B122" s="131"/>
      <c r="C122" s="131"/>
      <c r="D122" s="82"/>
      <c r="E122" s="82"/>
      <c r="F122" s="82"/>
      <c r="G122" s="82"/>
      <c r="H122" s="82"/>
      <c r="I122" s="82"/>
      <c r="J122" s="82"/>
      <c r="K122" s="82"/>
      <c r="L122" s="82"/>
      <c r="M122" s="82"/>
      <c r="N122" s="82"/>
      <c r="O122" s="82"/>
      <c r="P122" s="82"/>
      <c r="Q122" s="82"/>
      <c r="R122" s="82"/>
      <c r="S122" s="82"/>
      <c r="T122" s="82"/>
      <c r="U122" s="82"/>
      <c r="V122" s="82"/>
      <c r="W122" s="82"/>
      <c r="X122" s="82"/>
      <c r="Y122" s="82"/>
      <c r="Z122" s="82"/>
      <c r="AA122" s="82"/>
      <c r="AB122" s="82"/>
      <c r="AC122" s="82"/>
      <c r="AD122" s="82"/>
      <c r="AE122" s="82"/>
      <c r="AF122" s="82"/>
      <c r="AG122" s="82"/>
      <c r="AH122" s="82"/>
    </row>
    <row r="123" spans="1:34" ht="20.100000000000001" customHeight="1">
      <c r="A123" s="82">
        <v>11</v>
      </c>
      <c r="B123" s="131"/>
      <c r="C123" s="131"/>
      <c r="D123" s="82"/>
      <c r="E123" s="82"/>
      <c r="F123" s="82"/>
      <c r="G123" s="82"/>
      <c r="H123" s="82"/>
      <c r="I123" s="82"/>
      <c r="J123" s="82"/>
      <c r="K123" s="82"/>
      <c r="L123" s="82"/>
      <c r="M123" s="82"/>
      <c r="N123" s="82"/>
      <c r="O123" s="82"/>
      <c r="P123" s="82"/>
      <c r="Q123" s="82"/>
      <c r="R123" s="82"/>
      <c r="S123" s="82"/>
      <c r="T123" s="82"/>
      <c r="U123" s="82"/>
      <c r="V123" s="82"/>
      <c r="W123" s="82"/>
      <c r="X123" s="82"/>
      <c r="Y123" s="82"/>
      <c r="Z123" s="82"/>
      <c r="AA123" s="82"/>
      <c r="AB123" s="82"/>
      <c r="AC123" s="82"/>
      <c r="AD123" s="82"/>
      <c r="AE123" s="82"/>
      <c r="AF123" s="82"/>
      <c r="AG123" s="82"/>
      <c r="AH123" s="82"/>
    </row>
    <row r="124" spans="1:34" ht="20.100000000000001" customHeight="1">
      <c r="A124" s="82">
        <v>12</v>
      </c>
      <c r="B124" s="131"/>
      <c r="C124" s="131"/>
      <c r="D124" s="82"/>
      <c r="E124" s="82"/>
      <c r="F124" s="82"/>
      <c r="G124" s="82"/>
      <c r="H124" s="82"/>
      <c r="I124" s="82"/>
      <c r="J124" s="82"/>
      <c r="K124" s="82"/>
      <c r="L124" s="82"/>
      <c r="M124" s="82"/>
      <c r="N124" s="82"/>
      <c r="O124" s="82"/>
      <c r="P124" s="82"/>
      <c r="Q124" s="82"/>
      <c r="R124" s="82"/>
      <c r="S124" s="82"/>
      <c r="T124" s="82"/>
      <c r="U124" s="82"/>
      <c r="V124" s="82"/>
      <c r="W124" s="82"/>
      <c r="X124" s="82"/>
      <c r="Y124" s="82"/>
      <c r="Z124" s="82"/>
      <c r="AA124" s="82"/>
      <c r="AB124" s="82"/>
      <c r="AC124" s="82"/>
      <c r="AD124" s="82"/>
      <c r="AE124" s="82"/>
      <c r="AF124" s="82"/>
      <c r="AG124" s="82"/>
      <c r="AH124" s="82"/>
    </row>
    <row r="125" spans="1:34" ht="20.100000000000001" customHeight="1">
      <c r="A125" s="82">
        <v>13</v>
      </c>
      <c r="B125" s="131"/>
      <c r="C125" s="131"/>
      <c r="D125" s="82"/>
      <c r="E125" s="82"/>
      <c r="F125" s="82"/>
      <c r="G125" s="82"/>
      <c r="H125" s="82"/>
      <c r="I125" s="82"/>
      <c r="J125" s="82"/>
      <c r="K125" s="82"/>
      <c r="L125" s="82"/>
      <c r="M125" s="82"/>
      <c r="N125" s="82"/>
      <c r="O125" s="82"/>
      <c r="P125" s="82"/>
      <c r="Q125" s="82"/>
      <c r="R125" s="82"/>
      <c r="S125" s="82"/>
      <c r="T125" s="82"/>
      <c r="U125" s="82"/>
      <c r="V125" s="82"/>
      <c r="W125" s="82"/>
      <c r="X125" s="82"/>
      <c r="Y125" s="82"/>
      <c r="Z125" s="82"/>
      <c r="AA125" s="82"/>
      <c r="AB125" s="82"/>
      <c r="AC125" s="82"/>
      <c r="AD125" s="82"/>
      <c r="AE125" s="82"/>
      <c r="AF125" s="82"/>
      <c r="AG125" s="82"/>
      <c r="AH125" s="82"/>
    </row>
    <row r="126" spans="1:34" ht="20.100000000000001" customHeight="1">
      <c r="A126" s="82">
        <v>14</v>
      </c>
      <c r="B126" s="131"/>
      <c r="C126" s="131"/>
      <c r="D126" s="82"/>
      <c r="E126" s="82"/>
      <c r="F126" s="82"/>
      <c r="G126" s="82"/>
      <c r="H126" s="82"/>
      <c r="I126" s="82"/>
      <c r="J126" s="82"/>
      <c r="K126" s="82"/>
      <c r="L126" s="82"/>
      <c r="M126" s="82"/>
      <c r="N126" s="82"/>
      <c r="O126" s="82"/>
      <c r="P126" s="82"/>
      <c r="Q126" s="82"/>
      <c r="R126" s="82"/>
      <c r="S126" s="82"/>
      <c r="T126" s="82"/>
      <c r="U126" s="82"/>
      <c r="V126" s="82"/>
      <c r="W126" s="82"/>
      <c r="X126" s="82"/>
      <c r="Y126" s="82"/>
      <c r="Z126" s="82"/>
      <c r="AA126" s="82"/>
      <c r="AB126" s="82"/>
      <c r="AC126" s="82"/>
      <c r="AD126" s="82"/>
      <c r="AE126" s="82"/>
      <c r="AF126" s="82"/>
      <c r="AG126" s="82"/>
      <c r="AH126" s="82"/>
    </row>
    <row r="127" spans="1:34" ht="20.100000000000001" customHeight="1">
      <c r="A127" s="82">
        <v>15</v>
      </c>
      <c r="B127" s="131"/>
      <c r="C127" s="131"/>
      <c r="D127" s="82"/>
      <c r="E127" s="82"/>
      <c r="F127" s="82"/>
      <c r="G127" s="82"/>
      <c r="H127" s="82"/>
      <c r="I127" s="82"/>
      <c r="J127" s="82"/>
      <c r="K127" s="82"/>
      <c r="L127" s="82"/>
      <c r="M127" s="82"/>
      <c r="N127" s="82"/>
      <c r="O127" s="82"/>
      <c r="P127" s="82"/>
      <c r="Q127" s="82"/>
      <c r="R127" s="82"/>
      <c r="S127" s="82"/>
      <c r="T127" s="82"/>
      <c r="U127" s="82"/>
      <c r="V127" s="82"/>
      <c r="W127" s="82"/>
      <c r="X127" s="82"/>
      <c r="Y127" s="82"/>
      <c r="Z127" s="82"/>
      <c r="AA127" s="82"/>
      <c r="AB127" s="82"/>
      <c r="AC127" s="82"/>
      <c r="AD127" s="82"/>
      <c r="AE127" s="82"/>
      <c r="AF127" s="82"/>
      <c r="AG127" s="82"/>
      <c r="AH127" s="82"/>
    </row>
    <row r="128" spans="1:34" ht="20.100000000000001" customHeight="1">
      <c r="A128" s="82">
        <v>16</v>
      </c>
      <c r="B128" s="131"/>
      <c r="C128" s="131"/>
      <c r="D128" s="82"/>
      <c r="E128" s="82"/>
      <c r="F128" s="82"/>
      <c r="G128" s="82"/>
      <c r="H128" s="82"/>
      <c r="I128" s="82"/>
      <c r="J128" s="82"/>
      <c r="K128" s="82"/>
      <c r="L128" s="82"/>
      <c r="M128" s="82"/>
      <c r="N128" s="82"/>
      <c r="O128" s="82"/>
      <c r="P128" s="82"/>
      <c r="Q128" s="82"/>
      <c r="R128" s="82"/>
      <c r="S128" s="82"/>
      <c r="T128" s="82"/>
      <c r="U128" s="82"/>
      <c r="V128" s="82"/>
      <c r="W128" s="82"/>
      <c r="X128" s="82"/>
      <c r="Y128" s="82"/>
      <c r="Z128" s="82"/>
      <c r="AA128" s="82"/>
      <c r="AB128" s="82"/>
      <c r="AC128" s="82"/>
      <c r="AD128" s="82"/>
      <c r="AE128" s="82"/>
      <c r="AF128" s="82"/>
      <c r="AG128" s="82"/>
      <c r="AH128" s="82"/>
    </row>
    <row r="129" spans="1:34" ht="20.100000000000001" customHeight="1">
      <c r="A129" s="82">
        <v>17</v>
      </c>
      <c r="B129" s="131"/>
      <c r="C129" s="131"/>
      <c r="D129" s="82"/>
      <c r="E129" s="82"/>
      <c r="F129" s="82"/>
      <c r="G129" s="82"/>
      <c r="H129" s="82"/>
      <c r="I129" s="82"/>
      <c r="J129" s="82"/>
      <c r="K129" s="82"/>
      <c r="L129" s="82"/>
      <c r="M129" s="82"/>
      <c r="N129" s="82"/>
      <c r="O129" s="82"/>
      <c r="P129" s="82"/>
      <c r="Q129" s="82"/>
      <c r="R129" s="82"/>
      <c r="S129" s="82"/>
      <c r="T129" s="82"/>
      <c r="U129" s="82"/>
      <c r="V129" s="82"/>
      <c r="W129" s="82"/>
      <c r="X129" s="82"/>
      <c r="Y129" s="82"/>
      <c r="Z129" s="82"/>
      <c r="AA129" s="82"/>
      <c r="AB129" s="82"/>
      <c r="AC129" s="82"/>
      <c r="AD129" s="82"/>
      <c r="AE129" s="82"/>
      <c r="AF129" s="82"/>
      <c r="AG129" s="82"/>
      <c r="AH129" s="82"/>
    </row>
    <row r="130" spans="1:34" ht="20.100000000000001" customHeight="1">
      <c r="A130" s="82">
        <v>18</v>
      </c>
      <c r="B130" s="131"/>
      <c r="C130" s="131"/>
      <c r="D130" s="82"/>
      <c r="E130" s="82"/>
      <c r="F130" s="82"/>
      <c r="G130" s="82"/>
      <c r="H130" s="82"/>
      <c r="I130" s="82"/>
      <c r="J130" s="82"/>
      <c r="K130" s="82"/>
      <c r="L130" s="82"/>
      <c r="M130" s="82"/>
      <c r="N130" s="82"/>
      <c r="O130" s="82"/>
      <c r="P130" s="82"/>
      <c r="Q130" s="82"/>
      <c r="R130" s="82"/>
      <c r="S130" s="82"/>
      <c r="T130" s="82"/>
      <c r="U130" s="82"/>
      <c r="V130" s="82"/>
      <c r="W130" s="82"/>
      <c r="X130" s="82"/>
      <c r="Y130" s="82"/>
      <c r="Z130" s="82"/>
      <c r="AA130" s="82"/>
      <c r="AB130" s="82"/>
      <c r="AC130" s="82"/>
      <c r="AD130" s="82"/>
      <c r="AE130" s="82"/>
      <c r="AF130" s="82"/>
      <c r="AG130" s="82"/>
      <c r="AH130" s="82"/>
    </row>
    <row r="131" spans="1:34" ht="20.100000000000001" customHeight="1">
      <c r="A131" s="82">
        <v>19</v>
      </c>
      <c r="B131" s="131"/>
      <c r="C131" s="131"/>
      <c r="D131" s="82"/>
      <c r="E131" s="82"/>
      <c r="F131" s="82"/>
      <c r="G131" s="82"/>
      <c r="H131" s="82"/>
      <c r="I131" s="82"/>
      <c r="J131" s="82"/>
      <c r="K131" s="82"/>
      <c r="L131" s="82"/>
      <c r="M131" s="82"/>
      <c r="N131" s="82"/>
      <c r="O131" s="82"/>
      <c r="P131" s="82"/>
      <c r="Q131" s="82"/>
      <c r="R131" s="82"/>
      <c r="S131" s="82"/>
      <c r="T131" s="82"/>
      <c r="U131" s="82"/>
      <c r="V131" s="82"/>
      <c r="W131" s="82"/>
      <c r="X131" s="82"/>
      <c r="Y131" s="82"/>
      <c r="Z131" s="82"/>
      <c r="AA131" s="82"/>
      <c r="AB131" s="82"/>
      <c r="AC131" s="82"/>
      <c r="AD131" s="82"/>
      <c r="AE131" s="82"/>
      <c r="AF131" s="82"/>
      <c r="AG131" s="82"/>
      <c r="AH131" s="82"/>
    </row>
    <row r="132" spans="1:34" ht="20.100000000000001" customHeight="1">
      <c r="A132" s="82">
        <v>20</v>
      </c>
      <c r="B132" s="131"/>
      <c r="C132" s="131"/>
      <c r="D132" s="82"/>
      <c r="E132" s="82"/>
      <c r="F132" s="82"/>
      <c r="G132" s="82"/>
      <c r="H132" s="82"/>
      <c r="I132" s="82"/>
      <c r="J132" s="82"/>
      <c r="K132" s="82"/>
      <c r="L132" s="82"/>
      <c r="M132" s="82"/>
      <c r="N132" s="82"/>
      <c r="O132" s="82"/>
      <c r="P132" s="82"/>
      <c r="Q132" s="82"/>
      <c r="R132" s="82"/>
      <c r="S132" s="82"/>
      <c r="T132" s="82"/>
      <c r="U132" s="82"/>
      <c r="V132" s="82"/>
      <c r="W132" s="82"/>
      <c r="X132" s="82"/>
      <c r="Y132" s="82"/>
      <c r="Z132" s="82"/>
      <c r="AA132" s="82"/>
      <c r="AB132" s="82"/>
      <c r="AC132" s="82"/>
      <c r="AD132" s="82"/>
      <c r="AE132" s="82"/>
      <c r="AF132" s="82"/>
      <c r="AG132" s="82"/>
      <c r="AH132" s="82"/>
    </row>
    <row r="133" spans="1:34" ht="20.100000000000001" customHeight="1">
      <c r="A133" s="82">
        <v>21</v>
      </c>
      <c r="B133" s="131"/>
      <c r="C133" s="131"/>
      <c r="D133" s="82"/>
      <c r="E133" s="82"/>
      <c r="F133" s="82"/>
      <c r="G133" s="82"/>
      <c r="H133" s="82"/>
      <c r="I133" s="82"/>
      <c r="J133" s="82"/>
      <c r="K133" s="82"/>
      <c r="L133" s="82"/>
      <c r="M133" s="82"/>
      <c r="N133" s="82"/>
      <c r="O133" s="82"/>
      <c r="P133" s="82"/>
      <c r="Q133" s="82"/>
      <c r="R133" s="82"/>
      <c r="S133" s="82"/>
      <c r="T133" s="82"/>
      <c r="U133" s="82"/>
      <c r="V133" s="82"/>
      <c r="W133" s="82"/>
      <c r="X133" s="82"/>
      <c r="Y133" s="82"/>
      <c r="Z133" s="82"/>
      <c r="AA133" s="82"/>
      <c r="AB133" s="82"/>
      <c r="AC133" s="82"/>
      <c r="AD133" s="82"/>
      <c r="AE133" s="82"/>
      <c r="AF133" s="82"/>
      <c r="AG133" s="82"/>
      <c r="AH133" s="82"/>
    </row>
    <row r="134" spans="1:34" ht="20.100000000000001" customHeight="1">
      <c r="A134" s="82">
        <v>22</v>
      </c>
      <c r="B134" s="131"/>
      <c r="C134" s="131"/>
      <c r="D134" s="82"/>
      <c r="E134" s="82"/>
      <c r="F134" s="82"/>
      <c r="G134" s="82"/>
      <c r="H134" s="82"/>
      <c r="I134" s="82"/>
      <c r="J134" s="82"/>
      <c r="K134" s="82"/>
      <c r="L134" s="82"/>
      <c r="M134" s="82"/>
      <c r="N134" s="82"/>
      <c r="O134" s="82"/>
      <c r="P134" s="82"/>
      <c r="Q134" s="82"/>
      <c r="R134" s="82"/>
      <c r="S134" s="82"/>
      <c r="T134" s="82"/>
      <c r="U134" s="82"/>
      <c r="V134" s="82"/>
      <c r="W134" s="82"/>
      <c r="X134" s="82"/>
      <c r="Y134" s="82"/>
      <c r="Z134" s="82"/>
      <c r="AA134" s="82"/>
      <c r="AB134" s="82"/>
      <c r="AC134" s="82"/>
      <c r="AD134" s="82"/>
      <c r="AE134" s="82"/>
      <c r="AF134" s="82"/>
      <c r="AG134" s="82"/>
      <c r="AH134" s="82"/>
    </row>
    <row r="135" spans="1:34" ht="20.100000000000001" customHeight="1">
      <c r="A135" s="82">
        <v>23</v>
      </c>
      <c r="B135" s="131"/>
      <c r="C135" s="131"/>
      <c r="D135" s="82"/>
      <c r="E135" s="82"/>
      <c r="F135" s="82"/>
      <c r="G135" s="82"/>
      <c r="H135" s="82"/>
      <c r="I135" s="82"/>
      <c r="J135" s="82"/>
      <c r="K135" s="82"/>
      <c r="L135" s="82"/>
      <c r="M135" s="82"/>
      <c r="N135" s="82"/>
      <c r="O135" s="82"/>
      <c r="P135" s="82"/>
      <c r="Q135" s="82"/>
      <c r="R135" s="82"/>
      <c r="S135" s="82"/>
      <c r="T135" s="82"/>
      <c r="U135" s="82"/>
      <c r="V135" s="82"/>
      <c r="W135" s="82"/>
      <c r="X135" s="82"/>
      <c r="Y135" s="82"/>
      <c r="Z135" s="82"/>
      <c r="AA135" s="82"/>
      <c r="AB135" s="82"/>
      <c r="AC135" s="82"/>
      <c r="AD135" s="82"/>
      <c r="AE135" s="82"/>
      <c r="AF135" s="82"/>
      <c r="AG135" s="82"/>
      <c r="AH135" s="82"/>
    </row>
    <row r="136" spans="1:34" ht="20.100000000000001" customHeight="1">
      <c r="A136" s="82">
        <v>24</v>
      </c>
      <c r="B136" s="131"/>
      <c r="C136" s="131"/>
      <c r="D136" s="82"/>
      <c r="E136" s="82"/>
      <c r="F136" s="82"/>
      <c r="G136" s="82"/>
      <c r="H136" s="82"/>
      <c r="I136" s="82"/>
      <c r="J136" s="82"/>
      <c r="K136" s="82"/>
      <c r="L136" s="82"/>
      <c r="M136" s="82"/>
      <c r="N136" s="82"/>
      <c r="O136" s="82"/>
      <c r="P136" s="82"/>
      <c r="Q136" s="82"/>
      <c r="R136" s="82"/>
      <c r="S136" s="82"/>
      <c r="T136" s="82"/>
      <c r="U136" s="82"/>
      <c r="V136" s="82"/>
      <c r="W136" s="82"/>
      <c r="X136" s="82"/>
      <c r="Y136" s="82"/>
      <c r="Z136" s="82"/>
      <c r="AA136" s="82"/>
      <c r="AB136" s="82"/>
      <c r="AC136" s="82"/>
      <c r="AD136" s="82"/>
      <c r="AE136" s="82"/>
      <c r="AF136" s="82"/>
      <c r="AG136" s="82"/>
      <c r="AH136" s="82"/>
    </row>
    <row r="137" spans="1:34" ht="20.100000000000001" customHeight="1">
      <c r="A137" s="82">
        <v>25</v>
      </c>
      <c r="B137" s="131"/>
      <c r="C137" s="131"/>
      <c r="D137" s="82"/>
      <c r="E137" s="82"/>
      <c r="F137" s="82"/>
      <c r="G137" s="82"/>
      <c r="H137" s="82"/>
      <c r="I137" s="82"/>
      <c r="J137" s="82"/>
      <c r="K137" s="82"/>
      <c r="L137" s="82"/>
      <c r="M137" s="82"/>
      <c r="N137" s="82"/>
      <c r="O137" s="82"/>
      <c r="P137" s="82"/>
      <c r="Q137" s="82"/>
      <c r="R137" s="82"/>
      <c r="S137" s="82"/>
      <c r="T137" s="82"/>
      <c r="U137" s="82"/>
      <c r="V137" s="82"/>
      <c r="W137" s="82"/>
      <c r="X137" s="82"/>
      <c r="Y137" s="82"/>
      <c r="Z137" s="82"/>
      <c r="AA137" s="82"/>
      <c r="AB137" s="82"/>
      <c r="AC137" s="82"/>
      <c r="AD137" s="82"/>
      <c r="AE137" s="82"/>
      <c r="AF137" s="82"/>
      <c r="AG137" s="82"/>
      <c r="AH137" s="82"/>
    </row>
    <row r="138" spans="1:34" ht="20.100000000000001" customHeight="1">
      <c r="A138" s="82">
        <v>26</v>
      </c>
      <c r="B138" s="131"/>
      <c r="C138" s="131"/>
      <c r="D138" s="82"/>
      <c r="E138" s="82"/>
      <c r="F138" s="82"/>
      <c r="G138" s="82"/>
      <c r="H138" s="82"/>
      <c r="I138" s="82"/>
      <c r="J138" s="82"/>
      <c r="K138" s="82"/>
      <c r="L138" s="82"/>
      <c r="M138" s="82"/>
      <c r="N138" s="82"/>
      <c r="O138" s="82"/>
      <c r="P138" s="82"/>
      <c r="Q138" s="82"/>
      <c r="R138" s="82"/>
      <c r="S138" s="82"/>
      <c r="T138" s="82"/>
      <c r="U138" s="82"/>
      <c r="V138" s="82"/>
      <c r="W138" s="82"/>
      <c r="X138" s="82"/>
      <c r="Y138" s="82"/>
      <c r="Z138" s="82"/>
      <c r="AA138" s="82"/>
      <c r="AB138" s="82"/>
      <c r="AC138" s="82"/>
      <c r="AD138" s="82"/>
      <c r="AE138" s="82"/>
      <c r="AF138" s="82"/>
      <c r="AG138" s="82"/>
      <c r="AH138" s="82"/>
    </row>
    <row r="139" spans="1:34" ht="20.100000000000001" customHeight="1">
      <c r="A139" s="82">
        <v>27</v>
      </c>
      <c r="B139" s="131"/>
      <c r="C139" s="131"/>
      <c r="D139" s="82"/>
      <c r="E139" s="82"/>
      <c r="F139" s="82"/>
      <c r="G139" s="82"/>
      <c r="H139" s="82"/>
      <c r="I139" s="82"/>
      <c r="J139" s="82"/>
      <c r="K139" s="82"/>
      <c r="L139" s="82"/>
      <c r="M139" s="82"/>
      <c r="N139" s="82"/>
      <c r="O139" s="82"/>
      <c r="P139" s="82"/>
      <c r="Q139" s="82"/>
      <c r="R139" s="82"/>
      <c r="S139" s="82"/>
      <c r="T139" s="82"/>
      <c r="U139" s="82"/>
      <c r="V139" s="82"/>
      <c r="W139" s="82"/>
      <c r="X139" s="82"/>
      <c r="Y139" s="82"/>
      <c r="Z139" s="82"/>
      <c r="AA139" s="82"/>
      <c r="AB139" s="82"/>
      <c r="AC139" s="82"/>
      <c r="AD139" s="82"/>
      <c r="AE139" s="82"/>
      <c r="AF139" s="82"/>
      <c r="AG139" s="82"/>
      <c r="AH139" s="82"/>
    </row>
    <row r="140" spans="1:34" ht="20.100000000000001" customHeight="1">
      <c r="A140" s="82">
        <v>28</v>
      </c>
      <c r="B140" s="131"/>
      <c r="C140" s="131"/>
      <c r="D140" s="82"/>
      <c r="E140" s="82"/>
      <c r="F140" s="82"/>
      <c r="G140" s="82"/>
      <c r="H140" s="82"/>
      <c r="I140" s="82"/>
      <c r="J140" s="82"/>
      <c r="K140" s="82"/>
      <c r="L140" s="82"/>
      <c r="M140" s="82"/>
      <c r="N140" s="82"/>
      <c r="O140" s="82"/>
      <c r="P140" s="82"/>
      <c r="Q140" s="82"/>
      <c r="R140" s="82"/>
      <c r="S140" s="82"/>
      <c r="T140" s="82"/>
      <c r="U140" s="82"/>
      <c r="V140" s="82"/>
      <c r="W140" s="82"/>
      <c r="X140" s="82"/>
      <c r="Y140" s="82"/>
      <c r="Z140" s="82"/>
      <c r="AA140" s="82"/>
      <c r="AB140" s="82"/>
      <c r="AC140" s="82"/>
      <c r="AD140" s="82"/>
      <c r="AE140" s="82"/>
      <c r="AF140" s="82"/>
      <c r="AG140" s="82"/>
      <c r="AH140" s="82"/>
    </row>
    <row r="141" spans="1:34" ht="20.100000000000001" customHeight="1">
      <c r="A141" s="82">
        <v>29</v>
      </c>
      <c r="B141" s="131"/>
      <c r="C141" s="131"/>
      <c r="D141" s="82"/>
      <c r="E141" s="82"/>
      <c r="F141" s="82"/>
      <c r="G141" s="82"/>
      <c r="H141" s="82"/>
      <c r="I141" s="82"/>
      <c r="J141" s="82"/>
      <c r="K141" s="82"/>
      <c r="L141" s="82"/>
      <c r="M141" s="82"/>
      <c r="N141" s="82"/>
      <c r="O141" s="82"/>
      <c r="P141" s="82"/>
      <c r="Q141" s="82"/>
      <c r="R141" s="82"/>
      <c r="S141" s="82"/>
      <c r="T141" s="82"/>
      <c r="U141" s="82"/>
      <c r="V141" s="82"/>
      <c r="W141" s="82"/>
      <c r="X141" s="82"/>
      <c r="Y141" s="82"/>
      <c r="Z141" s="82"/>
      <c r="AA141" s="82"/>
      <c r="AB141" s="82"/>
      <c r="AC141" s="82"/>
      <c r="AD141" s="82"/>
      <c r="AE141" s="82"/>
      <c r="AF141" s="82"/>
      <c r="AG141" s="82"/>
      <c r="AH141" s="82"/>
    </row>
    <row r="142" spans="1:34" ht="20.100000000000001" customHeight="1">
      <c r="A142" s="82">
        <v>30</v>
      </c>
      <c r="B142" s="131"/>
      <c r="C142" s="131"/>
      <c r="D142" s="82"/>
      <c r="E142" s="82"/>
      <c r="F142" s="82"/>
      <c r="G142" s="82"/>
      <c r="H142" s="82"/>
      <c r="I142" s="82"/>
      <c r="J142" s="82"/>
      <c r="K142" s="82"/>
      <c r="L142" s="82"/>
      <c r="M142" s="82"/>
      <c r="N142" s="82"/>
      <c r="O142" s="82"/>
      <c r="P142" s="82"/>
      <c r="Q142" s="82"/>
      <c r="R142" s="82"/>
      <c r="S142" s="82"/>
      <c r="T142" s="82"/>
      <c r="U142" s="82"/>
      <c r="V142" s="82"/>
      <c r="W142" s="82"/>
      <c r="X142" s="82"/>
      <c r="Y142" s="82"/>
      <c r="Z142" s="82"/>
      <c r="AA142" s="82"/>
      <c r="AB142" s="82"/>
      <c r="AC142" s="82"/>
      <c r="AD142" s="82"/>
      <c r="AE142" s="82"/>
      <c r="AF142" s="82"/>
      <c r="AG142" s="82"/>
      <c r="AH142" s="82"/>
    </row>
    <row r="143" spans="1:34" ht="20.100000000000001" customHeight="1">
      <c r="A143" s="82">
        <v>31</v>
      </c>
      <c r="B143" s="131"/>
      <c r="C143" s="131"/>
      <c r="D143" s="82"/>
      <c r="E143" s="82"/>
      <c r="F143" s="82"/>
      <c r="G143" s="82"/>
      <c r="H143" s="82"/>
      <c r="I143" s="82"/>
      <c r="J143" s="82"/>
      <c r="K143" s="82"/>
      <c r="L143" s="82"/>
      <c r="M143" s="82"/>
      <c r="N143" s="82"/>
      <c r="O143" s="82"/>
      <c r="P143" s="82"/>
      <c r="Q143" s="82"/>
      <c r="R143" s="82"/>
      <c r="S143" s="82"/>
      <c r="T143" s="82"/>
      <c r="U143" s="82"/>
      <c r="V143" s="82"/>
      <c r="W143" s="82"/>
      <c r="X143" s="82"/>
      <c r="Y143" s="82"/>
      <c r="Z143" s="82"/>
      <c r="AA143" s="82"/>
      <c r="AB143" s="82"/>
      <c r="AC143" s="82"/>
      <c r="AD143" s="82"/>
      <c r="AE143" s="82"/>
      <c r="AF143" s="82"/>
      <c r="AG143" s="82"/>
      <c r="AH143" s="82"/>
    </row>
    <row r="144" spans="1:34" ht="20.100000000000001" customHeight="1">
      <c r="A144" s="82">
        <v>32</v>
      </c>
      <c r="B144" s="131"/>
      <c r="C144" s="131"/>
      <c r="D144" s="82"/>
      <c r="E144" s="82"/>
      <c r="F144" s="82"/>
      <c r="G144" s="82"/>
      <c r="H144" s="82"/>
      <c r="I144" s="82"/>
      <c r="J144" s="82"/>
      <c r="K144" s="82"/>
      <c r="L144" s="82"/>
      <c r="M144" s="82"/>
      <c r="N144" s="82"/>
      <c r="O144" s="82"/>
      <c r="P144" s="82"/>
      <c r="Q144" s="82"/>
      <c r="R144" s="82"/>
      <c r="S144" s="82"/>
      <c r="T144" s="82"/>
      <c r="U144" s="82"/>
      <c r="V144" s="82"/>
      <c r="W144" s="82"/>
      <c r="X144" s="82"/>
      <c r="Y144" s="82"/>
      <c r="Z144" s="82"/>
      <c r="AA144" s="82"/>
      <c r="AB144" s="82"/>
      <c r="AC144" s="82"/>
      <c r="AD144" s="82"/>
      <c r="AE144" s="82"/>
      <c r="AF144" s="82"/>
      <c r="AG144" s="82"/>
      <c r="AH144" s="82"/>
    </row>
    <row r="145" spans="1:34" ht="20.100000000000001" customHeight="1">
      <c r="A145" s="82">
        <v>33</v>
      </c>
      <c r="B145" s="131"/>
      <c r="C145" s="131"/>
      <c r="D145" s="82"/>
      <c r="E145" s="82"/>
      <c r="F145" s="82"/>
      <c r="G145" s="82"/>
      <c r="H145" s="82"/>
      <c r="I145" s="82"/>
      <c r="J145" s="82"/>
      <c r="K145" s="82"/>
      <c r="L145" s="82"/>
      <c r="M145" s="82"/>
      <c r="N145" s="82"/>
      <c r="O145" s="82"/>
      <c r="P145" s="82"/>
      <c r="Q145" s="82"/>
      <c r="R145" s="82"/>
      <c r="S145" s="82"/>
      <c r="T145" s="82"/>
      <c r="U145" s="82"/>
      <c r="V145" s="82"/>
      <c r="W145" s="82"/>
      <c r="X145" s="82"/>
      <c r="Y145" s="82"/>
      <c r="Z145" s="82"/>
      <c r="AA145" s="82"/>
      <c r="AB145" s="82"/>
      <c r="AC145" s="82"/>
      <c r="AD145" s="82"/>
      <c r="AE145" s="82"/>
      <c r="AF145" s="82"/>
      <c r="AG145" s="82"/>
      <c r="AH145" s="82"/>
    </row>
    <row r="146" spans="1:34" ht="20.100000000000001" customHeight="1">
      <c r="A146" s="82">
        <v>34</v>
      </c>
      <c r="B146" s="131"/>
      <c r="C146" s="131"/>
      <c r="D146" s="82"/>
      <c r="E146" s="82"/>
      <c r="F146" s="82"/>
      <c r="G146" s="82"/>
      <c r="H146" s="82"/>
      <c r="I146" s="82"/>
      <c r="J146" s="82"/>
      <c r="K146" s="82"/>
      <c r="L146" s="82"/>
      <c r="M146" s="82"/>
      <c r="N146" s="82"/>
      <c r="O146" s="82"/>
      <c r="P146" s="82"/>
      <c r="Q146" s="82"/>
      <c r="R146" s="82"/>
      <c r="S146" s="82"/>
      <c r="T146" s="82"/>
      <c r="U146" s="82"/>
      <c r="V146" s="82"/>
      <c r="W146" s="82"/>
      <c r="X146" s="82"/>
      <c r="Y146" s="82"/>
      <c r="Z146" s="82"/>
      <c r="AA146" s="82"/>
      <c r="AB146" s="82"/>
      <c r="AC146" s="82"/>
      <c r="AD146" s="82"/>
      <c r="AE146" s="82"/>
      <c r="AF146" s="82"/>
      <c r="AG146" s="82"/>
      <c r="AH146" s="82"/>
    </row>
    <row r="147" spans="1:34" ht="20.100000000000001" customHeight="1">
      <c r="A147" s="82">
        <v>35</v>
      </c>
      <c r="B147" s="131"/>
      <c r="C147" s="131"/>
      <c r="D147" s="82"/>
      <c r="E147" s="82"/>
      <c r="F147" s="82"/>
      <c r="G147" s="82"/>
      <c r="H147" s="82"/>
      <c r="I147" s="82"/>
      <c r="J147" s="82"/>
      <c r="K147" s="82"/>
      <c r="L147" s="82"/>
      <c r="M147" s="82"/>
      <c r="N147" s="82"/>
      <c r="O147" s="82"/>
      <c r="P147" s="82"/>
      <c r="Q147" s="82"/>
      <c r="R147" s="82"/>
      <c r="S147" s="82"/>
      <c r="T147" s="82"/>
      <c r="U147" s="82"/>
      <c r="V147" s="82"/>
      <c r="W147" s="82"/>
      <c r="X147" s="82"/>
      <c r="Y147" s="82"/>
      <c r="Z147" s="82"/>
      <c r="AA147" s="82"/>
      <c r="AB147" s="82"/>
      <c r="AC147" s="82"/>
      <c r="AD147" s="82"/>
      <c r="AE147" s="82"/>
      <c r="AF147" s="82"/>
      <c r="AG147" s="82"/>
      <c r="AH147" s="82"/>
    </row>
    <row r="148" spans="1:34" ht="20.100000000000001" customHeight="1">
      <c r="A148" s="82">
        <v>36</v>
      </c>
      <c r="B148" s="131"/>
      <c r="C148" s="131"/>
      <c r="D148" s="82"/>
      <c r="E148" s="82"/>
      <c r="F148" s="82"/>
      <c r="G148" s="82"/>
      <c r="H148" s="82"/>
      <c r="I148" s="82"/>
      <c r="J148" s="82"/>
      <c r="K148" s="82"/>
      <c r="L148" s="82"/>
      <c r="M148" s="82"/>
      <c r="N148" s="82"/>
      <c r="O148" s="82"/>
      <c r="P148" s="82"/>
      <c r="Q148" s="82"/>
      <c r="R148" s="82"/>
      <c r="S148" s="82"/>
      <c r="T148" s="82"/>
      <c r="U148" s="82"/>
      <c r="V148" s="82"/>
      <c r="W148" s="82"/>
      <c r="X148" s="82"/>
      <c r="Y148" s="82"/>
      <c r="Z148" s="82"/>
      <c r="AA148" s="82"/>
      <c r="AB148" s="82"/>
      <c r="AC148" s="82"/>
      <c r="AD148" s="82"/>
      <c r="AE148" s="82"/>
      <c r="AF148" s="82"/>
      <c r="AG148" s="82"/>
      <c r="AH148" s="82"/>
    </row>
    <row r="149" spans="1:34" ht="20.100000000000001" customHeight="1">
      <c r="A149" s="82">
        <v>37</v>
      </c>
      <c r="B149" s="131"/>
      <c r="C149" s="131"/>
      <c r="D149" s="82"/>
      <c r="E149" s="82"/>
      <c r="F149" s="82"/>
      <c r="G149" s="82"/>
      <c r="H149" s="82"/>
      <c r="I149" s="82"/>
      <c r="J149" s="82"/>
      <c r="K149" s="82"/>
      <c r="L149" s="82"/>
      <c r="M149" s="82"/>
      <c r="N149" s="82"/>
      <c r="O149" s="82"/>
      <c r="P149" s="82"/>
      <c r="Q149" s="82"/>
      <c r="R149" s="82"/>
      <c r="S149" s="82"/>
      <c r="T149" s="82"/>
      <c r="U149" s="82"/>
      <c r="V149" s="82"/>
      <c r="W149" s="82"/>
      <c r="X149" s="82"/>
      <c r="Y149" s="82"/>
      <c r="Z149" s="82"/>
      <c r="AA149" s="82"/>
      <c r="AB149" s="82"/>
      <c r="AC149" s="82"/>
      <c r="AD149" s="82"/>
      <c r="AE149" s="82"/>
      <c r="AF149" s="82"/>
      <c r="AG149" s="82"/>
      <c r="AH149" s="82"/>
    </row>
    <row r="150" spans="1:34" ht="20.100000000000001" customHeight="1">
      <c r="A150" s="82">
        <v>38</v>
      </c>
      <c r="B150" s="131"/>
      <c r="C150" s="131"/>
      <c r="D150" s="82"/>
      <c r="E150" s="82"/>
      <c r="F150" s="82"/>
      <c r="G150" s="82"/>
      <c r="H150" s="82"/>
      <c r="I150" s="82"/>
      <c r="J150" s="82"/>
      <c r="K150" s="82"/>
      <c r="L150" s="82"/>
      <c r="M150" s="82"/>
      <c r="N150" s="82"/>
      <c r="O150" s="82"/>
      <c r="P150" s="82"/>
      <c r="Q150" s="82"/>
      <c r="R150" s="82"/>
      <c r="S150" s="82"/>
      <c r="T150" s="82"/>
      <c r="U150" s="82"/>
      <c r="V150" s="82"/>
      <c r="W150" s="82"/>
      <c r="X150" s="82"/>
      <c r="Y150" s="82"/>
      <c r="Z150" s="82"/>
      <c r="AA150" s="82"/>
      <c r="AB150" s="82"/>
      <c r="AC150" s="82"/>
      <c r="AD150" s="82"/>
      <c r="AE150" s="82"/>
      <c r="AF150" s="82"/>
      <c r="AG150" s="82"/>
      <c r="AH150" s="82"/>
    </row>
    <row r="151" spans="1:34" ht="20.100000000000001" customHeight="1">
      <c r="A151" s="82">
        <v>39</v>
      </c>
      <c r="B151" s="131"/>
      <c r="C151" s="131"/>
      <c r="D151" s="82"/>
      <c r="E151" s="82"/>
      <c r="F151" s="82"/>
      <c r="G151" s="82"/>
      <c r="H151" s="82"/>
      <c r="I151" s="82"/>
      <c r="J151" s="82"/>
      <c r="K151" s="82"/>
      <c r="L151" s="82"/>
      <c r="M151" s="82"/>
      <c r="N151" s="82"/>
      <c r="O151" s="82"/>
      <c r="P151" s="82"/>
      <c r="Q151" s="82"/>
      <c r="R151" s="82"/>
      <c r="S151" s="82"/>
      <c r="T151" s="82"/>
      <c r="U151" s="82"/>
      <c r="V151" s="82"/>
      <c r="W151" s="82"/>
      <c r="X151" s="82"/>
      <c r="Y151" s="82"/>
      <c r="Z151" s="82"/>
      <c r="AA151" s="82"/>
      <c r="AB151" s="82"/>
      <c r="AC151" s="82"/>
      <c r="AD151" s="82"/>
      <c r="AE151" s="82"/>
      <c r="AF151" s="82"/>
      <c r="AG151" s="82"/>
      <c r="AH151" s="82"/>
    </row>
    <row r="152" spans="1:34" ht="20.100000000000001" customHeight="1">
      <c r="A152" s="82">
        <v>40</v>
      </c>
      <c r="B152" s="131"/>
      <c r="C152" s="131"/>
      <c r="D152" s="82"/>
      <c r="E152" s="82"/>
      <c r="F152" s="82"/>
      <c r="G152" s="82"/>
      <c r="H152" s="82"/>
      <c r="I152" s="82"/>
      <c r="J152" s="82"/>
      <c r="K152" s="82"/>
      <c r="L152" s="82"/>
      <c r="M152" s="82"/>
      <c r="N152" s="82"/>
      <c r="O152" s="82"/>
      <c r="P152" s="82"/>
      <c r="Q152" s="82"/>
      <c r="R152" s="82"/>
      <c r="S152" s="82"/>
      <c r="T152" s="82"/>
      <c r="U152" s="82"/>
      <c r="V152" s="82"/>
      <c r="W152" s="82"/>
      <c r="X152" s="82"/>
      <c r="Y152" s="82"/>
      <c r="Z152" s="82"/>
      <c r="AA152" s="82"/>
      <c r="AB152" s="82"/>
      <c r="AC152" s="82"/>
      <c r="AD152" s="82"/>
      <c r="AE152" s="82"/>
      <c r="AF152" s="82"/>
      <c r="AG152" s="82"/>
      <c r="AH152" s="82"/>
    </row>
    <row r="153" spans="1:34" ht="20.100000000000001" customHeight="1">
      <c r="A153" s="82">
        <v>41</v>
      </c>
      <c r="B153" s="131"/>
      <c r="C153" s="131"/>
      <c r="D153" s="82"/>
      <c r="E153" s="82"/>
      <c r="F153" s="82"/>
      <c r="G153" s="82"/>
      <c r="H153" s="82"/>
      <c r="I153" s="82"/>
      <c r="J153" s="82"/>
      <c r="K153" s="82"/>
      <c r="L153" s="82"/>
      <c r="M153" s="82"/>
      <c r="N153" s="82"/>
      <c r="O153" s="82"/>
      <c r="P153" s="82"/>
      <c r="Q153" s="82"/>
      <c r="R153" s="82"/>
      <c r="S153" s="82"/>
      <c r="T153" s="82"/>
      <c r="U153" s="82"/>
      <c r="V153" s="82"/>
      <c r="W153" s="82"/>
      <c r="X153" s="82"/>
      <c r="Y153" s="82"/>
      <c r="Z153" s="82"/>
      <c r="AA153" s="82"/>
      <c r="AB153" s="82"/>
      <c r="AC153" s="82"/>
      <c r="AD153" s="82"/>
      <c r="AE153" s="82"/>
      <c r="AF153" s="82"/>
      <c r="AG153" s="82"/>
      <c r="AH153" s="82"/>
    </row>
    <row r="154" spans="1:34" ht="20.100000000000001" customHeight="1">
      <c r="A154" s="82">
        <v>42</v>
      </c>
      <c r="B154" s="131"/>
      <c r="C154" s="131"/>
      <c r="D154" s="82"/>
      <c r="E154" s="82"/>
      <c r="F154" s="82"/>
      <c r="G154" s="82"/>
      <c r="H154" s="82"/>
      <c r="I154" s="82"/>
      <c r="J154" s="82"/>
      <c r="K154" s="82"/>
      <c r="L154" s="82"/>
      <c r="M154" s="82"/>
      <c r="N154" s="82"/>
      <c r="O154" s="82"/>
      <c r="P154" s="82"/>
      <c r="Q154" s="82"/>
      <c r="R154" s="82"/>
      <c r="S154" s="82"/>
      <c r="T154" s="82"/>
      <c r="U154" s="82"/>
      <c r="V154" s="82"/>
      <c r="W154" s="82"/>
      <c r="X154" s="82"/>
      <c r="Y154" s="82"/>
      <c r="Z154" s="82"/>
      <c r="AA154" s="82"/>
      <c r="AB154" s="82"/>
      <c r="AC154" s="82"/>
      <c r="AD154" s="82"/>
      <c r="AE154" s="82"/>
      <c r="AF154" s="82"/>
      <c r="AG154" s="82"/>
      <c r="AH154" s="82"/>
    </row>
    <row r="155" spans="1:34" ht="20.100000000000001" customHeight="1">
      <c r="A155" s="82">
        <v>43</v>
      </c>
      <c r="B155" s="131"/>
      <c r="C155" s="131"/>
      <c r="D155" s="82"/>
      <c r="E155" s="82"/>
      <c r="F155" s="82"/>
      <c r="G155" s="82"/>
      <c r="H155" s="82"/>
      <c r="I155" s="82"/>
      <c r="J155" s="82"/>
      <c r="K155" s="82"/>
      <c r="L155" s="82"/>
      <c r="M155" s="82"/>
      <c r="N155" s="82"/>
      <c r="O155" s="82"/>
      <c r="P155" s="82"/>
      <c r="Q155" s="82"/>
      <c r="R155" s="82"/>
      <c r="S155" s="82"/>
      <c r="T155" s="82"/>
      <c r="U155" s="82"/>
      <c r="V155" s="82"/>
      <c r="W155" s="82"/>
      <c r="X155" s="82"/>
      <c r="Y155" s="82"/>
      <c r="Z155" s="82"/>
      <c r="AA155" s="82"/>
      <c r="AB155" s="82"/>
      <c r="AC155" s="82"/>
      <c r="AD155" s="82"/>
      <c r="AE155" s="82"/>
      <c r="AF155" s="82"/>
      <c r="AG155" s="82"/>
      <c r="AH155" s="82"/>
    </row>
    <row r="156" spans="1:34" ht="20.100000000000001" customHeight="1">
      <c r="A156" s="82">
        <v>44</v>
      </c>
      <c r="B156" s="131"/>
      <c r="C156" s="131"/>
      <c r="D156" s="82"/>
      <c r="E156" s="82"/>
      <c r="F156" s="82"/>
      <c r="G156" s="82"/>
      <c r="H156" s="82"/>
      <c r="I156" s="82"/>
      <c r="J156" s="82"/>
      <c r="K156" s="82"/>
      <c r="L156" s="82"/>
      <c r="M156" s="82"/>
      <c r="N156" s="82"/>
      <c r="O156" s="82"/>
      <c r="P156" s="82"/>
      <c r="Q156" s="82"/>
      <c r="R156" s="82"/>
      <c r="S156" s="82"/>
      <c r="T156" s="82"/>
      <c r="U156" s="82"/>
      <c r="V156" s="82"/>
      <c r="W156" s="82"/>
      <c r="X156" s="82"/>
      <c r="Y156" s="82"/>
      <c r="Z156" s="82"/>
      <c r="AA156" s="82"/>
      <c r="AB156" s="82"/>
      <c r="AC156" s="82"/>
      <c r="AD156" s="82"/>
      <c r="AE156" s="82"/>
      <c r="AF156" s="82"/>
      <c r="AG156" s="82"/>
      <c r="AH156" s="82"/>
    </row>
    <row r="157" spans="1:34" ht="20.100000000000001" customHeight="1">
      <c r="A157" s="82">
        <v>45</v>
      </c>
      <c r="B157" s="131"/>
      <c r="C157" s="131"/>
      <c r="D157" s="82"/>
      <c r="E157" s="82"/>
      <c r="F157" s="82"/>
      <c r="G157" s="82"/>
      <c r="H157" s="82"/>
      <c r="I157" s="82"/>
      <c r="J157" s="82"/>
      <c r="K157" s="82"/>
      <c r="L157" s="82"/>
      <c r="M157" s="82"/>
      <c r="N157" s="82"/>
      <c r="O157" s="82"/>
      <c r="P157" s="82"/>
      <c r="Q157" s="82"/>
      <c r="R157" s="82"/>
      <c r="S157" s="82"/>
      <c r="T157" s="82"/>
      <c r="U157" s="82"/>
      <c r="V157" s="82"/>
      <c r="W157" s="82"/>
      <c r="X157" s="82"/>
      <c r="Y157" s="82"/>
      <c r="Z157" s="82"/>
      <c r="AA157" s="82"/>
      <c r="AB157" s="82"/>
      <c r="AC157" s="82"/>
      <c r="AD157" s="82"/>
      <c r="AE157" s="82"/>
      <c r="AF157" s="82"/>
      <c r="AG157" s="82"/>
      <c r="AH157" s="82"/>
    </row>
    <row r="158" spans="1:34" ht="20.100000000000001" customHeight="1">
      <c r="A158" s="82">
        <v>46</v>
      </c>
      <c r="B158" s="131"/>
      <c r="C158" s="131"/>
      <c r="D158" s="82"/>
      <c r="E158" s="82"/>
      <c r="F158" s="82"/>
      <c r="G158" s="82"/>
      <c r="H158" s="82"/>
      <c r="I158" s="82"/>
      <c r="J158" s="82"/>
      <c r="K158" s="82"/>
      <c r="L158" s="82"/>
      <c r="M158" s="82"/>
      <c r="N158" s="82"/>
      <c r="O158" s="82"/>
      <c r="P158" s="82"/>
      <c r="Q158" s="82"/>
      <c r="R158" s="82"/>
      <c r="S158" s="82"/>
      <c r="T158" s="82"/>
      <c r="U158" s="82"/>
      <c r="V158" s="82"/>
      <c r="W158" s="82"/>
      <c r="X158" s="82"/>
      <c r="Y158" s="82"/>
      <c r="Z158" s="82"/>
      <c r="AA158" s="82"/>
      <c r="AB158" s="82"/>
      <c r="AC158" s="82"/>
      <c r="AD158" s="82"/>
      <c r="AE158" s="82"/>
      <c r="AF158" s="82"/>
      <c r="AG158" s="82"/>
      <c r="AH158" s="82"/>
    </row>
    <row r="159" spans="1:34" ht="20.100000000000001" customHeight="1">
      <c r="A159" s="82">
        <v>47</v>
      </c>
      <c r="B159" s="131"/>
      <c r="C159" s="131"/>
      <c r="D159" s="82"/>
      <c r="E159" s="82"/>
      <c r="F159" s="82"/>
      <c r="G159" s="82"/>
      <c r="H159" s="82"/>
      <c r="I159" s="82"/>
      <c r="J159" s="82"/>
      <c r="K159" s="82"/>
      <c r="L159" s="82"/>
      <c r="M159" s="82"/>
      <c r="N159" s="82"/>
      <c r="O159" s="82"/>
      <c r="P159" s="82"/>
      <c r="Q159" s="82"/>
      <c r="R159" s="82"/>
      <c r="S159" s="82"/>
      <c r="T159" s="82"/>
      <c r="U159" s="82"/>
      <c r="V159" s="82"/>
      <c r="W159" s="82"/>
      <c r="X159" s="82"/>
      <c r="Y159" s="82"/>
      <c r="Z159" s="82"/>
      <c r="AA159" s="82"/>
      <c r="AB159" s="82"/>
      <c r="AC159" s="82"/>
      <c r="AD159" s="82"/>
      <c r="AE159" s="82"/>
      <c r="AF159" s="82"/>
      <c r="AG159" s="82"/>
      <c r="AH159" s="82"/>
    </row>
    <row r="160" spans="1:34" ht="20.100000000000001" customHeight="1">
      <c r="A160" s="82">
        <v>48</v>
      </c>
      <c r="B160" s="131"/>
      <c r="C160" s="131"/>
      <c r="D160" s="82"/>
      <c r="E160" s="82"/>
      <c r="F160" s="82"/>
      <c r="G160" s="82"/>
      <c r="H160" s="82"/>
      <c r="I160" s="82"/>
      <c r="J160" s="82"/>
      <c r="K160" s="82"/>
      <c r="L160" s="82"/>
      <c r="M160" s="82"/>
      <c r="N160" s="82"/>
      <c r="O160" s="82"/>
      <c r="P160" s="82"/>
      <c r="Q160" s="82"/>
      <c r="R160" s="82"/>
      <c r="S160" s="82"/>
      <c r="T160" s="82"/>
      <c r="U160" s="82"/>
      <c r="V160" s="82"/>
      <c r="W160" s="82"/>
      <c r="X160" s="82"/>
      <c r="Y160" s="82"/>
      <c r="Z160" s="82"/>
      <c r="AA160" s="82"/>
      <c r="AB160" s="82"/>
      <c r="AC160" s="82"/>
      <c r="AD160" s="82"/>
      <c r="AE160" s="82"/>
      <c r="AF160" s="82"/>
      <c r="AG160" s="82"/>
      <c r="AH160" s="82"/>
    </row>
    <row r="161" spans="1:34" ht="20.100000000000001" customHeight="1">
      <c r="A161" s="82">
        <v>49</v>
      </c>
      <c r="B161" s="131"/>
      <c r="C161" s="131"/>
      <c r="D161" s="82"/>
      <c r="E161" s="82"/>
      <c r="F161" s="82"/>
      <c r="G161" s="82"/>
      <c r="H161" s="82"/>
      <c r="I161" s="82"/>
      <c r="J161" s="82"/>
      <c r="K161" s="82"/>
      <c r="L161" s="82"/>
      <c r="M161" s="82"/>
      <c r="N161" s="82"/>
      <c r="O161" s="82"/>
      <c r="P161" s="82"/>
      <c r="Q161" s="82"/>
      <c r="R161" s="82"/>
      <c r="S161" s="82"/>
      <c r="T161" s="82"/>
      <c r="U161" s="82"/>
      <c r="V161" s="82"/>
      <c r="W161" s="82"/>
      <c r="X161" s="82"/>
      <c r="Y161" s="82"/>
      <c r="Z161" s="82"/>
      <c r="AA161" s="82"/>
      <c r="AB161" s="82"/>
      <c r="AC161" s="82"/>
      <c r="AD161" s="82"/>
      <c r="AE161" s="82"/>
      <c r="AF161" s="82"/>
      <c r="AG161" s="82"/>
      <c r="AH161" s="82"/>
    </row>
    <row r="162" spans="1:34" ht="20.100000000000001" customHeight="1">
      <c r="A162" s="82">
        <v>50</v>
      </c>
      <c r="B162" s="131"/>
      <c r="C162" s="131"/>
      <c r="D162" s="82"/>
      <c r="E162" s="82"/>
      <c r="F162" s="82"/>
      <c r="G162" s="82"/>
      <c r="H162" s="82"/>
      <c r="I162" s="82"/>
      <c r="J162" s="82"/>
      <c r="K162" s="82"/>
      <c r="L162" s="82"/>
      <c r="M162" s="82"/>
      <c r="N162" s="82"/>
      <c r="O162" s="82"/>
      <c r="P162" s="82"/>
      <c r="Q162" s="82"/>
      <c r="R162" s="82"/>
      <c r="S162" s="82"/>
      <c r="T162" s="82"/>
      <c r="U162" s="82"/>
      <c r="V162" s="82"/>
      <c r="W162" s="82"/>
      <c r="X162" s="82"/>
      <c r="Y162" s="82"/>
      <c r="Z162" s="82"/>
      <c r="AA162" s="82"/>
      <c r="AB162" s="82"/>
      <c r="AC162" s="82"/>
      <c r="AD162" s="82"/>
      <c r="AE162" s="82"/>
      <c r="AF162" s="82"/>
      <c r="AG162" s="82"/>
      <c r="AH162" s="82"/>
    </row>
    <row r="163" spans="1:34" ht="20.100000000000001" customHeight="1">
      <c r="A163" s="82">
        <v>51</v>
      </c>
      <c r="B163" s="131"/>
      <c r="C163" s="131"/>
      <c r="D163" s="1059"/>
      <c r="E163" s="82"/>
      <c r="F163" s="82"/>
      <c r="G163" s="82"/>
      <c r="H163" s="82"/>
      <c r="I163" s="82"/>
      <c r="J163" s="82"/>
      <c r="K163" s="82"/>
      <c r="L163" s="82"/>
      <c r="M163" s="82"/>
      <c r="N163" s="82"/>
      <c r="O163" s="82"/>
      <c r="P163" s="82"/>
      <c r="Q163" s="82"/>
      <c r="R163" s="82"/>
      <c r="S163" s="82"/>
      <c r="T163" s="82"/>
      <c r="U163" s="82"/>
      <c r="V163" s="82"/>
      <c r="W163" s="82"/>
      <c r="X163" s="82"/>
      <c r="Y163" s="82"/>
      <c r="Z163" s="82"/>
      <c r="AA163" s="82"/>
      <c r="AB163" s="82"/>
      <c r="AC163" s="82"/>
      <c r="AD163" s="82"/>
      <c r="AE163" s="82"/>
      <c r="AF163" s="82"/>
      <c r="AG163" s="82"/>
      <c r="AH163" s="82"/>
    </row>
    <row r="164" spans="1:34" ht="20.100000000000001" customHeight="1">
      <c r="A164" s="82">
        <v>52</v>
      </c>
      <c r="B164" s="131"/>
      <c r="C164" s="131"/>
      <c r="D164" s="82"/>
      <c r="E164" s="82"/>
      <c r="F164" s="82"/>
      <c r="G164" s="82"/>
      <c r="H164" s="82"/>
      <c r="I164" s="82"/>
      <c r="J164" s="82"/>
      <c r="K164" s="82"/>
      <c r="L164" s="82"/>
      <c r="M164" s="82"/>
      <c r="N164" s="82"/>
      <c r="O164" s="82"/>
      <c r="P164" s="82"/>
      <c r="Q164" s="82"/>
      <c r="R164" s="82"/>
      <c r="S164" s="82"/>
      <c r="T164" s="82"/>
      <c r="U164" s="82"/>
      <c r="V164" s="82"/>
      <c r="W164" s="82"/>
      <c r="X164" s="82"/>
      <c r="Y164" s="82"/>
      <c r="Z164" s="82"/>
      <c r="AA164" s="82"/>
      <c r="AB164" s="82"/>
      <c r="AC164" s="82"/>
      <c r="AD164" s="82"/>
      <c r="AE164" s="82"/>
      <c r="AF164" s="82"/>
      <c r="AG164" s="82"/>
      <c r="AH164" s="82"/>
    </row>
    <row r="165" spans="1:34" ht="20.100000000000001" customHeight="1">
      <c r="A165" s="82">
        <v>53</v>
      </c>
      <c r="B165" s="131"/>
      <c r="C165" s="131"/>
      <c r="D165" s="82"/>
      <c r="E165" s="82"/>
      <c r="F165" s="82"/>
      <c r="G165" s="82"/>
      <c r="H165" s="82"/>
      <c r="I165" s="82"/>
      <c r="J165" s="82"/>
      <c r="K165" s="82"/>
      <c r="L165" s="82"/>
      <c r="M165" s="82"/>
      <c r="N165" s="82"/>
      <c r="O165" s="82"/>
      <c r="P165" s="82"/>
      <c r="Q165" s="82"/>
      <c r="R165" s="82"/>
      <c r="S165" s="82"/>
      <c r="T165" s="82"/>
      <c r="U165" s="82"/>
      <c r="V165" s="82"/>
      <c r="W165" s="82"/>
      <c r="X165" s="82"/>
      <c r="Y165" s="82"/>
      <c r="Z165" s="82"/>
      <c r="AA165" s="82"/>
      <c r="AB165" s="82"/>
      <c r="AC165" s="82"/>
      <c r="AD165" s="82"/>
      <c r="AE165" s="82"/>
      <c r="AF165" s="82"/>
      <c r="AG165" s="82"/>
      <c r="AH165" s="82"/>
    </row>
    <row r="166" spans="1:34" ht="20.100000000000001" customHeight="1">
      <c r="A166" s="82">
        <v>54</v>
      </c>
      <c r="B166" s="131"/>
      <c r="C166" s="131"/>
      <c r="D166" s="82"/>
      <c r="E166" s="82"/>
      <c r="F166" s="82"/>
      <c r="G166" s="82"/>
      <c r="H166" s="82"/>
      <c r="I166" s="82"/>
      <c r="J166" s="82"/>
      <c r="K166" s="82"/>
      <c r="L166" s="82"/>
      <c r="M166" s="82"/>
      <c r="N166" s="82"/>
      <c r="O166" s="82"/>
      <c r="P166" s="82"/>
      <c r="Q166" s="82"/>
      <c r="R166" s="82"/>
      <c r="S166" s="82"/>
      <c r="T166" s="82"/>
      <c r="U166" s="82"/>
      <c r="V166" s="82"/>
      <c r="W166" s="82"/>
      <c r="X166" s="82"/>
      <c r="Y166" s="82"/>
      <c r="Z166" s="82"/>
      <c r="AA166" s="82"/>
      <c r="AB166" s="82"/>
      <c r="AC166" s="82"/>
      <c r="AD166" s="82"/>
      <c r="AE166" s="82"/>
      <c r="AF166" s="82"/>
      <c r="AG166" s="82"/>
      <c r="AH166" s="82"/>
    </row>
    <row r="167" spans="1:34" ht="20.100000000000001" customHeight="1">
      <c r="A167" s="82">
        <v>55</v>
      </c>
      <c r="B167" s="131"/>
      <c r="C167" s="131"/>
      <c r="D167" s="82"/>
      <c r="E167" s="82"/>
      <c r="F167" s="82"/>
      <c r="G167" s="82"/>
      <c r="H167" s="82"/>
      <c r="I167" s="82"/>
      <c r="J167" s="82"/>
      <c r="K167" s="82"/>
      <c r="L167" s="82"/>
      <c r="M167" s="82"/>
      <c r="N167" s="82"/>
      <c r="O167" s="82"/>
      <c r="P167" s="82"/>
      <c r="Q167" s="82"/>
      <c r="R167" s="82"/>
      <c r="S167" s="82"/>
      <c r="T167" s="82"/>
      <c r="U167" s="82"/>
      <c r="V167" s="82"/>
      <c r="W167" s="82"/>
      <c r="X167" s="82"/>
      <c r="Y167" s="82"/>
      <c r="Z167" s="82"/>
      <c r="AA167" s="82"/>
      <c r="AB167" s="82"/>
      <c r="AC167" s="82"/>
      <c r="AD167" s="82"/>
      <c r="AE167" s="82"/>
      <c r="AF167" s="82"/>
      <c r="AG167" s="82"/>
      <c r="AH167" s="82"/>
    </row>
    <row r="168" spans="1:34" ht="20.100000000000001" customHeight="1">
      <c r="A168" s="82">
        <v>56</v>
      </c>
      <c r="B168" s="131"/>
      <c r="C168" s="131"/>
      <c r="D168" s="82"/>
      <c r="E168" s="82"/>
      <c r="F168" s="82"/>
      <c r="G168" s="82"/>
      <c r="H168" s="82"/>
      <c r="I168" s="82"/>
      <c r="J168" s="82"/>
      <c r="K168" s="82"/>
      <c r="L168" s="82"/>
      <c r="M168" s="82"/>
      <c r="N168" s="82"/>
      <c r="O168" s="82"/>
      <c r="P168" s="82"/>
      <c r="Q168" s="82"/>
      <c r="R168" s="82"/>
      <c r="S168" s="82"/>
      <c r="T168" s="82"/>
      <c r="U168" s="82"/>
      <c r="V168" s="82"/>
      <c r="W168" s="82"/>
      <c r="X168" s="82"/>
      <c r="Y168" s="82"/>
      <c r="Z168" s="82"/>
      <c r="AA168" s="82"/>
      <c r="AB168" s="82"/>
      <c r="AC168" s="82"/>
      <c r="AD168" s="82"/>
      <c r="AE168" s="82"/>
      <c r="AF168" s="82"/>
      <c r="AG168" s="82"/>
      <c r="AH168" s="82"/>
    </row>
    <row r="169" spans="1:34" ht="20.100000000000001" customHeight="1">
      <c r="A169" s="82">
        <v>57</v>
      </c>
      <c r="B169" s="131"/>
      <c r="C169" s="131"/>
      <c r="D169" s="82"/>
      <c r="E169" s="82"/>
      <c r="F169" s="82"/>
      <c r="G169" s="82"/>
      <c r="H169" s="82"/>
      <c r="I169" s="82"/>
      <c r="J169" s="82"/>
      <c r="K169" s="82"/>
      <c r="L169" s="82"/>
      <c r="M169" s="82"/>
      <c r="N169" s="82"/>
      <c r="O169" s="82"/>
      <c r="P169" s="82"/>
      <c r="Q169" s="82"/>
      <c r="R169" s="82"/>
      <c r="S169" s="82"/>
      <c r="T169" s="82"/>
      <c r="U169" s="82"/>
      <c r="V169" s="82"/>
      <c r="W169" s="82"/>
      <c r="X169" s="82"/>
      <c r="Y169" s="82"/>
      <c r="Z169" s="82"/>
      <c r="AA169" s="82"/>
      <c r="AB169" s="82"/>
      <c r="AC169" s="82"/>
      <c r="AD169" s="82"/>
      <c r="AE169" s="82"/>
      <c r="AF169" s="82"/>
      <c r="AG169" s="82"/>
      <c r="AH169" s="82"/>
    </row>
    <row r="170" spans="1:34" ht="20.100000000000001" customHeight="1">
      <c r="A170" s="82">
        <v>58</v>
      </c>
      <c r="B170" s="131"/>
      <c r="C170" s="131"/>
      <c r="D170" s="1060"/>
      <c r="E170" s="1060"/>
      <c r="F170" s="1060"/>
      <c r="G170" s="1060"/>
      <c r="H170" s="1060"/>
      <c r="I170" s="1060"/>
      <c r="J170" s="1060"/>
      <c r="K170" s="1060"/>
      <c r="L170" s="1060"/>
      <c r="M170" s="1060"/>
      <c r="N170" s="82"/>
      <c r="O170" s="82"/>
      <c r="P170" s="82"/>
      <c r="Q170" s="82"/>
      <c r="R170" s="82"/>
      <c r="S170" s="82"/>
      <c r="T170" s="82"/>
      <c r="U170" s="82"/>
      <c r="V170" s="82"/>
      <c r="W170" s="82"/>
      <c r="X170" s="82"/>
      <c r="Y170" s="82"/>
      <c r="Z170" s="82"/>
      <c r="AA170" s="82"/>
      <c r="AB170" s="82"/>
      <c r="AC170" s="82"/>
      <c r="AD170" s="82"/>
      <c r="AE170" s="82"/>
      <c r="AF170" s="82"/>
      <c r="AG170" s="82"/>
      <c r="AH170" s="82"/>
    </row>
    <row r="171" spans="1:34" ht="20.100000000000001" customHeight="1">
      <c r="B171" s="82"/>
      <c r="C171" s="82"/>
      <c r="D171" s="82"/>
      <c r="E171" s="82"/>
      <c r="F171" s="82"/>
      <c r="G171" s="82"/>
      <c r="H171" s="82"/>
      <c r="I171" s="82"/>
      <c r="J171" s="82"/>
      <c r="K171" s="82"/>
      <c r="L171" s="82"/>
      <c r="M171" s="82"/>
      <c r="N171" s="82"/>
      <c r="O171" s="82"/>
      <c r="P171" s="82"/>
      <c r="Q171" s="82"/>
      <c r="R171" s="82"/>
      <c r="S171" s="82"/>
      <c r="T171" s="82"/>
      <c r="U171" s="82"/>
      <c r="V171" s="82"/>
      <c r="W171" s="82"/>
      <c r="X171" s="82"/>
      <c r="Y171" s="82"/>
      <c r="Z171" s="82"/>
      <c r="AA171" s="82"/>
      <c r="AB171" s="82"/>
      <c r="AC171" s="82"/>
      <c r="AD171" s="82"/>
      <c r="AE171" s="82"/>
      <c r="AF171" s="82"/>
      <c r="AG171" s="82"/>
      <c r="AH171" s="82"/>
    </row>
    <row r="172" spans="1:34" ht="20.100000000000001" customHeight="1">
      <c r="B172" s="414" t="s">
        <v>55</v>
      </c>
      <c r="C172" s="1318"/>
      <c r="D172" s="82"/>
      <c r="E172" s="82"/>
      <c r="F172" s="82"/>
      <c r="G172" s="82"/>
      <c r="H172" s="82"/>
      <c r="I172" s="82"/>
      <c r="J172" s="82"/>
      <c r="K172" s="82"/>
      <c r="L172" s="82"/>
      <c r="M172" s="82"/>
      <c r="N172" s="82"/>
      <c r="O172" s="82"/>
      <c r="P172" s="82"/>
      <c r="Q172" s="82"/>
      <c r="R172" s="82"/>
      <c r="S172" s="82"/>
      <c r="T172" s="82"/>
      <c r="U172" s="82"/>
      <c r="V172" s="82"/>
      <c r="W172" s="82"/>
      <c r="X172" s="82"/>
      <c r="Y172" s="82"/>
      <c r="Z172" s="82"/>
      <c r="AA172" s="82"/>
      <c r="AB172" s="82"/>
      <c r="AC172" s="82"/>
      <c r="AD172" s="82"/>
      <c r="AE172" s="82"/>
      <c r="AF172" s="82"/>
      <c r="AG172" s="82"/>
      <c r="AH172" s="82"/>
    </row>
    <row r="173" spans="1:34" ht="20.100000000000001" customHeight="1">
      <c r="B173" s="82" t="s">
        <v>4088</v>
      </c>
      <c r="C173" s="390">
        <v>200</v>
      </c>
      <c r="D173" s="82" t="s">
        <v>1753</v>
      </c>
      <c r="E173" s="82"/>
      <c r="F173" s="82"/>
      <c r="G173" s="82"/>
      <c r="H173" s="82"/>
      <c r="I173" s="82"/>
      <c r="J173" s="82"/>
      <c r="K173" s="82"/>
      <c r="L173" s="82"/>
      <c r="M173" s="82"/>
      <c r="N173" s="82"/>
      <c r="O173" s="82"/>
      <c r="P173" s="82"/>
      <c r="Q173" s="82"/>
      <c r="R173" s="82"/>
      <c r="S173" s="82"/>
      <c r="T173" s="82"/>
      <c r="U173" s="82"/>
      <c r="V173" s="82"/>
      <c r="W173" s="82"/>
      <c r="X173" s="82"/>
      <c r="Y173" s="82"/>
      <c r="Z173" s="82"/>
      <c r="AA173" s="82"/>
      <c r="AB173" s="82"/>
      <c r="AC173" s="82"/>
      <c r="AD173" s="82"/>
      <c r="AE173" s="82"/>
      <c r="AF173" s="82"/>
      <c r="AG173" s="82"/>
      <c r="AH173" s="82"/>
    </row>
    <row r="174" spans="1:34" ht="20.100000000000001" customHeight="1">
      <c r="B174" s="82" t="s">
        <v>4099</v>
      </c>
      <c r="C174" s="389">
        <v>18</v>
      </c>
      <c r="D174" s="82" t="s">
        <v>220</v>
      </c>
      <c r="E174" s="82"/>
      <c r="F174" s="82"/>
      <c r="G174" s="82"/>
      <c r="H174" s="82"/>
      <c r="I174" s="82"/>
      <c r="J174" s="82"/>
      <c r="K174" s="82"/>
      <c r="L174" s="82"/>
      <c r="M174" s="82"/>
      <c r="N174" s="82"/>
      <c r="O174" s="82"/>
      <c r="P174" s="82"/>
      <c r="Q174" s="82"/>
      <c r="R174" s="82"/>
      <c r="S174" s="82"/>
      <c r="T174" s="82"/>
      <c r="U174" s="82"/>
      <c r="V174" s="82"/>
      <c r="W174" s="82"/>
      <c r="X174" s="82"/>
      <c r="Y174" s="82"/>
      <c r="Z174" s="82"/>
      <c r="AA174" s="82"/>
      <c r="AB174" s="82"/>
      <c r="AC174" s="82"/>
      <c r="AD174" s="82"/>
      <c r="AE174" s="82"/>
      <c r="AF174" s="82"/>
      <c r="AG174" s="82"/>
      <c r="AH174" s="82"/>
    </row>
    <row r="175" spans="1:34" ht="20.100000000000001" customHeight="1">
      <c r="B175" s="82" t="s">
        <v>4101</v>
      </c>
      <c r="C175" s="389"/>
      <c r="D175" s="82" t="s">
        <v>4096</v>
      </c>
      <c r="E175" s="82"/>
      <c r="F175" s="82"/>
      <c r="G175" s="82"/>
      <c r="H175" s="82"/>
      <c r="I175" s="82"/>
      <c r="J175" s="82"/>
      <c r="K175" s="82"/>
      <c r="L175" s="82"/>
      <c r="M175" s="82"/>
      <c r="N175" s="82"/>
      <c r="O175" s="82"/>
      <c r="P175" s="82"/>
      <c r="Q175" s="82"/>
      <c r="R175" s="82"/>
      <c r="S175" s="82"/>
      <c r="T175" s="82"/>
      <c r="U175" s="82"/>
      <c r="V175" s="82"/>
      <c r="W175" s="82"/>
      <c r="X175" s="82"/>
      <c r="Y175" s="82"/>
      <c r="Z175" s="82"/>
      <c r="AA175" s="82"/>
      <c r="AB175" s="82"/>
      <c r="AC175" s="82"/>
      <c r="AD175" s="82"/>
      <c r="AE175" s="82"/>
      <c r="AF175" s="82"/>
      <c r="AG175" s="82"/>
      <c r="AH175" s="82"/>
    </row>
    <row r="176" spans="1:34" ht="20.100000000000001" customHeight="1">
      <c r="B176" s="82" t="s">
        <v>4100</v>
      </c>
      <c r="C176" s="389"/>
      <c r="D176" s="82" t="s">
        <v>1697</v>
      </c>
      <c r="E176" s="82"/>
      <c r="F176" s="82"/>
      <c r="G176" s="82"/>
      <c r="H176" s="82"/>
      <c r="I176" s="82"/>
      <c r="J176" s="82"/>
      <c r="K176" s="82"/>
      <c r="L176" s="82"/>
      <c r="M176" s="82"/>
      <c r="N176" s="82"/>
      <c r="O176" s="82"/>
      <c r="P176" s="82"/>
      <c r="Q176" s="82"/>
      <c r="R176" s="82"/>
      <c r="S176" s="82"/>
      <c r="T176" s="82"/>
      <c r="U176" s="82"/>
      <c r="V176" s="82"/>
      <c r="W176" s="82"/>
      <c r="X176" s="82"/>
      <c r="Y176" s="82"/>
      <c r="Z176" s="82"/>
      <c r="AA176" s="82"/>
      <c r="AB176" s="82"/>
      <c r="AC176" s="82"/>
      <c r="AD176" s="82"/>
      <c r="AE176" s="82"/>
      <c r="AF176" s="82"/>
      <c r="AG176" s="82"/>
      <c r="AH176" s="82"/>
    </row>
    <row r="177" spans="2:34" ht="20.100000000000001" customHeight="1">
      <c r="B177" s="82" t="s">
        <v>4104</v>
      </c>
      <c r="C177" s="389"/>
      <c r="D177" s="82" t="s">
        <v>65</v>
      </c>
      <c r="E177" s="82"/>
      <c r="F177" s="82"/>
      <c r="G177" s="82"/>
      <c r="H177" s="82"/>
      <c r="I177" s="82"/>
      <c r="J177" s="82"/>
      <c r="K177" s="82"/>
      <c r="L177" s="82"/>
      <c r="M177" s="82"/>
      <c r="N177" s="82"/>
      <c r="O177" s="82"/>
      <c r="P177" s="82"/>
      <c r="Q177" s="82"/>
      <c r="R177" s="82"/>
      <c r="S177" s="82"/>
      <c r="T177" s="82"/>
      <c r="U177" s="82"/>
      <c r="V177" s="82"/>
      <c r="W177" s="82"/>
      <c r="X177" s="82"/>
      <c r="Y177" s="82"/>
      <c r="Z177" s="82"/>
      <c r="AA177" s="82"/>
      <c r="AB177" s="82"/>
      <c r="AC177" s="82"/>
      <c r="AD177" s="82"/>
      <c r="AE177" s="82"/>
      <c r="AF177" s="82"/>
      <c r="AG177" s="82"/>
      <c r="AH177" s="82"/>
    </row>
    <row r="178" spans="2:34" ht="20.100000000000001" customHeight="1">
      <c r="B178" s="82" t="s">
        <v>4103</v>
      </c>
      <c r="C178" s="1044">
        <f>100-C177</f>
        <v>100</v>
      </c>
      <c r="D178" s="82" t="s">
        <v>65</v>
      </c>
      <c r="E178" s="82"/>
      <c r="F178" s="82"/>
      <c r="G178" s="82"/>
      <c r="H178" s="82"/>
      <c r="I178" s="82"/>
      <c r="J178" s="82"/>
      <c r="K178" s="82"/>
      <c r="L178" s="82"/>
      <c r="M178" s="82"/>
      <c r="N178" s="82"/>
      <c r="O178" s="82"/>
      <c r="P178" s="82"/>
      <c r="Q178" s="82"/>
      <c r="R178" s="82"/>
      <c r="S178" s="82"/>
      <c r="T178" s="82"/>
      <c r="U178" s="82"/>
      <c r="V178" s="82"/>
      <c r="W178" s="82"/>
      <c r="X178" s="82"/>
      <c r="Y178" s="82"/>
      <c r="Z178" s="82"/>
      <c r="AA178" s="82"/>
      <c r="AB178" s="82"/>
      <c r="AC178" s="82"/>
      <c r="AD178" s="82"/>
      <c r="AE178" s="82"/>
      <c r="AF178" s="82"/>
      <c r="AG178" s="82"/>
      <c r="AH178" s="82"/>
    </row>
    <row r="179" spans="2:34" ht="20.100000000000001" customHeight="1">
      <c r="B179" s="82"/>
      <c r="C179" s="409"/>
      <c r="D179" s="1410">
        <v>2021</v>
      </c>
      <c r="E179" s="1410">
        <v>2022</v>
      </c>
      <c r="F179" s="1410">
        <v>2023</v>
      </c>
      <c r="G179" s="1410">
        <v>2024</v>
      </c>
      <c r="H179" s="1410">
        <v>2025</v>
      </c>
      <c r="I179" s="1410">
        <v>2026</v>
      </c>
      <c r="J179" s="1410">
        <v>2027</v>
      </c>
      <c r="K179" s="1410">
        <v>2028</v>
      </c>
      <c r="L179" s="1410">
        <v>2029</v>
      </c>
      <c r="M179" s="1410">
        <v>2030</v>
      </c>
      <c r="N179" s="1410">
        <v>2031</v>
      </c>
      <c r="O179" s="1410">
        <v>2032</v>
      </c>
      <c r="P179" s="1410">
        <v>2033</v>
      </c>
      <c r="Q179" s="1410">
        <v>2034</v>
      </c>
      <c r="R179" s="1410">
        <v>2035</v>
      </c>
      <c r="S179" s="1410">
        <v>2036</v>
      </c>
      <c r="T179" s="1410">
        <v>2037</v>
      </c>
      <c r="U179" s="1410">
        <v>2038</v>
      </c>
      <c r="V179" s="1410">
        <v>2039</v>
      </c>
      <c r="W179" s="1410">
        <v>2040</v>
      </c>
      <c r="X179" s="1410">
        <v>2041</v>
      </c>
      <c r="Y179" s="1410">
        <v>2042</v>
      </c>
      <c r="Z179" s="1410">
        <v>2043</v>
      </c>
      <c r="AA179" s="1410">
        <v>2044</v>
      </c>
      <c r="AB179" s="1410">
        <v>2045</v>
      </c>
      <c r="AC179" s="1410">
        <v>2046</v>
      </c>
      <c r="AD179" s="1410">
        <v>2047</v>
      </c>
      <c r="AE179" s="1410">
        <v>2048</v>
      </c>
      <c r="AF179" s="1410">
        <v>2049</v>
      </c>
      <c r="AG179" s="1410">
        <v>2050</v>
      </c>
      <c r="AH179" s="82"/>
    </row>
    <row r="180" spans="2:34" ht="20.100000000000001" customHeight="1">
      <c r="B180" s="82" t="s">
        <v>4361</v>
      </c>
      <c r="C180" s="82"/>
      <c r="D180" s="389">
        <f>INDEX('DEFAULT DATA'!$R$9:$T$40,'LOCAL DATASET'!$C$10,1)</f>
        <v>2.2999999999999998</v>
      </c>
      <c r="E180" s="389">
        <f>INDEX('DEFAULT DATA'!$R$9:$T$40,'LOCAL DATASET'!$C$10,1)</f>
        <v>2.2999999999999998</v>
      </c>
      <c r="F180" s="389">
        <f>INDEX('DEFAULT DATA'!$R$9:$T$40,'LOCAL DATASET'!$C$10,1)</f>
        <v>2.2999999999999998</v>
      </c>
      <c r="G180" s="389">
        <f>INDEX('DEFAULT DATA'!$R$9:$T$40,'LOCAL DATASET'!$C$10,1)</f>
        <v>2.2999999999999998</v>
      </c>
      <c r="H180" s="389">
        <f>INDEX('DEFAULT DATA'!$R$9:$T$40,'LOCAL DATASET'!$C$10,1)</f>
        <v>2.2999999999999998</v>
      </c>
      <c r="I180" s="389">
        <f>INDEX('DEFAULT DATA'!$R$9:$T$40,'LOCAL DATASET'!$C$10,1)</f>
        <v>2.2999999999999998</v>
      </c>
      <c r="J180" s="389">
        <f>INDEX('DEFAULT DATA'!$R$9:$T$40,'LOCAL DATASET'!$C$10,1)</f>
        <v>2.2999999999999998</v>
      </c>
      <c r="K180" s="389">
        <f>INDEX('DEFAULT DATA'!$R$9:$T$40,'LOCAL DATASET'!$C$10,1)</f>
        <v>2.2999999999999998</v>
      </c>
      <c r="L180" s="389">
        <f>INDEX('DEFAULT DATA'!$R$9:$T$40,'LOCAL DATASET'!$C$10,1)</f>
        <v>2.2999999999999998</v>
      </c>
      <c r="M180" s="389">
        <f>INDEX('DEFAULT DATA'!$R$9:$T$40,'LOCAL DATASET'!$C$10,1)</f>
        <v>2.2999999999999998</v>
      </c>
      <c r="N180" s="389">
        <f>INDEX('DEFAULT DATA'!$R$9:$T$40,'LOCAL DATASET'!$C$10,2)</f>
        <v>0.7</v>
      </c>
      <c r="O180" s="389">
        <f>INDEX('DEFAULT DATA'!$R$9:$T$40,'LOCAL DATASET'!$C$10,2)</f>
        <v>0.7</v>
      </c>
      <c r="P180" s="389">
        <f>INDEX('DEFAULT DATA'!$R$9:$T$40,'LOCAL DATASET'!$C$10,2)</f>
        <v>0.7</v>
      </c>
      <c r="Q180" s="389">
        <f>INDEX('DEFAULT DATA'!$R$9:$T$40,'LOCAL DATASET'!$C$10,2)</f>
        <v>0.7</v>
      </c>
      <c r="R180" s="389">
        <f>INDEX('DEFAULT DATA'!$R$9:$T$40,'LOCAL DATASET'!$C$10,2)</f>
        <v>0.7</v>
      </c>
      <c r="S180" s="389">
        <f>INDEX('DEFAULT DATA'!$R$9:$T$40,'LOCAL DATASET'!$C$10,2)</f>
        <v>0.7</v>
      </c>
      <c r="T180" s="389">
        <f>INDEX('DEFAULT DATA'!$R$9:$T$40,'LOCAL DATASET'!$C$10,2)</f>
        <v>0.7</v>
      </c>
      <c r="U180" s="389">
        <f>INDEX('DEFAULT DATA'!$R$9:$T$40,'LOCAL DATASET'!$C$10,2)</f>
        <v>0.7</v>
      </c>
      <c r="V180" s="389">
        <f>INDEX('DEFAULT DATA'!$R$9:$T$40,'LOCAL DATASET'!$C$10,2)</f>
        <v>0.7</v>
      </c>
      <c r="W180" s="389">
        <f>INDEX('DEFAULT DATA'!$R$9:$T$40,'LOCAL DATASET'!$C$10,2)</f>
        <v>0.7</v>
      </c>
      <c r="X180" s="389">
        <f>INDEX('DEFAULT DATA'!$R$9:$T$40,'LOCAL DATASET'!$C$10,3)</f>
        <v>0.7</v>
      </c>
      <c r="Y180" s="389">
        <f>INDEX('DEFAULT DATA'!$R$9:$T$40,'LOCAL DATASET'!$C$10,3)</f>
        <v>0.7</v>
      </c>
      <c r="Z180" s="389">
        <f>INDEX('DEFAULT DATA'!$R$9:$T$40,'LOCAL DATASET'!$C$10,3)</f>
        <v>0.7</v>
      </c>
      <c r="AA180" s="389">
        <f>INDEX('DEFAULT DATA'!$R$9:$T$40,'LOCAL DATASET'!$C$10,3)</f>
        <v>0.7</v>
      </c>
      <c r="AB180" s="389">
        <f>INDEX('DEFAULT DATA'!$R$9:$T$40,'LOCAL DATASET'!$C$10,3)</f>
        <v>0.7</v>
      </c>
      <c r="AC180" s="389">
        <f>INDEX('DEFAULT DATA'!$R$9:$T$40,'LOCAL DATASET'!$C$10,3)</f>
        <v>0.7</v>
      </c>
      <c r="AD180" s="389">
        <f>INDEX('DEFAULT DATA'!$R$9:$T$40,'LOCAL DATASET'!$C$10,3)</f>
        <v>0.7</v>
      </c>
      <c r="AE180" s="389">
        <f>INDEX('DEFAULT DATA'!$R$9:$T$40,'LOCAL DATASET'!$C$10,3)</f>
        <v>0.7</v>
      </c>
      <c r="AF180" s="389">
        <f>INDEX('DEFAULT DATA'!$R$9:$T$40,'LOCAL DATASET'!$C$10,3)</f>
        <v>0.7</v>
      </c>
      <c r="AG180" s="389">
        <f>INDEX('DEFAULT DATA'!$R$9:$T$40,'LOCAL DATASET'!$C$10,3)</f>
        <v>0.7</v>
      </c>
      <c r="AH180" s="82"/>
    </row>
    <row r="181" spans="2:34" ht="20.100000000000001" customHeight="1">
      <c r="B181" s="82"/>
      <c r="C181" s="82"/>
      <c r="D181" s="1436">
        <f>IF(D179&lt;($C$4+1),$C$173,C173*(100+D180)/100)</f>
        <v>200</v>
      </c>
      <c r="E181" s="1387">
        <f>IF(E179&lt;($C$4+1),$C$173,D181*(100+E180)/100)</f>
        <v>200</v>
      </c>
      <c r="F181" s="1387">
        <f t="shared" ref="F181:AG181" si="40">IF(F179&lt;($C$4+1),$C$173,E181*(100+F180)/100)</f>
        <v>204.6</v>
      </c>
      <c r="G181" s="1387">
        <f t="shared" si="40"/>
        <v>209.30579999999998</v>
      </c>
      <c r="H181" s="1387">
        <f t="shared" si="40"/>
        <v>214.11983339999995</v>
      </c>
      <c r="I181" s="1387">
        <f t="shared" si="40"/>
        <v>219.04458956819997</v>
      </c>
      <c r="J181" s="1387">
        <f t="shared" si="40"/>
        <v>224.08261512826854</v>
      </c>
      <c r="K181" s="1387">
        <f t="shared" si="40"/>
        <v>229.23651527621871</v>
      </c>
      <c r="L181" s="1387">
        <f t="shared" si="40"/>
        <v>234.50895512757171</v>
      </c>
      <c r="M181" s="1387">
        <f t="shared" si="40"/>
        <v>239.90266109550586</v>
      </c>
      <c r="N181" s="1387">
        <f t="shared" si="40"/>
        <v>241.58197972317441</v>
      </c>
      <c r="O181" s="1387">
        <f t="shared" si="40"/>
        <v>243.27305358123664</v>
      </c>
      <c r="P181" s="1387">
        <f t="shared" si="40"/>
        <v>244.97596495630529</v>
      </c>
      <c r="Q181" s="1387">
        <f t="shared" si="40"/>
        <v>246.69079671099942</v>
      </c>
      <c r="R181" s="1387">
        <f t="shared" si="40"/>
        <v>248.4176322879764</v>
      </c>
      <c r="S181" s="1387">
        <f t="shared" si="40"/>
        <v>250.15655571399225</v>
      </c>
      <c r="T181" s="1387">
        <f t="shared" si="40"/>
        <v>251.90765160399019</v>
      </c>
      <c r="U181" s="1387">
        <f t="shared" si="40"/>
        <v>253.67100516521813</v>
      </c>
      <c r="V181" s="1387">
        <f t="shared" si="40"/>
        <v>255.44670220137468</v>
      </c>
      <c r="W181" s="1387">
        <f t="shared" si="40"/>
        <v>257.23482911678434</v>
      </c>
      <c r="X181" s="1387">
        <f t="shared" si="40"/>
        <v>259.03547292060182</v>
      </c>
      <c r="Y181" s="1387">
        <f t="shared" si="40"/>
        <v>260.84872123104606</v>
      </c>
      <c r="Z181" s="1387">
        <f t="shared" si="40"/>
        <v>262.67466227966338</v>
      </c>
      <c r="AA181" s="1387">
        <f t="shared" si="40"/>
        <v>264.51338491562103</v>
      </c>
      <c r="AB181" s="1387">
        <f t="shared" si="40"/>
        <v>266.36497861003039</v>
      </c>
      <c r="AC181" s="1387">
        <f t="shared" si="40"/>
        <v>268.22953346030062</v>
      </c>
      <c r="AD181" s="1387">
        <f t="shared" si="40"/>
        <v>270.10714019452274</v>
      </c>
      <c r="AE181" s="1387">
        <f t="shared" si="40"/>
        <v>271.99789017588444</v>
      </c>
      <c r="AF181" s="1387">
        <f t="shared" si="40"/>
        <v>273.9018754071156</v>
      </c>
      <c r="AG181" s="1387">
        <f t="shared" si="40"/>
        <v>275.81918853496541</v>
      </c>
      <c r="AH181" s="82"/>
    </row>
    <row r="182" spans="2:34" ht="20.100000000000001" customHeight="1">
      <c r="B182" s="82"/>
      <c r="C182" s="82"/>
      <c r="D182" s="82"/>
      <c r="E182" s="82"/>
      <c r="F182" s="82"/>
      <c r="G182" s="82"/>
      <c r="H182" s="82"/>
      <c r="I182" s="82"/>
      <c r="J182" s="82"/>
      <c r="K182" s="82"/>
      <c r="L182" s="82"/>
      <c r="M182" s="82"/>
      <c r="N182" s="82"/>
      <c r="O182" s="82"/>
      <c r="P182" s="82"/>
      <c r="Q182" s="82"/>
      <c r="R182" s="82"/>
      <c r="S182" s="82"/>
      <c r="T182" s="82"/>
      <c r="U182" s="82"/>
      <c r="V182" s="82"/>
      <c r="W182" s="82"/>
      <c r="X182" s="82"/>
      <c r="Y182" s="82"/>
      <c r="Z182" s="82"/>
      <c r="AA182" s="82"/>
      <c r="AB182" s="82"/>
      <c r="AC182" s="82"/>
      <c r="AD182" s="82"/>
      <c r="AE182" s="82"/>
      <c r="AF182" s="82"/>
      <c r="AG182" s="82"/>
      <c r="AH182" s="82"/>
    </row>
    <row r="183" spans="2:34" ht="20.100000000000001" customHeight="1">
      <c r="B183" s="414" t="s">
        <v>1788</v>
      </c>
      <c r="C183" s="1318"/>
      <c r="D183" s="82"/>
      <c r="E183" s="82"/>
      <c r="F183" s="82"/>
      <c r="G183" s="82"/>
      <c r="H183" s="82"/>
      <c r="I183" s="82"/>
      <c r="J183" s="82"/>
      <c r="K183" s="82"/>
      <c r="L183" s="82"/>
      <c r="M183" s="82"/>
      <c r="N183" s="82"/>
      <c r="O183" s="82"/>
      <c r="P183" s="82"/>
      <c r="Q183" s="82"/>
      <c r="R183" s="82"/>
      <c r="S183" s="82"/>
      <c r="T183" s="82"/>
      <c r="U183" s="82"/>
      <c r="V183" s="82"/>
      <c r="W183" s="82"/>
      <c r="X183" s="82"/>
      <c r="Y183" s="82"/>
      <c r="Z183" s="82"/>
      <c r="AA183" s="82"/>
      <c r="AB183" s="82"/>
      <c r="AC183" s="82"/>
      <c r="AD183" s="82"/>
      <c r="AE183" s="82"/>
      <c r="AF183" s="82"/>
      <c r="AG183" s="82"/>
      <c r="AH183" s="82"/>
    </row>
    <row r="184" spans="2:34" ht="20.100000000000001" customHeight="1">
      <c r="B184" s="82" t="s">
        <v>4102</v>
      </c>
      <c r="C184" s="390">
        <v>300</v>
      </c>
      <c r="D184" s="82" t="s">
        <v>2908</v>
      </c>
      <c r="E184" s="82"/>
      <c r="F184" s="82"/>
      <c r="G184" s="82"/>
      <c r="H184" s="82"/>
      <c r="I184" s="82"/>
      <c r="J184" s="82"/>
      <c r="K184" s="82"/>
      <c r="L184" s="82"/>
      <c r="M184" s="82"/>
      <c r="N184" s="82"/>
      <c r="O184" s="82"/>
      <c r="P184" s="82"/>
      <c r="Q184" s="82"/>
      <c r="R184" s="82"/>
      <c r="S184" s="82"/>
      <c r="T184" s="82"/>
      <c r="U184" s="82"/>
      <c r="V184" s="82"/>
      <c r="W184" s="82"/>
      <c r="X184" s="82"/>
      <c r="Y184" s="82"/>
      <c r="Z184" s="82"/>
      <c r="AA184" s="82"/>
      <c r="AB184" s="82"/>
      <c r="AC184" s="82"/>
      <c r="AD184" s="82"/>
      <c r="AE184" s="82"/>
      <c r="AF184" s="82"/>
      <c r="AG184" s="82"/>
      <c r="AH184" s="82"/>
    </row>
    <row r="185" spans="2:34" ht="20.100000000000001" customHeight="1">
      <c r="B185" s="82" t="s">
        <v>4101</v>
      </c>
      <c r="C185" s="389"/>
      <c r="D185" s="82" t="s">
        <v>4096</v>
      </c>
      <c r="E185" s="82"/>
      <c r="F185" s="82"/>
      <c r="G185" s="82"/>
      <c r="H185" s="82"/>
      <c r="I185" s="82"/>
      <c r="J185" s="82"/>
      <c r="K185" s="82"/>
      <c r="L185" s="82"/>
      <c r="M185" s="82"/>
      <c r="N185" s="82"/>
      <c r="O185" s="82"/>
      <c r="P185" s="82"/>
      <c r="Q185" s="82"/>
      <c r="R185" s="82"/>
      <c r="S185" s="82"/>
      <c r="T185" s="82"/>
      <c r="U185" s="82"/>
      <c r="V185" s="82"/>
      <c r="W185" s="82"/>
      <c r="X185" s="82"/>
      <c r="Y185" s="82"/>
      <c r="Z185" s="82"/>
      <c r="AA185" s="82"/>
      <c r="AB185" s="82"/>
      <c r="AC185" s="82"/>
      <c r="AD185" s="82"/>
      <c r="AE185" s="82"/>
      <c r="AF185" s="82"/>
      <c r="AG185" s="82"/>
      <c r="AH185" s="82"/>
    </row>
    <row r="186" spans="2:34" ht="20.100000000000001" customHeight="1">
      <c r="B186" s="82" t="s">
        <v>4100</v>
      </c>
      <c r="C186" s="389"/>
      <c r="D186" s="82" t="s">
        <v>1697</v>
      </c>
      <c r="E186" s="82"/>
      <c r="F186" s="82"/>
      <c r="G186" s="82"/>
      <c r="H186" s="82"/>
      <c r="I186" s="82"/>
      <c r="J186" s="82"/>
      <c r="K186" s="82"/>
      <c r="L186" s="82"/>
      <c r="M186" s="82"/>
      <c r="N186" s="82"/>
      <c r="O186" s="82"/>
      <c r="P186" s="82"/>
      <c r="Q186" s="82"/>
      <c r="R186" s="82"/>
      <c r="S186" s="82"/>
      <c r="T186" s="82"/>
      <c r="U186" s="82"/>
      <c r="V186" s="82"/>
      <c r="W186" s="82"/>
      <c r="X186" s="82"/>
      <c r="Y186" s="82"/>
      <c r="Z186" s="82"/>
      <c r="AA186" s="82"/>
      <c r="AB186" s="82"/>
      <c r="AC186" s="82"/>
      <c r="AD186" s="82"/>
      <c r="AE186" s="82"/>
      <c r="AF186" s="82"/>
      <c r="AG186" s="82"/>
      <c r="AH186" s="82"/>
    </row>
    <row r="187" spans="2:34" ht="20.100000000000001" customHeight="1">
      <c r="B187" s="82" t="s">
        <v>4104</v>
      </c>
      <c r="C187" s="389"/>
      <c r="D187" s="82" t="s">
        <v>65</v>
      </c>
      <c r="E187" s="82"/>
      <c r="F187" s="82"/>
      <c r="G187" s="82"/>
      <c r="H187" s="82"/>
      <c r="I187" s="82"/>
      <c r="J187" s="82"/>
      <c r="K187" s="82"/>
      <c r="L187" s="82"/>
      <c r="M187" s="82"/>
      <c r="N187" s="82"/>
      <c r="O187" s="82"/>
      <c r="P187" s="82"/>
      <c r="Q187" s="82"/>
      <c r="R187" s="82"/>
      <c r="S187" s="82"/>
      <c r="T187" s="82"/>
      <c r="U187" s="82"/>
      <c r="V187" s="82"/>
      <c r="W187" s="82"/>
      <c r="X187" s="82"/>
      <c r="Y187" s="82"/>
      <c r="Z187" s="82"/>
      <c r="AA187" s="82"/>
      <c r="AB187" s="82"/>
      <c r="AC187" s="82"/>
      <c r="AD187" s="82"/>
      <c r="AE187" s="82"/>
      <c r="AF187" s="82"/>
      <c r="AG187" s="82"/>
      <c r="AH187" s="82"/>
    </row>
    <row r="188" spans="2:34" ht="20.100000000000001" customHeight="1">
      <c r="B188" s="82" t="s">
        <v>4103</v>
      </c>
      <c r="C188" s="1044">
        <f>100-C187</f>
        <v>100</v>
      </c>
      <c r="D188" s="82" t="s">
        <v>65</v>
      </c>
      <c r="E188" s="82"/>
      <c r="F188" s="82"/>
      <c r="G188" s="82"/>
      <c r="H188" s="82"/>
      <c r="I188" s="82"/>
      <c r="J188" s="82"/>
      <c r="K188" s="82"/>
      <c r="L188" s="82"/>
      <c r="M188" s="82"/>
      <c r="N188" s="82"/>
      <c r="O188" s="82"/>
      <c r="P188" s="82"/>
      <c r="Q188" s="82"/>
      <c r="R188" s="82"/>
      <c r="S188" s="82"/>
      <c r="T188" s="82"/>
      <c r="U188" s="82"/>
      <c r="V188" s="82"/>
      <c r="W188" s="82"/>
      <c r="X188" s="82"/>
      <c r="Y188" s="82"/>
      <c r="Z188" s="82"/>
      <c r="AA188" s="82"/>
      <c r="AB188" s="82"/>
      <c r="AC188" s="82"/>
      <c r="AD188" s="82"/>
      <c r="AE188" s="82"/>
      <c r="AF188" s="82"/>
      <c r="AG188" s="82"/>
      <c r="AH188" s="82"/>
    </row>
    <row r="189" spans="2:34" ht="20.100000000000001" customHeight="1">
      <c r="B189" s="82" t="s">
        <v>2675</v>
      </c>
      <c r="C189" s="389"/>
      <c r="D189" s="82" t="s">
        <v>2676</v>
      </c>
      <c r="E189" s="82"/>
      <c r="F189" s="82"/>
      <c r="G189" s="82"/>
      <c r="H189" s="82"/>
      <c r="I189" s="82"/>
      <c r="J189" s="82"/>
      <c r="K189" s="82"/>
      <c r="L189" s="82"/>
      <c r="M189" s="82"/>
      <c r="N189" s="82"/>
      <c r="O189" s="82"/>
      <c r="P189" s="82"/>
      <c r="Q189" s="82"/>
      <c r="R189" s="82"/>
      <c r="S189" s="82"/>
      <c r="T189" s="82"/>
      <c r="U189" s="82"/>
      <c r="V189" s="82"/>
      <c r="W189" s="82"/>
      <c r="X189" s="82"/>
      <c r="Y189" s="82"/>
      <c r="Z189" s="82"/>
      <c r="AA189" s="82"/>
      <c r="AB189" s="82"/>
      <c r="AC189" s="82"/>
      <c r="AD189" s="82"/>
      <c r="AE189" s="82"/>
      <c r="AF189" s="82"/>
      <c r="AG189" s="82"/>
      <c r="AH189" s="82"/>
    </row>
    <row r="190" spans="2:34" ht="20.100000000000001" customHeight="1">
      <c r="B190" s="82"/>
      <c r="C190" s="82"/>
      <c r="D190" s="1410">
        <v>2021</v>
      </c>
      <c r="E190" s="1410">
        <v>2022</v>
      </c>
      <c r="F190" s="1410">
        <v>2023</v>
      </c>
      <c r="G190" s="1410">
        <v>2024</v>
      </c>
      <c r="H190" s="1410">
        <v>2025</v>
      </c>
      <c r="I190" s="1410">
        <v>2026</v>
      </c>
      <c r="J190" s="1410">
        <v>2027</v>
      </c>
      <c r="K190" s="1410">
        <v>2028</v>
      </c>
      <c r="L190" s="1410">
        <v>2029</v>
      </c>
      <c r="M190" s="1410">
        <v>2030</v>
      </c>
      <c r="N190" s="1410">
        <v>2031</v>
      </c>
      <c r="O190" s="1410">
        <v>2032</v>
      </c>
      <c r="P190" s="1410">
        <v>2033</v>
      </c>
      <c r="Q190" s="1410">
        <v>2034</v>
      </c>
      <c r="R190" s="1410">
        <v>2035</v>
      </c>
      <c r="S190" s="1410">
        <v>2036</v>
      </c>
      <c r="T190" s="1410">
        <v>2037</v>
      </c>
      <c r="U190" s="1410">
        <v>2038</v>
      </c>
      <c r="V190" s="1410">
        <v>2039</v>
      </c>
      <c r="W190" s="1410">
        <v>2040</v>
      </c>
      <c r="X190" s="1410">
        <v>2041</v>
      </c>
      <c r="Y190" s="1410">
        <v>2042</v>
      </c>
      <c r="Z190" s="1410">
        <v>2043</v>
      </c>
      <c r="AA190" s="1410">
        <v>2044</v>
      </c>
      <c r="AB190" s="1410">
        <v>2045</v>
      </c>
      <c r="AC190" s="1410">
        <v>2046</v>
      </c>
      <c r="AD190" s="1410">
        <v>2047</v>
      </c>
      <c r="AE190" s="1410">
        <v>2048</v>
      </c>
      <c r="AF190" s="1410">
        <v>2049</v>
      </c>
      <c r="AG190" s="1410">
        <v>2050</v>
      </c>
      <c r="AH190" s="82"/>
    </row>
    <row r="191" spans="2:34" ht="20.100000000000001" customHeight="1">
      <c r="B191" s="82" t="s">
        <v>4395</v>
      </c>
      <c r="C191" s="82"/>
      <c r="D191" s="389">
        <f>INDEX('DEFAULT DATA'!$R$9:$T$40,'LOCAL DATASET'!$C$10,1)</f>
        <v>2.2999999999999998</v>
      </c>
      <c r="E191" s="389">
        <f>INDEX('DEFAULT DATA'!$R$9:$T$40,'LOCAL DATASET'!$C$10,1)</f>
        <v>2.2999999999999998</v>
      </c>
      <c r="F191" s="389">
        <f>INDEX('DEFAULT DATA'!$R$9:$T$40,'LOCAL DATASET'!$C$10,1)</f>
        <v>2.2999999999999998</v>
      </c>
      <c r="G191" s="389">
        <f>INDEX('DEFAULT DATA'!$R$9:$T$40,'LOCAL DATASET'!$C$10,1)</f>
        <v>2.2999999999999998</v>
      </c>
      <c r="H191" s="389">
        <f>INDEX('DEFAULT DATA'!$R$9:$T$40,'LOCAL DATASET'!$C$10,1)</f>
        <v>2.2999999999999998</v>
      </c>
      <c r="I191" s="389">
        <f>INDEX('DEFAULT DATA'!$R$9:$T$40,'LOCAL DATASET'!$C$10,1)</f>
        <v>2.2999999999999998</v>
      </c>
      <c r="J191" s="389">
        <f>INDEX('DEFAULT DATA'!$R$9:$T$40,'LOCAL DATASET'!$C$10,1)</f>
        <v>2.2999999999999998</v>
      </c>
      <c r="K191" s="389">
        <f>INDEX('DEFAULT DATA'!$R$9:$T$40,'LOCAL DATASET'!$C$10,1)</f>
        <v>2.2999999999999998</v>
      </c>
      <c r="L191" s="389">
        <f>INDEX('DEFAULT DATA'!$R$9:$T$40,'LOCAL DATASET'!$C$10,1)</f>
        <v>2.2999999999999998</v>
      </c>
      <c r="M191" s="389">
        <f>INDEX('DEFAULT DATA'!$R$9:$T$40,'LOCAL DATASET'!$C$10,1)</f>
        <v>2.2999999999999998</v>
      </c>
      <c r="N191" s="389">
        <f>INDEX('DEFAULT DATA'!$R$9:$T$40,'LOCAL DATASET'!$C$10,2)</f>
        <v>0.7</v>
      </c>
      <c r="O191" s="389">
        <f>INDEX('DEFAULT DATA'!$R$9:$T$40,'LOCAL DATASET'!$C$10,2)</f>
        <v>0.7</v>
      </c>
      <c r="P191" s="389">
        <f>INDEX('DEFAULT DATA'!$R$9:$T$40,'LOCAL DATASET'!$C$10,2)</f>
        <v>0.7</v>
      </c>
      <c r="Q191" s="389">
        <f>INDEX('DEFAULT DATA'!$R$9:$T$40,'LOCAL DATASET'!$C$10,2)</f>
        <v>0.7</v>
      </c>
      <c r="R191" s="389">
        <f>INDEX('DEFAULT DATA'!$R$9:$T$40,'LOCAL DATASET'!$C$10,2)</f>
        <v>0.7</v>
      </c>
      <c r="S191" s="389">
        <f>INDEX('DEFAULT DATA'!$R$9:$T$40,'LOCAL DATASET'!$C$10,2)</f>
        <v>0.7</v>
      </c>
      <c r="T191" s="389">
        <f>INDEX('DEFAULT DATA'!$R$9:$T$40,'LOCAL DATASET'!$C$10,2)</f>
        <v>0.7</v>
      </c>
      <c r="U191" s="389">
        <f>INDEX('DEFAULT DATA'!$R$9:$T$40,'LOCAL DATASET'!$C$10,2)</f>
        <v>0.7</v>
      </c>
      <c r="V191" s="389">
        <f>INDEX('DEFAULT DATA'!$R$9:$T$40,'LOCAL DATASET'!$C$10,2)</f>
        <v>0.7</v>
      </c>
      <c r="W191" s="389">
        <f>INDEX('DEFAULT DATA'!$R$9:$T$40,'LOCAL DATASET'!$C$10,2)</f>
        <v>0.7</v>
      </c>
      <c r="X191" s="389">
        <f>INDEX('DEFAULT DATA'!$R$9:$T$40,'LOCAL DATASET'!$C$10,3)</f>
        <v>0.7</v>
      </c>
      <c r="Y191" s="389">
        <f>INDEX('DEFAULT DATA'!$R$9:$T$40,'LOCAL DATASET'!$C$10,3)</f>
        <v>0.7</v>
      </c>
      <c r="Z191" s="389">
        <f>INDEX('DEFAULT DATA'!$R$9:$T$40,'LOCAL DATASET'!$C$10,3)</f>
        <v>0.7</v>
      </c>
      <c r="AA191" s="389">
        <f>INDEX('DEFAULT DATA'!$R$9:$T$40,'LOCAL DATASET'!$C$10,3)</f>
        <v>0.7</v>
      </c>
      <c r="AB191" s="389">
        <f>INDEX('DEFAULT DATA'!$R$9:$T$40,'LOCAL DATASET'!$C$10,3)</f>
        <v>0.7</v>
      </c>
      <c r="AC191" s="389">
        <f>INDEX('DEFAULT DATA'!$R$9:$T$40,'LOCAL DATASET'!$C$10,3)</f>
        <v>0.7</v>
      </c>
      <c r="AD191" s="389">
        <f>INDEX('DEFAULT DATA'!$R$9:$T$40,'LOCAL DATASET'!$C$10,3)</f>
        <v>0.7</v>
      </c>
      <c r="AE191" s="389">
        <f>INDEX('DEFAULT DATA'!$R$9:$T$40,'LOCAL DATASET'!$C$10,3)</f>
        <v>0.7</v>
      </c>
      <c r="AF191" s="389">
        <f>INDEX('DEFAULT DATA'!$R$9:$T$40,'LOCAL DATASET'!$C$10,3)</f>
        <v>0.7</v>
      </c>
      <c r="AG191" s="389">
        <f>INDEX('DEFAULT DATA'!$R$9:$T$40,'LOCAL DATASET'!$C$10,3)</f>
        <v>0.7</v>
      </c>
      <c r="AH191" s="82"/>
    </row>
    <row r="192" spans="2:34" ht="20.100000000000001" customHeight="1">
      <c r="B192" s="82"/>
      <c r="C192" s="82"/>
      <c r="D192" s="1436">
        <f>IF(D190&lt;($C$4+1),$C$184,C184*(100+D191)/100)</f>
        <v>300</v>
      </c>
      <c r="E192" s="1387">
        <f>IF(E190&lt;($C$4+1),$C$184,D192*(100+E191)/100)</f>
        <v>300</v>
      </c>
      <c r="F192" s="1387">
        <f t="shared" ref="F192:AG192" si="41">IF(F190&lt;($C$4+1),$C$184,E192*(100+F191)/100)</f>
        <v>306.89999999999998</v>
      </c>
      <c r="G192" s="1387">
        <f t="shared" si="41"/>
        <v>313.95869999999996</v>
      </c>
      <c r="H192" s="1387">
        <f t="shared" si="41"/>
        <v>321.17975009999992</v>
      </c>
      <c r="I192" s="1387">
        <f t="shared" si="41"/>
        <v>328.56688435229989</v>
      </c>
      <c r="J192" s="1387">
        <f t="shared" si="41"/>
        <v>336.1239226924028</v>
      </c>
      <c r="K192" s="1387">
        <f t="shared" si="41"/>
        <v>343.85477291432807</v>
      </c>
      <c r="L192" s="1387">
        <f t="shared" si="41"/>
        <v>351.76343269135759</v>
      </c>
      <c r="M192" s="1387">
        <f t="shared" si="41"/>
        <v>359.85399164325878</v>
      </c>
      <c r="N192" s="1387">
        <f t="shared" si="41"/>
        <v>362.37296958476162</v>
      </c>
      <c r="O192" s="1387">
        <f t="shared" si="41"/>
        <v>364.90958037185499</v>
      </c>
      <c r="P192" s="1387">
        <f t="shared" si="41"/>
        <v>367.46394743445796</v>
      </c>
      <c r="Q192" s="1387">
        <f t="shared" si="41"/>
        <v>370.0361950664992</v>
      </c>
      <c r="R192" s="1387">
        <f t="shared" si="41"/>
        <v>372.62644843196466</v>
      </c>
      <c r="S192" s="1387">
        <f t="shared" si="41"/>
        <v>375.23483357098843</v>
      </c>
      <c r="T192" s="1387">
        <f t="shared" si="41"/>
        <v>377.86147740598534</v>
      </c>
      <c r="U192" s="1387">
        <f t="shared" si="41"/>
        <v>380.5065077478273</v>
      </c>
      <c r="V192" s="1387">
        <f t="shared" si="41"/>
        <v>383.17005330206206</v>
      </c>
      <c r="W192" s="1387">
        <f t="shared" si="41"/>
        <v>385.85224367517651</v>
      </c>
      <c r="X192" s="1387">
        <f t="shared" si="41"/>
        <v>388.55320938090279</v>
      </c>
      <c r="Y192" s="1387">
        <f t="shared" si="41"/>
        <v>391.27308184656908</v>
      </c>
      <c r="Z192" s="1387">
        <f t="shared" si="41"/>
        <v>394.01199341949507</v>
      </c>
      <c r="AA192" s="1387">
        <f t="shared" si="41"/>
        <v>396.77007737343155</v>
      </c>
      <c r="AB192" s="1387">
        <f t="shared" si="41"/>
        <v>399.54746791504556</v>
      </c>
      <c r="AC192" s="1387">
        <f t="shared" si="41"/>
        <v>402.34430019045089</v>
      </c>
      <c r="AD192" s="1387">
        <f t="shared" si="41"/>
        <v>405.16071029178403</v>
      </c>
      <c r="AE192" s="1387">
        <f t="shared" si="41"/>
        <v>407.99683526382648</v>
      </c>
      <c r="AF192" s="1387">
        <f t="shared" si="41"/>
        <v>410.85281311067331</v>
      </c>
      <c r="AG192" s="1387">
        <f t="shared" si="41"/>
        <v>413.72878280244805</v>
      </c>
      <c r="AH192" s="82"/>
    </row>
    <row r="193" spans="2:34" ht="20.100000000000001" customHeight="1">
      <c r="B193" s="414" t="s">
        <v>2804</v>
      </c>
      <c r="C193" s="1318"/>
      <c r="D193" s="82"/>
      <c r="E193" s="82"/>
      <c r="F193" s="82"/>
      <c r="G193" s="82"/>
      <c r="H193" s="82"/>
      <c r="I193" s="82"/>
      <c r="J193" s="82"/>
      <c r="K193" s="82"/>
      <c r="L193" s="82"/>
      <c r="M193" s="82"/>
      <c r="N193" s="82"/>
      <c r="O193" s="82"/>
      <c r="P193" s="82"/>
      <c r="Q193" s="82"/>
      <c r="R193" s="82"/>
      <c r="S193" s="82"/>
      <c r="T193" s="82"/>
      <c r="U193" s="82"/>
      <c r="V193" s="82"/>
      <c r="W193" s="82"/>
      <c r="X193" s="82"/>
      <c r="Y193" s="82"/>
      <c r="Z193" s="82"/>
      <c r="AA193" s="82"/>
      <c r="AB193" s="82"/>
      <c r="AC193" s="82"/>
      <c r="AD193" s="82"/>
      <c r="AE193" s="82"/>
      <c r="AF193" s="82"/>
      <c r="AG193" s="82"/>
      <c r="AH193" s="82"/>
    </row>
    <row r="194" spans="2:34" ht="20.100000000000001" customHeight="1">
      <c r="B194" s="82" t="s">
        <v>4102</v>
      </c>
      <c r="C194" s="390">
        <v>150</v>
      </c>
      <c r="D194" s="82" t="s">
        <v>2908</v>
      </c>
      <c r="E194" s="82"/>
      <c r="F194" s="82"/>
      <c r="G194" s="82"/>
      <c r="H194" s="82"/>
      <c r="I194" s="82"/>
      <c r="J194" s="82"/>
      <c r="K194" s="82"/>
      <c r="L194" s="82"/>
      <c r="M194" s="82"/>
      <c r="N194" s="82"/>
      <c r="O194" s="82"/>
      <c r="P194" s="82"/>
      <c r="Q194" s="82"/>
      <c r="R194" s="82"/>
      <c r="S194" s="82"/>
      <c r="T194" s="82"/>
      <c r="U194" s="82"/>
      <c r="V194" s="82"/>
      <c r="W194" s="82"/>
      <c r="X194" s="82"/>
      <c r="Y194" s="82"/>
      <c r="Z194" s="82"/>
      <c r="AA194" s="82"/>
      <c r="AB194" s="82"/>
      <c r="AC194" s="82"/>
      <c r="AD194" s="82"/>
      <c r="AE194" s="82"/>
      <c r="AF194" s="82"/>
      <c r="AG194" s="82"/>
      <c r="AH194" s="82"/>
    </row>
    <row r="195" spans="2:34" ht="20.100000000000001" customHeight="1">
      <c r="B195" s="82" t="s">
        <v>2675</v>
      </c>
      <c r="C195" s="389"/>
      <c r="D195" s="82" t="s">
        <v>2676</v>
      </c>
      <c r="E195" s="82"/>
      <c r="F195" s="82"/>
      <c r="G195" s="82"/>
      <c r="H195" s="82"/>
      <c r="I195" s="82"/>
      <c r="J195" s="82"/>
      <c r="K195" s="82"/>
      <c r="L195" s="82"/>
      <c r="M195" s="82"/>
      <c r="N195" s="82"/>
      <c r="O195" s="82"/>
      <c r="P195" s="82"/>
      <c r="Q195" s="82"/>
      <c r="R195" s="82"/>
      <c r="S195" s="82"/>
      <c r="T195" s="82"/>
      <c r="U195" s="82"/>
      <c r="V195" s="82"/>
      <c r="W195" s="82"/>
      <c r="X195" s="82"/>
      <c r="Y195" s="82"/>
      <c r="Z195" s="82"/>
      <c r="AA195" s="82"/>
      <c r="AB195" s="82"/>
      <c r="AC195" s="82"/>
      <c r="AD195" s="82"/>
      <c r="AE195" s="82"/>
      <c r="AF195" s="82"/>
      <c r="AG195" s="82"/>
      <c r="AH195" s="82"/>
    </row>
    <row r="196" spans="2:34" ht="20.100000000000001" customHeight="1">
      <c r="B196" s="82"/>
      <c r="C196" s="82"/>
      <c r="D196" s="1410">
        <v>2021</v>
      </c>
      <c r="E196" s="1410">
        <v>2022</v>
      </c>
      <c r="F196" s="1410">
        <v>2023</v>
      </c>
      <c r="G196" s="1410">
        <v>2024</v>
      </c>
      <c r="H196" s="1410">
        <v>2025</v>
      </c>
      <c r="I196" s="1410">
        <v>2026</v>
      </c>
      <c r="J196" s="1410">
        <v>2027</v>
      </c>
      <c r="K196" s="1410">
        <v>2028</v>
      </c>
      <c r="L196" s="1410">
        <v>2029</v>
      </c>
      <c r="M196" s="1410">
        <v>2030</v>
      </c>
      <c r="N196" s="1410">
        <v>2031</v>
      </c>
      <c r="O196" s="1410">
        <v>2032</v>
      </c>
      <c r="P196" s="1410">
        <v>2033</v>
      </c>
      <c r="Q196" s="1410">
        <v>2034</v>
      </c>
      <c r="R196" s="1410">
        <v>2035</v>
      </c>
      <c r="S196" s="1410">
        <v>2036</v>
      </c>
      <c r="T196" s="1410">
        <v>2037</v>
      </c>
      <c r="U196" s="1410">
        <v>2038</v>
      </c>
      <c r="V196" s="1410">
        <v>2039</v>
      </c>
      <c r="W196" s="1410">
        <v>2040</v>
      </c>
      <c r="X196" s="1410">
        <v>2041</v>
      </c>
      <c r="Y196" s="1410">
        <v>2042</v>
      </c>
      <c r="Z196" s="1410">
        <v>2043</v>
      </c>
      <c r="AA196" s="1410">
        <v>2044</v>
      </c>
      <c r="AB196" s="1410">
        <v>2045</v>
      </c>
      <c r="AC196" s="1410">
        <v>2046</v>
      </c>
      <c r="AD196" s="1410">
        <v>2047</v>
      </c>
      <c r="AE196" s="1410">
        <v>2048</v>
      </c>
      <c r="AF196" s="1410">
        <v>2049</v>
      </c>
      <c r="AG196" s="1410">
        <v>2050</v>
      </c>
      <c r="AH196" s="82"/>
    </row>
    <row r="197" spans="2:34" ht="20.100000000000001" customHeight="1">
      <c r="B197" s="82" t="s">
        <v>4361</v>
      </c>
      <c r="C197" s="82"/>
      <c r="D197" s="389">
        <f>INDEX('DEFAULT DATA'!$R$9:$T$40,'LOCAL DATASET'!$C$10,1)</f>
        <v>2.2999999999999998</v>
      </c>
      <c r="E197" s="389">
        <f>INDEX('DEFAULT DATA'!$R$9:$T$40,'LOCAL DATASET'!$C$10,1)</f>
        <v>2.2999999999999998</v>
      </c>
      <c r="F197" s="389">
        <f>INDEX('DEFAULT DATA'!$R$9:$T$40,'LOCAL DATASET'!$C$10,1)</f>
        <v>2.2999999999999998</v>
      </c>
      <c r="G197" s="389">
        <f>INDEX('DEFAULT DATA'!$R$9:$T$40,'LOCAL DATASET'!$C$10,1)</f>
        <v>2.2999999999999998</v>
      </c>
      <c r="H197" s="389">
        <f>INDEX('DEFAULT DATA'!$R$9:$T$40,'LOCAL DATASET'!$C$10,1)</f>
        <v>2.2999999999999998</v>
      </c>
      <c r="I197" s="389">
        <f>INDEX('DEFAULT DATA'!$R$9:$T$40,'LOCAL DATASET'!$C$10,1)</f>
        <v>2.2999999999999998</v>
      </c>
      <c r="J197" s="389">
        <f>INDEX('DEFAULT DATA'!$R$9:$T$40,'LOCAL DATASET'!$C$10,1)</f>
        <v>2.2999999999999998</v>
      </c>
      <c r="K197" s="389">
        <f>INDEX('DEFAULT DATA'!$R$9:$T$40,'LOCAL DATASET'!$C$10,1)</f>
        <v>2.2999999999999998</v>
      </c>
      <c r="L197" s="389">
        <f>INDEX('DEFAULT DATA'!$R$9:$T$40,'LOCAL DATASET'!$C$10,1)</f>
        <v>2.2999999999999998</v>
      </c>
      <c r="M197" s="389">
        <f>INDEX('DEFAULT DATA'!$R$9:$T$40,'LOCAL DATASET'!$C$10,1)</f>
        <v>2.2999999999999998</v>
      </c>
      <c r="N197" s="389">
        <f>INDEX('DEFAULT DATA'!$R$9:$T$40,'LOCAL DATASET'!$C$10,2)</f>
        <v>0.7</v>
      </c>
      <c r="O197" s="389">
        <f>INDEX('DEFAULT DATA'!$R$9:$T$40,'LOCAL DATASET'!$C$10,2)</f>
        <v>0.7</v>
      </c>
      <c r="P197" s="389">
        <f>INDEX('DEFAULT DATA'!$R$9:$T$40,'LOCAL DATASET'!$C$10,2)</f>
        <v>0.7</v>
      </c>
      <c r="Q197" s="389">
        <f>INDEX('DEFAULT DATA'!$R$9:$T$40,'LOCAL DATASET'!$C$10,2)</f>
        <v>0.7</v>
      </c>
      <c r="R197" s="389">
        <f>INDEX('DEFAULT DATA'!$R$9:$T$40,'LOCAL DATASET'!$C$10,2)</f>
        <v>0.7</v>
      </c>
      <c r="S197" s="389">
        <f>INDEX('DEFAULT DATA'!$R$9:$T$40,'LOCAL DATASET'!$C$10,2)</f>
        <v>0.7</v>
      </c>
      <c r="T197" s="389">
        <f>INDEX('DEFAULT DATA'!$R$9:$T$40,'LOCAL DATASET'!$C$10,2)</f>
        <v>0.7</v>
      </c>
      <c r="U197" s="389">
        <f>INDEX('DEFAULT DATA'!$R$9:$T$40,'LOCAL DATASET'!$C$10,2)</f>
        <v>0.7</v>
      </c>
      <c r="V197" s="389">
        <f>INDEX('DEFAULT DATA'!$R$9:$T$40,'LOCAL DATASET'!$C$10,2)</f>
        <v>0.7</v>
      </c>
      <c r="W197" s="389">
        <f>INDEX('DEFAULT DATA'!$R$9:$T$40,'LOCAL DATASET'!$C$10,2)</f>
        <v>0.7</v>
      </c>
      <c r="X197" s="389">
        <f>INDEX('DEFAULT DATA'!$R$9:$T$40,'LOCAL DATASET'!$C$10,3)</f>
        <v>0.7</v>
      </c>
      <c r="Y197" s="389">
        <f>INDEX('DEFAULT DATA'!$R$9:$T$40,'LOCAL DATASET'!$C$10,3)</f>
        <v>0.7</v>
      </c>
      <c r="Z197" s="389">
        <f>INDEX('DEFAULT DATA'!$R$9:$T$40,'LOCAL DATASET'!$C$10,3)</f>
        <v>0.7</v>
      </c>
      <c r="AA197" s="389">
        <f>INDEX('DEFAULT DATA'!$R$9:$T$40,'LOCAL DATASET'!$C$10,3)</f>
        <v>0.7</v>
      </c>
      <c r="AB197" s="389">
        <f>INDEX('DEFAULT DATA'!$R$9:$T$40,'LOCAL DATASET'!$C$10,3)</f>
        <v>0.7</v>
      </c>
      <c r="AC197" s="389">
        <f>INDEX('DEFAULT DATA'!$R$9:$T$40,'LOCAL DATASET'!$C$10,3)</f>
        <v>0.7</v>
      </c>
      <c r="AD197" s="389">
        <f>INDEX('DEFAULT DATA'!$R$9:$T$40,'LOCAL DATASET'!$C$10,3)</f>
        <v>0.7</v>
      </c>
      <c r="AE197" s="389">
        <f>INDEX('DEFAULT DATA'!$R$9:$T$40,'LOCAL DATASET'!$C$10,3)</f>
        <v>0.7</v>
      </c>
      <c r="AF197" s="389">
        <f>INDEX('DEFAULT DATA'!$R$9:$T$40,'LOCAL DATASET'!$C$10,3)</f>
        <v>0.7</v>
      </c>
      <c r="AG197" s="389">
        <f>INDEX('DEFAULT DATA'!$R$9:$T$40,'LOCAL DATASET'!$C$10,3)</f>
        <v>0.7</v>
      </c>
      <c r="AH197" s="82"/>
    </row>
    <row r="198" spans="2:34" ht="20.100000000000001" customHeight="1">
      <c r="B198" s="82"/>
      <c r="C198" s="82"/>
      <c r="D198" s="1436">
        <f>IF(D196&lt;($C$4+1),$C$194,C194*(100+D197)/100)</f>
        <v>150</v>
      </c>
      <c r="E198" s="1387">
        <f>IF(E196&lt;($C$4+1),$C$194,D198*(100+E197)/100)</f>
        <v>150</v>
      </c>
      <c r="F198" s="1387">
        <f t="shared" ref="F198:AG198" si="42">IF(F196&lt;($C$4+1),$C$194,E198*(100+F197)/100)</f>
        <v>153.44999999999999</v>
      </c>
      <c r="G198" s="1387">
        <f t="shared" si="42"/>
        <v>156.97934999999998</v>
      </c>
      <c r="H198" s="1387">
        <f t="shared" si="42"/>
        <v>160.58987504999996</v>
      </c>
      <c r="I198" s="1387">
        <f t="shared" si="42"/>
        <v>164.28344217614995</v>
      </c>
      <c r="J198" s="1387">
        <f t="shared" si="42"/>
        <v>168.0619613462014</v>
      </c>
      <c r="K198" s="1387">
        <f t="shared" si="42"/>
        <v>171.92738645716403</v>
      </c>
      <c r="L198" s="1387">
        <f t="shared" si="42"/>
        <v>175.8817163456788</v>
      </c>
      <c r="M198" s="1387">
        <f t="shared" si="42"/>
        <v>179.92699582162939</v>
      </c>
      <c r="N198" s="1387">
        <f t="shared" si="42"/>
        <v>181.18648479238081</v>
      </c>
      <c r="O198" s="1387">
        <f t="shared" si="42"/>
        <v>182.45479018592749</v>
      </c>
      <c r="P198" s="1387">
        <f t="shared" si="42"/>
        <v>183.73197371722898</v>
      </c>
      <c r="Q198" s="1387">
        <f t="shared" si="42"/>
        <v>185.0180975332496</v>
      </c>
      <c r="R198" s="1387">
        <f t="shared" si="42"/>
        <v>186.31322421598233</v>
      </c>
      <c r="S198" s="1387">
        <f t="shared" si="42"/>
        <v>187.61741678549421</v>
      </c>
      <c r="T198" s="1387">
        <f t="shared" si="42"/>
        <v>188.93073870299267</v>
      </c>
      <c r="U198" s="1387">
        <f t="shared" si="42"/>
        <v>190.25325387391365</v>
      </c>
      <c r="V198" s="1387">
        <f t="shared" si="42"/>
        <v>191.58502665103103</v>
      </c>
      <c r="W198" s="1387">
        <f t="shared" si="42"/>
        <v>192.92612183758825</v>
      </c>
      <c r="X198" s="1387">
        <f t="shared" si="42"/>
        <v>194.27660469045139</v>
      </c>
      <c r="Y198" s="1387">
        <f t="shared" si="42"/>
        <v>195.63654092328454</v>
      </c>
      <c r="Z198" s="1387">
        <f t="shared" si="42"/>
        <v>197.00599670974754</v>
      </c>
      <c r="AA198" s="1387">
        <f t="shared" si="42"/>
        <v>198.38503868671577</v>
      </c>
      <c r="AB198" s="1387">
        <f t="shared" si="42"/>
        <v>199.77373395752278</v>
      </c>
      <c r="AC198" s="1387">
        <f t="shared" si="42"/>
        <v>201.17215009522545</v>
      </c>
      <c r="AD198" s="1387">
        <f t="shared" si="42"/>
        <v>202.58035514589201</v>
      </c>
      <c r="AE198" s="1387">
        <f t="shared" si="42"/>
        <v>203.99841763191324</v>
      </c>
      <c r="AF198" s="1387">
        <f t="shared" si="42"/>
        <v>205.42640655533665</v>
      </c>
      <c r="AG198" s="1387">
        <f t="shared" si="42"/>
        <v>206.86439140122403</v>
      </c>
      <c r="AH198" s="82"/>
    </row>
    <row r="199" spans="2:34" ht="20.100000000000001" customHeight="1">
      <c r="B199" s="82"/>
      <c r="C199" s="82"/>
      <c r="D199" s="82"/>
      <c r="E199" s="82"/>
      <c r="F199" s="82"/>
      <c r="G199" s="82"/>
      <c r="H199" s="82"/>
      <c r="I199" s="82"/>
      <c r="J199" s="82"/>
      <c r="K199" s="82"/>
      <c r="L199" s="82"/>
      <c r="M199" s="82"/>
      <c r="N199" s="82"/>
      <c r="O199" s="82"/>
      <c r="P199" s="82"/>
      <c r="Q199" s="82"/>
      <c r="R199" s="82"/>
      <c r="S199" s="82"/>
      <c r="T199" s="82"/>
      <c r="U199" s="82"/>
      <c r="V199" s="82"/>
      <c r="W199" s="82"/>
      <c r="X199" s="82"/>
      <c r="Y199" s="82"/>
      <c r="Z199" s="82"/>
      <c r="AA199" s="82"/>
      <c r="AB199" s="82"/>
      <c r="AC199" s="82"/>
      <c r="AD199" s="82"/>
      <c r="AE199" s="82"/>
      <c r="AF199" s="82"/>
      <c r="AG199" s="82"/>
      <c r="AH199" s="82"/>
    </row>
    <row r="200" spans="2:34" ht="20.100000000000001" customHeight="1">
      <c r="B200" s="82"/>
      <c r="C200" s="82"/>
      <c r="D200" s="1393"/>
      <c r="E200" s="388" t="s">
        <v>4362</v>
      </c>
      <c r="F200" s="112" t="s">
        <v>4363</v>
      </c>
      <c r="G200" s="1393"/>
      <c r="H200" s="82"/>
      <c r="I200" s="82"/>
      <c r="J200" s="82"/>
      <c r="K200" s="82"/>
      <c r="L200" s="82"/>
      <c r="M200" s="82"/>
      <c r="N200" s="82"/>
      <c r="O200" s="82"/>
      <c r="P200" s="82"/>
      <c r="Q200" s="82"/>
      <c r="R200" s="82"/>
      <c r="S200" s="82"/>
      <c r="T200" s="82"/>
      <c r="U200" s="82"/>
      <c r="V200" s="82"/>
      <c r="W200" s="82"/>
      <c r="X200" s="82"/>
      <c r="Y200" s="82"/>
      <c r="Z200" s="82"/>
      <c r="AA200" s="82"/>
      <c r="AB200" s="82"/>
      <c r="AC200" s="82"/>
      <c r="AD200" s="82"/>
      <c r="AE200" s="82"/>
      <c r="AF200" s="82"/>
      <c r="AG200" s="82"/>
      <c r="AH200" s="82"/>
    </row>
    <row r="201" spans="2:34" ht="20.100000000000001" customHeight="1">
      <c r="B201" s="82" t="s">
        <v>4105</v>
      </c>
      <c r="C201" s="82"/>
      <c r="D201" s="1318" t="s">
        <v>65</v>
      </c>
      <c r="E201" s="82" t="s">
        <v>4096</v>
      </c>
      <c r="F201" s="82" t="s">
        <v>4096</v>
      </c>
      <c r="I201" s="82"/>
      <c r="J201" s="82"/>
      <c r="K201" s="82"/>
      <c r="L201" s="82"/>
      <c r="M201" s="82"/>
      <c r="N201" s="82"/>
      <c r="O201" s="82"/>
      <c r="P201" s="82"/>
      <c r="Q201" s="82"/>
      <c r="R201" s="82"/>
      <c r="S201" s="82"/>
      <c r="T201" s="82"/>
      <c r="U201" s="82"/>
      <c r="V201" s="82"/>
      <c r="W201" s="82"/>
      <c r="X201" s="82"/>
      <c r="Y201" s="82"/>
      <c r="Z201" s="82"/>
      <c r="AA201" s="82"/>
      <c r="AB201" s="82"/>
      <c r="AC201" s="82"/>
      <c r="AD201" s="82"/>
      <c r="AE201" s="82"/>
      <c r="AF201" s="82"/>
      <c r="AG201" s="82"/>
      <c r="AH201" s="82"/>
    </row>
    <row r="202" spans="2:34" ht="20.100000000000001" customHeight="1">
      <c r="B202" s="1042" t="s">
        <v>4107</v>
      </c>
      <c r="C202" s="82"/>
      <c r="D202" s="401">
        <f>INDEX('DEFAULT DATA'!$U$9:$Y$40,'LOCAL DATASET'!$C$10,1)</f>
        <v>0.4</v>
      </c>
      <c r="E202" s="1448"/>
      <c r="F202" s="1448"/>
      <c r="H202" s="82"/>
      <c r="I202" s="82"/>
      <c r="J202" s="82"/>
      <c r="K202" s="82"/>
      <c r="L202" s="82"/>
      <c r="M202" s="82"/>
      <c r="N202" s="82"/>
      <c r="O202" s="82"/>
      <c r="P202" s="82"/>
      <c r="Q202" s="82"/>
      <c r="R202" s="82"/>
      <c r="S202" s="82"/>
      <c r="T202" s="82"/>
      <c r="U202" s="82"/>
      <c r="V202" s="82"/>
      <c r="W202" s="82"/>
      <c r="X202" s="82"/>
      <c r="Y202" s="82"/>
      <c r="Z202" s="82"/>
      <c r="AA202" s="82"/>
      <c r="AB202" s="82"/>
      <c r="AC202" s="82"/>
      <c r="AD202" s="82"/>
      <c r="AE202" s="82"/>
      <c r="AF202" s="82"/>
      <c r="AG202" s="82"/>
      <c r="AH202" s="82"/>
    </row>
    <row r="203" spans="2:34" ht="20.100000000000001" customHeight="1">
      <c r="B203" s="1042" t="s">
        <v>4108</v>
      </c>
      <c r="C203" s="82"/>
      <c r="D203" s="401">
        <f>INDEX('DEFAULT DATA'!$U$9:$Y$40,'LOCAL DATASET'!$C$10,2)</f>
        <v>0</v>
      </c>
      <c r="E203" s="1448"/>
      <c r="F203" s="1448"/>
      <c r="H203" s="82"/>
      <c r="I203" s="82"/>
      <c r="J203" s="82"/>
      <c r="K203" s="82"/>
      <c r="L203" s="82"/>
      <c r="M203" s="82"/>
      <c r="N203" s="82"/>
      <c r="O203" s="82"/>
      <c r="P203" s="82"/>
      <c r="Q203" s="82"/>
      <c r="R203" s="82"/>
      <c r="S203" s="82"/>
      <c r="T203" s="82"/>
      <c r="U203" s="82"/>
      <c r="V203" s="82"/>
      <c r="W203" s="82"/>
      <c r="X203" s="82"/>
      <c r="Y203" s="82"/>
      <c r="Z203" s="82"/>
      <c r="AA203" s="82"/>
      <c r="AB203" s="82"/>
      <c r="AC203" s="82"/>
      <c r="AD203" s="82"/>
      <c r="AE203" s="82"/>
      <c r="AF203" s="82"/>
      <c r="AG203" s="82"/>
      <c r="AH203" s="82"/>
    </row>
    <row r="204" spans="2:34" ht="20.100000000000001" customHeight="1">
      <c r="B204" s="82" t="s">
        <v>4109</v>
      </c>
      <c r="C204" s="82"/>
      <c r="D204" s="401">
        <f>INDEX('DEFAULT DATA'!$U$9:$Y$40,'LOCAL DATASET'!$C$10,3)</f>
        <v>94.5</v>
      </c>
      <c r="E204" s="1448"/>
      <c r="F204" s="1448"/>
      <c r="O204" s="82"/>
      <c r="P204" s="82"/>
      <c r="Q204" s="82"/>
      <c r="R204" s="82"/>
      <c r="S204" s="82"/>
      <c r="T204" s="82"/>
      <c r="U204" s="82"/>
      <c r="V204" s="82"/>
      <c r="W204" s="82"/>
      <c r="X204" s="82"/>
      <c r="Y204" s="82"/>
      <c r="Z204" s="82"/>
      <c r="AA204" s="82"/>
      <c r="AB204" s="82"/>
      <c r="AC204" s="82"/>
      <c r="AD204" s="82"/>
      <c r="AE204" s="82"/>
      <c r="AF204" s="82"/>
      <c r="AG204" s="82"/>
      <c r="AH204" s="82"/>
    </row>
    <row r="205" spans="2:34" ht="20.100000000000001" customHeight="1">
      <c r="B205" s="1042" t="s">
        <v>4110</v>
      </c>
      <c r="C205" s="82"/>
      <c r="D205" s="401">
        <f>INDEX('DEFAULT DATA'!$U$9:$Y$40,'LOCAL DATASET'!$C$10,4)</f>
        <v>2.5</v>
      </c>
      <c r="E205" s="1448"/>
      <c r="F205" s="1448"/>
      <c r="O205" s="82"/>
      <c r="P205" s="82"/>
      <c r="Q205" s="82"/>
      <c r="R205" s="82"/>
      <c r="S205" s="82"/>
      <c r="T205" s="82"/>
      <c r="U205" s="82"/>
      <c r="V205" s="82"/>
      <c r="W205" s="82"/>
      <c r="X205" s="82"/>
      <c r="Y205" s="82"/>
      <c r="Z205" s="82"/>
      <c r="AA205" s="82"/>
      <c r="AB205" s="82"/>
      <c r="AC205" s="82"/>
      <c r="AD205" s="82"/>
      <c r="AE205" s="82"/>
      <c r="AF205" s="82"/>
      <c r="AG205" s="82"/>
      <c r="AH205" s="82"/>
    </row>
    <row r="206" spans="2:34" ht="20.100000000000001" customHeight="1">
      <c r="B206" s="82" t="s">
        <v>4111</v>
      </c>
      <c r="C206" s="82"/>
      <c r="D206" s="401">
        <f>INDEX('DEFAULT DATA'!$U$9:$Y$40,'LOCAL DATASET'!$C$10,5)</f>
        <v>0.5</v>
      </c>
      <c r="E206" s="1448"/>
      <c r="F206" s="1448"/>
      <c r="H206" s="82"/>
      <c r="I206" s="82"/>
      <c r="J206" s="82"/>
      <c r="K206" s="82"/>
      <c r="L206" s="82"/>
      <c r="M206" s="82"/>
      <c r="N206" s="82"/>
      <c r="O206" s="82"/>
      <c r="P206" s="82"/>
      <c r="Q206" s="82"/>
      <c r="R206" s="82"/>
      <c r="S206" s="82"/>
      <c r="T206" s="82"/>
      <c r="U206" s="82"/>
      <c r="V206" s="82"/>
      <c r="W206" s="82"/>
      <c r="X206" s="82"/>
      <c r="Y206" s="82"/>
      <c r="Z206" s="82"/>
      <c r="AA206" s="82"/>
      <c r="AB206" s="82"/>
      <c r="AC206" s="82"/>
      <c r="AD206" s="82"/>
      <c r="AE206" s="82"/>
      <c r="AF206" s="82"/>
      <c r="AG206" s="82"/>
      <c r="AH206" s="82"/>
    </row>
    <row r="207" spans="2:34" ht="20.100000000000001" customHeight="1">
      <c r="B207" s="1042" t="s">
        <v>4092</v>
      </c>
      <c r="C207" s="82"/>
      <c r="D207" s="401">
        <f>INDEX('DEFAULT DATA'!$U$9:$Y$40,'LOCAL DATASET'!$C$10,5)</f>
        <v>0.5</v>
      </c>
      <c r="E207" s="1448"/>
      <c r="F207" s="1448"/>
      <c r="H207" s="82"/>
      <c r="I207" s="82"/>
      <c r="J207" s="82"/>
      <c r="K207" s="82"/>
      <c r="L207" s="82"/>
      <c r="M207" s="82"/>
      <c r="N207" s="82"/>
      <c r="O207" s="82"/>
      <c r="P207" s="82"/>
      <c r="Q207" s="82"/>
      <c r="R207" s="82"/>
      <c r="S207" s="82"/>
      <c r="T207" s="82"/>
      <c r="U207" s="82"/>
      <c r="V207" s="82"/>
      <c r="W207" s="82"/>
      <c r="X207" s="82"/>
      <c r="Y207" s="82"/>
      <c r="Z207" s="82"/>
      <c r="AA207" s="82"/>
      <c r="AB207" s="82"/>
      <c r="AC207" s="82"/>
      <c r="AD207" s="82"/>
      <c r="AE207" s="82"/>
      <c r="AF207" s="82"/>
      <c r="AG207" s="82"/>
      <c r="AH207" s="82"/>
    </row>
    <row r="208" spans="2:34" ht="20.100000000000001" customHeight="1">
      <c r="B208" s="82" t="s">
        <v>4093</v>
      </c>
      <c r="C208" s="82"/>
      <c r="D208" s="401">
        <f>INDEX('DEFAULT DATA'!$U$9:$Y$40,'LOCAL DATASET'!$C$10,5)</f>
        <v>0.5</v>
      </c>
      <c r="E208" s="1448"/>
      <c r="F208" s="1448"/>
      <c r="H208" s="82" t="s">
        <v>4366</v>
      </c>
      <c r="I208" s="82"/>
      <c r="J208" s="82"/>
      <c r="K208" s="82"/>
      <c r="L208" s="82"/>
      <c r="M208" s="82"/>
      <c r="N208" s="82"/>
      <c r="O208" s="82"/>
      <c r="P208" s="82"/>
      <c r="Q208" s="82"/>
      <c r="R208" s="82"/>
      <c r="S208" s="82"/>
      <c r="T208" s="82"/>
      <c r="U208" s="82"/>
      <c r="V208" s="82"/>
      <c r="W208" s="82"/>
      <c r="X208" s="82"/>
      <c r="Y208" s="82"/>
      <c r="Z208" s="82"/>
      <c r="AA208" s="82"/>
      <c r="AB208" s="82"/>
      <c r="AC208" s="82"/>
      <c r="AD208" s="82"/>
      <c r="AE208" s="82"/>
      <c r="AF208" s="82"/>
      <c r="AG208" s="82"/>
      <c r="AH208" s="82"/>
    </row>
    <row r="209" spans="2:34" ht="20.100000000000001" customHeight="1">
      <c r="B209" s="82" t="s">
        <v>4106</v>
      </c>
      <c r="C209" s="82"/>
      <c r="D209" s="401">
        <f>INDEX('DEFAULT DATA'!$U$9:$Y$40,'LOCAL DATASET'!$C$10,5)</f>
        <v>0.5</v>
      </c>
      <c r="E209" s="1448"/>
      <c r="F209" s="1448"/>
      <c r="H209" s="1318">
        <v>2020</v>
      </c>
      <c r="I209" s="1318">
        <v>2025</v>
      </c>
      <c r="J209" s="1318">
        <v>2030</v>
      </c>
      <c r="K209" s="1318">
        <v>2035</v>
      </c>
      <c r="L209" s="1318">
        <v>2040</v>
      </c>
      <c r="M209" s="1318">
        <v>2045</v>
      </c>
      <c r="N209" s="1318">
        <v>2050</v>
      </c>
      <c r="O209" s="82"/>
      <c r="P209" s="82"/>
      <c r="Q209" s="82"/>
      <c r="R209" s="82"/>
      <c r="S209" s="82"/>
      <c r="T209" s="82"/>
      <c r="U209" s="82"/>
      <c r="V209" s="82"/>
      <c r="W209" s="82"/>
      <c r="X209" s="82"/>
      <c r="Y209" s="82"/>
      <c r="Z209" s="82"/>
      <c r="AA209" s="82"/>
      <c r="AB209" s="82"/>
      <c r="AC209" s="82"/>
      <c r="AD209" s="82"/>
      <c r="AE209" s="82"/>
      <c r="AF209" s="82"/>
      <c r="AG209" s="82"/>
      <c r="AH209" s="82"/>
    </row>
    <row r="210" spans="2:34" ht="20.100000000000001" customHeight="1">
      <c r="B210" s="1042" t="s">
        <v>4112</v>
      </c>
      <c r="C210" s="82"/>
      <c r="D210" s="401">
        <f>INDEX('DEFAULT DATA'!$U$9:$Y$40,'LOCAL DATASET'!$C$10,5)</f>
        <v>0.5</v>
      </c>
      <c r="E210" s="1448"/>
      <c r="F210" s="1448"/>
      <c r="H210" s="445">
        <f t="shared" ref="H210:N210" si="43">H180</f>
        <v>2.2999999999999998</v>
      </c>
      <c r="I210" s="445">
        <f t="shared" si="43"/>
        <v>2.2999999999999998</v>
      </c>
      <c r="J210" s="445">
        <f t="shared" si="43"/>
        <v>2.2999999999999998</v>
      </c>
      <c r="K210" s="445">
        <f t="shared" si="43"/>
        <v>2.2999999999999998</v>
      </c>
      <c r="L210" s="445">
        <f t="shared" si="43"/>
        <v>2.2999999999999998</v>
      </c>
      <c r="M210" s="445">
        <f t="shared" si="43"/>
        <v>2.2999999999999998</v>
      </c>
      <c r="N210" s="445">
        <f t="shared" si="43"/>
        <v>0.7</v>
      </c>
      <c r="O210" s="82"/>
      <c r="P210" s="82"/>
      <c r="Q210" s="82"/>
      <c r="R210" s="82"/>
      <c r="S210" s="82"/>
      <c r="T210" s="82"/>
      <c r="U210" s="82"/>
      <c r="V210" s="82"/>
      <c r="W210" s="82"/>
      <c r="X210" s="82"/>
      <c r="Y210" s="82"/>
      <c r="Z210" s="82"/>
      <c r="AA210" s="82"/>
      <c r="AB210" s="82"/>
      <c r="AC210" s="82"/>
      <c r="AD210" s="82"/>
      <c r="AE210" s="82"/>
      <c r="AF210" s="82"/>
      <c r="AG210" s="82"/>
      <c r="AH210" s="82"/>
    </row>
    <row r="211" spans="2:34" ht="20.100000000000001" customHeight="1">
      <c r="B211" s="82"/>
      <c r="C211" s="82"/>
      <c r="D211" s="82"/>
      <c r="E211" s="82"/>
      <c r="F211" s="82"/>
      <c r="G211" s="82"/>
      <c r="H211" s="82"/>
      <c r="I211" s="82"/>
      <c r="J211" s="82"/>
      <c r="K211" s="82"/>
      <c r="L211" s="82"/>
      <c r="M211" s="82"/>
      <c r="N211" s="82"/>
      <c r="O211" s="82"/>
      <c r="P211" s="82"/>
      <c r="Q211" s="82"/>
      <c r="R211" s="82"/>
      <c r="S211" s="82"/>
      <c r="T211" s="82"/>
      <c r="U211" s="82"/>
      <c r="V211" s="82"/>
      <c r="W211" s="82"/>
      <c r="X211" s="82"/>
      <c r="Y211" s="82"/>
      <c r="Z211" s="82"/>
      <c r="AA211" s="82"/>
      <c r="AB211" s="82"/>
      <c r="AC211" s="82"/>
      <c r="AD211" s="82"/>
      <c r="AE211" s="82"/>
      <c r="AF211" s="82"/>
      <c r="AG211" s="82"/>
      <c r="AH211" s="82"/>
    </row>
    <row r="212" spans="2:34" ht="20.100000000000001" customHeight="1">
      <c r="B212" s="1043"/>
      <c r="C212" s="82" t="s">
        <v>4086</v>
      </c>
      <c r="D212" s="1318"/>
      <c r="E212" s="82"/>
      <c r="F212" s="82"/>
      <c r="G212" s="82"/>
      <c r="H212" s="82"/>
      <c r="I212" s="82"/>
      <c r="J212" s="82"/>
      <c r="K212" s="82"/>
      <c r="L212" s="82"/>
      <c r="M212" s="82"/>
      <c r="N212" s="82"/>
      <c r="O212" s="82"/>
      <c r="P212" s="82"/>
      <c r="Q212" s="82"/>
      <c r="R212" s="82"/>
      <c r="S212" s="82"/>
      <c r="T212" s="82"/>
      <c r="U212" s="82"/>
      <c r="V212" s="82"/>
      <c r="W212" s="82"/>
      <c r="X212" s="82"/>
      <c r="Y212" s="82"/>
      <c r="Z212" s="82"/>
      <c r="AA212" s="82"/>
      <c r="AB212" s="82"/>
      <c r="AC212" s="82"/>
      <c r="AD212" s="82"/>
      <c r="AE212" s="82"/>
      <c r="AF212" s="82"/>
      <c r="AG212" s="82"/>
      <c r="AH212" s="82"/>
    </row>
    <row r="213" spans="2:34" ht="20.100000000000001" customHeight="1">
      <c r="B213" s="735" t="s">
        <v>4087</v>
      </c>
      <c r="C213" s="82" t="s">
        <v>4084</v>
      </c>
      <c r="D213" s="1318" t="s">
        <v>4085</v>
      </c>
      <c r="E213" s="82"/>
      <c r="F213" s="82"/>
      <c r="G213" s="82"/>
      <c r="H213" s="82"/>
      <c r="I213" s="82"/>
      <c r="J213" s="82"/>
      <c r="K213" s="82"/>
      <c r="L213" s="82"/>
      <c r="M213" s="82"/>
      <c r="N213" s="82"/>
      <c r="O213" s="82"/>
      <c r="P213" s="82"/>
      <c r="Q213" s="82"/>
      <c r="R213" s="82"/>
      <c r="S213" s="82"/>
      <c r="T213" s="82"/>
      <c r="U213" s="82"/>
      <c r="V213" s="82"/>
      <c r="W213" s="82"/>
      <c r="X213" s="82"/>
      <c r="Y213" s="82"/>
      <c r="Z213" s="82"/>
      <c r="AA213" s="82"/>
      <c r="AB213" s="82"/>
      <c r="AC213" s="82"/>
      <c r="AD213" s="82"/>
      <c r="AE213" s="82"/>
      <c r="AF213" s="82"/>
      <c r="AG213" s="82"/>
      <c r="AH213" s="82"/>
    </row>
    <row r="214" spans="2:34" ht="20.100000000000001" customHeight="1">
      <c r="B214" s="735" t="s">
        <v>60</v>
      </c>
      <c r="C214" s="1448"/>
      <c r="D214" s="1318">
        <f>100-C214</f>
        <v>100</v>
      </c>
      <c r="E214" s="82"/>
      <c r="F214" s="82"/>
      <c r="G214" s="82"/>
      <c r="H214" s="82"/>
      <c r="I214" s="82"/>
      <c r="J214" s="82"/>
      <c r="K214" s="82"/>
      <c r="L214" s="82"/>
      <c r="M214" s="82"/>
      <c r="N214" s="82"/>
      <c r="O214" s="82"/>
      <c r="P214" s="82"/>
      <c r="Q214" s="82"/>
      <c r="R214" s="82"/>
      <c r="S214" s="82"/>
      <c r="T214" s="82"/>
      <c r="U214" s="82"/>
      <c r="V214" s="82"/>
      <c r="W214" s="82"/>
      <c r="X214" s="82"/>
      <c r="Y214" s="82"/>
      <c r="Z214" s="82"/>
      <c r="AA214" s="82"/>
      <c r="AB214" s="82"/>
      <c r="AC214" s="82"/>
      <c r="AD214" s="82"/>
      <c r="AE214" s="82"/>
      <c r="AF214" s="82"/>
      <c r="AG214" s="82"/>
      <c r="AH214" s="82"/>
    </row>
    <row r="215" spans="2:34" ht="20.100000000000001" customHeight="1">
      <c r="B215" s="735" t="s">
        <v>4083</v>
      </c>
      <c r="C215" s="1448"/>
      <c r="D215" s="1318">
        <f t="shared" ref="D215:D218" si="44">100-C215</f>
        <v>100</v>
      </c>
      <c r="E215" s="82"/>
      <c r="F215" s="82"/>
      <c r="G215" s="82"/>
      <c r="H215" s="82"/>
      <c r="I215" s="82"/>
      <c r="J215" s="82"/>
      <c r="K215" s="82"/>
      <c r="L215" s="82"/>
      <c r="M215" s="82"/>
      <c r="N215" s="82"/>
      <c r="O215" s="82"/>
      <c r="P215" s="82"/>
      <c r="Q215" s="82"/>
      <c r="R215" s="82"/>
      <c r="S215" s="82"/>
      <c r="T215" s="82"/>
      <c r="U215" s="82"/>
      <c r="V215" s="82"/>
      <c r="W215" s="82"/>
      <c r="X215" s="82"/>
      <c r="Y215" s="82"/>
      <c r="Z215" s="82"/>
      <c r="AA215" s="82"/>
      <c r="AB215" s="82"/>
      <c r="AC215" s="82"/>
      <c r="AD215" s="82"/>
      <c r="AE215" s="82"/>
      <c r="AF215" s="82"/>
      <c r="AG215" s="82"/>
      <c r="AH215" s="82"/>
    </row>
    <row r="216" spans="2:34" ht="20.100000000000001" customHeight="1">
      <c r="B216" s="735" t="s">
        <v>62</v>
      </c>
      <c r="C216" s="1448"/>
      <c r="D216" s="1318">
        <f t="shared" si="44"/>
        <v>100</v>
      </c>
      <c r="E216" s="82"/>
      <c r="F216" s="82"/>
      <c r="G216" s="82"/>
      <c r="H216" s="82"/>
      <c r="I216" s="82"/>
      <c r="J216" s="82"/>
      <c r="K216" s="82"/>
      <c r="L216" s="82"/>
      <c r="M216" s="82"/>
      <c r="N216" s="82"/>
      <c r="O216" s="82"/>
      <c r="P216" s="82"/>
      <c r="Q216" s="82"/>
      <c r="R216" s="82"/>
      <c r="S216" s="82"/>
      <c r="T216" s="82"/>
      <c r="U216" s="82"/>
      <c r="V216" s="82"/>
      <c r="W216" s="82"/>
      <c r="X216" s="82"/>
      <c r="Y216" s="82"/>
      <c r="Z216" s="82"/>
      <c r="AA216" s="82"/>
      <c r="AB216" s="82"/>
      <c r="AC216" s="82"/>
      <c r="AD216" s="82"/>
      <c r="AE216" s="82"/>
      <c r="AF216" s="82"/>
      <c r="AG216" s="82"/>
      <c r="AH216" s="82"/>
    </row>
    <row r="217" spans="2:34" ht="20.100000000000001" customHeight="1">
      <c r="B217" s="735" t="s">
        <v>63</v>
      </c>
      <c r="C217" s="1448"/>
      <c r="D217" s="1318">
        <f t="shared" si="44"/>
        <v>100</v>
      </c>
      <c r="E217" s="82"/>
      <c r="F217" s="82"/>
      <c r="G217" s="82"/>
      <c r="H217" s="82"/>
      <c r="I217" s="82"/>
      <c r="J217" s="82"/>
      <c r="K217" s="82"/>
      <c r="L217" s="82"/>
      <c r="M217" s="82"/>
      <c r="N217" s="82"/>
      <c r="O217" s="82"/>
      <c r="P217" s="82"/>
      <c r="Q217" s="82"/>
      <c r="R217" s="82"/>
      <c r="S217" s="82"/>
      <c r="T217" s="82"/>
      <c r="U217" s="82"/>
      <c r="V217" s="82"/>
      <c r="W217" s="82"/>
      <c r="X217" s="82"/>
      <c r="Y217" s="82"/>
      <c r="Z217" s="82"/>
      <c r="AA217" s="82"/>
      <c r="AB217" s="82"/>
      <c r="AC217" s="82"/>
      <c r="AD217" s="82"/>
      <c r="AE217" s="82"/>
      <c r="AF217" s="82"/>
      <c r="AG217" s="82"/>
      <c r="AH217" s="82"/>
    </row>
    <row r="218" spans="2:34" ht="20.100000000000001" customHeight="1">
      <c r="B218" s="735" t="s">
        <v>64</v>
      </c>
      <c r="C218" s="1448"/>
      <c r="D218" s="1318">
        <f t="shared" si="44"/>
        <v>100</v>
      </c>
      <c r="E218" s="82"/>
      <c r="F218" s="82"/>
      <c r="G218" s="82"/>
      <c r="H218" s="82"/>
      <c r="I218" s="82"/>
      <c r="J218" s="82"/>
      <c r="K218" s="82"/>
      <c r="L218" s="82"/>
      <c r="M218" s="82"/>
      <c r="N218" s="82"/>
      <c r="O218" s="82"/>
      <c r="P218" s="82"/>
      <c r="Q218" s="82"/>
      <c r="R218" s="82"/>
      <c r="S218" s="82"/>
      <c r="T218" s="82"/>
      <c r="U218" s="82"/>
      <c r="V218" s="82"/>
      <c r="W218" s="82"/>
      <c r="X218" s="82"/>
      <c r="Y218" s="82"/>
      <c r="Z218" s="82"/>
      <c r="AA218" s="82"/>
      <c r="AB218" s="82"/>
      <c r="AC218" s="82"/>
      <c r="AD218" s="82"/>
      <c r="AE218" s="82"/>
      <c r="AF218" s="82"/>
      <c r="AG218" s="82"/>
      <c r="AH218" s="82"/>
    </row>
    <row r="219" spans="2:34" ht="20.100000000000001" customHeight="1">
      <c r="B219" s="82"/>
      <c r="C219" s="735"/>
      <c r="D219" s="82"/>
      <c r="E219" s="82"/>
      <c r="F219" s="82"/>
      <c r="G219" s="82"/>
      <c r="H219" s="82"/>
      <c r="I219" s="82"/>
      <c r="J219" s="82"/>
      <c r="K219" s="82"/>
      <c r="L219" s="82"/>
      <c r="M219" s="82"/>
      <c r="N219" s="82"/>
      <c r="O219" s="82"/>
      <c r="P219" s="82"/>
      <c r="Q219" s="82"/>
      <c r="R219" s="82"/>
      <c r="S219" s="82"/>
      <c r="T219" s="82"/>
      <c r="U219" s="82"/>
      <c r="V219" s="82"/>
      <c r="W219" s="82"/>
      <c r="X219" s="82"/>
      <c r="Y219" s="82"/>
      <c r="Z219" s="82"/>
      <c r="AA219" s="82"/>
      <c r="AB219" s="82"/>
      <c r="AC219" s="82"/>
      <c r="AD219" s="82"/>
      <c r="AE219" s="82"/>
      <c r="AF219" s="82"/>
      <c r="AG219" s="82"/>
      <c r="AH219" s="82"/>
    </row>
    <row r="220" spans="2:34" ht="20.100000000000001" customHeight="1">
      <c r="B220" s="414" t="s">
        <v>4119</v>
      </c>
      <c r="C220" s="1044"/>
      <c r="D220" s="82"/>
      <c r="E220" s="82"/>
      <c r="F220" s="82"/>
      <c r="G220" s="82"/>
      <c r="H220" s="82"/>
      <c r="I220" s="82"/>
      <c r="J220" s="82"/>
      <c r="K220" s="82"/>
      <c r="L220" s="82"/>
      <c r="M220" s="82"/>
      <c r="N220" s="82"/>
      <c r="O220" s="82"/>
      <c r="P220" s="82"/>
      <c r="Q220" s="82"/>
      <c r="R220" s="82"/>
      <c r="S220" s="82"/>
      <c r="T220" s="82"/>
      <c r="U220" s="82"/>
      <c r="V220" s="82"/>
      <c r="W220" s="82"/>
      <c r="X220" s="82"/>
      <c r="Y220" s="82"/>
      <c r="Z220" s="82"/>
      <c r="AA220" s="82"/>
      <c r="AB220" s="82"/>
      <c r="AC220" s="82"/>
      <c r="AD220" s="82"/>
      <c r="AE220" s="82"/>
      <c r="AF220" s="82"/>
      <c r="AG220" s="82"/>
      <c r="AH220" s="82"/>
    </row>
    <row r="221" spans="2:34" ht="20.100000000000001" customHeight="1">
      <c r="B221" s="82" t="s">
        <v>4102</v>
      </c>
      <c r="C221" s="390">
        <v>175</v>
      </c>
      <c r="D221" s="82" t="s">
        <v>2908</v>
      </c>
      <c r="E221" s="82"/>
      <c r="F221" s="82"/>
      <c r="G221" s="82"/>
      <c r="H221" s="82"/>
      <c r="I221" s="82"/>
      <c r="J221" s="82"/>
      <c r="K221" s="82"/>
      <c r="L221" s="82"/>
      <c r="M221" s="82"/>
      <c r="N221" s="82"/>
      <c r="O221" s="82"/>
      <c r="P221" s="82"/>
      <c r="Q221" s="82"/>
      <c r="R221" s="82"/>
      <c r="S221" s="82"/>
      <c r="T221" s="82"/>
      <c r="U221" s="82"/>
      <c r="V221" s="82"/>
      <c r="W221" s="82"/>
      <c r="X221" s="82"/>
      <c r="Y221" s="82"/>
      <c r="Z221" s="82"/>
      <c r="AA221" s="82"/>
      <c r="AB221" s="82"/>
      <c r="AC221" s="82"/>
      <c r="AD221" s="82"/>
      <c r="AE221" s="82"/>
      <c r="AF221" s="82"/>
      <c r="AG221" s="82"/>
      <c r="AH221" s="82"/>
    </row>
    <row r="222" spans="2:34" ht="20.100000000000001" customHeight="1">
      <c r="B222" s="82" t="s">
        <v>4120</v>
      </c>
      <c r="C222" s="389"/>
      <c r="D222" s="82" t="s">
        <v>4096</v>
      </c>
      <c r="E222" s="82"/>
      <c r="F222" s="82"/>
      <c r="G222" s="82"/>
      <c r="H222" s="82"/>
      <c r="I222" s="82"/>
      <c r="J222" s="82"/>
      <c r="K222" s="82"/>
      <c r="L222" s="82"/>
      <c r="M222" s="82"/>
      <c r="N222" s="82"/>
      <c r="O222" s="82"/>
      <c r="P222" s="82"/>
      <c r="Q222" s="82"/>
      <c r="R222" s="82"/>
      <c r="S222" s="82"/>
      <c r="T222" s="82"/>
      <c r="U222" s="82"/>
      <c r="V222" s="82"/>
      <c r="W222" s="82"/>
      <c r="X222" s="82"/>
      <c r="Y222" s="82"/>
      <c r="Z222" s="82"/>
      <c r="AA222" s="82"/>
      <c r="AB222" s="82"/>
      <c r="AC222" s="82"/>
      <c r="AD222" s="82"/>
      <c r="AE222" s="82"/>
      <c r="AF222" s="82"/>
      <c r="AG222" s="82"/>
      <c r="AH222" s="82"/>
    </row>
    <row r="223" spans="2:34" ht="20.100000000000001" customHeight="1">
      <c r="B223" s="82" t="s">
        <v>2675</v>
      </c>
      <c r="C223" s="389"/>
      <c r="D223" s="82" t="s">
        <v>2676</v>
      </c>
      <c r="E223" s="82"/>
      <c r="F223" s="82"/>
      <c r="G223" s="82"/>
      <c r="H223" s="82"/>
      <c r="I223" s="82"/>
      <c r="J223" s="82"/>
      <c r="K223" s="82"/>
      <c r="L223" s="82"/>
      <c r="M223" s="82"/>
      <c r="N223" s="82"/>
      <c r="O223" s="82"/>
      <c r="P223" s="82"/>
      <c r="Q223" s="82"/>
      <c r="R223" s="82"/>
      <c r="S223" s="82"/>
      <c r="T223" s="82"/>
      <c r="U223" s="82"/>
      <c r="V223" s="82"/>
      <c r="W223" s="82"/>
      <c r="X223" s="82"/>
      <c r="Y223" s="82"/>
      <c r="Z223" s="82"/>
      <c r="AA223" s="82"/>
      <c r="AB223" s="82"/>
      <c r="AC223" s="82"/>
      <c r="AD223" s="82"/>
      <c r="AE223" s="82"/>
      <c r="AF223" s="82"/>
      <c r="AG223" s="82"/>
      <c r="AH223" s="82"/>
    </row>
    <row r="224" spans="2:34" ht="20.100000000000001" customHeight="1">
      <c r="B224" s="82"/>
      <c r="C224" s="82"/>
      <c r="D224" s="1410">
        <v>2021</v>
      </c>
      <c r="E224" s="1410">
        <v>2022</v>
      </c>
      <c r="F224" s="1410">
        <v>2023</v>
      </c>
      <c r="G224" s="1410">
        <v>2024</v>
      </c>
      <c r="H224" s="1410">
        <v>2025</v>
      </c>
      <c r="I224" s="1410">
        <v>2026</v>
      </c>
      <c r="J224" s="1410">
        <v>2027</v>
      </c>
      <c r="K224" s="1410">
        <v>2028</v>
      </c>
      <c r="L224" s="1410">
        <v>2029</v>
      </c>
      <c r="M224" s="1410">
        <v>2030</v>
      </c>
      <c r="N224" s="1410">
        <v>2031</v>
      </c>
      <c r="O224" s="1410">
        <v>2032</v>
      </c>
      <c r="P224" s="1410">
        <v>2033</v>
      </c>
      <c r="Q224" s="1410">
        <v>2034</v>
      </c>
      <c r="R224" s="1410">
        <v>2035</v>
      </c>
      <c r="S224" s="1410">
        <v>2036</v>
      </c>
      <c r="T224" s="1410">
        <v>2037</v>
      </c>
      <c r="U224" s="1410">
        <v>2038</v>
      </c>
      <c r="V224" s="1410">
        <v>2039</v>
      </c>
      <c r="W224" s="1410">
        <v>2040</v>
      </c>
      <c r="X224" s="1410">
        <v>2041</v>
      </c>
      <c r="Y224" s="1410">
        <v>2042</v>
      </c>
      <c r="Z224" s="1410">
        <v>2043</v>
      </c>
      <c r="AA224" s="1410">
        <v>2044</v>
      </c>
      <c r="AB224" s="1410">
        <v>2045</v>
      </c>
      <c r="AC224" s="1410">
        <v>2046</v>
      </c>
      <c r="AD224" s="1410">
        <v>2047</v>
      </c>
      <c r="AE224" s="1410">
        <v>2048</v>
      </c>
      <c r="AF224" s="1410">
        <v>2049</v>
      </c>
      <c r="AG224" s="1410">
        <v>2050</v>
      </c>
      <c r="AH224" s="82"/>
    </row>
    <row r="225" spans="2:44" ht="20.100000000000001" customHeight="1">
      <c r="B225" s="82" t="s">
        <v>4368</v>
      </c>
      <c r="C225" s="82"/>
      <c r="D225" s="389">
        <f>INDEX('DEFAULT DATA'!$R$9:$T$40,'LOCAL DATASET'!$C$10,1)</f>
        <v>2.2999999999999998</v>
      </c>
      <c r="E225" s="389">
        <f>INDEX('DEFAULT DATA'!$R$9:$T$40,'LOCAL DATASET'!$C$10,1)</f>
        <v>2.2999999999999998</v>
      </c>
      <c r="F225" s="389">
        <f>INDEX('DEFAULT DATA'!$R$9:$T$40,'LOCAL DATASET'!$C$10,1)</f>
        <v>2.2999999999999998</v>
      </c>
      <c r="G225" s="389">
        <f>INDEX('DEFAULT DATA'!$R$9:$T$40,'LOCAL DATASET'!$C$10,1)</f>
        <v>2.2999999999999998</v>
      </c>
      <c r="H225" s="389">
        <f>INDEX('DEFAULT DATA'!$R$9:$T$40,'LOCAL DATASET'!$C$10,1)</f>
        <v>2.2999999999999998</v>
      </c>
      <c r="I225" s="389">
        <f>INDEX('DEFAULT DATA'!$R$9:$T$40,'LOCAL DATASET'!$C$10,1)</f>
        <v>2.2999999999999998</v>
      </c>
      <c r="J225" s="389">
        <f>INDEX('DEFAULT DATA'!$R$9:$T$40,'LOCAL DATASET'!$C$10,1)</f>
        <v>2.2999999999999998</v>
      </c>
      <c r="K225" s="389">
        <f>INDEX('DEFAULT DATA'!$R$9:$T$40,'LOCAL DATASET'!$C$10,1)</f>
        <v>2.2999999999999998</v>
      </c>
      <c r="L225" s="389">
        <f>INDEX('DEFAULT DATA'!$R$9:$T$40,'LOCAL DATASET'!$C$10,1)</f>
        <v>2.2999999999999998</v>
      </c>
      <c r="M225" s="389">
        <f>INDEX('DEFAULT DATA'!$R$9:$T$40,'LOCAL DATASET'!$C$10,1)</f>
        <v>2.2999999999999998</v>
      </c>
      <c r="N225" s="389">
        <f>INDEX('DEFAULT DATA'!$R$9:$T$40,'LOCAL DATASET'!$C$10,2)</f>
        <v>0.7</v>
      </c>
      <c r="O225" s="389">
        <f>INDEX('DEFAULT DATA'!$R$9:$T$40,'LOCAL DATASET'!$C$10,2)</f>
        <v>0.7</v>
      </c>
      <c r="P225" s="389">
        <f>INDEX('DEFAULT DATA'!$R$9:$T$40,'LOCAL DATASET'!$C$10,2)</f>
        <v>0.7</v>
      </c>
      <c r="Q225" s="389">
        <f>INDEX('DEFAULT DATA'!$R$9:$T$40,'LOCAL DATASET'!$C$10,2)</f>
        <v>0.7</v>
      </c>
      <c r="R225" s="389">
        <f>INDEX('DEFAULT DATA'!$R$9:$T$40,'LOCAL DATASET'!$C$10,2)</f>
        <v>0.7</v>
      </c>
      <c r="S225" s="389">
        <f>INDEX('DEFAULT DATA'!$R$9:$T$40,'LOCAL DATASET'!$C$10,2)</f>
        <v>0.7</v>
      </c>
      <c r="T225" s="389">
        <f>INDEX('DEFAULT DATA'!$R$9:$T$40,'LOCAL DATASET'!$C$10,2)</f>
        <v>0.7</v>
      </c>
      <c r="U225" s="389">
        <f>INDEX('DEFAULT DATA'!$R$9:$T$40,'LOCAL DATASET'!$C$10,2)</f>
        <v>0.7</v>
      </c>
      <c r="V225" s="389">
        <f>INDEX('DEFAULT DATA'!$R$9:$T$40,'LOCAL DATASET'!$C$10,2)</f>
        <v>0.7</v>
      </c>
      <c r="W225" s="389">
        <f>INDEX('DEFAULT DATA'!$R$9:$T$40,'LOCAL DATASET'!$C$10,2)</f>
        <v>0.7</v>
      </c>
      <c r="X225" s="389">
        <f>INDEX('DEFAULT DATA'!$R$9:$T$40,'LOCAL DATASET'!$C$10,3)</f>
        <v>0.7</v>
      </c>
      <c r="Y225" s="389">
        <f>INDEX('DEFAULT DATA'!$R$9:$T$40,'LOCAL DATASET'!$C$10,3)</f>
        <v>0.7</v>
      </c>
      <c r="Z225" s="389">
        <f>INDEX('DEFAULT DATA'!$R$9:$T$40,'LOCAL DATASET'!$C$10,3)</f>
        <v>0.7</v>
      </c>
      <c r="AA225" s="389">
        <f>INDEX('DEFAULT DATA'!$R$9:$T$40,'LOCAL DATASET'!$C$10,3)</f>
        <v>0.7</v>
      </c>
      <c r="AB225" s="389">
        <f>INDEX('DEFAULT DATA'!$R$9:$T$40,'LOCAL DATASET'!$C$10,3)</f>
        <v>0.7</v>
      </c>
      <c r="AC225" s="389">
        <f>INDEX('DEFAULT DATA'!$R$9:$T$40,'LOCAL DATASET'!$C$10,3)</f>
        <v>0.7</v>
      </c>
      <c r="AD225" s="389">
        <f>INDEX('DEFAULT DATA'!$R$9:$T$40,'LOCAL DATASET'!$C$10,3)</f>
        <v>0.7</v>
      </c>
      <c r="AE225" s="389">
        <f>INDEX('DEFAULT DATA'!$R$9:$T$40,'LOCAL DATASET'!$C$10,3)</f>
        <v>0.7</v>
      </c>
      <c r="AF225" s="389">
        <f>INDEX('DEFAULT DATA'!$R$9:$T$40,'LOCAL DATASET'!$C$10,3)</f>
        <v>0.7</v>
      </c>
      <c r="AG225" s="389">
        <f>INDEX('DEFAULT DATA'!$R$9:$T$40,'LOCAL DATASET'!$C$10,3)</f>
        <v>0.7</v>
      </c>
      <c r="AH225" s="82"/>
    </row>
    <row r="226" spans="2:44" ht="20.100000000000001" customHeight="1">
      <c r="B226" s="82"/>
      <c r="C226" s="82"/>
      <c r="D226" s="1436">
        <f>IF(D224&lt;($C$4+1),$C$221,C221*(100+D225)/100)</f>
        <v>175</v>
      </c>
      <c r="E226" s="1387">
        <f>IF(E224&lt;($C$4+1),$C$221,D226*(100+E225)/100)</f>
        <v>175</v>
      </c>
      <c r="F226" s="1387">
        <f t="shared" ref="F226:AG226" si="45">IF(F224&lt;($C$4+1),$C$221,E226*(100+F225)/100)</f>
        <v>179.02500000000001</v>
      </c>
      <c r="G226" s="1387">
        <f t="shared" si="45"/>
        <v>183.14257499999999</v>
      </c>
      <c r="H226" s="1387">
        <f t="shared" si="45"/>
        <v>187.35485422499997</v>
      </c>
      <c r="I226" s="1387">
        <f t="shared" si="45"/>
        <v>191.66401587217496</v>
      </c>
      <c r="J226" s="1387">
        <f t="shared" si="45"/>
        <v>196.07228823723497</v>
      </c>
      <c r="K226" s="1387">
        <f t="shared" si="45"/>
        <v>200.58195086669136</v>
      </c>
      <c r="L226" s="1387">
        <f t="shared" si="45"/>
        <v>205.19533573662522</v>
      </c>
      <c r="M226" s="1387">
        <f t="shared" si="45"/>
        <v>209.9148284585676</v>
      </c>
      <c r="N226" s="1387">
        <f t="shared" si="45"/>
        <v>211.3842322577776</v>
      </c>
      <c r="O226" s="1387">
        <f t="shared" si="45"/>
        <v>212.86392188358204</v>
      </c>
      <c r="P226" s="1387">
        <f t="shared" si="45"/>
        <v>214.35396933676711</v>
      </c>
      <c r="Q226" s="1387">
        <f t="shared" si="45"/>
        <v>215.85444712212447</v>
      </c>
      <c r="R226" s="1387">
        <f t="shared" si="45"/>
        <v>217.36542825197935</v>
      </c>
      <c r="S226" s="1387">
        <f t="shared" si="45"/>
        <v>218.88698624974322</v>
      </c>
      <c r="T226" s="1387">
        <f t="shared" si="45"/>
        <v>220.41919515349142</v>
      </c>
      <c r="U226" s="1387">
        <f t="shared" si="45"/>
        <v>221.96212951956585</v>
      </c>
      <c r="V226" s="1387">
        <f t="shared" si="45"/>
        <v>223.51586442620282</v>
      </c>
      <c r="W226" s="1387">
        <f t="shared" si="45"/>
        <v>225.08047547718627</v>
      </c>
      <c r="X226" s="1387">
        <f t="shared" si="45"/>
        <v>226.65603880552658</v>
      </c>
      <c r="Y226" s="1387">
        <f t="shared" si="45"/>
        <v>228.24263107716527</v>
      </c>
      <c r="Z226" s="1387">
        <f t="shared" si="45"/>
        <v>229.84032949470543</v>
      </c>
      <c r="AA226" s="1387">
        <f t="shared" si="45"/>
        <v>231.44921180116839</v>
      </c>
      <c r="AB226" s="1387">
        <f t="shared" si="45"/>
        <v>233.06935628377659</v>
      </c>
      <c r="AC226" s="1387">
        <f t="shared" si="45"/>
        <v>234.700841777763</v>
      </c>
      <c r="AD226" s="1387">
        <f t="shared" si="45"/>
        <v>236.34374767020734</v>
      </c>
      <c r="AE226" s="1387">
        <f t="shared" si="45"/>
        <v>237.99815390389878</v>
      </c>
      <c r="AF226" s="1387">
        <f t="shared" si="45"/>
        <v>239.66414098122607</v>
      </c>
      <c r="AG226" s="1387">
        <f t="shared" si="45"/>
        <v>241.34178996809467</v>
      </c>
      <c r="AH226" s="82"/>
      <c r="AI226" s="82"/>
      <c r="AJ226" s="82"/>
      <c r="AK226" s="82"/>
    </row>
    <row r="227" spans="2:44" ht="20.100000000000001" customHeight="1">
      <c r="B227" s="82"/>
      <c r="C227" s="82"/>
      <c r="D227" s="82"/>
      <c r="E227" s="82"/>
      <c r="F227" s="82"/>
      <c r="G227" s="82"/>
      <c r="H227" s="82"/>
      <c r="I227" s="82"/>
      <c r="J227" s="82"/>
      <c r="K227" s="82"/>
      <c r="L227" s="82"/>
      <c r="M227" s="82"/>
      <c r="N227" s="82"/>
      <c r="O227" s="82"/>
      <c r="P227" s="82"/>
      <c r="Q227" s="82"/>
      <c r="R227" s="82"/>
      <c r="S227" s="82"/>
      <c r="T227" s="82"/>
      <c r="U227" s="82"/>
      <c r="V227" s="82"/>
      <c r="W227" s="82"/>
      <c r="X227" s="82"/>
      <c r="Y227" s="82"/>
      <c r="Z227" s="82"/>
      <c r="AA227" s="82"/>
      <c r="AB227" s="82"/>
      <c r="AC227" s="82"/>
      <c r="AD227" s="82"/>
      <c r="AE227" s="82"/>
      <c r="AF227" s="82"/>
      <c r="AG227" s="82"/>
      <c r="AH227" s="82"/>
      <c r="AI227" s="82"/>
      <c r="AJ227" s="82"/>
      <c r="AK227" s="82"/>
      <c r="AL227" s="82"/>
      <c r="AM227" s="82"/>
      <c r="AN227" s="82"/>
      <c r="AO227" s="82"/>
      <c r="AP227" s="82"/>
      <c r="AQ227" s="82"/>
      <c r="AR227" s="82"/>
    </row>
    <row r="228" spans="2:44" ht="20.100000000000001" customHeight="1">
      <c r="B228" s="414" t="s">
        <v>4359</v>
      </c>
      <c r="C228" s="125"/>
      <c r="D228" s="82"/>
      <c r="E228" s="82"/>
      <c r="F228" s="82"/>
      <c r="G228" s="82"/>
      <c r="H228" s="82"/>
      <c r="I228" s="82"/>
      <c r="J228" s="82"/>
      <c r="K228" s="82"/>
      <c r="L228" s="82"/>
      <c r="M228" s="82"/>
      <c r="N228" s="82"/>
      <c r="O228" s="82"/>
      <c r="P228" s="82"/>
      <c r="Q228" s="82"/>
      <c r="R228" s="82"/>
      <c r="S228" s="82"/>
      <c r="T228" s="82"/>
      <c r="U228" s="82"/>
      <c r="V228" s="82"/>
      <c r="W228" s="82"/>
      <c r="X228" s="82"/>
      <c r="Y228" s="82"/>
      <c r="Z228" s="82"/>
      <c r="AA228" s="82"/>
      <c r="AB228" s="82"/>
      <c r="AC228" s="82"/>
      <c r="AD228" s="82"/>
      <c r="AE228" s="82"/>
      <c r="AF228" s="82"/>
      <c r="AG228" s="82"/>
      <c r="AH228" s="82"/>
    </row>
    <row r="229" spans="2:44" ht="20.100000000000001" customHeight="1">
      <c r="C229" s="82"/>
      <c r="D229" s="1419">
        <v>2021</v>
      </c>
      <c r="E229" s="1419">
        <v>2022</v>
      </c>
      <c r="F229" s="1419">
        <v>2023</v>
      </c>
      <c r="G229" s="1419">
        <v>2024</v>
      </c>
      <c r="H229" s="1419">
        <v>2025</v>
      </c>
      <c r="I229" s="1419">
        <v>2026</v>
      </c>
      <c r="J229" s="1419">
        <v>2027</v>
      </c>
      <c r="K229" s="1419">
        <v>2028</v>
      </c>
      <c r="L229" s="1419">
        <v>2029</v>
      </c>
      <c r="M229" s="1419">
        <v>2030</v>
      </c>
      <c r="N229" s="1419">
        <v>2031</v>
      </c>
      <c r="O229" s="1419">
        <v>2032</v>
      </c>
      <c r="P229" s="1419">
        <v>2033</v>
      </c>
      <c r="Q229" s="1419">
        <v>2034</v>
      </c>
      <c r="R229" s="1419">
        <v>2035</v>
      </c>
      <c r="S229" s="1419">
        <v>2036</v>
      </c>
      <c r="T229" s="1419">
        <v>2037</v>
      </c>
      <c r="U229" s="1419">
        <v>2038</v>
      </c>
      <c r="V229" s="1419">
        <v>2039</v>
      </c>
      <c r="W229" s="1419">
        <v>2040</v>
      </c>
      <c r="X229" s="1419">
        <v>2041</v>
      </c>
      <c r="Y229" s="1419">
        <v>2042</v>
      </c>
      <c r="Z229" s="1419">
        <v>2043</v>
      </c>
      <c r="AA229" s="1419">
        <v>2044</v>
      </c>
      <c r="AB229" s="1419">
        <v>2045</v>
      </c>
      <c r="AC229" s="1419">
        <v>2046</v>
      </c>
      <c r="AD229" s="1419">
        <v>2047</v>
      </c>
      <c r="AE229" s="1419">
        <v>2048</v>
      </c>
      <c r="AF229" s="1419">
        <v>2049</v>
      </c>
      <c r="AG229" s="1419">
        <v>2050</v>
      </c>
      <c r="AH229" s="82"/>
    </row>
    <row r="230" spans="2:44" ht="20.100000000000001" customHeight="1">
      <c r="B230" s="82" t="s">
        <v>4360</v>
      </c>
      <c r="C230" s="1387">
        <v>1</v>
      </c>
      <c r="D230" s="131"/>
      <c r="E230" s="131"/>
      <c r="F230" s="131"/>
      <c r="G230" s="131"/>
      <c r="H230" s="131"/>
      <c r="I230" s="131"/>
      <c r="J230" s="131"/>
      <c r="K230" s="131"/>
      <c r="L230" s="131"/>
      <c r="M230" s="131"/>
      <c r="N230" s="131"/>
      <c r="O230" s="131"/>
      <c r="P230" s="131"/>
      <c r="Q230" s="131"/>
      <c r="R230" s="131"/>
      <c r="S230" s="131"/>
      <c r="T230" s="131"/>
      <c r="U230" s="131"/>
      <c r="V230" s="131"/>
      <c r="W230" s="131"/>
      <c r="X230" s="131"/>
      <c r="Y230" s="131"/>
      <c r="Z230" s="131"/>
      <c r="AA230" s="131"/>
      <c r="AB230" s="131"/>
      <c r="AC230" s="131"/>
      <c r="AD230" s="131"/>
      <c r="AE230" s="131"/>
      <c r="AF230" s="131"/>
      <c r="AG230" s="131"/>
      <c r="AH230" s="82"/>
    </row>
    <row r="231" spans="2:44" ht="20.100000000000001" customHeight="1">
      <c r="B231" s="82" t="s">
        <v>4367</v>
      </c>
      <c r="C231" s="82"/>
      <c r="D231" s="82"/>
      <c r="E231" s="82"/>
      <c r="F231" s="82"/>
      <c r="G231" s="82"/>
      <c r="H231" s="82"/>
      <c r="I231" s="82"/>
      <c r="J231" s="82"/>
      <c r="K231" s="82"/>
      <c r="L231" s="82"/>
      <c r="M231" s="82"/>
      <c r="N231" s="82"/>
      <c r="O231" s="82"/>
      <c r="P231" s="82"/>
      <c r="Q231" s="82"/>
      <c r="R231" s="82"/>
      <c r="S231" s="82"/>
      <c r="T231" s="82"/>
      <c r="U231" s="82"/>
      <c r="V231" s="82"/>
      <c r="W231" s="82"/>
      <c r="X231" s="82"/>
      <c r="Y231" s="82"/>
      <c r="Z231" s="82"/>
      <c r="AA231" s="82"/>
      <c r="AB231" s="82"/>
      <c r="AC231" s="82"/>
      <c r="AD231" s="82"/>
      <c r="AE231" s="82"/>
      <c r="AF231" s="82"/>
      <c r="AG231" s="82"/>
      <c r="AH231" s="82"/>
    </row>
    <row r="232" spans="2:44" ht="20.100000000000001" customHeight="1">
      <c r="B232" s="82"/>
      <c r="C232" s="82"/>
      <c r="D232" s="82"/>
      <c r="E232" s="82"/>
      <c r="F232" s="82"/>
      <c r="G232" s="82"/>
      <c r="H232" s="82"/>
      <c r="I232" s="82"/>
      <c r="J232" s="82"/>
      <c r="K232" s="82"/>
      <c r="L232" s="82"/>
      <c r="M232" s="82"/>
      <c r="N232" s="82"/>
      <c r="O232" s="82"/>
      <c r="P232" s="82"/>
      <c r="Q232" s="82"/>
      <c r="R232" s="82"/>
      <c r="S232" s="82"/>
      <c r="T232" s="82"/>
      <c r="U232" s="82"/>
      <c r="V232" s="82"/>
      <c r="W232" s="82"/>
      <c r="X232" s="82"/>
      <c r="Y232" s="82"/>
      <c r="Z232" s="82"/>
      <c r="AA232" s="82"/>
      <c r="AB232" s="82"/>
      <c r="AC232" s="82"/>
      <c r="AD232" s="82"/>
      <c r="AE232" s="82"/>
      <c r="AF232" s="82"/>
      <c r="AG232" s="82"/>
      <c r="AH232" s="82"/>
    </row>
    <row r="233" spans="2:44" ht="20.100000000000001" customHeight="1">
      <c r="B233" s="82"/>
      <c r="C233" s="82"/>
      <c r="D233" s="82"/>
      <c r="E233" s="82"/>
      <c r="F233" s="82"/>
      <c r="G233" s="82"/>
      <c r="H233" s="82"/>
      <c r="I233" s="82"/>
      <c r="J233" s="82"/>
      <c r="K233" s="82"/>
      <c r="L233" s="82"/>
      <c r="M233" s="82"/>
      <c r="N233" s="82"/>
      <c r="O233" s="82"/>
      <c r="P233" s="82"/>
      <c r="Q233" s="82"/>
      <c r="R233" s="82"/>
      <c r="S233" s="82"/>
      <c r="T233" s="82"/>
      <c r="U233" s="82"/>
      <c r="V233" s="82"/>
      <c r="W233" s="82"/>
      <c r="X233" s="82"/>
      <c r="Y233" s="82"/>
      <c r="Z233" s="82"/>
      <c r="AA233" s="82"/>
      <c r="AB233" s="82"/>
      <c r="AC233" s="82"/>
      <c r="AD233" s="82"/>
      <c r="AE233" s="82"/>
      <c r="AF233" s="82"/>
      <c r="AG233" s="82"/>
      <c r="AH233" s="82"/>
    </row>
    <row r="234" spans="2:44" ht="20.100000000000001" customHeight="1" thickBot="1">
      <c r="B234" s="246" t="s">
        <v>485</v>
      </c>
      <c r="C234" s="82"/>
      <c r="D234" s="82"/>
      <c r="E234" s="82"/>
      <c r="F234" s="82"/>
      <c r="G234" s="82"/>
      <c r="H234" s="82"/>
      <c r="I234" s="82"/>
      <c r="J234" s="82"/>
      <c r="K234" s="82"/>
      <c r="L234" s="82"/>
      <c r="M234" s="82"/>
      <c r="N234" s="82"/>
      <c r="O234" s="82"/>
      <c r="P234" s="82"/>
      <c r="Q234" s="82"/>
      <c r="R234" s="82"/>
      <c r="S234" s="82"/>
      <c r="T234" s="82"/>
      <c r="U234" s="82"/>
      <c r="V234" s="82"/>
      <c r="W234" s="82"/>
      <c r="X234" s="82"/>
      <c r="Y234" s="82"/>
      <c r="Z234" s="82"/>
      <c r="AA234" s="82"/>
      <c r="AB234" s="82"/>
      <c r="AC234" s="82"/>
      <c r="AD234" s="82"/>
      <c r="AE234" s="82"/>
      <c r="AF234" s="82"/>
      <c r="AG234" s="82"/>
      <c r="AH234" s="82"/>
    </row>
    <row r="235" spans="2:44" ht="20.100000000000001" customHeight="1">
      <c r="B235" s="1405" t="s">
        <v>487</v>
      </c>
      <c r="C235" s="1407">
        <v>2020</v>
      </c>
      <c r="D235" s="1407">
        <f>C235+1</f>
        <v>2021</v>
      </c>
      <c r="E235" s="1407">
        <f t="shared" ref="E235:AG235" si="46">D235+1</f>
        <v>2022</v>
      </c>
      <c r="F235" s="1407">
        <f t="shared" si="46"/>
        <v>2023</v>
      </c>
      <c r="G235" s="1407">
        <f t="shared" si="46"/>
        <v>2024</v>
      </c>
      <c r="H235" s="1407">
        <f t="shared" si="46"/>
        <v>2025</v>
      </c>
      <c r="I235" s="1407">
        <f t="shared" si="46"/>
        <v>2026</v>
      </c>
      <c r="J235" s="1407">
        <f t="shared" si="46"/>
        <v>2027</v>
      </c>
      <c r="K235" s="1407">
        <f>J235+1</f>
        <v>2028</v>
      </c>
      <c r="L235" s="1407">
        <f t="shared" si="46"/>
        <v>2029</v>
      </c>
      <c r="M235" s="1407">
        <f t="shared" si="46"/>
        <v>2030</v>
      </c>
      <c r="N235" s="1407">
        <f t="shared" si="46"/>
        <v>2031</v>
      </c>
      <c r="O235" s="1407">
        <f t="shared" si="46"/>
        <v>2032</v>
      </c>
      <c r="P235" s="1407">
        <f t="shared" si="46"/>
        <v>2033</v>
      </c>
      <c r="Q235" s="1407">
        <f t="shared" si="46"/>
        <v>2034</v>
      </c>
      <c r="R235" s="1407">
        <f t="shared" si="46"/>
        <v>2035</v>
      </c>
      <c r="S235" s="1407">
        <f t="shared" si="46"/>
        <v>2036</v>
      </c>
      <c r="T235" s="1407">
        <f t="shared" si="46"/>
        <v>2037</v>
      </c>
      <c r="U235" s="1407">
        <f t="shared" si="46"/>
        <v>2038</v>
      </c>
      <c r="V235" s="1407">
        <f t="shared" si="46"/>
        <v>2039</v>
      </c>
      <c r="W235" s="1407">
        <f t="shared" si="46"/>
        <v>2040</v>
      </c>
      <c r="X235" s="1407">
        <f t="shared" si="46"/>
        <v>2041</v>
      </c>
      <c r="Y235" s="1407">
        <f t="shared" si="46"/>
        <v>2042</v>
      </c>
      <c r="Z235" s="1407">
        <f t="shared" si="46"/>
        <v>2043</v>
      </c>
      <c r="AA235" s="1407">
        <f t="shared" si="46"/>
        <v>2044</v>
      </c>
      <c r="AB235" s="1407">
        <f t="shared" si="46"/>
        <v>2045</v>
      </c>
      <c r="AC235" s="1407">
        <f t="shared" si="46"/>
        <v>2046</v>
      </c>
      <c r="AD235" s="1407">
        <f t="shared" si="46"/>
        <v>2047</v>
      </c>
      <c r="AE235" s="1407">
        <f t="shared" si="46"/>
        <v>2048</v>
      </c>
      <c r="AF235" s="1407">
        <f t="shared" si="46"/>
        <v>2049</v>
      </c>
      <c r="AG235" s="1408">
        <f t="shared" si="46"/>
        <v>2050</v>
      </c>
      <c r="AH235" s="82"/>
    </row>
    <row r="236" spans="2:44" ht="20.100000000000001" customHeight="1">
      <c r="B236" s="866" t="s">
        <v>483</v>
      </c>
      <c r="C236" s="133">
        <v>-548995.30470780982</v>
      </c>
      <c r="D236" s="133">
        <f>C236*(100+D243)/100</f>
        <v>-548687.54905057605</v>
      </c>
      <c r="E236" s="133">
        <f t="shared" ref="E236:L236" si="47">D236*(100+E243)/100</f>
        <v>-548379.96591493534</v>
      </c>
      <c r="F236" s="133">
        <f t="shared" si="47"/>
        <v>-548072.55520417576</v>
      </c>
      <c r="G236" s="133">
        <f t="shared" si="47"/>
        <v>-547765.31682163919</v>
      </c>
      <c r="H236" s="133">
        <f t="shared" si="47"/>
        <v>-547458.25067072199</v>
      </c>
      <c r="I236" s="133">
        <f t="shared" si="47"/>
        <v>-547151.35665487451</v>
      </c>
      <c r="J236" s="133">
        <f t="shared" si="47"/>
        <v>-546844.6346776014</v>
      </c>
      <c r="K236" s="133">
        <f t="shared" si="47"/>
        <v>-546538.08464246127</v>
      </c>
      <c r="L236" s="133">
        <f t="shared" si="47"/>
        <v>-546231.7064530669</v>
      </c>
      <c r="M236" s="133">
        <v>-545925.50001308473</v>
      </c>
      <c r="N236" s="133">
        <f>M236*(100+N243)/100</f>
        <v>-558574.37349419261</v>
      </c>
      <c r="O236" s="133">
        <f t="shared" ref="O236:V236" si="48">N236*(100+O243)/100</f>
        <v>-571516.3162683401</v>
      </c>
      <c r="P236" s="133">
        <f t="shared" si="48"/>
        <v>-584758.11863275396</v>
      </c>
      <c r="Q236" s="133">
        <f t="shared" si="48"/>
        <v>-598306.7282131071</v>
      </c>
      <c r="R236" s="133">
        <f t="shared" si="48"/>
        <v>-612169.25360875507</v>
      </c>
      <c r="S236" s="133">
        <f t="shared" si="48"/>
        <v>-626352.96812243108</v>
      </c>
      <c r="T236" s="133">
        <f t="shared" si="48"/>
        <v>-640865.31357635686</v>
      </c>
      <c r="U236" s="133">
        <f t="shared" si="48"/>
        <v>-655713.90421677136</v>
      </c>
      <c r="V236" s="133">
        <f t="shared" si="48"/>
        <v>-670906.53070892545</v>
      </c>
      <c r="W236" s="133">
        <v>-686451.16422463895</v>
      </c>
      <c r="X236" s="133">
        <f>W236*(100+X243)/100</f>
        <v>-702355.96062456642</v>
      </c>
      <c r="Y236" s="133">
        <f t="shared" ref="Y236:AG236" si="49">X236*(100+Y243)/100</f>
        <v>-718629.26473736065</v>
      </c>
      <c r="Z236" s="133">
        <f t="shared" si="49"/>
        <v>-735279.61473798635</v>
      </c>
      <c r="AA236" s="133">
        <f t="shared" si="49"/>
        <v>-752315.74662747607</v>
      </c>
      <c r="AB236" s="133">
        <f t="shared" si="49"/>
        <v>-769746.59881648002</v>
      </c>
      <c r="AC236" s="133">
        <f t="shared" si="49"/>
        <v>-787581.31681501539</v>
      </c>
      <c r="AD236" s="133">
        <f t="shared" si="49"/>
        <v>-805829.25803087489</v>
      </c>
      <c r="AE236" s="133">
        <f t="shared" si="49"/>
        <v>-824499.9966792129</v>
      </c>
      <c r="AF236" s="133">
        <f t="shared" si="49"/>
        <v>-843603.32880588458</v>
      </c>
      <c r="AG236" s="1391">
        <f t="shared" si="49"/>
        <v>-863149.27742717322</v>
      </c>
      <c r="AH236" s="82"/>
    </row>
    <row r="237" spans="2:44" ht="20.100000000000001" customHeight="1">
      <c r="B237" s="866" t="s">
        <v>189</v>
      </c>
      <c r="C237" s="133">
        <v>163008.86814203212</v>
      </c>
      <c r="D237" s="133">
        <f t="shared" ref="D237:L237" si="50">C237*(100+D244)/100</f>
        <v>164954.40576199477</v>
      </c>
      <c r="E237" s="133">
        <f t="shared" si="50"/>
        <v>166923.16369305973</v>
      </c>
      <c r="F237" s="133">
        <f t="shared" si="50"/>
        <v>168915.41907345454</v>
      </c>
      <c r="G237" s="133">
        <f t="shared" si="50"/>
        <v>170931.45234909709</v>
      </c>
      <c r="H237" s="133">
        <f t="shared" si="50"/>
        <v>172971.5473130733</v>
      </c>
      <c r="I237" s="133">
        <f t="shared" si="50"/>
        <v>175035.99114558625</v>
      </c>
      <c r="J237" s="133">
        <f t="shared" si="50"/>
        <v>177125.07445438189</v>
      </c>
      <c r="K237" s="133">
        <f t="shared" si="50"/>
        <v>179239.09131565734</v>
      </c>
      <c r="L237" s="133">
        <f t="shared" si="50"/>
        <v>181378.33931545753</v>
      </c>
      <c r="M237" s="133">
        <v>183543.11959156572</v>
      </c>
      <c r="N237" s="133">
        <f t="shared" ref="N237:V237" si="51">M237*(100+N244)/100</f>
        <v>183854.58326840372</v>
      </c>
      <c r="O237" s="133">
        <f t="shared" si="51"/>
        <v>184166.57548383367</v>
      </c>
      <c r="P237" s="133">
        <f t="shared" si="51"/>
        <v>184479.09713475965</v>
      </c>
      <c r="Q237" s="133">
        <f t="shared" si="51"/>
        <v>184792.14911960773</v>
      </c>
      <c r="R237" s="133">
        <f t="shared" si="51"/>
        <v>185105.73233832858</v>
      </c>
      <c r="S237" s="133">
        <f t="shared" si="51"/>
        <v>185419.84769240007</v>
      </c>
      <c r="T237" s="133">
        <f t="shared" si="51"/>
        <v>185734.49608482976</v>
      </c>
      <c r="U237" s="133">
        <f t="shared" si="51"/>
        <v>186049.67842015767</v>
      </c>
      <c r="V237" s="133">
        <f t="shared" si="51"/>
        <v>186365.39560445867</v>
      </c>
      <c r="W237" s="133">
        <v>186681.64854534509</v>
      </c>
      <c r="X237" s="133">
        <f t="shared" ref="X237:AG237" si="52">W237*(100+X244)/100</f>
        <v>186998.43815196995</v>
      </c>
      <c r="Y237" s="133">
        <f t="shared" si="52"/>
        <v>187315.76533502855</v>
      </c>
      <c r="Z237" s="133">
        <f t="shared" si="52"/>
        <v>187633.63100676172</v>
      </c>
      <c r="AA237" s="133">
        <f t="shared" si="52"/>
        <v>187952.03608095832</v>
      </c>
      <c r="AB237" s="133">
        <f t="shared" si="52"/>
        <v>188270.98147295797</v>
      </c>
      <c r="AC237" s="133">
        <f t="shared" si="52"/>
        <v>188590.46809965343</v>
      </c>
      <c r="AD237" s="133">
        <f t="shared" si="52"/>
        <v>188910.49687949344</v>
      </c>
      <c r="AE237" s="133">
        <f t="shared" si="52"/>
        <v>189231.06873248532</v>
      </c>
      <c r="AF237" s="133">
        <f t="shared" si="52"/>
        <v>189552.18458019765</v>
      </c>
      <c r="AG237" s="1391">
        <f t="shared" si="52"/>
        <v>189873.8453457627</v>
      </c>
      <c r="AH237" s="82"/>
    </row>
    <row r="238" spans="2:44" ht="20.100000000000001" customHeight="1">
      <c r="B238" s="866" t="s">
        <v>190</v>
      </c>
      <c r="C238" s="133">
        <v>17139.667854325202</v>
      </c>
      <c r="D238" s="133">
        <f t="shared" ref="D238:L238" si="53">C238*(100+D245)/100</f>
        <v>17055.501844629558</v>
      </c>
      <c r="E238" s="133">
        <f t="shared" si="53"/>
        <v>16971.749140328644</v>
      </c>
      <c r="F238" s="133">
        <f t="shared" si="53"/>
        <v>16888.407711846034</v>
      </c>
      <c r="G238" s="133">
        <f t="shared" si="53"/>
        <v>16805.475539571729</v>
      </c>
      <c r="H238" s="133">
        <f t="shared" si="53"/>
        <v>16722.950613813231</v>
      </c>
      <c r="I238" s="133">
        <f t="shared" si="53"/>
        <v>16640.830934746824</v>
      </c>
      <c r="J238" s="133">
        <f t="shared" si="53"/>
        <v>16559.114512369124</v>
      </c>
      <c r="K238" s="133">
        <f t="shared" si="53"/>
        <v>16477.799366448857</v>
      </c>
      <c r="L238" s="133">
        <f t="shared" si="53"/>
        <v>16396.883526478861</v>
      </c>
      <c r="M238" s="133">
        <v>16316.365031628355</v>
      </c>
      <c r="N238" s="133">
        <f t="shared" ref="N238:V238" si="54">M238*(100+N245)/100</f>
        <v>16323.834197677026</v>
      </c>
      <c r="O238" s="133">
        <f t="shared" si="54"/>
        <v>16331.306782896656</v>
      </c>
      <c r="P238" s="133">
        <f t="shared" si="54"/>
        <v>16338.782788852444</v>
      </c>
      <c r="Q238" s="133">
        <f t="shared" si="54"/>
        <v>16346.262217110305</v>
      </c>
      <c r="R238" s="133">
        <f t="shared" si="54"/>
        <v>16353.745069236869</v>
      </c>
      <c r="S238" s="133">
        <f t="shared" si="54"/>
        <v>16361.23134679949</v>
      </c>
      <c r="T238" s="133">
        <f t="shared" si="54"/>
        <v>16368.721051366228</v>
      </c>
      <c r="U238" s="133">
        <f t="shared" si="54"/>
        <v>16376.214184505874</v>
      </c>
      <c r="V238" s="133">
        <f t="shared" si="54"/>
        <v>16383.710747787929</v>
      </c>
      <c r="W238" s="133">
        <v>16391.210742782612</v>
      </c>
      <c r="X238" s="133">
        <f t="shared" ref="X238:AG238" si="55">W238*(100+X245)/100</f>
        <v>16398.714171060867</v>
      </c>
      <c r="Y238" s="133">
        <f t="shared" si="55"/>
        <v>16406.22103419435</v>
      </c>
      <c r="Z238" s="133">
        <f t="shared" si="55"/>
        <v>16413.731333755437</v>
      </c>
      <c r="AA238" s="133">
        <f t="shared" si="55"/>
        <v>16421.245071317233</v>
      </c>
      <c r="AB238" s="133">
        <f t="shared" si="55"/>
        <v>16428.762248453553</v>
      </c>
      <c r="AC238" s="133">
        <f t="shared" si="55"/>
        <v>16436.282866738937</v>
      </c>
      <c r="AD238" s="133">
        <f t="shared" si="55"/>
        <v>16443.806927748643</v>
      </c>
      <c r="AE238" s="133">
        <f t="shared" si="55"/>
        <v>16451.334433058655</v>
      </c>
      <c r="AF238" s="133">
        <f t="shared" si="55"/>
        <v>16458.865384245673</v>
      </c>
      <c r="AG238" s="1391">
        <f t="shared" si="55"/>
        <v>16466.399782887122</v>
      </c>
      <c r="AH238" s="82"/>
    </row>
    <row r="239" spans="2:44" ht="20.100000000000001" customHeight="1">
      <c r="B239" s="866" t="s">
        <v>484</v>
      </c>
      <c r="C239" s="133">
        <v>24937.229909639544</v>
      </c>
      <c r="D239" s="133">
        <f t="shared" ref="D239:L239" si="56">C239*(100+D246)/100</f>
        <v>24794.376777075602</v>
      </c>
      <c r="E239" s="133">
        <f t="shared" si="56"/>
        <v>24652.341979890418</v>
      </c>
      <c r="F239" s="133">
        <f t="shared" si="56"/>
        <v>24511.120830242853</v>
      </c>
      <c r="G239" s="133">
        <f t="shared" si="56"/>
        <v>24370.708667146104</v>
      </c>
      <c r="H239" s="133">
        <f t="shared" si="56"/>
        <v>24231.100856313864</v>
      </c>
      <c r="I239" s="133">
        <f t="shared" si="56"/>
        <v>24092.292790007381</v>
      </c>
      <c r="J239" s="133">
        <f t="shared" si="56"/>
        <v>23954.279886883371</v>
      </c>
      <c r="K239" s="133">
        <f t="shared" si="56"/>
        <v>23817.057591842815</v>
      </c>
      <c r="L239" s="133">
        <f t="shared" si="56"/>
        <v>23680.621375880619</v>
      </c>
      <c r="M239" s="133">
        <v>23544.966735936116</v>
      </c>
      <c r="N239" s="133">
        <f t="shared" ref="N239:V239" si="57">M239*(100+N246)/100</f>
        <v>23469.79144915142</v>
      </c>
      <c r="O239" s="133">
        <f t="shared" si="57"/>
        <v>23394.856184950178</v>
      </c>
      <c r="P239" s="133">
        <f t="shared" si="57"/>
        <v>23320.16017697893</v>
      </c>
      <c r="Q239" s="133">
        <f t="shared" si="57"/>
        <v>23245.702661331066</v>
      </c>
      <c r="R239" s="133">
        <f t="shared" si="57"/>
        <v>23171.482876539012</v>
      </c>
      <c r="S239" s="133">
        <f t="shared" si="57"/>
        <v>23097.500063566429</v>
      </c>
      <c r="T239" s="133">
        <f t="shared" si="57"/>
        <v>23023.753465800466</v>
      </c>
      <c r="U239" s="133">
        <f t="shared" si="57"/>
        <v>22950.242329044013</v>
      </c>
      <c r="V239" s="133">
        <f t="shared" si="57"/>
        <v>22876.965901507981</v>
      </c>
      <c r="W239" s="133">
        <v>22803.923433803655</v>
      </c>
      <c r="X239" s="133">
        <f t="shared" ref="X239:AG239" si="58">W239*(100+X246)/100</f>
        <v>22731.114178934931</v>
      </c>
      <c r="Y239" s="133">
        <f t="shared" si="58"/>
        <v>22658.537392290807</v>
      </c>
      <c r="Z239" s="133">
        <f t="shared" si="58"/>
        <v>22586.192331637678</v>
      </c>
      <c r="AA239" s="133">
        <f t="shared" si="58"/>
        <v>22514.078257111782</v>
      </c>
      <c r="AB239" s="133">
        <f t="shared" si="58"/>
        <v>22442.19443121161</v>
      </c>
      <c r="AC239" s="133">
        <f t="shared" si="58"/>
        <v>22370.540118790384</v>
      </c>
      <c r="AD239" s="133">
        <f t="shared" si="58"/>
        <v>22299.114587048531</v>
      </c>
      <c r="AE239" s="133">
        <f t="shared" si="58"/>
        <v>22227.917105526183</v>
      </c>
      <c r="AF239" s="133">
        <f t="shared" si="58"/>
        <v>22156.946946095723</v>
      </c>
      <c r="AG239" s="1391">
        <f t="shared" si="58"/>
        <v>22086.203382954318</v>
      </c>
      <c r="AH239" s="82"/>
    </row>
    <row r="240" spans="2:44" ht="20.100000000000001" customHeight="1">
      <c r="B240" s="866" t="s">
        <v>188</v>
      </c>
      <c r="C240" s="133">
        <v>47000.43170107132</v>
      </c>
      <c r="D240" s="133">
        <f t="shared" ref="D240:L240" si="59">C240*(100+D247)/100</f>
        <v>46952.085215016465</v>
      </c>
      <c r="E240" s="133">
        <f t="shared" si="59"/>
        <v>46903.788460051932</v>
      </c>
      <c r="F240" s="133">
        <f t="shared" si="59"/>
        <v>46855.541385022363</v>
      </c>
      <c r="G240" s="133">
        <f t="shared" si="59"/>
        <v>46807.343938825041</v>
      </c>
      <c r="H240" s="133">
        <f t="shared" si="59"/>
        <v>46759.196070409787</v>
      </c>
      <c r="I240" s="133">
        <f t="shared" si="59"/>
        <v>46711.097728778965</v>
      </c>
      <c r="J240" s="133">
        <f t="shared" si="59"/>
        <v>46663.048862987387</v>
      </c>
      <c r="K240" s="133">
        <f t="shared" si="59"/>
        <v>46615.049422142256</v>
      </c>
      <c r="L240" s="133">
        <f t="shared" si="59"/>
        <v>46567.099355403137</v>
      </c>
      <c r="M240" s="133">
        <v>46519.198611981854</v>
      </c>
      <c r="N240" s="133">
        <f t="shared" ref="N240:V240" si="60">M240*(100+N247)/100</f>
        <v>45939.099590151876</v>
      </c>
      <c r="O240" s="133">
        <f t="shared" si="60"/>
        <v>45366.234460675361</v>
      </c>
      <c r="P240" s="133">
        <f t="shared" si="60"/>
        <v>44800.513016196986</v>
      </c>
      <c r="Q240" s="133">
        <f t="shared" si="60"/>
        <v>44241.846174256105</v>
      </c>
      <c r="R240" s="133">
        <f t="shared" si="60"/>
        <v>43690.14596325918</v>
      </c>
      <c r="S240" s="133">
        <f t="shared" si="60"/>
        <v>43145.325508627204</v>
      </c>
      <c r="T240" s="133">
        <f t="shared" si="60"/>
        <v>42607.299019115751</v>
      </c>
      <c r="U240" s="133">
        <f t="shared" si="60"/>
        <v>42075.981773305757</v>
      </c>
      <c r="V240" s="133">
        <f t="shared" si="60"/>
        <v>41551.290106262641</v>
      </c>
      <c r="W240" s="133">
        <v>41033.14139636192</v>
      </c>
      <c r="X240" s="133">
        <f t="shared" ref="X240:AG240" si="61">W240*(100+X247)/100</f>
        <v>40521.454052278794</v>
      </c>
      <c r="Y240" s="133">
        <f t="shared" si="61"/>
        <v>40016.147500140542</v>
      </c>
      <c r="Z240" s="133">
        <f t="shared" si="61"/>
        <v>39517.142170838575</v>
      </c>
      <c r="AA240" s="133">
        <f t="shared" si="61"/>
        <v>39024.359487498994</v>
      </c>
      <c r="AB240" s="133">
        <f t="shared" si="61"/>
        <v>38537.721853109295</v>
      </c>
      <c r="AC240" s="133">
        <f t="shared" si="61"/>
        <v>38057.152638299434</v>
      </c>
      <c r="AD240" s="133">
        <f t="shared" si="61"/>
        <v>37582.576169275198</v>
      </c>
      <c r="AE240" s="133">
        <f t="shared" si="61"/>
        <v>37113.917715902113</v>
      </c>
      <c r="AF240" s="133">
        <f t="shared" si="61"/>
        <v>36651.103479937876</v>
      </c>
      <c r="AG240" s="1391">
        <f t="shared" si="61"/>
        <v>36194.060583411607</v>
      </c>
      <c r="AH240" s="82"/>
    </row>
    <row r="241" spans="2:34" ht="20.100000000000001" customHeight="1" thickBot="1">
      <c r="B241" s="1406" t="s">
        <v>486</v>
      </c>
      <c r="C241" s="369">
        <v>-111907.03951127999</v>
      </c>
      <c r="D241" s="369">
        <f t="shared" ref="D241:L241" si="62">C241*(100+D248)/100</f>
        <v>-110709.81112090258</v>
      </c>
      <c r="E241" s="369">
        <f t="shared" si="62"/>
        <v>-109525.39118140536</v>
      </c>
      <c r="F241" s="369">
        <f t="shared" si="62"/>
        <v>-108353.64266261488</v>
      </c>
      <c r="G241" s="369">
        <f t="shared" si="62"/>
        <v>-107194.43000036394</v>
      </c>
      <c r="H241" s="369">
        <f t="shared" si="62"/>
        <v>-106047.61908080761</v>
      </c>
      <c r="I241" s="369">
        <f t="shared" si="62"/>
        <v>-104913.077224907</v>
      </c>
      <c r="J241" s="369">
        <f t="shared" si="62"/>
        <v>-103790.67317307919</v>
      </c>
      <c r="K241" s="369">
        <f t="shared" si="62"/>
        <v>-102680.27707001127</v>
      </c>
      <c r="L241" s="369">
        <f t="shared" si="62"/>
        <v>-101581.76044963687</v>
      </c>
      <c r="M241" s="369">
        <v>-100494.99622027352</v>
      </c>
      <c r="N241" s="369">
        <f t="shared" ref="N241:V241" si="63">M241*(100+N248)/100</f>
        <v>-98829.68400002952</v>
      </c>
      <c r="O241" s="369">
        <f t="shared" si="63"/>
        <v>-97191.967828297391</v>
      </c>
      <c r="P241" s="369">
        <f t="shared" si="63"/>
        <v>-95581.390408310646</v>
      </c>
      <c r="Q241" s="369">
        <f t="shared" si="63"/>
        <v>-93997.502021211418</v>
      </c>
      <c r="R241" s="369">
        <f t="shared" si="63"/>
        <v>-92439.860400476144</v>
      </c>
      <c r="S241" s="369">
        <f t="shared" si="63"/>
        <v>-90908.03060842221</v>
      </c>
      <c r="T241" s="369">
        <f t="shared" si="63"/>
        <v>-89401.584914761086</v>
      </c>
      <c r="U241" s="369">
        <f t="shared" si="63"/>
        <v>-87920.102677163886</v>
      </c>
      <c r="V241" s="369">
        <f t="shared" si="63"/>
        <v>-86463.170223806068</v>
      </c>
      <c r="W241" s="369">
        <v>-85030.380737858504</v>
      </c>
      <c r="X241" s="369">
        <f t="shared" ref="X241:AG241" si="64">W241*(100+X248)/100</f>
        <v>-83621.334143892978</v>
      </c>
      <c r="Y241" s="369">
        <f t="shared" si="64"/>
        <v>-82235.636996169327</v>
      </c>
      <c r="Z241" s="369">
        <f t="shared" si="64"/>
        <v>-80872.902368774594</v>
      </c>
      <c r="AA241" s="369">
        <f t="shared" si="64"/>
        <v>-79532.749747582202</v>
      </c>
      <c r="AB241" s="369">
        <f t="shared" si="64"/>
        <v>-78214.804924001655</v>
      </c>
      <c r="AC241" s="369">
        <f t="shared" si="64"/>
        <v>-76918.699890488919</v>
      </c>
      <c r="AD241" s="369">
        <f t="shared" si="64"/>
        <v>-75644.072737788258</v>
      </c>
      <c r="AE241" s="369">
        <f t="shared" si="64"/>
        <v>-74390.567553876914</v>
      </c>
      <c r="AF241" s="369">
        <f t="shared" si="64"/>
        <v>-73157.834324584386</v>
      </c>
      <c r="AG241" s="1392">
        <f t="shared" si="64"/>
        <v>-71945.528835858597</v>
      </c>
      <c r="AH241" s="82"/>
    </row>
    <row r="242" spans="2:34" ht="20.100000000000001" customHeight="1" thickBot="1">
      <c r="B242" s="82" t="s">
        <v>489</v>
      </c>
      <c r="C242" s="82"/>
      <c r="D242" s="82"/>
      <c r="E242" s="82"/>
      <c r="F242" s="82"/>
      <c r="G242" s="82"/>
      <c r="H242" s="82"/>
      <c r="I242" s="82"/>
      <c r="J242" s="82"/>
      <c r="K242" s="82"/>
      <c r="L242" s="82"/>
      <c r="M242" s="82"/>
      <c r="N242" s="82"/>
      <c r="O242" s="82"/>
      <c r="P242" s="82"/>
      <c r="Q242" s="82"/>
      <c r="R242" s="82"/>
      <c r="S242" s="82"/>
      <c r="T242" s="82"/>
      <c r="U242" s="82"/>
      <c r="V242" s="82"/>
      <c r="W242" s="82"/>
      <c r="X242" s="82"/>
      <c r="Y242" s="82"/>
      <c r="Z242" s="82"/>
      <c r="AA242" s="82"/>
      <c r="AB242" s="82"/>
      <c r="AC242" s="82"/>
      <c r="AD242" s="82"/>
      <c r="AE242" s="82"/>
      <c r="AF242" s="82"/>
      <c r="AG242" s="82"/>
      <c r="AH242" s="82"/>
    </row>
    <row r="243" spans="2:34" ht="20.100000000000001" customHeight="1">
      <c r="B243" s="1405" t="str">
        <f>B236</f>
        <v>Forestland</v>
      </c>
      <c r="C243" s="1412">
        <f>((M236/C236)^(1/10)-1)*100</f>
        <v>-5.6057976196632886E-2</v>
      </c>
      <c r="D243" s="1412">
        <f>C243</f>
        <v>-5.6057976196632886E-2</v>
      </c>
      <c r="E243" s="1412">
        <f t="shared" ref="E243:M243" si="65">D243</f>
        <v>-5.6057976196632886E-2</v>
      </c>
      <c r="F243" s="1412">
        <f t="shared" si="65"/>
        <v>-5.6057976196632886E-2</v>
      </c>
      <c r="G243" s="1412">
        <f t="shared" si="65"/>
        <v>-5.6057976196632886E-2</v>
      </c>
      <c r="H243" s="1412">
        <f t="shared" si="65"/>
        <v>-5.6057976196632886E-2</v>
      </c>
      <c r="I243" s="1412">
        <f t="shared" si="65"/>
        <v>-5.6057976196632886E-2</v>
      </c>
      <c r="J243" s="1412">
        <f t="shared" si="65"/>
        <v>-5.6057976196632886E-2</v>
      </c>
      <c r="K243" s="1412">
        <f t="shared" si="65"/>
        <v>-5.6057976196632886E-2</v>
      </c>
      <c r="L243" s="1412">
        <f t="shared" si="65"/>
        <v>-5.6057976196632886E-2</v>
      </c>
      <c r="M243" s="1412">
        <f t="shared" si="65"/>
        <v>-5.6057976196632886E-2</v>
      </c>
      <c r="N243" s="1412">
        <f>((W236/M236)^(1/10)-1)*100</f>
        <v>2.3169596365813172</v>
      </c>
      <c r="O243" s="1412">
        <f>N243</f>
        <v>2.3169596365813172</v>
      </c>
      <c r="P243" s="1412">
        <f t="shared" ref="P243:AG248" si="66">O243</f>
        <v>2.3169596365813172</v>
      </c>
      <c r="Q243" s="1412">
        <f t="shared" si="66"/>
        <v>2.3169596365813172</v>
      </c>
      <c r="R243" s="1412">
        <f t="shared" si="66"/>
        <v>2.3169596365813172</v>
      </c>
      <c r="S243" s="1412">
        <f t="shared" si="66"/>
        <v>2.3169596365813172</v>
      </c>
      <c r="T243" s="1412">
        <f t="shared" si="66"/>
        <v>2.3169596365813172</v>
      </c>
      <c r="U243" s="1412">
        <f t="shared" si="66"/>
        <v>2.3169596365813172</v>
      </c>
      <c r="V243" s="1412">
        <f t="shared" si="66"/>
        <v>2.3169596365813172</v>
      </c>
      <c r="W243" s="1412">
        <f t="shared" si="66"/>
        <v>2.3169596365813172</v>
      </c>
      <c r="X243" s="1412">
        <f t="shared" si="66"/>
        <v>2.3169596365813172</v>
      </c>
      <c r="Y243" s="1412">
        <f t="shared" si="66"/>
        <v>2.3169596365813172</v>
      </c>
      <c r="Z243" s="1412">
        <f t="shared" si="66"/>
        <v>2.3169596365813172</v>
      </c>
      <c r="AA243" s="1412">
        <f t="shared" si="66"/>
        <v>2.3169596365813172</v>
      </c>
      <c r="AB243" s="1412">
        <f t="shared" si="66"/>
        <v>2.3169596365813172</v>
      </c>
      <c r="AC243" s="1412">
        <f t="shared" si="66"/>
        <v>2.3169596365813172</v>
      </c>
      <c r="AD243" s="1412">
        <f t="shared" si="66"/>
        <v>2.3169596365813172</v>
      </c>
      <c r="AE243" s="1412">
        <f t="shared" si="66"/>
        <v>2.3169596365813172</v>
      </c>
      <c r="AF243" s="1412">
        <f t="shared" si="66"/>
        <v>2.3169596365813172</v>
      </c>
      <c r="AG243" s="1413">
        <f t="shared" si="66"/>
        <v>2.3169596365813172</v>
      </c>
      <c r="AH243" s="82"/>
    </row>
    <row r="244" spans="2:34" ht="20.100000000000001" customHeight="1">
      <c r="B244" s="866" t="str">
        <f t="shared" ref="B244:B247" si="67">B237</f>
        <v>Cropland</v>
      </c>
      <c r="C244" s="874">
        <f t="shared" ref="C244:C248" si="68">((M237/C237)^(1/10)-1)*100</f>
        <v>1.1935164277488752</v>
      </c>
      <c r="D244" s="874">
        <f t="shared" ref="D244:M244" si="69">C244</f>
        <v>1.1935164277488752</v>
      </c>
      <c r="E244" s="874">
        <f t="shared" si="69"/>
        <v>1.1935164277488752</v>
      </c>
      <c r="F244" s="874">
        <f t="shared" si="69"/>
        <v>1.1935164277488752</v>
      </c>
      <c r="G244" s="874">
        <f t="shared" si="69"/>
        <v>1.1935164277488752</v>
      </c>
      <c r="H244" s="874">
        <f t="shared" si="69"/>
        <v>1.1935164277488752</v>
      </c>
      <c r="I244" s="874">
        <f t="shared" si="69"/>
        <v>1.1935164277488752</v>
      </c>
      <c r="J244" s="874">
        <f t="shared" si="69"/>
        <v>1.1935164277488752</v>
      </c>
      <c r="K244" s="874">
        <f t="shared" si="69"/>
        <v>1.1935164277488752</v>
      </c>
      <c r="L244" s="874">
        <f t="shared" si="69"/>
        <v>1.1935164277488752</v>
      </c>
      <c r="M244" s="874">
        <f t="shared" si="69"/>
        <v>1.1935164277488752</v>
      </c>
      <c r="N244" s="874">
        <f t="shared" ref="N244:N247" si="70">((W237/M237)^(1/10)-1)*100</f>
        <v>0.16969509809525718</v>
      </c>
      <c r="O244" s="874">
        <f t="shared" ref="O244:AD248" si="71">N244</f>
        <v>0.16969509809525718</v>
      </c>
      <c r="P244" s="874">
        <f t="shared" si="71"/>
        <v>0.16969509809525718</v>
      </c>
      <c r="Q244" s="874">
        <f t="shared" si="71"/>
        <v>0.16969509809525718</v>
      </c>
      <c r="R244" s="874">
        <f t="shared" si="71"/>
        <v>0.16969509809525718</v>
      </c>
      <c r="S244" s="874">
        <f t="shared" si="71"/>
        <v>0.16969509809525718</v>
      </c>
      <c r="T244" s="874">
        <f t="shared" si="71"/>
        <v>0.16969509809525718</v>
      </c>
      <c r="U244" s="874">
        <f t="shared" si="71"/>
        <v>0.16969509809525718</v>
      </c>
      <c r="V244" s="874">
        <f t="shared" si="71"/>
        <v>0.16969509809525718</v>
      </c>
      <c r="W244" s="874">
        <f t="shared" si="71"/>
        <v>0.16969509809525718</v>
      </c>
      <c r="X244" s="874">
        <f t="shared" si="71"/>
        <v>0.16969509809525718</v>
      </c>
      <c r="Y244" s="874">
        <f t="shared" si="71"/>
        <v>0.16969509809525718</v>
      </c>
      <c r="Z244" s="874">
        <f t="shared" si="71"/>
        <v>0.16969509809525718</v>
      </c>
      <c r="AA244" s="874">
        <f t="shared" si="71"/>
        <v>0.16969509809525718</v>
      </c>
      <c r="AB244" s="874">
        <f t="shared" si="71"/>
        <v>0.16969509809525718</v>
      </c>
      <c r="AC244" s="874">
        <f t="shared" si="71"/>
        <v>0.16969509809525718</v>
      </c>
      <c r="AD244" s="874">
        <f t="shared" si="71"/>
        <v>0.16969509809525718</v>
      </c>
      <c r="AE244" s="874">
        <f t="shared" si="66"/>
        <v>0.16969509809525718</v>
      </c>
      <c r="AF244" s="874">
        <f t="shared" si="66"/>
        <v>0.16969509809525718</v>
      </c>
      <c r="AG244" s="1414">
        <f t="shared" si="66"/>
        <v>0.16969509809525718</v>
      </c>
      <c r="AH244" s="82"/>
    </row>
    <row r="245" spans="2:34" ht="20.100000000000001" customHeight="1">
      <c r="B245" s="866" t="str">
        <f t="shared" si="67"/>
        <v>Grassland</v>
      </c>
      <c r="C245" s="874">
        <f t="shared" si="68"/>
        <v>-0.49105974754584114</v>
      </c>
      <c r="D245" s="874">
        <f t="shared" ref="D245:M245" si="72">C245</f>
        <v>-0.49105974754584114</v>
      </c>
      <c r="E245" s="874">
        <f t="shared" si="72"/>
        <v>-0.49105974754584114</v>
      </c>
      <c r="F245" s="874">
        <f t="shared" si="72"/>
        <v>-0.49105974754584114</v>
      </c>
      <c r="G245" s="874">
        <f t="shared" si="72"/>
        <v>-0.49105974754584114</v>
      </c>
      <c r="H245" s="874">
        <f t="shared" si="72"/>
        <v>-0.49105974754584114</v>
      </c>
      <c r="I245" s="874">
        <f t="shared" si="72"/>
        <v>-0.49105974754584114</v>
      </c>
      <c r="J245" s="874">
        <f t="shared" si="72"/>
        <v>-0.49105974754584114</v>
      </c>
      <c r="K245" s="874">
        <f t="shared" si="72"/>
        <v>-0.49105974754584114</v>
      </c>
      <c r="L245" s="874">
        <f t="shared" si="72"/>
        <v>-0.49105974754584114</v>
      </c>
      <c r="M245" s="874">
        <f t="shared" si="72"/>
        <v>-0.49105974754584114</v>
      </c>
      <c r="N245" s="874">
        <f t="shared" si="70"/>
        <v>4.5777144812553239E-2</v>
      </c>
      <c r="O245" s="874">
        <f t="shared" si="71"/>
        <v>4.5777144812553239E-2</v>
      </c>
      <c r="P245" s="874">
        <f t="shared" si="66"/>
        <v>4.5777144812553239E-2</v>
      </c>
      <c r="Q245" s="874">
        <f t="shared" si="66"/>
        <v>4.5777144812553239E-2</v>
      </c>
      <c r="R245" s="874">
        <f t="shared" si="66"/>
        <v>4.5777144812553239E-2</v>
      </c>
      <c r="S245" s="874">
        <f t="shared" si="66"/>
        <v>4.5777144812553239E-2</v>
      </c>
      <c r="T245" s="874">
        <f t="shared" si="66"/>
        <v>4.5777144812553239E-2</v>
      </c>
      <c r="U245" s="874">
        <f t="shared" si="66"/>
        <v>4.5777144812553239E-2</v>
      </c>
      <c r="V245" s="874">
        <f t="shared" si="66"/>
        <v>4.5777144812553239E-2</v>
      </c>
      <c r="W245" s="874">
        <f t="shared" si="66"/>
        <v>4.5777144812553239E-2</v>
      </c>
      <c r="X245" s="874">
        <f t="shared" si="66"/>
        <v>4.5777144812553239E-2</v>
      </c>
      <c r="Y245" s="874">
        <f t="shared" si="66"/>
        <v>4.5777144812553239E-2</v>
      </c>
      <c r="Z245" s="874">
        <f t="shared" si="66"/>
        <v>4.5777144812553239E-2</v>
      </c>
      <c r="AA245" s="874">
        <f t="shared" si="66"/>
        <v>4.5777144812553239E-2</v>
      </c>
      <c r="AB245" s="874">
        <f t="shared" si="66"/>
        <v>4.5777144812553239E-2</v>
      </c>
      <c r="AC245" s="874">
        <f t="shared" si="66"/>
        <v>4.5777144812553239E-2</v>
      </c>
      <c r="AD245" s="874">
        <f t="shared" si="66"/>
        <v>4.5777144812553239E-2</v>
      </c>
      <c r="AE245" s="874">
        <f t="shared" si="66"/>
        <v>4.5777144812553239E-2</v>
      </c>
      <c r="AF245" s="874">
        <f t="shared" si="66"/>
        <v>4.5777144812553239E-2</v>
      </c>
      <c r="AG245" s="1414">
        <f t="shared" si="66"/>
        <v>4.5777144812553239E-2</v>
      </c>
      <c r="AH245" s="82"/>
    </row>
    <row r="246" spans="2:34" ht="20.100000000000001" customHeight="1">
      <c r="B246" s="866" t="str">
        <f t="shared" si="67"/>
        <v>Wetlands</v>
      </c>
      <c r="C246" s="874">
        <f t="shared" si="68"/>
        <v>-0.57285084623101001</v>
      </c>
      <c r="D246" s="874">
        <f t="shared" ref="D246:M246" si="73">C246</f>
        <v>-0.57285084623101001</v>
      </c>
      <c r="E246" s="874">
        <f t="shared" si="73"/>
        <v>-0.57285084623101001</v>
      </c>
      <c r="F246" s="874">
        <f t="shared" si="73"/>
        <v>-0.57285084623101001</v>
      </c>
      <c r="G246" s="874">
        <f t="shared" si="73"/>
        <v>-0.57285084623101001</v>
      </c>
      <c r="H246" s="874">
        <f t="shared" si="73"/>
        <v>-0.57285084623101001</v>
      </c>
      <c r="I246" s="874">
        <f t="shared" si="73"/>
        <v>-0.57285084623101001</v>
      </c>
      <c r="J246" s="874">
        <f t="shared" si="73"/>
        <v>-0.57285084623101001</v>
      </c>
      <c r="K246" s="874">
        <f t="shared" si="73"/>
        <v>-0.57285084623101001</v>
      </c>
      <c r="L246" s="874">
        <f t="shared" si="73"/>
        <v>-0.57285084623101001</v>
      </c>
      <c r="M246" s="874">
        <f t="shared" si="73"/>
        <v>-0.57285084623101001</v>
      </c>
      <c r="N246" s="874">
        <f t="shared" si="70"/>
        <v>-0.31928389463363738</v>
      </c>
      <c r="O246" s="874">
        <f t="shared" si="71"/>
        <v>-0.31928389463363738</v>
      </c>
      <c r="P246" s="874">
        <f t="shared" si="66"/>
        <v>-0.31928389463363738</v>
      </c>
      <c r="Q246" s="874">
        <f t="shared" si="66"/>
        <v>-0.31928389463363738</v>
      </c>
      <c r="R246" s="874">
        <f t="shared" si="66"/>
        <v>-0.31928389463363738</v>
      </c>
      <c r="S246" s="874">
        <f t="shared" si="66"/>
        <v>-0.31928389463363738</v>
      </c>
      <c r="T246" s="874">
        <f t="shared" si="66"/>
        <v>-0.31928389463363738</v>
      </c>
      <c r="U246" s="874">
        <f t="shared" si="66"/>
        <v>-0.31928389463363738</v>
      </c>
      <c r="V246" s="874">
        <f t="shared" si="66"/>
        <v>-0.31928389463363738</v>
      </c>
      <c r="W246" s="874">
        <f t="shared" si="66"/>
        <v>-0.31928389463363738</v>
      </c>
      <c r="X246" s="874">
        <f t="shared" si="66"/>
        <v>-0.31928389463363738</v>
      </c>
      <c r="Y246" s="874">
        <f t="shared" si="66"/>
        <v>-0.31928389463363738</v>
      </c>
      <c r="Z246" s="874">
        <f t="shared" si="66"/>
        <v>-0.31928389463363738</v>
      </c>
      <c r="AA246" s="874">
        <f t="shared" si="66"/>
        <v>-0.31928389463363738</v>
      </c>
      <c r="AB246" s="874">
        <f t="shared" si="66"/>
        <v>-0.31928389463363738</v>
      </c>
      <c r="AC246" s="874">
        <f t="shared" si="66"/>
        <v>-0.31928389463363738</v>
      </c>
      <c r="AD246" s="874">
        <f t="shared" si="66"/>
        <v>-0.31928389463363738</v>
      </c>
      <c r="AE246" s="874">
        <f t="shared" si="66"/>
        <v>-0.31928389463363738</v>
      </c>
      <c r="AF246" s="874">
        <f t="shared" si="66"/>
        <v>-0.31928389463363738</v>
      </c>
      <c r="AG246" s="1414">
        <f t="shared" si="66"/>
        <v>-0.31928389463363738</v>
      </c>
      <c r="AH246" s="82"/>
    </row>
    <row r="247" spans="2:34" ht="20.100000000000001" customHeight="1">
      <c r="B247" s="866" t="str">
        <f t="shared" si="67"/>
        <v>Settlements</v>
      </c>
      <c r="C247" s="874">
        <f t="shared" si="68"/>
        <v>-0.10286391912811554</v>
      </c>
      <c r="D247" s="874">
        <f t="shared" ref="D247:M247" si="74">C247</f>
        <v>-0.10286391912811554</v>
      </c>
      <c r="E247" s="874">
        <f t="shared" si="74"/>
        <v>-0.10286391912811554</v>
      </c>
      <c r="F247" s="874">
        <f t="shared" si="74"/>
        <v>-0.10286391912811554</v>
      </c>
      <c r="G247" s="874">
        <f t="shared" si="74"/>
        <v>-0.10286391912811554</v>
      </c>
      <c r="H247" s="874">
        <f t="shared" si="74"/>
        <v>-0.10286391912811554</v>
      </c>
      <c r="I247" s="874">
        <f t="shared" si="74"/>
        <v>-0.10286391912811554</v>
      </c>
      <c r="J247" s="874">
        <f t="shared" si="74"/>
        <v>-0.10286391912811554</v>
      </c>
      <c r="K247" s="874">
        <f t="shared" si="74"/>
        <v>-0.10286391912811554</v>
      </c>
      <c r="L247" s="874">
        <f t="shared" si="74"/>
        <v>-0.10286391912811554</v>
      </c>
      <c r="M247" s="874">
        <f t="shared" si="74"/>
        <v>-0.10286391912811554</v>
      </c>
      <c r="N247" s="874">
        <f t="shared" si="70"/>
        <v>-1.2470099209330621</v>
      </c>
      <c r="O247" s="874">
        <f t="shared" si="71"/>
        <v>-1.2470099209330621</v>
      </c>
      <c r="P247" s="874">
        <f t="shared" si="66"/>
        <v>-1.2470099209330621</v>
      </c>
      <c r="Q247" s="874">
        <f t="shared" si="66"/>
        <v>-1.2470099209330621</v>
      </c>
      <c r="R247" s="874">
        <f t="shared" si="66"/>
        <v>-1.2470099209330621</v>
      </c>
      <c r="S247" s="874">
        <f t="shared" si="66"/>
        <v>-1.2470099209330621</v>
      </c>
      <c r="T247" s="874">
        <f t="shared" si="66"/>
        <v>-1.2470099209330621</v>
      </c>
      <c r="U247" s="874">
        <f t="shared" si="66"/>
        <v>-1.2470099209330621</v>
      </c>
      <c r="V247" s="874">
        <f t="shared" si="66"/>
        <v>-1.2470099209330621</v>
      </c>
      <c r="W247" s="874">
        <f t="shared" si="66"/>
        <v>-1.2470099209330621</v>
      </c>
      <c r="X247" s="874">
        <f t="shared" si="66"/>
        <v>-1.2470099209330621</v>
      </c>
      <c r="Y247" s="874">
        <f t="shared" si="66"/>
        <v>-1.2470099209330621</v>
      </c>
      <c r="Z247" s="874">
        <f t="shared" si="66"/>
        <v>-1.2470099209330621</v>
      </c>
      <c r="AA247" s="874">
        <f t="shared" si="66"/>
        <v>-1.2470099209330621</v>
      </c>
      <c r="AB247" s="874">
        <f t="shared" si="66"/>
        <v>-1.2470099209330621</v>
      </c>
      <c r="AC247" s="874">
        <f t="shared" si="66"/>
        <v>-1.2470099209330621</v>
      </c>
      <c r="AD247" s="874">
        <f t="shared" si="66"/>
        <v>-1.2470099209330621</v>
      </c>
      <c r="AE247" s="874">
        <f t="shared" si="66"/>
        <v>-1.2470099209330621</v>
      </c>
      <c r="AF247" s="874">
        <f t="shared" si="66"/>
        <v>-1.2470099209330621</v>
      </c>
      <c r="AG247" s="1414">
        <f t="shared" si="66"/>
        <v>-1.2470099209330621</v>
      </c>
      <c r="AH247" s="82"/>
    </row>
    <row r="248" spans="2:34" ht="20.100000000000001" customHeight="1" thickBot="1">
      <c r="B248" s="1406" t="str">
        <f>B241</f>
        <v>Other</v>
      </c>
      <c r="C248" s="883">
        <f t="shared" si="68"/>
        <v>-1.0698418934196874</v>
      </c>
      <c r="D248" s="883">
        <f t="shared" ref="D248:M248" si="75">C248</f>
        <v>-1.0698418934196874</v>
      </c>
      <c r="E248" s="883">
        <f t="shared" si="75"/>
        <v>-1.0698418934196874</v>
      </c>
      <c r="F248" s="883">
        <f t="shared" si="75"/>
        <v>-1.0698418934196874</v>
      </c>
      <c r="G248" s="883">
        <f t="shared" si="75"/>
        <v>-1.0698418934196874</v>
      </c>
      <c r="H248" s="883">
        <f t="shared" si="75"/>
        <v>-1.0698418934196874</v>
      </c>
      <c r="I248" s="883">
        <f t="shared" si="75"/>
        <v>-1.0698418934196874</v>
      </c>
      <c r="J248" s="883">
        <f t="shared" si="75"/>
        <v>-1.0698418934196874</v>
      </c>
      <c r="K248" s="883">
        <f t="shared" si="75"/>
        <v>-1.0698418934196874</v>
      </c>
      <c r="L248" s="883">
        <f t="shared" si="75"/>
        <v>-1.0698418934196874</v>
      </c>
      <c r="M248" s="883">
        <f t="shared" si="75"/>
        <v>-1.0698418934196874</v>
      </c>
      <c r="N248" s="883">
        <f>((W241/M241)^(1/10)-1)*100</f>
        <v>-1.6571095904057032</v>
      </c>
      <c r="O248" s="883">
        <f t="shared" si="71"/>
        <v>-1.6571095904057032</v>
      </c>
      <c r="P248" s="883">
        <f t="shared" si="66"/>
        <v>-1.6571095904057032</v>
      </c>
      <c r="Q248" s="883">
        <f t="shared" si="66"/>
        <v>-1.6571095904057032</v>
      </c>
      <c r="R248" s="883">
        <f t="shared" si="66"/>
        <v>-1.6571095904057032</v>
      </c>
      <c r="S248" s="883">
        <f t="shared" si="66"/>
        <v>-1.6571095904057032</v>
      </c>
      <c r="T248" s="883">
        <f t="shared" si="66"/>
        <v>-1.6571095904057032</v>
      </c>
      <c r="U248" s="883">
        <f t="shared" si="66"/>
        <v>-1.6571095904057032</v>
      </c>
      <c r="V248" s="883">
        <f t="shared" si="66"/>
        <v>-1.6571095904057032</v>
      </c>
      <c r="W248" s="883">
        <f t="shared" si="66"/>
        <v>-1.6571095904057032</v>
      </c>
      <c r="X248" s="883">
        <f t="shared" si="66"/>
        <v>-1.6571095904057032</v>
      </c>
      <c r="Y248" s="883">
        <f t="shared" si="66"/>
        <v>-1.6571095904057032</v>
      </c>
      <c r="Z248" s="883">
        <f t="shared" si="66"/>
        <v>-1.6571095904057032</v>
      </c>
      <c r="AA248" s="883">
        <f t="shared" si="66"/>
        <v>-1.6571095904057032</v>
      </c>
      <c r="AB248" s="883">
        <f t="shared" si="66"/>
        <v>-1.6571095904057032</v>
      </c>
      <c r="AC248" s="883">
        <f t="shared" si="66"/>
        <v>-1.6571095904057032</v>
      </c>
      <c r="AD248" s="883">
        <f t="shared" si="66"/>
        <v>-1.6571095904057032</v>
      </c>
      <c r="AE248" s="883">
        <f t="shared" si="66"/>
        <v>-1.6571095904057032</v>
      </c>
      <c r="AF248" s="883">
        <f t="shared" si="66"/>
        <v>-1.6571095904057032</v>
      </c>
      <c r="AG248" s="1415">
        <f t="shared" si="66"/>
        <v>-1.6571095904057032</v>
      </c>
      <c r="AH248" s="82"/>
    </row>
    <row r="249" spans="2:34" ht="20.100000000000001" customHeight="1">
      <c r="B249" s="82"/>
      <c r="C249" s="82"/>
      <c r="D249" s="82"/>
      <c r="E249" s="82"/>
      <c r="F249" s="82"/>
      <c r="G249" s="82"/>
      <c r="H249" s="82"/>
      <c r="I249" s="82"/>
      <c r="J249" s="82"/>
      <c r="K249" s="82"/>
      <c r="L249" s="82"/>
      <c r="M249" s="82"/>
      <c r="N249" s="82"/>
      <c r="O249" s="82"/>
      <c r="P249" s="82"/>
      <c r="Q249" s="82"/>
      <c r="R249" s="82"/>
      <c r="S249" s="82"/>
      <c r="T249" s="82"/>
      <c r="U249" s="82"/>
      <c r="V249" s="82"/>
      <c r="W249" s="82"/>
      <c r="X249" s="82"/>
      <c r="Y249" s="82"/>
      <c r="Z249" s="82"/>
      <c r="AA249" s="82"/>
      <c r="AB249" s="82"/>
      <c r="AC249" s="82"/>
      <c r="AD249" s="82"/>
      <c r="AE249" s="82"/>
      <c r="AF249" s="82"/>
      <c r="AG249" s="82"/>
      <c r="AH249" s="82"/>
    </row>
    <row r="250" spans="2:34" ht="20.100000000000001" customHeight="1" thickBot="1">
      <c r="B250" s="246" t="s">
        <v>1136</v>
      </c>
      <c r="C250" s="1140">
        <v>1</v>
      </c>
      <c r="D250" s="1140">
        <v>2</v>
      </c>
      <c r="E250" s="1140">
        <v>3</v>
      </c>
      <c r="F250" s="1140">
        <v>4</v>
      </c>
      <c r="G250" s="1140">
        <v>5</v>
      </c>
      <c r="H250" s="1140">
        <v>6</v>
      </c>
      <c r="I250" s="82"/>
      <c r="J250" s="82"/>
      <c r="K250" s="82"/>
      <c r="L250" s="82"/>
      <c r="M250" s="82"/>
      <c r="N250" s="82"/>
      <c r="O250" s="82"/>
      <c r="P250" s="82"/>
      <c r="Q250" s="82"/>
      <c r="R250" s="82"/>
      <c r="S250" s="82"/>
      <c r="T250" s="82"/>
      <c r="U250" s="82"/>
      <c r="V250" s="82"/>
      <c r="W250" s="82"/>
      <c r="X250" s="82"/>
      <c r="Y250" s="82"/>
      <c r="Z250" s="82"/>
      <c r="AA250" s="82"/>
      <c r="AB250" s="82"/>
      <c r="AC250" s="82"/>
      <c r="AD250" s="82"/>
      <c r="AE250" s="82"/>
      <c r="AF250" s="82"/>
      <c r="AG250" s="82"/>
      <c r="AH250" s="82"/>
    </row>
    <row r="251" spans="2:34" ht="20.100000000000001" customHeight="1">
      <c r="B251" s="1637" t="s">
        <v>4147</v>
      </c>
      <c r="C251" s="1639" t="s">
        <v>528</v>
      </c>
      <c r="D251" s="1640"/>
      <c r="E251" s="1639" t="s">
        <v>529</v>
      </c>
      <c r="F251" s="1640"/>
      <c r="G251" s="1641" t="s">
        <v>530</v>
      </c>
      <c r="H251" s="1642"/>
      <c r="I251" s="82"/>
      <c r="J251" s="82"/>
      <c r="K251" s="82"/>
      <c r="L251" s="82"/>
      <c r="M251" s="82"/>
      <c r="N251" s="82"/>
      <c r="O251" s="82"/>
      <c r="P251" s="82"/>
      <c r="Q251" s="82"/>
      <c r="R251" s="82"/>
      <c r="S251" s="82"/>
      <c r="T251" s="82"/>
      <c r="U251" s="82"/>
      <c r="V251" s="82"/>
      <c r="W251" s="82"/>
      <c r="X251" s="82"/>
      <c r="Y251" s="82"/>
      <c r="Z251" s="82"/>
      <c r="AA251" s="82"/>
      <c r="AB251" s="82"/>
      <c r="AC251" s="82"/>
      <c r="AD251" s="82"/>
      <c r="AE251" s="82"/>
      <c r="AF251" s="82"/>
      <c r="AG251" s="82"/>
      <c r="AH251" s="82"/>
    </row>
    <row r="252" spans="2:34" ht="20.100000000000001" customHeight="1" thickBot="1">
      <c r="B252" s="1638"/>
      <c r="C252" s="1401" t="s">
        <v>531</v>
      </c>
      <c r="D252" s="1402" t="s">
        <v>532</v>
      </c>
      <c r="E252" s="1401" t="s">
        <v>533</v>
      </c>
      <c r="F252" s="1402" t="s">
        <v>534</v>
      </c>
      <c r="G252" s="1403" t="s">
        <v>535</v>
      </c>
      <c r="H252" s="1404" t="s">
        <v>536</v>
      </c>
      <c r="I252" s="82"/>
      <c r="J252" s="82"/>
      <c r="K252" s="82"/>
      <c r="L252" s="82"/>
      <c r="M252" s="82"/>
      <c r="N252" s="82"/>
      <c r="O252" s="82"/>
      <c r="P252" s="82"/>
      <c r="Q252" s="82"/>
      <c r="R252" s="82"/>
      <c r="S252" s="82"/>
      <c r="T252" s="82"/>
      <c r="U252" s="82"/>
      <c r="V252" s="82"/>
      <c r="W252" s="82"/>
      <c r="X252" s="82"/>
      <c r="Y252" s="82"/>
      <c r="Z252" s="82"/>
      <c r="AA252" s="82"/>
      <c r="AB252" s="82"/>
      <c r="AC252" s="82"/>
      <c r="AD252" s="82"/>
      <c r="AE252" s="82"/>
      <c r="AF252" s="82"/>
      <c r="AG252" s="82"/>
      <c r="AH252" s="82"/>
    </row>
    <row r="253" spans="2:34" ht="20.100000000000001" customHeight="1">
      <c r="B253" s="1395" t="s">
        <v>537</v>
      </c>
      <c r="C253" s="1048">
        <f>INDEX('DEFAULT DATA'!$NV$9:$WC$40,$C$10,1)</f>
        <v>1.5231330000000001</v>
      </c>
      <c r="D253" s="1048">
        <f>INDEX('DEFAULT DATA'!$NV$9:$WC$40,$C$10,2)</f>
        <v>0</v>
      </c>
      <c r="E253" s="1048">
        <f>INDEX('DEFAULT DATA'!$NV$9:$WC$40,$C$10,3)</f>
        <v>0</v>
      </c>
      <c r="F253" s="1048">
        <f>INDEX('DEFAULT DATA'!$NV$9:$WC$40,$C$10,4)</f>
        <v>0.41499999999999998</v>
      </c>
      <c r="G253" s="1048">
        <f>INDEX('DEFAULT DATA'!$NV$9:$WC$40,$C$10,5)</f>
        <v>1.446</v>
      </c>
      <c r="H253" s="1049">
        <f>INDEX('DEFAULT DATA'!$NV$9:$WC$40,$C$10,6)</f>
        <v>0</v>
      </c>
      <c r="I253" s="82"/>
      <c r="J253" s="82"/>
      <c r="K253" s="82"/>
      <c r="L253" s="82"/>
      <c r="M253" s="82"/>
      <c r="N253" s="82"/>
      <c r="O253" s="82"/>
      <c r="P253" s="82"/>
      <c r="Q253" s="82"/>
      <c r="R253" s="82"/>
      <c r="S253" s="82"/>
      <c r="T253" s="82"/>
      <c r="U253" s="82"/>
      <c r="V253" s="82"/>
      <c r="W253" s="82"/>
      <c r="X253" s="82"/>
      <c r="Y253" s="82"/>
      <c r="Z253" s="82"/>
      <c r="AA253" s="82"/>
      <c r="AB253" s="82"/>
      <c r="AC253" s="82"/>
      <c r="AD253" s="82"/>
      <c r="AE253" s="82"/>
      <c r="AF253" s="82"/>
      <c r="AG253" s="82"/>
      <c r="AH253" s="82"/>
    </row>
    <row r="254" spans="2:34" ht="20.100000000000001" customHeight="1">
      <c r="B254" s="1396" t="s">
        <v>538</v>
      </c>
      <c r="C254" s="1050">
        <f>INDEX('DEFAULT DATA'!$NV$9:$WC$40,$C$10,7)</f>
        <v>1.5231330000000001</v>
      </c>
      <c r="D254" s="1050">
        <f>INDEX('DEFAULT DATA'!$NV$9:$WC$40,$C$10,8)</f>
        <v>0</v>
      </c>
      <c r="E254" s="1050">
        <f>INDEX('DEFAULT DATA'!$NV$9:$WC$40,$C$10,9)</f>
        <v>0</v>
      </c>
      <c r="F254" s="1050">
        <f>INDEX('DEFAULT DATA'!$NV$9:$WC$40,$C$10,10)</f>
        <v>0.41499999999999998</v>
      </c>
      <c r="G254" s="1050">
        <f>INDEX('DEFAULT DATA'!$NV$9:$WC$40,$C$10,11)</f>
        <v>0.70399999999999996</v>
      </c>
      <c r="H254" s="1051">
        <f>INDEX('DEFAULT DATA'!$NV$9:$WC$40,$C$10,12)</f>
        <v>0</v>
      </c>
      <c r="I254" s="82"/>
      <c r="J254" s="82"/>
      <c r="K254" s="82"/>
      <c r="L254" s="82"/>
      <c r="M254" s="82"/>
      <c r="N254" s="82"/>
      <c r="O254" s="82"/>
      <c r="P254" s="82"/>
      <c r="Q254" s="82"/>
      <c r="R254" s="82"/>
      <c r="S254" s="82"/>
      <c r="T254" s="82"/>
      <c r="U254" s="82"/>
      <c r="V254" s="82"/>
      <c r="W254" s="82"/>
      <c r="X254" s="82"/>
      <c r="Y254" s="82"/>
      <c r="Z254" s="82"/>
      <c r="AA254" s="82"/>
      <c r="AB254" s="82"/>
      <c r="AC254" s="82"/>
      <c r="AD254" s="82"/>
      <c r="AE254" s="82"/>
      <c r="AF254" s="82"/>
      <c r="AG254" s="82"/>
      <c r="AH254" s="82"/>
    </row>
    <row r="255" spans="2:34" ht="20.100000000000001" customHeight="1">
      <c r="B255" s="1396" t="s">
        <v>539</v>
      </c>
      <c r="C255" s="1050">
        <f>INDEX('DEFAULT DATA'!$NV$9:$WC$40,$C$10,13)</f>
        <v>0</v>
      </c>
      <c r="D255" s="1050">
        <f>INDEX('DEFAULT DATA'!$NV$9:$WC$40,$C$10,14)</f>
        <v>0</v>
      </c>
      <c r="E255" s="1050">
        <f>INDEX('DEFAULT DATA'!$NV$9:$WC$40,$C$10,15)</f>
        <v>0</v>
      </c>
      <c r="F255" s="1050">
        <f>INDEX('DEFAULT DATA'!$NV$9:$WC$40,$C$10,16)</f>
        <v>0</v>
      </c>
      <c r="G255" s="1050">
        <f>INDEX('DEFAULT DATA'!$NV$9:$WC$40,$C$10,17)</f>
        <v>0</v>
      </c>
      <c r="H255" s="1051">
        <f>INDEX('DEFAULT DATA'!$NV$9:$WC$40,$C$10,18)</f>
        <v>0</v>
      </c>
      <c r="I255" s="82"/>
      <c r="J255" s="82"/>
      <c r="K255" s="82"/>
      <c r="L255" s="82"/>
      <c r="M255" s="82"/>
      <c r="N255" s="82"/>
      <c r="O255" s="82"/>
      <c r="P255" s="82"/>
      <c r="Q255" s="82"/>
      <c r="R255" s="82"/>
      <c r="S255" s="82"/>
      <c r="T255" s="82"/>
      <c r="U255" s="82"/>
      <c r="V255" s="82"/>
      <c r="W255" s="82"/>
      <c r="X255" s="82"/>
      <c r="Y255" s="82"/>
      <c r="Z255" s="82"/>
      <c r="AA255" s="82"/>
      <c r="AB255" s="82"/>
      <c r="AC255" s="82"/>
      <c r="AD255" s="82"/>
      <c r="AE255" s="82"/>
      <c r="AF255" s="82"/>
      <c r="AG255" s="82"/>
      <c r="AH255" s="82"/>
    </row>
    <row r="256" spans="2:34" ht="20.100000000000001" customHeight="1">
      <c r="B256" s="1396" t="s">
        <v>540</v>
      </c>
      <c r="C256" s="1050">
        <f>INDEX('DEFAULT DATA'!$NV$9:$WC$40,$C$10,19)</f>
        <v>0</v>
      </c>
      <c r="D256" s="1050">
        <f>INDEX('DEFAULT DATA'!$NV$9:$WC$40,$C$10,20)</f>
        <v>0</v>
      </c>
      <c r="E256" s="1050">
        <f>INDEX('DEFAULT DATA'!$NV$9:$WC$40,$C$10,21)</f>
        <v>0</v>
      </c>
      <c r="F256" s="1050">
        <f>INDEX('DEFAULT DATA'!$NV$9:$WC$40,$C$10,22)</f>
        <v>0</v>
      </c>
      <c r="G256" s="1050">
        <f>INDEX('DEFAULT DATA'!$NV$9:$WC$40,$C$10,23)</f>
        <v>0</v>
      </c>
      <c r="H256" s="1051">
        <f>INDEX('DEFAULT DATA'!$NV$9:$WC$40,$C$10,24)</f>
        <v>0</v>
      </c>
      <c r="I256" s="82"/>
      <c r="J256" s="82"/>
      <c r="K256" s="82"/>
      <c r="L256" s="82"/>
      <c r="M256" s="82"/>
      <c r="N256" s="82"/>
      <c r="O256" s="82"/>
      <c r="P256" s="82"/>
      <c r="Q256" s="82"/>
      <c r="R256" s="82"/>
      <c r="S256" s="82"/>
      <c r="T256" s="82"/>
      <c r="U256" s="82"/>
      <c r="V256" s="82"/>
      <c r="W256" s="82"/>
      <c r="X256" s="82"/>
      <c r="Y256" s="82"/>
      <c r="Z256" s="82"/>
      <c r="AA256" s="82"/>
      <c r="AB256" s="82"/>
      <c r="AC256" s="82"/>
      <c r="AD256" s="82"/>
      <c r="AE256" s="82"/>
      <c r="AF256" s="82"/>
      <c r="AG256" s="82"/>
      <c r="AH256" s="82"/>
    </row>
    <row r="257" spans="2:34" ht="20.100000000000001" customHeight="1" thickBot="1">
      <c r="B257" s="1397" t="s">
        <v>541</v>
      </c>
      <c r="C257" s="1052">
        <f>INDEX('DEFAULT DATA'!$NV$9:$WC$40,$C$10,25)</f>
        <v>1.5231330000000001</v>
      </c>
      <c r="D257" s="1052">
        <f>INDEX('DEFAULT DATA'!$NV$9:$WC$40,$C$10,26)</f>
        <v>0</v>
      </c>
      <c r="E257" s="1052">
        <f>INDEX('DEFAULT DATA'!$NV$9:$WC$40,$C$10,27)</f>
        <v>0</v>
      </c>
      <c r="F257" s="1052">
        <f>INDEX('DEFAULT DATA'!$NV$9:$WC$40,$C$10,28)</f>
        <v>0.41499999999999998</v>
      </c>
      <c r="G257" s="1052">
        <f>INDEX('DEFAULT DATA'!$NV$9:$WC$40,$C$10,29)</f>
        <v>1.758</v>
      </c>
      <c r="H257" s="1053">
        <f>INDEX('DEFAULT DATA'!$NV$9:$WC$40,$C$10,30)</f>
        <v>0</v>
      </c>
      <c r="I257" s="82"/>
      <c r="J257" s="82"/>
      <c r="K257" s="82"/>
      <c r="L257" s="82"/>
      <c r="M257" s="82"/>
      <c r="N257" s="82"/>
      <c r="O257" s="82"/>
      <c r="P257" s="82"/>
      <c r="Q257" s="82"/>
      <c r="R257" s="82"/>
      <c r="S257" s="82"/>
      <c r="T257" s="82"/>
      <c r="U257" s="82"/>
      <c r="V257" s="82"/>
      <c r="W257" s="82"/>
      <c r="X257" s="82"/>
      <c r="Y257" s="82"/>
      <c r="Z257" s="82"/>
      <c r="AA257" s="82"/>
      <c r="AB257" s="82"/>
      <c r="AC257" s="82"/>
      <c r="AD257" s="82"/>
      <c r="AE257" s="82"/>
      <c r="AF257" s="82"/>
      <c r="AG257" s="82"/>
      <c r="AH257" s="82"/>
    </row>
    <row r="258" spans="2:34" ht="20.100000000000001" customHeight="1">
      <c r="B258" s="1395" t="s">
        <v>542</v>
      </c>
      <c r="C258" s="1054">
        <f>INDEX('DEFAULT DATA'!$NV$9:$WC$40,$C$10,31)</f>
        <v>-84.37</v>
      </c>
      <c r="D258" s="1054">
        <f>INDEX('DEFAULT DATA'!$NV$9:$WC$40,$C$10,32)</f>
        <v>-16.87</v>
      </c>
      <c r="E258" s="1054">
        <f>INDEX('DEFAULT DATA'!$NV$9:$WC$40,$C$10,33)</f>
        <v>-6.1579439252340003E-2</v>
      </c>
      <c r="F258" s="1054">
        <f>INDEX('DEFAULT DATA'!$NV$9:$WC$40,$C$10,34)</f>
        <v>0</v>
      </c>
      <c r="G258" s="1054">
        <f>INDEX('DEFAULT DATA'!$NV$9:$WC$40,$C$10,35)</f>
        <v>-1.446</v>
      </c>
      <c r="H258" s="1055">
        <f>INDEX('DEFAULT DATA'!$NV$9:$WC$40,$C$10,36)</f>
        <v>0</v>
      </c>
      <c r="I258" s="82"/>
      <c r="J258" s="82"/>
      <c r="K258" s="82"/>
      <c r="L258" s="82"/>
      <c r="M258" s="82"/>
      <c r="N258" s="82"/>
      <c r="O258" s="82"/>
      <c r="P258" s="82"/>
      <c r="Q258" s="82"/>
      <c r="R258" s="82"/>
      <c r="S258" s="82"/>
      <c r="T258" s="82"/>
      <c r="U258" s="82"/>
      <c r="V258" s="82"/>
      <c r="W258" s="82"/>
      <c r="X258" s="82"/>
      <c r="Y258" s="82"/>
      <c r="Z258" s="82"/>
      <c r="AA258" s="82"/>
      <c r="AB258" s="82"/>
      <c r="AC258" s="82"/>
      <c r="AD258" s="82"/>
      <c r="AE258" s="82"/>
      <c r="AF258" s="82"/>
      <c r="AG258" s="82"/>
      <c r="AH258" s="82"/>
    </row>
    <row r="259" spans="2:34" ht="20.100000000000001" customHeight="1">
      <c r="B259" s="1396" t="s">
        <v>543</v>
      </c>
      <c r="C259" s="1050">
        <f>INDEX('DEFAULT DATA'!$NV$9:$WC$40,$C$10,37)</f>
        <v>-9.4603761378899993E-3</v>
      </c>
      <c r="D259" s="1050">
        <f>INDEX('DEFAULT DATA'!$NV$9:$WC$40,$C$10,38)</f>
        <v>0</v>
      </c>
      <c r="E259" s="1050">
        <f>INDEX('DEFAULT DATA'!$NV$9:$WC$40,$C$10,39)</f>
        <v>0</v>
      </c>
      <c r="F259" s="1050">
        <f>INDEX('DEFAULT DATA'!$NV$9:$WC$40,$C$10,40)</f>
        <v>0</v>
      </c>
      <c r="G259" s="1050">
        <f>INDEX('DEFAULT DATA'!$NV$9:$WC$40,$C$10,41)</f>
        <v>-0.74199999999999999</v>
      </c>
      <c r="H259" s="1051">
        <f>INDEX('DEFAULT DATA'!$NV$9:$WC$40,$C$10,42)</f>
        <v>0</v>
      </c>
      <c r="I259" s="82"/>
      <c r="J259" s="82"/>
      <c r="K259" s="82"/>
      <c r="L259" s="82"/>
      <c r="M259" s="82"/>
      <c r="N259" s="82"/>
      <c r="O259" s="82"/>
      <c r="P259" s="82"/>
      <c r="Q259" s="82"/>
      <c r="R259" s="82"/>
      <c r="S259" s="82"/>
      <c r="T259" s="82"/>
      <c r="U259" s="82"/>
      <c r="V259" s="82"/>
      <c r="W259" s="82"/>
      <c r="X259" s="82"/>
      <c r="Y259" s="82"/>
      <c r="Z259" s="82"/>
      <c r="AA259" s="82"/>
      <c r="AB259" s="82"/>
      <c r="AC259" s="82"/>
      <c r="AD259" s="82"/>
      <c r="AE259" s="82"/>
      <c r="AF259" s="82"/>
      <c r="AG259" s="82"/>
      <c r="AH259" s="82"/>
    </row>
    <row r="260" spans="2:34" ht="20.100000000000001" customHeight="1">
      <c r="B260" s="1396" t="s">
        <v>544</v>
      </c>
      <c r="C260" s="1050">
        <f>INDEX('DEFAULT DATA'!$NV$9:$WC$40,$C$10,43)</f>
        <v>0</v>
      </c>
      <c r="D260" s="1050">
        <f>INDEX('DEFAULT DATA'!$NV$9:$WC$40,$C$10,44)</f>
        <v>0</v>
      </c>
      <c r="E260" s="1050">
        <f>INDEX('DEFAULT DATA'!$NV$9:$WC$40,$C$10,45)</f>
        <v>0</v>
      </c>
      <c r="F260" s="1050">
        <f>INDEX('DEFAULT DATA'!$NV$9:$WC$40,$C$10,46)</f>
        <v>0</v>
      </c>
      <c r="G260" s="1050">
        <f>INDEX('DEFAULT DATA'!$NV$9:$WC$40,$C$10,47)</f>
        <v>0</v>
      </c>
      <c r="H260" s="1051">
        <f>INDEX('DEFAULT DATA'!$NV$9:$WC$40,$C$10,48)</f>
        <v>0</v>
      </c>
      <c r="I260" s="82"/>
      <c r="J260" s="82"/>
      <c r="K260" s="82"/>
      <c r="L260" s="82"/>
      <c r="M260" s="82"/>
      <c r="N260" s="82"/>
      <c r="O260" s="82"/>
      <c r="P260" s="82"/>
      <c r="Q260" s="82"/>
      <c r="R260" s="82"/>
      <c r="S260" s="82"/>
      <c r="T260" s="82"/>
      <c r="U260" s="82"/>
      <c r="V260" s="82"/>
      <c r="W260" s="82"/>
      <c r="X260" s="82"/>
      <c r="Y260" s="82"/>
      <c r="Z260" s="82"/>
      <c r="AA260" s="82"/>
      <c r="AB260" s="82"/>
      <c r="AC260" s="82"/>
      <c r="AD260" s="82"/>
      <c r="AE260" s="82"/>
      <c r="AF260" s="82"/>
      <c r="AG260" s="82"/>
      <c r="AH260" s="82"/>
    </row>
    <row r="261" spans="2:34" ht="20.100000000000001" customHeight="1">
      <c r="B261" s="1396" t="s">
        <v>545</v>
      </c>
      <c r="C261" s="1050">
        <f>INDEX('DEFAULT DATA'!$NV$9:$WC$40,$C$10,49)</f>
        <v>0</v>
      </c>
      <c r="D261" s="1050">
        <f>INDEX('DEFAULT DATA'!$NV$9:$WC$40,$C$10,50)</f>
        <v>0</v>
      </c>
      <c r="E261" s="1050">
        <f>INDEX('DEFAULT DATA'!$NV$9:$WC$40,$C$10,51)</f>
        <v>0</v>
      </c>
      <c r="F261" s="1050">
        <f>INDEX('DEFAULT DATA'!$NV$9:$WC$40,$C$10,52)</f>
        <v>0</v>
      </c>
      <c r="G261" s="1050">
        <f>INDEX('DEFAULT DATA'!$NV$9:$WC$40,$C$10,53)</f>
        <v>0</v>
      </c>
      <c r="H261" s="1051">
        <f>INDEX('DEFAULT DATA'!$NV$9:$WC$40,$C$10,54)</f>
        <v>0</v>
      </c>
      <c r="I261" s="82"/>
      <c r="J261" s="82"/>
      <c r="K261" s="82"/>
      <c r="L261" s="82"/>
      <c r="M261" s="82"/>
      <c r="N261" s="82"/>
      <c r="O261" s="82"/>
      <c r="P261" s="82"/>
      <c r="Q261" s="82"/>
      <c r="R261" s="82"/>
      <c r="S261" s="82"/>
      <c r="T261" s="82"/>
      <c r="U261" s="82"/>
      <c r="V261" s="82"/>
      <c r="W261" s="82"/>
      <c r="X261" s="82"/>
      <c r="Y261" s="82"/>
      <c r="Z261" s="82"/>
      <c r="AA261" s="82"/>
      <c r="AB261" s="82"/>
      <c r="AC261" s="82"/>
      <c r="AD261" s="82"/>
      <c r="AE261" s="82"/>
      <c r="AF261" s="82"/>
      <c r="AG261" s="82"/>
      <c r="AH261" s="82"/>
    </row>
    <row r="262" spans="2:34" ht="20.100000000000001" customHeight="1" thickBot="1">
      <c r="B262" s="1397" t="s">
        <v>546</v>
      </c>
      <c r="C262" s="1052">
        <f>INDEX('DEFAULT DATA'!$NV$9:$WC$40,$C$10,55)</f>
        <v>0</v>
      </c>
      <c r="D262" s="1052">
        <f>INDEX('DEFAULT DATA'!$NV$9:$WC$40,$C$10,56)</f>
        <v>0</v>
      </c>
      <c r="E262" s="1052">
        <f>INDEX('DEFAULT DATA'!$NV$9:$WC$40,$C$10,57)</f>
        <v>0</v>
      </c>
      <c r="F262" s="1052">
        <f>INDEX('DEFAULT DATA'!$NV$9:$WC$40,$C$10,58)</f>
        <v>0</v>
      </c>
      <c r="G262" s="1052">
        <f>INDEX('DEFAULT DATA'!$NV$9:$WC$40,$C$10,59)</f>
        <v>0.313</v>
      </c>
      <c r="H262" s="1053">
        <f>INDEX('DEFAULT DATA'!$NV$9:$WC$40,$C$10,60)</f>
        <v>0</v>
      </c>
      <c r="I262" s="82"/>
      <c r="J262" s="82"/>
      <c r="K262" s="82"/>
      <c r="L262" s="82"/>
      <c r="M262" s="82"/>
      <c r="N262" s="82"/>
      <c r="O262" s="82"/>
      <c r="P262" s="82"/>
      <c r="Q262" s="82"/>
      <c r="R262" s="82"/>
      <c r="S262" s="82"/>
      <c r="T262" s="82"/>
      <c r="U262" s="82"/>
      <c r="V262" s="82"/>
      <c r="W262" s="82"/>
      <c r="X262" s="82"/>
      <c r="Y262" s="82"/>
      <c r="Z262" s="82"/>
      <c r="AA262" s="82"/>
      <c r="AB262" s="82"/>
      <c r="AC262" s="82"/>
      <c r="AD262" s="82"/>
      <c r="AE262" s="82"/>
      <c r="AF262" s="82"/>
      <c r="AG262" s="82"/>
      <c r="AH262" s="82"/>
    </row>
    <row r="263" spans="2:34" ht="20.100000000000001" customHeight="1">
      <c r="B263" s="1395" t="s">
        <v>547</v>
      </c>
      <c r="C263" s="1054">
        <f>INDEX('DEFAULT DATA'!$NV$9:$WC$40,$C$10,61)</f>
        <v>-84.37</v>
      </c>
      <c r="D263" s="1054">
        <f>INDEX('DEFAULT DATA'!$NV$9:$WC$40,$C$10,62)</f>
        <v>-16.87</v>
      </c>
      <c r="E263" s="1054">
        <f>INDEX('DEFAULT DATA'!$NV$9:$WC$40,$C$10,63)</f>
        <v>-0.24145736434109</v>
      </c>
      <c r="F263" s="1054">
        <f>INDEX('DEFAULT DATA'!$NV$9:$WC$40,$C$10,64)</f>
        <v>0</v>
      </c>
      <c r="G263" s="1054">
        <f>INDEX('DEFAULT DATA'!$NV$9:$WC$40,$C$10,65)</f>
        <v>-0.70399999999999996</v>
      </c>
      <c r="H263" s="1055">
        <f>INDEX('DEFAULT DATA'!$NV$9:$WC$40,$C$10,66)</f>
        <v>0</v>
      </c>
      <c r="I263" s="82"/>
      <c r="J263" s="82"/>
      <c r="K263" s="82"/>
      <c r="L263" s="82"/>
      <c r="M263" s="82"/>
      <c r="N263" s="82"/>
      <c r="O263" s="82"/>
      <c r="P263" s="82"/>
      <c r="Q263" s="82"/>
      <c r="R263" s="82"/>
      <c r="S263" s="82"/>
      <c r="T263" s="82"/>
      <c r="U263" s="82"/>
      <c r="V263" s="82"/>
      <c r="W263" s="82"/>
      <c r="X263" s="82"/>
      <c r="Y263" s="82"/>
      <c r="Z263" s="82"/>
      <c r="AA263" s="82"/>
      <c r="AB263" s="82"/>
      <c r="AC263" s="82"/>
      <c r="AD263" s="82"/>
      <c r="AE263" s="82"/>
      <c r="AF263" s="82"/>
      <c r="AG263" s="82"/>
      <c r="AH263" s="82"/>
    </row>
    <row r="264" spans="2:34" ht="20.100000000000001" customHeight="1">
      <c r="B264" s="1396" t="s">
        <v>548</v>
      </c>
      <c r="C264" s="1050">
        <f>INDEX('DEFAULT DATA'!$NV$9:$WC$40,$C$10,67)</f>
        <v>7.8175695100399997E-3</v>
      </c>
      <c r="D264" s="1050">
        <f>INDEX('DEFAULT DATA'!$NV$9:$WC$40,$C$10,68)</f>
        <v>0</v>
      </c>
      <c r="E264" s="1050">
        <f>INDEX('DEFAULT DATA'!$NV$9:$WC$40,$C$10,69)</f>
        <v>0</v>
      </c>
      <c r="F264" s="1050">
        <f>INDEX('DEFAULT DATA'!$NV$9:$WC$40,$C$10,70)</f>
        <v>0</v>
      </c>
      <c r="G264" s="1050">
        <f>INDEX('DEFAULT DATA'!$NV$9:$WC$40,$C$10,71)</f>
        <v>0.74199999999999999</v>
      </c>
      <c r="H264" s="1051">
        <f>INDEX('DEFAULT DATA'!$NV$9:$WC$40,$C$10,72)</f>
        <v>0</v>
      </c>
      <c r="I264" s="82"/>
      <c r="J264" s="82"/>
      <c r="K264" s="82"/>
      <c r="L264" s="82"/>
      <c r="M264" s="82"/>
      <c r="N264" s="82"/>
      <c r="O264" s="82"/>
      <c r="P264" s="82"/>
      <c r="Q264" s="82"/>
      <c r="R264" s="82"/>
      <c r="S264" s="82"/>
      <c r="T264" s="82"/>
      <c r="U264" s="82"/>
      <c r="V264" s="82"/>
      <c r="W264" s="82"/>
      <c r="X264" s="82"/>
      <c r="Y264" s="82"/>
      <c r="Z264" s="82"/>
      <c r="AA264" s="82"/>
      <c r="AB264" s="82"/>
      <c r="AC264" s="82"/>
      <c r="AD264" s="82"/>
      <c r="AE264" s="82"/>
      <c r="AF264" s="82"/>
      <c r="AG264" s="82"/>
      <c r="AH264" s="82"/>
    </row>
    <row r="265" spans="2:34" ht="20.100000000000001" customHeight="1">
      <c r="B265" s="1396" t="s">
        <v>549</v>
      </c>
      <c r="C265" s="1050">
        <f>INDEX('DEFAULT DATA'!$NV$9:$WC$40,$C$10,73)</f>
        <v>0</v>
      </c>
      <c r="D265" s="1050">
        <f>INDEX('DEFAULT DATA'!$NV$9:$WC$40,$C$10,74)</f>
        <v>0</v>
      </c>
      <c r="E265" s="1050">
        <f>INDEX('DEFAULT DATA'!$NV$9:$WC$40,$C$10,75)</f>
        <v>0</v>
      </c>
      <c r="F265" s="1050">
        <f>INDEX('DEFAULT DATA'!$NV$9:$WC$40,$C$10,76)</f>
        <v>0</v>
      </c>
      <c r="G265" s="1050">
        <f>INDEX('DEFAULT DATA'!$NV$9:$WC$40,$C$10,77)</f>
        <v>0</v>
      </c>
      <c r="H265" s="1051">
        <f>INDEX('DEFAULT DATA'!$NV$9:$WC$40,$C$10,78)</f>
        <v>0</v>
      </c>
      <c r="I265" s="82"/>
      <c r="J265" s="82"/>
      <c r="K265" s="82"/>
      <c r="L265" s="82"/>
      <c r="M265" s="82"/>
      <c r="N265" s="82"/>
      <c r="O265" s="82"/>
      <c r="P265" s="82"/>
      <c r="Q265" s="82"/>
      <c r="R265" s="82"/>
      <c r="S265" s="82"/>
      <c r="T265" s="82"/>
      <c r="U265" s="82"/>
      <c r="V265" s="82"/>
      <c r="W265" s="82"/>
      <c r="X265" s="82"/>
      <c r="Y265" s="82"/>
      <c r="Z265" s="82"/>
      <c r="AA265" s="82"/>
      <c r="AB265" s="82"/>
      <c r="AC265" s="82"/>
      <c r="AD265" s="82"/>
      <c r="AE265" s="82"/>
      <c r="AF265" s="82"/>
      <c r="AG265" s="82"/>
      <c r="AH265" s="82"/>
    </row>
    <row r="266" spans="2:34" ht="20.100000000000001" customHeight="1">
      <c r="B266" s="1396" t="s">
        <v>550</v>
      </c>
      <c r="C266" s="1050">
        <f>INDEX('DEFAULT DATA'!$NV$9:$WC$40,$C$10,79)</f>
        <v>0</v>
      </c>
      <c r="D266" s="1050">
        <f>INDEX('DEFAULT DATA'!$NV$9:$WC$40,$C$10,80)</f>
        <v>0</v>
      </c>
      <c r="E266" s="1050">
        <f>INDEX('DEFAULT DATA'!$NV$9:$WC$40,$C$10,81)</f>
        <v>0</v>
      </c>
      <c r="F266" s="1050">
        <f>INDEX('DEFAULT DATA'!$NV$9:$WC$40,$C$10,82)</f>
        <v>0</v>
      </c>
      <c r="G266" s="1050">
        <f>INDEX('DEFAULT DATA'!$NV$9:$WC$40,$C$10,83)</f>
        <v>0</v>
      </c>
      <c r="H266" s="1051">
        <f>INDEX('DEFAULT DATA'!$NV$9:$WC$40,$C$10,84)</f>
        <v>0</v>
      </c>
      <c r="I266" s="82"/>
      <c r="J266" s="82"/>
      <c r="K266" s="82"/>
      <c r="L266" s="82"/>
      <c r="M266" s="82"/>
      <c r="N266" s="82"/>
      <c r="O266" s="82"/>
      <c r="P266" s="82"/>
      <c r="Q266" s="82"/>
      <c r="R266" s="82"/>
      <c r="S266" s="82"/>
      <c r="T266" s="82"/>
      <c r="U266" s="82"/>
      <c r="V266" s="82"/>
      <c r="W266" s="82"/>
      <c r="X266" s="82"/>
      <c r="Y266" s="82"/>
      <c r="Z266" s="82"/>
      <c r="AA266" s="82"/>
      <c r="AB266" s="82"/>
      <c r="AC266" s="82"/>
      <c r="AD266" s="82"/>
      <c r="AE266" s="82"/>
      <c r="AF266" s="82"/>
      <c r="AG266" s="82"/>
      <c r="AH266" s="82"/>
    </row>
    <row r="267" spans="2:34" ht="20.100000000000001" customHeight="1" thickBot="1">
      <c r="B267" s="1397" t="s">
        <v>551</v>
      </c>
      <c r="C267" s="1052">
        <f>INDEX('DEFAULT DATA'!$NV$9:$WC$40,$C$10,85)</f>
        <v>0</v>
      </c>
      <c r="D267" s="1052">
        <f>INDEX('DEFAULT DATA'!$NV$9:$WC$40,$C$10,86)</f>
        <v>0</v>
      </c>
      <c r="E267" s="1052">
        <f>INDEX('DEFAULT DATA'!$NV$9:$WC$40,$C$10,87)</f>
        <v>0</v>
      </c>
      <c r="F267" s="1052">
        <f>INDEX('DEFAULT DATA'!$NV$9:$WC$40,$C$10,88)</f>
        <v>0</v>
      </c>
      <c r="G267" s="1052">
        <f>INDEX('DEFAULT DATA'!$NV$9:$WC$40,$C$10,89)</f>
        <v>0</v>
      </c>
      <c r="H267" s="1053">
        <f>INDEX('DEFAULT DATA'!$NV$9:$WC$40,$C$10,90)</f>
        <v>0</v>
      </c>
      <c r="I267" s="82"/>
      <c r="J267" s="82"/>
      <c r="K267" s="82"/>
      <c r="L267" s="82"/>
      <c r="M267" s="82"/>
      <c r="N267" s="82"/>
      <c r="O267" s="82"/>
      <c r="P267" s="82"/>
      <c r="Q267" s="82"/>
      <c r="R267" s="82"/>
      <c r="S267" s="82"/>
      <c r="T267" s="82"/>
      <c r="U267" s="82"/>
      <c r="V267" s="82"/>
      <c r="W267" s="82"/>
      <c r="X267" s="82"/>
      <c r="Y267" s="82"/>
      <c r="Z267" s="82"/>
      <c r="AA267" s="82"/>
      <c r="AB267" s="82"/>
      <c r="AC267" s="82"/>
      <c r="AD267" s="82"/>
      <c r="AE267" s="82"/>
      <c r="AF267" s="82"/>
      <c r="AG267" s="82"/>
      <c r="AH267" s="82"/>
    </row>
    <row r="268" spans="2:34" ht="20.100000000000001" customHeight="1">
      <c r="B268" s="1395" t="s">
        <v>526</v>
      </c>
      <c r="C268" s="1054">
        <f>INDEX('DEFAULT DATA'!$NV$9:$WC$40,$C$10,91)</f>
        <v>0</v>
      </c>
      <c r="D268" s="1054">
        <f>INDEX('DEFAULT DATA'!$NV$9:$WC$40,$C$10,92)</f>
        <v>0</v>
      </c>
      <c r="E268" s="1054">
        <f>INDEX('DEFAULT DATA'!$NV$9:$WC$40,$C$10,93)</f>
        <v>0</v>
      </c>
      <c r="F268" s="1054">
        <f>INDEX('DEFAULT DATA'!$NV$9:$WC$40,$C$10,94)</f>
        <v>0</v>
      </c>
      <c r="G268" s="1054">
        <f>INDEX('DEFAULT DATA'!$NV$9:$WC$40,$C$10,95)</f>
        <v>0</v>
      </c>
      <c r="H268" s="1055">
        <f>INDEX('DEFAULT DATA'!$NV$9:$WC$40,$C$10,96)</f>
        <v>0</v>
      </c>
      <c r="I268" s="82"/>
      <c r="J268" s="82"/>
      <c r="K268" s="82"/>
      <c r="L268" s="82"/>
      <c r="M268" s="82"/>
      <c r="N268" s="82"/>
      <c r="O268" s="82"/>
      <c r="P268" s="82"/>
      <c r="Q268" s="82"/>
      <c r="R268" s="82"/>
      <c r="S268" s="82"/>
      <c r="T268" s="82"/>
      <c r="U268" s="82"/>
      <c r="V268" s="82"/>
      <c r="W268" s="82"/>
      <c r="X268" s="82"/>
      <c r="Y268" s="82"/>
      <c r="Z268" s="82"/>
      <c r="AA268" s="82"/>
      <c r="AB268" s="82"/>
      <c r="AC268" s="82"/>
      <c r="AD268" s="82"/>
      <c r="AE268" s="82"/>
      <c r="AF268" s="82"/>
      <c r="AG268" s="82"/>
      <c r="AH268" s="82"/>
    </row>
    <row r="269" spans="2:34" ht="20.100000000000001" customHeight="1">
      <c r="B269" s="1396" t="s">
        <v>527</v>
      </c>
      <c r="C269" s="1050">
        <f>INDEX('DEFAULT DATA'!$NV$9:$WC$40,$C$10,97)</f>
        <v>0</v>
      </c>
      <c r="D269" s="1050">
        <f>INDEX('DEFAULT DATA'!$NV$9:$WC$40,$C$10,98)</f>
        <v>0</v>
      </c>
      <c r="E269" s="1050">
        <f>INDEX('DEFAULT DATA'!$NV$9:$WC$40,$C$10,99)</f>
        <v>0</v>
      </c>
      <c r="F269" s="1050">
        <f>INDEX('DEFAULT DATA'!$NV$9:$WC$40,$C$10,100)</f>
        <v>0</v>
      </c>
      <c r="G269" s="1050">
        <f>INDEX('DEFAULT DATA'!$NV$9:$WC$40,$C$10,101)</f>
        <v>0</v>
      </c>
      <c r="H269" s="1051">
        <f>INDEX('DEFAULT DATA'!$NV$9:$WC$40,$C$10,102)</f>
        <v>0</v>
      </c>
      <c r="I269" s="82"/>
      <c r="J269" s="82"/>
      <c r="K269" s="82"/>
      <c r="L269" s="82"/>
      <c r="M269" s="82"/>
      <c r="N269" s="82"/>
      <c r="O269" s="82"/>
      <c r="P269" s="82"/>
      <c r="Q269" s="82"/>
      <c r="R269" s="82"/>
      <c r="S269" s="82"/>
      <c r="T269" s="82"/>
      <c r="U269" s="82"/>
      <c r="V269" s="82"/>
      <c r="W269" s="82"/>
      <c r="X269" s="82"/>
      <c r="Y269" s="82"/>
      <c r="Z269" s="82"/>
      <c r="AA269" s="82"/>
      <c r="AB269" s="82"/>
      <c r="AC269" s="82"/>
      <c r="AD269" s="82"/>
      <c r="AE269" s="82"/>
      <c r="AF269" s="82"/>
      <c r="AG269" s="82"/>
      <c r="AH269" s="82"/>
    </row>
    <row r="270" spans="2:34" ht="20.100000000000001" customHeight="1">
      <c r="B270" s="1396" t="s">
        <v>552</v>
      </c>
      <c r="C270" s="1050">
        <f>INDEX('DEFAULT DATA'!$NV$9:$WC$40,$C$10,103)</f>
        <v>0</v>
      </c>
      <c r="D270" s="1050">
        <f>INDEX('DEFAULT DATA'!$NV$9:$WC$40,$C$10,104)</f>
        <v>0</v>
      </c>
      <c r="E270" s="1050">
        <f>INDEX('DEFAULT DATA'!$NV$9:$WC$40,$C$10,105)</f>
        <v>0</v>
      </c>
      <c r="F270" s="1050">
        <f>INDEX('DEFAULT DATA'!$NV$9:$WC$40,$C$10,106)</f>
        <v>0</v>
      </c>
      <c r="G270" s="1050">
        <f>INDEX('DEFAULT DATA'!$NV$9:$WC$40,$C$10,107)</f>
        <v>0</v>
      </c>
      <c r="H270" s="1051">
        <f>INDEX('DEFAULT DATA'!$NV$9:$WC$40,$C$10,108)</f>
        <v>0</v>
      </c>
      <c r="I270" s="82"/>
      <c r="J270" s="82"/>
      <c r="K270" s="82"/>
      <c r="L270" s="82"/>
      <c r="M270" s="82"/>
      <c r="N270" s="82"/>
      <c r="O270" s="82"/>
      <c r="P270" s="82"/>
      <c r="Q270" s="82"/>
      <c r="R270" s="82"/>
      <c r="S270" s="82"/>
      <c r="T270" s="82"/>
      <c r="U270" s="82"/>
      <c r="V270" s="82"/>
      <c r="W270" s="82"/>
      <c r="X270" s="82"/>
      <c r="Y270" s="82"/>
      <c r="Z270" s="82"/>
      <c r="AA270" s="82"/>
      <c r="AB270" s="82"/>
      <c r="AC270" s="82"/>
      <c r="AD270" s="82"/>
      <c r="AE270" s="82"/>
      <c r="AF270" s="82"/>
      <c r="AG270" s="82"/>
      <c r="AH270" s="82"/>
    </row>
    <row r="271" spans="2:34" ht="20.100000000000001" customHeight="1">
      <c r="B271" s="1396" t="s">
        <v>553</v>
      </c>
      <c r="C271" s="1050">
        <f>INDEX('DEFAULT DATA'!$NV$9:$WC$40,$C$10,109)</f>
        <v>0</v>
      </c>
      <c r="D271" s="1050">
        <f>INDEX('DEFAULT DATA'!$NV$9:$WC$40,$C$10,110)</f>
        <v>0</v>
      </c>
      <c r="E271" s="1050">
        <f>INDEX('DEFAULT DATA'!$NV$9:$WC$40,$C$10,111)</f>
        <v>0</v>
      </c>
      <c r="F271" s="1050">
        <f>INDEX('DEFAULT DATA'!$NV$9:$WC$40,$C$10,112)</f>
        <v>0</v>
      </c>
      <c r="G271" s="1050">
        <f>INDEX('DEFAULT DATA'!$NV$9:$WC$40,$C$10,113)</f>
        <v>0</v>
      </c>
      <c r="H271" s="1051">
        <f>INDEX('DEFAULT DATA'!$NV$9:$WC$40,$C$10,114)</f>
        <v>0</v>
      </c>
      <c r="I271" s="82"/>
      <c r="J271" s="82"/>
      <c r="K271" s="82"/>
      <c r="L271" s="82"/>
      <c r="M271" s="82"/>
      <c r="N271" s="82"/>
      <c r="O271" s="82"/>
      <c r="P271" s="82"/>
      <c r="Q271" s="82"/>
      <c r="R271" s="82"/>
      <c r="S271" s="82"/>
      <c r="T271" s="82"/>
      <c r="U271" s="82"/>
      <c r="V271" s="82"/>
      <c r="W271" s="82"/>
      <c r="X271" s="82"/>
      <c r="Y271" s="82"/>
      <c r="Z271" s="82"/>
      <c r="AA271" s="82"/>
      <c r="AB271" s="82"/>
      <c r="AC271" s="82"/>
      <c r="AD271" s="82"/>
      <c r="AE271" s="82"/>
      <c r="AF271" s="82"/>
      <c r="AG271" s="82"/>
      <c r="AH271" s="82"/>
    </row>
    <row r="272" spans="2:34" ht="20.100000000000001" customHeight="1" thickBot="1">
      <c r="B272" s="1397" t="s">
        <v>554</v>
      </c>
      <c r="C272" s="1052">
        <f>INDEX('DEFAULT DATA'!$NV$9:$WC$40,$C$10,115)</f>
        <v>0</v>
      </c>
      <c r="D272" s="1052">
        <f>INDEX('DEFAULT DATA'!$NV$9:$WC$40,$C$10,116)</f>
        <v>0</v>
      </c>
      <c r="E272" s="1052">
        <f>INDEX('DEFAULT DATA'!$NV$9:$WC$40,$C$10,117)</f>
        <v>0</v>
      </c>
      <c r="F272" s="1052">
        <f>INDEX('DEFAULT DATA'!$NV$9:$WC$40,$C$10,118)</f>
        <v>0</v>
      </c>
      <c r="G272" s="1052">
        <f>INDEX('DEFAULT DATA'!$NV$9:$WC$40,$C$10,119)</f>
        <v>0</v>
      </c>
      <c r="H272" s="1053">
        <f>INDEX('DEFAULT DATA'!$NV$9:$WC$40,$C$10,120)</f>
        <v>0</v>
      </c>
      <c r="I272" s="82"/>
      <c r="J272" s="82"/>
      <c r="K272" s="82"/>
      <c r="L272" s="82"/>
      <c r="M272" s="82"/>
      <c r="N272" s="82"/>
      <c r="O272" s="82"/>
      <c r="P272" s="82"/>
      <c r="Q272" s="82"/>
      <c r="R272" s="82"/>
      <c r="S272" s="82"/>
      <c r="T272" s="82"/>
      <c r="U272" s="82"/>
      <c r="V272" s="82"/>
      <c r="W272" s="82"/>
      <c r="X272" s="82"/>
      <c r="Y272" s="82"/>
      <c r="Z272" s="82"/>
      <c r="AA272" s="82"/>
      <c r="AB272" s="82"/>
      <c r="AC272" s="82"/>
      <c r="AD272" s="82"/>
      <c r="AE272" s="82"/>
      <c r="AF272" s="82"/>
      <c r="AG272" s="82"/>
      <c r="AH272" s="82"/>
    </row>
    <row r="273" spans="2:34" ht="20.100000000000001" customHeight="1">
      <c r="B273" s="1395" t="s">
        <v>555</v>
      </c>
      <c r="C273" s="1054">
        <f>INDEX('DEFAULT DATA'!$NV$9:$WC$40,$C$10,121)</f>
        <v>-84.37</v>
      </c>
      <c r="D273" s="1054">
        <f>INDEX('DEFAULT DATA'!$NV$9:$WC$40,$C$10,122)</f>
        <v>-16.87</v>
      </c>
      <c r="E273" s="1054">
        <f>INDEX('DEFAULT DATA'!$NV$9:$WC$40,$C$10,123)</f>
        <v>-0.45859979529171002</v>
      </c>
      <c r="F273" s="1054">
        <f>INDEX('DEFAULT DATA'!$NV$9:$WC$40,$C$10,124)</f>
        <v>0</v>
      </c>
      <c r="G273" s="1054">
        <f>INDEX('DEFAULT DATA'!$NV$9:$WC$40,$C$10,125)</f>
        <v>-1.758</v>
      </c>
      <c r="H273" s="1055">
        <f>INDEX('DEFAULT DATA'!$NV$9:$WC$40,$C$10,126)</f>
        <v>0</v>
      </c>
      <c r="I273" s="82"/>
      <c r="J273" s="82"/>
      <c r="K273" s="82"/>
      <c r="L273" s="82"/>
      <c r="M273" s="82"/>
      <c r="N273" s="82"/>
      <c r="O273" s="82"/>
      <c r="P273" s="82"/>
      <c r="Q273" s="82"/>
      <c r="R273" s="82"/>
      <c r="S273" s="82"/>
      <c r="T273" s="82"/>
      <c r="U273" s="82"/>
      <c r="V273" s="82"/>
      <c r="W273" s="82"/>
      <c r="X273" s="82"/>
      <c r="Y273" s="82"/>
      <c r="Z273" s="82"/>
      <c r="AA273" s="82"/>
      <c r="AB273" s="82"/>
      <c r="AC273" s="82"/>
      <c r="AD273" s="82"/>
      <c r="AE273" s="82"/>
      <c r="AF273" s="82"/>
      <c r="AG273" s="82"/>
      <c r="AH273" s="82"/>
    </row>
    <row r="274" spans="2:34" ht="20.100000000000001" customHeight="1">
      <c r="B274" s="1396" t="s">
        <v>556</v>
      </c>
      <c r="C274" s="1050">
        <f>INDEX('DEFAULT DATA'!$NV$9:$WC$40,$C$10,127)</f>
        <v>-0.20993225399012999</v>
      </c>
      <c r="D274" s="1050">
        <f>INDEX('DEFAULT DATA'!$NV$9:$WC$40,$C$10,128)</f>
        <v>0</v>
      </c>
      <c r="E274" s="1050">
        <f>INDEX('DEFAULT DATA'!$NV$9:$WC$40,$C$10,129)</f>
        <v>0</v>
      </c>
      <c r="F274" s="1050">
        <f>INDEX('DEFAULT DATA'!$NV$9:$WC$40,$C$10,130)</f>
        <v>0</v>
      </c>
      <c r="G274" s="1050">
        <f>INDEX('DEFAULT DATA'!$NV$9:$WC$40,$C$10,131)</f>
        <v>-0.313</v>
      </c>
      <c r="H274" s="1051">
        <f>INDEX('DEFAULT DATA'!$NV$9:$WC$40,$C$10,132)</f>
        <v>0</v>
      </c>
      <c r="I274" s="82"/>
      <c r="J274" s="82"/>
      <c r="K274" s="82"/>
      <c r="L274" s="82"/>
      <c r="M274" s="82"/>
      <c r="N274" s="82"/>
      <c r="O274" s="82"/>
      <c r="P274" s="82"/>
      <c r="Q274" s="82"/>
      <c r="R274" s="82"/>
      <c r="S274" s="82"/>
      <c r="T274" s="82"/>
      <c r="U274" s="82"/>
      <c r="V274" s="82"/>
      <c r="W274" s="82"/>
      <c r="X274" s="82"/>
      <c r="Y274" s="82"/>
      <c r="Z274" s="82"/>
      <c r="AA274" s="82"/>
      <c r="AB274" s="82"/>
      <c r="AC274" s="82"/>
      <c r="AD274" s="82"/>
      <c r="AE274" s="82"/>
      <c r="AF274" s="82"/>
      <c r="AG274" s="82"/>
      <c r="AH274" s="82"/>
    </row>
    <row r="275" spans="2:34" ht="20.100000000000001" customHeight="1">
      <c r="B275" s="1396" t="s">
        <v>557</v>
      </c>
      <c r="C275" s="1050">
        <f>INDEX('DEFAULT DATA'!$NV$9:$WC$40,$C$10,133)</f>
        <v>-4.7951309271049999E-2</v>
      </c>
      <c r="D275" s="1050">
        <f>INDEX('DEFAULT DATA'!$NV$9:$WC$40,$C$10,134)</f>
        <v>0</v>
      </c>
      <c r="E275" s="1050">
        <f>INDEX('DEFAULT DATA'!$NV$9:$WC$40,$C$10,135)</f>
        <v>0</v>
      </c>
      <c r="F275" s="1050">
        <f>INDEX('DEFAULT DATA'!$NV$9:$WC$40,$C$10,136)</f>
        <v>0</v>
      </c>
      <c r="G275" s="1050">
        <f>INDEX('DEFAULT DATA'!$NV$9:$WC$40,$C$10,137)</f>
        <v>-1.0549999999999999</v>
      </c>
      <c r="H275" s="1051">
        <f>INDEX('DEFAULT DATA'!$NV$9:$WC$40,$C$10,138)</f>
        <v>0</v>
      </c>
      <c r="I275" s="82"/>
      <c r="J275" s="82"/>
      <c r="K275" s="82"/>
      <c r="L275" s="82"/>
      <c r="M275" s="82"/>
      <c r="N275" s="82"/>
      <c r="O275" s="82"/>
      <c r="P275" s="82"/>
      <c r="Q275" s="82"/>
      <c r="R275" s="82"/>
      <c r="S275" s="82"/>
      <c r="T275" s="82"/>
      <c r="U275" s="82"/>
      <c r="V275" s="82"/>
      <c r="W275" s="82"/>
      <c r="X275" s="82"/>
      <c r="Y275" s="82"/>
      <c r="Z275" s="82"/>
      <c r="AA275" s="82"/>
      <c r="AB275" s="82"/>
      <c r="AC275" s="82"/>
      <c r="AD275" s="82"/>
      <c r="AE275" s="82"/>
      <c r="AF275" s="82"/>
      <c r="AG275" s="82"/>
      <c r="AH275" s="82"/>
    </row>
    <row r="276" spans="2:34" ht="20.100000000000001" customHeight="1">
      <c r="B276" s="1396" t="s">
        <v>558</v>
      </c>
      <c r="C276" s="1050">
        <f>INDEX('DEFAULT DATA'!$NV$9:$WC$40,$C$10,139)</f>
        <v>0</v>
      </c>
      <c r="D276" s="1050">
        <f>INDEX('DEFAULT DATA'!$NV$9:$WC$40,$C$10,140)</f>
        <v>0</v>
      </c>
      <c r="E276" s="1050">
        <f>INDEX('DEFAULT DATA'!$NV$9:$WC$40,$C$10,141)</f>
        <v>0</v>
      </c>
      <c r="F276" s="1050">
        <f>INDEX('DEFAULT DATA'!$NV$9:$WC$40,$C$10,142)</f>
        <v>0</v>
      </c>
      <c r="G276" s="1050">
        <f>INDEX('DEFAULT DATA'!$NV$9:$WC$40,$C$10,143)</f>
        <v>0</v>
      </c>
      <c r="H276" s="1051">
        <f>INDEX('DEFAULT DATA'!$NV$9:$WC$40,$C$10,144)</f>
        <v>0</v>
      </c>
      <c r="I276" s="82"/>
      <c r="J276" s="82"/>
      <c r="K276" s="82"/>
      <c r="L276" s="82"/>
      <c r="M276" s="82"/>
      <c r="N276" s="82"/>
      <c r="O276" s="82"/>
      <c r="P276" s="82"/>
      <c r="Q276" s="82"/>
      <c r="R276" s="82"/>
      <c r="S276" s="82"/>
      <c r="T276" s="82"/>
      <c r="U276" s="82"/>
      <c r="V276" s="82"/>
      <c r="W276" s="82"/>
      <c r="X276" s="82"/>
      <c r="Y276" s="82"/>
      <c r="Z276" s="82"/>
      <c r="AA276" s="82"/>
      <c r="AB276" s="82"/>
      <c r="AC276" s="82"/>
      <c r="AD276" s="82"/>
      <c r="AE276" s="82"/>
      <c r="AF276" s="82"/>
      <c r="AG276" s="82"/>
      <c r="AH276" s="82"/>
    </row>
    <row r="277" spans="2:34" ht="20.100000000000001" customHeight="1" thickBot="1">
      <c r="B277" s="1397" t="s">
        <v>559</v>
      </c>
      <c r="C277" s="1052">
        <f>INDEX('DEFAULT DATA'!$NV$9:$WC$40,$C$10,145)</f>
        <v>0</v>
      </c>
      <c r="D277" s="1052">
        <f>INDEX('DEFAULT DATA'!$NV$9:$WC$40,$C$10,146)</f>
        <v>0</v>
      </c>
      <c r="E277" s="1052">
        <f>INDEX('DEFAULT DATA'!$NV$9:$WC$40,$C$10,147)</f>
        <v>0</v>
      </c>
      <c r="F277" s="1052">
        <f>INDEX('DEFAULT DATA'!$NV$9:$WC$40,$C$10,148)</f>
        <v>0</v>
      </c>
      <c r="G277" s="1052">
        <f>INDEX('DEFAULT DATA'!$NV$9:$WC$40,$C$10,149)</f>
        <v>0</v>
      </c>
      <c r="H277" s="1053">
        <f>INDEX('DEFAULT DATA'!$NV$9:$WC$40,$C$10,150)</f>
        <v>0</v>
      </c>
      <c r="I277" s="82"/>
      <c r="J277" s="82"/>
      <c r="K277" s="82"/>
      <c r="L277" s="82"/>
      <c r="M277" s="82"/>
      <c r="N277" s="82"/>
      <c r="O277" s="82"/>
      <c r="P277" s="82"/>
      <c r="Q277" s="82"/>
      <c r="R277" s="82"/>
      <c r="S277" s="82"/>
      <c r="T277" s="82"/>
      <c r="U277" s="82"/>
      <c r="V277" s="82"/>
      <c r="W277" s="82"/>
      <c r="X277" s="82"/>
      <c r="Y277" s="82"/>
      <c r="Z277" s="82"/>
      <c r="AA277" s="82"/>
      <c r="AB277" s="82"/>
      <c r="AC277" s="82"/>
      <c r="AD277" s="82"/>
      <c r="AE277" s="82"/>
      <c r="AF277" s="82"/>
      <c r="AG277" s="82"/>
      <c r="AH277" s="82"/>
    </row>
    <row r="278" spans="2:34" ht="20.100000000000001" customHeight="1">
      <c r="B278" s="1395" t="s">
        <v>560</v>
      </c>
      <c r="C278" s="1054">
        <f>INDEX('DEFAULT DATA'!$NV$9:$WC$40,$C$10,151)</f>
        <v>-84.37</v>
      </c>
      <c r="D278" s="1054">
        <f>INDEX('DEFAULT DATA'!$NV$9:$WC$40,$C$10,152)</f>
        <v>-16.87</v>
      </c>
      <c r="E278" s="1054">
        <f>INDEX('DEFAULT DATA'!$NV$9:$WC$40,$C$10,153)</f>
        <v>-0.20018962807752999</v>
      </c>
      <c r="F278" s="1054">
        <f>INDEX('DEFAULT DATA'!$NV$9:$WC$40,$C$10,154)</f>
        <v>0</v>
      </c>
      <c r="G278" s="1054">
        <f>INDEX('DEFAULT DATA'!$NV$9:$WC$40,$C$10,155)</f>
        <v>-1.758</v>
      </c>
      <c r="H278" s="1055">
        <f>INDEX('DEFAULT DATA'!$NV$9:$WC$40,$C$10,156)</f>
        <v>0</v>
      </c>
      <c r="I278" s="82"/>
      <c r="J278" s="82"/>
      <c r="K278" s="82"/>
      <c r="L278" s="82"/>
      <c r="M278" s="82"/>
      <c r="N278" s="82"/>
      <c r="O278" s="82"/>
      <c r="P278" s="82"/>
      <c r="Q278" s="82"/>
      <c r="R278" s="82"/>
      <c r="S278" s="82"/>
      <c r="T278" s="82"/>
      <c r="U278" s="82"/>
      <c r="V278" s="82"/>
      <c r="W278" s="82"/>
      <c r="X278" s="82"/>
      <c r="Y278" s="82"/>
      <c r="Z278" s="82"/>
      <c r="AA278" s="82"/>
      <c r="AB278" s="82"/>
      <c r="AC278" s="82"/>
      <c r="AD278" s="82"/>
      <c r="AE278" s="82"/>
      <c r="AF278" s="82"/>
      <c r="AG278" s="82"/>
      <c r="AH278" s="82"/>
    </row>
    <row r="279" spans="2:34" ht="20.100000000000001" customHeight="1">
      <c r="B279" s="1396" t="s">
        <v>561</v>
      </c>
      <c r="C279" s="1050">
        <f>INDEX('DEFAULT DATA'!$NV$9:$WC$40,$C$10,157)</f>
        <v>-0.13159524712425999</v>
      </c>
      <c r="D279" s="1050">
        <f>INDEX('DEFAULT DATA'!$NV$9:$WC$40,$C$10,158)</f>
        <v>0</v>
      </c>
      <c r="E279" s="1050">
        <f>INDEX('DEFAULT DATA'!$NV$9:$WC$40,$C$10,159)</f>
        <v>0</v>
      </c>
      <c r="F279" s="1050">
        <f>INDEX('DEFAULT DATA'!$NV$9:$WC$40,$C$10,160)</f>
        <v>0</v>
      </c>
      <c r="G279" s="1050">
        <f>INDEX('DEFAULT DATA'!$NV$9:$WC$40,$C$10,161)</f>
        <v>-0.313</v>
      </c>
      <c r="H279" s="1051">
        <f>INDEX('DEFAULT DATA'!$NV$9:$WC$40,$C$10,162)</f>
        <v>0</v>
      </c>
      <c r="I279" s="82"/>
      <c r="J279" s="82"/>
      <c r="K279" s="82"/>
      <c r="L279" s="82"/>
      <c r="M279" s="82"/>
      <c r="N279" s="82"/>
      <c r="O279" s="82"/>
      <c r="P279" s="82"/>
      <c r="Q279" s="82"/>
      <c r="R279" s="82"/>
      <c r="S279" s="82"/>
      <c r="T279" s="82"/>
      <c r="U279" s="82"/>
      <c r="V279" s="82"/>
      <c r="W279" s="82"/>
      <c r="X279" s="82"/>
      <c r="Y279" s="82"/>
      <c r="Z279" s="82"/>
      <c r="AA279" s="82"/>
      <c r="AB279" s="82"/>
      <c r="AC279" s="82"/>
      <c r="AD279" s="82"/>
      <c r="AE279" s="82"/>
      <c r="AF279" s="82"/>
      <c r="AG279" s="82"/>
      <c r="AH279" s="82"/>
    </row>
    <row r="280" spans="2:34" ht="20.100000000000001" customHeight="1">
      <c r="B280" s="1396" t="s">
        <v>562</v>
      </c>
      <c r="C280" s="1050">
        <f>INDEX('DEFAULT DATA'!$NV$9:$WC$40,$C$10,163)</f>
        <v>0</v>
      </c>
      <c r="D280" s="1050">
        <f>INDEX('DEFAULT DATA'!$NV$9:$WC$40,$C$10,164)</f>
        <v>0</v>
      </c>
      <c r="E280" s="1050">
        <f>INDEX('DEFAULT DATA'!$NV$9:$WC$40,$C$10,165)</f>
        <v>0</v>
      </c>
      <c r="F280" s="1050">
        <f>INDEX('DEFAULT DATA'!$NV$9:$WC$40,$C$10,166)</f>
        <v>0</v>
      </c>
      <c r="G280" s="1050">
        <f>INDEX('DEFAULT DATA'!$NV$9:$WC$40,$C$10,167)</f>
        <v>-1.0549999999999999</v>
      </c>
      <c r="H280" s="1051">
        <f>INDEX('DEFAULT DATA'!$NV$9:$WC$40,$C$10,168)</f>
        <v>0</v>
      </c>
      <c r="I280" s="82"/>
      <c r="J280" s="82"/>
      <c r="K280" s="82"/>
      <c r="L280" s="82"/>
      <c r="M280" s="82"/>
      <c r="N280" s="82"/>
      <c r="O280" s="82"/>
      <c r="P280" s="82"/>
      <c r="Q280" s="82"/>
      <c r="R280" s="82"/>
      <c r="S280" s="82"/>
      <c r="T280" s="82"/>
      <c r="U280" s="82"/>
      <c r="V280" s="82"/>
      <c r="W280" s="82"/>
      <c r="X280" s="82"/>
      <c r="Y280" s="82"/>
      <c r="Z280" s="82"/>
      <c r="AA280" s="82"/>
      <c r="AB280" s="82"/>
      <c r="AC280" s="82"/>
      <c r="AD280" s="82"/>
      <c r="AE280" s="82"/>
      <c r="AF280" s="82"/>
      <c r="AG280" s="82"/>
      <c r="AH280" s="82"/>
    </row>
    <row r="281" spans="2:34" ht="20.100000000000001" customHeight="1">
      <c r="B281" s="1396" t="s">
        <v>563</v>
      </c>
      <c r="C281" s="1050">
        <f>INDEX('DEFAULT DATA'!$NV$9:$WC$40,$C$10,169)</f>
        <v>0</v>
      </c>
      <c r="D281" s="1050">
        <f>INDEX('DEFAULT DATA'!$NV$9:$WC$40,$C$10,170)</f>
        <v>0</v>
      </c>
      <c r="E281" s="1050">
        <f>INDEX('DEFAULT DATA'!$NV$9:$WC$40,$C$10,171)</f>
        <v>0</v>
      </c>
      <c r="F281" s="1050">
        <f>INDEX('DEFAULT DATA'!$NV$9:$WC$40,$C$10,172)</f>
        <v>0</v>
      </c>
      <c r="G281" s="1050">
        <f>INDEX('DEFAULT DATA'!$NV$9:$WC$40,$C$10,173)</f>
        <v>0</v>
      </c>
      <c r="H281" s="1051">
        <f>INDEX('DEFAULT DATA'!$NV$9:$WC$40,$C$10,174)</f>
        <v>0</v>
      </c>
      <c r="I281" s="82"/>
      <c r="J281" s="82"/>
      <c r="K281" s="82"/>
      <c r="L281" s="82"/>
      <c r="M281" s="82"/>
      <c r="N281" s="82"/>
      <c r="O281" s="82"/>
      <c r="P281" s="82"/>
      <c r="Q281" s="82"/>
      <c r="R281" s="82"/>
      <c r="S281" s="82"/>
      <c r="T281" s="82"/>
      <c r="U281" s="82"/>
      <c r="V281" s="82"/>
      <c r="W281" s="82"/>
      <c r="X281" s="82"/>
      <c r="Y281" s="82"/>
      <c r="Z281" s="82"/>
      <c r="AA281" s="82"/>
      <c r="AB281" s="82"/>
      <c r="AC281" s="82"/>
      <c r="AD281" s="82"/>
      <c r="AE281" s="82"/>
      <c r="AF281" s="82"/>
      <c r="AG281" s="82"/>
      <c r="AH281" s="82"/>
    </row>
    <row r="282" spans="2:34" ht="20.100000000000001" customHeight="1" thickBot="1">
      <c r="B282" s="1397" t="s">
        <v>564</v>
      </c>
      <c r="C282" s="1052">
        <f>INDEX('DEFAULT DATA'!$NV$9:$WC$40,$C$10,175)</f>
        <v>0</v>
      </c>
      <c r="D282" s="1052">
        <f>INDEX('DEFAULT DATA'!$NV$9:$WC$40,$C$10,176)</f>
        <v>0</v>
      </c>
      <c r="E282" s="1052">
        <f>INDEX('DEFAULT DATA'!$NV$9:$WC$40,$C$10,177)</f>
        <v>0</v>
      </c>
      <c r="F282" s="1052">
        <f>INDEX('DEFAULT DATA'!$NV$9:$WC$40,$C$10,178)</f>
        <v>0</v>
      </c>
      <c r="G282" s="1052">
        <f>INDEX('DEFAULT DATA'!$NV$9:$WC$40,$C$10,179)</f>
        <v>0</v>
      </c>
      <c r="H282" s="1053">
        <f>INDEX('DEFAULT DATA'!$NV$9:$WC$40,$C$10,180)</f>
        <v>0</v>
      </c>
      <c r="I282" s="82"/>
      <c r="J282" s="82"/>
      <c r="K282" s="82"/>
      <c r="L282" s="82"/>
      <c r="M282" s="82"/>
      <c r="N282" s="82"/>
      <c r="O282" s="82"/>
      <c r="P282" s="82"/>
      <c r="Q282" s="82"/>
      <c r="R282" s="82"/>
      <c r="S282" s="82"/>
      <c r="T282" s="82"/>
      <c r="U282" s="82"/>
      <c r="V282" s="82"/>
      <c r="W282" s="82"/>
      <c r="X282" s="82"/>
      <c r="Y282" s="82"/>
      <c r="Z282" s="82"/>
      <c r="AA282" s="82"/>
      <c r="AB282" s="82"/>
      <c r="AC282" s="82"/>
      <c r="AD282" s="82"/>
      <c r="AE282" s="82"/>
      <c r="AF282" s="82"/>
      <c r="AG282" s="82"/>
      <c r="AH282" s="82"/>
    </row>
    <row r="283" spans="2:34" ht="20.100000000000001" customHeight="1">
      <c r="B283" s="1398" t="s">
        <v>565</v>
      </c>
      <c r="C283" s="1054">
        <f>INDEX('DEFAULT DATA'!$NV$9:$WC$40,$C$10,181)</f>
        <v>0.60568332875727005</v>
      </c>
      <c r="D283" s="1054">
        <f>INDEX('DEFAULT DATA'!$NV$9:$WC$40,$C$10,182)</f>
        <v>0</v>
      </c>
      <c r="E283" s="1054">
        <f>INDEX('DEFAULT DATA'!$NV$9:$WC$40,$C$10,183)</f>
        <v>0</v>
      </c>
      <c r="F283" s="1054">
        <f>INDEX('DEFAULT DATA'!$NV$9:$WC$40,$C$10,184)</f>
        <v>0</v>
      </c>
      <c r="G283" s="1054">
        <f>INDEX('DEFAULT DATA'!$NV$9:$WC$40,$C$10,185)</f>
        <v>0</v>
      </c>
      <c r="H283" s="1055">
        <f>INDEX('DEFAULT DATA'!$NV$9:$WC$40,$C$10,186)</f>
        <v>0</v>
      </c>
      <c r="I283" s="82"/>
      <c r="J283" s="82"/>
      <c r="K283" s="82"/>
      <c r="L283" s="82"/>
      <c r="M283" s="82"/>
      <c r="N283" s="82"/>
      <c r="O283" s="82"/>
      <c r="P283" s="82"/>
      <c r="Q283" s="82"/>
      <c r="R283" s="82"/>
      <c r="S283" s="82"/>
      <c r="T283" s="82"/>
      <c r="U283" s="82"/>
      <c r="V283" s="82"/>
      <c r="W283" s="82"/>
      <c r="X283" s="82"/>
      <c r="Y283" s="82"/>
      <c r="Z283" s="82"/>
      <c r="AA283" s="82"/>
      <c r="AB283" s="82"/>
      <c r="AC283" s="82"/>
      <c r="AD283" s="82"/>
      <c r="AE283" s="82"/>
      <c r="AF283" s="82"/>
      <c r="AG283" s="82"/>
      <c r="AH283" s="82"/>
    </row>
    <row r="284" spans="2:34" ht="20.100000000000001" customHeight="1">
      <c r="B284" s="1399" t="s">
        <v>566</v>
      </c>
      <c r="C284" s="1050">
        <f>INDEX('DEFAULT DATA'!$NV$9:$WC$40,$C$10,187)</f>
        <v>0.20484022277927999</v>
      </c>
      <c r="D284" s="1050">
        <f>INDEX('DEFAULT DATA'!$NV$9:$WC$40,$C$10,188)</f>
        <v>0</v>
      </c>
      <c r="E284" s="1050">
        <f>INDEX('DEFAULT DATA'!$NV$9:$WC$40,$C$10,189)</f>
        <v>0</v>
      </c>
      <c r="F284" s="1050">
        <f>INDEX('DEFAULT DATA'!$NV$9:$WC$40,$C$10,190)</f>
        <v>0</v>
      </c>
      <c r="G284" s="1050">
        <f>INDEX('DEFAULT DATA'!$NV$9:$WC$40,$C$10,191)</f>
        <v>1.526051853429E-2</v>
      </c>
      <c r="H284" s="1051">
        <f>INDEX('DEFAULT DATA'!$NV$9:$WC$40,$C$10,192)</f>
        <v>0</v>
      </c>
      <c r="I284" s="82"/>
      <c r="J284" s="82"/>
      <c r="K284" s="82"/>
      <c r="L284" s="82"/>
      <c r="M284" s="82"/>
      <c r="N284" s="82"/>
      <c r="O284" s="82"/>
      <c r="P284" s="82"/>
      <c r="Q284" s="82"/>
      <c r="R284" s="82"/>
      <c r="S284" s="82"/>
      <c r="T284" s="82"/>
      <c r="U284" s="82"/>
      <c r="V284" s="82"/>
      <c r="W284" s="82"/>
      <c r="X284" s="82"/>
      <c r="Y284" s="82"/>
      <c r="Z284" s="82"/>
      <c r="AA284" s="82"/>
      <c r="AB284" s="82"/>
      <c r="AC284" s="82"/>
      <c r="AD284" s="82"/>
      <c r="AE284" s="82"/>
      <c r="AF284" s="82"/>
      <c r="AG284" s="82"/>
      <c r="AH284" s="82"/>
    </row>
    <row r="285" spans="2:34" ht="20.100000000000001" customHeight="1">
      <c r="B285" s="1399" t="s">
        <v>567</v>
      </c>
      <c r="C285" s="1050">
        <f>INDEX('DEFAULT DATA'!$NV$9:$WC$40,$C$10,193)</f>
        <v>0</v>
      </c>
      <c r="D285" s="1050">
        <f>INDEX('DEFAULT DATA'!$NV$9:$WC$40,$C$10,194)</f>
        <v>0</v>
      </c>
      <c r="E285" s="1050">
        <f>INDEX('DEFAULT DATA'!$NV$9:$WC$40,$C$10,195)</f>
        <v>0</v>
      </c>
      <c r="F285" s="1050">
        <f>INDEX('DEFAULT DATA'!$NV$9:$WC$40,$C$10,196)</f>
        <v>0</v>
      </c>
      <c r="G285" s="1050">
        <f>INDEX('DEFAULT DATA'!$NV$9:$WC$40,$C$10,197)</f>
        <v>0</v>
      </c>
      <c r="H285" s="1051">
        <f>INDEX('DEFAULT DATA'!$NV$9:$WC$40,$C$10,198)</f>
        <v>0</v>
      </c>
      <c r="I285" s="82"/>
      <c r="J285" s="82"/>
      <c r="K285" s="82"/>
      <c r="L285" s="82"/>
      <c r="M285" s="82"/>
      <c r="N285" s="82"/>
      <c r="O285" s="82"/>
      <c r="P285" s="82"/>
      <c r="Q285" s="82"/>
      <c r="R285" s="82"/>
      <c r="S285" s="82"/>
      <c r="T285" s="82"/>
      <c r="U285" s="82"/>
      <c r="V285" s="82"/>
      <c r="W285" s="82"/>
      <c r="X285" s="82"/>
      <c r="Y285" s="82"/>
      <c r="Z285" s="82"/>
      <c r="AA285" s="82"/>
      <c r="AB285" s="82"/>
      <c r="AC285" s="82"/>
      <c r="AD285" s="82"/>
      <c r="AE285" s="82"/>
      <c r="AF285" s="82"/>
      <c r="AG285" s="82"/>
      <c r="AH285" s="82"/>
    </row>
    <row r="286" spans="2:34" ht="20.100000000000001" customHeight="1">
      <c r="B286" s="1399" t="s">
        <v>568</v>
      </c>
      <c r="C286" s="1050">
        <f>INDEX('DEFAULT DATA'!$NV$9:$WC$40,$C$10,199)</f>
        <v>0</v>
      </c>
      <c r="D286" s="1050">
        <f>INDEX('DEFAULT DATA'!$NV$9:$WC$40,$C$10,200)</f>
        <v>0</v>
      </c>
      <c r="E286" s="1050">
        <f>INDEX('DEFAULT DATA'!$NV$9:$WC$40,$C$10,201)</f>
        <v>0</v>
      </c>
      <c r="F286" s="1050">
        <f>INDEX('DEFAULT DATA'!$NV$9:$WC$40,$C$10,202)</f>
        <v>0</v>
      </c>
      <c r="G286" s="1050">
        <f>INDEX('DEFAULT DATA'!$NV$9:$WC$40,$C$10,203)</f>
        <v>0</v>
      </c>
      <c r="H286" s="1051">
        <f>INDEX('DEFAULT DATA'!$NV$9:$WC$40,$C$10,204)</f>
        <v>0</v>
      </c>
      <c r="I286" s="82"/>
      <c r="J286" s="82"/>
      <c r="K286" s="82"/>
      <c r="L286" s="82"/>
      <c r="M286" s="82"/>
      <c r="N286" s="82"/>
      <c r="O286" s="82"/>
      <c r="P286" s="82"/>
      <c r="Q286" s="82"/>
      <c r="R286" s="82"/>
      <c r="S286" s="82"/>
      <c r="T286" s="82"/>
      <c r="U286" s="82"/>
      <c r="V286" s="82"/>
      <c r="W286" s="82"/>
      <c r="X286" s="82"/>
      <c r="Y286" s="82"/>
      <c r="Z286" s="82"/>
      <c r="AA286" s="82"/>
      <c r="AB286" s="82"/>
      <c r="AC286" s="82"/>
      <c r="AD286" s="82"/>
      <c r="AE286" s="82"/>
      <c r="AF286" s="82"/>
      <c r="AG286" s="82"/>
      <c r="AH286" s="82"/>
    </row>
    <row r="287" spans="2:34" ht="20.100000000000001" customHeight="1">
      <c r="B287" s="1399" t="s">
        <v>569</v>
      </c>
      <c r="C287" s="1050">
        <f>INDEX('DEFAULT DATA'!$NV$9:$WC$40,$C$10,205)</f>
        <v>0</v>
      </c>
      <c r="D287" s="1050">
        <f>INDEX('DEFAULT DATA'!$NV$9:$WC$40,$C$10,206)</f>
        <v>0</v>
      </c>
      <c r="E287" s="1050">
        <f>INDEX('DEFAULT DATA'!$NV$9:$WC$40,$C$10,207)</f>
        <v>0</v>
      </c>
      <c r="F287" s="1050">
        <f>INDEX('DEFAULT DATA'!$NV$9:$WC$40,$C$10,208)</f>
        <v>0</v>
      </c>
      <c r="G287" s="1050">
        <f>INDEX('DEFAULT DATA'!$NV$9:$WC$40,$C$10,209)</f>
        <v>0</v>
      </c>
      <c r="H287" s="1051">
        <f>INDEX('DEFAULT DATA'!$NV$9:$WC$40,$C$10,210)</f>
        <v>0</v>
      </c>
      <c r="I287" s="82"/>
      <c r="J287" s="82"/>
      <c r="K287" s="82"/>
      <c r="L287" s="82"/>
      <c r="M287" s="82"/>
      <c r="N287" s="82"/>
      <c r="O287" s="82"/>
      <c r="P287" s="82"/>
      <c r="Q287" s="82"/>
      <c r="R287" s="82"/>
      <c r="S287" s="82"/>
      <c r="T287" s="82"/>
      <c r="U287" s="82"/>
      <c r="V287" s="82"/>
      <c r="W287" s="82"/>
      <c r="X287" s="82"/>
      <c r="Y287" s="82"/>
      <c r="Z287" s="82"/>
      <c r="AA287" s="82"/>
      <c r="AB287" s="82"/>
      <c r="AC287" s="82"/>
      <c r="AD287" s="82"/>
      <c r="AE287" s="82"/>
      <c r="AF287" s="82"/>
      <c r="AG287" s="82"/>
      <c r="AH287" s="82"/>
    </row>
    <row r="288" spans="2:34" ht="20.100000000000001" customHeight="1" thickBot="1">
      <c r="B288" s="1400" t="s">
        <v>570</v>
      </c>
      <c r="C288" s="1052">
        <f>INDEX('DEFAULT DATA'!$NV$9:$WC$40,$C$10,211)</f>
        <v>0</v>
      </c>
      <c r="D288" s="1052">
        <f>INDEX('DEFAULT DATA'!$NV$9:$WC$40,$C$10,212)</f>
        <v>0</v>
      </c>
      <c r="E288" s="1052">
        <f>INDEX('DEFAULT DATA'!$NV$9:$WC$40,$C$10,213)</f>
        <v>0</v>
      </c>
      <c r="F288" s="1052">
        <f>INDEX('DEFAULT DATA'!$NV$9:$WC$40,$C$10,214)</f>
        <v>0</v>
      </c>
      <c r="G288" s="1052">
        <f>INDEX('DEFAULT DATA'!$NV$9:$WC$40,$C$10,215)</f>
        <v>0</v>
      </c>
      <c r="H288" s="1053">
        <f>INDEX('DEFAULT DATA'!$NV$9:$WC$40,$C$10,216)</f>
        <v>0</v>
      </c>
      <c r="I288" s="82"/>
      <c r="J288" s="82"/>
      <c r="K288" s="82"/>
      <c r="L288" s="82"/>
      <c r="M288" s="82"/>
      <c r="N288" s="82"/>
      <c r="O288" s="82"/>
      <c r="P288" s="82"/>
      <c r="Q288" s="82"/>
      <c r="R288" s="82"/>
      <c r="S288" s="82"/>
      <c r="T288" s="82"/>
      <c r="U288" s="82"/>
      <c r="V288" s="82"/>
      <c r="W288" s="82"/>
      <c r="X288" s="82"/>
      <c r="Y288" s="82"/>
      <c r="Z288" s="82"/>
      <c r="AA288" s="82"/>
      <c r="AB288" s="82"/>
      <c r="AC288" s="82"/>
      <c r="AD288" s="82"/>
      <c r="AE288" s="82"/>
      <c r="AF288" s="82"/>
      <c r="AG288" s="82"/>
      <c r="AH288" s="82"/>
    </row>
    <row r="289" spans="1:34" ht="20.100000000000001" customHeight="1">
      <c r="B289" s="82"/>
      <c r="C289" s="82"/>
      <c r="D289" s="82"/>
      <c r="E289" s="82"/>
      <c r="F289" s="82"/>
      <c r="G289" s="82"/>
      <c r="H289" s="82"/>
      <c r="I289" s="82"/>
      <c r="J289" s="82"/>
      <c r="K289" s="82"/>
      <c r="L289" s="82"/>
      <c r="M289" s="82"/>
      <c r="N289" s="82"/>
      <c r="O289" s="82"/>
      <c r="P289" s="82"/>
      <c r="Q289" s="82"/>
      <c r="R289" s="82"/>
      <c r="S289" s="82"/>
      <c r="T289" s="82"/>
      <c r="U289" s="82"/>
      <c r="V289" s="82"/>
      <c r="W289" s="82"/>
      <c r="X289" s="82"/>
      <c r="Y289" s="82"/>
      <c r="Z289" s="82"/>
      <c r="AA289" s="82"/>
      <c r="AB289" s="82"/>
      <c r="AC289" s="82"/>
      <c r="AD289" s="82"/>
      <c r="AE289" s="82"/>
      <c r="AF289" s="82"/>
      <c r="AG289" s="82"/>
      <c r="AH289" s="82"/>
    </row>
    <row r="290" spans="1:34" ht="20.100000000000001" customHeight="1">
      <c r="B290" s="668" t="s">
        <v>614</v>
      </c>
      <c r="C290" s="82"/>
      <c r="D290" s="82"/>
      <c r="E290" s="82"/>
      <c r="F290" s="82"/>
      <c r="G290" s="82"/>
      <c r="H290" s="82"/>
      <c r="I290" s="82"/>
      <c r="J290" s="82"/>
      <c r="K290" s="82"/>
      <c r="L290" s="82"/>
      <c r="M290" s="82"/>
      <c r="N290" s="82"/>
      <c r="O290" s="82"/>
      <c r="P290" s="82"/>
      <c r="Q290" s="82"/>
      <c r="R290" s="82"/>
      <c r="S290" s="82"/>
      <c r="T290" s="82"/>
      <c r="U290" s="82"/>
      <c r="V290" s="82"/>
      <c r="W290" s="82"/>
      <c r="X290" s="82"/>
      <c r="Y290" s="82"/>
      <c r="Z290" s="82"/>
      <c r="AA290" s="82"/>
      <c r="AB290" s="82"/>
      <c r="AC290" s="82"/>
      <c r="AD290" s="82"/>
      <c r="AE290" s="82"/>
      <c r="AF290" s="82"/>
      <c r="AG290" s="82"/>
      <c r="AH290" s="82"/>
    </row>
    <row r="291" spans="1:34" ht="20.100000000000001" customHeight="1">
      <c r="B291" s="82" t="s">
        <v>4148</v>
      </c>
      <c r="C291" s="82"/>
      <c r="D291" s="82"/>
      <c r="E291" s="82"/>
      <c r="F291" s="82"/>
      <c r="G291" s="82"/>
      <c r="H291" s="82"/>
      <c r="I291" s="82"/>
      <c r="J291" s="82"/>
      <c r="K291" s="82"/>
      <c r="L291" s="82"/>
      <c r="M291" s="82"/>
      <c r="N291" s="82"/>
      <c r="O291" s="82"/>
      <c r="P291" s="82"/>
      <c r="Q291" s="82"/>
      <c r="R291" s="82"/>
      <c r="S291" s="82"/>
      <c r="T291" s="82"/>
      <c r="U291" s="82"/>
      <c r="V291" s="82"/>
      <c r="W291" s="82"/>
      <c r="X291" s="82"/>
      <c r="Y291" s="82"/>
      <c r="Z291" s="82"/>
      <c r="AA291" s="82"/>
      <c r="AB291" s="82"/>
      <c r="AC291" s="82"/>
      <c r="AD291" s="82"/>
      <c r="AE291" s="82"/>
      <c r="AF291" s="82"/>
      <c r="AG291" s="82"/>
      <c r="AH291" s="82"/>
    </row>
    <row r="292" spans="1:34" ht="20.100000000000001" customHeight="1">
      <c r="B292" s="82" t="s">
        <v>4149</v>
      </c>
      <c r="C292" s="82"/>
      <c r="D292" s="82"/>
      <c r="E292" s="82"/>
      <c r="F292" s="82"/>
      <c r="G292" s="82"/>
      <c r="H292" s="82"/>
      <c r="I292" s="82"/>
      <c r="J292" s="82"/>
      <c r="K292" s="82"/>
      <c r="L292" s="82"/>
      <c r="M292" s="82"/>
      <c r="N292" s="82"/>
      <c r="O292" s="82"/>
      <c r="P292" s="82"/>
      <c r="Q292" s="82"/>
      <c r="R292" s="82"/>
      <c r="S292" s="82"/>
      <c r="T292" s="82"/>
      <c r="U292" s="82"/>
      <c r="V292" s="82"/>
      <c r="W292" s="82"/>
      <c r="X292" s="82"/>
      <c r="Y292" s="82"/>
      <c r="Z292" s="82"/>
      <c r="AA292" s="82"/>
      <c r="AB292" s="82"/>
      <c r="AC292" s="82"/>
      <c r="AD292" s="82"/>
      <c r="AE292" s="82"/>
      <c r="AF292" s="82"/>
      <c r="AG292" s="82"/>
      <c r="AH292" s="82"/>
    </row>
    <row r="293" spans="1:34" ht="20.100000000000001" customHeight="1">
      <c r="A293" s="668">
        <v>1</v>
      </c>
      <c r="B293" s="120" t="s">
        <v>1525</v>
      </c>
      <c r="C293" s="82"/>
      <c r="D293" s="82"/>
      <c r="E293" s="82"/>
      <c r="F293" s="82"/>
      <c r="G293" s="82"/>
      <c r="H293" s="82"/>
      <c r="I293" s="82"/>
      <c r="J293" s="82"/>
      <c r="K293" s="82"/>
      <c r="L293" s="82"/>
      <c r="M293" s="82"/>
      <c r="N293" s="82"/>
      <c r="O293" s="82"/>
      <c r="P293" s="82"/>
      <c r="Q293" s="82"/>
      <c r="R293" s="82"/>
      <c r="S293" s="82"/>
      <c r="T293" s="82"/>
      <c r="U293" s="82"/>
      <c r="V293" s="82"/>
      <c r="W293" s="82"/>
      <c r="X293" s="82"/>
      <c r="Y293" s="82"/>
      <c r="Z293" s="82"/>
      <c r="AA293" s="82"/>
      <c r="AB293" s="82"/>
      <c r="AC293" s="82"/>
      <c r="AD293" s="82"/>
      <c r="AE293" s="82"/>
      <c r="AF293" s="82"/>
      <c r="AG293" s="82"/>
      <c r="AH293" s="82"/>
    </row>
    <row r="294" spans="1:34" ht="20.100000000000001" customHeight="1">
      <c r="A294" s="668">
        <v>2</v>
      </c>
      <c r="B294" s="120" t="s">
        <v>1256</v>
      </c>
      <c r="C294" s="82"/>
      <c r="D294" s="82"/>
      <c r="E294" s="82"/>
      <c r="F294" s="82"/>
      <c r="G294" s="82"/>
      <c r="H294" s="82"/>
      <c r="I294" s="82"/>
      <c r="J294" s="82"/>
      <c r="K294" s="82"/>
      <c r="L294" s="82"/>
      <c r="M294" s="82"/>
      <c r="N294" s="82"/>
      <c r="O294" s="82"/>
      <c r="P294" s="82"/>
      <c r="Q294" s="82"/>
      <c r="R294" s="82"/>
      <c r="S294" s="82"/>
      <c r="T294" s="82"/>
      <c r="U294" s="82"/>
      <c r="V294" s="82"/>
      <c r="W294" s="82"/>
      <c r="X294" s="82"/>
      <c r="Y294" s="82"/>
      <c r="Z294" s="82"/>
      <c r="AA294" s="82"/>
      <c r="AB294" s="82"/>
      <c r="AC294" s="82"/>
      <c r="AD294" s="82"/>
      <c r="AE294" s="82"/>
      <c r="AF294" s="82"/>
      <c r="AG294" s="82"/>
      <c r="AH294" s="82"/>
    </row>
    <row r="295" spans="1:34" ht="20.100000000000001" customHeight="1">
      <c r="A295" s="668">
        <v>3</v>
      </c>
      <c r="B295" s="120" t="s">
        <v>1284</v>
      </c>
      <c r="C295" s="82"/>
      <c r="D295" s="82"/>
      <c r="E295" s="82"/>
      <c r="F295" s="82"/>
      <c r="G295" s="82"/>
      <c r="H295" s="82"/>
      <c r="I295" s="82"/>
      <c r="J295" s="82"/>
      <c r="K295" s="82"/>
      <c r="L295" s="82"/>
      <c r="M295" s="82"/>
      <c r="N295" s="82"/>
      <c r="O295" s="82"/>
      <c r="P295" s="82"/>
      <c r="Q295" s="82"/>
      <c r="R295" s="82"/>
      <c r="S295" s="82"/>
      <c r="T295" s="82"/>
      <c r="U295" s="82"/>
      <c r="V295" s="82"/>
      <c r="W295" s="82"/>
      <c r="X295" s="82"/>
      <c r="Y295" s="82"/>
      <c r="Z295" s="82"/>
      <c r="AA295" s="82"/>
      <c r="AB295" s="82"/>
      <c r="AC295" s="82"/>
      <c r="AD295" s="82"/>
      <c r="AE295" s="82"/>
      <c r="AF295" s="82"/>
      <c r="AG295" s="82"/>
      <c r="AH295" s="82"/>
    </row>
    <row r="296" spans="1:34" ht="20.100000000000001" customHeight="1">
      <c r="A296" s="668">
        <v>4</v>
      </c>
      <c r="B296" s="120" t="s">
        <v>1371</v>
      </c>
      <c r="C296" s="82"/>
      <c r="D296" s="82"/>
      <c r="E296" s="82"/>
      <c r="F296" s="82"/>
      <c r="G296" s="82"/>
      <c r="H296" s="82"/>
      <c r="I296" s="82"/>
      <c r="J296" s="82"/>
      <c r="K296" s="82"/>
      <c r="L296" s="82"/>
      <c r="M296" s="82"/>
      <c r="N296" s="82"/>
      <c r="O296" s="82"/>
      <c r="P296" s="82"/>
      <c r="Q296" s="82"/>
      <c r="R296" s="82"/>
      <c r="S296" s="82"/>
      <c r="T296" s="82"/>
      <c r="U296" s="82"/>
      <c r="V296" s="82"/>
      <c r="W296" s="82"/>
      <c r="X296" s="82"/>
      <c r="Y296" s="82"/>
      <c r="Z296" s="82"/>
      <c r="AA296" s="82"/>
      <c r="AB296" s="82"/>
      <c r="AC296" s="82"/>
      <c r="AD296" s="82"/>
      <c r="AE296" s="82"/>
      <c r="AF296" s="82"/>
      <c r="AG296" s="82"/>
      <c r="AH296" s="82"/>
    </row>
    <row r="297" spans="1:34" ht="20.100000000000001" customHeight="1">
      <c r="B297" s="112" t="s">
        <v>1031</v>
      </c>
      <c r="C297" s="82"/>
      <c r="D297" s="82"/>
      <c r="E297" s="82"/>
      <c r="F297" s="82"/>
      <c r="G297" s="82"/>
      <c r="H297" s="82"/>
      <c r="I297" s="82"/>
      <c r="J297" s="82"/>
      <c r="K297" s="82"/>
      <c r="L297" s="82"/>
      <c r="M297" s="82"/>
      <c r="N297" s="82"/>
      <c r="O297" s="82"/>
      <c r="P297" s="82"/>
      <c r="Q297" s="82"/>
      <c r="R297" s="82"/>
      <c r="S297" s="82"/>
      <c r="T297" s="82"/>
      <c r="U297" s="82"/>
      <c r="V297" s="82"/>
      <c r="W297" s="82"/>
      <c r="X297" s="82"/>
      <c r="Y297" s="82"/>
      <c r="Z297" s="82"/>
      <c r="AA297" s="82"/>
      <c r="AB297" s="82"/>
      <c r="AC297" s="82"/>
      <c r="AD297" s="82"/>
      <c r="AE297" s="82"/>
      <c r="AF297" s="82"/>
      <c r="AG297" s="82"/>
      <c r="AH297" s="82"/>
    </row>
    <row r="298" spans="1:34" ht="20.100000000000001" customHeight="1">
      <c r="A298" s="668">
        <v>1</v>
      </c>
      <c r="B298" s="120" t="s">
        <v>2120</v>
      </c>
      <c r="C298" s="82"/>
      <c r="D298" s="82"/>
      <c r="E298" s="82"/>
      <c r="F298" s="82"/>
      <c r="G298" s="82"/>
      <c r="H298" s="82"/>
      <c r="I298" s="82"/>
      <c r="J298" s="82"/>
      <c r="K298" s="82"/>
      <c r="L298" s="82"/>
      <c r="M298" s="82"/>
      <c r="N298" s="82"/>
      <c r="O298" s="82"/>
      <c r="P298" s="82"/>
      <c r="Q298" s="82"/>
      <c r="R298" s="82"/>
      <c r="S298" s="82"/>
      <c r="T298" s="82"/>
      <c r="U298" s="82"/>
      <c r="V298" s="82"/>
      <c r="W298" s="82"/>
      <c r="X298" s="82"/>
      <c r="Y298" s="82"/>
      <c r="Z298" s="82"/>
      <c r="AA298" s="82"/>
      <c r="AB298" s="82"/>
      <c r="AC298" s="82"/>
      <c r="AD298" s="82"/>
      <c r="AE298" s="82"/>
      <c r="AF298" s="82"/>
      <c r="AG298" s="82"/>
      <c r="AH298" s="82"/>
    </row>
    <row r="299" spans="1:34" ht="20.100000000000001" customHeight="1">
      <c r="A299" s="668">
        <v>2</v>
      </c>
      <c r="B299" s="120" t="s">
        <v>2121</v>
      </c>
      <c r="C299" s="82"/>
      <c r="D299" s="82"/>
      <c r="E299" s="82"/>
      <c r="F299" s="82"/>
      <c r="G299" s="82"/>
      <c r="H299" s="82"/>
      <c r="I299" s="82"/>
      <c r="J299" s="82"/>
      <c r="K299" s="82"/>
      <c r="L299" s="82"/>
      <c r="M299" s="82"/>
      <c r="N299" s="82"/>
      <c r="O299" s="82"/>
      <c r="P299" s="82"/>
      <c r="Q299" s="82"/>
      <c r="R299" s="82"/>
      <c r="S299" s="82"/>
      <c r="T299" s="82"/>
      <c r="U299" s="82"/>
      <c r="V299" s="82"/>
      <c r="W299" s="82"/>
      <c r="X299" s="82"/>
      <c r="Y299" s="82"/>
      <c r="Z299" s="82"/>
      <c r="AA299" s="82"/>
      <c r="AB299" s="82"/>
      <c r="AC299" s="82"/>
      <c r="AD299" s="82"/>
      <c r="AE299" s="82"/>
      <c r="AF299" s="82"/>
      <c r="AG299" s="82"/>
      <c r="AH299" s="82"/>
    </row>
    <row r="300" spans="1:34" ht="20.100000000000001" customHeight="1">
      <c r="A300" s="668">
        <v>3</v>
      </c>
      <c r="B300" s="120" t="s">
        <v>2122</v>
      </c>
      <c r="C300" s="82"/>
      <c r="D300" s="82"/>
      <c r="E300" s="82"/>
      <c r="F300" s="82"/>
      <c r="G300" s="82"/>
      <c r="H300" s="82"/>
      <c r="I300" s="82"/>
      <c r="J300" s="82"/>
      <c r="K300" s="82"/>
      <c r="L300" s="82"/>
      <c r="M300" s="82"/>
      <c r="N300" s="82"/>
      <c r="O300" s="82"/>
      <c r="P300" s="82"/>
      <c r="Q300" s="82"/>
      <c r="R300" s="82"/>
      <c r="S300" s="82"/>
      <c r="T300" s="82"/>
      <c r="U300" s="82"/>
      <c r="V300" s="82"/>
      <c r="W300" s="82"/>
      <c r="X300" s="82"/>
      <c r="Y300" s="82"/>
      <c r="Z300" s="82"/>
      <c r="AA300" s="82"/>
      <c r="AB300" s="82"/>
      <c r="AC300" s="82"/>
      <c r="AD300" s="82"/>
      <c r="AE300" s="82"/>
      <c r="AF300" s="82"/>
      <c r="AG300" s="82"/>
      <c r="AH300" s="82"/>
    </row>
    <row r="301" spans="1:34" ht="20.100000000000001" customHeight="1">
      <c r="A301" s="668">
        <v>4</v>
      </c>
      <c r="B301" s="120" t="s">
        <v>2123</v>
      </c>
      <c r="C301" s="82"/>
      <c r="D301" s="82"/>
      <c r="E301" s="82"/>
      <c r="F301" s="82"/>
      <c r="G301" s="82"/>
      <c r="H301" s="82"/>
      <c r="I301" s="82"/>
      <c r="J301" s="82"/>
      <c r="K301" s="82"/>
      <c r="L301" s="82"/>
      <c r="M301" s="82"/>
      <c r="N301" s="82"/>
      <c r="O301" s="82"/>
      <c r="P301" s="82"/>
      <c r="Q301" s="82"/>
      <c r="R301" s="82"/>
      <c r="S301" s="82"/>
      <c r="T301" s="82"/>
      <c r="U301" s="82"/>
      <c r="V301" s="82"/>
      <c r="W301" s="82"/>
      <c r="X301" s="82"/>
      <c r="Y301" s="82"/>
      <c r="Z301" s="82"/>
      <c r="AA301" s="82"/>
      <c r="AB301" s="82"/>
      <c r="AC301" s="82"/>
      <c r="AD301" s="82"/>
      <c r="AE301" s="82"/>
      <c r="AF301" s="82"/>
      <c r="AG301" s="82"/>
      <c r="AH301" s="82"/>
    </row>
    <row r="302" spans="1:34" ht="20.100000000000001" customHeight="1">
      <c r="A302" s="668">
        <v>5</v>
      </c>
      <c r="B302" s="120" t="s">
        <v>4133</v>
      </c>
      <c r="C302" s="82"/>
      <c r="D302" s="82"/>
      <c r="E302" s="82"/>
      <c r="F302" s="82"/>
      <c r="G302" s="82"/>
      <c r="H302" s="82"/>
      <c r="I302" s="82"/>
      <c r="J302" s="82"/>
      <c r="K302" s="82"/>
      <c r="L302" s="82"/>
      <c r="M302" s="82"/>
      <c r="N302" s="82"/>
      <c r="O302" s="82"/>
      <c r="P302" s="82"/>
      <c r="Q302" s="82"/>
      <c r="R302" s="82"/>
      <c r="S302" s="82"/>
      <c r="T302" s="82"/>
      <c r="U302" s="82"/>
      <c r="V302" s="82"/>
      <c r="W302" s="82"/>
      <c r="X302" s="82"/>
      <c r="Y302" s="82"/>
      <c r="Z302" s="82"/>
      <c r="AA302" s="82"/>
      <c r="AB302" s="82"/>
      <c r="AC302" s="82"/>
      <c r="AD302" s="82"/>
      <c r="AE302" s="82"/>
      <c r="AF302" s="82"/>
      <c r="AG302" s="82"/>
      <c r="AH302" s="82"/>
    </row>
    <row r="303" spans="1:34" ht="20.100000000000001" customHeight="1">
      <c r="A303" s="668">
        <v>6</v>
      </c>
      <c r="B303" s="120" t="s">
        <v>2125</v>
      </c>
      <c r="C303" s="82"/>
      <c r="D303" s="82"/>
      <c r="E303" s="82"/>
      <c r="F303" s="82"/>
      <c r="G303" s="82"/>
      <c r="H303" s="82"/>
      <c r="I303" s="82"/>
      <c r="J303" s="82"/>
      <c r="K303" s="82"/>
      <c r="L303" s="82"/>
      <c r="M303" s="82"/>
      <c r="N303" s="82"/>
      <c r="O303" s="82"/>
      <c r="P303" s="82"/>
      <c r="Q303" s="82"/>
      <c r="R303" s="82"/>
      <c r="S303" s="82"/>
      <c r="T303" s="82"/>
      <c r="U303" s="82"/>
      <c r="V303" s="82"/>
      <c r="W303" s="82"/>
      <c r="X303" s="82"/>
      <c r="Y303" s="82"/>
      <c r="Z303" s="82"/>
      <c r="AA303" s="82"/>
      <c r="AB303" s="82"/>
      <c r="AC303" s="82"/>
      <c r="AD303" s="82"/>
      <c r="AE303" s="82"/>
      <c r="AF303" s="82"/>
      <c r="AG303" s="82"/>
      <c r="AH303" s="82"/>
    </row>
    <row r="304" spans="1:34" ht="20.100000000000001" customHeight="1">
      <c r="B304" s="82"/>
      <c r="C304" s="82"/>
      <c r="D304" s="82"/>
      <c r="E304" s="82"/>
      <c r="F304" s="82"/>
      <c r="G304" s="82"/>
      <c r="H304" s="82"/>
      <c r="I304" s="82"/>
      <c r="J304" s="82"/>
      <c r="K304" s="82"/>
      <c r="L304" s="82"/>
      <c r="M304" s="82"/>
      <c r="N304" s="82"/>
      <c r="O304" s="82"/>
      <c r="P304" s="82"/>
      <c r="Q304" s="82"/>
      <c r="R304" s="82"/>
      <c r="S304" s="82"/>
      <c r="T304" s="82"/>
      <c r="U304" s="82"/>
      <c r="V304" s="82"/>
      <c r="W304" s="82"/>
      <c r="X304" s="82"/>
      <c r="Y304" s="82"/>
      <c r="Z304" s="82"/>
      <c r="AA304" s="82"/>
      <c r="AB304" s="82"/>
      <c r="AC304" s="82"/>
      <c r="AD304" s="82"/>
      <c r="AE304" s="82"/>
      <c r="AF304" s="82"/>
      <c r="AG304" s="82"/>
      <c r="AH304" s="82"/>
    </row>
    <row r="305" spans="2:34" ht="20.100000000000001" customHeight="1">
      <c r="B305" s="82"/>
      <c r="C305" s="82"/>
      <c r="D305" s="82"/>
      <c r="E305" s="82"/>
      <c r="F305" s="82"/>
      <c r="G305" s="82"/>
      <c r="H305" s="82"/>
      <c r="I305" s="82"/>
      <c r="J305" s="82"/>
      <c r="K305" s="82"/>
      <c r="L305" s="82"/>
      <c r="M305" s="82"/>
      <c r="N305" s="82"/>
      <c r="O305" s="82"/>
      <c r="P305" s="82"/>
      <c r="Q305" s="82"/>
      <c r="R305" s="82"/>
      <c r="S305" s="82"/>
      <c r="T305" s="82"/>
      <c r="U305" s="82"/>
      <c r="V305" s="82"/>
      <c r="W305" s="82"/>
      <c r="X305" s="82"/>
      <c r="Y305" s="82"/>
      <c r="Z305" s="82"/>
      <c r="AA305" s="82"/>
      <c r="AB305" s="82"/>
      <c r="AC305" s="82"/>
      <c r="AD305" s="82"/>
      <c r="AE305" s="82"/>
      <c r="AF305" s="82"/>
      <c r="AG305" s="82"/>
      <c r="AH305" s="82"/>
    </row>
    <row r="306" spans="2:34" ht="20.100000000000001" customHeight="1">
      <c r="B306" s="82"/>
      <c r="C306" s="82"/>
      <c r="D306" s="82"/>
      <c r="E306" s="82"/>
      <c r="F306" s="82"/>
      <c r="G306" s="82"/>
      <c r="H306" s="82"/>
      <c r="I306" s="82"/>
      <c r="J306" s="82"/>
      <c r="K306" s="82"/>
      <c r="L306" s="82"/>
      <c r="M306" s="82"/>
      <c r="N306" s="82"/>
      <c r="O306" s="82"/>
      <c r="P306" s="82"/>
      <c r="Q306" s="82"/>
      <c r="R306" s="82"/>
      <c r="S306" s="82"/>
      <c r="T306" s="82"/>
      <c r="U306" s="82"/>
      <c r="V306" s="82"/>
      <c r="W306" s="82"/>
      <c r="X306" s="82"/>
      <c r="Y306" s="82"/>
      <c r="Z306" s="82"/>
      <c r="AA306" s="82"/>
      <c r="AB306" s="82"/>
      <c r="AC306" s="82"/>
      <c r="AD306" s="82"/>
      <c r="AE306" s="82"/>
      <c r="AF306" s="82"/>
      <c r="AG306" s="82"/>
      <c r="AH306" s="82"/>
    </row>
    <row r="307" spans="2:34" ht="20.100000000000001" customHeight="1">
      <c r="B307" s="82"/>
      <c r="C307" s="82"/>
      <c r="D307" s="82"/>
      <c r="E307" s="82"/>
      <c r="F307" s="82"/>
      <c r="G307" s="82"/>
      <c r="H307" s="82"/>
      <c r="I307" s="82"/>
      <c r="J307" s="82"/>
      <c r="K307" s="82"/>
      <c r="L307" s="82"/>
      <c r="M307" s="82"/>
      <c r="N307" s="82"/>
      <c r="O307" s="82"/>
      <c r="P307" s="82"/>
      <c r="Q307" s="82"/>
      <c r="R307" s="82"/>
      <c r="S307" s="82"/>
      <c r="T307" s="82"/>
      <c r="U307" s="82"/>
      <c r="V307" s="82"/>
      <c r="W307" s="82"/>
      <c r="X307" s="82"/>
      <c r="Y307" s="82"/>
      <c r="Z307" s="82"/>
      <c r="AA307" s="82"/>
      <c r="AB307" s="82"/>
      <c r="AC307" s="82"/>
      <c r="AD307" s="82"/>
      <c r="AE307" s="82"/>
      <c r="AF307" s="82"/>
      <c r="AG307" s="82"/>
      <c r="AH307" s="82"/>
    </row>
    <row r="308" spans="2:34" ht="20.100000000000001" customHeight="1">
      <c r="B308" s="82"/>
      <c r="C308" s="82"/>
      <c r="D308" s="82"/>
      <c r="E308" s="82"/>
      <c r="F308" s="82"/>
      <c r="G308" s="82"/>
      <c r="H308" s="82"/>
      <c r="I308" s="82"/>
      <c r="J308" s="82"/>
      <c r="K308" s="82"/>
      <c r="L308" s="82"/>
      <c r="M308" s="82"/>
      <c r="N308" s="82"/>
      <c r="O308" s="82"/>
      <c r="P308" s="82"/>
      <c r="Q308" s="82"/>
      <c r="R308" s="82"/>
      <c r="S308" s="82"/>
      <c r="T308" s="82"/>
      <c r="U308" s="82"/>
      <c r="V308" s="82"/>
      <c r="W308" s="82"/>
      <c r="X308" s="82"/>
      <c r="Y308" s="82"/>
      <c r="Z308" s="82"/>
      <c r="AA308" s="82"/>
      <c r="AB308" s="82"/>
      <c r="AC308" s="82"/>
      <c r="AD308" s="82"/>
      <c r="AE308" s="82"/>
      <c r="AF308" s="82"/>
      <c r="AG308" s="82"/>
      <c r="AH308" s="82"/>
    </row>
    <row r="309" spans="2:34" ht="20.100000000000001" customHeight="1">
      <c r="B309" s="246" t="s">
        <v>4121</v>
      </c>
      <c r="C309" s="1318" t="s">
        <v>4152</v>
      </c>
      <c r="D309" s="82"/>
      <c r="E309" s="82"/>
      <c r="F309" s="82"/>
      <c r="G309" s="82"/>
      <c r="H309" s="82"/>
      <c r="I309" s="82"/>
      <c r="J309" s="82"/>
      <c r="K309" s="82"/>
      <c r="L309" s="82"/>
      <c r="M309" s="82"/>
      <c r="N309" s="82"/>
      <c r="O309" s="82"/>
      <c r="P309" s="82"/>
      <c r="Q309" s="82"/>
      <c r="R309" s="82"/>
      <c r="S309" s="82"/>
      <c r="T309" s="82"/>
      <c r="U309" s="82"/>
      <c r="V309" s="82"/>
      <c r="W309" s="82"/>
      <c r="X309" s="82"/>
      <c r="Y309" s="82"/>
      <c r="Z309" s="82"/>
      <c r="AA309" s="82"/>
      <c r="AB309" s="82"/>
      <c r="AC309" s="82"/>
      <c r="AD309" s="82"/>
      <c r="AE309" s="82"/>
      <c r="AF309" s="82"/>
      <c r="AG309" s="82"/>
      <c r="AH309" s="82"/>
    </row>
    <row r="310" spans="2:34" ht="20.100000000000001" customHeight="1">
      <c r="B310" s="82" t="s">
        <v>862</v>
      </c>
      <c r="C310" s="131"/>
      <c r="D310" s="82"/>
      <c r="E310" s="82"/>
      <c r="F310" s="82"/>
      <c r="G310" s="82"/>
      <c r="H310" s="82"/>
      <c r="I310" s="82"/>
      <c r="J310" s="82"/>
      <c r="K310" s="82"/>
      <c r="L310" s="82"/>
      <c r="M310" s="82"/>
      <c r="N310" s="82"/>
      <c r="O310" s="82"/>
      <c r="P310" s="82"/>
      <c r="Q310" s="82"/>
      <c r="R310" s="82"/>
      <c r="S310" s="82"/>
      <c r="T310" s="82"/>
      <c r="U310" s="82"/>
      <c r="V310" s="82"/>
      <c r="W310" s="82"/>
      <c r="X310" s="82"/>
      <c r="Y310" s="82"/>
      <c r="Z310" s="82"/>
      <c r="AA310" s="82"/>
      <c r="AB310" s="82"/>
      <c r="AC310" s="82"/>
      <c r="AD310" s="82"/>
      <c r="AE310" s="82"/>
      <c r="AF310" s="82"/>
      <c r="AG310" s="82"/>
      <c r="AH310" s="82"/>
    </row>
    <row r="311" spans="2:34" ht="20.100000000000001" customHeight="1">
      <c r="B311" s="82" t="s">
        <v>863</v>
      </c>
      <c r="C311" s="131"/>
      <c r="D311" s="82"/>
      <c r="E311" s="82"/>
      <c r="F311" s="82"/>
      <c r="G311" s="82"/>
      <c r="H311" s="82"/>
      <c r="I311" s="82"/>
      <c r="J311" s="82"/>
      <c r="K311" s="82"/>
      <c r="L311" s="82"/>
      <c r="M311" s="82"/>
      <c r="N311" s="82"/>
      <c r="O311" s="82"/>
      <c r="P311" s="82"/>
      <c r="Q311" s="82"/>
      <c r="R311" s="82"/>
      <c r="S311" s="82"/>
      <c r="T311" s="82"/>
      <c r="U311" s="82"/>
      <c r="V311" s="82"/>
      <c r="W311" s="82"/>
      <c r="X311" s="82"/>
      <c r="Y311" s="82"/>
      <c r="Z311" s="82"/>
      <c r="AA311" s="82"/>
      <c r="AB311" s="82"/>
      <c r="AC311" s="82"/>
      <c r="AD311" s="82"/>
      <c r="AE311" s="82"/>
      <c r="AF311" s="82"/>
      <c r="AG311" s="82"/>
      <c r="AH311" s="82"/>
    </row>
    <row r="312" spans="2:34" ht="20.100000000000001" customHeight="1">
      <c r="B312" s="82" t="s">
        <v>864</v>
      </c>
      <c r="C312" s="131"/>
      <c r="D312" s="82"/>
      <c r="E312" s="82"/>
      <c r="F312" s="82"/>
      <c r="G312" s="82"/>
      <c r="H312" s="82"/>
      <c r="I312" s="82"/>
      <c r="J312" s="82"/>
      <c r="K312" s="82"/>
      <c r="L312" s="82"/>
      <c r="M312" s="82"/>
      <c r="N312" s="82"/>
      <c r="O312" s="82"/>
      <c r="P312" s="82"/>
      <c r="Q312" s="82"/>
      <c r="R312" s="82"/>
      <c r="S312" s="82"/>
      <c r="T312" s="82"/>
      <c r="U312" s="82"/>
      <c r="V312" s="82"/>
      <c r="W312" s="82"/>
      <c r="X312" s="82"/>
      <c r="Y312" s="82"/>
      <c r="Z312" s="82"/>
      <c r="AA312" s="82"/>
      <c r="AB312" s="82"/>
      <c r="AC312" s="82"/>
      <c r="AD312" s="82"/>
      <c r="AE312" s="82"/>
      <c r="AF312" s="82"/>
      <c r="AG312" s="82"/>
      <c r="AH312" s="82"/>
    </row>
    <row r="313" spans="2:34" ht="20.100000000000001" customHeight="1">
      <c r="B313" s="82" t="s">
        <v>865</v>
      </c>
      <c r="C313" s="131"/>
      <c r="D313" s="82"/>
      <c r="E313" s="82"/>
      <c r="F313" s="82"/>
      <c r="G313" s="82"/>
      <c r="H313" s="82"/>
      <c r="I313" s="82"/>
      <c r="J313" s="82"/>
      <c r="K313" s="82"/>
      <c r="L313" s="82"/>
      <c r="M313" s="82"/>
      <c r="N313" s="82"/>
      <c r="O313" s="82"/>
      <c r="P313" s="82"/>
      <c r="Q313" s="82"/>
      <c r="R313" s="82"/>
      <c r="S313" s="82"/>
      <c r="T313" s="82"/>
      <c r="U313" s="82"/>
      <c r="V313" s="82"/>
      <c r="W313" s="82"/>
      <c r="X313" s="82"/>
      <c r="Y313" s="82"/>
      <c r="Z313" s="82"/>
      <c r="AA313" s="82"/>
      <c r="AB313" s="82"/>
      <c r="AC313" s="82"/>
      <c r="AD313" s="82"/>
      <c r="AE313" s="82"/>
      <c r="AF313" s="82"/>
      <c r="AG313" s="82"/>
      <c r="AH313" s="82"/>
    </row>
    <row r="314" spans="2:34" ht="20.100000000000001" customHeight="1">
      <c r="B314" s="82" t="s">
        <v>866</v>
      </c>
      <c r="C314" s="131"/>
      <c r="D314" s="82"/>
      <c r="E314" s="82"/>
      <c r="F314" s="82"/>
      <c r="G314" s="82"/>
      <c r="H314" s="82"/>
      <c r="I314" s="82"/>
      <c r="J314" s="82"/>
      <c r="K314" s="82"/>
      <c r="L314" s="82"/>
      <c r="M314" s="82"/>
      <c r="N314" s="82"/>
      <c r="O314" s="82"/>
      <c r="P314" s="82"/>
      <c r="Q314" s="82"/>
      <c r="R314" s="82"/>
      <c r="S314" s="82"/>
      <c r="T314" s="82"/>
      <c r="U314" s="82"/>
      <c r="V314" s="82"/>
      <c r="W314" s="82"/>
      <c r="X314" s="82"/>
      <c r="Y314" s="82"/>
      <c r="Z314" s="82"/>
      <c r="AA314" s="82"/>
      <c r="AB314" s="82"/>
      <c r="AC314" s="82"/>
      <c r="AD314" s="82"/>
      <c r="AE314" s="82"/>
      <c r="AF314" s="82"/>
      <c r="AG314" s="82"/>
      <c r="AH314" s="82"/>
    </row>
    <row r="315" spans="2:34" ht="20.100000000000001" customHeight="1">
      <c r="B315" s="82" t="s">
        <v>4122</v>
      </c>
      <c r="C315" s="131"/>
      <c r="D315" s="82"/>
      <c r="E315" s="82"/>
      <c r="F315" s="82"/>
      <c r="G315" s="82"/>
      <c r="H315" s="82"/>
      <c r="I315" s="82"/>
      <c r="J315" s="82"/>
      <c r="K315" s="82"/>
      <c r="L315" s="82"/>
      <c r="M315" s="82"/>
      <c r="N315" s="82"/>
      <c r="O315" s="82"/>
      <c r="P315" s="82"/>
      <c r="Q315" s="82"/>
      <c r="R315" s="82"/>
      <c r="S315" s="82"/>
      <c r="T315" s="82"/>
      <c r="U315" s="82"/>
      <c r="V315" s="82"/>
      <c r="W315" s="82"/>
      <c r="X315" s="82"/>
      <c r="Y315" s="82"/>
      <c r="Z315" s="82"/>
      <c r="AA315" s="82"/>
      <c r="AB315" s="82"/>
      <c r="AC315" s="82"/>
      <c r="AD315" s="82"/>
      <c r="AE315" s="82"/>
      <c r="AF315" s="82"/>
      <c r="AG315" s="82"/>
      <c r="AH315" s="82"/>
    </row>
    <row r="316" spans="2:34" ht="20.100000000000001" customHeight="1">
      <c r="B316" s="82" t="s">
        <v>958</v>
      </c>
      <c r="C316" s="131"/>
      <c r="D316" s="82"/>
      <c r="E316" s="82"/>
      <c r="F316" s="82"/>
      <c r="G316" s="82"/>
      <c r="H316" s="82"/>
      <c r="I316" s="82"/>
      <c r="J316" s="82"/>
      <c r="K316" s="82"/>
      <c r="L316" s="82"/>
      <c r="M316" s="82"/>
      <c r="N316" s="82"/>
      <c r="O316" s="82"/>
      <c r="P316" s="82"/>
      <c r="Q316" s="82"/>
      <c r="R316" s="82"/>
      <c r="S316" s="82"/>
      <c r="T316" s="82"/>
      <c r="U316" s="82"/>
      <c r="V316" s="82"/>
      <c r="W316" s="82"/>
      <c r="X316" s="82"/>
      <c r="Y316" s="82"/>
      <c r="Z316" s="82"/>
      <c r="AA316" s="82"/>
      <c r="AB316" s="82"/>
      <c r="AC316" s="82"/>
      <c r="AD316" s="82"/>
      <c r="AE316" s="82"/>
      <c r="AF316" s="82"/>
      <c r="AG316" s="82"/>
      <c r="AH316" s="82"/>
    </row>
    <row r="317" spans="2:34" ht="20.100000000000001" customHeight="1">
      <c r="B317" s="82"/>
      <c r="C317" s="82"/>
      <c r="D317" s="82"/>
      <c r="E317" s="82"/>
      <c r="F317" s="82"/>
      <c r="G317" s="82"/>
      <c r="H317" s="82"/>
      <c r="I317" s="82"/>
      <c r="J317" s="82"/>
      <c r="K317" s="82"/>
      <c r="L317" s="82"/>
      <c r="M317" s="82"/>
      <c r="N317" s="82"/>
      <c r="O317" s="82"/>
      <c r="P317" s="82"/>
      <c r="Q317" s="82"/>
      <c r="R317" s="82"/>
      <c r="S317" s="82"/>
      <c r="T317" s="82"/>
      <c r="U317" s="82"/>
      <c r="V317" s="82"/>
      <c r="W317" s="82"/>
      <c r="X317" s="82"/>
      <c r="Y317" s="82"/>
      <c r="Z317" s="82"/>
      <c r="AA317" s="82"/>
      <c r="AB317" s="82"/>
      <c r="AC317" s="82"/>
      <c r="AD317" s="82"/>
      <c r="AE317" s="82"/>
      <c r="AF317" s="82"/>
      <c r="AG317" s="82"/>
      <c r="AH317" s="82"/>
    </row>
    <row r="318" spans="2:34" ht="20.100000000000001" customHeight="1">
      <c r="B318" s="246" t="s">
        <v>4150</v>
      </c>
      <c r="C318" s="1409" t="s">
        <v>962</v>
      </c>
      <c r="D318" s="1409" t="s">
        <v>963</v>
      </c>
      <c r="E318" s="1409" t="s">
        <v>961</v>
      </c>
      <c r="F318" s="82"/>
      <c r="G318" s="82"/>
      <c r="H318" s="82"/>
      <c r="I318" s="82"/>
      <c r="J318" s="82"/>
      <c r="K318" s="82"/>
      <c r="L318" s="82"/>
      <c r="M318" s="82"/>
      <c r="N318" s="82"/>
      <c r="O318" s="82"/>
      <c r="P318" s="82"/>
      <c r="Q318" s="82"/>
      <c r="R318" s="82"/>
      <c r="S318" s="82"/>
      <c r="T318" s="82"/>
      <c r="U318" s="82"/>
      <c r="V318" s="82"/>
      <c r="W318" s="82"/>
      <c r="X318" s="82"/>
      <c r="Y318" s="82"/>
      <c r="Z318" s="82"/>
      <c r="AA318" s="82"/>
      <c r="AB318" s="82"/>
      <c r="AC318" s="82"/>
      <c r="AD318" s="82"/>
      <c r="AE318" s="82"/>
      <c r="AF318" s="82"/>
      <c r="AG318" s="82"/>
      <c r="AH318" s="82"/>
    </row>
    <row r="319" spans="2:34" ht="20.100000000000001" customHeight="1">
      <c r="B319" s="82" t="s">
        <v>4123</v>
      </c>
      <c r="C319" s="445"/>
      <c r="D319" s="445"/>
      <c r="E319" s="445"/>
      <c r="F319" s="82"/>
      <c r="G319" s="82"/>
      <c r="H319" s="82"/>
      <c r="I319" s="82"/>
      <c r="J319" s="82"/>
      <c r="K319" s="82"/>
      <c r="L319" s="82"/>
      <c r="M319" s="82"/>
      <c r="N319" s="82"/>
      <c r="O319" s="82"/>
      <c r="P319" s="82"/>
      <c r="Q319" s="82"/>
      <c r="R319" s="82"/>
      <c r="S319" s="82"/>
      <c r="T319" s="82"/>
      <c r="U319" s="82"/>
      <c r="V319" s="82"/>
      <c r="W319" s="82"/>
      <c r="X319" s="82"/>
      <c r="Y319" s="82"/>
      <c r="Z319" s="82"/>
      <c r="AA319" s="82"/>
      <c r="AB319" s="82"/>
      <c r="AC319" s="82"/>
      <c r="AD319" s="82"/>
      <c r="AE319" s="82"/>
      <c r="AF319" s="82"/>
      <c r="AG319" s="82"/>
      <c r="AH319" s="82"/>
    </row>
    <row r="320" spans="2:34" ht="20.100000000000001" customHeight="1">
      <c r="B320" s="82" t="s">
        <v>4124</v>
      </c>
      <c r="C320" s="445"/>
      <c r="D320" s="445"/>
      <c r="E320" s="445"/>
      <c r="F320" s="82"/>
      <c r="G320" s="82"/>
      <c r="H320" s="82"/>
      <c r="I320" s="82"/>
      <c r="J320" s="82"/>
      <c r="K320" s="82"/>
      <c r="L320" s="82"/>
      <c r="M320" s="82"/>
      <c r="N320" s="82"/>
      <c r="O320" s="82"/>
      <c r="P320" s="82"/>
      <c r="Q320" s="82"/>
      <c r="R320" s="82"/>
      <c r="S320" s="82"/>
      <c r="T320" s="82"/>
      <c r="U320" s="82"/>
      <c r="V320" s="82"/>
      <c r="W320" s="82"/>
      <c r="X320" s="82"/>
      <c r="Y320" s="82"/>
      <c r="Z320" s="82"/>
      <c r="AA320" s="82"/>
      <c r="AB320" s="82"/>
      <c r="AC320" s="82"/>
      <c r="AD320" s="82"/>
      <c r="AE320" s="82"/>
      <c r="AF320" s="82"/>
      <c r="AG320" s="82"/>
      <c r="AH320" s="82"/>
    </row>
    <row r="321" spans="2:34" ht="20.100000000000001" customHeight="1">
      <c r="B321" s="82" t="str">
        <f>CONCATENATE("Annual increase, A-rated ",B293)</f>
        <v>Annual increase, A-rated apartment</v>
      </c>
      <c r="C321" s="445"/>
      <c r="D321" s="445"/>
      <c r="E321" s="445"/>
      <c r="F321" s="82"/>
      <c r="G321" s="82"/>
      <c r="H321" s="82"/>
      <c r="I321" s="82"/>
      <c r="J321" s="82"/>
      <c r="K321" s="82"/>
      <c r="L321" s="82"/>
      <c r="M321" s="82"/>
      <c r="N321" s="82"/>
      <c r="O321" s="82"/>
      <c r="P321" s="82"/>
      <c r="Q321" s="82"/>
      <c r="R321" s="82"/>
      <c r="S321" s="82"/>
      <c r="T321" s="82"/>
      <c r="U321" s="82"/>
      <c r="V321" s="82"/>
      <c r="W321" s="82"/>
      <c r="X321" s="82"/>
      <c r="Y321" s="82"/>
      <c r="Z321" s="82"/>
      <c r="AA321" s="82"/>
      <c r="AB321" s="82"/>
      <c r="AC321" s="82"/>
      <c r="AD321" s="82"/>
      <c r="AE321" s="82"/>
      <c r="AF321" s="82"/>
      <c r="AG321" s="82"/>
      <c r="AH321" s="82"/>
    </row>
    <row r="322" spans="2:34" ht="20.100000000000001" customHeight="1">
      <c r="B322" s="82" t="str">
        <f>CONCATENATE("Annual increase, B-rated ",B293)</f>
        <v>Annual increase, B-rated apartment</v>
      </c>
      <c r="C322" s="445"/>
      <c r="D322" s="445"/>
      <c r="E322" s="445"/>
      <c r="F322" s="82"/>
      <c r="G322" s="82"/>
      <c r="H322" s="82"/>
      <c r="I322" s="82"/>
      <c r="J322" s="82"/>
      <c r="K322" s="82"/>
      <c r="L322" s="82"/>
      <c r="M322" s="82"/>
      <c r="N322" s="82"/>
      <c r="O322" s="82"/>
      <c r="P322" s="82"/>
      <c r="Q322" s="82"/>
      <c r="R322" s="82"/>
      <c r="S322" s="82"/>
      <c r="T322" s="82"/>
      <c r="U322" s="82"/>
      <c r="V322" s="82"/>
      <c r="W322" s="82"/>
      <c r="X322" s="82"/>
      <c r="Y322" s="82"/>
      <c r="Z322" s="82"/>
      <c r="AA322" s="82"/>
      <c r="AB322" s="82"/>
      <c r="AC322" s="82"/>
      <c r="AD322" s="82"/>
      <c r="AE322" s="82"/>
      <c r="AF322" s="82"/>
      <c r="AG322" s="82"/>
      <c r="AH322" s="82"/>
    </row>
    <row r="323" spans="2:34" ht="20.100000000000001" customHeight="1">
      <c r="B323" s="82" t="str">
        <f>CONCATENATE("Annual increase, A-rated ",B294," unit")</f>
        <v>Annual increase, A-rated terraced unit</v>
      </c>
      <c r="C323" s="445"/>
      <c r="D323" s="445"/>
      <c r="E323" s="445"/>
      <c r="F323" s="82"/>
      <c r="G323" s="82"/>
      <c r="H323" s="82"/>
      <c r="I323" s="82"/>
      <c r="J323" s="82"/>
      <c r="K323" s="82"/>
      <c r="L323" s="82"/>
      <c r="M323" s="82"/>
      <c r="N323" s="82"/>
      <c r="O323" s="82"/>
      <c r="P323" s="82"/>
      <c r="Q323" s="82"/>
      <c r="R323" s="82"/>
      <c r="S323" s="82"/>
      <c r="T323" s="82"/>
      <c r="U323" s="82"/>
      <c r="V323" s="82"/>
      <c r="W323" s="82"/>
      <c r="X323" s="82"/>
      <c r="Y323" s="82"/>
      <c r="Z323" s="82"/>
      <c r="AA323" s="82"/>
      <c r="AB323" s="82"/>
      <c r="AC323" s="82"/>
      <c r="AD323" s="82"/>
      <c r="AE323" s="82"/>
      <c r="AF323" s="82"/>
      <c r="AG323" s="82"/>
      <c r="AH323" s="82"/>
    </row>
    <row r="324" spans="2:34" ht="20.100000000000001" customHeight="1">
      <c r="B324" s="82" t="str">
        <f>CONCATENATE("Annual increase, B-rated ",B294," unit")</f>
        <v>Annual increase, B-rated terraced unit</v>
      </c>
      <c r="C324" s="445"/>
      <c r="D324" s="445"/>
      <c r="E324" s="445"/>
      <c r="F324" s="82"/>
      <c r="G324" s="82"/>
      <c r="H324" s="82"/>
      <c r="I324" s="82"/>
      <c r="J324" s="82"/>
      <c r="K324" s="82"/>
      <c r="L324" s="82"/>
      <c r="M324" s="82"/>
      <c r="N324" s="82"/>
      <c r="O324" s="82"/>
      <c r="P324" s="82"/>
      <c r="Q324" s="82"/>
      <c r="R324" s="82"/>
      <c r="S324" s="82"/>
      <c r="T324" s="82"/>
      <c r="U324" s="82"/>
      <c r="V324" s="82"/>
      <c r="W324" s="82"/>
      <c r="X324" s="82"/>
      <c r="Y324" s="82"/>
      <c r="Z324" s="82"/>
      <c r="AA324" s="82"/>
      <c r="AB324" s="82"/>
      <c r="AC324" s="82"/>
      <c r="AD324" s="82"/>
      <c r="AE324" s="82"/>
      <c r="AF324" s="82"/>
      <c r="AG324" s="82"/>
      <c r="AH324" s="82"/>
    </row>
    <row r="325" spans="2:34" ht="20.100000000000001" customHeight="1">
      <c r="B325" s="82" t="str">
        <f>CONCATENATE("Annual increase, A-rated ",B295," unit")</f>
        <v>Annual increase, A-rated semi-detached unit</v>
      </c>
      <c r="C325" s="445"/>
      <c r="D325" s="445"/>
      <c r="E325" s="445"/>
      <c r="F325" s="82"/>
      <c r="G325" s="82"/>
      <c r="H325" s="82"/>
      <c r="I325" s="82"/>
      <c r="J325" s="82"/>
      <c r="K325" s="82"/>
      <c r="L325" s="82"/>
      <c r="M325" s="82"/>
      <c r="N325" s="82"/>
      <c r="O325" s="82"/>
      <c r="P325" s="82"/>
      <c r="Q325" s="82"/>
      <c r="R325" s="82"/>
      <c r="S325" s="82"/>
      <c r="T325" s="82"/>
      <c r="U325" s="82"/>
      <c r="V325" s="82"/>
      <c r="W325" s="82"/>
      <c r="X325" s="82"/>
      <c r="Y325" s="82"/>
      <c r="Z325" s="82"/>
      <c r="AA325" s="82"/>
      <c r="AB325" s="82"/>
      <c r="AC325" s="82"/>
      <c r="AD325" s="82"/>
      <c r="AE325" s="82"/>
      <c r="AF325" s="82"/>
      <c r="AG325" s="82"/>
      <c r="AH325" s="82"/>
    </row>
    <row r="326" spans="2:34" ht="20.100000000000001" customHeight="1">
      <c r="B326" s="82" t="str">
        <f>CONCATENATE("Annual increase, B-rated ",B295," unit")</f>
        <v>Annual increase, B-rated semi-detached unit</v>
      </c>
      <c r="C326" s="445"/>
      <c r="D326" s="445"/>
      <c r="E326" s="445"/>
      <c r="F326" s="82"/>
      <c r="G326" s="82"/>
      <c r="H326" s="82"/>
      <c r="I326" s="82"/>
      <c r="J326" s="82"/>
      <c r="K326" s="82"/>
      <c r="L326" s="82"/>
      <c r="M326" s="82"/>
      <c r="N326" s="82"/>
      <c r="O326" s="82"/>
      <c r="P326" s="82"/>
      <c r="Q326" s="82"/>
      <c r="R326" s="82"/>
      <c r="S326" s="82"/>
      <c r="T326" s="82"/>
      <c r="U326" s="82"/>
      <c r="V326" s="82"/>
      <c r="W326" s="82"/>
      <c r="X326" s="82"/>
      <c r="Y326" s="82"/>
      <c r="Z326" s="82"/>
      <c r="AA326" s="82"/>
      <c r="AB326" s="82"/>
      <c r="AC326" s="82"/>
      <c r="AD326" s="82"/>
      <c r="AE326" s="82"/>
      <c r="AF326" s="82"/>
      <c r="AG326" s="82"/>
      <c r="AH326" s="82"/>
    </row>
    <row r="327" spans="2:34" ht="20.100000000000001" customHeight="1">
      <c r="B327" s="82" t="str">
        <f>CONCATENATE("Annual increase, A-rated ",B296," unit")</f>
        <v>Annual increase, A-rated detached unit</v>
      </c>
      <c r="C327" s="445"/>
      <c r="D327" s="445"/>
      <c r="E327" s="445"/>
      <c r="F327" s="82"/>
      <c r="G327" s="82"/>
      <c r="H327" s="82"/>
      <c r="I327" s="82"/>
      <c r="J327" s="82"/>
      <c r="K327" s="82"/>
      <c r="L327" s="82"/>
      <c r="M327" s="82"/>
      <c r="N327" s="82"/>
      <c r="O327" s="82"/>
      <c r="P327" s="82"/>
      <c r="Q327" s="82"/>
      <c r="R327" s="82"/>
      <c r="S327" s="82"/>
      <c r="T327" s="82"/>
      <c r="U327" s="82"/>
      <c r="V327" s="82"/>
      <c r="W327" s="82"/>
      <c r="X327" s="82"/>
      <c r="Y327" s="82"/>
      <c r="Z327" s="82"/>
      <c r="AA327" s="82"/>
      <c r="AB327" s="82"/>
      <c r="AC327" s="82"/>
      <c r="AD327" s="82"/>
      <c r="AE327" s="82"/>
      <c r="AF327" s="82"/>
      <c r="AG327" s="82"/>
      <c r="AH327" s="82"/>
    </row>
    <row r="328" spans="2:34" ht="20.100000000000001" customHeight="1">
      <c r="B328" s="82" t="str">
        <f>CONCATENATE("Annual increase, B-rated ",B296," unit")</f>
        <v>Annual increase, B-rated detached unit</v>
      </c>
      <c r="C328" s="445"/>
      <c r="D328" s="445"/>
      <c r="E328" s="445"/>
      <c r="F328" s="82"/>
      <c r="G328" s="82"/>
      <c r="H328" s="82"/>
      <c r="I328" s="82"/>
      <c r="J328" s="82"/>
      <c r="K328" s="82"/>
      <c r="L328" s="82"/>
      <c r="M328" s="82"/>
      <c r="N328" s="82"/>
      <c r="O328" s="82"/>
      <c r="P328" s="82"/>
      <c r="Q328" s="82"/>
      <c r="R328" s="82"/>
      <c r="S328" s="82"/>
      <c r="T328" s="82"/>
      <c r="U328" s="82"/>
      <c r="V328" s="82"/>
      <c r="W328" s="82"/>
      <c r="X328" s="82"/>
      <c r="Y328" s="82"/>
      <c r="Z328" s="82"/>
      <c r="AA328" s="82"/>
      <c r="AB328" s="82"/>
      <c r="AC328" s="82"/>
      <c r="AD328" s="82"/>
      <c r="AE328" s="82"/>
      <c r="AF328" s="82"/>
      <c r="AG328" s="82"/>
      <c r="AH328" s="82"/>
    </row>
    <row r="329" spans="2:34" ht="20.100000000000001" customHeight="1">
      <c r="B329" s="82" t="s">
        <v>4125</v>
      </c>
      <c r="C329" s="445"/>
      <c r="D329" s="445"/>
      <c r="E329" s="445"/>
      <c r="F329" s="82"/>
      <c r="G329" s="82"/>
      <c r="H329" s="82"/>
      <c r="I329" s="82"/>
      <c r="J329" s="82"/>
      <c r="K329" s="82"/>
      <c r="L329" s="82"/>
      <c r="M329" s="82"/>
      <c r="N329" s="82"/>
      <c r="O329" s="82"/>
      <c r="P329" s="82"/>
      <c r="Q329" s="82"/>
      <c r="R329" s="82"/>
      <c r="S329" s="82"/>
      <c r="T329" s="82"/>
      <c r="U329" s="82"/>
      <c r="V329" s="82"/>
      <c r="W329" s="82"/>
      <c r="X329" s="82"/>
      <c r="Y329" s="82"/>
      <c r="Z329" s="82"/>
      <c r="AA329" s="82"/>
      <c r="AB329" s="82"/>
      <c r="AC329" s="82"/>
      <c r="AD329" s="82"/>
      <c r="AE329" s="82"/>
      <c r="AF329" s="82"/>
      <c r="AG329" s="82"/>
      <c r="AH329" s="82"/>
    </row>
    <row r="330" spans="2:34" ht="20.100000000000001" customHeight="1">
      <c r="B330" s="82"/>
      <c r="C330" s="82"/>
      <c r="D330" s="82"/>
      <c r="E330" s="82"/>
      <c r="F330" s="82"/>
      <c r="G330" s="82"/>
      <c r="H330" s="82"/>
      <c r="I330" s="82"/>
      <c r="J330" s="82"/>
      <c r="K330" s="82"/>
      <c r="L330" s="82"/>
      <c r="M330" s="82"/>
      <c r="N330" s="82"/>
      <c r="O330" s="82"/>
      <c r="P330" s="82"/>
      <c r="Q330" s="82"/>
      <c r="R330" s="82"/>
      <c r="S330" s="82"/>
      <c r="T330" s="82"/>
      <c r="U330" s="82"/>
      <c r="V330" s="82"/>
      <c r="W330" s="82"/>
      <c r="X330" s="82"/>
      <c r="Y330" s="82"/>
      <c r="Z330" s="82"/>
      <c r="AA330" s="82"/>
      <c r="AB330" s="82"/>
      <c r="AC330" s="82"/>
      <c r="AD330" s="82"/>
      <c r="AE330" s="82"/>
      <c r="AF330" s="82"/>
      <c r="AG330" s="82"/>
      <c r="AH330" s="82"/>
    </row>
    <row r="331" spans="2:34" ht="20.100000000000001" customHeight="1">
      <c r="B331" s="82" t="s">
        <v>1629</v>
      </c>
      <c r="C331" s="1318" t="s">
        <v>4151</v>
      </c>
      <c r="D331" s="82"/>
      <c r="E331" s="82"/>
      <c r="F331" s="82"/>
      <c r="G331" s="82"/>
      <c r="H331" s="82"/>
      <c r="I331" s="82"/>
      <c r="J331" s="82"/>
      <c r="K331" s="82"/>
      <c r="L331" s="82"/>
      <c r="M331" s="82"/>
      <c r="N331" s="82"/>
      <c r="O331" s="82"/>
      <c r="P331" s="82"/>
      <c r="Q331" s="82"/>
      <c r="R331" s="82"/>
      <c r="S331" s="82"/>
      <c r="T331" s="82"/>
      <c r="U331" s="82"/>
      <c r="V331" s="82"/>
      <c r="W331" s="82"/>
      <c r="X331" s="82"/>
      <c r="Y331" s="82"/>
      <c r="Z331" s="82"/>
      <c r="AA331" s="82"/>
      <c r="AB331" s="82"/>
      <c r="AC331" s="82"/>
      <c r="AD331" s="82"/>
      <c r="AE331" s="82"/>
      <c r="AF331" s="82"/>
      <c r="AG331" s="82"/>
      <c r="AH331" s="82"/>
    </row>
    <row r="332" spans="2:34" ht="20.100000000000001" customHeight="1">
      <c r="B332" s="82" t="s">
        <v>891</v>
      </c>
      <c r="C332" s="131"/>
      <c r="D332" s="82"/>
      <c r="E332" s="82"/>
      <c r="F332" s="82"/>
      <c r="G332" s="82"/>
      <c r="H332" s="82"/>
      <c r="I332" s="82"/>
      <c r="J332" s="82"/>
      <c r="K332" s="82"/>
      <c r="L332" s="82"/>
      <c r="M332" s="82"/>
      <c r="N332" s="82"/>
      <c r="O332" s="82"/>
      <c r="P332" s="82"/>
      <c r="Q332" s="82"/>
      <c r="R332" s="82"/>
      <c r="S332" s="82"/>
      <c r="T332" s="82"/>
      <c r="U332" s="82"/>
      <c r="V332" s="82"/>
      <c r="W332" s="82"/>
      <c r="X332" s="82"/>
      <c r="Y332" s="82"/>
      <c r="Z332" s="82"/>
      <c r="AA332" s="82"/>
      <c r="AB332" s="82"/>
      <c r="AC332" s="82"/>
      <c r="AD332" s="82"/>
      <c r="AE332" s="82"/>
      <c r="AF332" s="82"/>
      <c r="AG332" s="82"/>
      <c r="AH332" s="82"/>
    </row>
    <row r="333" spans="2:34" ht="20.100000000000001" customHeight="1">
      <c r="B333" s="82" t="str">
        <f>B293</f>
        <v>apartment</v>
      </c>
      <c r="C333" s="131"/>
      <c r="D333" s="82"/>
      <c r="E333" s="82"/>
      <c r="F333" s="82"/>
      <c r="G333" s="82"/>
      <c r="H333" s="82"/>
      <c r="I333" s="82"/>
      <c r="J333" s="82"/>
      <c r="K333" s="82"/>
      <c r="L333" s="82"/>
      <c r="M333" s="82"/>
      <c r="N333" s="82"/>
      <c r="O333" s="82"/>
      <c r="P333" s="82"/>
      <c r="Q333" s="82"/>
      <c r="R333" s="82"/>
      <c r="S333" s="82"/>
      <c r="T333" s="82"/>
      <c r="U333" s="82"/>
      <c r="V333" s="82"/>
      <c r="W333" s="82"/>
      <c r="X333" s="82"/>
      <c r="Y333" s="82"/>
      <c r="Z333" s="82"/>
      <c r="AA333" s="82"/>
      <c r="AB333" s="82"/>
      <c r="AC333" s="82"/>
      <c r="AD333" s="82"/>
      <c r="AE333" s="82"/>
      <c r="AF333" s="82"/>
      <c r="AG333" s="82"/>
      <c r="AH333" s="82"/>
    </row>
    <row r="334" spans="2:34" ht="20.100000000000001" customHeight="1">
      <c r="B334" s="82" t="str">
        <f>B294</f>
        <v>terraced</v>
      </c>
      <c r="C334" s="131"/>
      <c r="D334" s="82"/>
      <c r="E334" s="82"/>
      <c r="F334" s="82"/>
      <c r="G334" s="82"/>
      <c r="H334" s="82"/>
      <c r="I334" s="82"/>
      <c r="J334" s="82"/>
      <c r="K334" s="82"/>
      <c r="L334" s="82"/>
      <c r="M334" s="82"/>
      <c r="N334" s="82"/>
      <c r="O334" s="82"/>
      <c r="P334" s="82"/>
      <c r="Q334" s="82"/>
      <c r="R334" s="82"/>
      <c r="S334" s="82"/>
      <c r="T334" s="82"/>
      <c r="U334" s="82"/>
      <c r="V334" s="82"/>
      <c r="W334" s="82"/>
      <c r="X334" s="82"/>
      <c r="Y334" s="82"/>
      <c r="Z334" s="82"/>
      <c r="AA334" s="82"/>
      <c r="AB334" s="82"/>
      <c r="AC334" s="82"/>
      <c r="AD334" s="82"/>
      <c r="AE334" s="82"/>
      <c r="AF334" s="82"/>
      <c r="AG334" s="82"/>
      <c r="AH334" s="82"/>
    </row>
    <row r="335" spans="2:34" ht="20.100000000000001" customHeight="1">
      <c r="B335" s="82" t="str">
        <f>B295</f>
        <v>semi-detached</v>
      </c>
      <c r="C335" s="131"/>
      <c r="D335" s="82"/>
      <c r="E335" s="82"/>
      <c r="F335" s="82"/>
      <c r="G335" s="82"/>
      <c r="H335" s="82"/>
      <c r="I335" s="82"/>
      <c r="J335" s="82"/>
      <c r="K335" s="82"/>
      <c r="L335" s="82"/>
      <c r="M335" s="82"/>
      <c r="N335" s="82"/>
      <c r="O335" s="82"/>
      <c r="P335" s="82"/>
      <c r="Q335" s="82"/>
      <c r="R335" s="82"/>
      <c r="S335" s="82"/>
      <c r="T335" s="82"/>
      <c r="U335" s="82"/>
      <c r="V335" s="82"/>
      <c r="W335" s="82"/>
      <c r="X335" s="82"/>
      <c r="Y335" s="82"/>
      <c r="Z335" s="82"/>
      <c r="AA335" s="82"/>
      <c r="AB335" s="82"/>
      <c r="AC335" s="82"/>
      <c r="AD335" s="82"/>
      <c r="AE335" s="82"/>
      <c r="AF335" s="82"/>
      <c r="AG335" s="82"/>
      <c r="AH335" s="82"/>
    </row>
    <row r="336" spans="2:34" ht="20.100000000000001" customHeight="1">
      <c r="B336" s="82" t="str">
        <f>B296</f>
        <v>detached</v>
      </c>
      <c r="C336" s="131"/>
      <c r="D336" s="82"/>
      <c r="E336" s="82"/>
      <c r="F336" s="82"/>
      <c r="G336" s="82"/>
      <c r="H336" s="82"/>
      <c r="I336" s="82"/>
      <c r="J336" s="82"/>
      <c r="K336" s="82"/>
      <c r="L336" s="82"/>
      <c r="M336" s="82"/>
      <c r="N336" s="82"/>
      <c r="O336" s="82"/>
      <c r="P336" s="82"/>
      <c r="Q336" s="82"/>
      <c r="R336" s="82"/>
      <c r="S336" s="82"/>
      <c r="T336" s="82"/>
      <c r="U336" s="82"/>
      <c r="V336" s="82"/>
      <c r="W336" s="82"/>
      <c r="X336" s="82"/>
      <c r="Y336" s="82"/>
      <c r="Z336" s="82"/>
      <c r="AA336" s="82"/>
      <c r="AB336" s="82"/>
      <c r="AC336" s="82"/>
      <c r="AD336" s="82"/>
      <c r="AE336" s="82"/>
      <c r="AF336" s="82"/>
      <c r="AG336" s="82"/>
      <c r="AH336" s="82"/>
    </row>
    <row r="337" spans="2:46" ht="20.100000000000001" customHeight="1">
      <c r="B337" s="82"/>
      <c r="C337" s="82"/>
      <c r="D337" s="82"/>
      <c r="F337" s="82"/>
      <c r="G337" s="82"/>
      <c r="H337" s="82"/>
      <c r="I337" s="82"/>
      <c r="J337" s="82"/>
      <c r="K337" s="82"/>
      <c r="L337" s="82"/>
      <c r="M337" s="82"/>
      <c r="N337" s="82"/>
      <c r="O337" s="82"/>
      <c r="P337" s="82"/>
      <c r="Q337" s="82"/>
      <c r="R337" s="82"/>
      <c r="S337" s="82"/>
      <c r="T337" s="82"/>
      <c r="U337" s="82"/>
      <c r="V337" s="82"/>
      <c r="W337" s="82"/>
      <c r="X337" s="82"/>
      <c r="Y337" s="82"/>
      <c r="Z337" s="82"/>
      <c r="AA337" s="82"/>
      <c r="AB337" s="82"/>
      <c r="AC337" s="82"/>
      <c r="AD337" s="82"/>
      <c r="AE337" s="82"/>
      <c r="AF337" s="82"/>
      <c r="AG337" s="82"/>
      <c r="AH337" s="82"/>
    </row>
    <row r="338" spans="2:46" ht="20.100000000000001" customHeight="1">
      <c r="B338" s="82"/>
      <c r="C338" s="1318" t="s">
        <v>885</v>
      </c>
      <c r="D338" s="82"/>
      <c r="E338" s="1318"/>
      <c r="F338" s="1318"/>
      <c r="G338" s="1318"/>
      <c r="H338" s="82"/>
      <c r="I338" s="82"/>
      <c r="J338" s="82"/>
      <c r="K338" s="82"/>
      <c r="L338" s="82"/>
      <c r="M338" s="82"/>
      <c r="N338" s="82"/>
      <c r="O338" s="82"/>
      <c r="P338" s="82"/>
      <c r="Q338" s="82"/>
      <c r="R338" s="82"/>
      <c r="S338" s="82"/>
      <c r="T338" s="82"/>
      <c r="U338" s="82"/>
      <c r="V338" s="82"/>
      <c r="W338" s="82"/>
      <c r="X338" s="82"/>
      <c r="Y338" s="82"/>
      <c r="Z338" s="82"/>
      <c r="AA338" s="82"/>
      <c r="AB338" s="82"/>
      <c r="AC338" s="82"/>
      <c r="AD338" s="82"/>
      <c r="AE338" s="82"/>
      <c r="AF338" s="82"/>
      <c r="AG338" s="82"/>
      <c r="AH338" s="82"/>
    </row>
    <row r="339" spans="2:46" ht="20.100000000000001" customHeight="1">
      <c r="B339" s="82" t="s">
        <v>4126</v>
      </c>
      <c r="C339" s="131"/>
      <c r="D339" s="82"/>
      <c r="E339" s="82"/>
      <c r="F339" s="82"/>
      <c r="G339" s="82"/>
      <c r="H339" s="82"/>
      <c r="I339" s="82"/>
      <c r="J339" s="82"/>
      <c r="K339" s="82"/>
      <c r="L339" s="82"/>
      <c r="M339" s="82"/>
      <c r="N339" s="82"/>
      <c r="O339" s="82"/>
      <c r="P339" s="82"/>
      <c r="Q339" s="82"/>
      <c r="R339" s="82"/>
      <c r="S339" s="82"/>
      <c r="T339" s="82"/>
      <c r="U339" s="82"/>
      <c r="V339" s="82"/>
      <c r="W339" s="82"/>
      <c r="X339" s="82"/>
      <c r="Y339" s="82"/>
      <c r="Z339" s="82"/>
      <c r="AA339" s="82"/>
      <c r="AB339" s="82"/>
      <c r="AC339" s="82"/>
      <c r="AD339" s="82"/>
      <c r="AE339" s="82"/>
      <c r="AF339" s="82"/>
      <c r="AG339" s="82"/>
      <c r="AH339" s="82"/>
    </row>
    <row r="340" spans="2:46" ht="20.100000000000001" customHeight="1">
      <c r="B340" s="82"/>
      <c r="C340" s="82"/>
      <c r="D340" s="82"/>
      <c r="E340" s="82"/>
      <c r="F340" s="82"/>
      <c r="G340" s="82"/>
      <c r="H340" s="82"/>
      <c r="I340" s="82"/>
      <c r="J340" s="82"/>
      <c r="K340" s="82"/>
      <c r="L340" s="82"/>
      <c r="M340" s="82"/>
      <c r="N340" s="82"/>
      <c r="O340" s="82"/>
      <c r="P340" s="82"/>
      <c r="Q340" s="82"/>
      <c r="R340" s="82"/>
      <c r="S340" s="82"/>
      <c r="T340" s="82"/>
      <c r="U340" s="82"/>
      <c r="V340" s="82"/>
      <c r="W340" s="82"/>
      <c r="X340" s="82"/>
      <c r="Y340" s="82"/>
      <c r="Z340" s="82"/>
      <c r="AA340" s="82"/>
      <c r="AB340" s="82"/>
      <c r="AC340" s="82"/>
      <c r="AD340" s="82"/>
      <c r="AE340" s="82"/>
      <c r="AF340" s="82"/>
      <c r="AG340" s="82"/>
      <c r="AH340" s="82"/>
    </row>
    <row r="341" spans="2:46" ht="20.100000000000001" customHeight="1">
      <c r="B341" s="82" t="s">
        <v>4127</v>
      </c>
      <c r="C341" s="1318" t="s">
        <v>65</v>
      </c>
      <c r="D341" s="82"/>
      <c r="E341" s="82"/>
      <c r="F341" s="82"/>
      <c r="G341" s="82"/>
      <c r="H341" s="82"/>
      <c r="I341" s="82"/>
      <c r="J341" s="82"/>
      <c r="K341" s="82"/>
      <c r="L341" s="82"/>
      <c r="M341" s="82"/>
      <c r="N341" s="82"/>
      <c r="O341" s="82"/>
      <c r="P341" s="82"/>
      <c r="Q341" s="82"/>
      <c r="R341" s="82"/>
      <c r="S341" s="82"/>
      <c r="T341" s="82"/>
      <c r="U341" s="82"/>
      <c r="V341" s="82"/>
      <c r="W341" s="82"/>
      <c r="X341" s="82"/>
      <c r="Y341" s="82"/>
      <c r="Z341" s="82"/>
      <c r="AA341" s="82"/>
      <c r="AB341" s="82"/>
      <c r="AC341" s="82"/>
      <c r="AD341" s="82"/>
      <c r="AE341" s="82"/>
      <c r="AF341" s="82"/>
      <c r="AG341" s="82"/>
      <c r="AH341" s="82"/>
    </row>
    <row r="342" spans="2:46" ht="20.100000000000001" customHeight="1">
      <c r="B342" s="82" t="s">
        <v>4128</v>
      </c>
      <c r="C342" s="445"/>
      <c r="D342" s="82"/>
      <c r="E342" s="82"/>
      <c r="F342" s="82"/>
      <c r="G342" s="82"/>
      <c r="H342" s="82"/>
      <c r="I342" s="82"/>
      <c r="J342" s="82"/>
      <c r="K342" s="82"/>
      <c r="L342" s="82"/>
      <c r="M342" s="82"/>
      <c r="N342" s="82"/>
      <c r="O342" s="82"/>
      <c r="P342" s="82"/>
      <c r="Q342" s="82"/>
      <c r="R342" s="82"/>
      <c r="S342" s="82"/>
      <c r="T342" s="82"/>
      <c r="U342" s="82"/>
      <c r="V342" s="82"/>
      <c r="W342" s="82"/>
      <c r="X342" s="82"/>
      <c r="Y342" s="82"/>
      <c r="Z342" s="82"/>
      <c r="AA342" s="82"/>
      <c r="AB342" s="82"/>
      <c r="AC342" s="82"/>
      <c r="AD342" s="82"/>
      <c r="AE342" s="82"/>
      <c r="AF342" s="82"/>
      <c r="AG342" s="82"/>
      <c r="AH342" s="82"/>
    </row>
    <row r="343" spans="2:46" ht="20.100000000000001" customHeight="1">
      <c r="B343" s="82" t="s">
        <v>4129</v>
      </c>
      <c r="C343" s="445"/>
      <c r="D343" s="82"/>
      <c r="E343" s="82"/>
      <c r="F343" s="82"/>
      <c r="G343" s="82"/>
      <c r="H343" s="82"/>
      <c r="I343" s="82"/>
      <c r="J343" s="82"/>
      <c r="K343" s="82"/>
      <c r="L343" s="82"/>
      <c r="M343" s="82"/>
      <c r="N343" s="82"/>
      <c r="O343" s="82"/>
      <c r="P343" s="82"/>
      <c r="Q343" s="82"/>
      <c r="R343" s="82"/>
      <c r="S343" s="82"/>
      <c r="T343" s="82"/>
      <c r="U343" s="82"/>
      <c r="V343" s="82"/>
      <c r="W343" s="82"/>
      <c r="X343" s="82"/>
      <c r="Y343" s="82"/>
      <c r="Z343" s="82"/>
      <c r="AA343" s="82"/>
      <c r="AB343" s="82"/>
      <c r="AC343" s="82"/>
      <c r="AD343" s="82"/>
      <c r="AE343" s="82"/>
      <c r="AF343" s="82"/>
      <c r="AG343" s="82"/>
      <c r="AH343" s="82"/>
    </row>
    <row r="344" spans="2:46" ht="20.100000000000001" customHeight="1">
      <c r="B344" s="82" t="s">
        <v>4130</v>
      </c>
      <c r="C344" s="445"/>
      <c r="D344" s="82"/>
      <c r="E344" s="82"/>
      <c r="F344" s="82"/>
      <c r="G344" s="82"/>
      <c r="H344" s="82"/>
      <c r="I344" s="82"/>
      <c r="J344" s="82"/>
      <c r="K344" s="82"/>
      <c r="L344" s="82"/>
      <c r="M344" s="82"/>
      <c r="N344" s="82"/>
      <c r="O344" s="82"/>
      <c r="P344" s="82"/>
      <c r="Q344" s="82"/>
      <c r="R344" s="82"/>
      <c r="S344" s="82"/>
      <c r="T344" s="82"/>
      <c r="U344" s="82"/>
      <c r="V344" s="82"/>
      <c r="W344" s="82"/>
      <c r="X344" s="82"/>
      <c r="Y344" s="82"/>
      <c r="Z344" s="82"/>
      <c r="AA344" s="82"/>
      <c r="AB344" s="82"/>
      <c r="AC344" s="82"/>
      <c r="AD344" s="82"/>
      <c r="AE344" s="82"/>
      <c r="AF344" s="82"/>
      <c r="AG344" s="82"/>
      <c r="AH344" s="82"/>
    </row>
    <row r="345" spans="2:46" ht="20.100000000000001" customHeight="1">
      <c r="B345" s="82" t="s">
        <v>4131</v>
      </c>
      <c r="C345" s="445"/>
      <c r="D345" s="82"/>
      <c r="E345" s="82"/>
      <c r="F345" s="82"/>
      <c r="G345" s="82"/>
      <c r="H345" s="82"/>
      <c r="I345" s="82"/>
      <c r="J345" s="82"/>
      <c r="K345" s="82"/>
      <c r="L345" s="82"/>
      <c r="M345" s="82"/>
      <c r="N345" s="82"/>
      <c r="O345" s="82"/>
      <c r="P345" s="82"/>
      <c r="Q345" s="82"/>
      <c r="R345" s="82"/>
      <c r="S345" s="82"/>
      <c r="T345" s="82"/>
      <c r="U345" s="82"/>
      <c r="V345" s="82"/>
      <c r="W345" s="82"/>
      <c r="X345" s="82"/>
      <c r="Y345" s="82"/>
      <c r="Z345" s="82"/>
      <c r="AA345" s="82"/>
      <c r="AB345" s="82"/>
      <c r="AC345" s="82"/>
      <c r="AD345" s="82"/>
      <c r="AE345" s="82"/>
      <c r="AF345" s="82"/>
      <c r="AG345" s="82"/>
      <c r="AH345" s="82"/>
    </row>
    <row r="346" spans="2:46" ht="20.100000000000001" customHeight="1">
      <c r="B346" s="82"/>
      <c r="C346" s="82"/>
      <c r="D346" s="82"/>
      <c r="E346" s="82"/>
      <c r="F346" s="82"/>
      <c r="G346" s="82"/>
      <c r="H346" s="82"/>
      <c r="I346" s="82"/>
      <c r="J346" s="82"/>
      <c r="K346" s="82"/>
      <c r="L346" s="82"/>
      <c r="M346" s="82"/>
      <c r="N346" s="82"/>
      <c r="O346" s="82"/>
      <c r="P346" s="82"/>
      <c r="Q346" s="82"/>
      <c r="R346" s="82"/>
      <c r="S346" s="82"/>
      <c r="T346" s="82"/>
      <c r="U346" s="82"/>
      <c r="V346" s="82"/>
      <c r="W346" s="82"/>
      <c r="X346" s="82"/>
      <c r="Y346" s="82"/>
      <c r="Z346" s="82"/>
      <c r="AA346" s="82"/>
      <c r="AB346" s="82"/>
      <c r="AC346" s="82"/>
      <c r="AD346" s="82"/>
      <c r="AE346" s="82"/>
      <c r="AF346" s="82"/>
      <c r="AG346" s="82"/>
      <c r="AH346" s="82"/>
    </row>
    <row r="347" spans="2:46" ht="20.100000000000001" customHeight="1">
      <c r="B347" s="82" t="s">
        <v>4132</v>
      </c>
      <c r="C347" s="1629" t="s">
        <v>4134</v>
      </c>
      <c r="D347" s="1630"/>
      <c r="E347" s="1630"/>
      <c r="F347" s="1631"/>
      <c r="G347" s="1629" t="s">
        <v>4135</v>
      </c>
      <c r="H347" s="1630"/>
      <c r="I347" s="1630"/>
      <c r="J347" s="1631"/>
      <c r="K347" s="1629" t="s">
        <v>4136</v>
      </c>
      <c r="L347" s="1630"/>
      <c r="M347" s="1630"/>
      <c r="N347" s="1631"/>
      <c r="O347" s="1629" t="s">
        <v>4137</v>
      </c>
      <c r="P347" s="1630"/>
      <c r="Q347" s="1630"/>
      <c r="R347" s="1631"/>
      <c r="S347" s="1629" t="s">
        <v>4138</v>
      </c>
      <c r="T347" s="1630"/>
      <c r="U347" s="1630"/>
      <c r="V347" s="1631"/>
      <c r="W347" s="1629" t="s">
        <v>4139</v>
      </c>
      <c r="X347" s="1630"/>
      <c r="Y347" s="1630"/>
      <c r="Z347" s="1631"/>
      <c r="AA347" s="1629" t="s">
        <v>4140</v>
      </c>
      <c r="AB347" s="1630"/>
      <c r="AC347" s="1630"/>
      <c r="AD347" s="1631"/>
      <c r="AE347" s="1629" t="s">
        <v>4141</v>
      </c>
      <c r="AF347" s="1630"/>
      <c r="AG347" s="1630"/>
      <c r="AH347" s="1631"/>
      <c r="AI347" s="1611" t="s">
        <v>4142</v>
      </c>
      <c r="AJ347" s="1611"/>
      <c r="AK347" s="1611"/>
      <c r="AL347" s="1611"/>
      <c r="AM347" s="1611"/>
      <c r="AN347" s="1611"/>
      <c r="AO347" s="1611" t="s">
        <v>4809</v>
      </c>
      <c r="AP347" s="1611"/>
      <c r="AQ347" s="1611"/>
      <c r="AR347" s="1611"/>
      <c r="AS347" s="1611"/>
      <c r="AT347" s="1611"/>
    </row>
    <row r="348" spans="2:46" ht="20.100000000000001" customHeight="1">
      <c r="B348" s="860" t="s">
        <v>1029</v>
      </c>
      <c r="C348" s="53" t="str">
        <f>$B$293</f>
        <v>apartment</v>
      </c>
      <c r="D348" s="53" t="str">
        <f>$B$294</f>
        <v>terraced</v>
      </c>
      <c r="E348" s="53" t="str">
        <f>$B$295</f>
        <v>semi-detached</v>
      </c>
      <c r="F348" s="53" t="str">
        <f>$B$296</f>
        <v>detached</v>
      </c>
      <c r="G348" s="53" t="str">
        <f>$B$293</f>
        <v>apartment</v>
      </c>
      <c r="H348" s="53" t="str">
        <f>$B$294</f>
        <v>terraced</v>
      </c>
      <c r="I348" s="53" t="str">
        <f>$B$295</f>
        <v>semi-detached</v>
      </c>
      <c r="J348" s="53" t="str">
        <f>$B$296</f>
        <v>detached</v>
      </c>
      <c r="K348" s="53" t="str">
        <f>$B$293</f>
        <v>apartment</v>
      </c>
      <c r="L348" s="53" t="str">
        <f>$B$294</f>
        <v>terraced</v>
      </c>
      <c r="M348" s="53" t="str">
        <f>$B$295</f>
        <v>semi-detached</v>
      </c>
      <c r="N348" s="53" t="str">
        <f>$B$296</f>
        <v>detached</v>
      </c>
      <c r="O348" s="53" t="str">
        <f>$B$293</f>
        <v>apartment</v>
      </c>
      <c r="P348" s="53" t="str">
        <f>$B$294</f>
        <v>terraced</v>
      </c>
      <c r="Q348" s="53" t="str">
        <f>$B$295</f>
        <v>semi-detached</v>
      </c>
      <c r="R348" s="53" t="str">
        <f>$B$296</f>
        <v>detached</v>
      </c>
      <c r="S348" s="53" t="str">
        <f>$B$293</f>
        <v>apartment</v>
      </c>
      <c r="T348" s="53" t="str">
        <f>$B$294</f>
        <v>terraced</v>
      </c>
      <c r="U348" s="53" t="str">
        <f>$B$295</f>
        <v>semi-detached</v>
      </c>
      <c r="V348" s="53" t="str">
        <f>$B$296</f>
        <v>detached</v>
      </c>
      <c r="W348" s="53" t="str">
        <f>$B$293</f>
        <v>apartment</v>
      </c>
      <c r="X348" s="53" t="str">
        <f>$B$294</f>
        <v>terraced</v>
      </c>
      <c r="Y348" s="53" t="str">
        <f>$B$295</f>
        <v>semi-detached</v>
      </c>
      <c r="Z348" s="53" t="str">
        <f>$B$296</f>
        <v>detached</v>
      </c>
      <c r="AA348" s="53" t="str">
        <f>$B$293</f>
        <v>apartment</v>
      </c>
      <c r="AB348" s="53" t="str">
        <f>$B$294</f>
        <v>terraced</v>
      </c>
      <c r="AC348" s="53" t="str">
        <f>$B$295</f>
        <v>semi-detached</v>
      </c>
      <c r="AD348" s="53" t="str">
        <f>$B$296</f>
        <v>detached</v>
      </c>
      <c r="AE348" s="53" t="str">
        <f>$B$293</f>
        <v>apartment</v>
      </c>
      <c r="AF348" s="53" t="str">
        <f>$B$294</f>
        <v>terraced</v>
      </c>
      <c r="AG348" s="53" t="str">
        <f>$B$295</f>
        <v>semi-detached</v>
      </c>
      <c r="AH348" s="53" t="str">
        <f>$B$296</f>
        <v>detached</v>
      </c>
      <c r="AI348" s="53" t="str">
        <f>$B$298</f>
        <v>retail</v>
      </c>
      <c r="AJ348" s="53" t="str">
        <f>$B$299</f>
        <v>health</v>
      </c>
      <c r="AK348" s="53" t="str">
        <f>$B$300</f>
        <v>hospitality</v>
      </c>
      <c r="AL348" s="53" t="str">
        <f>$B$301</f>
        <v>offices</v>
      </c>
      <c r="AM348" s="53" t="str">
        <f>$B$302</f>
        <v>industrial</v>
      </c>
      <c r="AN348" s="53" t="str">
        <f>$B$303</f>
        <v>warehouses</v>
      </c>
      <c r="AO348" s="1438" t="str">
        <f>$B$298</f>
        <v>retail</v>
      </c>
      <c r="AP348" s="1438" t="str">
        <f>$B$299</f>
        <v>health</v>
      </c>
      <c r="AQ348" s="1438" t="str">
        <f>$B$300</f>
        <v>hospitality</v>
      </c>
      <c r="AR348" s="1438" t="str">
        <f>$B$301</f>
        <v>offices</v>
      </c>
      <c r="AS348" s="1438" t="str">
        <f>$B$302</f>
        <v>industrial</v>
      </c>
      <c r="AT348" s="1438" t="str">
        <f>$B$303</f>
        <v>warehouses</v>
      </c>
    </row>
    <row r="349" spans="2:46" ht="20.100000000000001" customHeight="1">
      <c r="B349" s="860" t="s">
        <v>578</v>
      </c>
      <c r="C349" s="445"/>
      <c r="D349" s="445"/>
      <c r="E349" s="445"/>
      <c r="F349" s="445"/>
      <c r="G349" s="445"/>
      <c r="H349" s="445"/>
      <c r="I349" s="445"/>
      <c r="J349" s="445"/>
      <c r="K349" s="445"/>
      <c r="L349" s="445"/>
      <c r="M349" s="445"/>
      <c r="N349" s="445"/>
      <c r="O349" s="445"/>
      <c r="P349" s="445"/>
      <c r="Q349" s="445"/>
      <c r="R349" s="445"/>
      <c r="S349" s="445"/>
      <c r="T349" s="445"/>
      <c r="U349" s="445"/>
      <c r="V349" s="445"/>
      <c r="W349" s="445"/>
      <c r="X349" s="445"/>
      <c r="Y349" s="445"/>
      <c r="Z349" s="445"/>
      <c r="AA349" s="445"/>
      <c r="AB349" s="445"/>
      <c r="AC349" s="445"/>
      <c r="AD349" s="445"/>
      <c r="AE349" s="445"/>
      <c r="AF349" s="445"/>
      <c r="AG349" s="445"/>
      <c r="AH349" s="445"/>
      <c r="AI349" s="252"/>
      <c r="AJ349" s="252"/>
      <c r="AK349" s="252"/>
      <c r="AL349" s="252"/>
      <c r="AM349" s="252"/>
      <c r="AN349" s="252"/>
      <c r="AO349" s="252"/>
      <c r="AP349" s="252"/>
      <c r="AQ349" s="252"/>
      <c r="AR349" s="252"/>
      <c r="AS349" s="252"/>
      <c r="AT349" s="252"/>
    </row>
    <row r="350" spans="2:46" ht="20.100000000000001" customHeight="1">
      <c r="B350" s="860" t="s">
        <v>862</v>
      </c>
      <c r="C350" s="445"/>
      <c r="D350" s="445"/>
      <c r="E350" s="445"/>
      <c r="F350" s="445"/>
      <c r="G350" s="445"/>
      <c r="H350" s="445"/>
      <c r="I350" s="445"/>
      <c r="J350" s="445"/>
      <c r="K350" s="445"/>
      <c r="L350" s="445"/>
      <c r="M350" s="445"/>
      <c r="N350" s="445"/>
      <c r="O350" s="445"/>
      <c r="P350" s="445"/>
      <c r="Q350" s="445"/>
      <c r="R350" s="445"/>
      <c r="S350" s="445"/>
      <c r="T350" s="445"/>
      <c r="U350" s="445"/>
      <c r="V350" s="445"/>
      <c r="W350" s="445"/>
      <c r="X350" s="445"/>
      <c r="Y350" s="445"/>
      <c r="Z350" s="445"/>
      <c r="AA350" s="445"/>
      <c r="AB350" s="445"/>
      <c r="AC350" s="445"/>
      <c r="AD350" s="445"/>
      <c r="AE350" s="445"/>
      <c r="AF350" s="445"/>
      <c r="AG350" s="445"/>
      <c r="AH350" s="445"/>
      <c r="AI350" s="252"/>
      <c r="AJ350" s="252"/>
      <c r="AK350" s="252"/>
      <c r="AL350" s="252"/>
      <c r="AM350" s="252"/>
      <c r="AN350" s="252"/>
      <c r="AO350" s="252"/>
      <c r="AP350" s="252"/>
      <c r="AQ350" s="252"/>
      <c r="AR350" s="252"/>
      <c r="AS350" s="252"/>
      <c r="AT350" s="252"/>
    </row>
    <row r="351" spans="2:46" ht="20.100000000000001" customHeight="1">
      <c r="B351" s="860" t="s">
        <v>863</v>
      </c>
      <c r="C351" s="445"/>
      <c r="D351" s="445"/>
      <c r="E351" s="445"/>
      <c r="F351" s="445"/>
      <c r="G351" s="445"/>
      <c r="H351" s="445"/>
      <c r="I351" s="445"/>
      <c r="J351" s="445"/>
      <c r="K351" s="445"/>
      <c r="L351" s="445"/>
      <c r="M351" s="445"/>
      <c r="N351" s="445"/>
      <c r="O351" s="445"/>
      <c r="P351" s="445"/>
      <c r="Q351" s="445"/>
      <c r="R351" s="445"/>
      <c r="S351" s="445"/>
      <c r="T351" s="445"/>
      <c r="U351" s="445"/>
      <c r="V351" s="445"/>
      <c r="W351" s="445"/>
      <c r="X351" s="445"/>
      <c r="Y351" s="445"/>
      <c r="Z351" s="445"/>
      <c r="AA351" s="445"/>
      <c r="AB351" s="445"/>
      <c r="AC351" s="445"/>
      <c r="AD351" s="445"/>
      <c r="AE351" s="445"/>
      <c r="AF351" s="445"/>
      <c r="AG351" s="445"/>
      <c r="AH351" s="445"/>
      <c r="AI351" s="252"/>
      <c r="AJ351" s="252"/>
      <c r="AK351" s="252"/>
      <c r="AL351" s="252"/>
      <c r="AM351" s="252"/>
      <c r="AN351" s="252"/>
      <c r="AO351" s="252"/>
      <c r="AP351" s="252"/>
      <c r="AQ351" s="252"/>
      <c r="AR351" s="252"/>
      <c r="AS351" s="252"/>
      <c r="AT351" s="252"/>
    </row>
    <row r="352" spans="2:46" ht="20.100000000000001" customHeight="1">
      <c r="B352" s="860" t="s">
        <v>864</v>
      </c>
      <c r="C352" s="445"/>
      <c r="D352" s="445"/>
      <c r="E352" s="445"/>
      <c r="F352" s="445"/>
      <c r="G352" s="445"/>
      <c r="H352" s="445"/>
      <c r="I352" s="445"/>
      <c r="J352" s="445"/>
      <c r="K352" s="445"/>
      <c r="L352" s="445"/>
      <c r="M352" s="445"/>
      <c r="N352" s="445"/>
      <c r="O352" s="445"/>
      <c r="P352" s="445"/>
      <c r="Q352" s="445"/>
      <c r="R352" s="445"/>
      <c r="S352" s="445"/>
      <c r="T352" s="445"/>
      <c r="U352" s="445"/>
      <c r="V352" s="445"/>
      <c r="W352" s="445"/>
      <c r="X352" s="445"/>
      <c r="Y352" s="445"/>
      <c r="Z352" s="445"/>
      <c r="AA352" s="445"/>
      <c r="AB352" s="445"/>
      <c r="AC352" s="445"/>
      <c r="AD352" s="445"/>
      <c r="AE352" s="445"/>
      <c r="AF352" s="445"/>
      <c r="AG352" s="445"/>
      <c r="AH352" s="445"/>
      <c r="AI352" s="252"/>
      <c r="AJ352" s="252"/>
      <c r="AK352" s="252"/>
      <c r="AL352" s="252"/>
      <c r="AM352" s="252"/>
      <c r="AN352" s="252"/>
      <c r="AO352" s="252"/>
      <c r="AP352" s="252"/>
      <c r="AQ352" s="252"/>
      <c r="AR352" s="252"/>
      <c r="AS352" s="252"/>
      <c r="AT352" s="252"/>
    </row>
    <row r="353" spans="2:1014" ht="20.100000000000001" customHeight="1">
      <c r="B353" s="860" t="s">
        <v>865</v>
      </c>
      <c r="C353" s="445"/>
      <c r="D353" s="445"/>
      <c r="E353" s="445"/>
      <c r="F353" s="445"/>
      <c r="G353" s="445"/>
      <c r="H353" s="445"/>
      <c r="I353" s="445"/>
      <c r="J353" s="445"/>
      <c r="K353" s="445"/>
      <c r="L353" s="445"/>
      <c r="M353" s="445"/>
      <c r="N353" s="445"/>
      <c r="O353" s="445"/>
      <c r="P353" s="445"/>
      <c r="Q353" s="445"/>
      <c r="R353" s="445"/>
      <c r="S353" s="445"/>
      <c r="T353" s="445"/>
      <c r="U353" s="445"/>
      <c r="V353" s="445"/>
      <c r="W353" s="445"/>
      <c r="X353" s="445"/>
      <c r="Y353" s="445"/>
      <c r="Z353" s="445"/>
      <c r="AA353" s="445"/>
      <c r="AB353" s="445"/>
      <c r="AC353" s="445"/>
      <c r="AD353" s="445"/>
      <c r="AE353" s="445"/>
      <c r="AF353" s="445"/>
      <c r="AG353" s="445"/>
      <c r="AH353" s="445"/>
      <c r="AI353" s="252"/>
      <c r="AJ353" s="252"/>
      <c r="AK353" s="252"/>
      <c r="AL353" s="252"/>
      <c r="AM353" s="252"/>
      <c r="AN353" s="252"/>
      <c r="AO353" s="252"/>
      <c r="AP353" s="252"/>
      <c r="AQ353" s="252"/>
      <c r="AR353" s="252"/>
      <c r="AS353" s="252"/>
      <c r="AT353" s="252"/>
    </row>
    <row r="354" spans="2:1014" ht="20.100000000000001" customHeight="1">
      <c r="B354" s="860" t="s">
        <v>866</v>
      </c>
      <c r="C354" s="445"/>
      <c r="D354" s="445"/>
      <c r="E354" s="445"/>
      <c r="F354" s="445"/>
      <c r="G354" s="445"/>
      <c r="H354" s="445"/>
      <c r="I354" s="445"/>
      <c r="J354" s="445"/>
      <c r="K354" s="445"/>
      <c r="L354" s="445"/>
      <c r="M354" s="445"/>
      <c r="N354" s="445"/>
      <c r="O354" s="445"/>
      <c r="P354" s="445"/>
      <c r="Q354" s="445"/>
      <c r="R354" s="445"/>
      <c r="S354" s="445"/>
      <c r="T354" s="445"/>
      <c r="U354" s="445"/>
      <c r="V354" s="445"/>
      <c r="W354" s="445"/>
      <c r="X354" s="445"/>
      <c r="Y354" s="445"/>
      <c r="Z354" s="445"/>
      <c r="AA354" s="445"/>
      <c r="AB354" s="445"/>
      <c r="AC354" s="445"/>
      <c r="AD354" s="445"/>
      <c r="AE354" s="445"/>
      <c r="AF354" s="445"/>
      <c r="AG354" s="445"/>
      <c r="AH354" s="445"/>
      <c r="AI354" s="252"/>
      <c r="AJ354" s="252"/>
      <c r="AK354" s="252"/>
      <c r="AL354" s="252"/>
      <c r="AM354" s="252"/>
      <c r="AN354" s="252"/>
      <c r="AO354" s="252"/>
      <c r="AP354" s="252"/>
      <c r="AQ354" s="252"/>
      <c r="AR354" s="252"/>
      <c r="AS354" s="252"/>
      <c r="AT354" s="252"/>
    </row>
    <row r="355" spans="2:1014" ht="20.100000000000001" customHeight="1">
      <c r="B355" s="860" t="s">
        <v>867</v>
      </c>
      <c r="C355" s="445"/>
      <c r="D355" s="445"/>
      <c r="E355" s="445"/>
      <c r="F355" s="445"/>
      <c r="G355" s="445"/>
      <c r="H355" s="445"/>
      <c r="I355" s="445"/>
      <c r="J355" s="445"/>
      <c r="K355" s="445"/>
      <c r="L355" s="445"/>
      <c r="M355" s="445"/>
      <c r="N355" s="445"/>
      <c r="O355" s="445"/>
      <c r="P355" s="445"/>
      <c r="Q355" s="445"/>
      <c r="R355" s="445"/>
      <c r="S355" s="445"/>
      <c r="T355" s="445"/>
      <c r="U355" s="445"/>
      <c r="V355" s="445"/>
      <c r="W355" s="445"/>
      <c r="X355" s="445"/>
      <c r="Y355" s="445"/>
      <c r="Z355" s="445"/>
      <c r="AA355" s="445"/>
      <c r="AB355" s="445"/>
      <c r="AC355" s="445"/>
      <c r="AD355" s="445"/>
      <c r="AE355" s="445"/>
      <c r="AF355" s="445"/>
      <c r="AG355" s="445"/>
      <c r="AH355" s="445"/>
      <c r="AI355" s="252"/>
      <c r="AJ355" s="252"/>
      <c r="AK355" s="252"/>
      <c r="AL355" s="252"/>
      <c r="AM355" s="252"/>
      <c r="AN355" s="252"/>
      <c r="AO355" s="252"/>
      <c r="AP355" s="252"/>
      <c r="AQ355" s="252"/>
      <c r="AR355" s="252"/>
      <c r="AS355" s="252"/>
      <c r="AT355" s="252"/>
    </row>
    <row r="356" spans="2:1014" ht="20.100000000000001" customHeight="1">
      <c r="B356" s="860" t="s">
        <v>868</v>
      </c>
      <c r="C356" s="445"/>
      <c r="D356" s="445"/>
      <c r="E356" s="445"/>
      <c r="F356" s="445"/>
      <c r="G356" s="445"/>
      <c r="H356" s="445"/>
      <c r="I356" s="445"/>
      <c r="J356" s="445"/>
      <c r="K356" s="445"/>
      <c r="L356" s="445"/>
      <c r="M356" s="445"/>
      <c r="N356" s="445"/>
      <c r="O356" s="445"/>
      <c r="P356" s="445"/>
      <c r="Q356" s="445"/>
      <c r="R356" s="445"/>
      <c r="S356" s="445"/>
      <c r="T356" s="445"/>
      <c r="U356" s="445"/>
      <c r="V356" s="445"/>
      <c r="W356" s="445"/>
      <c r="X356" s="445"/>
      <c r="Y356" s="445"/>
      <c r="Z356" s="445"/>
      <c r="AA356" s="445"/>
      <c r="AB356" s="445"/>
      <c r="AC356" s="445"/>
      <c r="AD356" s="445"/>
      <c r="AE356" s="445"/>
      <c r="AF356" s="445"/>
      <c r="AG356" s="445"/>
      <c r="AH356" s="445"/>
      <c r="AI356" s="252"/>
      <c r="AJ356" s="252"/>
      <c r="AK356" s="252"/>
      <c r="AL356" s="252"/>
      <c r="AM356" s="252"/>
      <c r="AN356" s="252"/>
      <c r="AO356" s="252"/>
      <c r="AP356" s="252"/>
      <c r="AQ356" s="252"/>
      <c r="AR356" s="252"/>
      <c r="AS356" s="252"/>
      <c r="AT356" s="252"/>
    </row>
    <row r="358" spans="2:1014" ht="16.5">
      <c r="B358" s="250"/>
      <c r="C358" s="250"/>
      <c r="D358" s="250"/>
      <c r="E358" s="250"/>
      <c r="F358" s="250"/>
      <c r="G358" s="250"/>
      <c r="H358" s="250"/>
      <c r="I358" s="250"/>
      <c r="J358" s="250"/>
      <c r="K358" s="250"/>
      <c r="L358" s="250"/>
      <c r="M358" s="250"/>
      <c r="N358" s="250"/>
      <c r="O358" s="250"/>
      <c r="P358" s="250"/>
      <c r="Q358" s="250"/>
      <c r="R358" s="250"/>
      <c r="S358" s="250"/>
      <c r="T358" s="250"/>
      <c r="U358" s="250"/>
      <c r="V358" s="250"/>
      <c r="W358" s="250"/>
      <c r="X358" s="250"/>
      <c r="Y358" s="250"/>
      <c r="Z358" s="250"/>
      <c r="AA358" s="250"/>
      <c r="AB358" s="250"/>
      <c r="AC358" s="250"/>
      <c r="AD358" s="250"/>
      <c r="AE358" s="250"/>
      <c r="AF358" s="250"/>
      <c r="AG358" s="250"/>
      <c r="AH358" s="250"/>
      <c r="AI358" s="250"/>
      <c r="AJ358" s="250"/>
      <c r="AK358" s="250"/>
      <c r="AL358" s="250"/>
      <c r="AM358" s="250"/>
      <c r="AN358" s="250"/>
      <c r="AO358" s="250"/>
      <c r="AP358" s="250"/>
      <c r="AQ358" s="250"/>
      <c r="AR358" s="250"/>
      <c r="AS358" s="250"/>
      <c r="AT358" s="250"/>
      <c r="AU358" s="250"/>
      <c r="AV358" s="250"/>
      <c r="AW358" s="250"/>
      <c r="AX358" s="250"/>
      <c r="AY358" s="250"/>
      <c r="AZ358" s="250"/>
      <c r="BA358" s="250"/>
      <c r="BB358" s="250"/>
      <c r="BC358" s="250"/>
      <c r="BD358" s="250"/>
      <c r="BE358" s="250"/>
      <c r="BF358" s="250"/>
      <c r="BG358" s="250"/>
      <c r="BH358" s="250"/>
      <c r="BI358" s="250"/>
      <c r="BJ358" s="250"/>
      <c r="BK358" s="250"/>
      <c r="BL358" s="250"/>
      <c r="BM358" s="250"/>
      <c r="BN358" s="250"/>
      <c r="BO358" s="250"/>
      <c r="BP358" s="250"/>
      <c r="BQ358" s="250"/>
      <c r="BR358" s="250"/>
      <c r="BS358" s="250"/>
      <c r="BT358" s="250"/>
      <c r="BU358" s="250"/>
      <c r="BV358" s="250"/>
      <c r="BW358" s="250"/>
      <c r="BX358" s="250"/>
      <c r="BY358" s="250"/>
      <c r="BZ358" s="250"/>
      <c r="CA358" s="250"/>
      <c r="CB358" s="250"/>
      <c r="CC358" s="250"/>
      <c r="CD358" s="250"/>
      <c r="CE358" s="250"/>
      <c r="CF358" s="250"/>
      <c r="CG358" s="250"/>
      <c r="CH358" s="250"/>
      <c r="CI358" s="250"/>
      <c r="CJ358" s="250"/>
      <c r="CK358" s="250"/>
      <c r="CL358" s="250"/>
      <c r="CM358" s="250"/>
      <c r="CN358" s="250"/>
      <c r="CO358" s="250"/>
      <c r="CP358" s="250"/>
      <c r="CQ358" s="250"/>
      <c r="CR358" s="250"/>
      <c r="CS358" s="250"/>
      <c r="CT358" s="250"/>
      <c r="CU358" s="250"/>
      <c r="CV358" s="250"/>
      <c r="CW358" s="250"/>
      <c r="CX358" s="250"/>
      <c r="CY358" s="250"/>
      <c r="CZ358" s="250"/>
      <c r="DA358" s="250"/>
      <c r="DB358" s="250"/>
      <c r="DC358" s="250"/>
      <c r="DD358" s="250"/>
      <c r="DE358" s="250"/>
      <c r="DF358" s="250"/>
      <c r="DG358" s="250"/>
      <c r="DH358" s="250"/>
      <c r="DI358" s="250"/>
      <c r="DJ358" s="250"/>
      <c r="DK358" s="250"/>
      <c r="DL358" s="250"/>
      <c r="DM358" s="250"/>
      <c r="DN358" s="250"/>
      <c r="DO358" s="250"/>
      <c r="DP358" s="250"/>
      <c r="DQ358" s="250"/>
      <c r="DR358" s="250"/>
      <c r="DS358" s="250"/>
      <c r="DT358" s="250"/>
      <c r="DU358" s="250"/>
      <c r="DV358" s="250"/>
      <c r="DW358" s="250"/>
      <c r="DX358" s="250"/>
      <c r="DY358" s="250"/>
      <c r="DZ358" s="250"/>
      <c r="EA358" s="250"/>
      <c r="EB358" s="250"/>
      <c r="EC358" s="250"/>
      <c r="ED358" s="250"/>
      <c r="EE358" s="250"/>
      <c r="EF358" s="250"/>
      <c r="EG358" s="250"/>
      <c r="EH358" s="250"/>
      <c r="EI358" s="250"/>
      <c r="EJ358" s="250"/>
      <c r="EK358" s="250"/>
      <c r="EL358" s="250"/>
      <c r="EM358" s="250"/>
      <c r="EN358" s="250"/>
      <c r="EO358" s="250"/>
      <c r="EP358" s="250"/>
      <c r="EQ358" s="250"/>
      <c r="ER358" s="250"/>
      <c r="ES358" s="250"/>
      <c r="ET358" s="250"/>
      <c r="EU358" s="250"/>
      <c r="EV358" s="250"/>
      <c r="EW358" s="250"/>
      <c r="EX358" s="250"/>
      <c r="EY358" s="250"/>
      <c r="EZ358" s="250"/>
      <c r="FA358" s="250"/>
      <c r="FB358" s="250"/>
      <c r="FC358" s="250"/>
      <c r="FD358" s="250"/>
      <c r="FE358" s="250"/>
      <c r="FF358" s="250"/>
      <c r="FG358" s="250"/>
      <c r="FH358" s="250"/>
      <c r="FI358" s="250"/>
      <c r="FJ358" s="250"/>
      <c r="FK358" s="250"/>
      <c r="FL358" s="250"/>
      <c r="FM358" s="250"/>
      <c r="FN358" s="250"/>
      <c r="FO358" s="250"/>
      <c r="FP358" s="250"/>
      <c r="FQ358" s="250"/>
      <c r="FR358" s="250"/>
      <c r="FS358" s="250"/>
      <c r="FT358" s="250"/>
      <c r="FU358" s="250"/>
      <c r="FV358" s="250"/>
      <c r="FW358" s="250"/>
      <c r="FX358" s="250"/>
      <c r="FY358" s="250"/>
      <c r="FZ358" s="250"/>
      <c r="GA358" s="250"/>
      <c r="GB358" s="250"/>
      <c r="GC358" s="250"/>
      <c r="GD358" s="250"/>
      <c r="GE358" s="250"/>
      <c r="GF358" s="250"/>
      <c r="GG358" s="250"/>
      <c r="GH358" s="250"/>
      <c r="GI358" s="250"/>
      <c r="GJ358" s="250"/>
      <c r="GK358" s="250"/>
      <c r="GL358" s="250"/>
      <c r="GM358" s="250"/>
      <c r="GN358" s="250"/>
      <c r="GO358" s="250"/>
      <c r="GP358" s="250"/>
      <c r="GQ358" s="250"/>
      <c r="GR358" s="250"/>
      <c r="GS358" s="250"/>
      <c r="GT358" s="250"/>
      <c r="GU358" s="250"/>
      <c r="GV358" s="250"/>
      <c r="GW358" s="250"/>
      <c r="GX358" s="250"/>
      <c r="GY358" s="250"/>
      <c r="GZ358" s="250"/>
      <c r="HA358" s="250"/>
      <c r="HB358" s="250"/>
      <c r="HC358" s="250"/>
      <c r="HD358" s="250"/>
      <c r="HE358" s="250"/>
      <c r="HF358" s="250"/>
      <c r="HG358" s="250"/>
      <c r="HH358" s="250"/>
      <c r="HI358" s="250"/>
      <c r="HJ358" s="250"/>
      <c r="HK358" s="250"/>
      <c r="HL358" s="250"/>
      <c r="HM358" s="250"/>
      <c r="HN358" s="250"/>
      <c r="HO358" s="250"/>
      <c r="HP358" s="250"/>
      <c r="HQ358" s="250"/>
      <c r="HR358" s="250"/>
      <c r="HS358" s="250"/>
      <c r="HT358" s="250"/>
      <c r="HU358" s="250"/>
      <c r="HV358" s="250"/>
      <c r="HW358" s="250"/>
      <c r="HX358" s="250"/>
      <c r="HY358" s="250"/>
      <c r="HZ358" s="250"/>
      <c r="IA358" s="250"/>
      <c r="IB358" s="250"/>
      <c r="IC358" s="250"/>
      <c r="ID358" s="250"/>
      <c r="IE358" s="250"/>
      <c r="IF358" s="250"/>
      <c r="IG358" s="250"/>
      <c r="IH358" s="250"/>
      <c r="II358" s="250"/>
      <c r="IJ358" s="250"/>
      <c r="IK358" s="250"/>
      <c r="IL358" s="250"/>
      <c r="IM358" s="250"/>
      <c r="IN358" s="250"/>
      <c r="IO358" s="250"/>
      <c r="IP358" s="250"/>
      <c r="IQ358" s="250"/>
      <c r="IR358" s="250"/>
      <c r="IS358" s="250"/>
      <c r="IT358" s="250"/>
      <c r="IU358" s="250"/>
      <c r="IV358" s="250"/>
      <c r="IW358" s="250"/>
      <c r="IX358" s="250"/>
      <c r="IY358" s="250"/>
      <c r="IZ358" s="250"/>
      <c r="JA358" s="250"/>
      <c r="JB358" s="250"/>
      <c r="JC358" s="250"/>
      <c r="JD358" s="250"/>
      <c r="JE358" s="250"/>
      <c r="JF358" s="250"/>
      <c r="JG358" s="250"/>
      <c r="JH358" s="250"/>
      <c r="JI358" s="250"/>
      <c r="JJ358" s="250"/>
      <c r="JK358" s="250"/>
      <c r="JL358" s="250"/>
      <c r="JM358" s="250"/>
      <c r="JN358" s="250"/>
      <c r="JO358" s="250"/>
      <c r="JP358" s="250"/>
      <c r="JQ358" s="250"/>
      <c r="JR358" s="250"/>
      <c r="JS358" s="250"/>
      <c r="JT358" s="250"/>
      <c r="JU358" s="250"/>
      <c r="JV358" s="250"/>
      <c r="JW358" s="250"/>
      <c r="JX358" s="250"/>
      <c r="JY358" s="250"/>
      <c r="JZ358" s="250"/>
      <c r="KA358" s="250"/>
      <c r="KB358" s="250"/>
      <c r="KC358" s="250"/>
      <c r="KD358" s="250"/>
      <c r="KE358" s="250"/>
      <c r="KF358" s="250"/>
      <c r="KG358" s="250"/>
      <c r="KH358" s="250"/>
      <c r="KI358" s="250"/>
      <c r="KJ358" s="250"/>
      <c r="KK358" s="250"/>
      <c r="KL358" s="250"/>
      <c r="KM358" s="250"/>
      <c r="KN358" s="250"/>
      <c r="KO358" s="250"/>
      <c r="KP358" s="250"/>
      <c r="KQ358" s="250"/>
      <c r="KR358" s="250"/>
      <c r="KS358" s="250"/>
      <c r="KT358" s="250"/>
      <c r="KU358" s="250"/>
      <c r="KV358" s="250"/>
      <c r="KW358" s="250"/>
      <c r="KX358" s="250"/>
      <c r="KY358" s="250"/>
      <c r="KZ358" s="250"/>
      <c r="LA358" s="250"/>
      <c r="LB358" s="250"/>
      <c r="LC358" s="250"/>
      <c r="LD358" s="250"/>
      <c r="LE358" s="250"/>
      <c r="LF358" s="250"/>
      <c r="LG358" s="250"/>
      <c r="LH358" s="250"/>
      <c r="LI358" s="250"/>
      <c r="LJ358" s="250"/>
      <c r="LK358" s="250"/>
      <c r="LL358" s="250"/>
      <c r="LM358" s="250"/>
      <c r="LN358" s="250"/>
      <c r="LO358" s="250"/>
      <c r="LP358" s="250"/>
      <c r="LQ358" s="250"/>
      <c r="LR358" s="250"/>
      <c r="LS358" s="250"/>
      <c r="LT358" s="250"/>
      <c r="LU358" s="250"/>
      <c r="LV358" s="250"/>
      <c r="LW358" s="250"/>
      <c r="LX358" s="250"/>
      <c r="LY358" s="250"/>
      <c r="LZ358" s="250"/>
      <c r="MA358" s="250"/>
      <c r="MB358" s="250"/>
      <c r="MC358" s="250"/>
      <c r="MD358" s="250"/>
      <c r="ME358" s="250"/>
      <c r="MF358" s="250"/>
      <c r="MG358" s="250"/>
      <c r="MH358" s="250"/>
      <c r="MI358" s="250"/>
    </row>
    <row r="359" spans="2:1014" ht="20.100000000000001" customHeight="1">
      <c r="B359" s="250"/>
      <c r="C359" s="1632" t="s">
        <v>4146</v>
      </c>
      <c r="D359" s="1632"/>
      <c r="E359" s="1632"/>
      <c r="F359" s="1632"/>
      <c r="G359" s="1632"/>
      <c r="H359" s="1632"/>
      <c r="I359" s="250"/>
      <c r="J359" s="250"/>
      <c r="K359" s="250"/>
      <c r="L359" s="250"/>
      <c r="M359" s="250"/>
      <c r="N359" s="250"/>
      <c r="O359" s="250"/>
      <c r="P359" s="250"/>
      <c r="Q359" s="250"/>
      <c r="R359" s="250"/>
      <c r="S359" s="250"/>
      <c r="T359" s="250"/>
      <c r="U359" s="250"/>
      <c r="V359" s="250"/>
      <c r="W359" s="250"/>
      <c r="X359" s="250"/>
      <c r="Y359" s="250"/>
      <c r="Z359" s="250"/>
      <c r="AA359" s="250"/>
      <c r="AB359" s="250"/>
      <c r="AC359" s="250"/>
      <c r="AD359" s="250"/>
      <c r="AE359" s="250"/>
      <c r="AF359" s="250"/>
      <c r="AG359" s="250"/>
      <c r="AH359" s="250"/>
      <c r="AI359" s="250"/>
      <c r="AJ359" s="250"/>
      <c r="AK359" s="250"/>
      <c r="AL359" s="250"/>
      <c r="AM359" s="250"/>
      <c r="AN359" s="250"/>
      <c r="AO359" s="250"/>
      <c r="AP359" s="250"/>
      <c r="AQ359" s="250"/>
      <c r="AR359" s="250"/>
      <c r="AS359" s="250"/>
      <c r="AT359" s="250"/>
      <c r="AU359" s="250"/>
      <c r="AV359" s="250"/>
      <c r="AW359" s="250"/>
      <c r="AX359" s="250"/>
      <c r="AY359" s="250"/>
      <c r="AZ359" s="250"/>
      <c r="BA359" s="250"/>
      <c r="BB359" s="250"/>
      <c r="BC359" s="250"/>
      <c r="BD359" s="250"/>
      <c r="BE359" s="250"/>
      <c r="BF359" s="250"/>
      <c r="BG359" s="250"/>
      <c r="BH359" s="250"/>
      <c r="BI359" s="250"/>
      <c r="BJ359" s="250"/>
      <c r="BK359" s="250"/>
      <c r="BL359" s="250"/>
      <c r="BM359" s="250"/>
      <c r="BN359" s="250"/>
      <c r="BO359" s="250"/>
      <c r="BP359" s="250"/>
      <c r="BQ359" s="250"/>
      <c r="BR359" s="250"/>
      <c r="BS359" s="250"/>
      <c r="BT359" s="250"/>
      <c r="BU359" s="250"/>
      <c r="BV359" s="250"/>
      <c r="BW359" s="250"/>
      <c r="BX359" s="250"/>
      <c r="BY359" s="250"/>
      <c r="BZ359" s="250"/>
      <c r="CA359" s="250"/>
      <c r="CB359" s="250"/>
      <c r="CC359" s="250"/>
      <c r="CD359" s="250"/>
      <c r="CE359" s="250"/>
      <c r="CF359" s="250"/>
      <c r="CG359" s="250"/>
      <c r="CH359" s="250"/>
      <c r="CI359" s="250"/>
      <c r="CJ359" s="250"/>
      <c r="CK359" s="250"/>
      <c r="CL359" s="250"/>
      <c r="CM359" s="250"/>
      <c r="CN359" s="250"/>
      <c r="CO359" s="250"/>
      <c r="CP359" s="250"/>
      <c r="CQ359" s="250"/>
      <c r="CR359" s="250"/>
      <c r="CS359" s="250"/>
      <c r="CT359" s="250"/>
      <c r="CU359" s="250"/>
      <c r="CV359" s="250"/>
      <c r="CW359" s="250"/>
      <c r="CX359" s="250"/>
      <c r="CY359" s="250"/>
      <c r="CZ359" s="250"/>
      <c r="DA359" s="250"/>
      <c r="DB359" s="250"/>
      <c r="DC359" s="250"/>
      <c r="DD359" s="250"/>
      <c r="DE359" s="250"/>
      <c r="DF359" s="250"/>
      <c r="DG359" s="250"/>
      <c r="DH359" s="250"/>
      <c r="DI359" s="250"/>
      <c r="DJ359" s="250"/>
      <c r="DK359" s="250"/>
      <c r="DL359" s="250"/>
      <c r="DM359" s="250"/>
      <c r="DN359" s="250"/>
      <c r="DO359" s="250"/>
      <c r="DP359" s="250"/>
      <c r="DQ359" s="250"/>
      <c r="DR359" s="250"/>
      <c r="DS359" s="250"/>
      <c r="DT359" s="250"/>
      <c r="DU359" s="250"/>
      <c r="DV359" s="250"/>
      <c r="DW359" s="250"/>
      <c r="DX359" s="250"/>
      <c r="DY359" s="250"/>
      <c r="DZ359" s="250"/>
      <c r="EA359" s="250"/>
      <c r="EB359" s="250"/>
      <c r="EC359" s="250"/>
      <c r="ED359" s="250"/>
      <c r="EE359" s="250"/>
      <c r="EF359" s="250"/>
      <c r="EG359" s="250"/>
      <c r="EH359" s="250"/>
      <c r="EI359" s="250"/>
      <c r="EJ359" s="250"/>
      <c r="EK359" s="250"/>
      <c r="EL359" s="250"/>
      <c r="EM359" s="250"/>
      <c r="EN359" s="250"/>
      <c r="EO359" s="250"/>
      <c r="EP359" s="250"/>
      <c r="EQ359" s="250"/>
      <c r="ER359" s="250"/>
      <c r="ES359" s="250"/>
      <c r="ET359" s="250"/>
      <c r="EU359" s="250"/>
      <c r="EV359" s="250"/>
      <c r="EW359" s="250"/>
      <c r="EX359" s="250"/>
      <c r="EY359" s="250"/>
      <c r="EZ359" s="250"/>
      <c r="FA359" s="250"/>
      <c r="FB359" s="250"/>
      <c r="FC359" s="250"/>
      <c r="FD359" s="250"/>
      <c r="FE359" s="250"/>
      <c r="FF359" s="250"/>
      <c r="FG359" s="250"/>
      <c r="FH359" s="250"/>
      <c r="FI359" s="250"/>
      <c r="FJ359" s="250"/>
      <c r="FK359" s="250"/>
      <c r="FL359" s="250"/>
      <c r="FM359" s="250"/>
      <c r="FN359" s="250"/>
      <c r="FO359" s="250"/>
      <c r="FP359" s="250"/>
      <c r="FQ359" s="250"/>
      <c r="FR359" s="250"/>
      <c r="FS359" s="250"/>
      <c r="FT359" s="250"/>
      <c r="FU359" s="250"/>
      <c r="FV359" s="250"/>
      <c r="FW359" s="250"/>
      <c r="FX359" s="250"/>
      <c r="FY359" s="250"/>
      <c r="FZ359" s="250"/>
      <c r="GA359" s="250"/>
      <c r="GB359" s="250"/>
      <c r="GC359" s="250"/>
      <c r="GD359" s="250"/>
      <c r="GE359" s="250"/>
      <c r="GF359" s="250"/>
      <c r="GG359" s="250"/>
      <c r="GH359" s="250"/>
      <c r="GI359" s="250"/>
      <c r="GJ359" s="250"/>
      <c r="GK359" s="250"/>
      <c r="GL359" s="250"/>
      <c r="GM359" s="250"/>
      <c r="GN359" s="250"/>
      <c r="GO359" s="250"/>
      <c r="GP359" s="250"/>
      <c r="GQ359" s="250"/>
      <c r="GR359" s="250"/>
      <c r="GS359" s="250"/>
      <c r="GT359" s="250"/>
      <c r="GU359" s="250"/>
      <c r="GV359" s="250"/>
      <c r="GW359" s="250"/>
      <c r="GX359" s="250"/>
      <c r="GY359" s="250"/>
      <c r="GZ359" s="250"/>
      <c r="HA359" s="250"/>
      <c r="HB359" s="250"/>
      <c r="HC359" s="250"/>
      <c r="HD359" s="250"/>
      <c r="HE359" s="250"/>
      <c r="HF359" s="250"/>
      <c r="HG359" s="250"/>
      <c r="HH359" s="250"/>
      <c r="HI359" s="250"/>
      <c r="HJ359" s="250"/>
      <c r="HK359" s="250"/>
      <c r="HL359" s="250"/>
      <c r="HM359" s="250"/>
      <c r="HN359" s="250"/>
      <c r="HO359" s="250"/>
      <c r="HP359" s="250"/>
      <c r="HQ359" s="250"/>
      <c r="HR359" s="250"/>
      <c r="HS359" s="250"/>
      <c r="HT359" s="250"/>
      <c r="HU359" s="250"/>
      <c r="HV359" s="250"/>
      <c r="HW359" s="250"/>
      <c r="HX359" s="250"/>
      <c r="HY359" s="250"/>
      <c r="HZ359" s="250"/>
      <c r="IA359" s="250"/>
      <c r="IB359" s="250"/>
      <c r="IC359" s="250"/>
      <c r="ID359" s="250"/>
      <c r="IE359" s="250"/>
      <c r="IF359" s="250"/>
      <c r="IG359" s="250"/>
      <c r="IH359" s="250"/>
      <c r="II359" s="250"/>
      <c r="IJ359" s="250"/>
      <c r="IK359" s="250"/>
      <c r="IL359" s="250"/>
      <c r="IM359" s="250"/>
      <c r="IN359" s="250"/>
      <c r="IO359" s="250"/>
      <c r="IP359" s="250"/>
      <c r="IQ359" s="250"/>
      <c r="IR359" s="250"/>
      <c r="IS359" s="250"/>
      <c r="IT359" s="250"/>
      <c r="IU359" s="250"/>
      <c r="IV359" s="250"/>
      <c r="IW359" s="250"/>
      <c r="IX359" s="250"/>
      <c r="IY359" s="250"/>
      <c r="IZ359" s="250"/>
      <c r="JA359" s="250"/>
      <c r="JB359" s="250"/>
      <c r="JC359" s="250"/>
      <c r="JD359" s="250"/>
      <c r="JE359" s="250"/>
      <c r="JF359" s="250"/>
      <c r="JG359" s="250"/>
      <c r="JH359" s="250"/>
      <c r="JI359" s="250"/>
      <c r="JJ359" s="250"/>
      <c r="JK359" s="250"/>
      <c r="JL359" s="250"/>
      <c r="JM359" s="250"/>
      <c r="JN359" s="250"/>
      <c r="JO359" s="250"/>
      <c r="JP359" s="250"/>
      <c r="JQ359" s="250"/>
      <c r="JR359" s="250"/>
      <c r="JS359" s="250"/>
      <c r="JT359" s="250"/>
      <c r="JU359" s="250"/>
      <c r="JV359" s="250"/>
      <c r="JW359" s="250"/>
      <c r="JX359" s="250"/>
      <c r="JY359" s="250"/>
      <c r="JZ359" s="250"/>
      <c r="KA359" s="250"/>
      <c r="KB359" s="250"/>
      <c r="KC359" s="250"/>
      <c r="KD359" s="250"/>
      <c r="KE359" s="250"/>
      <c r="KF359" s="250"/>
      <c r="KG359" s="250"/>
      <c r="KH359" s="250"/>
      <c r="KI359" s="250"/>
      <c r="KJ359" s="250"/>
      <c r="KK359" s="250"/>
      <c r="KL359" s="250"/>
      <c r="KM359" s="250"/>
      <c r="KN359" s="250"/>
      <c r="KO359" s="250"/>
      <c r="KP359" s="250"/>
      <c r="KQ359" s="250"/>
      <c r="KR359" s="250"/>
      <c r="KS359" s="250"/>
      <c r="KT359" s="250"/>
      <c r="KU359" s="250"/>
      <c r="KV359" s="250"/>
      <c r="KW359" s="250"/>
      <c r="KX359" s="250"/>
      <c r="KY359" s="250"/>
      <c r="KZ359" s="250"/>
      <c r="LA359" s="250"/>
      <c r="LB359" s="250"/>
      <c r="LC359" s="250"/>
      <c r="LD359" s="250"/>
      <c r="LE359" s="250"/>
      <c r="LF359" s="250"/>
      <c r="LG359" s="250"/>
      <c r="LH359" s="250"/>
      <c r="LI359" s="250"/>
      <c r="LJ359" s="250"/>
      <c r="LK359" s="250"/>
      <c r="LL359" s="250"/>
      <c r="LM359" s="250"/>
      <c r="LN359" s="250"/>
      <c r="LO359" s="250"/>
      <c r="LP359" s="250"/>
      <c r="LQ359" s="250"/>
      <c r="LR359" s="250"/>
      <c r="LS359" s="250"/>
      <c r="LT359" s="250"/>
      <c r="LU359" s="250"/>
      <c r="LV359" s="250"/>
      <c r="LW359" s="250"/>
      <c r="LX359" s="250"/>
      <c r="LY359" s="250"/>
      <c r="LZ359" s="250"/>
      <c r="MA359" s="250"/>
      <c r="MB359" s="250"/>
      <c r="MC359" s="250"/>
      <c r="MD359" s="250"/>
      <c r="ME359" s="250"/>
      <c r="MF359" s="250"/>
      <c r="MG359" s="250"/>
      <c r="MH359" s="250"/>
      <c r="MI359" s="250"/>
    </row>
    <row r="360" spans="2:1014" s="82" customFormat="1" ht="20.100000000000001" customHeight="1">
      <c r="B360" s="250"/>
      <c r="C360" s="1632"/>
      <c r="D360" s="1632"/>
      <c r="E360" s="1632"/>
      <c r="F360" s="1632"/>
      <c r="G360" s="1632"/>
      <c r="H360" s="1632"/>
      <c r="I360" s="250"/>
      <c r="J360" s="250"/>
      <c r="K360" s="250"/>
      <c r="L360" s="250"/>
      <c r="M360" s="250"/>
      <c r="N360" s="250"/>
      <c r="O360" s="250"/>
      <c r="P360" s="250"/>
      <c r="Q360" s="250"/>
      <c r="R360" s="250"/>
      <c r="S360" s="250"/>
      <c r="T360" s="250"/>
      <c r="U360" s="250"/>
      <c r="V360" s="250"/>
      <c r="W360" s="250"/>
      <c r="X360" s="250"/>
      <c r="Y360" s="250"/>
      <c r="Z360" s="250"/>
      <c r="AA360" s="250"/>
      <c r="AB360" s="250"/>
      <c r="AC360" s="250"/>
      <c r="AD360" s="250"/>
      <c r="AE360" s="250"/>
      <c r="AF360" s="250"/>
      <c r="AG360" s="250"/>
      <c r="AH360" s="250"/>
      <c r="AI360" s="250"/>
      <c r="AJ360" s="250"/>
      <c r="AK360" s="250"/>
      <c r="AL360" s="250"/>
      <c r="AM360" s="250"/>
      <c r="AN360" s="250"/>
      <c r="AO360" s="250"/>
      <c r="AP360" s="250"/>
      <c r="AQ360" s="250"/>
      <c r="AR360" s="250"/>
      <c r="AS360" s="250"/>
      <c r="AT360" s="250"/>
      <c r="AU360" s="250"/>
      <c r="AV360" s="250"/>
      <c r="AW360" s="250"/>
      <c r="AX360" s="250"/>
      <c r="AY360" s="250"/>
      <c r="AZ360" s="250"/>
      <c r="BA360" s="250"/>
      <c r="BB360" s="250"/>
      <c r="BC360" s="250"/>
      <c r="BD360" s="250"/>
      <c r="BE360" s="250"/>
      <c r="BF360" s="250"/>
      <c r="BG360" s="250"/>
      <c r="BH360" s="250"/>
      <c r="BI360" s="250"/>
      <c r="BJ360" s="250"/>
      <c r="BK360" s="250"/>
      <c r="BL360" s="250"/>
      <c r="BM360" s="250"/>
      <c r="BN360" s="250"/>
      <c r="BO360" s="250"/>
      <c r="BP360" s="250"/>
      <c r="BQ360" s="250"/>
      <c r="BR360" s="250"/>
      <c r="BS360" s="250"/>
      <c r="BT360" s="250"/>
      <c r="BU360" s="250"/>
      <c r="BV360" s="250"/>
      <c r="BW360" s="250"/>
      <c r="BX360" s="250"/>
      <c r="BY360" s="250"/>
      <c r="BZ360" s="250"/>
      <c r="CA360" s="250"/>
      <c r="CB360" s="250"/>
      <c r="CC360" s="250"/>
      <c r="CD360" s="250"/>
      <c r="CE360" s="250"/>
      <c r="CF360" s="250"/>
      <c r="CG360" s="250"/>
      <c r="CH360" s="250"/>
      <c r="CI360" s="250"/>
      <c r="CJ360" s="250"/>
      <c r="CK360" s="250"/>
      <c r="CL360" s="250"/>
      <c r="CM360" s="250"/>
      <c r="CN360" s="250"/>
      <c r="CO360" s="250"/>
      <c r="CP360" s="250"/>
      <c r="CQ360" s="250"/>
      <c r="CR360" s="250"/>
      <c r="CS360" s="250"/>
      <c r="CT360" s="250"/>
      <c r="CU360" s="250"/>
      <c r="CV360" s="250"/>
      <c r="CW360" s="250"/>
      <c r="CX360" s="250"/>
      <c r="CY360" s="250"/>
      <c r="CZ360" s="250"/>
      <c r="DA360" s="250"/>
      <c r="DB360" s="250"/>
      <c r="DC360" s="250"/>
      <c r="DD360" s="250"/>
      <c r="DE360" s="250"/>
      <c r="DF360" s="250"/>
      <c r="DG360" s="250"/>
      <c r="DH360" s="250"/>
      <c r="DI360" s="250"/>
      <c r="DJ360" s="250"/>
      <c r="DK360" s="250"/>
      <c r="DL360" s="250"/>
      <c r="DM360" s="250"/>
      <c r="DN360" s="250"/>
      <c r="DO360" s="250"/>
      <c r="DP360" s="250"/>
      <c r="DQ360" s="250"/>
      <c r="DR360" s="250"/>
      <c r="DS360" s="250"/>
      <c r="DT360" s="250"/>
      <c r="DU360" s="250"/>
      <c r="DV360" s="250"/>
      <c r="DW360" s="250"/>
      <c r="DX360" s="250"/>
      <c r="DY360" s="250"/>
      <c r="DZ360" s="250"/>
      <c r="EA360" s="250"/>
      <c r="EB360" s="250"/>
      <c r="EC360" s="250"/>
      <c r="ED360" s="250"/>
      <c r="EE360" s="250"/>
      <c r="EF360" s="250"/>
      <c r="EG360" s="250"/>
      <c r="EH360" s="250"/>
      <c r="EI360" s="250"/>
      <c r="EJ360" s="250"/>
      <c r="EK360" s="250"/>
      <c r="EL360" s="250"/>
      <c r="EM360" s="250"/>
      <c r="EN360" s="250"/>
      <c r="EO360" s="250"/>
      <c r="EP360" s="250"/>
      <c r="EQ360" s="250"/>
      <c r="ER360" s="250"/>
      <c r="ES360" s="250"/>
      <c r="ET360" s="250"/>
      <c r="EU360" s="250"/>
      <c r="EV360" s="250"/>
      <c r="EW360" s="250"/>
      <c r="EX360" s="250"/>
      <c r="EY360" s="250"/>
      <c r="EZ360" s="250"/>
      <c r="FA360" s="250"/>
      <c r="FB360" s="250"/>
      <c r="FC360" s="250"/>
      <c r="FD360" s="250"/>
      <c r="FE360" s="250"/>
      <c r="FF360" s="250"/>
      <c r="FG360" s="250"/>
      <c r="FH360" s="250"/>
      <c r="FI360" s="250"/>
      <c r="FJ360" s="250"/>
      <c r="FK360" s="250"/>
      <c r="FL360" s="250"/>
      <c r="FM360" s="250"/>
      <c r="FN360" s="250"/>
      <c r="FO360" s="250"/>
      <c r="FP360" s="250"/>
      <c r="FQ360" s="250"/>
      <c r="FR360" s="250"/>
      <c r="FS360" s="250"/>
      <c r="FT360" s="250"/>
      <c r="FU360" s="250"/>
      <c r="FV360" s="250"/>
      <c r="FW360" s="250"/>
      <c r="FX360" s="250"/>
      <c r="FY360" s="250"/>
      <c r="FZ360" s="250"/>
      <c r="GA360" s="250"/>
      <c r="GB360" s="250"/>
      <c r="GC360" s="250"/>
      <c r="GD360" s="250"/>
      <c r="GE360" s="250"/>
      <c r="GF360" s="250"/>
      <c r="GG360" s="250"/>
      <c r="GH360" s="250"/>
      <c r="GI360" s="250"/>
      <c r="GJ360" s="250"/>
      <c r="GK360" s="250"/>
      <c r="GL360" s="250"/>
      <c r="GM360" s="250"/>
      <c r="GN360" s="250"/>
      <c r="GO360" s="250"/>
      <c r="GP360" s="250"/>
      <c r="GQ360" s="250"/>
      <c r="GR360" s="250"/>
      <c r="GS360" s="250"/>
      <c r="GT360" s="250"/>
      <c r="GU360" s="250"/>
      <c r="GV360" s="250"/>
      <c r="GW360" s="250"/>
      <c r="GX360" s="250"/>
      <c r="GY360" s="250"/>
      <c r="GZ360" s="250"/>
      <c r="HA360" s="250"/>
      <c r="HB360" s="250"/>
      <c r="HC360" s="250"/>
      <c r="HD360" s="250"/>
      <c r="HE360" s="250"/>
      <c r="HF360" s="250"/>
      <c r="HG360" s="250"/>
      <c r="HH360" s="250"/>
      <c r="HI360" s="250"/>
      <c r="HJ360" s="250"/>
      <c r="HK360" s="250"/>
      <c r="HL360" s="250"/>
      <c r="HM360" s="250"/>
      <c r="HN360" s="250"/>
      <c r="HO360" s="250"/>
      <c r="HP360" s="250"/>
      <c r="HQ360" s="250"/>
      <c r="HR360" s="250"/>
      <c r="HS360" s="250"/>
      <c r="HT360" s="250"/>
      <c r="HU360" s="250"/>
      <c r="HV360" s="250"/>
      <c r="HW360" s="250"/>
      <c r="HX360" s="250"/>
      <c r="HY360" s="250"/>
      <c r="HZ360" s="250"/>
      <c r="IA360" s="250"/>
      <c r="IB360" s="250"/>
      <c r="IC360" s="250"/>
      <c r="ID360" s="250"/>
      <c r="IE360" s="250"/>
      <c r="IF360" s="250"/>
      <c r="IG360" s="250"/>
      <c r="IH360" s="250"/>
      <c r="II360" s="250"/>
      <c r="IJ360" s="250"/>
      <c r="IK360" s="250"/>
      <c r="IL360" s="250"/>
      <c r="IM360" s="250"/>
      <c r="IN360" s="250"/>
      <c r="IO360" s="250"/>
      <c r="IP360" s="250"/>
      <c r="IQ360" s="250"/>
      <c r="IR360" s="250"/>
      <c r="IS360" s="250"/>
      <c r="IT360" s="250"/>
      <c r="IU360" s="250"/>
      <c r="IV360" s="250"/>
      <c r="IW360" s="250"/>
      <c r="IX360" s="250"/>
      <c r="IY360" s="250"/>
      <c r="IZ360" s="250"/>
      <c r="JA360" s="250"/>
      <c r="JB360" s="250"/>
      <c r="JC360" s="250"/>
      <c r="JD360" s="250"/>
      <c r="JE360" s="250"/>
      <c r="JF360" s="250"/>
      <c r="JG360" s="250"/>
      <c r="JH360" s="250"/>
      <c r="JI360" s="250"/>
      <c r="JJ360" s="250"/>
      <c r="JK360" s="250"/>
      <c r="JL360" s="250"/>
      <c r="JM360" s="250"/>
      <c r="JN360" s="250"/>
      <c r="JO360" s="250"/>
      <c r="JP360" s="250"/>
      <c r="JQ360" s="250"/>
      <c r="JR360" s="250"/>
      <c r="JS360" s="250"/>
      <c r="JT360" s="250"/>
      <c r="JU360" s="250"/>
      <c r="JV360" s="250"/>
      <c r="JW360" s="250"/>
      <c r="JX360" s="250"/>
      <c r="JY360" s="250"/>
      <c r="JZ360" s="250"/>
      <c r="KA360" s="250"/>
      <c r="KB360" s="250"/>
      <c r="KC360" s="250"/>
      <c r="KD360" s="250"/>
      <c r="KE360" s="250"/>
      <c r="KF360" s="250"/>
      <c r="KG360" s="250"/>
      <c r="KH360" s="250"/>
      <c r="KI360" s="250"/>
      <c r="KJ360" s="250"/>
      <c r="KK360" s="250"/>
      <c r="KL360" s="250"/>
      <c r="KM360" s="250"/>
      <c r="KN360" s="250"/>
      <c r="KO360" s="250"/>
      <c r="KP360" s="250"/>
      <c r="KQ360" s="250"/>
      <c r="KR360" s="250"/>
      <c r="KS360" s="250"/>
      <c r="KT360" s="250"/>
      <c r="KU360" s="250"/>
      <c r="KV360" s="250"/>
      <c r="KW360" s="250"/>
      <c r="KX360" s="250"/>
      <c r="KY360" s="250"/>
      <c r="KZ360" s="250"/>
      <c r="LA360" s="250"/>
      <c r="LB360" s="250"/>
      <c r="LC360" s="250"/>
      <c r="LD360" s="250"/>
      <c r="LE360" s="250"/>
      <c r="LF360" s="250"/>
      <c r="LG360" s="250"/>
      <c r="LH360" s="250"/>
      <c r="LI360" s="250"/>
      <c r="LJ360" s="250"/>
      <c r="LK360" s="250"/>
      <c r="LL360" s="250"/>
      <c r="LM360" s="250"/>
      <c r="LN360" s="250"/>
      <c r="LO360" s="250"/>
      <c r="LP360" s="250"/>
      <c r="LQ360" s="250"/>
      <c r="LR360" s="250"/>
      <c r="LS360" s="250"/>
      <c r="LT360" s="250"/>
      <c r="LU360" s="250"/>
      <c r="LV360" s="250"/>
      <c r="LW360" s="250"/>
      <c r="LX360" s="250"/>
      <c r="LY360" s="250"/>
      <c r="LZ360" s="250"/>
      <c r="MA360" s="250"/>
      <c r="MB360" s="250"/>
      <c r="MC360" s="250"/>
      <c r="MD360" s="250"/>
      <c r="ME360" s="250"/>
      <c r="MF360" s="250"/>
      <c r="MG360" s="250"/>
      <c r="MH360" s="250"/>
      <c r="MI360" s="250"/>
      <c r="MJ360" s="668"/>
      <c r="MK360" s="668"/>
      <c r="ML360" s="668"/>
      <c r="MM360" s="668"/>
      <c r="MN360" s="668"/>
      <c r="MO360" s="668"/>
      <c r="MP360" s="668"/>
      <c r="MQ360" s="668"/>
      <c r="MR360" s="668"/>
      <c r="MS360" s="668"/>
      <c r="MT360" s="668"/>
      <c r="MU360" s="668"/>
      <c r="MV360" s="668"/>
      <c r="MW360" s="668"/>
      <c r="MX360" s="668"/>
      <c r="MY360" s="668"/>
      <c r="MZ360" s="668"/>
      <c r="NA360" s="668"/>
      <c r="NB360" s="668"/>
      <c r="NC360" s="668"/>
      <c r="ND360" s="668"/>
      <c r="NE360" s="668"/>
      <c r="NF360" s="668"/>
      <c r="NG360" s="668"/>
      <c r="NH360" s="668"/>
      <c r="NI360" s="668"/>
      <c r="NJ360" s="668"/>
      <c r="NK360" s="668"/>
      <c r="NL360" s="668"/>
      <c r="NM360" s="668"/>
      <c r="NN360" s="668"/>
      <c r="NO360" s="668"/>
      <c r="NP360" s="668"/>
      <c r="NQ360" s="668"/>
      <c r="NR360" s="668"/>
      <c r="NS360" s="668"/>
      <c r="NT360" s="668"/>
    </row>
    <row r="361" spans="2:1014" ht="20.100000000000001" customHeight="1">
      <c r="C361" s="1658" t="s">
        <v>4143</v>
      </c>
      <c r="D361" s="1658"/>
      <c r="E361" s="1658"/>
      <c r="F361" s="1658"/>
      <c r="G361" s="1658"/>
      <c r="H361" s="1658"/>
    </row>
    <row r="362" spans="2:1014" ht="20.100000000000001" customHeight="1">
      <c r="C362" s="1658"/>
      <c r="D362" s="1658"/>
      <c r="E362" s="1658"/>
      <c r="F362" s="1658"/>
      <c r="G362" s="1658"/>
      <c r="H362" s="1658"/>
    </row>
    <row r="363" spans="2:1014" ht="20.100000000000001" customHeight="1">
      <c r="C363" s="1658" t="s">
        <v>4145</v>
      </c>
      <c r="D363" s="1658"/>
      <c r="E363" s="1658"/>
      <c r="F363" s="1658"/>
      <c r="G363" s="1658"/>
      <c r="H363" s="1658"/>
    </row>
    <row r="364" spans="2:1014" ht="20.100000000000001" customHeight="1">
      <c r="C364" s="1658"/>
      <c r="D364" s="1658"/>
      <c r="E364" s="1658"/>
      <c r="F364" s="1658"/>
      <c r="G364" s="1658"/>
      <c r="H364" s="1658"/>
    </row>
    <row r="365" spans="2:1014" ht="20.100000000000001" customHeight="1">
      <c r="C365" s="1659" t="s">
        <v>4144</v>
      </c>
      <c r="D365" s="1659"/>
      <c r="E365" s="1659"/>
      <c r="F365" s="1659"/>
      <c r="G365" s="1659"/>
      <c r="H365" s="1659"/>
      <c r="V365" s="1337" t="s">
        <v>488</v>
      </c>
      <c r="AY365" s="1337" t="s">
        <v>488</v>
      </c>
      <c r="BU365" s="1337" t="s">
        <v>488</v>
      </c>
      <c r="CE365" s="1337" t="s">
        <v>488</v>
      </c>
      <c r="CO365" s="1337" t="s">
        <v>488</v>
      </c>
      <c r="CY365" s="1337" t="s">
        <v>488</v>
      </c>
      <c r="DD365" s="1139"/>
      <c r="DE365" s="1139"/>
      <c r="DF365" s="1139"/>
      <c r="DG365" s="1139"/>
      <c r="DH365" s="1139"/>
      <c r="DI365" s="1139"/>
      <c r="DJ365" s="1139"/>
      <c r="DK365" s="1139"/>
      <c r="DL365" s="1139"/>
      <c r="DM365" s="1139"/>
      <c r="DN365" s="1139"/>
      <c r="DO365" s="1139"/>
      <c r="DP365" s="1139"/>
      <c r="DQ365" s="1139"/>
      <c r="DR365" s="1139"/>
      <c r="DS365" s="1139"/>
      <c r="DT365" s="1139"/>
      <c r="DU365" s="1139"/>
      <c r="DV365" s="1139"/>
      <c r="DW365" s="1139"/>
      <c r="DX365" s="1139"/>
      <c r="DY365" s="1139"/>
      <c r="DZ365" s="1139"/>
      <c r="EA365" s="1139"/>
      <c r="EB365" s="1138"/>
      <c r="EC365" s="1138"/>
      <c r="ED365" s="1138"/>
      <c r="EE365" s="1138"/>
      <c r="EF365" s="1338"/>
      <c r="EG365" s="1338"/>
      <c r="EH365" s="1138"/>
      <c r="EI365" s="1138"/>
      <c r="EJ365" s="1138"/>
      <c r="EK365" s="1138"/>
      <c r="EL365" s="1339"/>
      <c r="EM365" s="1339"/>
      <c r="EN365" s="1138"/>
      <c r="EO365" s="1138"/>
      <c r="EP365" s="1138"/>
      <c r="EQ365" s="1138"/>
      <c r="ER365" s="1339"/>
      <c r="ES365" s="1339"/>
      <c r="ET365" s="1138"/>
      <c r="EU365" s="1138"/>
      <c r="EV365" s="1138"/>
      <c r="EW365" s="1138"/>
      <c r="EX365" s="1339"/>
      <c r="EY365" s="1339"/>
      <c r="EZ365" s="1138"/>
      <c r="FA365" s="1138"/>
      <c r="FB365" s="1138"/>
      <c r="FC365" s="1138"/>
      <c r="FD365" s="1339"/>
      <c r="FE365" s="1339"/>
      <c r="FF365" s="1138"/>
      <c r="FG365" s="1138"/>
      <c r="FH365" s="1138"/>
      <c r="FI365" s="1138"/>
      <c r="FJ365" s="1339"/>
      <c r="FK365" s="1339"/>
      <c r="FL365" s="1340"/>
      <c r="FM365" s="1340"/>
      <c r="FN365" s="1340"/>
      <c r="FO365" s="1340"/>
      <c r="FP365" s="1340"/>
      <c r="FQ365" s="1340"/>
      <c r="FR365" s="1340"/>
      <c r="FS365" s="1340"/>
      <c r="FT365" s="1340"/>
      <c r="FU365" s="1340"/>
      <c r="FV365" s="1340"/>
      <c r="FW365" s="1340"/>
      <c r="FX365" s="1340"/>
      <c r="FY365" s="1340"/>
      <c r="FZ365" s="1340"/>
      <c r="GA365" s="1340"/>
      <c r="GB365" s="1340"/>
      <c r="GC365" s="1340"/>
      <c r="GD365" s="1340"/>
      <c r="GE365" s="1340"/>
      <c r="GF365" s="1340"/>
      <c r="GG365" s="1340"/>
      <c r="GH365" s="1340"/>
      <c r="GI365" s="1340"/>
      <c r="GJ365" s="1340"/>
      <c r="GK365" s="1340"/>
      <c r="GL365" s="1340"/>
      <c r="GM365" s="1340"/>
      <c r="GN365" s="1340"/>
      <c r="GO365" s="1340"/>
      <c r="GP365" s="1340"/>
      <c r="GQ365" s="1340"/>
      <c r="GR365" s="1340"/>
      <c r="GS365" s="1340"/>
      <c r="GT365" s="1340"/>
      <c r="GU365" s="1340"/>
      <c r="GV365" s="1340"/>
      <c r="GW365" s="1340"/>
      <c r="GX365" s="1340"/>
      <c r="GY365" s="1340"/>
      <c r="GZ365" s="1340"/>
      <c r="HA365" s="1340"/>
      <c r="HB365" s="1340"/>
      <c r="HC365" s="1340"/>
      <c r="HD365" s="1340"/>
      <c r="HE365" s="1340"/>
      <c r="HF365" s="1340"/>
      <c r="HG365" s="1340"/>
      <c r="HH365" s="1340"/>
      <c r="HI365" s="1340"/>
      <c r="HJ365" s="1340"/>
      <c r="HK365" s="1340"/>
      <c r="HL365" s="1340"/>
      <c r="HM365" s="1340"/>
      <c r="HN365" s="1340"/>
      <c r="HO365" s="1340"/>
      <c r="HP365" s="1340"/>
      <c r="HQ365" s="1340"/>
      <c r="HR365" s="1340"/>
      <c r="HS365" s="1340"/>
      <c r="HT365" s="1340"/>
      <c r="HU365" s="1340"/>
      <c r="HV365" s="1340"/>
      <c r="HW365" s="1340"/>
      <c r="HX365" s="1340"/>
      <c r="HY365" s="1340"/>
      <c r="HZ365" s="1340"/>
      <c r="IA365" s="1340"/>
      <c r="IB365" s="1340"/>
      <c r="IC365" s="1340"/>
      <c r="ID365" s="1340"/>
      <c r="IE365" s="1340"/>
      <c r="IF365" s="1340"/>
      <c r="IG365" s="1340"/>
      <c r="IH365" s="1340"/>
      <c r="II365" s="1340"/>
      <c r="IJ365" s="1340"/>
      <c r="IK365" s="1340"/>
      <c r="IL365" s="1340"/>
      <c r="IM365" s="1340"/>
      <c r="IN365" s="1340"/>
      <c r="IO365" s="1340"/>
      <c r="IP365" s="1340"/>
      <c r="IQ365" s="1340"/>
      <c r="IR365" s="1340"/>
      <c r="IS365" s="1340"/>
      <c r="IT365" s="1340"/>
      <c r="IU365" s="1340"/>
      <c r="IV365" s="1340"/>
      <c r="IW365" s="1340"/>
      <c r="IX365" s="1340"/>
      <c r="IY365" s="1340"/>
      <c r="IZ365" s="1340"/>
      <c r="JA365" s="1340"/>
      <c r="JB365" s="1340"/>
      <c r="JC365" s="1340"/>
      <c r="JD365" s="1340"/>
      <c r="JE365" s="1340"/>
      <c r="JF365" s="1340"/>
      <c r="JG365" s="1340"/>
      <c r="JH365" s="1340"/>
      <c r="JI365" s="1340"/>
      <c r="JJ365" s="1340"/>
      <c r="JK365" s="1340"/>
      <c r="JL365" s="1340"/>
      <c r="JM365" s="1340"/>
      <c r="JN365" s="1340"/>
      <c r="JO365" s="1340"/>
      <c r="JP365" s="1340"/>
      <c r="JQ365" s="1340"/>
      <c r="JR365" s="1340"/>
      <c r="JS365" s="1340"/>
      <c r="JT365" s="1340"/>
      <c r="JU365" s="1340"/>
      <c r="JV365" s="1340"/>
      <c r="JW365" s="1340"/>
      <c r="JX365" s="1340"/>
      <c r="JY365" s="1340"/>
      <c r="JZ365" s="1340"/>
      <c r="KA365" s="1340"/>
      <c r="KB365" s="1340"/>
      <c r="KC365" s="1340"/>
      <c r="KD365" s="1340"/>
      <c r="KE365" s="1340"/>
      <c r="KF365" s="1340"/>
      <c r="KG365" s="1340"/>
      <c r="KH365" s="1340"/>
      <c r="KI365" s="1340"/>
      <c r="KJ365" s="1340"/>
      <c r="KK365" s="1340"/>
      <c r="KL365" s="1340"/>
      <c r="KM365" s="1340"/>
      <c r="KN365" s="1340"/>
      <c r="KO365" s="1340"/>
      <c r="KP365" s="1340"/>
      <c r="KQ365" s="1340"/>
      <c r="KR365" s="1340"/>
      <c r="KS365" s="1340"/>
      <c r="KT365" s="1340"/>
      <c r="KU365" s="1340"/>
      <c r="KV365" s="1340"/>
      <c r="KW365" s="1340"/>
      <c r="KX365" s="1340"/>
      <c r="KY365" s="1340"/>
      <c r="KZ365" s="1340"/>
      <c r="LA365" s="1340"/>
      <c r="LB365" s="1340"/>
      <c r="LC365" s="1340"/>
      <c r="LD365" s="1340"/>
      <c r="LE365" s="1340"/>
      <c r="LF365" s="1340"/>
      <c r="LG365" s="1340"/>
      <c r="LH365" s="1340"/>
      <c r="LI365" s="1340"/>
      <c r="LJ365" s="1340"/>
      <c r="LK365" s="1340"/>
      <c r="LL365" s="1340"/>
      <c r="LM365" s="1340"/>
      <c r="LN365" s="1340"/>
      <c r="LO365" s="1340"/>
      <c r="LP365" s="1340"/>
      <c r="LQ365" s="1340"/>
      <c r="LR365" s="1340"/>
      <c r="LS365" s="1340"/>
      <c r="LT365" s="1340"/>
      <c r="LU365" s="1340"/>
      <c r="LV365" s="1340"/>
      <c r="LW365" s="1340"/>
      <c r="LX365" s="1340"/>
      <c r="LY365" s="1340"/>
      <c r="LZ365" s="1340"/>
      <c r="MA365" s="1340"/>
      <c r="MB365" s="1340"/>
      <c r="MC365" s="1340"/>
      <c r="MD365" s="1340"/>
      <c r="ME365" s="1340"/>
      <c r="MF365" s="1340"/>
      <c r="MG365" s="1340"/>
      <c r="MH365" s="1340"/>
      <c r="MI365" s="1340"/>
    </row>
    <row r="366" spans="2:1014" ht="20.100000000000001" customHeight="1">
      <c r="B366" s="82"/>
      <c r="D366" s="1411"/>
      <c r="E366" s="1411"/>
      <c r="F366" s="1411"/>
      <c r="G366" s="1411"/>
      <c r="H366" s="1411"/>
    </row>
    <row r="367" spans="2:1014" ht="20.100000000000001" customHeight="1">
      <c r="C367" s="1656" t="s">
        <v>3061</v>
      </c>
      <c r="D367" s="1656" t="s">
        <v>94</v>
      </c>
      <c r="E367" s="1656" t="s">
        <v>3062</v>
      </c>
      <c r="F367" s="1633" t="s">
        <v>3078</v>
      </c>
      <c r="G367" s="1657" t="s">
        <v>3079</v>
      </c>
      <c r="H367" s="1633" t="s">
        <v>3080</v>
      </c>
      <c r="I367" s="1633" t="s">
        <v>490</v>
      </c>
      <c r="J367" s="1633" t="s">
        <v>3081</v>
      </c>
      <c r="K367" s="1633" t="s">
        <v>3082</v>
      </c>
      <c r="L367" s="1633" t="s">
        <v>3083</v>
      </c>
      <c r="M367" s="1633" t="s">
        <v>1012</v>
      </c>
      <c r="N367" s="1633" t="s">
        <v>3084</v>
      </c>
      <c r="O367" s="1633" t="s">
        <v>3085</v>
      </c>
      <c r="P367" s="1633" t="s">
        <v>3086</v>
      </c>
      <c r="Q367" s="1633" t="s">
        <v>3087</v>
      </c>
      <c r="R367" s="1633" t="s">
        <v>3088</v>
      </c>
      <c r="S367" s="1633" t="s">
        <v>3089</v>
      </c>
      <c r="T367" s="1633" t="s">
        <v>3090</v>
      </c>
      <c r="U367" s="1633" t="s">
        <v>3091</v>
      </c>
      <c r="V367" s="1633" t="s">
        <v>3092</v>
      </c>
      <c r="W367" s="1633" t="s">
        <v>3093</v>
      </c>
      <c r="X367" s="1633" t="s">
        <v>3094</v>
      </c>
      <c r="Y367" s="1633" t="s">
        <v>3095</v>
      </c>
      <c r="Z367" s="1633" t="s">
        <v>3096</v>
      </c>
      <c r="AA367" s="1633" t="s">
        <v>3097</v>
      </c>
      <c r="AB367" s="1633" t="s">
        <v>3098</v>
      </c>
      <c r="AC367" s="1633" t="s">
        <v>3099</v>
      </c>
      <c r="AD367" s="1633" t="s">
        <v>3100</v>
      </c>
      <c r="AE367" s="1633" t="s">
        <v>3101</v>
      </c>
      <c r="AF367" s="1633" t="s">
        <v>3102</v>
      </c>
      <c r="AG367" s="1633" t="s">
        <v>3103</v>
      </c>
      <c r="AH367" s="1633" t="s">
        <v>3104</v>
      </c>
      <c r="AI367" s="1633" t="s">
        <v>3105</v>
      </c>
      <c r="AJ367" s="1633" t="s">
        <v>3106</v>
      </c>
      <c r="AK367" s="1633" t="s">
        <v>3107</v>
      </c>
      <c r="AL367" s="1633" t="s">
        <v>3108</v>
      </c>
      <c r="AM367" s="1633" t="s">
        <v>3109</v>
      </c>
      <c r="AN367" s="1633" t="s">
        <v>3110</v>
      </c>
      <c r="AO367" s="1633" t="s">
        <v>3111</v>
      </c>
      <c r="AP367" s="1633" t="s">
        <v>3112</v>
      </c>
      <c r="AQ367" s="1633" t="s">
        <v>3113</v>
      </c>
      <c r="AR367" s="1633" t="s">
        <v>3114</v>
      </c>
      <c r="AS367" s="1633" t="s">
        <v>3115</v>
      </c>
      <c r="AT367" s="1633" t="s">
        <v>3116</v>
      </c>
      <c r="AU367" s="1633" t="s">
        <v>3117</v>
      </c>
      <c r="AV367" s="1633" t="s">
        <v>3118</v>
      </c>
      <c r="AW367" s="1633" t="s">
        <v>3119</v>
      </c>
      <c r="AX367" s="1633" t="s">
        <v>3120</v>
      </c>
      <c r="AY367" s="1633" t="s">
        <v>3121</v>
      </c>
      <c r="AZ367" s="1633" t="s">
        <v>3122</v>
      </c>
      <c r="BA367" s="1633" t="s">
        <v>3123</v>
      </c>
      <c r="BB367" s="1633" t="s">
        <v>3124</v>
      </c>
      <c r="BC367" s="1633" t="s">
        <v>3125</v>
      </c>
      <c r="BD367" s="1633" t="s">
        <v>3126</v>
      </c>
      <c r="BE367" s="1633" t="s">
        <v>3127</v>
      </c>
      <c r="BF367" s="1633" t="s">
        <v>3128</v>
      </c>
      <c r="BG367" s="1633" t="s">
        <v>3129</v>
      </c>
      <c r="BH367" s="1633" t="s">
        <v>3130</v>
      </c>
      <c r="BI367" s="1633" t="s">
        <v>3131</v>
      </c>
      <c r="BJ367" s="1633" t="s">
        <v>3132</v>
      </c>
      <c r="BK367" s="1633" t="s">
        <v>3133</v>
      </c>
      <c r="BL367" s="1633" t="s">
        <v>3134</v>
      </c>
      <c r="BM367" s="1633" t="s">
        <v>3135</v>
      </c>
      <c r="BN367" s="1633" t="s">
        <v>3136</v>
      </c>
      <c r="BO367" s="1633" t="s">
        <v>3137</v>
      </c>
      <c r="BP367" s="1633" t="s">
        <v>3138</v>
      </c>
      <c r="BQ367" s="1633" t="s">
        <v>3139</v>
      </c>
      <c r="BR367" s="1633" t="s">
        <v>3140</v>
      </c>
      <c r="BS367" s="1633" t="s">
        <v>3141</v>
      </c>
      <c r="BT367" s="1633" t="s">
        <v>3142</v>
      </c>
      <c r="BU367" s="1633" t="s">
        <v>3143</v>
      </c>
      <c r="BV367" s="1633" t="s">
        <v>3144</v>
      </c>
      <c r="BW367" s="1633" t="s">
        <v>3145</v>
      </c>
      <c r="BX367" s="1633" t="s">
        <v>3146</v>
      </c>
      <c r="BY367" s="1633" t="s">
        <v>3147</v>
      </c>
      <c r="BZ367" s="1633" t="s">
        <v>3148</v>
      </c>
      <c r="CA367" s="1633" t="s">
        <v>3149</v>
      </c>
      <c r="CB367" s="1633" t="s">
        <v>3150</v>
      </c>
      <c r="CC367" s="1633" t="s">
        <v>3151</v>
      </c>
      <c r="CD367" s="1633" t="s">
        <v>3152</v>
      </c>
      <c r="CE367" s="1633" t="s">
        <v>3153</v>
      </c>
      <c r="CF367" s="1633" t="s">
        <v>3154</v>
      </c>
      <c r="CG367" s="1633" t="s">
        <v>3155</v>
      </c>
      <c r="CH367" s="1633" t="s">
        <v>3156</v>
      </c>
      <c r="CI367" s="1633" t="s">
        <v>3157</v>
      </c>
      <c r="CJ367" s="1633" t="s">
        <v>3158</v>
      </c>
      <c r="CK367" s="1633" t="s">
        <v>3159</v>
      </c>
      <c r="CL367" s="1633" t="s">
        <v>3160</v>
      </c>
      <c r="CM367" s="1633" t="s">
        <v>3161</v>
      </c>
      <c r="CN367" s="1633" t="s">
        <v>3162</v>
      </c>
      <c r="CO367" s="1633" t="s">
        <v>3163</v>
      </c>
      <c r="CP367" s="1633" t="s">
        <v>3164</v>
      </c>
      <c r="CQ367" s="1633" t="s">
        <v>3165</v>
      </c>
      <c r="CR367" s="1633" t="s">
        <v>3166</v>
      </c>
      <c r="CS367" s="1633" t="s">
        <v>3167</v>
      </c>
      <c r="CT367" s="1633" t="s">
        <v>3168</v>
      </c>
      <c r="CU367" s="1633" t="s">
        <v>3169</v>
      </c>
      <c r="CV367" s="1633" t="s">
        <v>3170</v>
      </c>
      <c r="CW367" s="1633" t="s">
        <v>3171</v>
      </c>
      <c r="CX367" s="1633" t="s">
        <v>3172</v>
      </c>
      <c r="CY367" s="1633" t="s">
        <v>3173</v>
      </c>
      <c r="CZ367" s="1633" t="s">
        <v>3174</v>
      </c>
      <c r="DA367" s="1633" t="s">
        <v>3175</v>
      </c>
      <c r="DB367" s="1633" t="s">
        <v>3176</v>
      </c>
      <c r="DC367" s="1633" t="s">
        <v>3177</v>
      </c>
      <c r="DD367" s="1633" t="s">
        <v>3178</v>
      </c>
      <c r="DE367" s="1633" t="s">
        <v>3179</v>
      </c>
      <c r="DF367" s="1633" t="s">
        <v>3180</v>
      </c>
      <c r="DG367" s="1633" t="s">
        <v>3181</v>
      </c>
      <c r="DH367" s="1633" t="s">
        <v>3182</v>
      </c>
      <c r="DI367" s="1633" t="s">
        <v>3183</v>
      </c>
      <c r="DJ367" s="1633" t="s">
        <v>3184</v>
      </c>
      <c r="DK367" s="1633" t="s">
        <v>3185</v>
      </c>
      <c r="DL367" s="1633" t="s">
        <v>3186</v>
      </c>
      <c r="DM367" s="1633" t="s">
        <v>3187</v>
      </c>
      <c r="DN367" s="1633" t="s">
        <v>3188</v>
      </c>
      <c r="DO367" s="1633" t="s">
        <v>3189</v>
      </c>
      <c r="DP367" s="1633" t="s">
        <v>3190</v>
      </c>
      <c r="DQ367" s="1633" t="s">
        <v>3191</v>
      </c>
      <c r="DR367" s="1633" t="s">
        <v>3192</v>
      </c>
      <c r="DS367" s="1633" t="s">
        <v>3193</v>
      </c>
      <c r="DT367" s="1633" t="s">
        <v>3194</v>
      </c>
      <c r="DU367" s="1633" t="s">
        <v>3195</v>
      </c>
      <c r="DV367" s="1633" t="s">
        <v>3196</v>
      </c>
      <c r="DW367" s="1633" t="s">
        <v>3197</v>
      </c>
      <c r="DX367" s="1633" t="s">
        <v>3198</v>
      </c>
      <c r="DY367" s="1633" t="s">
        <v>3199</v>
      </c>
      <c r="DZ367" s="1633" t="s">
        <v>3200</v>
      </c>
      <c r="EA367" s="1633" t="s">
        <v>3201</v>
      </c>
      <c r="EB367" s="1633" t="s">
        <v>3202</v>
      </c>
      <c r="EC367" s="1633" t="s">
        <v>3203</v>
      </c>
      <c r="ED367" s="1633" t="s">
        <v>3204</v>
      </c>
      <c r="EE367" s="1633" t="s">
        <v>3205</v>
      </c>
      <c r="EF367" s="1633" t="s">
        <v>3206</v>
      </c>
      <c r="EG367" s="1633" t="s">
        <v>3207</v>
      </c>
      <c r="EH367" s="1633" t="s">
        <v>3208</v>
      </c>
      <c r="EI367" s="1633" t="s">
        <v>3209</v>
      </c>
      <c r="EJ367" s="1633" t="s">
        <v>3210</v>
      </c>
      <c r="EK367" s="1633" t="s">
        <v>3211</v>
      </c>
      <c r="EL367" s="1633" t="s">
        <v>3212</v>
      </c>
      <c r="EM367" s="1633" t="s">
        <v>3213</v>
      </c>
      <c r="EN367" s="1633" t="s">
        <v>3214</v>
      </c>
      <c r="EO367" s="1633" t="s">
        <v>3215</v>
      </c>
      <c r="EP367" s="1633" t="s">
        <v>3216</v>
      </c>
      <c r="EQ367" s="1633" t="s">
        <v>3217</v>
      </c>
      <c r="ER367" s="1633" t="s">
        <v>3218</v>
      </c>
      <c r="ES367" s="1633" t="s">
        <v>3219</v>
      </c>
      <c r="ET367" s="1633" t="s">
        <v>3220</v>
      </c>
      <c r="EU367" s="1633" t="s">
        <v>3221</v>
      </c>
      <c r="EV367" s="1633" t="s">
        <v>3222</v>
      </c>
      <c r="EW367" s="1633" t="s">
        <v>3223</v>
      </c>
      <c r="EX367" s="1633" t="s">
        <v>3224</v>
      </c>
      <c r="EY367" s="1633" t="s">
        <v>3225</v>
      </c>
      <c r="EZ367" s="1633" t="s">
        <v>3226</v>
      </c>
      <c r="FA367" s="1633" t="s">
        <v>3227</v>
      </c>
      <c r="FB367" s="1633" t="s">
        <v>3228</v>
      </c>
      <c r="FC367" s="1633" t="s">
        <v>3229</v>
      </c>
      <c r="FD367" s="1633" t="s">
        <v>3230</v>
      </c>
      <c r="FE367" s="1633" t="s">
        <v>3231</v>
      </c>
      <c r="FF367" s="1633" t="s">
        <v>3232</v>
      </c>
      <c r="FG367" s="1633" t="s">
        <v>3233</v>
      </c>
      <c r="FH367" s="1633" t="s">
        <v>3234</v>
      </c>
      <c r="FI367" s="1633" t="s">
        <v>3235</v>
      </c>
      <c r="FJ367" s="1633" t="s">
        <v>3236</v>
      </c>
      <c r="FK367" s="1633" t="s">
        <v>3237</v>
      </c>
      <c r="FL367" s="1633" t="s">
        <v>3238</v>
      </c>
      <c r="FM367" s="1633" t="s">
        <v>3239</v>
      </c>
      <c r="FN367" s="1633" t="s">
        <v>3240</v>
      </c>
      <c r="FO367" s="1633" t="s">
        <v>3241</v>
      </c>
      <c r="FP367" s="1633" t="s">
        <v>3242</v>
      </c>
      <c r="FQ367" s="1633" t="s">
        <v>3243</v>
      </c>
      <c r="FR367" s="1633" t="s">
        <v>3244</v>
      </c>
      <c r="FS367" s="1633" t="s">
        <v>3245</v>
      </c>
      <c r="FT367" s="1633" t="s">
        <v>3246</v>
      </c>
      <c r="FU367" s="1633" t="s">
        <v>3247</v>
      </c>
      <c r="FV367" s="1633" t="s">
        <v>3248</v>
      </c>
      <c r="FW367" s="1633" t="s">
        <v>3249</v>
      </c>
      <c r="FX367" s="1633" t="s">
        <v>3250</v>
      </c>
      <c r="FY367" s="1633" t="s">
        <v>3251</v>
      </c>
      <c r="FZ367" s="1633" t="s">
        <v>3252</v>
      </c>
      <c r="GA367" s="1633" t="s">
        <v>3253</v>
      </c>
      <c r="GB367" s="1633" t="s">
        <v>3254</v>
      </c>
      <c r="GC367" s="1633" t="s">
        <v>3255</v>
      </c>
      <c r="GD367" s="1633" t="s">
        <v>3256</v>
      </c>
      <c r="GE367" s="1633" t="s">
        <v>3257</v>
      </c>
      <c r="GF367" s="1633" t="s">
        <v>3258</v>
      </c>
      <c r="GG367" s="1633" t="s">
        <v>3259</v>
      </c>
      <c r="GH367" s="1633" t="s">
        <v>3260</v>
      </c>
      <c r="GI367" s="1633" t="s">
        <v>3261</v>
      </c>
      <c r="GJ367" s="1633" t="s">
        <v>3262</v>
      </c>
      <c r="GK367" s="1633" t="s">
        <v>3263</v>
      </c>
      <c r="GL367" s="1633" t="s">
        <v>3264</v>
      </c>
      <c r="GM367" s="1633" t="s">
        <v>3265</v>
      </c>
      <c r="GN367" s="1633" t="s">
        <v>3266</v>
      </c>
      <c r="GO367" s="1633" t="s">
        <v>3267</v>
      </c>
      <c r="GP367" s="1633" t="s">
        <v>3268</v>
      </c>
      <c r="GQ367" s="1633" t="s">
        <v>3269</v>
      </c>
      <c r="GR367" s="1633" t="s">
        <v>3270</v>
      </c>
      <c r="GS367" s="1633" t="s">
        <v>3271</v>
      </c>
      <c r="GT367" s="1633" t="s">
        <v>3272</v>
      </c>
      <c r="GU367" s="1633" t="s">
        <v>3273</v>
      </c>
      <c r="GV367" s="1633" t="s">
        <v>3274</v>
      </c>
      <c r="GW367" s="1633" t="s">
        <v>3275</v>
      </c>
      <c r="GX367" s="1633" t="s">
        <v>3276</v>
      </c>
      <c r="GY367" s="1633" t="s">
        <v>3277</v>
      </c>
      <c r="GZ367" s="1633" t="s">
        <v>3278</v>
      </c>
      <c r="HA367" s="1633" t="s">
        <v>3279</v>
      </c>
      <c r="HB367" s="1633" t="s">
        <v>3280</v>
      </c>
      <c r="HC367" s="1633" t="s">
        <v>3281</v>
      </c>
      <c r="HD367" s="1633" t="s">
        <v>3282</v>
      </c>
      <c r="HE367" s="1633" t="s">
        <v>3283</v>
      </c>
      <c r="HF367" s="1633" t="s">
        <v>3284</v>
      </c>
      <c r="HG367" s="1633" t="s">
        <v>3285</v>
      </c>
      <c r="HH367" s="1633" t="s">
        <v>3286</v>
      </c>
      <c r="HI367" s="1633" t="s">
        <v>3287</v>
      </c>
      <c r="HJ367" s="1633" t="s">
        <v>3288</v>
      </c>
      <c r="HK367" s="1633" t="s">
        <v>3289</v>
      </c>
      <c r="HL367" s="1633" t="s">
        <v>3290</v>
      </c>
      <c r="HM367" s="1633" t="s">
        <v>3291</v>
      </c>
      <c r="HN367" s="1633" t="s">
        <v>3292</v>
      </c>
      <c r="HO367" s="1633" t="s">
        <v>3293</v>
      </c>
      <c r="HP367" s="1633" t="s">
        <v>3294</v>
      </c>
      <c r="HQ367" s="1633" t="s">
        <v>3295</v>
      </c>
      <c r="HR367" s="1633" t="s">
        <v>3296</v>
      </c>
      <c r="HS367" s="1633" t="s">
        <v>3297</v>
      </c>
      <c r="HT367" s="1633" t="s">
        <v>3298</v>
      </c>
      <c r="HU367" s="1633" t="s">
        <v>3299</v>
      </c>
      <c r="HV367" s="1633" t="s">
        <v>3300</v>
      </c>
      <c r="HW367" s="1633" t="s">
        <v>3301</v>
      </c>
      <c r="HX367" s="1633" t="s">
        <v>3302</v>
      </c>
      <c r="HY367" s="1633" t="s">
        <v>3303</v>
      </c>
      <c r="HZ367" s="1633" t="s">
        <v>3304</v>
      </c>
      <c r="IA367" s="1633" t="s">
        <v>3305</v>
      </c>
      <c r="IB367" s="1633" t="s">
        <v>3306</v>
      </c>
      <c r="IC367" s="1633" t="s">
        <v>3307</v>
      </c>
      <c r="ID367" s="1633" t="s">
        <v>3308</v>
      </c>
      <c r="IE367" s="1633" t="s">
        <v>3309</v>
      </c>
      <c r="IF367" s="1633" t="s">
        <v>3310</v>
      </c>
      <c r="IG367" s="1633" t="s">
        <v>3311</v>
      </c>
      <c r="IH367" s="1633" t="s">
        <v>3312</v>
      </c>
      <c r="II367" s="1633" t="s">
        <v>3313</v>
      </c>
      <c r="IJ367" s="1633" t="s">
        <v>3314</v>
      </c>
      <c r="IK367" s="1633" t="s">
        <v>3315</v>
      </c>
      <c r="IL367" s="1633" t="s">
        <v>3316</v>
      </c>
      <c r="IM367" s="1633" t="s">
        <v>3317</v>
      </c>
      <c r="IN367" s="1633" t="s">
        <v>3318</v>
      </c>
      <c r="IO367" s="1633" t="s">
        <v>3319</v>
      </c>
      <c r="IP367" s="1633" t="s">
        <v>3320</v>
      </c>
      <c r="IQ367" s="1633" t="s">
        <v>3321</v>
      </c>
      <c r="IR367" s="1633" t="s">
        <v>3322</v>
      </c>
      <c r="IS367" s="1633" t="s">
        <v>3323</v>
      </c>
      <c r="IT367" s="1633" t="s">
        <v>3324</v>
      </c>
      <c r="IU367" s="1633" t="s">
        <v>3325</v>
      </c>
      <c r="IV367" s="1633" t="s">
        <v>3326</v>
      </c>
      <c r="IW367" s="1633" t="s">
        <v>3327</v>
      </c>
      <c r="IX367" s="1633" t="s">
        <v>3328</v>
      </c>
      <c r="IY367" s="1633" t="s">
        <v>3329</v>
      </c>
      <c r="IZ367" s="1633" t="s">
        <v>3330</v>
      </c>
      <c r="JA367" s="1633" t="s">
        <v>3331</v>
      </c>
      <c r="JB367" s="1633" t="s">
        <v>3332</v>
      </c>
      <c r="JC367" s="1633" t="s">
        <v>3333</v>
      </c>
      <c r="JD367" s="1633" t="s">
        <v>3334</v>
      </c>
      <c r="JE367" s="1633" t="s">
        <v>3335</v>
      </c>
      <c r="JF367" s="1633" t="s">
        <v>3336</v>
      </c>
      <c r="JG367" s="1633" t="s">
        <v>3337</v>
      </c>
      <c r="JH367" s="1633" t="s">
        <v>3338</v>
      </c>
      <c r="JI367" s="1633" t="s">
        <v>3339</v>
      </c>
      <c r="JJ367" s="1633" t="s">
        <v>3340</v>
      </c>
      <c r="JK367" s="1633" t="s">
        <v>3341</v>
      </c>
      <c r="JL367" s="1633" t="s">
        <v>3342</v>
      </c>
      <c r="JM367" s="1633" t="s">
        <v>3343</v>
      </c>
      <c r="JN367" s="1633" t="s">
        <v>3344</v>
      </c>
      <c r="JO367" s="1633" t="s">
        <v>3345</v>
      </c>
      <c r="JP367" s="1633" t="s">
        <v>3346</v>
      </c>
      <c r="JQ367" s="1633" t="s">
        <v>3347</v>
      </c>
      <c r="JR367" s="1633" t="s">
        <v>3348</v>
      </c>
      <c r="JS367" s="1633" t="s">
        <v>3349</v>
      </c>
      <c r="JT367" s="1633" t="s">
        <v>3350</v>
      </c>
      <c r="JU367" s="1633" t="s">
        <v>3351</v>
      </c>
      <c r="JV367" s="1633" t="s">
        <v>3352</v>
      </c>
      <c r="JW367" s="1633" t="s">
        <v>3353</v>
      </c>
      <c r="JX367" s="1633" t="s">
        <v>3354</v>
      </c>
      <c r="JY367" s="1633" t="s">
        <v>3355</v>
      </c>
      <c r="JZ367" s="1633" t="s">
        <v>3356</v>
      </c>
      <c r="KA367" s="1633" t="s">
        <v>3357</v>
      </c>
      <c r="KB367" s="1633" t="s">
        <v>3358</v>
      </c>
      <c r="KC367" s="1633" t="s">
        <v>3359</v>
      </c>
      <c r="KD367" s="1633" t="s">
        <v>3360</v>
      </c>
      <c r="KE367" s="1633" t="s">
        <v>3361</v>
      </c>
      <c r="KF367" s="1633" t="s">
        <v>3362</v>
      </c>
      <c r="KG367" s="1633" t="s">
        <v>3363</v>
      </c>
      <c r="KH367" s="1633" t="s">
        <v>3364</v>
      </c>
      <c r="KI367" s="1633" t="s">
        <v>3365</v>
      </c>
      <c r="KJ367" s="1633" t="s">
        <v>3366</v>
      </c>
      <c r="KK367" s="1633" t="s">
        <v>3367</v>
      </c>
      <c r="KL367" s="1633" t="s">
        <v>3368</v>
      </c>
      <c r="KM367" s="1633" t="s">
        <v>3369</v>
      </c>
      <c r="KN367" s="1633" t="s">
        <v>3370</v>
      </c>
      <c r="KO367" s="1633" t="s">
        <v>3371</v>
      </c>
      <c r="KP367" s="1633" t="s">
        <v>3372</v>
      </c>
      <c r="KQ367" s="1633" t="s">
        <v>3373</v>
      </c>
      <c r="KR367" s="1633" t="s">
        <v>3374</v>
      </c>
      <c r="KS367" s="1633" t="s">
        <v>3375</v>
      </c>
      <c r="KT367" s="1633" t="s">
        <v>3376</v>
      </c>
      <c r="KU367" s="1633" t="s">
        <v>3377</v>
      </c>
      <c r="KV367" s="1633" t="s">
        <v>3378</v>
      </c>
      <c r="KW367" s="1633" t="s">
        <v>3379</v>
      </c>
      <c r="KX367" s="1633" t="s">
        <v>3380</v>
      </c>
      <c r="KY367" s="1633" t="s">
        <v>3381</v>
      </c>
      <c r="KZ367" s="1633" t="s">
        <v>3382</v>
      </c>
      <c r="LA367" s="1633" t="s">
        <v>3383</v>
      </c>
      <c r="LB367" s="1633" t="s">
        <v>3384</v>
      </c>
      <c r="LC367" s="1633" t="s">
        <v>3385</v>
      </c>
      <c r="LD367" s="1633" t="s">
        <v>3386</v>
      </c>
      <c r="LE367" s="1633" t="s">
        <v>3387</v>
      </c>
      <c r="LF367" s="1633" t="s">
        <v>3388</v>
      </c>
      <c r="LG367" s="1633" t="s">
        <v>3389</v>
      </c>
      <c r="LH367" s="1633" t="s">
        <v>3390</v>
      </c>
      <c r="LI367" s="1633" t="s">
        <v>3391</v>
      </c>
      <c r="LJ367" s="1633" t="s">
        <v>3392</v>
      </c>
      <c r="LK367" s="1633" t="s">
        <v>3393</v>
      </c>
      <c r="LL367" s="1633" t="s">
        <v>3394</v>
      </c>
      <c r="LM367" s="1633" t="s">
        <v>3395</v>
      </c>
      <c r="LN367" s="1633" t="s">
        <v>3396</v>
      </c>
      <c r="LO367" s="1633" t="s">
        <v>3397</v>
      </c>
      <c r="LP367" s="1633" t="s">
        <v>3398</v>
      </c>
      <c r="LQ367" s="1633" t="s">
        <v>3399</v>
      </c>
      <c r="LR367" s="1633" t="s">
        <v>3400</v>
      </c>
      <c r="LS367" s="1633" t="s">
        <v>3401</v>
      </c>
      <c r="LT367" s="1633" t="s">
        <v>3402</v>
      </c>
      <c r="LU367" s="1633" t="s">
        <v>3403</v>
      </c>
      <c r="LV367" s="1633" t="s">
        <v>3404</v>
      </c>
      <c r="LW367" s="1633" t="s">
        <v>3405</v>
      </c>
      <c r="LX367" s="1633" t="s">
        <v>3406</v>
      </c>
      <c r="LY367" s="1633" t="s">
        <v>3407</v>
      </c>
      <c r="LZ367" s="1633" t="s">
        <v>3408</v>
      </c>
      <c r="MA367" s="1633" t="s">
        <v>3409</v>
      </c>
      <c r="MB367" s="1633" t="s">
        <v>3410</v>
      </c>
      <c r="MC367" s="1633" t="s">
        <v>3411</v>
      </c>
      <c r="MD367" s="1633" t="s">
        <v>3412</v>
      </c>
      <c r="ME367" s="1633" t="s">
        <v>3413</v>
      </c>
      <c r="MF367" s="1633" t="s">
        <v>3414</v>
      </c>
      <c r="MG367" s="1633" t="s">
        <v>3415</v>
      </c>
      <c r="MH367" s="1633" t="s">
        <v>3416</v>
      </c>
      <c r="MI367" s="1633" t="s">
        <v>3417</v>
      </c>
      <c r="MJ367" s="1633" t="s">
        <v>3418</v>
      </c>
      <c r="MK367" s="1633" t="s">
        <v>3419</v>
      </c>
      <c r="ML367" s="1633" t="s">
        <v>3420</v>
      </c>
      <c r="MM367" s="1633" t="s">
        <v>3421</v>
      </c>
      <c r="MN367" s="1633" t="s">
        <v>3422</v>
      </c>
      <c r="MO367" s="1633" t="s">
        <v>3423</v>
      </c>
      <c r="MP367" s="1633" t="s">
        <v>3424</v>
      </c>
      <c r="MQ367" s="1633" t="s">
        <v>3425</v>
      </c>
      <c r="MR367" s="1633" t="s">
        <v>3426</v>
      </c>
      <c r="MS367" s="1633" t="s">
        <v>3427</v>
      </c>
      <c r="MT367" s="1633" t="s">
        <v>3428</v>
      </c>
      <c r="MU367" s="1633" t="s">
        <v>3429</v>
      </c>
      <c r="MV367" s="1633" t="s">
        <v>3430</v>
      </c>
      <c r="MW367" s="1633" t="s">
        <v>3431</v>
      </c>
      <c r="MX367" s="1633" t="s">
        <v>3432</v>
      </c>
      <c r="MY367" s="1633" t="s">
        <v>480</v>
      </c>
      <c r="MZ367" s="1633" t="s">
        <v>3433</v>
      </c>
      <c r="NA367" s="1633" t="s">
        <v>3434</v>
      </c>
      <c r="NB367" s="1633" t="s">
        <v>3435</v>
      </c>
      <c r="NC367" s="1633" t="s">
        <v>477</v>
      </c>
      <c r="ND367" s="1633" t="s">
        <v>3436</v>
      </c>
      <c r="NE367" s="1633" t="s">
        <v>3437</v>
      </c>
      <c r="NF367" s="1633" t="s">
        <v>3438</v>
      </c>
      <c r="NG367" s="1633" t="s">
        <v>478</v>
      </c>
      <c r="NH367" s="1633" t="s">
        <v>3439</v>
      </c>
      <c r="NI367" s="1633" t="s">
        <v>3440</v>
      </c>
      <c r="NJ367" s="1633" t="s">
        <v>3441</v>
      </c>
      <c r="NK367" s="1633" t="s">
        <v>479</v>
      </c>
      <c r="NL367" s="1633" t="s">
        <v>3442</v>
      </c>
      <c r="NM367" s="1633" t="s">
        <v>3443</v>
      </c>
      <c r="NN367" s="1633" t="s">
        <v>3444</v>
      </c>
      <c r="NO367" s="1633" t="s">
        <v>481</v>
      </c>
      <c r="NP367" s="1633" t="s">
        <v>3445</v>
      </c>
      <c r="NQ367" s="1633" t="s">
        <v>3446</v>
      </c>
      <c r="NR367" s="1633" t="s">
        <v>3447</v>
      </c>
      <c r="NS367" s="1633" t="s">
        <v>482</v>
      </c>
      <c r="NT367" s="1633" t="s">
        <v>3448</v>
      </c>
      <c r="NU367" s="1633" t="s">
        <v>3449</v>
      </c>
      <c r="NV367" s="1633" t="s">
        <v>3450</v>
      </c>
      <c r="NW367" s="1633" t="s">
        <v>3451</v>
      </c>
      <c r="NX367" s="1633" t="s">
        <v>3452</v>
      </c>
      <c r="NY367" s="1633" t="s">
        <v>3453</v>
      </c>
      <c r="NZ367" s="1633" t="s">
        <v>3454</v>
      </c>
      <c r="OA367" s="1633" t="s">
        <v>3455</v>
      </c>
      <c r="OB367" s="1633" t="s">
        <v>3456</v>
      </c>
      <c r="OC367" s="1633" t="s">
        <v>3457</v>
      </c>
      <c r="OD367" s="1633" t="s">
        <v>3458</v>
      </c>
      <c r="OE367" s="1633" t="s">
        <v>3459</v>
      </c>
      <c r="OF367" s="1633" t="s">
        <v>3460</v>
      </c>
      <c r="OG367" s="1633" t="s">
        <v>3461</v>
      </c>
      <c r="OH367" s="1633" t="s">
        <v>3462</v>
      </c>
      <c r="OI367" s="1633" t="s">
        <v>3463</v>
      </c>
      <c r="OJ367" s="1633" t="s">
        <v>3464</v>
      </c>
      <c r="OK367" s="1633" t="s">
        <v>3465</v>
      </c>
      <c r="OL367" s="1633" t="s">
        <v>3466</v>
      </c>
      <c r="OM367" s="1633" t="s">
        <v>3467</v>
      </c>
      <c r="ON367" s="1633" t="s">
        <v>3468</v>
      </c>
      <c r="OO367" s="1633" t="s">
        <v>3469</v>
      </c>
      <c r="OP367" s="1633" t="s">
        <v>3470</v>
      </c>
      <c r="OQ367" s="1633" t="s">
        <v>3471</v>
      </c>
      <c r="OR367" s="1633" t="s">
        <v>3472</v>
      </c>
      <c r="OS367" s="1633" t="s">
        <v>3473</v>
      </c>
      <c r="OT367" s="1633" t="s">
        <v>3474</v>
      </c>
      <c r="OU367" s="1633" t="s">
        <v>3475</v>
      </c>
      <c r="OV367" s="1633" t="s">
        <v>3476</v>
      </c>
      <c r="OW367" s="1633" t="s">
        <v>3477</v>
      </c>
      <c r="OX367" s="1633" t="s">
        <v>3478</v>
      </c>
      <c r="OY367" s="1633" t="s">
        <v>3479</v>
      </c>
      <c r="OZ367" s="1633" t="s">
        <v>3480</v>
      </c>
      <c r="PA367" s="1633" t="s">
        <v>3481</v>
      </c>
      <c r="PB367" s="1633" t="s">
        <v>3482</v>
      </c>
      <c r="PC367" s="1633" t="s">
        <v>3483</v>
      </c>
      <c r="PD367" s="1633" t="s">
        <v>3484</v>
      </c>
      <c r="PE367" s="1633" t="s">
        <v>3485</v>
      </c>
      <c r="PF367" s="1633" t="s">
        <v>3486</v>
      </c>
      <c r="PG367" s="1633" t="s">
        <v>3487</v>
      </c>
      <c r="PH367" s="1633" t="s">
        <v>3488</v>
      </c>
      <c r="PI367" s="1633" t="s">
        <v>3489</v>
      </c>
      <c r="PJ367" s="1633" t="s">
        <v>3490</v>
      </c>
      <c r="PK367" s="1633" t="s">
        <v>3491</v>
      </c>
      <c r="PL367" s="1633" t="s">
        <v>3492</v>
      </c>
      <c r="PM367" s="1633" t="s">
        <v>3493</v>
      </c>
      <c r="PN367" s="1633" t="s">
        <v>3494</v>
      </c>
      <c r="PO367" s="1633" t="s">
        <v>3495</v>
      </c>
      <c r="PP367" s="1633" t="s">
        <v>3496</v>
      </c>
      <c r="PQ367" s="1633" t="s">
        <v>3497</v>
      </c>
      <c r="PR367" s="1633" t="s">
        <v>3498</v>
      </c>
      <c r="PS367" s="1633" t="s">
        <v>3499</v>
      </c>
      <c r="PT367" s="1633" t="s">
        <v>3500</v>
      </c>
      <c r="PU367" s="1633" t="s">
        <v>3501</v>
      </c>
      <c r="PV367" s="1633" t="s">
        <v>3502</v>
      </c>
      <c r="PW367" s="1633" t="s">
        <v>3503</v>
      </c>
      <c r="PX367" s="1633" t="s">
        <v>3504</v>
      </c>
      <c r="PY367" s="1633" t="s">
        <v>3505</v>
      </c>
      <c r="PZ367" s="1633" t="s">
        <v>3506</v>
      </c>
      <c r="QA367" s="1633" t="s">
        <v>3507</v>
      </c>
      <c r="QB367" s="1633" t="s">
        <v>3508</v>
      </c>
      <c r="QC367" s="1633" t="s">
        <v>3509</v>
      </c>
      <c r="QD367" s="1633" t="s">
        <v>3510</v>
      </c>
      <c r="QE367" s="1633" t="s">
        <v>3511</v>
      </c>
      <c r="QF367" s="1633" t="s">
        <v>3512</v>
      </c>
      <c r="QG367" s="1633" t="s">
        <v>3513</v>
      </c>
      <c r="QH367" s="1633" t="s">
        <v>3514</v>
      </c>
      <c r="QI367" s="1633" t="s">
        <v>3515</v>
      </c>
      <c r="QJ367" s="1633" t="s">
        <v>3516</v>
      </c>
      <c r="QK367" s="1633" t="s">
        <v>3517</v>
      </c>
      <c r="QL367" s="1633" t="s">
        <v>3518</v>
      </c>
      <c r="QM367" s="1633" t="s">
        <v>3519</v>
      </c>
      <c r="QN367" s="1633" t="s">
        <v>3520</v>
      </c>
      <c r="QO367" s="1633" t="s">
        <v>3521</v>
      </c>
      <c r="QP367" s="1633" t="s">
        <v>3522</v>
      </c>
      <c r="QQ367" s="1633" t="s">
        <v>3523</v>
      </c>
      <c r="QR367" s="1633" t="s">
        <v>3524</v>
      </c>
      <c r="QS367" s="1633" t="s">
        <v>3525</v>
      </c>
      <c r="QT367" s="1633" t="s">
        <v>3526</v>
      </c>
      <c r="QU367" s="1633" t="s">
        <v>3527</v>
      </c>
      <c r="QV367" s="1633" t="s">
        <v>3528</v>
      </c>
      <c r="QW367" s="1633" t="s">
        <v>3529</v>
      </c>
      <c r="QX367" s="1633" t="s">
        <v>3530</v>
      </c>
      <c r="QY367" s="1633" t="s">
        <v>3531</v>
      </c>
      <c r="QZ367" s="1633" t="s">
        <v>3532</v>
      </c>
      <c r="RA367" s="1633" t="s">
        <v>3533</v>
      </c>
      <c r="RB367" s="1633" t="s">
        <v>3534</v>
      </c>
      <c r="RC367" s="1633" t="s">
        <v>3535</v>
      </c>
      <c r="RD367" s="1633" t="s">
        <v>3536</v>
      </c>
      <c r="RE367" s="1633" t="s">
        <v>3537</v>
      </c>
      <c r="RF367" s="1633" t="s">
        <v>3538</v>
      </c>
      <c r="RG367" s="1633" t="s">
        <v>3539</v>
      </c>
      <c r="RH367" s="1633" t="s">
        <v>3540</v>
      </c>
      <c r="RI367" s="1633" t="s">
        <v>3541</v>
      </c>
      <c r="RJ367" s="1633" t="s">
        <v>3542</v>
      </c>
      <c r="RK367" s="1633" t="s">
        <v>3543</v>
      </c>
      <c r="RL367" s="1633" t="s">
        <v>3544</v>
      </c>
      <c r="RM367" s="1633" t="s">
        <v>3545</v>
      </c>
      <c r="RN367" s="1633" t="s">
        <v>3546</v>
      </c>
      <c r="RO367" s="1633" t="s">
        <v>3547</v>
      </c>
      <c r="RP367" s="1633" t="s">
        <v>3548</v>
      </c>
      <c r="RQ367" s="1633" t="s">
        <v>3549</v>
      </c>
      <c r="RR367" s="1633" t="s">
        <v>3550</v>
      </c>
      <c r="RS367" s="1633" t="s">
        <v>3551</v>
      </c>
      <c r="RT367" s="1633" t="s">
        <v>3552</v>
      </c>
      <c r="RU367" s="1633" t="s">
        <v>3553</v>
      </c>
      <c r="RV367" s="1633" t="s">
        <v>3554</v>
      </c>
      <c r="RW367" s="1633" t="s">
        <v>3555</v>
      </c>
      <c r="RX367" s="1633" t="s">
        <v>3556</v>
      </c>
      <c r="RY367" s="1633" t="s">
        <v>3557</v>
      </c>
      <c r="RZ367" s="1633" t="s">
        <v>3558</v>
      </c>
      <c r="SA367" s="1633" t="s">
        <v>3559</v>
      </c>
      <c r="SB367" s="1633" t="s">
        <v>3560</v>
      </c>
      <c r="SC367" s="1633" t="s">
        <v>3561</v>
      </c>
      <c r="SD367" s="1633" t="s">
        <v>3562</v>
      </c>
      <c r="SE367" s="1633" t="s">
        <v>3563</v>
      </c>
      <c r="SF367" s="1633" t="s">
        <v>3564</v>
      </c>
      <c r="SG367" s="1633" t="s">
        <v>3565</v>
      </c>
      <c r="SH367" s="1633" t="s">
        <v>3566</v>
      </c>
      <c r="SI367" s="1633" t="s">
        <v>3567</v>
      </c>
      <c r="SJ367" s="1633" t="s">
        <v>3568</v>
      </c>
      <c r="SK367" s="1633" t="s">
        <v>3569</v>
      </c>
      <c r="SL367" s="1633" t="s">
        <v>3570</v>
      </c>
      <c r="SM367" s="1633" t="s">
        <v>3571</v>
      </c>
      <c r="SN367" s="1633" t="s">
        <v>3572</v>
      </c>
      <c r="SO367" s="1633" t="s">
        <v>3573</v>
      </c>
      <c r="SP367" s="1633" t="s">
        <v>3574</v>
      </c>
      <c r="SQ367" s="1633" t="s">
        <v>3575</v>
      </c>
      <c r="SR367" s="1633" t="s">
        <v>3576</v>
      </c>
      <c r="SS367" s="1633" t="s">
        <v>3577</v>
      </c>
      <c r="ST367" s="1633" t="s">
        <v>3578</v>
      </c>
      <c r="SU367" s="1633" t="s">
        <v>3579</v>
      </c>
      <c r="SV367" s="1633" t="s">
        <v>3580</v>
      </c>
      <c r="SW367" s="1633" t="s">
        <v>3581</v>
      </c>
      <c r="SX367" s="1633" t="s">
        <v>3582</v>
      </c>
      <c r="SY367" s="1633" t="s">
        <v>3583</v>
      </c>
      <c r="SZ367" s="1633" t="s">
        <v>3584</v>
      </c>
      <c r="TA367" s="1633" t="s">
        <v>3585</v>
      </c>
      <c r="TB367" s="1633" t="s">
        <v>3586</v>
      </c>
      <c r="TC367" s="1633" t="s">
        <v>3587</v>
      </c>
      <c r="TD367" s="1633" t="s">
        <v>3588</v>
      </c>
      <c r="TE367" s="1633" t="s">
        <v>3589</v>
      </c>
      <c r="TF367" s="1633" t="s">
        <v>3590</v>
      </c>
      <c r="TG367" s="1633" t="s">
        <v>3591</v>
      </c>
      <c r="TH367" s="1633" t="s">
        <v>3592</v>
      </c>
      <c r="TI367" s="1633" t="s">
        <v>3593</v>
      </c>
      <c r="TJ367" s="1633" t="s">
        <v>3594</v>
      </c>
      <c r="TK367" s="1633" t="s">
        <v>3595</v>
      </c>
      <c r="TL367" s="1633" t="s">
        <v>3596</v>
      </c>
      <c r="TM367" s="1633" t="s">
        <v>3597</v>
      </c>
      <c r="TN367" s="1633" t="s">
        <v>3598</v>
      </c>
      <c r="TO367" s="1633" t="s">
        <v>3599</v>
      </c>
      <c r="TP367" s="1633" t="s">
        <v>3600</v>
      </c>
      <c r="TQ367" s="1633" t="s">
        <v>3601</v>
      </c>
      <c r="TR367" s="1633" t="s">
        <v>3602</v>
      </c>
      <c r="TS367" s="1633" t="s">
        <v>3603</v>
      </c>
      <c r="TT367" s="1633" t="s">
        <v>3604</v>
      </c>
      <c r="TU367" s="1633" t="s">
        <v>3605</v>
      </c>
      <c r="TV367" s="1633" t="s">
        <v>3606</v>
      </c>
      <c r="TW367" s="1633" t="s">
        <v>3607</v>
      </c>
      <c r="TX367" s="1633" t="s">
        <v>3608</v>
      </c>
      <c r="TY367" s="1633" t="s">
        <v>3609</v>
      </c>
      <c r="TZ367" s="1633" t="s">
        <v>3610</v>
      </c>
      <c r="UA367" s="1633" t="s">
        <v>3611</v>
      </c>
      <c r="UB367" s="1633" t="s">
        <v>3612</v>
      </c>
      <c r="UC367" s="1633" t="s">
        <v>3613</v>
      </c>
      <c r="UD367" s="1633" t="s">
        <v>3614</v>
      </c>
      <c r="UE367" s="1633" t="s">
        <v>3615</v>
      </c>
      <c r="UF367" s="1633" t="s">
        <v>3616</v>
      </c>
      <c r="UG367" s="1633" t="s">
        <v>3617</v>
      </c>
      <c r="UH367" s="1633" t="s">
        <v>3618</v>
      </c>
      <c r="UI367" s="1633" t="s">
        <v>3619</v>
      </c>
      <c r="UJ367" s="1633" t="s">
        <v>3620</v>
      </c>
      <c r="UK367" s="1633" t="s">
        <v>3621</v>
      </c>
      <c r="UL367" s="1633" t="s">
        <v>3622</v>
      </c>
      <c r="UM367" s="1633" t="s">
        <v>3623</v>
      </c>
      <c r="UN367" s="1633" t="s">
        <v>3624</v>
      </c>
      <c r="UO367" s="1633" t="s">
        <v>3625</v>
      </c>
      <c r="UP367" s="1633" t="s">
        <v>3626</v>
      </c>
      <c r="UQ367" s="1633" t="s">
        <v>3627</v>
      </c>
      <c r="UR367" s="1633" t="s">
        <v>3628</v>
      </c>
      <c r="US367" s="1633" t="s">
        <v>3629</v>
      </c>
      <c r="UT367" s="1633" t="s">
        <v>3630</v>
      </c>
      <c r="UU367" s="1633" t="s">
        <v>3631</v>
      </c>
      <c r="UV367" s="1633" t="s">
        <v>3632</v>
      </c>
      <c r="UW367" s="1633" t="s">
        <v>3633</v>
      </c>
      <c r="UX367" s="1633" t="s">
        <v>3634</v>
      </c>
      <c r="UY367" s="1633" t="s">
        <v>3635</v>
      </c>
      <c r="UZ367" s="1633" t="s">
        <v>3636</v>
      </c>
      <c r="VA367" s="1633" t="s">
        <v>3637</v>
      </c>
      <c r="VB367" s="1633" t="s">
        <v>3638</v>
      </c>
      <c r="VC367" s="1633" t="s">
        <v>3639</v>
      </c>
      <c r="VD367" s="1633" t="s">
        <v>3640</v>
      </c>
      <c r="VE367" s="1633" t="s">
        <v>3641</v>
      </c>
      <c r="VF367" s="1633" t="s">
        <v>3642</v>
      </c>
      <c r="VG367" s="1633" t="s">
        <v>3643</v>
      </c>
      <c r="VH367" s="1633" t="s">
        <v>3644</v>
      </c>
      <c r="VI367" s="1633" t="s">
        <v>3645</v>
      </c>
      <c r="VJ367" s="1633" t="s">
        <v>3646</v>
      </c>
      <c r="VK367" s="1633" t="s">
        <v>3647</v>
      </c>
      <c r="VL367" s="1633" t="s">
        <v>3648</v>
      </c>
      <c r="VM367" s="1633" t="s">
        <v>3649</v>
      </c>
      <c r="VN367" s="1633" t="s">
        <v>3650</v>
      </c>
      <c r="VO367" s="1633" t="s">
        <v>3651</v>
      </c>
      <c r="VP367" s="1633" t="s">
        <v>3652</v>
      </c>
      <c r="VQ367" s="1633" t="s">
        <v>3653</v>
      </c>
      <c r="VR367" s="1633" t="s">
        <v>3654</v>
      </c>
      <c r="VS367" s="1633" t="s">
        <v>3655</v>
      </c>
      <c r="VT367" s="1633" t="s">
        <v>3656</v>
      </c>
      <c r="VU367" s="1633" t="s">
        <v>3657</v>
      </c>
      <c r="VV367" s="1633" t="s">
        <v>3658</v>
      </c>
      <c r="VW367" s="1633" t="s">
        <v>3659</v>
      </c>
      <c r="VX367" s="1633" t="s">
        <v>3660</v>
      </c>
      <c r="VY367" s="1633" t="s">
        <v>3661</v>
      </c>
      <c r="VZ367" s="1633" t="s">
        <v>3662</v>
      </c>
      <c r="WA367" s="1633" t="s">
        <v>3663</v>
      </c>
      <c r="WB367" s="1633" t="s">
        <v>3664</v>
      </c>
      <c r="WC367" s="1633" t="s">
        <v>3665</v>
      </c>
      <c r="WD367" s="1633" t="s">
        <v>3666</v>
      </c>
      <c r="WE367" s="1633" t="s">
        <v>3667</v>
      </c>
      <c r="WF367" s="1633" t="s">
        <v>3668</v>
      </c>
      <c r="WG367" s="1633" t="s">
        <v>3669</v>
      </c>
      <c r="WH367" s="1633" t="s">
        <v>3670</v>
      </c>
      <c r="WI367" s="1633" t="s">
        <v>3671</v>
      </c>
      <c r="WJ367" s="1633" t="s">
        <v>3672</v>
      </c>
      <c r="WK367" s="1633" t="s">
        <v>3673</v>
      </c>
      <c r="WL367" s="1633" t="s">
        <v>3674</v>
      </c>
      <c r="WM367" s="1633" t="s">
        <v>3675</v>
      </c>
      <c r="WN367" s="1633" t="s">
        <v>3676</v>
      </c>
      <c r="WO367" s="1633" t="s">
        <v>3677</v>
      </c>
      <c r="WP367" s="1633" t="s">
        <v>3678</v>
      </c>
      <c r="WQ367" s="1633" t="s">
        <v>3679</v>
      </c>
      <c r="WR367" s="1633" t="s">
        <v>3680</v>
      </c>
      <c r="WS367" s="1633" t="s">
        <v>3681</v>
      </c>
      <c r="WT367" s="1633" t="s">
        <v>3682</v>
      </c>
      <c r="WU367" s="1633" t="s">
        <v>3683</v>
      </c>
      <c r="WV367" s="1633" t="s">
        <v>3684</v>
      </c>
      <c r="WW367" s="1633" t="s">
        <v>3685</v>
      </c>
      <c r="WX367" s="1633" t="s">
        <v>3686</v>
      </c>
      <c r="WY367" s="1633" t="s">
        <v>3687</v>
      </c>
      <c r="WZ367" s="1633" t="s">
        <v>3688</v>
      </c>
      <c r="XA367" s="1633" t="s">
        <v>3689</v>
      </c>
      <c r="XB367" s="1633" t="s">
        <v>3690</v>
      </c>
      <c r="XC367" s="1633" t="s">
        <v>3691</v>
      </c>
      <c r="XD367" s="1633" t="s">
        <v>3692</v>
      </c>
      <c r="XE367" s="1633" t="s">
        <v>3693</v>
      </c>
      <c r="XF367" s="1633" t="s">
        <v>3694</v>
      </c>
      <c r="XG367" s="1633" t="s">
        <v>3695</v>
      </c>
      <c r="XH367" s="1633" t="s">
        <v>3696</v>
      </c>
      <c r="XI367" s="1633" t="s">
        <v>3697</v>
      </c>
      <c r="XJ367" s="1633" t="s">
        <v>3698</v>
      </c>
      <c r="XK367" s="1633" t="s">
        <v>3699</v>
      </c>
      <c r="XL367" s="1633" t="s">
        <v>3700</v>
      </c>
      <c r="XM367" s="1633" t="s">
        <v>3701</v>
      </c>
      <c r="XN367" s="1633" t="s">
        <v>3702</v>
      </c>
      <c r="XO367" s="1633" t="s">
        <v>3703</v>
      </c>
      <c r="XP367" s="1633" t="s">
        <v>3704</v>
      </c>
      <c r="XQ367" s="1633" t="s">
        <v>3705</v>
      </c>
      <c r="XR367" s="1633" t="s">
        <v>3706</v>
      </c>
      <c r="XS367" s="1633" t="s">
        <v>3707</v>
      </c>
      <c r="XT367" s="1633" t="s">
        <v>3708</v>
      </c>
      <c r="XU367" s="1633" t="s">
        <v>3709</v>
      </c>
      <c r="XV367" s="1633" t="s">
        <v>3710</v>
      </c>
      <c r="XW367" s="1633" t="s">
        <v>3711</v>
      </c>
      <c r="XX367" s="1633" t="s">
        <v>3712</v>
      </c>
      <c r="XY367" s="1633" t="s">
        <v>3713</v>
      </c>
      <c r="XZ367" s="1633" t="s">
        <v>3714</v>
      </c>
      <c r="YA367" s="1633" t="s">
        <v>3715</v>
      </c>
      <c r="YB367" s="1633" t="s">
        <v>3716</v>
      </c>
      <c r="YC367" s="1633" t="s">
        <v>3717</v>
      </c>
      <c r="YD367" s="1633" t="s">
        <v>3718</v>
      </c>
      <c r="YE367" s="1633" t="s">
        <v>3719</v>
      </c>
      <c r="YF367" s="1633" t="s">
        <v>3720</v>
      </c>
      <c r="YG367" s="1633" t="s">
        <v>3721</v>
      </c>
      <c r="YH367" s="1633" t="s">
        <v>3722</v>
      </c>
      <c r="YI367" s="1633" t="s">
        <v>3723</v>
      </c>
      <c r="YJ367" s="1633" t="s">
        <v>3724</v>
      </c>
      <c r="YK367" s="1633" t="s">
        <v>3725</v>
      </c>
      <c r="YL367" s="1633" t="s">
        <v>3726</v>
      </c>
      <c r="YM367" s="1633" t="s">
        <v>3727</v>
      </c>
      <c r="YN367" s="1633" t="s">
        <v>3728</v>
      </c>
      <c r="YO367" s="1633" t="s">
        <v>3729</v>
      </c>
      <c r="YP367" s="1633" t="s">
        <v>3730</v>
      </c>
      <c r="YQ367" s="1633" t="s">
        <v>3731</v>
      </c>
      <c r="YR367" s="1633" t="s">
        <v>3732</v>
      </c>
      <c r="YS367" s="1633" t="s">
        <v>3733</v>
      </c>
      <c r="YT367" s="1633" t="s">
        <v>3734</v>
      </c>
      <c r="YU367" s="1633" t="s">
        <v>3735</v>
      </c>
      <c r="YV367" s="1633" t="s">
        <v>3736</v>
      </c>
      <c r="YW367" s="1633" t="s">
        <v>3737</v>
      </c>
      <c r="YX367" s="1633" t="s">
        <v>3738</v>
      </c>
      <c r="YY367" s="1633" t="s">
        <v>3739</v>
      </c>
      <c r="YZ367" s="1633" t="s">
        <v>3740</v>
      </c>
      <c r="ZA367" s="1633" t="s">
        <v>3741</v>
      </c>
      <c r="ZB367" s="1633" t="s">
        <v>3742</v>
      </c>
      <c r="ZC367" s="1633" t="s">
        <v>3743</v>
      </c>
      <c r="ZD367" s="1633" t="s">
        <v>3744</v>
      </c>
      <c r="ZE367" s="1633" t="s">
        <v>3745</v>
      </c>
      <c r="ZF367" s="1633" t="s">
        <v>3746</v>
      </c>
      <c r="ZG367" s="1633" t="s">
        <v>3747</v>
      </c>
      <c r="ZH367" s="1633" t="s">
        <v>3748</v>
      </c>
      <c r="ZI367" s="1633" t="s">
        <v>3749</v>
      </c>
      <c r="ZJ367" s="1633" t="s">
        <v>3750</v>
      </c>
      <c r="ZK367" s="1633" t="s">
        <v>3751</v>
      </c>
      <c r="ZL367" s="1633" t="s">
        <v>3752</v>
      </c>
      <c r="ZM367" s="1633" t="s">
        <v>3753</v>
      </c>
      <c r="ZN367" s="1633" t="s">
        <v>3754</v>
      </c>
      <c r="ZO367" s="1633" t="s">
        <v>3755</v>
      </c>
      <c r="ZP367" s="1633" t="s">
        <v>3756</v>
      </c>
      <c r="ZQ367" s="1633" t="s">
        <v>3757</v>
      </c>
      <c r="ZR367" s="1633" t="s">
        <v>3758</v>
      </c>
      <c r="ZS367" s="1633" t="s">
        <v>3759</v>
      </c>
      <c r="ZT367" s="1633" t="s">
        <v>3760</v>
      </c>
      <c r="ZU367" s="1633" t="s">
        <v>3761</v>
      </c>
      <c r="ZV367" s="1633" t="s">
        <v>3762</v>
      </c>
      <c r="ZW367" s="1633" t="s">
        <v>3763</v>
      </c>
      <c r="ZX367" s="1633" t="s">
        <v>3764</v>
      </c>
      <c r="ZY367" s="1633" t="s">
        <v>3765</v>
      </c>
      <c r="ZZ367" s="1633" t="s">
        <v>3766</v>
      </c>
      <c r="AAA367" s="1633" t="s">
        <v>3767</v>
      </c>
      <c r="AAB367" s="1633" t="s">
        <v>3768</v>
      </c>
      <c r="AAC367" s="1633" t="s">
        <v>3769</v>
      </c>
      <c r="AAD367" s="1633" t="s">
        <v>3770</v>
      </c>
      <c r="AAE367" s="1633" t="s">
        <v>3771</v>
      </c>
      <c r="AAF367" s="1633" t="s">
        <v>3772</v>
      </c>
      <c r="AAG367" s="1633" t="s">
        <v>3773</v>
      </c>
      <c r="AAH367" s="1633" t="s">
        <v>3774</v>
      </c>
      <c r="AAI367" s="1633" t="s">
        <v>3775</v>
      </c>
      <c r="AAJ367" s="1633" t="s">
        <v>3776</v>
      </c>
      <c r="AAK367" s="1633" t="s">
        <v>3777</v>
      </c>
      <c r="AAL367" s="1633" t="s">
        <v>3778</v>
      </c>
      <c r="AAM367" s="1633" t="s">
        <v>3779</v>
      </c>
      <c r="AAN367" s="1633" t="s">
        <v>3780</v>
      </c>
      <c r="AAO367" s="1633" t="s">
        <v>3781</v>
      </c>
      <c r="AAP367" s="1633" t="s">
        <v>3782</v>
      </c>
      <c r="AAQ367" s="1633" t="s">
        <v>3783</v>
      </c>
      <c r="AAR367" s="1633" t="s">
        <v>3784</v>
      </c>
      <c r="AAS367" s="1633" t="s">
        <v>3785</v>
      </c>
      <c r="AAT367" s="1633" t="s">
        <v>3786</v>
      </c>
      <c r="AAU367" s="1633" t="s">
        <v>3787</v>
      </c>
      <c r="AAV367" s="1633" t="s">
        <v>3788</v>
      </c>
      <c r="AAW367" s="1633" t="s">
        <v>3789</v>
      </c>
      <c r="AAX367" s="1633" t="s">
        <v>3790</v>
      </c>
      <c r="AAY367" s="1633" t="s">
        <v>3791</v>
      </c>
      <c r="AAZ367" s="1633" t="s">
        <v>3792</v>
      </c>
      <c r="ABA367" s="1633" t="s">
        <v>3793</v>
      </c>
      <c r="ABB367" s="1633" t="s">
        <v>3794</v>
      </c>
      <c r="ABC367" s="1633" t="s">
        <v>3795</v>
      </c>
      <c r="ABD367" s="1633" t="s">
        <v>3796</v>
      </c>
      <c r="ABE367" s="1633" t="s">
        <v>3797</v>
      </c>
      <c r="ABF367" s="1633" t="s">
        <v>3798</v>
      </c>
      <c r="ABG367" s="1633" t="s">
        <v>3799</v>
      </c>
      <c r="ABH367" s="1633" t="s">
        <v>3800</v>
      </c>
      <c r="ABI367" s="1633" t="s">
        <v>3801</v>
      </c>
      <c r="ABJ367" s="1633" t="s">
        <v>3802</v>
      </c>
      <c r="ABK367" s="1633" t="s">
        <v>3803</v>
      </c>
      <c r="ABL367" s="1633" t="s">
        <v>3804</v>
      </c>
      <c r="ABM367" s="1633" t="s">
        <v>3805</v>
      </c>
      <c r="ABN367" s="1633" t="s">
        <v>3806</v>
      </c>
      <c r="ABO367" s="1633" t="s">
        <v>3807</v>
      </c>
      <c r="ABP367" s="1633" t="s">
        <v>3808</v>
      </c>
      <c r="ABQ367" s="1633" t="s">
        <v>3809</v>
      </c>
      <c r="ABR367" s="1633" t="s">
        <v>3810</v>
      </c>
      <c r="ABS367" s="1633" t="s">
        <v>3811</v>
      </c>
      <c r="ABT367" s="1633" t="s">
        <v>3812</v>
      </c>
      <c r="ABU367" s="1633" t="s">
        <v>3813</v>
      </c>
      <c r="ABV367" s="1633" t="s">
        <v>3814</v>
      </c>
      <c r="ABW367" s="1633" t="s">
        <v>3815</v>
      </c>
      <c r="ABX367" s="1633" t="s">
        <v>3816</v>
      </c>
      <c r="ABY367" s="1633" t="s">
        <v>3817</v>
      </c>
      <c r="ABZ367" s="1633" t="s">
        <v>3818</v>
      </c>
      <c r="ACA367" s="1633" t="s">
        <v>3819</v>
      </c>
      <c r="ACB367" s="1633" t="s">
        <v>3820</v>
      </c>
      <c r="ACC367" s="1633" t="s">
        <v>3821</v>
      </c>
      <c r="ACD367" s="1633" t="s">
        <v>3822</v>
      </c>
      <c r="ACE367" s="1633" t="s">
        <v>3823</v>
      </c>
      <c r="ACF367" s="1633" t="s">
        <v>3824</v>
      </c>
      <c r="ACG367" s="1633" t="s">
        <v>3825</v>
      </c>
      <c r="ACH367" s="1633" t="s">
        <v>3826</v>
      </c>
      <c r="ACI367" s="1633" t="s">
        <v>3827</v>
      </c>
      <c r="ACJ367" s="1633" t="s">
        <v>3828</v>
      </c>
      <c r="ACK367" s="1633" t="s">
        <v>3829</v>
      </c>
      <c r="ACL367" s="1633" t="s">
        <v>3830</v>
      </c>
      <c r="ACM367" s="1633" t="s">
        <v>3831</v>
      </c>
      <c r="ACN367" s="1633" t="s">
        <v>3832</v>
      </c>
      <c r="ACO367" s="1633" t="s">
        <v>3833</v>
      </c>
      <c r="ACP367" s="1633" t="s">
        <v>3834</v>
      </c>
      <c r="ACQ367" s="1633" t="s">
        <v>3835</v>
      </c>
      <c r="ACR367" s="1633" t="s">
        <v>3836</v>
      </c>
      <c r="ACS367" s="1633" t="s">
        <v>3837</v>
      </c>
      <c r="ACT367" s="1633" t="s">
        <v>3838</v>
      </c>
      <c r="ACU367" s="1633" t="s">
        <v>3839</v>
      </c>
      <c r="ACV367" s="1633" t="s">
        <v>3840</v>
      </c>
      <c r="ACW367" s="1633" t="s">
        <v>3841</v>
      </c>
      <c r="ACX367" s="1633" t="s">
        <v>3842</v>
      </c>
      <c r="ACY367" s="1633" t="s">
        <v>3843</v>
      </c>
      <c r="ACZ367" s="1633" t="s">
        <v>3844</v>
      </c>
      <c r="ADA367" s="1633" t="s">
        <v>3845</v>
      </c>
      <c r="ADB367" s="1633" t="s">
        <v>3846</v>
      </c>
      <c r="ADC367" s="1633" t="s">
        <v>3847</v>
      </c>
      <c r="ADD367" s="1633" t="s">
        <v>3848</v>
      </c>
      <c r="ADE367" s="1633" t="s">
        <v>3849</v>
      </c>
      <c r="ADF367" s="1633" t="s">
        <v>3850</v>
      </c>
      <c r="ADG367" s="1633" t="s">
        <v>3851</v>
      </c>
      <c r="ADH367" s="1633" t="s">
        <v>3852</v>
      </c>
      <c r="ADI367" s="1633" t="s">
        <v>3853</v>
      </c>
      <c r="ADJ367" s="1633" t="s">
        <v>3854</v>
      </c>
      <c r="ADK367" s="1633" t="s">
        <v>3855</v>
      </c>
      <c r="ADL367" s="1633" t="s">
        <v>3856</v>
      </c>
      <c r="ADM367" s="1633" t="s">
        <v>3857</v>
      </c>
      <c r="ADN367" s="1633" t="s">
        <v>3858</v>
      </c>
      <c r="ADO367" s="1633" t="s">
        <v>3859</v>
      </c>
      <c r="ADP367" s="1633" t="s">
        <v>3860</v>
      </c>
      <c r="ADQ367" s="1633" t="s">
        <v>3861</v>
      </c>
      <c r="ADR367" s="1633" t="s">
        <v>3862</v>
      </c>
      <c r="ADS367" s="1633" t="s">
        <v>3863</v>
      </c>
      <c r="ADT367" s="1633" t="s">
        <v>3864</v>
      </c>
      <c r="ADU367" s="1633" t="s">
        <v>3865</v>
      </c>
      <c r="ADV367" s="1633" t="s">
        <v>3866</v>
      </c>
      <c r="ADW367" s="1633" t="s">
        <v>3867</v>
      </c>
      <c r="ADX367" s="1633" t="s">
        <v>3868</v>
      </c>
      <c r="ADY367" s="1633" t="s">
        <v>3869</v>
      </c>
      <c r="ADZ367" s="1633" t="s">
        <v>3870</v>
      </c>
      <c r="AEA367" s="1633" t="s">
        <v>3871</v>
      </c>
      <c r="AEB367" s="1633" t="s">
        <v>3872</v>
      </c>
      <c r="AEC367" s="1633" t="s">
        <v>3873</v>
      </c>
      <c r="AED367" s="1633" t="s">
        <v>3874</v>
      </c>
      <c r="AEE367" s="1633" t="s">
        <v>3875</v>
      </c>
      <c r="AEF367" s="1633" t="s">
        <v>3876</v>
      </c>
      <c r="AEG367" s="1633" t="s">
        <v>3877</v>
      </c>
      <c r="AEH367" s="1633" t="s">
        <v>3878</v>
      </c>
      <c r="AEI367" s="1633" t="s">
        <v>3879</v>
      </c>
      <c r="AEJ367" s="1633" t="s">
        <v>3880</v>
      </c>
      <c r="AEK367" s="1633" t="s">
        <v>3881</v>
      </c>
      <c r="AEL367" s="1633" t="s">
        <v>3882</v>
      </c>
      <c r="AEM367" s="1633" t="s">
        <v>3883</v>
      </c>
      <c r="AEN367" s="1633" t="s">
        <v>3884</v>
      </c>
      <c r="AEO367" s="1633" t="s">
        <v>3885</v>
      </c>
      <c r="AEP367" s="1633" t="s">
        <v>3886</v>
      </c>
      <c r="AEQ367" s="1633" t="s">
        <v>3887</v>
      </c>
      <c r="AER367" s="1633" t="s">
        <v>3888</v>
      </c>
      <c r="AES367" s="1633" t="s">
        <v>3889</v>
      </c>
      <c r="AET367" s="1633" t="s">
        <v>3890</v>
      </c>
      <c r="AEU367" s="1633" t="s">
        <v>3891</v>
      </c>
      <c r="AEV367" s="1633" t="s">
        <v>3892</v>
      </c>
      <c r="AEW367" s="1633" t="s">
        <v>3893</v>
      </c>
      <c r="AEX367" s="1633" t="s">
        <v>3894</v>
      </c>
      <c r="AEY367" s="1633" t="s">
        <v>3895</v>
      </c>
      <c r="AEZ367" s="1633" t="s">
        <v>3896</v>
      </c>
      <c r="AFA367" s="1633" t="s">
        <v>3897</v>
      </c>
      <c r="AFB367" s="1633" t="s">
        <v>3898</v>
      </c>
      <c r="AFC367" s="1633" t="s">
        <v>3899</v>
      </c>
      <c r="AFD367" s="1633" t="s">
        <v>3900</v>
      </c>
      <c r="AFE367" s="1633" t="s">
        <v>3901</v>
      </c>
      <c r="AFF367" s="1633" t="s">
        <v>3902</v>
      </c>
      <c r="AFG367" s="1633" t="s">
        <v>3903</v>
      </c>
      <c r="AFH367" s="1633" t="s">
        <v>3904</v>
      </c>
      <c r="AFI367" s="1633" t="s">
        <v>3905</v>
      </c>
      <c r="AFJ367" s="1633" t="s">
        <v>3906</v>
      </c>
      <c r="AFK367" s="1633" t="s">
        <v>3907</v>
      </c>
      <c r="AFL367" s="1633" t="s">
        <v>3908</v>
      </c>
      <c r="AFM367" s="1633" t="s">
        <v>3909</v>
      </c>
      <c r="AFN367" s="1633" t="s">
        <v>3910</v>
      </c>
      <c r="AFO367" s="1633" t="s">
        <v>3911</v>
      </c>
      <c r="AFP367" s="1633" t="s">
        <v>3912</v>
      </c>
      <c r="AFQ367" s="1633" t="s">
        <v>3913</v>
      </c>
      <c r="AFR367" s="1633" t="s">
        <v>3914</v>
      </c>
      <c r="AFS367" s="1633" t="s">
        <v>3915</v>
      </c>
      <c r="AFT367" s="1633" t="s">
        <v>3916</v>
      </c>
      <c r="AFU367" s="1633" t="s">
        <v>3917</v>
      </c>
      <c r="AFV367" s="1633" t="s">
        <v>3918</v>
      </c>
      <c r="AFW367" s="1633" t="s">
        <v>3919</v>
      </c>
      <c r="AFX367" s="1633" t="s">
        <v>3920</v>
      </c>
      <c r="AFY367" s="1633" t="s">
        <v>3921</v>
      </c>
      <c r="AFZ367" s="1633" t="s">
        <v>3922</v>
      </c>
      <c r="AGA367" s="1633" t="s">
        <v>3923</v>
      </c>
      <c r="AGB367" s="1633" t="s">
        <v>3924</v>
      </c>
      <c r="AGC367" s="1633" t="s">
        <v>3925</v>
      </c>
      <c r="AGD367" s="1633" t="s">
        <v>3926</v>
      </c>
      <c r="AGE367" s="1633" t="s">
        <v>3927</v>
      </c>
      <c r="AGF367" s="1633" t="s">
        <v>3928</v>
      </c>
      <c r="AGG367" s="1633" t="s">
        <v>3929</v>
      </c>
      <c r="AGH367" s="1633" t="s">
        <v>3930</v>
      </c>
      <c r="AGI367" s="1633" t="s">
        <v>3931</v>
      </c>
      <c r="AGJ367" s="1633" t="s">
        <v>3932</v>
      </c>
      <c r="AGK367" s="1633" t="s">
        <v>3933</v>
      </c>
      <c r="AGL367" s="1633" t="s">
        <v>3934</v>
      </c>
      <c r="AGM367" s="1633" t="s">
        <v>3935</v>
      </c>
      <c r="AGN367" s="1633" t="s">
        <v>3936</v>
      </c>
      <c r="AGO367" s="1633" t="s">
        <v>3937</v>
      </c>
      <c r="AGP367" s="1633" t="s">
        <v>3938</v>
      </c>
      <c r="AGQ367" s="1633" t="s">
        <v>3939</v>
      </c>
      <c r="AGR367" s="1633" t="s">
        <v>3940</v>
      </c>
      <c r="AGS367" s="1633" t="s">
        <v>3941</v>
      </c>
      <c r="AGT367" s="1633" t="s">
        <v>3942</v>
      </c>
      <c r="AGU367" s="1633" t="s">
        <v>3943</v>
      </c>
      <c r="AGV367" s="1633" t="s">
        <v>3944</v>
      </c>
      <c r="AGW367" s="1633" t="s">
        <v>3945</v>
      </c>
      <c r="AGX367" s="1633" t="s">
        <v>3946</v>
      </c>
      <c r="AGY367" s="1633" t="s">
        <v>3947</v>
      </c>
      <c r="AGZ367" s="1633" t="s">
        <v>3948</v>
      </c>
      <c r="AHA367" s="1633" t="s">
        <v>3949</v>
      </c>
      <c r="AHB367" s="1633" t="s">
        <v>3950</v>
      </c>
      <c r="AHC367" s="1633" t="s">
        <v>3951</v>
      </c>
      <c r="AHD367" s="1633" t="s">
        <v>3952</v>
      </c>
      <c r="AHE367" s="1633" t="s">
        <v>3953</v>
      </c>
      <c r="AHF367" s="1633" t="s">
        <v>3954</v>
      </c>
      <c r="AHG367" s="1633" t="s">
        <v>3955</v>
      </c>
      <c r="AHH367" s="1633" t="s">
        <v>3956</v>
      </c>
      <c r="AHI367" s="1633" t="s">
        <v>3957</v>
      </c>
      <c r="AHJ367" s="1633" t="s">
        <v>3958</v>
      </c>
      <c r="AHK367" s="1633" t="s">
        <v>3959</v>
      </c>
      <c r="AHL367" s="1633" t="s">
        <v>3960</v>
      </c>
      <c r="AHM367" s="1633" t="s">
        <v>3961</v>
      </c>
      <c r="AHN367" s="1633" t="s">
        <v>3962</v>
      </c>
      <c r="AHO367" s="1633" t="s">
        <v>3963</v>
      </c>
      <c r="AHP367" s="1633" t="s">
        <v>3964</v>
      </c>
      <c r="AHQ367" s="1633" t="s">
        <v>3965</v>
      </c>
      <c r="AHR367" s="1633" t="s">
        <v>3966</v>
      </c>
      <c r="AHS367" s="1633" t="s">
        <v>3967</v>
      </c>
      <c r="AHT367" s="1633" t="s">
        <v>3968</v>
      </c>
      <c r="AHU367" s="1633" t="s">
        <v>3969</v>
      </c>
      <c r="AHV367" s="1633" t="s">
        <v>3970</v>
      </c>
      <c r="AHW367" s="1633" t="s">
        <v>3971</v>
      </c>
      <c r="AHX367" s="1633" t="s">
        <v>3972</v>
      </c>
      <c r="AHY367" s="1633" t="s">
        <v>3973</v>
      </c>
      <c r="AHZ367" s="1633" t="s">
        <v>3974</v>
      </c>
      <c r="AIA367" s="1633" t="s">
        <v>3975</v>
      </c>
      <c r="AIB367" s="1633" t="s">
        <v>3976</v>
      </c>
      <c r="AIC367" s="1633" t="s">
        <v>3977</v>
      </c>
      <c r="AID367" s="1633" t="s">
        <v>3978</v>
      </c>
      <c r="AIE367" s="1633" t="s">
        <v>3979</v>
      </c>
      <c r="AIF367" s="1633" t="s">
        <v>3980</v>
      </c>
      <c r="AIG367" s="1633" t="s">
        <v>3981</v>
      </c>
      <c r="AIH367" s="1633" t="s">
        <v>3982</v>
      </c>
      <c r="AII367" s="1633" t="s">
        <v>3983</v>
      </c>
      <c r="AIJ367" s="1633" t="s">
        <v>3984</v>
      </c>
      <c r="AIK367" s="1633" t="s">
        <v>3985</v>
      </c>
      <c r="AIL367" s="1633" t="s">
        <v>3986</v>
      </c>
      <c r="AIM367" s="1633" t="s">
        <v>3987</v>
      </c>
      <c r="AIN367" s="1633" t="s">
        <v>3988</v>
      </c>
      <c r="AIO367" s="1633" t="s">
        <v>3989</v>
      </c>
      <c r="AIP367" s="1633" t="s">
        <v>3990</v>
      </c>
      <c r="AIQ367" s="1633" t="s">
        <v>3991</v>
      </c>
      <c r="AIR367" s="1633" t="s">
        <v>3992</v>
      </c>
      <c r="AIS367" s="1633" t="s">
        <v>3993</v>
      </c>
      <c r="AIT367" s="1633" t="s">
        <v>3994</v>
      </c>
      <c r="AIU367" s="1633" t="s">
        <v>3995</v>
      </c>
      <c r="AIV367" s="1633" t="s">
        <v>3996</v>
      </c>
      <c r="AIW367" s="1633" t="s">
        <v>3997</v>
      </c>
      <c r="AIX367" s="1633" t="s">
        <v>3998</v>
      </c>
      <c r="AIY367" s="1633" t="s">
        <v>3999</v>
      </c>
      <c r="AIZ367" s="1633" t="s">
        <v>4000</v>
      </c>
      <c r="AJA367" s="1633" t="s">
        <v>4001</v>
      </c>
      <c r="AJB367" s="1633" t="s">
        <v>4002</v>
      </c>
      <c r="AJC367" s="1633" t="s">
        <v>4003</v>
      </c>
      <c r="AJD367" s="1633" t="s">
        <v>4004</v>
      </c>
      <c r="AJE367" s="1633" t="s">
        <v>4005</v>
      </c>
      <c r="AJF367" s="1633" t="s">
        <v>4006</v>
      </c>
      <c r="AJG367" s="1633" t="s">
        <v>4007</v>
      </c>
      <c r="AJH367" s="1633" t="s">
        <v>4008</v>
      </c>
      <c r="AJI367" s="1633" t="s">
        <v>4009</v>
      </c>
      <c r="AJJ367" s="1633" t="s">
        <v>4010</v>
      </c>
      <c r="AJK367" s="1633" t="s">
        <v>4011</v>
      </c>
      <c r="AJL367" s="1633" t="s">
        <v>4012</v>
      </c>
      <c r="AJM367" s="1633" t="s">
        <v>4013</v>
      </c>
      <c r="AJN367" s="1633" t="s">
        <v>4014</v>
      </c>
      <c r="AJO367" s="1633" t="s">
        <v>4015</v>
      </c>
      <c r="AJP367" s="1633" t="s">
        <v>4016</v>
      </c>
      <c r="AJQ367" s="1633" t="s">
        <v>4017</v>
      </c>
      <c r="AJR367" s="1633" t="s">
        <v>4018</v>
      </c>
      <c r="AJS367" s="1633" t="s">
        <v>4019</v>
      </c>
      <c r="AJT367" s="1633" t="s">
        <v>4020</v>
      </c>
      <c r="AJU367" s="1633" t="s">
        <v>4021</v>
      </c>
      <c r="AJV367" s="1633" t="s">
        <v>4022</v>
      </c>
      <c r="AJW367" s="1633" t="s">
        <v>4023</v>
      </c>
      <c r="AJX367" s="1633" t="s">
        <v>4024</v>
      </c>
      <c r="AJY367" s="1633" t="s">
        <v>4025</v>
      </c>
      <c r="AJZ367" s="1633" t="s">
        <v>4026</v>
      </c>
      <c r="AKA367" s="1633" t="s">
        <v>4027</v>
      </c>
      <c r="AKB367" s="1633" t="s">
        <v>4028</v>
      </c>
      <c r="AKC367" s="1633" t="s">
        <v>4029</v>
      </c>
      <c r="AKD367" s="1633" t="s">
        <v>4030</v>
      </c>
      <c r="AKE367" s="1633" t="s">
        <v>4031</v>
      </c>
      <c r="AKF367" s="1633" t="s">
        <v>4032</v>
      </c>
      <c r="AKG367" s="1633" t="s">
        <v>4033</v>
      </c>
      <c r="AKH367" s="1633" t="s">
        <v>4034</v>
      </c>
      <c r="AKI367" s="1633" t="s">
        <v>4035</v>
      </c>
      <c r="AKJ367" s="1633" t="s">
        <v>4036</v>
      </c>
      <c r="AKK367" s="1633" t="s">
        <v>4037</v>
      </c>
      <c r="AKL367" s="1633" t="s">
        <v>4038</v>
      </c>
      <c r="AKM367" s="1633" t="s">
        <v>4039</v>
      </c>
      <c r="AKN367" s="1633" t="s">
        <v>4040</v>
      </c>
      <c r="AKO367" s="1633" t="s">
        <v>4041</v>
      </c>
      <c r="AKP367" s="1633" t="s">
        <v>4042</v>
      </c>
      <c r="AKQ367" s="1633" t="s">
        <v>4043</v>
      </c>
      <c r="AKR367" s="1633" t="s">
        <v>4044</v>
      </c>
      <c r="AKS367" s="1633" t="s">
        <v>4045</v>
      </c>
      <c r="AKT367" s="1633" t="s">
        <v>4046</v>
      </c>
      <c r="AKU367" s="1633" t="s">
        <v>4047</v>
      </c>
      <c r="AKV367" s="1633" t="s">
        <v>4048</v>
      </c>
      <c r="AKW367" s="1633" t="s">
        <v>4049</v>
      </c>
      <c r="AKX367" s="1633" t="s">
        <v>4050</v>
      </c>
      <c r="AKY367" s="1633" t="s">
        <v>4051</v>
      </c>
      <c r="AKZ367" s="1633" t="s">
        <v>4052</v>
      </c>
      <c r="ALA367" s="1633" t="s">
        <v>4053</v>
      </c>
      <c r="ALB367" s="1633" t="s">
        <v>4054</v>
      </c>
      <c r="ALC367" s="1633" t="s">
        <v>4055</v>
      </c>
      <c r="ALD367" s="1633" t="s">
        <v>4056</v>
      </c>
      <c r="ALE367" s="1633" t="s">
        <v>4057</v>
      </c>
      <c r="ALF367" s="1633" t="s">
        <v>4058</v>
      </c>
      <c r="ALG367" s="1633" t="s">
        <v>4059</v>
      </c>
      <c r="ALH367" s="1633" t="s">
        <v>4060</v>
      </c>
      <c r="ALI367" s="1633" t="s">
        <v>4061</v>
      </c>
      <c r="ALJ367" s="1633" t="s">
        <v>4062</v>
      </c>
      <c r="ALK367" s="1633" t="s">
        <v>4063</v>
      </c>
      <c r="ALL367" s="1633" t="s">
        <v>4064</v>
      </c>
      <c r="ALM367" s="1633" t="s">
        <v>4065</v>
      </c>
      <c r="ALN367" s="1633" t="s">
        <v>4066</v>
      </c>
      <c r="ALO367" s="1633" t="s">
        <v>4067</v>
      </c>
      <c r="ALP367" s="1633" t="s">
        <v>4068</v>
      </c>
      <c r="ALQ367" s="1633" t="s">
        <v>4069</v>
      </c>
      <c r="ALR367" s="1633" t="s">
        <v>4070</v>
      </c>
      <c r="ALS367" s="1633" t="s">
        <v>4071</v>
      </c>
      <c r="ALT367" s="1633" t="s">
        <v>4072</v>
      </c>
      <c r="ALU367" s="1633" t="s">
        <v>4073</v>
      </c>
      <c r="ALV367" s="1633" t="s">
        <v>4074</v>
      </c>
      <c r="ALW367" s="1633" t="s">
        <v>4075</v>
      </c>
      <c r="ALX367" s="1633" t="s">
        <v>4076</v>
      </c>
      <c r="ALY367" s="1633" t="s">
        <v>4077</v>
      </c>
      <c r="ALZ367" s="1633" t="s">
        <v>4078</v>
      </c>
    </row>
    <row r="368" spans="2:1014" ht="20.100000000000001" customHeight="1">
      <c r="C368" s="1656"/>
      <c r="D368" s="1656"/>
      <c r="E368" s="1656"/>
      <c r="F368" s="1633"/>
      <c r="G368" s="1657"/>
      <c r="H368" s="1633"/>
      <c r="I368" s="1633"/>
      <c r="J368" s="1633"/>
      <c r="K368" s="1633"/>
      <c r="L368" s="1633"/>
      <c r="M368" s="1633"/>
      <c r="N368" s="1633"/>
      <c r="O368" s="1633"/>
      <c r="P368" s="1633"/>
      <c r="Q368" s="1633"/>
      <c r="R368" s="1633"/>
      <c r="S368" s="1633"/>
      <c r="T368" s="1633"/>
      <c r="U368" s="1633"/>
      <c r="V368" s="1633"/>
      <c r="W368" s="1633"/>
      <c r="X368" s="1633"/>
      <c r="Y368" s="1633"/>
      <c r="Z368" s="1633"/>
      <c r="AA368" s="1633"/>
      <c r="AB368" s="1633"/>
      <c r="AC368" s="1633"/>
      <c r="AD368" s="1633"/>
      <c r="AE368" s="1633"/>
      <c r="AF368" s="1633"/>
      <c r="AG368" s="1633"/>
      <c r="AH368" s="1633"/>
      <c r="AI368" s="1633"/>
      <c r="AJ368" s="1633"/>
      <c r="AK368" s="1633"/>
      <c r="AL368" s="1633"/>
      <c r="AM368" s="1633"/>
      <c r="AN368" s="1633"/>
      <c r="AO368" s="1633"/>
      <c r="AP368" s="1633"/>
      <c r="AQ368" s="1633"/>
      <c r="AR368" s="1633"/>
      <c r="AS368" s="1633"/>
      <c r="AT368" s="1633"/>
      <c r="AU368" s="1633"/>
      <c r="AV368" s="1633"/>
      <c r="AW368" s="1633"/>
      <c r="AX368" s="1633"/>
      <c r="AY368" s="1633"/>
      <c r="AZ368" s="1633"/>
      <c r="BA368" s="1633"/>
      <c r="BB368" s="1633"/>
      <c r="BC368" s="1633"/>
      <c r="BD368" s="1633"/>
      <c r="BE368" s="1633"/>
      <c r="BF368" s="1633"/>
      <c r="BG368" s="1633"/>
      <c r="BH368" s="1633"/>
      <c r="BI368" s="1633"/>
      <c r="BJ368" s="1633"/>
      <c r="BK368" s="1633"/>
      <c r="BL368" s="1633"/>
      <c r="BM368" s="1633"/>
      <c r="BN368" s="1633"/>
      <c r="BO368" s="1633"/>
      <c r="BP368" s="1633"/>
      <c r="BQ368" s="1633"/>
      <c r="BR368" s="1633"/>
      <c r="BS368" s="1633"/>
      <c r="BT368" s="1633"/>
      <c r="BU368" s="1633"/>
      <c r="BV368" s="1633"/>
      <c r="BW368" s="1633"/>
      <c r="BX368" s="1633"/>
      <c r="BY368" s="1633"/>
      <c r="BZ368" s="1633"/>
      <c r="CA368" s="1633"/>
      <c r="CB368" s="1633"/>
      <c r="CC368" s="1633"/>
      <c r="CD368" s="1633"/>
      <c r="CE368" s="1633"/>
      <c r="CF368" s="1633"/>
      <c r="CG368" s="1633"/>
      <c r="CH368" s="1633"/>
      <c r="CI368" s="1633"/>
      <c r="CJ368" s="1633"/>
      <c r="CK368" s="1633"/>
      <c r="CL368" s="1633"/>
      <c r="CM368" s="1633"/>
      <c r="CN368" s="1633"/>
      <c r="CO368" s="1633"/>
      <c r="CP368" s="1633"/>
      <c r="CQ368" s="1633"/>
      <c r="CR368" s="1633"/>
      <c r="CS368" s="1633"/>
      <c r="CT368" s="1633"/>
      <c r="CU368" s="1633"/>
      <c r="CV368" s="1633"/>
      <c r="CW368" s="1633"/>
      <c r="CX368" s="1633"/>
      <c r="CY368" s="1633"/>
      <c r="CZ368" s="1633"/>
      <c r="DA368" s="1633"/>
      <c r="DB368" s="1633"/>
      <c r="DC368" s="1633"/>
      <c r="DD368" s="1633"/>
      <c r="DE368" s="1633"/>
      <c r="DF368" s="1633"/>
      <c r="DG368" s="1633"/>
      <c r="DH368" s="1633"/>
      <c r="DI368" s="1633"/>
      <c r="DJ368" s="1633"/>
      <c r="DK368" s="1633"/>
      <c r="DL368" s="1633"/>
      <c r="DM368" s="1633"/>
      <c r="DN368" s="1633"/>
      <c r="DO368" s="1633"/>
      <c r="DP368" s="1633"/>
      <c r="DQ368" s="1633"/>
      <c r="DR368" s="1633"/>
      <c r="DS368" s="1633"/>
      <c r="DT368" s="1633"/>
      <c r="DU368" s="1633"/>
      <c r="DV368" s="1633"/>
      <c r="DW368" s="1633"/>
      <c r="DX368" s="1633"/>
      <c r="DY368" s="1633"/>
      <c r="DZ368" s="1633"/>
      <c r="EA368" s="1633"/>
      <c r="EB368" s="1633"/>
      <c r="EC368" s="1633"/>
      <c r="ED368" s="1633"/>
      <c r="EE368" s="1633"/>
      <c r="EF368" s="1633"/>
      <c r="EG368" s="1633"/>
      <c r="EH368" s="1633"/>
      <c r="EI368" s="1633"/>
      <c r="EJ368" s="1633"/>
      <c r="EK368" s="1633"/>
      <c r="EL368" s="1633"/>
      <c r="EM368" s="1633"/>
      <c r="EN368" s="1633"/>
      <c r="EO368" s="1633"/>
      <c r="EP368" s="1633"/>
      <c r="EQ368" s="1633"/>
      <c r="ER368" s="1633"/>
      <c r="ES368" s="1633"/>
      <c r="ET368" s="1633"/>
      <c r="EU368" s="1633"/>
      <c r="EV368" s="1633"/>
      <c r="EW368" s="1633"/>
      <c r="EX368" s="1633"/>
      <c r="EY368" s="1633"/>
      <c r="EZ368" s="1633"/>
      <c r="FA368" s="1633"/>
      <c r="FB368" s="1633"/>
      <c r="FC368" s="1633"/>
      <c r="FD368" s="1633"/>
      <c r="FE368" s="1633"/>
      <c r="FF368" s="1633"/>
      <c r="FG368" s="1633"/>
      <c r="FH368" s="1633"/>
      <c r="FI368" s="1633"/>
      <c r="FJ368" s="1633"/>
      <c r="FK368" s="1633"/>
      <c r="FL368" s="1633"/>
      <c r="FM368" s="1633"/>
      <c r="FN368" s="1633"/>
      <c r="FO368" s="1633"/>
      <c r="FP368" s="1633"/>
      <c r="FQ368" s="1633"/>
      <c r="FR368" s="1633"/>
      <c r="FS368" s="1633"/>
      <c r="FT368" s="1633"/>
      <c r="FU368" s="1633"/>
      <c r="FV368" s="1633"/>
      <c r="FW368" s="1633"/>
      <c r="FX368" s="1633"/>
      <c r="FY368" s="1633"/>
      <c r="FZ368" s="1633"/>
      <c r="GA368" s="1633"/>
      <c r="GB368" s="1633"/>
      <c r="GC368" s="1633"/>
      <c r="GD368" s="1633"/>
      <c r="GE368" s="1633"/>
      <c r="GF368" s="1633"/>
      <c r="GG368" s="1633"/>
      <c r="GH368" s="1633"/>
      <c r="GI368" s="1633"/>
      <c r="GJ368" s="1633"/>
      <c r="GK368" s="1633"/>
      <c r="GL368" s="1633"/>
      <c r="GM368" s="1633"/>
      <c r="GN368" s="1633"/>
      <c r="GO368" s="1633"/>
      <c r="GP368" s="1633"/>
      <c r="GQ368" s="1633"/>
      <c r="GR368" s="1633"/>
      <c r="GS368" s="1633"/>
      <c r="GT368" s="1633"/>
      <c r="GU368" s="1633"/>
      <c r="GV368" s="1633"/>
      <c r="GW368" s="1633"/>
      <c r="GX368" s="1633"/>
      <c r="GY368" s="1633"/>
      <c r="GZ368" s="1633"/>
      <c r="HA368" s="1633"/>
      <c r="HB368" s="1633"/>
      <c r="HC368" s="1633"/>
      <c r="HD368" s="1633"/>
      <c r="HE368" s="1633"/>
      <c r="HF368" s="1633"/>
      <c r="HG368" s="1633"/>
      <c r="HH368" s="1633"/>
      <c r="HI368" s="1633"/>
      <c r="HJ368" s="1633"/>
      <c r="HK368" s="1633"/>
      <c r="HL368" s="1633"/>
      <c r="HM368" s="1633"/>
      <c r="HN368" s="1633"/>
      <c r="HO368" s="1633"/>
      <c r="HP368" s="1633"/>
      <c r="HQ368" s="1633"/>
      <c r="HR368" s="1633"/>
      <c r="HS368" s="1633"/>
      <c r="HT368" s="1633"/>
      <c r="HU368" s="1633"/>
      <c r="HV368" s="1633"/>
      <c r="HW368" s="1633"/>
      <c r="HX368" s="1633"/>
      <c r="HY368" s="1633"/>
      <c r="HZ368" s="1633"/>
      <c r="IA368" s="1633"/>
      <c r="IB368" s="1633"/>
      <c r="IC368" s="1633"/>
      <c r="ID368" s="1633"/>
      <c r="IE368" s="1633"/>
      <c r="IF368" s="1633"/>
      <c r="IG368" s="1633"/>
      <c r="IH368" s="1633"/>
      <c r="II368" s="1633"/>
      <c r="IJ368" s="1633"/>
      <c r="IK368" s="1633"/>
      <c r="IL368" s="1633"/>
      <c r="IM368" s="1633"/>
      <c r="IN368" s="1633"/>
      <c r="IO368" s="1633"/>
      <c r="IP368" s="1633"/>
      <c r="IQ368" s="1633"/>
      <c r="IR368" s="1633"/>
      <c r="IS368" s="1633"/>
      <c r="IT368" s="1633"/>
      <c r="IU368" s="1633"/>
      <c r="IV368" s="1633"/>
      <c r="IW368" s="1633"/>
      <c r="IX368" s="1633"/>
      <c r="IY368" s="1633"/>
      <c r="IZ368" s="1633"/>
      <c r="JA368" s="1633"/>
      <c r="JB368" s="1633"/>
      <c r="JC368" s="1633"/>
      <c r="JD368" s="1633"/>
      <c r="JE368" s="1633"/>
      <c r="JF368" s="1633"/>
      <c r="JG368" s="1633"/>
      <c r="JH368" s="1633"/>
      <c r="JI368" s="1633"/>
      <c r="JJ368" s="1633"/>
      <c r="JK368" s="1633"/>
      <c r="JL368" s="1633"/>
      <c r="JM368" s="1633"/>
      <c r="JN368" s="1633"/>
      <c r="JO368" s="1633"/>
      <c r="JP368" s="1633"/>
      <c r="JQ368" s="1633"/>
      <c r="JR368" s="1633"/>
      <c r="JS368" s="1633"/>
      <c r="JT368" s="1633"/>
      <c r="JU368" s="1633"/>
      <c r="JV368" s="1633"/>
      <c r="JW368" s="1633"/>
      <c r="JX368" s="1633"/>
      <c r="JY368" s="1633"/>
      <c r="JZ368" s="1633"/>
      <c r="KA368" s="1633"/>
      <c r="KB368" s="1633"/>
      <c r="KC368" s="1633"/>
      <c r="KD368" s="1633"/>
      <c r="KE368" s="1633"/>
      <c r="KF368" s="1633"/>
      <c r="KG368" s="1633"/>
      <c r="KH368" s="1633"/>
      <c r="KI368" s="1633"/>
      <c r="KJ368" s="1633"/>
      <c r="KK368" s="1633"/>
      <c r="KL368" s="1633"/>
      <c r="KM368" s="1633"/>
      <c r="KN368" s="1633"/>
      <c r="KO368" s="1633"/>
      <c r="KP368" s="1633"/>
      <c r="KQ368" s="1633"/>
      <c r="KR368" s="1633"/>
      <c r="KS368" s="1633"/>
      <c r="KT368" s="1633"/>
      <c r="KU368" s="1633"/>
      <c r="KV368" s="1633"/>
      <c r="KW368" s="1633"/>
      <c r="KX368" s="1633"/>
      <c r="KY368" s="1633"/>
      <c r="KZ368" s="1633"/>
      <c r="LA368" s="1633"/>
      <c r="LB368" s="1633"/>
      <c r="LC368" s="1633"/>
      <c r="LD368" s="1633"/>
      <c r="LE368" s="1633"/>
      <c r="LF368" s="1633"/>
      <c r="LG368" s="1633"/>
      <c r="LH368" s="1633"/>
      <c r="LI368" s="1633"/>
      <c r="LJ368" s="1633"/>
      <c r="LK368" s="1633"/>
      <c r="LL368" s="1633"/>
      <c r="LM368" s="1633"/>
      <c r="LN368" s="1633"/>
      <c r="LO368" s="1633"/>
      <c r="LP368" s="1633"/>
      <c r="LQ368" s="1633"/>
      <c r="LR368" s="1633"/>
      <c r="LS368" s="1633"/>
      <c r="LT368" s="1633"/>
      <c r="LU368" s="1633"/>
      <c r="LV368" s="1633"/>
      <c r="LW368" s="1633"/>
      <c r="LX368" s="1633"/>
      <c r="LY368" s="1633"/>
      <c r="LZ368" s="1633"/>
      <c r="MA368" s="1633"/>
      <c r="MB368" s="1633"/>
      <c r="MC368" s="1633"/>
      <c r="MD368" s="1633"/>
      <c r="ME368" s="1633"/>
      <c r="MF368" s="1633"/>
      <c r="MG368" s="1633"/>
      <c r="MH368" s="1633"/>
      <c r="MI368" s="1633"/>
      <c r="MJ368" s="1633"/>
      <c r="MK368" s="1633"/>
      <c r="ML368" s="1633"/>
      <c r="MM368" s="1633"/>
      <c r="MN368" s="1633"/>
      <c r="MO368" s="1633"/>
      <c r="MP368" s="1633"/>
      <c r="MQ368" s="1633"/>
      <c r="MR368" s="1633"/>
      <c r="MS368" s="1633"/>
      <c r="MT368" s="1633"/>
      <c r="MU368" s="1633"/>
      <c r="MV368" s="1633"/>
      <c r="MW368" s="1633"/>
      <c r="MX368" s="1633"/>
      <c r="MY368" s="1633"/>
      <c r="MZ368" s="1633"/>
      <c r="NA368" s="1633"/>
      <c r="NB368" s="1633"/>
      <c r="NC368" s="1633"/>
      <c r="ND368" s="1633"/>
      <c r="NE368" s="1633"/>
      <c r="NF368" s="1633"/>
      <c r="NG368" s="1633"/>
      <c r="NH368" s="1633"/>
      <c r="NI368" s="1633"/>
      <c r="NJ368" s="1633"/>
      <c r="NK368" s="1633"/>
      <c r="NL368" s="1633"/>
      <c r="NM368" s="1633"/>
      <c r="NN368" s="1633"/>
      <c r="NO368" s="1633"/>
      <c r="NP368" s="1633"/>
      <c r="NQ368" s="1633"/>
      <c r="NR368" s="1633"/>
      <c r="NS368" s="1633"/>
      <c r="NT368" s="1633"/>
      <c r="NU368" s="1633"/>
      <c r="NV368" s="1633"/>
      <c r="NW368" s="1633"/>
      <c r="NX368" s="1633"/>
      <c r="NY368" s="1633"/>
      <c r="NZ368" s="1633"/>
      <c r="OA368" s="1633"/>
      <c r="OB368" s="1633"/>
      <c r="OC368" s="1633"/>
      <c r="OD368" s="1633"/>
      <c r="OE368" s="1633"/>
      <c r="OF368" s="1633"/>
      <c r="OG368" s="1633"/>
      <c r="OH368" s="1633"/>
      <c r="OI368" s="1633"/>
      <c r="OJ368" s="1633"/>
      <c r="OK368" s="1633"/>
      <c r="OL368" s="1633"/>
      <c r="OM368" s="1633"/>
      <c r="ON368" s="1633"/>
      <c r="OO368" s="1633"/>
      <c r="OP368" s="1633"/>
      <c r="OQ368" s="1633"/>
      <c r="OR368" s="1633"/>
      <c r="OS368" s="1633"/>
      <c r="OT368" s="1633"/>
      <c r="OU368" s="1633"/>
      <c r="OV368" s="1633"/>
      <c r="OW368" s="1633"/>
      <c r="OX368" s="1633"/>
      <c r="OY368" s="1633"/>
      <c r="OZ368" s="1633"/>
      <c r="PA368" s="1633"/>
      <c r="PB368" s="1633"/>
      <c r="PC368" s="1633"/>
      <c r="PD368" s="1633"/>
      <c r="PE368" s="1633"/>
      <c r="PF368" s="1633"/>
      <c r="PG368" s="1633"/>
      <c r="PH368" s="1633"/>
      <c r="PI368" s="1633"/>
      <c r="PJ368" s="1633"/>
      <c r="PK368" s="1633"/>
      <c r="PL368" s="1633"/>
      <c r="PM368" s="1633"/>
      <c r="PN368" s="1633"/>
      <c r="PO368" s="1633"/>
      <c r="PP368" s="1633"/>
      <c r="PQ368" s="1633"/>
      <c r="PR368" s="1633"/>
      <c r="PS368" s="1633"/>
      <c r="PT368" s="1633"/>
      <c r="PU368" s="1633"/>
      <c r="PV368" s="1633"/>
      <c r="PW368" s="1633"/>
      <c r="PX368" s="1633"/>
      <c r="PY368" s="1633"/>
      <c r="PZ368" s="1633"/>
      <c r="QA368" s="1633"/>
      <c r="QB368" s="1633"/>
      <c r="QC368" s="1633"/>
      <c r="QD368" s="1633"/>
      <c r="QE368" s="1633"/>
      <c r="QF368" s="1633"/>
      <c r="QG368" s="1633"/>
      <c r="QH368" s="1633"/>
      <c r="QI368" s="1633"/>
      <c r="QJ368" s="1633"/>
      <c r="QK368" s="1633"/>
      <c r="QL368" s="1633"/>
      <c r="QM368" s="1633"/>
      <c r="QN368" s="1633"/>
      <c r="QO368" s="1633"/>
      <c r="QP368" s="1633"/>
      <c r="QQ368" s="1633"/>
      <c r="QR368" s="1633"/>
      <c r="QS368" s="1633"/>
      <c r="QT368" s="1633"/>
      <c r="QU368" s="1633"/>
      <c r="QV368" s="1633"/>
      <c r="QW368" s="1633"/>
      <c r="QX368" s="1633"/>
      <c r="QY368" s="1633"/>
      <c r="QZ368" s="1633"/>
      <c r="RA368" s="1633"/>
      <c r="RB368" s="1633"/>
      <c r="RC368" s="1633"/>
      <c r="RD368" s="1633"/>
      <c r="RE368" s="1633"/>
      <c r="RF368" s="1633"/>
      <c r="RG368" s="1633"/>
      <c r="RH368" s="1633"/>
      <c r="RI368" s="1633"/>
      <c r="RJ368" s="1633"/>
      <c r="RK368" s="1633"/>
      <c r="RL368" s="1633"/>
      <c r="RM368" s="1633"/>
      <c r="RN368" s="1633"/>
      <c r="RO368" s="1633"/>
      <c r="RP368" s="1633"/>
      <c r="RQ368" s="1633"/>
      <c r="RR368" s="1633"/>
      <c r="RS368" s="1633"/>
      <c r="RT368" s="1633"/>
      <c r="RU368" s="1633"/>
      <c r="RV368" s="1633"/>
      <c r="RW368" s="1633"/>
      <c r="RX368" s="1633"/>
      <c r="RY368" s="1633"/>
      <c r="RZ368" s="1633"/>
      <c r="SA368" s="1633"/>
      <c r="SB368" s="1633"/>
      <c r="SC368" s="1633"/>
      <c r="SD368" s="1633"/>
      <c r="SE368" s="1633"/>
      <c r="SF368" s="1633"/>
      <c r="SG368" s="1633"/>
      <c r="SH368" s="1633"/>
      <c r="SI368" s="1633"/>
      <c r="SJ368" s="1633"/>
      <c r="SK368" s="1633"/>
      <c r="SL368" s="1633"/>
      <c r="SM368" s="1633"/>
      <c r="SN368" s="1633"/>
      <c r="SO368" s="1633"/>
      <c r="SP368" s="1633"/>
      <c r="SQ368" s="1633"/>
      <c r="SR368" s="1633"/>
      <c r="SS368" s="1633"/>
      <c r="ST368" s="1633"/>
      <c r="SU368" s="1633"/>
      <c r="SV368" s="1633"/>
      <c r="SW368" s="1633"/>
      <c r="SX368" s="1633"/>
      <c r="SY368" s="1633"/>
      <c r="SZ368" s="1633"/>
      <c r="TA368" s="1633"/>
      <c r="TB368" s="1633"/>
      <c r="TC368" s="1633"/>
      <c r="TD368" s="1633"/>
      <c r="TE368" s="1633"/>
      <c r="TF368" s="1633"/>
      <c r="TG368" s="1633"/>
      <c r="TH368" s="1633"/>
      <c r="TI368" s="1633"/>
      <c r="TJ368" s="1633"/>
      <c r="TK368" s="1633"/>
      <c r="TL368" s="1633"/>
      <c r="TM368" s="1633"/>
      <c r="TN368" s="1633"/>
      <c r="TO368" s="1633"/>
      <c r="TP368" s="1633"/>
      <c r="TQ368" s="1633"/>
      <c r="TR368" s="1633"/>
      <c r="TS368" s="1633"/>
      <c r="TT368" s="1633"/>
      <c r="TU368" s="1633"/>
      <c r="TV368" s="1633"/>
      <c r="TW368" s="1633"/>
      <c r="TX368" s="1633"/>
      <c r="TY368" s="1633"/>
      <c r="TZ368" s="1633"/>
      <c r="UA368" s="1633"/>
      <c r="UB368" s="1633"/>
      <c r="UC368" s="1633"/>
      <c r="UD368" s="1633"/>
      <c r="UE368" s="1633"/>
      <c r="UF368" s="1633"/>
      <c r="UG368" s="1633"/>
      <c r="UH368" s="1633"/>
      <c r="UI368" s="1633"/>
      <c r="UJ368" s="1633"/>
      <c r="UK368" s="1633"/>
      <c r="UL368" s="1633"/>
      <c r="UM368" s="1633"/>
      <c r="UN368" s="1633"/>
      <c r="UO368" s="1633"/>
      <c r="UP368" s="1633"/>
      <c r="UQ368" s="1633"/>
      <c r="UR368" s="1633"/>
      <c r="US368" s="1633"/>
      <c r="UT368" s="1633"/>
      <c r="UU368" s="1633"/>
      <c r="UV368" s="1633"/>
      <c r="UW368" s="1633"/>
      <c r="UX368" s="1633"/>
      <c r="UY368" s="1633"/>
      <c r="UZ368" s="1633"/>
      <c r="VA368" s="1633"/>
      <c r="VB368" s="1633"/>
      <c r="VC368" s="1633"/>
      <c r="VD368" s="1633"/>
      <c r="VE368" s="1633"/>
      <c r="VF368" s="1633"/>
      <c r="VG368" s="1633"/>
      <c r="VH368" s="1633"/>
      <c r="VI368" s="1633"/>
      <c r="VJ368" s="1633"/>
      <c r="VK368" s="1633"/>
      <c r="VL368" s="1633"/>
      <c r="VM368" s="1633"/>
      <c r="VN368" s="1633"/>
      <c r="VO368" s="1633"/>
      <c r="VP368" s="1633"/>
      <c r="VQ368" s="1633"/>
      <c r="VR368" s="1633"/>
      <c r="VS368" s="1633"/>
      <c r="VT368" s="1633"/>
      <c r="VU368" s="1633"/>
      <c r="VV368" s="1633"/>
      <c r="VW368" s="1633"/>
      <c r="VX368" s="1633"/>
      <c r="VY368" s="1633"/>
      <c r="VZ368" s="1633"/>
      <c r="WA368" s="1633"/>
      <c r="WB368" s="1633"/>
      <c r="WC368" s="1633"/>
      <c r="WD368" s="1633"/>
      <c r="WE368" s="1633"/>
      <c r="WF368" s="1633"/>
      <c r="WG368" s="1633"/>
      <c r="WH368" s="1633"/>
      <c r="WI368" s="1633"/>
      <c r="WJ368" s="1633"/>
      <c r="WK368" s="1633"/>
      <c r="WL368" s="1633"/>
      <c r="WM368" s="1633"/>
      <c r="WN368" s="1633"/>
      <c r="WO368" s="1633"/>
      <c r="WP368" s="1633"/>
      <c r="WQ368" s="1633"/>
      <c r="WR368" s="1633"/>
      <c r="WS368" s="1633"/>
      <c r="WT368" s="1633"/>
      <c r="WU368" s="1633"/>
      <c r="WV368" s="1633"/>
      <c r="WW368" s="1633"/>
      <c r="WX368" s="1633"/>
      <c r="WY368" s="1633"/>
      <c r="WZ368" s="1633"/>
      <c r="XA368" s="1633"/>
      <c r="XB368" s="1633"/>
      <c r="XC368" s="1633"/>
      <c r="XD368" s="1633"/>
      <c r="XE368" s="1633"/>
      <c r="XF368" s="1633"/>
      <c r="XG368" s="1633"/>
      <c r="XH368" s="1633"/>
      <c r="XI368" s="1633"/>
      <c r="XJ368" s="1633"/>
      <c r="XK368" s="1633"/>
      <c r="XL368" s="1633"/>
      <c r="XM368" s="1633"/>
      <c r="XN368" s="1633"/>
      <c r="XO368" s="1633"/>
      <c r="XP368" s="1633"/>
      <c r="XQ368" s="1633"/>
      <c r="XR368" s="1633"/>
      <c r="XS368" s="1633"/>
      <c r="XT368" s="1633"/>
      <c r="XU368" s="1633"/>
      <c r="XV368" s="1633"/>
      <c r="XW368" s="1633"/>
      <c r="XX368" s="1633"/>
      <c r="XY368" s="1633"/>
      <c r="XZ368" s="1633"/>
      <c r="YA368" s="1633"/>
      <c r="YB368" s="1633"/>
      <c r="YC368" s="1633"/>
      <c r="YD368" s="1633"/>
      <c r="YE368" s="1633"/>
      <c r="YF368" s="1633"/>
      <c r="YG368" s="1633"/>
      <c r="YH368" s="1633"/>
      <c r="YI368" s="1633"/>
      <c r="YJ368" s="1633"/>
      <c r="YK368" s="1633"/>
      <c r="YL368" s="1633"/>
      <c r="YM368" s="1633"/>
      <c r="YN368" s="1633"/>
      <c r="YO368" s="1633"/>
      <c r="YP368" s="1633"/>
      <c r="YQ368" s="1633"/>
      <c r="YR368" s="1633"/>
      <c r="YS368" s="1633"/>
      <c r="YT368" s="1633"/>
      <c r="YU368" s="1633"/>
      <c r="YV368" s="1633"/>
      <c r="YW368" s="1633"/>
      <c r="YX368" s="1633"/>
      <c r="YY368" s="1633"/>
      <c r="YZ368" s="1633"/>
      <c r="ZA368" s="1633"/>
      <c r="ZB368" s="1633"/>
      <c r="ZC368" s="1633"/>
      <c r="ZD368" s="1633"/>
      <c r="ZE368" s="1633"/>
      <c r="ZF368" s="1633"/>
      <c r="ZG368" s="1633"/>
      <c r="ZH368" s="1633"/>
      <c r="ZI368" s="1633"/>
      <c r="ZJ368" s="1633"/>
      <c r="ZK368" s="1633"/>
      <c r="ZL368" s="1633"/>
      <c r="ZM368" s="1633"/>
      <c r="ZN368" s="1633"/>
      <c r="ZO368" s="1633"/>
      <c r="ZP368" s="1633"/>
      <c r="ZQ368" s="1633"/>
      <c r="ZR368" s="1633"/>
      <c r="ZS368" s="1633"/>
      <c r="ZT368" s="1633"/>
      <c r="ZU368" s="1633"/>
      <c r="ZV368" s="1633"/>
      <c r="ZW368" s="1633"/>
      <c r="ZX368" s="1633"/>
      <c r="ZY368" s="1633"/>
      <c r="ZZ368" s="1633"/>
      <c r="AAA368" s="1633"/>
      <c r="AAB368" s="1633"/>
      <c r="AAC368" s="1633"/>
      <c r="AAD368" s="1633"/>
      <c r="AAE368" s="1633"/>
      <c r="AAF368" s="1633"/>
      <c r="AAG368" s="1633"/>
      <c r="AAH368" s="1633"/>
      <c r="AAI368" s="1633"/>
      <c r="AAJ368" s="1633"/>
      <c r="AAK368" s="1633"/>
      <c r="AAL368" s="1633"/>
      <c r="AAM368" s="1633"/>
      <c r="AAN368" s="1633"/>
      <c r="AAO368" s="1633"/>
      <c r="AAP368" s="1633"/>
      <c r="AAQ368" s="1633"/>
      <c r="AAR368" s="1633"/>
      <c r="AAS368" s="1633"/>
      <c r="AAT368" s="1633"/>
      <c r="AAU368" s="1633"/>
      <c r="AAV368" s="1633"/>
      <c r="AAW368" s="1633"/>
      <c r="AAX368" s="1633"/>
      <c r="AAY368" s="1633"/>
      <c r="AAZ368" s="1633"/>
      <c r="ABA368" s="1633"/>
      <c r="ABB368" s="1633"/>
      <c r="ABC368" s="1633"/>
      <c r="ABD368" s="1633"/>
      <c r="ABE368" s="1633"/>
      <c r="ABF368" s="1633"/>
      <c r="ABG368" s="1633"/>
      <c r="ABH368" s="1633"/>
      <c r="ABI368" s="1633"/>
      <c r="ABJ368" s="1633"/>
      <c r="ABK368" s="1633"/>
      <c r="ABL368" s="1633"/>
      <c r="ABM368" s="1633"/>
      <c r="ABN368" s="1633"/>
      <c r="ABO368" s="1633"/>
      <c r="ABP368" s="1633"/>
      <c r="ABQ368" s="1633"/>
      <c r="ABR368" s="1633"/>
      <c r="ABS368" s="1633"/>
      <c r="ABT368" s="1633"/>
      <c r="ABU368" s="1633"/>
      <c r="ABV368" s="1633"/>
      <c r="ABW368" s="1633"/>
      <c r="ABX368" s="1633"/>
      <c r="ABY368" s="1633"/>
      <c r="ABZ368" s="1633"/>
      <c r="ACA368" s="1633"/>
      <c r="ACB368" s="1633"/>
      <c r="ACC368" s="1633"/>
      <c r="ACD368" s="1633"/>
      <c r="ACE368" s="1633"/>
      <c r="ACF368" s="1633"/>
      <c r="ACG368" s="1633"/>
      <c r="ACH368" s="1633"/>
      <c r="ACI368" s="1633"/>
      <c r="ACJ368" s="1633"/>
      <c r="ACK368" s="1633"/>
      <c r="ACL368" s="1633"/>
      <c r="ACM368" s="1633"/>
      <c r="ACN368" s="1633"/>
      <c r="ACO368" s="1633"/>
      <c r="ACP368" s="1633"/>
      <c r="ACQ368" s="1633"/>
      <c r="ACR368" s="1633"/>
      <c r="ACS368" s="1633"/>
      <c r="ACT368" s="1633"/>
      <c r="ACU368" s="1633"/>
      <c r="ACV368" s="1633"/>
      <c r="ACW368" s="1633"/>
      <c r="ACX368" s="1633"/>
      <c r="ACY368" s="1633"/>
      <c r="ACZ368" s="1633"/>
      <c r="ADA368" s="1633"/>
      <c r="ADB368" s="1633"/>
      <c r="ADC368" s="1633"/>
      <c r="ADD368" s="1633"/>
      <c r="ADE368" s="1633"/>
      <c r="ADF368" s="1633"/>
      <c r="ADG368" s="1633"/>
      <c r="ADH368" s="1633"/>
      <c r="ADI368" s="1633"/>
      <c r="ADJ368" s="1633"/>
      <c r="ADK368" s="1633"/>
      <c r="ADL368" s="1633"/>
      <c r="ADM368" s="1633"/>
      <c r="ADN368" s="1633"/>
      <c r="ADO368" s="1633"/>
      <c r="ADP368" s="1633"/>
      <c r="ADQ368" s="1633"/>
      <c r="ADR368" s="1633"/>
      <c r="ADS368" s="1633"/>
      <c r="ADT368" s="1633"/>
      <c r="ADU368" s="1633"/>
      <c r="ADV368" s="1633"/>
      <c r="ADW368" s="1633"/>
      <c r="ADX368" s="1633"/>
      <c r="ADY368" s="1633"/>
      <c r="ADZ368" s="1633"/>
      <c r="AEA368" s="1633"/>
      <c r="AEB368" s="1633"/>
      <c r="AEC368" s="1633"/>
      <c r="AED368" s="1633"/>
      <c r="AEE368" s="1633"/>
      <c r="AEF368" s="1633"/>
      <c r="AEG368" s="1633"/>
      <c r="AEH368" s="1633"/>
      <c r="AEI368" s="1633"/>
      <c r="AEJ368" s="1633"/>
      <c r="AEK368" s="1633"/>
      <c r="AEL368" s="1633"/>
      <c r="AEM368" s="1633"/>
      <c r="AEN368" s="1633"/>
      <c r="AEO368" s="1633"/>
      <c r="AEP368" s="1633"/>
      <c r="AEQ368" s="1633"/>
      <c r="AER368" s="1633"/>
      <c r="AES368" s="1633"/>
      <c r="AET368" s="1633"/>
      <c r="AEU368" s="1633"/>
      <c r="AEV368" s="1633"/>
      <c r="AEW368" s="1633"/>
      <c r="AEX368" s="1633"/>
      <c r="AEY368" s="1633"/>
      <c r="AEZ368" s="1633"/>
      <c r="AFA368" s="1633"/>
      <c r="AFB368" s="1633"/>
      <c r="AFC368" s="1633"/>
      <c r="AFD368" s="1633"/>
      <c r="AFE368" s="1633"/>
      <c r="AFF368" s="1633"/>
      <c r="AFG368" s="1633"/>
      <c r="AFH368" s="1633"/>
      <c r="AFI368" s="1633"/>
      <c r="AFJ368" s="1633"/>
      <c r="AFK368" s="1633"/>
      <c r="AFL368" s="1633"/>
      <c r="AFM368" s="1633"/>
      <c r="AFN368" s="1633"/>
      <c r="AFO368" s="1633"/>
      <c r="AFP368" s="1633"/>
      <c r="AFQ368" s="1633"/>
      <c r="AFR368" s="1633"/>
      <c r="AFS368" s="1633"/>
      <c r="AFT368" s="1633"/>
      <c r="AFU368" s="1633"/>
      <c r="AFV368" s="1633"/>
      <c r="AFW368" s="1633"/>
      <c r="AFX368" s="1633"/>
      <c r="AFY368" s="1633"/>
      <c r="AFZ368" s="1633"/>
      <c r="AGA368" s="1633"/>
      <c r="AGB368" s="1633"/>
      <c r="AGC368" s="1633"/>
      <c r="AGD368" s="1633"/>
      <c r="AGE368" s="1633"/>
      <c r="AGF368" s="1633"/>
      <c r="AGG368" s="1633"/>
      <c r="AGH368" s="1633"/>
      <c r="AGI368" s="1633"/>
      <c r="AGJ368" s="1633"/>
      <c r="AGK368" s="1633"/>
      <c r="AGL368" s="1633"/>
      <c r="AGM368" s="1633"/>
      <c r="AGN368" s="1633"/>
      <c r="AGO368" s="1633"/>
      <c r="AGP368" s="1633"/>
      <c r="AGQ368" s="1633"/>
      <c r="AGR368" s="1633"/>
      <c r="AGS368" s="1633"/>
      <c r="AGT368" s="1633"/>
      <c r="AGU368" s="1633"/>
      <c r="AGV368" s="1633"/>
      <c r="AGW368" s="1633"/>
      <c r="AGX368" s="1633"/>
      <c r="AGY368" s="1633"/>
      <c r="AGZ368" s="1633"/>
      <c r="AHA368" s="1633"/>
      <c r="AHB368" s="1633"/>
      <c r="AHC368" s="1633"/>
      <c r="AHD368" s="1633"/>
      <c r="AHE368" s="1633"/>
      <c r="AHF368" s="1633"/>
      <c r="AHG368" s="1633"/>
      <c r="AHH368" s="1633"/>
      <c r="AHI368" s="1633"/>
      <c r="AHJ368" s="1633"/>
      <c r="AHK368" s="1633"/>
      <c r="AHL368" s="1633"/>
      <c r="AHM368" s="1633"/>
      <c r="AHN368" s="1633"/>
      <c r="AHO368" s="1633"/>
      <c r="AHP368" s="1633"/>
      <c r="AHQ368" s="1633"/>
      <c r="AHR368" s="1633"/>
      <c r="AHS368" s="1633"/>
      <c r="AHT368" s="1633"/>
      <c r="AHU368" s="1633"/>
      <c r="AHV368" s="1633"/>
      <c r="AHW368" s="1633"/>
      <c r="AHX368" s="1633"/>
      <c r="AHY368" s="1633"/>
      <c r="AHZ368" s="1633"/>
      <c r="AIA368" s="1633"/>
      <c r="AIB368" s="1633"/>
      <c r="AIC368" s="1633"/>
      <c r="AID368" s="1633"/>
      <c r="AIE368" s="1633"/>
      <c r="AIF368" s="1633"/>
      <c r="AIG368" s="1633"/>
      <c r="AIH368" s="1633"/>
      <c r="AII368" s="1633"/>
      <c r="AIJ368" s="1633"/>
      <c r="AIK368" s="1633"/>
      <c r="AIL368" s="1633"/>
      <c r="AIM368" s="1633"/>
      <c r="AIN368" s="1633"/>
      <c r="AIO368" s="1633"/>
      <c r="AIP368" s="1633"/>
      <c r="AIQ368" s="1633"/>
      <c r="AIR368" s="1633"/>
      <c r="AIS368" s="1633"/>
      <c r="AIT368" s="1633"/>
      <c r="AIU368" s="1633"/>
      <c r="AIV368" s="1633"/>
      <c r="AIW368" s="1633"/>
      <c r="AIX368" s="1633"/>
      <c r="AIY368" s="1633"/>
      <c r="AIZ368" s="1633"/>
      <c r="AJA368" s="1633"/>
      <c r="AJB368" s="1633"/>
      <c r="AJC368" s="1633"/>
      <c r="AJD368" s="1633"/>
      <c r="AJE368" s="1633"/>
      <c r="AJF368" s="1633"/>
      <c r="AJG368" s="1633"/>
      <c r="AJH368" s="1633"/>
      <c r="AJI368" s="1633"/>
      <c r="AJJ368" s="1633"/>
      <c r="AJK368" s="1633"/>
      <c r="AJL368" s="1633"/>
      <c r="AJM368" s="1633"/>
      <c r="AJN368" s="1633"/>
      <c r="AJO368" s="1633"/>
      <c r="AJP368" s="1633"/>
      <c r="AJQ368" s="1633"/>
      <c r="AJR368" s="1633"/>
      <c r="AJS368" s="1633"/>
      <c r="AJT368" s="1633"/>
      <c r="AJU368" s="1633"/>
      <c r="AJV368" s="1633"/>
      <c r="AJW368" s="1633"/>
      <c r="AJX368" s="1633"/>
      <c r="AJY368" s="1633"/>
      <c r="AJZ368" s="1633"/>
      <c r="AKA368" s="1633"/>
      <c r="AKB368" s="1633"/>
      <c r="AKC368" s="1633"/>
      <c r="AKD368" s="1633"/>
      <c r="AKE368" s="1633"/>
      <c r="AKF368" s="1633"/>
      <c r="AKG368" s="1633"/>
      <c r="AKH368" s="1633"/>
      <c r="AKI368" s="1633"/>
      <c r="AKJ368" s="1633"/>
      <c r="AKK368" s="1633"/>
      <c r="AKL368" s="1633"/>
      <c r="AKM368" s="1633"/>
      <c r="AKN368" s="1633"/>
      <c r="AKO368" s="1633"/>
      <c r="AKP368" s="1633"/>
      <c r="AKQ368" s="1633"/>
      <c r="AKR368" s="1633"/>
      <c r="AKS368" s="1633"/>
      <c r="AKT368" s="1633"/>
      <c r="AKU368" s="1633"/>
      <c r="AKV368" s="1633"/>
      <c r="AKW368" s="1633"/>
      <c r="AKX368" s="1633"/>
      <c r="AKY368" s="1633"/>
      <c r="AKZ368" s="1633"/>
      <c r="ALA368" s="1633"/>
      <c r="ALB368" s="1633"/>
      <c r="ALC368" s="1633"/>
      <c r="ALD368" s="1633"/>
      <c r="ALE368" s="1633"/>
      <c r="ALF368" s="1633"/>
      <c r="ALG368" s="1633"/>
      <c r="ALH368" s="1633"/>
      <c r="ALI368" s="1633"/>
      <c r="ALJ368" s="1633"/>
      <c r="ALK368" s="1633"/>
      <c r="ALL368" s="1633"/>
      <c r="ALM368" s="1633"/>
      <c r="ALN368" s="1633"/>
      <c r="ALO368" s="1633"/>
      <c r="ALP368" s="1633"/>
      <c r="ALQ368" s="1633"/>
      <c r="ALR368" s="1633"/>
      <c r="ALS368" s="1633"/>
      <c r="ALT368" s="1633"/>
      <c r="ALU368" s="1633"/>
      <c r="ALV368" s="1633"/>
      <c r="ALW368" s="1633"/>
      <c r="ALX368" s="1633"/>
      <c r="ALY368" s="1633"/>
      <c r="ALZ368" s="1633"/>
    </row>
    <row r="369" spans="2:1014" ht="20.100000000000001" customHeight="1" thickBot="1">
      <c r="C369" s="1656"/>
      <c r="D369" s="1656"/>
      <c r="E369" s="1656"/>
      <c r="F369" s="1633"/>
      <c r="G369" s="1657"/>
      <c r="H369" s="1633"/>
      <c r="I369" s="1633"/>
      <c r="J369" s="1633"/>
      <c r="K369" s="1633"/>
      <c r="L369" s="1633"/>
      <c r="M369" s="1633"/>
      <c r="N369" s="1633"/>
      <c r="O369" s="1633"/>
      <c r="P369" s="1633"/>
      <c r="Q369" s="1633"/>
      <c r="R369" s="1633"/>
      <c r="S369" s="1633"/>
      <c r="T369" s="1633"/>
      <c r="U369" s="1633"/>
      <c r="V369" s="1633"/>
      <c r="W369" s="1633"/>
      <c r="X369" s="1633"/>
      <c r="Y369" s="1633"/>
      <c r="Z369" s="1633"/>
      <c r="AA369" s="1633"/>
      <c r="AB369" s="1633"/>
      <c r="AC369" s="1633"/>
      <c r="AD369" s="1633"/>
      <c r="AE369" s="1633"/>
      <c r="AF369" s="1633"/>
      <c r="AG369" s="1633"/>
      <c r="AH369" s="1633"/>
      <c r="AI369" s="1633"/>
      <c r="AJ369" s="1633"/>
      <c r="AK369" s="1633"/>
      <c r="AL369" s="1633"/>
      <c r="AM369" s="1633"/>
      <c r="AN369" s="1633"/>
      <c r="AO369" s="1633"/>
      <c r="AP369" s="1633"/>
      <c r="AQ369" s="1633"/>
      <c r="AR369" s="1633"/>
      <c r="AS369" s="1633"/>
      <c r="AT369" s="1633"/>
      <c r="AU369" s="1633"/>
      <c r="AV369" s="1633"/>
      <c r="AW369" s="1633"/>
      <c r="AX369" s="1633"/>
      <c r="AY369" s="1633"/>
      <c r="AZ369" s="1633"/>
      <c r="BA369" s="1633"/>
      <c r="BB369" s="1633"/>
      <c r="BC369" s="1633"/>
      <c r="BD369" s="1633"/>
      <c r="BE369" s="1633"/>
      <c r="BF369" s="1633"/>
      <c r="BG369" s="1633"/>
      <c r="BH369" s="1633"/>
      <c r="BI369" s="1633"/>
      <c r="BJ369" s="1633"/>
      <c r="BK369" s="1633"/>
      <c r="BL369" s="1633"/>
      <c r="BM369" s="1633"/>
      <c r="BN369" s="1633"/>
      <c r="BO369" s="1633"/>
      <c r="BP369" s="1633"/>
      <c r="BQ369" s="1633"/>
      <c r="BR369" s="1633"/>
      <c r="BS369" s="1633"/>
      <c r="BT369" s="1633"/>
      <c r="BU369" s="1633"/>
      <c r="BV369" s="1633"/>
      <c r="BW369" s="1633"/>
      <c r="BX369" s="1633"/>
      <c r="BY369" s="1633"/>
      <c r="BZ369" s="1633"/>
      <c r="CA369" s="1633"/>
      <c r="CB369" s="1633"/>
      <c r="CC369" s="1633"/>
      <c r="CD369" s="1633"/>
      <c r="CE369" s="1633"/>
      <c r="CF369" s="1633"/>
      <c r="CG369" s="1633"/>
      <c r="CH369" s="1633"/>
      <c r="CI369" s="1633"/>
      <c r="CJ369" s="1633"/>
      <c r="CK369" s="1633"/>
      <c r="CL369" s="1633"/>
      <c r="CM369" s="1633"/>
      <c r="CN369" s="1633"/>
      <c r="CO369" s="1633"/>
      <c r="CP369" s="1633"/>
      <c r="CQ369" s="1633"/>
      <c r="CR369" s="1633"/>
      <c r="CS369" s="1633"/>
      <c r="CT369" s="1633"/>
      <c r="CU369" s="1633"/>
      <c r="CV369" s="1633"/>
      <c r="CW369" s="1633"/>
      <c r="CX369" s="1633"/>
      <c r="CY369" s="1633"/>
      <c r="CZ369" s="1633"/>
      <c r="DA369" s="1633"/>
      <c r="DB369" s="1633"/>
      <c r="DC369" s="1633"/>
      <c r="DD369" s="1633"/>
      <c r="DE369" s="1633"/>
      <c r="DF369" s="1633"/>
      <c r="DG369" s="1633"/>
      <c r="DH369" s="1633"/>
      <c r="DI369" s="1633"/>
      <c r="DJ369" s="1633"/>
      <c r="DK369" s="1633"/>
      <c r="DL369" s="1633"/>
      <c r="DM369" s="1633"/>
      <c r="DN369" s="1633"/>
      <c r="DO369" s="1633"/>
      <c r="DP369" s="1633"/>
      <c r="DQ369" s="1633"/>
      <c r="DR369" s="1633"/>
      <c r="DS369" s="1633"/>
      <c r="DT369" s="1633"/>
      <c r="DU369" s="1633"/>
      <c r="DV369" s="1633"/>
      <c r="DW369" s="1633"/>
      <c r="DX369" s="1633"/>
      <c r="DY369" s="1633"/>
      <c r="DZ369" s="1633"/>
      <c r="EA369" s="1633"/>
      <c r="EB369" s="1633"/>
      <c r="EC369" s="1633"/>
      <c r="ED369" s="1633"/>
      <c r="EE369" s="1633"/>
      <c r="EF369" s="1633"/>
      <c r="EG369" s="1633"/>
      <c r="EH369" s="1633"/>
      <c r="EI369" s="1633"/>
      <c r="EJ369" s="1633"/>
      <c r="EK369" s="1633"/>
      <c r="EL369" s="1633"/>
      <c r="EM369" s="1633"/>
      <c r="EN369" s="1633"/>
      <c r="EO369" s="1633"/>
      <c r="EP369" s="1633"/>
      <c r="EQ369" s="1633"/>
      <c r="ER369" s="1633"/>
      <c r="ES369" s="1633"/>
      <c r="ET369" s="1633"/>
      <c r="EU369" s="1633"/>
      <c r="EV369" s="1633"/>
      <c r="EW369" s="1633"/>
      <c r="EX369" s="1633"/>
      <c r="EY369" s="1633"/>
      <c r="EZ369" s="1633"/>
      <c r="FA369" s="1633"/>
      <c r="FB369" s="1633"/>
      <c r="FC369" s="1633"/>
      <c r="FD369" s="1633"/>
      <c r="FE369" s="1633"/>
      <c r="FF369" s="1633"/>
      <c r="FG369" s="1633"/>
      <c r="FH369" s="1633"/>
      <c r="FI369" s="1633"/>
      <c r="FJ369" s="1633"/>
      <c r="FK369" s="1633"/>
      <c r="FL369" s="1633"/>
      <c r="FM369" s="1633"/>
      <c r="FN369" s="1633"/>
      <c r="FO369" s="1633"/>
      <c r="FP369" s="1633"/>
      <c r="FQ369" s="1633"/>
      <c r="FR369" s="1633"/>
      <c r="FS369" s="1633"/>
      <c r="FT369" s="1633"/>
      <c r="FU369" s="1633"/>
      <c r="FV369" s="1633"/>
      <c r="FW369" s="1633"/>
      <c r="FX369" s="1633"/>
      <c r="FY369" s="1633"/>
      <c r="FZ369" s="1633"/>
      <c r="GA369" s="1633"/>
      <c r="GB369" s="1633"/>
      <c r="GC369" s="1633"/>
      <c r="GD369" s="1633"/>
      <c r="GE369" s="1633"/>
      <c r="GF369" s="1633"/>
      <c r="GG369" s="1633"/>
      <c r="GH369" s="1633"/>
      <c r="GI369" s="1633"/>
      <c r="GJ369" s="1633"/>
      <c r="GK369" s="1633"/>
      <c r="GL369" s="1633"/>
      <c r="GM369" s="1633"/>
      <c r="GN369" s="1633"/>
      <c r="GO369" s="1633"/>
      <c r="GP369" s="1633"/>
      <c r="GQ369" s="1633"/>
      <c r="GR369" s="1633"/>
      <c r="GS369" s="1633"/>
      <c r="GT369" s="1633"/>
      <c r="GU369" s="1633"/>
      <c r="GV369" s="1633"/>
      <c r="GW369" s="1633"/>
      <c r="GX369" s="1633"/>
      <c r="GY369" s="1633"/>
      <c r="GZ369" s="1633"/>
      <c r="HA369" s="1633"/>
      <c r="HB369" s="1633"/>
      <c r="HC369" s="1633"/>
      <c r="HD369" s="1633"/>
      <c r="HE369" s="1633"/>
      <c r="HF369" s="1633"/>
      <c r="HG369" s="1633"/>
      <c r="HH369" s="1633"/>
      <c r="HI369" s="1633"/>
      <c r="HJ369" s="1633"/>
      <c r="HK369" s="1633"/>
      <c r="HL369" s="1633"/>
      <c r="HM369" s="1633"/>
      <c r="HN369" s="1633"/>
      <c r="HO369" s="1633"/>
      <c r="HP369" s="1633"/>
      <c r="HQ369" s="1633"/>
      <c r="HR369" s="1633"/>
      <c r="HS369" s="1633"/>
      <c r="HT369" s="1633"/>
      <c r="HU369" s="1633"/>
      <c r="HV369" s="1633"/>
      <c r="HW369" s="1633"/>
      <c r="HX369" s="1633"/>
      <c r="HY369" s="1633"/>
      <c r="HZ369" s="1633"/>
      <c r="IA369" s="1633"/>
      <c r="IB369" s="1633"/>
      <c r="IC369" s="1633"/>
      <c r="ID369" s="1633"/>
      <c r="IE369" s="1633"/>
      <c r="IF369" s="1633"/>
      <c r="IG369" s="1633"/>
      <c r="IH369" s="1633"/>
      <c r="II369" s="1633"/>
      <c r="IJ369" s="1633"/>
      <c r="IK369" s="1633"/>
      <c r="IL369" s="1633"/>
      <c r="IM369" s="1633"/>
      <c r="IN369" s="1633"/>
      <c r="IO369" s="1633"/>
      <c r="IP369" s="1633"/>
      <c r="IQ369" s="1633"/>
      <c r="IR369" s="1633"/>
      <c r="IS369" s="1633"/>
      <c r="IT369" s="1633"/>
      <c r="IU369" s="1633"/>
      <c r="IV369" s="1633"/>
      <c r="IW369" s="1633"/>
      <c r="IX369" s="1633"/>
      <c r="IY369" s="1633"/>
      <c r="IZ369" s="1633"/>
      <c r="JA369" s="1633"/>
      <c r="JB369" s="1633"/>
      <c r="JC369" s="1633"/>
      <c r="JD369" s="1633"/>
      <c r="JE369" s="1633"/>
      <c r="JF369" s="1633"/>
      <c r="JG369" s="1633"/>
      <c r="JH369" s="1633"/>
      <c r="JI369" s="1633"/>
      <c r="JJ369" s="1633"/>
      <c r="JK369" s="1633"/>
      <c r="JL369" s="1633"/>
      <c r="JM369" s="1633"/>
      <c r="JN369" s="1633"/>
      <c r="JO369" s="1633"/>
      <c r="JP369" s="1633"/>
      <c r="JQ369" s="1633"/>
      <c r="JR369" s="1633"/>
      <c r="JS369" s="1633"/>
      <c r="JT369" s="1633"/>
      <c r="JU369" s="1633"/>
      <c r="JV369" s="1633"/>
      <c r="JW369" s="1633"/>
      <c r="JX369" s="1633"/>
      <c r="JY369" s="1633"/>
      <c r="JZ369" s="1633"/>
      <c r="KA369" s="1633"/>
      <c r="KB369" s="1633"/>
      <c r="KC369" s="1633"/>
      <c r="KD369" s="1633"/>
      <c r="KE369" s="1633"/>
      <c r="KF369" s="1633"/>
      <c r="KG369" s="1633"/>
      <c r="KH369" s="1633"/>
      <c r="KI369" s="1633"/>
      <c r="KJ369" s="1633"/>
      <c r="KK369" s="1633"/>
      <c r="KL369" s="1633"/>
      <c r="KM369" s="1633"/>
      <c r="KN369" s="1633"/>
      <c r="KO369" s="1633"/>
      <c r="KP369" s="1633"/>
      <c r="KQ369" s="1633"/>
      <c r="KR369" s="1633"/>
      <c r="KS369" s="1633"/>
      <c r="KT369" s="1633"/>
      <c r="KU369" s="1633"/>
      <c r="KV369" s="1633"/>
      <c r="KW369" s="1633"/>
      <c r="KX369" s="1633"/>
      <c r="KY369" s="1633"/>
      <c r="KZ369" s="1633"/>
      <c r="LA369" s="1633"/>
      <c r="LB369" s="1633"/>
      <c r="LC369" s="1633"/>
      <c r="LD369" s="1633"/>
      <c r="LE369" s="1633"/>
      <c r="LF369" s="1633"/>
      <c r="LG369" s="1633"/>
      <c r="LH369" s="1633"/>
      <c r="LI369" s="1633"/>
      <c r="LJ369" s="1633"/>
      <c r="LK369" s="1633"/>
      <c r="LL369" s="1633"/>
      <c r="LM369" s="1633"/>
      <c r="LN369" s="1633"/>
      <c r="LO369" s="1633"/>
      <c r="LP369" s="1633"/>
      <c r="LQ369" s="1633"/>
      <c r="LR369" s="1633"/>
      <c r="LS369" s="1633"/>
      <c r="LT369" s="1633"/>
      <c r="LU369" s="1633"/>
      <c r="LV369" s="1633"/>
      <c r="LW369" s="1633"/>
      <c r="LX369" s="1633"/>
      <c r="LY369" s="1633"/>
      <c r="LZ369" s="1633"/>
      <c r="MA369" s="1633"/>
      <c r="MB369" s="1633"/>
      <c r="MC369" s="1633"/>
      <c r="MD369" s="1633"/>
      <c r="ME369" s="1633"/>
      <c r="MF369" s="1633"/>
      <c r="MG369" s="1633"/>
      <c r="MH369" s="1633"/>
      <c r="MI369" s="1633"/>
      <c r="MJ369" s="1633"/>
      <c r="MK369" s="1633"/>
      <c r="ML369" s="1633"/>
      <c r="MM369" s="1633"/>
      <c r="MN369" s="1633"/>
      <c r="MO369" s="1633"/>
      <c r="MP369" s="1633"/>
      <c r="MQ369" s="1633"/>
      <c r="MR369" s="1633"/>
      <c r="MS369" s="1633"/>
      <c r="MT369" s="1633"/>
      <c r="MU369" s="1633"/>
      <c r="MV369" s="1633"/>
      <c r="MW369" s="1633"/>
      <c r="MX369" s="1633"/>
      <c r="MY369" s="1633"/>
      <c r="MZ369" s="1633"/>
      <c r="NA369" s="1633"/>
      <c r="NB369" s="1633"/>
      <c r="NC369" s="1633"/>
      <c r="ND369" s="1633"/>
      <c r="NE369" s="1633"/>
      <c r="NF369" s="1633"/>
      <c r="NG369" s="1633"/>
      <c r="NH369" s="1633"/>
      <c r="NI369" s="1633"/>
      <c r="NJ369" s="1633"/>
      <c r="NK369" s="1633"/>
      <c r="NL369" s="1633"/>
      <c r="NM369" s="1633"/>
      <c r="NN369" s="1633"/>
      <c r="NO369" s="1633"/>
      <c r="NP369" s="1633"/>
      <c r="NQ369" s="1633"/>
      <c r="NR369" s="1633"/>
      <c r="NS369" s="1633"/>
      <c r="NT369" s="1633"/>
      <c r="NU369" s="1633"/>
      <c r="NV369" s="1633"/>
      <c r="NW369" s="1633"/>
      <c r="NX369" s="1633"/>
      <c r="NY369" s="1633"/>
      <c r="NZ369" s="1633"/>
      <c r="OA369" s="1633"/>
      <c r="OB369" s="1633"/>
      <c r="OC369" s="1633"/>
      <c r="OD369" s="1633"/>
      <c r="OE369" s="1633"/>
      <c r="OF369" s="1633"/>
      <c r="OG369" s="1633"/>
      <c r="OH369" s="1633"/>
      <c r="OI369" s="1633"/>
      <c r="OJ369" s="1633"/>
      <c r="OK369" s="1633"/>
      <c r="OL369" s="1633"/>
      <c r="OM369" s="1633"/>
      <c r="ON369" s="1633"/>
      <c r="OO369" s="1633"/>
      <c r="OP369" s="1633"/>
      <c r="OQ369" s="1633"/>
      <c r="OR369" s="1633"/>
      <c r="OS369" s="1633"/>
      <c r="OT369" s="1633"/>
      <c r="OU369" s="1633"/>
      <c r="OV369" s="1633"/>
      <c r="OW369" s="1633"/>
      <c r="OX369" s="1633"/>
      <c r="OY369" s="1633"/>
      <c r="OZ369" s="1633"/>
      <c r="PA369" s="1633"/>
      <c r="PB369" s="1633"/>
      <c r="PC369" s="1633"/>
      <c r="PD369" s="1633"/>
      <c r="PE369" s="1633"/>
      <c r="PF369" s="1633"/>
      <c r="PG369" s="1633"/>
      <c r="PH369" s="1633"/>
      <c r="PI369" s="1633"/>
      <c r="PJ369" s="1633"/>
      <c r="PK369" s="1633"/>
      <c r="PL369" s="1633"/>
      <c r="PM369" s="1633"/>
      <c r="PN369" s="1633"/>
      <c r="PO369" s="1633"/>
      <c r="PP369" s="1633"/>
      <c r="PQ369" s="1633"/>
      <c r="PR369" s="1633"/>
      <c r="PS369" s="1633"/>
      <c r="PT369" s="1633"/>
      <c r="PU369" s="1633"/>
      <c r="PV369" s="1633"/>
      <c r="PW369" s="1633"/>
      <c r="PX369" s="1633"/>
      <c r="PY369" s="1633"/>
      <c r="PZ369" s="1633"/>
      <c r="QA369" s="1633"/>
      <c r="QB369" s="1633"/>
      <c r="QC369" s="1633"/>
      <c r="QD369" s="1633"/>
      <c r="QE369" s="1633"/>
      <c r="QF369" s="1633"/>
      <c r="QG369" s="1633"/>
      <c r="QH369" s="1633"/>
      <c r="QI369" s="1633"/>
      <c r="QJ369" s="1633"/>
      <c r="QK369" s="1633"/>
      <c r="QL369" s="1633"/>
      <c r="QM369" s="1633"/>
      <c r="QN369" s="1633"/>
      <c r="QO369" s="1633"/>
      <c r="QP369" s="1633"/>
      <c r="QQ369" s="1633"/>
      <c r="QR369" s="1633"/>
      <c r="QS369" s="1633"/>
      <c r="QT369" s="1633"/>
      <c r="QU369" s="1633"/>
      <c r="QV369" s="1633"/>
      <c r="QW369" s="1633"/>
      <c r="QX369" s="1633"/>
      <c r="QY369" s="1633"/>
      <c r="QZ369" s="1633"/>
      <c r="RA369" s="1633"/>
      <c r="RB369" s="1633"/>
      <c r="RC369" s="1633"/>
      <c r="RD369" s="1633"/>
      <c r="RE369" s="1633"/>
      <c r="RF369" s="1633"/>
      <c r="RG369" s="1633"/>
      <c r="RH369" s="1633"/>
      <c r="RI369" s="1633"/>
      <c r="RJ369" s="1633"/>
      <c r="RK369" s="1633"/>
      <c r="RL369" s="1633"/>
      <c r="RM369" s="1633"/>
      <c r="RN369" s="1633"/>
      <c r="RO369" s="1633"/>
      <c r="RP369" s="1633"/>
      <c r="RQ369" s="1633"/>
      <c r="RR369" s="1633"/>
      <c r="RS369" s="1633"/>
      <c r="RT369" s="1633"/>
      <c r="RU369" s="1633"/>
      <c r="RV369" s="1633"/>
      <c r="RW369" s="1633"/>
      <c r="RX369" s="1633"/>
      <c r="RY369" s="1633"/>
      <c r="RZ369" s="1633"/>
      <c r="SA369" s="1633"/>
      <c r="SB369" s="1633"/>
      <c r="SC369" s="1633"/>
      <c r="SD369" s="1633"/>
      <c r="SE369" s="1633"/>
      <c r="SF369" s="1633"/>
      <c r="SG369" s="1633"/>
      <c r="SH369" s="1633"/>
      <c r="SI369" s="1633"/>
      <c r="SJ369" s="1633"/>
      <c r="SK369" s="1633"/>
      <c r="SL369" s="1633"/>
      <c r="SM369" s="1633"/>
      <c r="SN369" s="1633"/>
      <c r="SO369" s="1633"/>
      <c r="SP369" s="1633"/>
      <c r="SQ369" s="1633"/>
      <c r="SR369" s="1633"/>
      <c r="SS369" s="1633"/>
      <c r="ST369" s="1633"/>
      <c r="SU369" s="1633"/>
      <c r="SV369" s="1633"/>
      <c r="SW369" s="1633"/>
      <c r="SX369" s="1633"/>
      <c r="SY369" s="1633"/>
      <c r="SZ369" s="1633"/>
      <c r="TA369" s="1633"/>
      <c r="TB369" s="1633"/>
      <c r="TC369" s="1633"/>
      <c r="TD369" s="1633"/>
      <c r="TE369" s="1633"/>
      <c r="TF369" s="1633"/>
      <c r="TG369" s="1633"/>
      <c r="TH369" s="1633"/>
      <c r="TI369" s="1633"/>
      <c r="TJ369" s="1633"/>
      <c r="TK369" s="1633"/>
      <c r="TL369" s="1633"/>
      <c r="TM369" s="1633"/>
      <c r="TN369" s="1633"/>
      <c r="TO369" s="1633"/>
      <c r="TP369" s="1633"/>
      <c r="TQ369" s="1633"/>
      <c r="TR369" s="1633"/>
      <c r="TS369" s="1633"/>
      <c r="TT369" s="1633"/>
      <c r="TU369" s="1633"/>
      <c r="TV369" s="1633"/>
      <c r="TW369" s="1633"/>
      <c r="TX369" s="1633"/>
      <c r="TY369" s="1633"/>
      <c r="TZ369" s="1633"/>
      <c r="UA369" s="1633"/>
      <c r="UB369" s="1633"/>
      <c r="UC369" s="1633"/>
      <c r="UD369" s="1633"/>
      <c r="UE369" s="1633"/>
      <c r="UF369" s="1633"/>
      <c r="UG369" s="1633"/>
      <c r="UH369" s="1633"/>
      <c r="UI369" s="1633"/>
      <c r="UJ369" s="1633"/>
      <c r="UK369" s="1633"/>
      <c r="UL369" s="1633"/>
      <c r="UM369" s="1633"/>
      <c r="UN369" s="1633"/>
      <c r="UO369" s="1633"/>
      <c r="UP369" s="1633"/>
      <c r="UQ369" s="1633"/>
      <c r="UR369" s="1633"/>
      <c r="US369" s="1633"/>
      <c r="UT369" s="1633"/>
      <c r="UU369" s="1633"/>
      <c r="UV369" s="1633"/>
      <c r="UW369" s="1633"/>
      <c r="UX369" s="1633"/>
      <c r="UY369" s="1633"/>
      <c r="UZ369" s="1633"/>
      <c r="VA369" s="1633"/>
      <c r="VB369" s="1633"/>
      <c r="VC369" s="1633"/>
      <c r="VD369" s="1633"/>
      <c r="VE369" s="1633"/>
      <c r="VF369" s="1633"/>
      <c r="VG369" s="1633"/>
      <c r="VH369" s="1633"/>
      <c r="VI369" s="1633"/>
      <c r="VJ369" s="1633"/>
      <c r="VK369" s="1633"/>
      <c r="VL369" s="1633"/>
      <c r="VM369" s="1633"/>
      <c r="VN369" s="1633"/>
      <c r="VO369" s="1633"/>
      <c r="VP369" s="1633"/>
      <c r="VQ369" s="1633"/>
      <c r="VR369" s="1633"/>
      <c r="VS369" s="1633"/>
      <c r="VT369" s="1633"/>
      <c r="VU369" s="1633"/>
      <c r="VV369" s="1633"/>
      <c r="VW369" s="1633"/>
      <c r="VX369" s="1633"/>
      <c r="VY369" s="1633"/>
      <c r="VZ369" s="1633"/>
      <c r="WA369" s="1633"/>
      <c r="WB369" s="1633"/>
      <c r="WC369" s="1633"/>
      <c r="WD369" s="1633"/>
      <c r="WE369" s="1633"/>
      <c r="WF369" s="1633"/>
      <c r="WG369" s="1633"/>
      <c r="WH369" s="1633"/>
      <c r="WI369" s="1633"/>
      <c r="WJ369" s="1633"/>
      <c r="WK369" s="1633"/>
      <c r="WL369" s="1633"/>
      <c r="WM369" s="1633"/>
      <c r="WN369" s="1633"/>
      <c r="WO369" s="1633"/>
      <c r="WP369" s="1633"/>
      <c r="WQ369" s="1633"/>
      <c r="WR369" s="1633"/>
      <c r="WS369" s="1633"/>
      <c r="WT369" s="1633"/>
      <c r="WU369" s="1633"/>
      <c r="WV369" s="1633"/>
      <c r="WW369" s="1633"/>
      <c r="WX369" s="1633"/>
      <c r="WY369" s="1633"/>
      <c r="WZ369" s="1633"/>
      <c r="XA369" s="1633"/>
      <c r="XB369" s="1633"/>
      <c r="XC369" s="1633"/>
      <c r="XD369" s="1633"/>
      <c r="XE369" s="1633"/>
      <c r="XF369" s="1633"/>
      <c r="XG369" s="1633"/>
      <c r="XH369" s="1633"/>
      <c r="XI369" s="1633"/>
      <c r="XJ369" s="1633"/>
      <c r="XK369" s="1633"/>
      <c r="XL369" s="1633"/>
      <c r="XM369" s="1633"/>
      <c r="XN369" s="1633"/>
      <c r="XO369" s="1633"/>
      <c r="XP369" s="1633"/>
      <c r="XQ369" s="1633"/>
      <c r="XR369" s="1633"/>
      <c r="XS369" s="1633"/>
      <c r="XT369" s="1633"/>
      <c r="XU369" s="1633"/>
      <c r="XV369" s="1633"/>
      <c r="XW369" s="1633"/>
      <c r="XX369" s="1633"/>
      <c r="XY369" s="1633"/>
      <c r="XZ369" s="1633"/>
      <c r="YA369" s="1633"/>
      <c r="YB369" s="1633"/>
      <c r="YC369" s="1633"/>
      <c r="YD369" s="1633"/>
      <c r="YE369" s="1633"/>
      <c r="YF369" s="1633"/>
      <c r="YG369" s="1633"/>
      <c r="YH369" s="1633"/>
      <c r="YI369" s="1633"/>
      <c r="YJ369" s="1633"/>
      <c r="YK369" s="1633"/>
      <c r="YL369" s="1633"/>
      <c r="YM369" s="1633"/>
      <c r="YN369" s="1633"/>
      <c r="YO369" s="1633"/>
      <c r="YP369" s="1633"/>
      <c r="YQ369" s="1633"/>
      <c r="YR369" s="1633"/>
      <c r="YS369" s="1633"/>
      <c r="YT369" s="1633"/>
      <c r="YU369" s="1633"/>
      <c r="YV369" s="1633"/>
      <c r="YW369" s="1633"/>
      <c r="YX369" s="1633"/>
      <c r="YY369" s="1633"/>
      <c r="YZ369" s="1633"/>
      <c r="ZA369" s="1633"/>
      <c r="ZB369" s="1633"/>
      <c r="ZC369" s="1633"/>
      <c r="ZD369" s="1633"/>
      <c r="ZE369" s="1633"/>
      <c r="ZF369" s="1633"/>
      <c r="ZG369" s="1633"/>
      <c r="ZH369" s="1633"/>
      <c r="ZI369" s="1633"/>
      <c r="ZJ369" s="1633"/>
      <c r="ZK369" s="1633"/>
      <c r="ZL369" s="1633"/>
      <c r="ZM369" s="1633"/>
      <c r="ZN369" s="1633"/>
      <c r="ZO369" s="1633"/>
      <c r="ZP369" s="1633"/>
      <c r="ZQ369" s="1633"/>
      <c r="ZR369" s="1633"/>
      <c r="ZS369" s="1633"/>
      <c r="ZT369" s="1633"/>
      <c r="ZU369" s="1633"/>
      <c r="ZV369" s="1633"/>
      <c r="ZW369" s="1633"/>
      <c r="ZX369" s="1633"/>
      <c r="ZY369" s="1633"/>
      <c r="ZZ369" s="1633"/>
      <c r="AAA369" s="1633"/>
      <c r="AAB369" s="1633"/>
      <c r="AAC369" s="1633"/>
      <c r="AAD369" s="1633"/>
      <c r="AAE369" s="1633"/>
      <c r="AAF369" s="1633"/>
      <c r="AAG369" s="1633"/>
      <c r="AAH369" s="1633"/>
      <c r="AAI369" s="1633"/>
      <c r="AAJ369" s="1633"/>
      <c r="AAK369" s="1633"/>
      <c r="AAL369" s="1633"/>
      <c r="AAM369" s="1633"/>
      <c r="AAN369" s="1633"/>
      <c r="AAO369" s="1633"/>
      <c r="AAP369" s="1633"/>
      <c r="AAQ369" s="1633"/>
      <c r="AAR369" s="1633"/>
      <c r="AAS369" s="1633"/>
      <c r="AAT369" s="1633"/>
      <c r="AAU369" s="1633"/>
      <c r="AAV369" s="1633"/>
      <c r="AAW369" s="1633"/>
      <c r="AAX369" s="1633"/>
      <c r="AAY369" s="1633"/>
      <c r="AAZ369" s="1633"/>
      <c r="ABA369" s="1633"/>
      <c r="ABB369" s="1633"/>
      <c r="ABC369" s="1633"/>
      <c r="ABD369" s="1633"/>
      <c r="ABE369" s="1633"/>
      <c r="ABF369" s="1633"/>
      <c r="ABG369" s="1633"/>
      <c r="ABH369" s="1633"/>
      <c r="ABI369" s="1633"/>
      <c r="ABJ369" s="1633"/>
      <c r="ABK369" s="1633"/>
      <c r="ABL369" s="1633"/>
      <c r="ABM369" s="1633"/>
      <c r="ABN369" s="1633"/>
      <c r="ABO369" s="1633"/>
      <c r="ABP369" s="1633"/>
      <c r="ABQ369" s="1633"/>
      <c r="ABR369" s="1633"/>
      <c r="ABS369" s="1633"/>
      <c r="ABT369" s="1633"/>
      <c r="ABU369" s="1633"/>
      <c r="ABV369" s="1633"/>
      <c r="ABW369" s="1633"/>
      <c r="ABX369" s="1633"/>
      <c r="ABY369" s="1633"/>
      <c r="ABZ369" s="1633"/>
      <c r="ACA369" s="1633"/>
      <c r="ACB369" s="1633"/>
      <c r="ACC369" s="1633"/>
      <c r="ACD369" s="1633"/>
      <c r="ACE369" s="1633"/>
      <c r="ACF369" s="1633"/>
      <c r="ACG369" s="1633"/>
      <c r="ACH369" s="1633"/>
      <c r="ACI369" s="1633"/>
      <c r="ACJ369" s="1633"/>
      <c r="ACK369" s="1633"/>
      <c r="ACL369" s="1633"/>
      <c r="ACM369" s="1633"/>
      <c r="ACN369" s="1633"/>
      <c r="ACO369" s="1633"/>
      <c r="ACP369" s="1633"/>
      <c r="ACQ369" s="1633"/>
      <c r="ACR369" s="1633"/>
      <c r="ACS369" s="1633"/>
      <c r="ACT369" s="1633"/>
      <c r="ACU369" s="1633"/>
      <c r="ACV369" s="1633"/>
      <c r="ACW369" s="1633"/>
      <c r="ACX369" s="1633"/>
      <c r="ACY369" s="1633"/>
      <c r="ACZ369" s="1633"/>
      <c r="ADA369" s="1633"/>
      <c r="ADB369" s="1633"/>
      <c r="ADC369" s="1633"/>
      <c r="ADD369" s="1633"/>
      <c r="ADE369" s="1633"/>
      <c r="ADF369" s="1633"/>
      <c r="ADG369" s="1633"/>
      <c r="ADH369" s="1633"/>
      <c r="ADI369" s="1633"/>
      <c r="ADJ369" s="1633"/>
      <c r="ADK369" s="1633"/>
      <c r="ADL369" s="1633"/>
      <c r="ADM369" s="1633"/>
      <c r="ADN369" s="1633"/>
      <c r="ADO369" s="1633"/>
      <c r="ADP369" s="1633"/>
      <c r="ADQ369" s="1633"/>
      <c r="ADR369" s="1633"/>
      <c r="ADS369" s="1633"/>
      <c r="ADT369" s="1633"/>
      <c r="ADU369" s="1633"/>
      <c r="ADV369" s="1633"/>
      <c r="ADW369" s="1633"/>
      <c r="ADX369" s="1633"/>
      <c r="ADY369" s="1633"/>
      <c r="ADZ369" s="1633"/>
      <c r="AEA369" s="1633"/>
      <c r="AEB369" s="1633"/>
      <c r="AEC369" s="1633"/>
      <c r="AED369" s="1633"/>
      <c r="AEE369" s="1633"/>
      <c r="AEF369" s="1633"/>
      <c r="AEG369" s="1633"/>
      <c r="AEH369" s="1633"/>
      <c r="AEI369" s="1633"/>
      <c r="AEJ369" s="1633"/>
      <c r="AEK369" s="1633"/>
      <c r="AEL369" s="1633"/>
      <c r="AEM369" s="1633"/>
      <c r="AEN369" s="1633"/>
      <c r="AEO369" s="1633"/>
      <c r="AEP369" s="1633"/>
      <c r="AEQ369" s="1633"/>
      <c r="AER369" s="1633"/>
      <c r="AES369" s="1633"/>
      <c r="AET369" s="1633"/>
      <c r="AEU369" s="1633"/>
      <c r="AEV369" s="1633"/>
      <c r="AEW369" s="1633"/>
      <c r="AEX369" s="1633"/>
      <c r="AEY369" s="1633"/>
      <c r="AEZ369" s="1633"/>
      <c r="AFA369" s="1633"/>
      <c r="AFB369" s="1633"/>
      <c r="AFC369" s="1633"/>
      <c r="AFD369" s="1633"/>
      <c r="AFE369" s="1633"/>
      <c r="AFF369" s="1633"/>
      <c r="AFG369" s="1633"/>
      <c r="AFH369" s="1633"/>
      <c r="AFI369" s="1633"/>
      <c r="AFJ369" s="1633"/>
      <c r="AFK369" s="1633"/>
      <c r="AFL369" s="1633"/>
      <c r="AFM369" s="1633"/>
      <c r="AFN369" s="1633"/>
      <c r="AFO369" s="1633"/>
      <c r="AFP369" s="1633"/>
      <c r="AFQ369" s="1633"/>
      <c r="AFR369" s="1633"/>
      <c r="AFS369" s="1633"/>
      <c r="AFT369" s="1633"/>
      <c r="AFU369" s="1633"/>
      <c r="AFV369" s="1633"/>
      <c r="AFW369" s="1633"/>
      <c r="AFX369" s="1633"/>
      <c r="AFY369" s="1633"/>
      <c r="AFZ369" s="1633"/>
      <c r="AGA369" s="1633"/>
      <c r="AGB369" s="1633"/>
      <c r="AGC369" s="1633"/>
      <c r="AGD369" s="1633"/>
      <c r="AGE369" s="1633"/>
      <c r="AGF369" s="1633"/>
      <c r="AGG369" s="1633"/>
      <c r="AGH369" s="1633"/>
      <c r="AGI369" s="1633"/>
      <c r="AGJ369" s="1633"/>
      <c r="AGK369" s="1633"/>
      <c r="AGL369" s="1633"/>
      <c r="AGM369" s="1633"/>
      <c r="AGN369" s="1633"/>
      <c r="AGO369" s="1633"/>
      <c r="AGP369" s="1633"/>
      <c r="AGQ369" s="1633"/>
      <c r="AGR369" s="1633"/>
      <c r="AGS369" s="1633"/>
      <c r="AGT369" s="1633"/>
      <c r="AGU369" s="1633"/>
      <c r="AGV369" s="1633"/>
      <c r="AGW369" s="1633"/>
      <c r="AGX369" s="1633"/>
      <c r="AGY369" s="1633"/>
      <c r="AGZ369" s="1633"/>
      <c r="AHA369" s="1633"/>
      <c r="AHB369" s="1633"/>
      <c r="AHC369" s="1633"/>
      <c r="AHD369" s="1633"/>
      <c r="AHE369" s="1633"/>
      <c r="AHF369" s="1633"/>
      <c r="AHG369" s="1633"/>
      <c r="AHH369" s="1633"/>
      <c r="AHI369" s="1633"/>
      <c r="AHJ369" s="1633"/>
      <c r="AHK369" s="1633"/>
      <c r="AHL369" s="1633"/>
      <c r="AHM369" s="1633"/>
      <c r="AHN369" s="1633"/>
      <c r="AHO369" s="1633"/>
      <c r="AHP369" s="1633"/>
      <c r="AHQ369" s="1633"/>
      <c r="AHR369" s="1633"/>
      <c r="AHS369" s="1633"/>
      <c r="AHT369" s="1633"/>
      <c r="AHU369" s="1633"/>
      <c r="AHV369" s="1633"/>
      <c r="AHW369" s="1633"/>
      <c r="AHX369" s="1633"/>
      <c r="AHY369" s="1633"/>
      <c r="AHZ369" s="1633"/>
      <c r="AIA369" s="1633"/>
      <c r="AIB369" s="1633"/>
      <c r="AIC369" s="1633"/>
      <c r="AID369" s="1633"/>
      <c r="AIE369" s="1633"/>
      <c r="AIF369" s="1633"/>
      <c r="AIG369" s="1633"/>
      <c r="AIH369" s="1633"/>
      <c r="AII369" s="1633"/>
      <c r="AIJ369" s="1633"/>
      <c r="AIK369" s="1633"/>
      <c r="AIL369" s="1633"/>
      <c r="AIM369" s="1633"/>
      <c r="AIN369" s="1633"/>
      <c r="AIO369" s="1633"/>
      <c r="AIP369" s="1633"/>
      <c r="AIQ369" s="1633"/>
      <c r="AIR369" s="1633"/>
      <c r="AIS369" s="1633"/>
      <c r="AIT369" s="1633"/>
      <c r="AIU369" s="1633"/>
      <c r="AIV369" s="1633"/>
      <c r="AIW369" s="1633"/>
      <c r="AIX369" s="1633"/>
      <c r="AIY369" s="1633"/>
      <c r="AIZ369" s="1633"/>
      <c r="AJA369" s="1633"/>
      <c r="AJB369" s="1633"/>
      <c r="AJC369" s="1633"/>
      <c r="AJD369" s="1633"/>
      <c r="AJE369" s="1633"/>
      <c r="AJF369" s="1633"/>
      <c r="AJG369" s="1633"/>
      <c r="AJH369" s="1633"/>
      <c r="AJI369" s="1633"/>
      <c r="AJJ369" s="1633"/>
      <c r="AJK369" s="1633"/>
      <c r="AJL369" s="1633"/>
      <c r="AJM369" s="1633"/>
      <c r="AJN369" s="1633"/>
      <c r="AJO369" s="1633"/>
      <c r="AJP369" s="1633"/>
      <c r="AJQ369" s="1633"/>
      <c r="AJR369" s="1633"/>
      <c r="AJS369" s="1633"/>
      <c r="AJT369" s="1633"/>
      <c r="AJU369" s="1633"/>
      <c r="AJV369" s="1633"/>
      <c r="AJW369" s="1633"/>
      <c r="AJX369" s="1633"/>
      <c r="AJY369" s="1633"/>
      <c r="AJZ369" s="1633"/>
      <c r="AKA369" s="1633"/>
      <c r="AKB369" s="1633"/>
      <c r="AKC369" s="1633"/>
      <c r="AKD369" s="1633"/>
      <c r="AKE369" s="1633"/>
      <c r="AKF369" s="1633"/>
      <c r="AKG369" s="1633"/>
      <c r="AKH369" s="1633"/>
      <c r="AKI369" s="1633"/>
      <c r="AKJ369" s="1633"/>
      <c r="AKK369" s="1633"/>
      <c r="AKL369" s="1633"/>
      <c r="AKM369" s="1633"/>
      <c r="AKN369" s="1633"/>
      <c r="AKO369" s="1633"/>
      <c r="AKP369" s="1633"/>
      <c r="AKQ369" s="1633"/>
      <c r="AKR369" s="1633"/>
      <c r="AKS369" s="1633"/>
      <c r="AKT369" s="1633"/>
      <c r="AKU369" s="1633"/>
      <c r="AKV369" s="1633"/>
      <c r="AKW369" s="1633"/>
      <c r="AKX369" s="1633"/>
      <c r="AKY369" s="1633"/>
      <c r="AKZ369" s="1633"/>
      <c r="ALA369" s="1633"/>
      <c r="ALB369" s="1633"/>
      <c r="ALC369" s="1633"/>
      <c r="ALD369" s="1633"/>
      <c r="ALE369" s="1633"/>
      <c r="ALF369" s="1633"/>
      <c r="ALG369" s="1633"/>
      <c r="ALH369" s="1633"/>
      <c r="ALI369" s="1633"/>
      <c r="ALJ369" s="1633"/>
      <c r="ALK369" s="1633"/>
      <c r="ALL369" s="1633"/>
      <c r="ALM369" s="1633"/>
      <c r="ALN369" s="1633"/>
      <c r="ALO369" s="1633"/>
      <c r="ALP369" s="1633"/>
      <c r="ALQ369" s="1633"/>
      <c r="ALR369" s="1633"/>
      <c r="ALS369" s="1633"/>
      <c r="ALT369" s="1633"/>
      <c r="ALU369" s="1633"/>
      <c r="ALV369" s="1633"/>
      <c r="ALW369" s="1633"/>
      <c r="ALX369" s="1633"/>
      <c r="ALY369" s="1633"/>
      <c r="ALZ369" s="1633"/>
    </row>
    <row r="370" spans="2:1014" s="82" customFormat="1" ht="20.100000000000001" customHeight="1" thickBot="1">
      <c r="B370" s="1044"/>
      <c r="C370" s="1439">
        <v>1</v>
      </c>
      <c r="D370" s="1417">
        <v>2</v>
      </c>
      <c r="E370" s="1417">
        <v>3</v>
      </c>
      <c r="F370" s="1417">
        <v>4</v>
      </c>
      <c r="G370" s="1417">
        <v>5</v>
      </c>
      <c r="H370" s="1417">
        <v>6</v>
      </c>
      <c r="I370" s="1440">
        <v>7</v>
      </c>
      <c r="J370" s="1440">
        <v>8</v>
      </c>
      <c r="K370" s="1440">
        <v>9</v>
      </c>
      <c r="L370" s="1440">
        <v>10</v>
      </c>
      <c r="M370" s="1440">
        <v>11</v>
      </c>
      <c r="N370" s="1440">
        <v>12</v>
      </c>
      <c r="O370" s="1440">
        <v>13</v>
      </c>
      <c r="P370" s="1440">
        <v>14</v>
      </c>
      <c r="Q370" s="1440">
        <v>15</v>
      </c>
      <c r="R370" s="1440">
        <v>16</v>
      </c>
      <c r="S370" s="1440">
        <v>17</v>
      </c>
      <c r="T370" s="1440">
        <v>18</v>
      </c>
      <c r="U370" s="1440">
        <v>19</v>
      </c>
      <c r="V370" s="1440">
        <v>20</v>
      </c>
      <c r="W370" s="1440">
        <v>21</v>
      </c>
      <c r="X370" s="1440">
        <v>22</v>
      </c>
      <c r="Y370" s="1440">
        <v>23</v>
      </c>
      <c r="Z370" s="1440">
        <v>24</v>
      </c>
      <c r="AA370" s="1440">
        <v>25</v>
      </c>
      <c r="AB370" s="1440">
        <v>26</v>
      </c>
      <c r="AC370" s="1440">
        <v>27</v>
      </c>
      <c r="AD370" s="1440">
        <v>28</v>
      </c>
      <c r="AE370" s="1440">
        <v>29</v>
      </c>
      <c r="AF370" s="1440">
        <v>30</v>
      </c>
      <c r="AG370" s="1440">
        <v>31</v>
      </c>
      <c r="AH370" s="1440">
        <v>32</v>
      </c>
      <c r="AI370" s="1440">
        <v>33</v>
      </c>
      <c r="AJ370" s="1440">
        <v>34</v>
      </c>
      <c r="AK370" s="1440">
        <v>35</v>
      </c>
      <c r="AL370" s="1440">
        <v>36</v>
      </c>
      <c r="AM370" s="1440">
        <v>37</v>
      </c>
      <c r="AN370" s="1440">
        <v>38</v>
      </c>
      <c r="AO370" s="1440">
        <v>39</v>
      </c>
      <c r="AP370" s="1440">
        <v>40</v>
      </c>
      <c r="AQ370" s="1440">
        <v>41</v>
      </c>
      <c r="AR370" s="1440">
        <v>42</v>
      </c>
      <c r="AS370" s="1440">
        <v>43</v>
      </c>
      <c r="AT370" s="1440">
        <v>44</v>
      </c>
      <c r="AU370" s="1440">
        <v>45</v>
      </c>
      <c r="AV370" s="1440">
        <v>46</v>
      </c>
      <c r="AW370" s="1440">
        <v>47</v>
      </c>
      <c r="AX370" s="1440">
        <v>48</v>
      </c>
      <c r="AY370" s="1440">
        <v>49</v>
      </c>
      <c r="AZ370" s="1440">
        <v>50</v>
      </c>
      <c r="BA370" s="1440">
        <v>51</v>
      </c>
      <c r="BB370" s="1440">
        <v>52</v>
      </c>
      <c r="BC370" s="1440">
        <v>53</v>
      </c>
      <c r="BD370" s="1440">
        <v>54</v>
      </c>
      <c r="BE370" s="1440">
        <v>55</v>
      </c>
      <c r="BF370" s="1440">
        <v>56</v>
      </c>
      <c r="BG370" s="1440">
        <v>57</v>
      </c>
      <c r="BH370" s="1440">
        <v>58</v>
      </c>
      <c r="BI370" s="1440">
        <v>59</v>
      </c>
      <c r="BJ370" s="1440">
        <v>60</v>
      </c>
      <c r="BK370" s="1440">
        <v>61</v>
      </c>
      <c r="BL370" s="1440">
        <v>62</v>
      </c>
      <c r="BM370" s="1440">
        <v>63</v>
      </c>
      <c r="BN370" s="1440">
        <v>64</v>
      </c>
      <c r="BO370" s="1440">
        <v>65</v>
      </c>
      <c r="BP370" s="1440">
        <v>66</v>
      </c>
      <c r="BQ370" s="1440">
        <v>67</v>
      </c>
      <c r="BR370" s="1440">
        <v>68</v>
      </c>
      <c r="BS370" s="1440">
        <v>69</v>
      </c>
      <c r="BT370" s="1440">
        <v>70</v>
      </c>
      <c r="BU370" s="1440">
        <v>71</v>
      </c>
      <c r="BV370" s="1440">
        <v>72</v>
      </c>
      <c r="BW370" s="1440">
        <v>73</v>
      </c>
      <c r="BX370" s="1440">
        <v>74</v>
      </c>
      <c r="BY370" s="1440">
        <v>75</v>
      </c>
      <c r="BZ370" s="1440">
        <v>76</v>
      </c>
      <c r="CA370" s="1440">
        <v>77</v>
      </c>
      <c r="CB370" s="1440">
        <v>78</v>
      </c>
      <c r="CC370" s="1440">
        <v>79</v>
      </c>
      <c r="CD370" s="1440">
        <v>80</v>
      </c>
      <c r="CE370" s="1440">
        <v>81</v>
      </c>
      <c r="CF370" s="1440">
        <v>82</v>
      </c>
      <c r="CG370" s="1440">
        <v>83</v>
      </c>
      <c r="CH370" s="1440">
        <v>84</v>
      </c>
      <c r="CI370" s="1440">
        <v>85</v>
      </c>
      <c r="CJ370" s="1440">
        <v>86</v>
      </c>
      <c r="CK370" s="1440">
        <v>87</v>
      </c>
      <c r="CL370" s="1440">
        <v>88</v>
      </c>
      <c r="CM370" s="1440">
        <v>89</v>
      </c>
      <c r="CN370" s="1440">
        <v>90</v>
      </c>
      <c r="CO370" s="1440">
        <v>91</v>
      </c>
      <c r="CP370" s="1440">
        <v>92</v>
      </c>
      <c r="CQ370" s="1440">
        <v>93</v>
      </c>
      <c r="CR370" s="1440">
        <v>94</v>
      </c>
      <c r="CS370" s="1440">
        <v>95</v>
      </c>
      <c r="CT370" s="1440">
        <v>96</v>
      </c>
      <c r="CU370" s="1440">
        <v>97</v>
      </c>
      <c r="CV370" s="1440">
        <v>98</v>
      </c>
      <c r="CW370" s="1440">
        <v>99</v>
      </c>
      <c r="CX370" s="1440">
        <v>100</v>
      </c>
      <c r="CY370" s="1440">
        <v>101</v>
      </c>
      <c r="CZ370" s="1440">
        <v>102</v>
      </c>
      <c r="DA370" s="1440">
        <v>103</v>
      </c>
      <c r="DB370" s="1440">
        <v>104</v>
      </c>
      <c r="DC370" s="1440">
        <v>105</v>
      </c>
      <c r="DD370" s="1440">
        <v>106</v>
      </c>
      <c r="DE370" s="1440">
        <v>107</v>
      </c>
      <c r="DF370" s="1440">
        <v>108</v>
      </c>
      <c r="DG370" s="1440">
        <v>109</v>
      </c>
      <c r="DH370" s="1440">
        <v>110</v>
      </c>
      <c r="DI370" s="1440">
        <v>111</v>
      </c>
      <c r="DJ370" s="1440">
        <v>112</v>
      </c>
      <c r="DK370" s="1440">
        <v>113</v>
      </c>
      <c r="DL370" s="1440">
        <v>114</v>
      </c>
      <c r="DM370" s="1440">
        <v>115</v>
      </c>
      <c r="DN370" s="1440">
        <v>116</v>
      </c>
      <c r="DO370" s="1440">
        <v>117</v>
      </c>
      <c r="DP370" s="1440">
        <v>118</v>
      </c>
      <c r="DQ370" s="1440">
        <v>119</v>
      </c>
      <c r="DR370" s="1440">
        <v>120</v>
      </c>
      <c r="DS370" s="1440">
        <v>121</v>
      </c>
      <c r="DT370" s="1440">
        <v>122</v>
      </c>
      <c r="DU370" s="1440">
        <v>123</v>
      </c>
      <c r="DV370" s="1440">
        <v>124</v>
      </c>
      <c r="DW370" s="1440">
        <v>125</v>
      </c>
      <c r="DX370" s="1440">
        <v>126</v>
      </c>
      <c r="DY370" s="1440">
        <v>127</v>
      </c>
      <c r="DZ370" s="1440">
        <v>128</v>
      </c>
      <c r="EA370" s="1440">
        <v>129</v>
      </c>
      <c r="EB370" s="1440">
        <v>130</v>
      </c>
      <c r="EC370" s="1440">
        <v>131</v>
      </c>
      <c r="ED370" s="1440">
        <v>132</v>
      </c>
      <c r="EE370" s="1440">
        <v>133</v>
      </c>
      <c r="EF370" s="1440">
        <v>134</v>
      </c>
      <c r="EG370" s="1440">
        <v>135</v>
      </c>
      <c r="EH370" s="1440">
        <v>136</v>
      </c>
      <c r="EI370" s="1440">
        <v>137</v>
      </c>
      <c r="EJ370" s="1440">
        <v>138</v>
      </c>
      <c r="EK370" s="1440">
        <v>139</v>
      </c>
      <c r="EL370" s="1440">
        <v>140</v>
      </c>
      <c r="EM370" s="1440">
        <v>141</v>
      </c>
      <c r="EN370" s="1440">
        <v>142</v>
      </c>
      <c r="EO370" s="1440">
        <v>143</v>
      </c>
      <c r="EP370" s="1440">
        <v>144</v>
      </c>
      <c r="EQ370" s="1440">
        <v>145</v>
      </c>
      <c r="ER370" s="1440">
        <v>146</v>
      </c>
      <c r="ES370" s="1440">
        <v>147</v>
      </c>
      <c r="ET370" s="1440">
        <v>148</v>
      </c>
      <c r="EU370" s="1440">
        <v>149</v>
      </c>
      <c r="EV370" s="1440">
        <v>150</v>
      </c>
      <c r="EW370" s="1440">
        <v>151</v>
      </c>
      <c r="EX370" s="1440">
        <v>152</v>
      </c>
      <c r="EY370" s="1440">
        <v>153</v>
      </c>
      <c r="EZ370" s="1440">
        <v>154</v>
      </c>
      <c r="FA370" s="1440">
        <v>155</v>
      </c>
      <c r="FB370" s="1440">
        <v>156</v>
      </c>
      <c r="FC370" s="1440">
        <v>157</v>
      </c>
      <c r="FD370" s="1440">
        <v>158</v>
      </c>
      <c r="FE370" s="1440">
        <v>159</v>
      </c>
      <c r="FF370" s="1440">
        <v>160</v>
      </c>
      <c r="FG370" s="1440">
        <v>161</v>
      </c>
      <c r="FH370" s="1440">
        <v>162</v>
      </c>
      <c r="FI370" s="1440">
        <v>163</v>
      </c>
      <c r="FJ370" s="1440">
        <v>164</v>
      </c>
      <c r="FK370" s="1440">
        <v>165</v>
      </c>
      <c r="FL370" s="1440">
        <v>166</v>
      </c>
      <c r="FM370" s="1440">
        <v>167</v>
      </c>
      <c r="FN370" s="1440">
        <v>168</v>
      </c>
      <c r="FO370" s="1440">
        <v>169</v>
      </c>
      <c r="FP370" s="1440">
        <v>170</v>
      </c>
      <c r="FQ370" s="1440">
        <v>171</v>
      </c>
      <c r="FR370" s="1440">
        <v>172</v>
      </c>
      <c r="FS370" s="1440">
        <v>173</v>
      </c>
      <c r="FT370" s="1440">
        <v>174</v>
      </c>
      <c r="FU370" s="1440">
        <v>175</v>
      </c>
      <c r="FV370" s="1440">
        <v>176</v>
      </c>
      <c r="FW370" s="1440">
        <v>177</v>
      </c>
      <c r="FX370" s="1440">
        <v>178</v>
      </c>
      <c r="FY370" s="1440">
        <v>179</v>
      </c>
      <c r="FZ370" s="1440">
        <v>180</v>
      </c>
      <c r="GA370" s="1440">
        <v>181</v>
      </c>
      <c r="GB370" s="1440">
        <v>182</v>
      </c>
      <c r="GC370" s="1440">
        <v>183</v>
      </c>
      <c r="GD370" s="1440">
        <v>184</v>
      </c>
      <c r="GE370" s="1440">
        <v>185</v>
      </c>
      <c r="GF370" s="1440">
        <v>186</v>
      </c>
      <c r="GG370" s="1440">
        <v>187</v>
      </c>
      <c r="GH370" s="1440">
        <v>188</v>
      </c>
      <c r="GI370" s="1440">
        <v>189</v>
      </c>
      <c r="GJ370" s="1440">
        <v>190</v>
      </c>
      <c r="GK370" s="1440">
        <v>191</v>
      </c>
      <c r="GL370" s="1440">
        <v>192</v>
      </c>
      <c r="GM370" s="1440">
        <v>193</v>
      </c>
      <c r="GN370" s="1440">
        <v>194</v>
      </c>
      <c r="GO370" s="1440">
        <v>195</v>
      </c>
      <c r="GP370" s="1440">
        <v>196</v>
      </c>
      <c r="GQ370" s="1440">
        <v>197</v>
      </c>
      <c r="GR370" s="1440">
        <v>198</v>
      </c>
      <c r="GS370" s="1440">
        <v>199</v>
      </c>
      <c r="GT370" s="1440">
        <v>200</v>
      </c>
      <c r="GU370" s="1440">
        <v>201</v>
      </c>
      <c r="GV370" s="1440">
        <v>202</v>
      </c>
      <c r="GW370" s="1440">
        <v>203</v>
      </c>
      <c r="GX370" s="1440">
        <v>204</v>
      </c>
      <c r="GY370" s="1440">
        <v>205</v>
      </c>
      <c r="GZ370" s="1440">
        <v>206</v>
      </c>
      <c r="HA370" s="1440">
        <v>207</v>
      </c>
      <c r="HB370" s="1440">
        <v>208</v>
      </c>
      <c r="HC370" s="1440">
        <v>209</v>
      </c>
      <c r="HD370" s="1440">
        <v>210</v>
      </c>
      <c r="HE370" s="1440">
        <v>211</v>
      </c>
      <c r="HF370" s="1440">
        <v>212</v>
      </c>
      <c r="HG370" s="1440">
        <v>213</v>
      </c>
      <c r="HH370" s="1440">
        <v>214</v>
      </c>
      <c r="HI370" s="1440">
        <v>215</v>
      </c>
      <c r="HJ370" s="1440">
        <v>216</v>
      </c>
      <c r="HK370" s="1440">
        <v>217</v>
      </c>
      <c r="HL370" s="1440">
        <v>218</v>
      </c>
      <c r="HM370" s="1440">
        <v>219</v>
      </c>
      <c r="HN370" s="1440">
        <v>220</v>
      </c>
      <c r="HO370" s="1440">
        <v>221</v>
      </c>
      <c r="HP370" s="1440">
        <v>222</v>
      </c>
      <c r="HQ370" s="1440">
        <v>223</v>
      </c>
      <c r="HR370" s="1440">
        <v>224</v>
      </c>
      <c r="HS370" s="1440">
        <v>225</v>
      </c>
      <c r="HT370" s="1440">
        <v>226</v>
      </c>
      <c r="HU370" s="1440">
        <v>227</v>
      </c>
      <c r="HV370" s="1440">
        <v>228</v>
      </c>
      <c r="HW370" s="1440">
        <v>229</v>
      </c>
      <c r="HX370" s="1440">
        <v>230</v>
      </c>
      <c r="HY370" s="1440">
        <v>231</v>
      </c>
      <c r="HZ370" s="1440">
        <v>232</v>
      </c>
      <c r="IA370" s="1440">
        <v>233</v>
      </c>
      <c r="IB370" s="1440">
        <v>234</v>
      </c>
      <c r="IC370" s="1440">
        <v>235</v>
      </c>
      <c r="ID370" s="1440">
        <v>236</v>
      </c>
      <c r="IE370" s="1440">
        <v>237</v>
      </c>
      <c r="IF370" s="1440">
        <v>238</v>
      </c>
      <c r="IG370" s="1440">
        <v>239</v>
      </c>
      <c r="IH370" s="1440">
        <v>240</v>
      </c>
      <c r="II370" s="1440">
        <v>241</v>
      </c>
      <c r="IJ370" s="1440">
        <v>242</v>
      </c>
      <c r="IK370" s="1440">
        <v>243</v>
      </c>
      <c r="IL370" s="1440">
        <v>244</v>
      </c>
      <c r="IM370" s="1440">
        <v>245</v>
      </c>
      <c r="IN370" s="1440">
        <v>246</v>
      </c>
      <c r="IO370" s="1440">
        <v>247</v>
      </c>
      <c r="IP370" s="1440">
        <v>248</v>
      </c>
      <c r="IQ370" s="1440">
        <v>249</v>
      </c>
      <c r="IR370" s="1440">
        <v>250</v>
      </c>
      <c r="IS370" s="1440">
        <v>251</v>
      </c>
      <c r="IT370" s="1440">
        <v>252</v>
      </c>
      <c r="IU370" s="1440">
        <v>253</v>
      </c>
      <c r="IV370" s="1440">
        <v>254</v>
      </c>
      <c r="IW370" s="1440">
        <v>255</v>
      </c>
      <c r="IX370" s="1440">
        <v>256</v>
      </c>
      <c r="IY370" s="1440">
        <v>257</v>
      </c>
      <c r="IZ370" s="1440">
        <v>258</v>
      </c>
      <c r="JA370" s="1440">
        <v>259</v>
      </c>
      <c r="JB370" s="1440">
        <v>260</v>
      </c>
      <c r="JC370" s="1440">
        <v>261</v>
      </c>
      <c r="JD370" s="1440">
        <v>262</v>
      </c>
      <c r="JE370" s="1440">
        <v>263</v>
      </c>
      <c r="JF370" s="1440">
        <v>264</v>
      </c>
      <c r="JG370" s="1440">
        <v>265</v>
      </c>
      <c r="JH370" s="1440">
        <v>266</v>
      </c>
      <c r="JI370" s="1440">
        <v>267</v>
      </c>
      <c r="JJ370" s="1440">
        <v>268</v>
      </c>
      <c r="JK370" s="1440">
        <v>269</v>
      </c>
      <c r="JL370" s="1440">
        <v>270</v>
      </c>
      <c r="JM370" s="1440">
        <v>271</v>
      </c>
      <c r="JN370" s="1440">
        <v>272</v>
      </c>
      <c r="JO370" s="1440">
        <v>273</v>
      </c>
      <c r="JP370" s="1440">
        <v>274</v>
      </c>
      <c r="JQ370" s="1440">
        <v>275</v>
      </c>
      <c r="JR370" s="1440">
        <v>276</v>
      </c>
      <c r="JS370" s="1440">
        <v>277</v>
      </c>
      <c r="JT370" s="1440">
        <v>278</v>
      </c>
      <c r="JU370" s="1440">
        <v>279</v>
      </c>
      <c r="JV370" s="1440">
        <v>280</v>
      </c>
      <c r="JW370" s="1440">
        <v>281</v>
      </c>
      <c r="JX370" s="1440">
        <v>282</v>
      </c>
      <c r="JY370" s="1440">
        <v>283</v>
      </c>
      <c r="JZ370" s="1440">
        <v>284</v>
      </c>
      <c r="KA370" s="1440">
        <v>285</v>
      </c>
      <c r="KB370" s="1440">
        <v>286</v>
      </c>
      <c r="KC370" s="1440">
        <v>287</v>
      </c>
      <c r="KD370" s="1440">
        <v>288</v>
      </c>
      <c r="KE370" s="1440">
        <v>289</v>
      </c>
      <c r="KF370" s="1440">
        <v>290</v>
      </c>
      <c r="KG370" s="1440">
        <v>291</v>
      </c>
      <c r="KH370" s="1440">
        <v>292</v>
      </c>
      <c r="KI370" s="1440">
        <v>293</v>
      </c>
      <c r="KJ370" s="1440">
        <v>294</v>
      </c>
      <c r="KK370" s="1440">
        <v>295</v>
      </c>
      <c r="KL370" s="1440">
        <v>296</v>
      </c>
      <c r="KM370" s="1440">
        <v>297</v>
      </c>
      <c r="KN370" s="1440">
        <v>298</v>
      </c>
      <c r="KO370" s="1440">
        <v>299</v>
      </c>
      <c r="KP370" s="1440">
        <v>300</v>
      </c>
      <c r="KQ370" s="1440">
        <v>301</v>
      </c>
      <c r="KR370" s="1440">
        <v>302</v>
      </c>
      <c r="KS370" s="1440">
        <v>303</v>
      </c>
      <c r="KT370" s="1440">
        <v>304</v>
      </c>
      <c r="KU370" s="1440">
        <v>305</v>
      </c>
      <c r="KV370" s="1440">
        <v>306</v>
      </c>
      <c r="KW370" s="1440">
        <v>307</v>
      </c>
      <c r="KX370" s="1440">
        <v>308</v>
      </c>
      <c r="KY370" s="1440">
        <v>309</v>
      </c>
      <c r="KZ370" s="1440">
        <v>310</v>
      </c>
      <c r="LA370" s="1440">
        <v>311</v>
      </c>
      <c r="LB370" s="1440">
        <v>312</v>
      </c>
      <c r="LC370" s="1440">
        <v>313</v>
      </c>
      <c r="LD370" s="1440">
        <v>314</v>
      </c>
      <c r="LE370" s="1440">
        <v>315</v>
      </c>
      <c r="LF370" s="1440">
        <v>316</v>
      </c>
      <c r="LG370" s="1440">
        <v>317</v>
      </c>
      <c r="LH370" s="1440">
        <v>318</v>
      </c>
      <c r="LI370" s="1440">
        <v>319</v>
      </c>
      <c r="LJ370" s="1440">
        <v>320</v>
      </c>
      <c r="LK370" s="1440">
        <v>321</v>
      </c>
      <c r="LL370" s="1440">
        <v>322</v>
      </c>
      <c r="LM370" s="1440">
        <v>323</v>
      </c>
      <c r="LN370" s="1440">
        <v>324</v>
      </c>
      <c r="LO370" s="1440">
        <v>325</v>
      </c>
      <c r="LP370" s="1440">
        <v>326</v>
      </c>
      <c r="LQ370" s="1440">
        <v>327</v>
      </c>
      <c r="LR370" s="1440">
        <v>328</v>
      </c>
      <c r="LS370" s="1440">
        <v>329</v>
      </c>
      <c r="LT370" s="1440">
        <v>330</v>
      </c>
      <c r="LU370" s="1440">
        <v>331</v>
      </c>
      <c r="LV370" s="1440">
        <v>332</v>
      </c>
      <c r="LW370" s="1440">
        <v>333</v>
      </c>
      <c r="LX370" s="1440">
        <v>334</v>
      </c>
      <c r="LY370" s="1440">
        <v>335</v>
      </c>
      <c r="LZ370" s="1440">
        <v>336</v>
      </c>
      <c r="MA370" s="1440">
        <v>337</v>
      </c>
      <c r="MB370" s="1440">
        <v>338</v>
      </c>
      <c r="MC370" s="1440">
        <v>339</v>
      </c>
      <c r="MD370" s="1440">
        <v>340</v>
      </c>
      <c r="ME370" s="1440">
        <v>341</v>
      </c>
      <c r="MF370" s="1440">
        <v>342</v>
      </c>
      <c r="MG370" s="1440">
        <v>343</v>
      </c>
      <c r="MH370" s="1440">
        <v>344</v>
      </c>
      <c r="MI370" s="1440">
        <v>345</v>
      </c>
      <c r="MJ370" s="1440">
        <v>346</v>
      </c>
      <c r="MK370" s="1440">
        <v>347</v>
      </c>
      <c r="ML370" s="1440">
        <v>348</v>
      </c>
      <c r="MM370" s="1440">
        <v>349</v>
      </c>
      <c r="MN370" s="1440">
        <v>350</v>
      </c>
      <c r="MO370" s="1440">
        <v>351</v>
      </c>
      <c r="MP370" s="1440">
        <v>352</v>
      </c>
      <c r="MQ370" s="1440">
        <v>353</v>
      </c>
      <c r="MR370" s="1440">
        <v>354</v>
      </c>
      <c r="MS370" s="1440">
        <v>355</v>
      </c>
      <c r="MT370" s="1440">
        <v>356</v>
      </c>
      <c r="MU370" s="1440">
        <v>357</v>
      </c>
      <c r="MV370" s="1440">
        <v>358</v>
      </c>
      <c r="MW370" s="1440">
        <v>359</v>
      </c>
      <c r="MX370" s="1440">
        <v>360</v>
      </c>
      <c r="MY370" s="1440">
        <v>361</v>
      </c>
      <c r="MZ370" s="1440">
        <v>362</v>
      </c>
      <c r="NA370" s="1440">
        <v>363</v>
      </c>
      <c r="NB370" s="1440">
        <v>364</v>
      </c>
      <c r="NC370" s="1440">
        <v>365</v>
      </c>
      <c r="ND370" s="1440">
        <v>366</v>
      </c>
      <c r="NE370" s="1440">
        <v>367</v>
      </c>
      <c r="NF370" s="1440">
        <v>368</v>
      </c>
      <c r="NG370" s="1440">
        <v>369</v>
      </c>
      <c r="NH370" s="1440">
        <v>370</v>
      </c>
      <c r="NI370" s="1440">
        <v>371</v>
      </c>
      <c r="NJ370" s="1440">
        <v>372</v>
      </c>
      <c r="NK370" s="1440">
        <v>373</v>
      </c>
      <c r="NL370" s="1440">
        <v>374</v>
      </c>
      <c r="NM370" s="1440">
        <v>375</v>
      </c>
      <c r="NN370" s="1440">
        <v>376</v>
      </c>
      <c r="NO370" s="1440">
        <v>377</v>
      </c>
      <c r="NP370" s="1440">
        <v>378</v>
      </c>
      <c r="NQ370" s="1440">
        <v>379</v>
      </c>
      <c r="NR370" s="1440">
        <v>380</v>
      </c>
      <c r="NS370" s="1440">
        <v>381</v>
      </c>
      <c r="NT370" s="1440">
        <v>382</v>
      </c>
      <c r="NU370" s="1440">
        <v>383</v>
      </c>
      <c r="NV370" s="1440">
        <v>384</v>
      </c>
      <c r="NW370" s="1440">
        <v>385</v>
      </c>
      <c r="NX370" s="1440">
        <v>386</v>
      </c>
      <c r="NY370" s="1440">
        <v>387</v>
      </c>
      <c r="NZ370" s="1440">
        <v>388</v>
      </c>
      <c r="OA370" s="1440">
        <v>389</v>
      </c>
      <c r="OB370" s="1440">
        <v>390</v>
      </c>
      <c r="OC370" s="1440">
        <v>391</v>
      </c>
      <c r="OD370" s="1440">
        <v>392</v>
      </c>
      <c r="OE370" s="1440">
        <v>393</v>
      </c>
      <c r="OF370" s="1440">
        <v>394</v>
      </c>
      <c r="OG370" s="1440">
        <v>395</v>
      </c>
      <c r="OH370" s="1440">
        <v>396</v>
      </c>
      <c r="OI370" s="1440">
        <v>397</v>
      </c>
      <c r="OJ370" s="1440">
        <v>398</v>
      </c>
      <c r="OK370" s="1440">
        <v>399</v>
      </c>
      <c r="OL370" s="1440">
        <v>400</v>
      </c>
      <c r="OM370" s="1440">
        <v>401</v>
      </c>
      <c r="ON370" s="1440">
        <v>402</v>
      </c>
      <c r="OO370" s="1440">
        <v>403</v>
      </c>
      <c r="OP370" s="1440">
        <v>404</v>
      </c>
      <c r="OQ370" s="1440">
        <v>405</v>
      </c>
      <c r="OR370" s="1440">
        <v>406</v>
      </c>
      <c r="OS370" s="1440">
        <v>407</v>
      </c>
      <c r="OT370" s="1440">
        <v>408</v>
      </c>
      <c r="OU370" s="1440">
        <v>409</v>
      </c>
      <c r="OV370" s="1440">
        <v>410</v>
      </c>
      <c r="OW370" s="1440">
        <v>411</v>
      </c>
      <c r="OX370" s="1440">
        <v>412</v>
      </c>
      <c r="OY370" s="1440">
        <v>413</v>
      </c>
      <c r="OZ370" s="1440">
        <v>414</v>
      </c>
      <c r="PA370" s="1440">
        <v>415</v>
      </c>
      <c r="PB370" s="1440">
        <v>416</v>
      </c>
      <c r="PC370" s="1440">
        <v>417</v>
      </c>
      <c r="PD370" s="1440">
        <v>418</v>
      </c>
      <c r="PE370" s="1440">
        <v>419</v>
      </c>
      <c r="PF370" s="1440">
        <v>420</v>
      </c>
      <c r="PG370" s="1440">
        <v>421</v>
      </c>
      <c r="PH370" s="1440">
        <v>422</v>
      </c>
      <c r="PI370" s="1440">
        <v>423</v>
      </c>
      <c r="PJ370" s="1440">
        <v>424</v>
      </c>
      <c r="PK370" s="1440">
        <v>425</v>
      </c>
      <c r="PL370" s="1440">
        <v>426</v>
      </c>
      <c r="PM370" s="1440">
        <v>427</v>
      </c>
      <c r="PN370" s="1440">
        <v>428</v>
      </c>
      <c r="PO370" s="1440">
        <v>429</v>
      </c>
      <c r="PP370" s="1440">
        <v>430</v>
      </c>
      <c r="PQ370" s="1440">
        <v>431</v>
      </c>
      <c r="PR370" s="1440">
        <v>432</v>
      </c>
      <c r="PS370" s="1440">
        <v>433</v>
      </c>
      <c r="PT370" s="1440">
        <v>434</v>
      </c>
      <c r="PU370" s="1440">
        <v>435</v>
      </c>
      <c r="PV370" s="1440">
        <v>436</v>
      </c>
      <c r="PW370" s="1440">
        <v>437</v>
      </c>
      <c r="PX370" s="1440">
        <v>438</v>
      </c>
      <c r="PY370" s="1440">
        <v>439</v>
      </c>
      <c r="PZ370" s="1440">
        <v>440</v>
      </c>
      <c r="QA370" s="1440">
        <v>441</v>
      </c>
      <c r="QB370" s="1440">
        <v>442</v>
      </c>
      <c r="QC370" s="1440">
        <v>443</v>
      </c>
      <c r="QD370" s="1440">
        <v>444</v>
      </c>
      <c r="QE370" s="1440">
        <v>445</v>
      </c>
      <c r="QF370" s="1440">
        <v>446</v>
      </c>
      <c r="QG370" s="1440">
        <v>447</v>
      </c>
      <c r="QH370" s="1440">
        <v>448</v>
      </c>
      <c r="QI370" s="1440">
        <v>449</v>
      </c>
      <c r="QJ370" s="1440">
        <v>450</v>
      </c>
      <c r="QK370" s="1440">
        <v>451</v>
      </c>
      <c r="QL370" s="1440">
        <v>452</v>
      </c>
      <c r="QM370" s="1440">
        <v>453</v>
      </c>
      <c r="QN370" s="1440">
        <v>454</v>
      </c>
      <c r="QO370" s="1440">
        <v>455</v>
      </c>
      <c r="QP370" s="1440">
        <v>456</v>
      </c>
      <c r="QQ370" s="1440">
        <v>457</v>
      </c>
      <c r="QR370" s="1440">
        <v>458</v>
      </c>
      <c r="QS370" s="1440">
        <v>459</v>
      </c>
      <c r="QT370" s="1440">
        <v>460</v>
      </c>
      <c r="QU370" s="1440">
        <v>461</v>
      </c>
      <c r="QV370" s="1440">
        <v>462</v>
      </c>
      <c r="QW370" s="1440">
        <v>463</v>
      </c>
      <c r="QX370" s="1440">
        <v>464</v>
      </c>
      <c r="QY370" s="1440">
        <v>465</v>
      </c>
      <c r="QZ370" s="1440">
        <v>466</v>
      </c>
      <c r="RA370" s="1440">
        <v>467</v>
      </c>
      <c r="RB370" s="1440">
        <v>468</v>
      </c>
      <c r="RC370" s="1440">
        <v>469</v>
      </c>
      <c r="RD370" s="1440">
        <v>470</v>
      </c>
      <c r="RE370" s="1440">
        <v>471</v>
      </c>
      <c r="RF370" s="1440">
        <v>472</v>
      </c>
      <c r="RG370" s="1440">
        <v>473</v>
      </c>
      <c r="RH370" s="1440">
        <v>474</v>
      </c>
      <c r="RI370" s="1440">
        <v>475</v>
      </c>
      <c r="RJ370" s="1440">
        <v>476</v>
      </c>
      <c r="RK370" s="1440">
        <v>477</v>
      </c>
      <c r="RL370" s="1440">
        <v>478</v>
      </c>
      <c r="RM370" s="1440">
        <v>479</v>
      </c>
      <c r="RN370" s="1440">
        <v>480</v>
      </c>
      <c r="RO370" s="1440">
        <v>481</v>
      </c>
      <c r="RP370" s="1440">
        <v>482</v>
      </c>
      <c r="RQ370" s="1440">
        <v>483</v>
      </c>
      <c r="RR370" s="1440">
        <v>484</v>
      </c>
      <c r="RS370" s="1440">
        <v>485</v>
      </c>
      <c r="RT370" s="1440">
        <v>486</v>
      </c>
      <c r="RU370" s="1440">
        <v>487</v>
      </c>
      <c r="RV370" s="1440">
        <v>488</v>
      </c>
      <c r="RW370" s="1440">
        <v>489</v>
      </c>
      <c r="RX370" s="1440">
        <v>490</v>
      </c>
      <c r="RY370" s="1440">
        <v>491</v>
      </c>
      <c r="RZ370" s="1440">
        <v>492</v>
      </c>
      <c r="SA370" s="1440">
        <v>493</v>
      </c>
      <c r="SB370" s="1440">
        <v>494</v>
      </c>
      <c r="SC370" s="1440">
        <v>495</v>
      </c>
      <c r="SD370" s="1440">
        <v>496</v>
      </c>
      <c r="SE370" s="1440">
        <v>497</v>
      </c>
      <c r="SF370" s="1440">
        <v>498</v>
      </c>
      <c r="SG370" s="1440">
        <v>499</v>
      </c>
      <c r="SH370" s="1440">
        <v>500</v>
      </c>
      <c r="SI370" s="1440">
        <v>501</v>
      </c>
      <c r="SJ370" s="1440">
        <v>502</v>
      </c>
      <c r="SK370" s="1440">
        <v>503</v>
      </c>
      <c r="SL370" s="1440">
        <v>504</v>
      </c>
      <c r="SM370" s="1440">
        <v>505</v>
      </c>
      <c r="SN370" s="1440">
        <v>506</v>
      </c>
      <c r="SO370" s="1440">
        <v>507</v>
      </c>
      <c r="SP370" s="1440">
        <v>508</v>
      </c>
      <c r="SQ370" s="1440">
        <v>509</v>
      </c>
      <c r="SR370" s="1440">
        <v>510</v>
      </c>
      <c r="SS370" s="1440">
        <v>511</v>
      </c>
      <c r="ST370" s="1440">
        <v>512</v>
      </c>
      <c r="SU370" s="1440">
        <v>513</v>
      </c>
      <c r="SV370" s="1440">
        <v>514</v>
      </c>
      <c r="SW370" s="1440">
        <v>515</v>
      </c>
      <c r="SX370" s="1440">
        <v>516</v>
      </c>
      <c r="SY370" s="1440">
        <v>517</v>
      </c>
      <c r="SZ370" s="1440">
        <v>518</v>
      </c>
      <c r="TA370" s="1440">
        <v>519</v>
      </c>
      <c r="TB370" s="1440">
        <v>520</v>
      </c>
      <c r="TC370" s="1440">
        <v>521</v>
      </c>
      <c r="TD370" s="1440">
        <v>522</v>
      </c>
      <c r="TE370" s="1440">
        <v>523</v>
      </c>
      <c r="TF370" s="1440">
        <v>524</v>
      </c>
      <c r="TG370" s="1440">
        <v>525</v>
      </c>
      <c r="TH370" s="1440">
        <v>526</v>
      </c>
      <c r="TI370" s="1440">
        <v>527</v>
      </c>
      <c r="TJ370" s="1440">
        <v>528</v>
      </c>
      <c r="TK370" s="1440">
        <v>529</v>
      </c>
      <c r="TL370" s="1440">
        <v>530</v>
      </c>
      <c r="TM370" s="1440">
        <v>531</v>
      </c>
      <c r="TN370" s="1440">
        <v>532</v>
      </c>
      <c r="TO370" s="1440">
        <v>533</v>
      </c>
      <c r="TP370" s="1440">
        <v>534</v>
      </c>
      <c r="TQ370" s="1440">
        <v>535</v>
      </c>
      <c r="TR370" s="1440">
        <v>536</v>
      </c>
      <c r="TS370" s="1440">
        <v>537</v>
      </c>
      <c r="TT370" s="1440">
        <v>538</v>
      </c>
      <c r="TU370" s="1440">
        <v>539</v>
      </c>
      <c r="TV370" s="1440">
        <v>540</v>
      </c>
      <c r="TW370" s="1440">
        <v>541</v>
      </c>
      <c r="TX370" s="1440">
        <v>542</v>
      </c>
      <c r="TY370" s="1440">
        <v>543</v>
      </c>
      <c r="TZ370" s="1440">
        <v>544</v>
      </c>
      <c r="UA370" s="1440">
        <v>545</v>
      </c>
      <c r="UB370" s="1440">
        <v>546</v>
      </c>
      <c r="UC370" s="1440">
        <v>547</v>
      </c>
      <c r="UD370" s="1440">
        <v>548</v>
      </c>
      <c r="UE370" s="1440">
        <v>549</v>
      </c>
      <c r="UF370" s="1440">
        <v>550</v>
      </c>
      <c r="UG370" s="1440">
        <v>551</v>
      </c>
      <c r="UH370" s="1440">
        <v>552</v>
      </c>
      <c r="UI370" s="1440">
        <v>553</v>
      </c>
      <c r="UJ370" s="1440">
        <v>554</v>
      </c>
      <c r="UK370" s="1440">
        <v>555</v>
      </c>
      <c r="UL370" s="1440">
        <v>556</v>
      </c>
      <c r="UM370" s="1440">
        <v>557</v>
      </c>
      <c r="UN370" s="1440">
        <v>558</v>
      </c>
      <c r="UO370" s="1440">
        <v>559</v>
      </c>
      <c r="UP370" s="1440">
        <v>560</v>
      </c>
      <c r="UQ370" s="1440">
        <v>561</v>
      </c>
      <c r="UR370" s="1440">
        <v>562</v>
      </c>
      <c r="US370" s="1440">
        <v>563</v>
      </c>
      <c r="UT370" s="1440">
        <v>564</v>
      </c>
      <c r="UU370" s="1440">
        <v>565</v>
      </c>
      <c r="UV370" s="1440">
        <v>566</v>
      </c>
      <c r="UW370" s="1440">
        <v>567</v>
      </c>
      <c r="UX370" s="1440">
        <v>568</v>
      </c>
      <c r="UY370" s="1440">
        <v>569</v>
      </c>
      <c r="UZ370" s="1440">
        <v>570</v>
      </c>
      <c r="VA370" s="1440">
        <v>571</v>
      </c>
      <c r="VB370" s="1440">
        <v>572</v>
      </c>
      <c r="VC370" s="1440">
        <v>573</v>
      </c>
      <c r="VD370" s="1440">
        <v>574</v>
      </c>
      <c r="VE370" s="1440">
        <v>575</v>
      </c>
      <c r="VF370" s="1440">
        <v>576</v>
      </c>
      <c r="VG370" s="1440">
        <v>577</v>
      </c>
      <c r="VH370" s="1440">
        <v>578</v>
      </c>
      <c r="VI370" s="1440">
        <v>579</v>
      </c>
      <c r="VJ370" s="1440">
        <v>580</v>
      </c>
      <c r="VK370" s="1440">
        <v>581</v>
      </c>
      <c r="VL370" s="1440">
        <v>582</v>
      </c>
      <c r="VM370" s="1440">
        <v>583</v>
      </c>
      <c r="VN370" s="1440">
        <v>584</v>
      </c>
      <c r="VO370" s="1440">
        <v>585</v>
      </c>
      <c r="VP370" s="1440">
        <v>586</v>
      </c>
      <c r="VQ370" s="1440">
        <v>587</v>
      </c>
      <c r="VR370" s="1440">
        <v>588</v>
      </c>
      <c r="VS370" s="1440">
        <v>589</v>
      </c>
      <c r="VT370" s="1440">
        <v>590</v>
      </c>
      <c r="VU370" s="1440">
        <v>591</v>
      </c>
      <c r="VV370" s="1440">
        <v>592</v>
      </c>
      <c r="VW370" s="1440">
        <v>593</v>
      </c>
      <c r="VX370" s="1440">
        <v>594</v>
      </c>
      <c r="VY370" s="1440">
        <v>595</v>
      </c>
      <c r="VZ370" s="1440">
        <v>596</v>
      </c>
      <c r="WA370" s="1440">
        <v>597</v>
      </c>
      <c r="WB370" s="1440">
        <v>598</v>
      </c>
      <c r="WC370" s="1440">
        <v>599</v>
      </c>
      <c r="WD370" s="1440">
        <v>600</v>
      </c>
      <c r="WE370" s="1440">
        <v>601</v>
      </c>
      <c r="WF370" s="1440">
        <v>602</v>
      </c>
      <c r="WG370" s="1440">
        <v>603</v>
      </c>
      <c r="WH370" s="1440">
        <v>604</v>
      </c>
      <c r="WI370" s="1440">
        <v>605</v>
      </c>
      <c r="WJ370" s="1440">
        <v>606</v>
      </c>
      <c r="WK370" s="1440">
        <v>607</v>
      </c>
      <c r="WL370" s="1440">
        <v>608</v>
      </c>
      <c r="WM370" s="1440">
        <v>609</v>
      </c>
      <c r="WN370" s="1440">
        <v>610</v>
      </c>
      <c r="WO370" s="1440">
        <v>611</v>
      </c>
      <c r="WP370" s="1440">
        <v>612</v>
      </c>
      <c r="WQ370" s="1440">
        <v>613</v>
      </c>
      <c r="WR370" s="1440">
        <v>614</v>
      </c>
      <c r="WS370" s="1440">
        <v>615</v>
      </c>
      <c r="WT370" s="1440">
        <v>616</v>
      </c>
      <c r="WU370" s="1440">
        <v>617</v>
      </c>
      <c r="WV370" s="1440">
        <v>618</v>
      </c>
      <c r="WW370" s="1440">
        <v>619</v>
      </c>
      <c r="WX370" s="1440">
        <v>620</v>
      </c>
      <c r="WY370" s="1440">
        <v>621</v>
      </c>
      <c r="WZ370" s="1440">
        <v>622</v>
      </c>
      <c r="XA370" s="1440">
        <v>623</v>
      </c>
      <c r="XB370" s="1440">
        <v>624</v>
      </c>
      <c r="XC370" s="1440">
        <v>625</v>
      </c>
      <c r="XD370" s="1440">
        <v>626</v>
      </c>
      <c r="XE370" s="1440">
        <v>627</v>
      </c>
      <c r="XF370" s="1440">
        <v>628</v>
      </c>
      <c r="XG370" s="1440">
        <v>629</v>
      </c>
      <c r="XH370" s="1440">
        <v>630</v>
      </c>
      <c r="XI370" s="1440">
        <v>631</v>
      </c>
      <c r="XJ370" s="1440">
        <v>632</v>
      </c>
      <c r="XK370" s="1440">
        <v>633</v>
      </c>
      <c r="XL370" s="1440">
        <v>634</v>
      </c>
      <c r="XM370" s="1440">
        <v>635</v>
      </c>
      <c r="XN370" s="1440">
        <v>636</v>
      </c>
      <c r="XO370" s="1440">
        <v>637</v>
      </c>
      <c r="XP370" s="1440">
        <v>638</v>
      </c>
      <c r="XQ370" s="1440">
        <v>639</v>
      </c>
      <c r="XR370" s="1440">
        <v>640</v>
      </c>
      <c r="XS370" s="1440">
        <v>641</v>
      </c>
      <c r="XT370" s="1440">
        <v>642</v>
      </c>
      <c r="XU370" s="1440">
        <v>643</v>
      </c>
      <c r="XV370" s="1440">
        <v>644</v>
      </c>
      <c r="XW370" s="1440">
        <v>645</v>
      </c>
      <c r="XX370" s="1440">
        <v>646</v>
      </c>
      <c r="XY370" s="1440">
        <v>647</v>
      </c>
      <c r="XZ370" s="1440">
        <v>648</v>
      </c>
      <c r="YA370" s="1440">
        <v>649</v>
      </c>
      <c r="YB370" s="1440">
        <v>650</v>
      </c>
      <c r="YC370" s="1440">
        <v>651</v>
      </c>
      <c r="YD370" s="1440">
        <v>652</v>
      </c>
      <c r="YE370" s="1440">
        <v>653</v>
      </c>
      <c r="YF370" s="1440">
        <v>654</v>
      </c>
      <c r="YG370" s="1440">
        <v>655</v>
      </c>
      <c r="YH370" s="1440">
        <v>656</v>
      </c>
      <c r="YI370" s="1440">
        <v>657</v>
      </c>
      <c r="YJ370" s="1440">
        <v>658</v>
      </c>
      <c r="YK370" s="1440">
        <v>659</v>
      </c>
      <c r="YL370" s="1440">
        <v>660</v>
      </c>
      <c r="YM370" s="1440">
        <v>661</v>
      </c>
      <c r="YN370" s="1440">
        <v>662</v>
      </c>
      <c r="YO370" s="1440">
        <v>663</v>
      </c>
      <c r="YP370" s="1440">
        <v>664</v>
      </c>
      <c r="YQ370" s="1440">
        <v>665</v>
      </c>
      <c r="YR370" s="1440">
        <v>666</v>
      </c>
      <c r="YS370" s="1440">
        <v>667</v>
      </c>
      <c r="YT370" s="1440">
        <v>668</v>
      </c>
      <c r="YU370" s="1440">
        <v>669</v>
      </c>
      <c r="YV370" s="1440">
        <v>670</v>
      </c>
      <c r="YW370" s="1440">
        <v>671</v>
      </c>
      <c r="YX370" s="1440">
        <v>672</v>
      </c>
      <c r="YY370" s="1440">
        <v>673</v>
      </c>
      <c r="YZ370" s="1440">
        <v>674</v>
      </c>
      <c r="ZA370" s="1440">
        <v>675</v>
      </c>
      <c r="ZB370" s="1440">
        <v>676</v>
      </c>
      <c r="ZC370" s="1440">
        <v>677</v>
      </c>
      <c r="ZD370" s="1440">
        <v>678</v>
      </c>
      <c r="ZE370" s="1440">
        <v>679</v>
      </c>
      <c r="ZF370" s="1440">
        <v>680</v>
      </c>
      <c r="ZG370" s="1440">
        <v>681</v>
      </c>
      <c r="ZH370" s="1440">
        <v>682</v>
      </c>
      <c r="ZI370" s="1440">
        <v>683</v>
      </c>
      <c r="ZJ370" s="1440">
        <v>684</v>
      </c>
      <c r="ZK370" s="1440">
        <v>685</v>
      </c>
      <c r="ZL370" s="1440">
        <v>686</v>
      </c>
      <c r="ZM370" s="1440">
        <v>687</v>
      </c>
      <c r="ZN370" s="1440">
        <v>688</v>
      </c>
      <c r="ZO370" s="1440">
        <v>689</v>
      </c>
      <c r="ZP370" s="1440">
        <v>690</v>
      </c>
      <c r="ZQ370" s="1440">
        <v>691</v>
      </c>
      <c r="ZR370" s="1440">
        <v>692</v>
      </c>
      <c r="ZS370" s="1440">
        <v>693</v>
      </c>
      <c r="ZT370" s="1440">
        <v>694</v>
      </c>
      <c r="ZU370" s="1440">
        <v>695</v>
      </c>
      <c r="ZV370" s="1440">
        <v>696</v>
      </c>
      <c r="ZW370" s="1440">
        <v>697</v>
      </c>
      <c r="ZX370" s="1440">
        <v>698</v>
      </c>
      <c r="ZY370" s="1440">
        <v>699</v>
      </c>
      <c r="ZZ370" s="1440">
        <v>700</v>
      </c>
      <c r="AAA370" s="1440">
        <v>701</v>
      </c>
      <c r="AAB370" s="1440">
        <v>702</v>
      </c>
      <c r="AAC370" s="1440">
        <v>703</v>
      </c>
      <c r="AAD370" s="1440">
        <v>704</v>
      </c>
      <c r="AAE370" s="1440">
        <v>705</v>
      </c>
      <c r="AAF370" s="1440">
        <v>706</v>
      </c>
      <c r="AAG370" s="1440">
        <v>707</v>
      </c>
      <c r="AAH370" s="1440">
        <v>708</v>
      </c>
      <c r="AAI370" s="1440">
        <v>709</v>
      </c>
      <c r="AAJ370" s="1440">
        <v>710</v>
      </c>
      <c r="AAK370" s="1440">
        <v>711</v>
      </c>
      <c r="AAL370" s="1440">
        <v>712</v>
      </c>
      <c r="AAM370" s="1440">
        <v>713</v>
      </c>
      <c r="AAN370" s="1440">
        <v>714</v>
      </c>
      <c r="AAO370" s="1440">
        <v>715</v>
      </c>
      <c r="AAP370" s="1440">
        <v>716</v>
      </c>
      <c r="AAQ370" s="1440">
        <v>717</v>
      </c>
      <c r="AAR370" s="1440">
        <v>718</v>
      </c>
      <c r="AAS370" s="1440">
        <v>719</v>
      </c>
      <c r="AAT370" s="1440">
        <v>720</v>
      </c>
      <c r="AAU370" s="1440">
        <v>721</v>
      </c>
      <c r="AAV370" s="1440">
        <v>722</v>
      </c>
      <c r="AAW370" s="1440">
        <v>723</v>
      </c>
      <c r="AAX370" s="1440">
        <v>724</v>
      </c>
      <c r="AAY370" s="1440">
        <v>725</v>
      </c>
      <c r="AAZ370" s="1440">
        <v>726</v>
      </c>
      <c r="ABA370" s="1440">
        <v>727</v>
      </c>
      <c r="ABB370" s="1440">
        <v>728</v>
      </c>
      <c r="ABC370" s="1440">
        <v>729</v>
      </c>
      <c r="ABD370" s="1440">
        <v>730</v>
      </c>
      <c r="ABE370" s="1440">
        <v>731</v>
      </c>
      <c r="ABF370" s="1440">
        <v>732</v>
      </c>
      <c r="ABG370" s="1440">
        <v>733</v>
      </c>
      <c r="ABH370" s="1440">
        <v>734</v>
      </c>
      <c r="ABI370" s="1440">
        <v>735</v>
      </c>
      <c r="ABJ370" s="1440">
        <v>736</v>
      </c>
      <c r="ABK370" s="1440">
        <v>737</v>
      </c>
      <c r="ABL370" s="1440">
        <v>738</v>
      </c>
      <c r="ABM370" s="1440">
        <v>739</v>
      </c>
      <c r="ABN370" s="1440">
        <v>740</v>
      </c>
      <c r="ABO370" s="1440">
        <v>741</v>
      </c>
      <c r="ABP370" s="1440">
        <v>742</v>
      </c>
      <c r="ABQ370" s="1440">
        <v>743</v>
      </c>
      <c r="ABR370" s="1440">
        <v>744</v>
      </c>
      <c r="ABS370" s="1440">
        <v>745</v>
      </c>
      <c r="ABT370" s="1440">
        <v>746</v>
      </c>
      <c r="ABU370" s="1440">
        <v>747</v>
      </c>
      <c r="ABV370" s="1440">
        <v>748</v>
      </c>
      <c r="ABW370" s="1440">
        <v>749</v>
      </c>
      <c r="ABX370" s="1440">
        <v>750</v>
      </c>
      <c r="ABY370" s="1440">
        <v>751</v>
      </c>
      <c r="ABZ370" s="1440">
        <v>752</v>
      </c>
      <c r="ACA370" s="1440">
        <v>753</v>
      </c>
      <c r="ACB370" s="1440">
        <v>754</v>
      </c>
      <c r="ACC370" s="1440">
        <v>755</v>
      </c>
      <c r="ACD370" s="1440">
        <v>756</v>
      </c>
      <c r="ACE370" s="1440">
        <v>757</v>
      </c>
      <c r="ACF370" s="1440">
        <v>758</v>
      </c>
      <c r="ACG370" s="1440">
        <v>759</v>
      </c>
      <c r="ACH370" s="1440">
        <v>760</v>
      </c>
      <c r="ACI370" s="1440">
        <v>761</v>
      </c>
      <c r="ACJ370" s="1440">
        <v>762</v>
      </c>
      <c r="ACK370" s="1440">
        <v>763</v>
      </c>
      <c r="ACL370" s="1440">
        <v>764</v>
      </c>
      <c r="ACM370" s="1440">
        <v>765</v>
      </c>
      <c r="ACN370" s="1440">
        <v>766</v>
      </c>
      <c r="ACO370" s="1440">
        <v>767</v>
      </c>
      <c r="ACP370" s="1440">
        <v>768</v>
      </c>
      <c r="ACQ370" s="1440">
        <v>769</v>
      </c>
      <c r="ACR370" s="1440">
        <v>770</v>
      </c>
      <c r="ACS370" s="1440">
        <v>771</v>
      </c>
      <c r="ACT370" s="1440">
        <v>772</v>
      </c>
      <c r="ACU370" s="1440">
        <v>773</v>
      </c>
      <c r="ACV370" s="1440">
        <v>774</v>
      </c>
      <c r="ACW370" s="1440">
        <v>775</v>
      </c>
      <c r="ACX370" s="1440">
        <v>776</v>
      </c>
      <c r="ACY370" s="1440">
        <v>777</v>
      </c>
      <c r="ACZ370" s="1440">
        <v>778</v>
      </c>
      <c r="ADA370" s="1440">
        <v>779</v>
      </c>
      <c r="ADB370" s="1440">
        <v>780</v>
      </c>
      <c r="ADC370" s="1440">
        <v>781</v>
      </c>
      <c r="ADD370" s="1440">
        <v>782</v>
      </c>
      <c r="ADE370" s="1440">
        <v>783</v>
      </c>
      <c r="ADF370" s="1440">
        <v>784</v>
      </c>
      <c r="ADG370" s="1440">
        <v>785</v>
      </c>
      <c r="ADH370" s="1440">
        <v>786</v>
      </c>
      <c r="ADI370" s="1440">
        <v>787</v>
      </c>
      <c r="ADJ370" s="1440">
        <v>788</v>
      </c>
      <c r="ADK370" s="1440">
        <v>789</v>
      </c>
      <c r="ADL370" s="1440">
        <v>790</v>
      </c>
      <c r="ADM370" s="1440">
        <v>791</v>
      </c>
      <c r="ADN370" s="1440">
        <v>792</v>
      </c>
      <c r="ADO370" s="1440">
        <v>793</v>
      </c>
      <c r="ADP370" s="1440">
        <v>794</v>
      </c>
      <c r="ADQ370" s="1440">
        <v>795</v>
      </c>
      <c r="ADR370" s="1440">
        <v>796</v>
      </c>
      <c r="ADS370" s="1440">
        <v>797</v>
      </c>
      <c r="ADT370" s="1440">
        <v>798</v>
      </c>
      <c r="ADU370" s="1440">
        <v>799</v>
      </c>
      <c r="ADV370" s="1440">
        <v>800</v>
      </c>
      <c r="ADW370" s="1440">
        <v>801</v>
      </c>
      <c r="ADX370" s="1440">
        <v>802</v>
      </c>
      <c r="ADY370" s="1440">
        <v>803</v>
      </c>
      <c r="ADZ370" s="1440">
        <v>804</v>
      </c>
      <c r="AEA370" s="1440">
        <v>805</v>
      </c>
      <c r="AEB370" s="1440">
        <v>806</v>
      </c>
      <c r="AEC370" s="1440">
        <v>807</v>
      </c>
      <c r="AED370" s="1440">
        <v>808</v>
      </c>
      <c r="AEE370" s="1440">
        <v>809</v>
      </c>
      <c r="AEF370" s="1440">
        <v>810</v>
      </c>
      <c r="AEG370" s="1440">
        <v>811</v>
      </c>
      <c r="AEH370" s="1440">
        <v>812</v>
      </c>
      <c r="AEI370" s="1440">
        <v>813</v>
      </c>
      <c r="AEJ370" s="1440">
        <v>814</v>
      </c>
      <c r="AEK370" s="1440">
        <v>815</v>
      </c>
      <c r="AEL370" s="1440">
        <v>816</v>
      </c>
      <c r="AEM370" s="1440">
        <v>817</v>
      </c>
      <c r="AEN370" s="1440">
        <v>818</v>
      </c>
      <c r="AEO370" s="1440">
        <v>819</v>
      </c>
      <c r="AEP370" s="1440">
        <v>820</v>
      </c>
      <c r="AEQ370" s="1440">
        <v>821</v>
      </c>
      <c r="AER370" s="1440">
        <v>822</v>
      </c>
      <c r="AES370" s="1440">
        <v>823</v>
      </c>
      <c r="AET370" s="1440">
        <v>824</v>
      </c>
      <c r="AEU370" s="1440">
        <v>825</v>
      </c>
      <c r="AEV370" s="1440">
        <v>826</v>
      </c>
      <c r="AEW370" s="1440">
        <v>827</v>
      </c>
      <c r="AEX370" s="1440">
        <v>828</v>
      </c>
      <c r="AEY370" s="1440">
        <v>829</v>
      </c>
      <c r="AEZ370" s="1440">
        <v>830</v>
      </c>
      <c r="AFA370" s="1440">
        <v>831</v>
      </c>
      <c r="AFB370" s="1440">
        <v>832</v>
      </c>
      <c r="AFC370" s="1440">
        <v>833</v>
      </c>
      <c r="AFD370" s="1440">
        <v>834</v>
      </c>
      <c r="AFE370" s="1440">
        <v>835</v>
      </c>
      <c r="AFF370" s="1440">
        <v>836</v>
      </c>
      <c r="AFG370" s="1440">
        <v>837</v>
      </c>
      <c r="AFH370" s="1440">
        <v>838</v>
      </c>
      <c r="AFI370" s="1440">
        <v>839</v>
      </c>
      <c r="AFJ370" s="1440">
        <v>840</v>
      </c>
      <c r="AFK370" s="1440">
        <v>841</v>
      </c>
      <c r="AFL370" s="1440">
        <v>842</v>
      </c>
      <c r="AFM370" s="1440">
        <v>843</v>
      </c>
      <c r="AFN370" s="1440">
        <v>844</v>
      </c>
      <c r="AFO370" s="1440">
        <v>845</v>
      </c>
      <c r="AFP370" s="1440">
        <v>846</v>
      </c>
      <c r="AFQ370" s="1440">
        <v>847</v>
      </c>
      <c r="AFR370" s="1440">
        <v>848</v>
      </c>
      <c r="AFS370" s="1440">
        <v>849</v>
      </c>
      <c r="AFT370" s="1440">
        <v>850</v>
      </c>
      <c r="AFU370" s="1440">
        <v>851</v>
      </c>
      <c r="AFV370" s="1440">
        <v>852</v>
      </c>
      <c r="AFW370" s="1440">
        <v>853</v>
      </c>
      <c r="AFX370" s="1440">
        <v>854</v>
      </c>
      <c r="AFY370" s="1440">
        <v>855</v>
      </c>
      <c r="AFZ370" s="1440">
        <v>856</v>
      </c>
      <c r="AGA370" s="1440">
        <v>857</v>
      </c>
      <c r="AGB370" s="1440">
        <v>858</v>
      </c>
      <c r="AGC370" s="1440">
        <v>859</v>
      </c>
      <c r="AGD370" s="1440">
        <v>860</v>
      </c>
      <c r="AGE370" s="1440">
        <v>861</v>
      </c>
      <c r="AGF370" s="1440">
        <v>862</v>
      </c>
      <c r="AGG370" s="1440">
        <v>863</v>
      </c>
      <c r="AGH370" s="1440">
        <v>864</v>
      </c>
      <c r="AGI370" s="1440">
        <v>865</v>
      </c>
      <c r="AGJ370" s="1440">
        <v>866</v>
      </c>
      <c r="AGK370" s="1440">
        <v>867</v>
      </c>
      <c r="AGL370" s="1440">
        <v>868</v>
      </c>
      <c r="AGM370" s="1440">
        <v>869</v>
      </c>
      <c r="AGN370" s="1440">
        <v>870</v>
      </c>
      <c r="AGO370" s="1440">
        <v>871</v>
      </c>
      <c r="AGP370" s="1440">
        <v>872</v>
      </c>
      <c r="AGQ370" s="1440">
        <v>873</v>
      </c>
      <c r="AGR370" s="1440">
        <v>874</v>
      </c>
      <c r="AGS370" s="1440">
        <v>875</v>
      </c>
      <c r="AGT370" s="1440">
        <v>876</v>
      </c>
      <c r="AGU370" s="1440">
        <v>877</v>
      </c>
      <c r="AGV370" s="1440">
        <v>878</v>
      </c>
      <c r="AGW370" s="1440">
        <v>879</v>
      </c>
      <c r="AGX370" s="1440">
        <v>880</v>
      </c>
      <c r="AGY370" s="1440">
        <v>881</v>
      </c>
      <c r="AGZ370" s="1440">
        <v>882</v>
      </c>
      <c r="AHA370" s="1440">
        <v>883</v>
      </c>
      <c r="AHB370" s="1440">
        <v>884</v>
      </c>
      <c r="AHC370" s="1440">
        <v>885</v>
      </c>
      <c r="AHD370" s="1440">
        <v>886</v>
      </c>
      <c r="AHE370" s="1440">
        <v>887</v>
      </c>
      <c r="AHF370" s="1440">
        <v>888</v>
      </c>
      <c r="AHG370" s="1440">
        <v>889</v>
      </c>
      <c r="AHH370" s="1440">
        <v>890</v>
      </c>
      <c r="AHI370" s="1440">
        <v>891</v>
      </c>
      <c r="AHJ370" s="1440">
        <v>892</v>
      </c>
      <c r="AHK370" s="1440">
        <v>893</v>
      </c>
      <c r="AHL370" s="1440">
        <v>894</v>
      </c>
      <c r="AHM370" s="1440">
        <v>895</v>
      </c>
      <c r="AHN370" s="1440">
        <v>896</v>
      </c>
      <c r="AHO370" s="1440">
        <v>897</v>
      </c>
      <c r="AHP370" s="1440">
        <v>898</v>
      </c>
      <c r="AHQ370" s="1440">
        <v>899</v>
      </c>
      <c r="AHR370" s="1440">
        <v>900</v>
      </c>
      <c r="AHS370" s="1440">
        <v>901</v>
      </c>
      <c r="AHT370" s="1440">
        <v>902</v>
      </c>
      <c r="AHU370" s="1440">
        <v>903</v>
      </c>
      <c r="AHV370" s="1440">
        <v>904</v>
      </c>
      <c r="AHW370" s="1440">
        <v>905</v>
      </c>
      <c r="AHX370" s="1440">
        <v>906</v>
      </c>
      <c r="AHY370" s="1440">
        <v>907</v>
      </c>
      <c r="AHZ370" s="1440">
        <v>908</v>
      </c>
      <c r="AIA370" s="1440">
        <v>909</v>
      </c>
      <c r="AIB370" s="1440">
        <v>910</v>
      </c>
      <c r="AIC370" s="1440">
        <v>911</v>
      </c>
      <c r="AID370" s="1440">
        <v>912</v>
      </c>
      <c r="AIE370" s="1440">
        <v>913</v>
      </c>
      <c r="AIF370" s="1440">
        <v>914</v>
      </c>
      <c r="AIG370" s="1440">
        <v>915</v>
      </c>
      <c r="AIH370" s="1440">
        <v>916</v>
      </c>
      <c r="AII370" s="1440">
        <v>917</v>
      </c>
      <c r="AIJ370" s="1440">
        <v>918</v>
      </c>
      <c r="AIK370" s="1440">
        <v>919</v>
      </c>
      <c r="AIL370" s="1440">
        <v>920</v>
      </c>
      <c r="AIM370" s="1440">
        <v>921</v>
      </c>
      <c r="AIN370" s="1440">
        <v>922</v>
      </c>
      <c r="AIO370" s="1440">
        <v>923</v>
      </c>
      <c r="AIP370" s="1440">
        <v>924</v>
      </c>
      <c r="AIQ370" s="1440">
        <v>925</v>
      </c>
      <c r="AIR370" s="1440">
        <v>926</v>
      </c>
      <c r="AIS370" s="1440">
        <v>927</v>
      </c>
      <c r="AIT370" s="1440">
        <v>928</v>
      </c>
      <c r="AIU370" s="1440">
        <v>929</v>
      </c>
      <c r="AIV370" s="1440">
        <v>930</v>
      </c>
      <c r="AIW370" s="1440">
        <v>931</v>
      </c>
      <c r="AIX370" s="1440">
        <v>932</v>
      </c>
      <c r="AIY370" s="1440">
        <v>933</v>
      </c>
      <c r="AIZ370" s="1440">
        <v>934</v>
      </c>
      <c r="AJA370" s="1440">
        <v>935</v>
      </c>
      <c r="AJB370" s="1440">
        <v>936</v>
      </c>
      <c r="AJC370" s="1440">
        <v>937</v>
      </c>
      <c r="AJD370" s="1440">
        <v>938</v>
      </c>
      <c r="AJE370" s="1440">
        <v>939</v>
      </c>
      <c r="AJF370" s="1440">
        <v>940</v>
      </c>
      <c r="AJG370" s="1440">
        <v>941</v>
      </c>
      <c r="AJH370" s="1440">
        <v>942</v>
      </c>
      <c r="AJI370" s="1440">
        <v>943</v>
      </c>
      <c r="AJJ370" s="1440">
        <v>944</v>
      </c>
      <c r="AJK370" s="1440">
        <v>945</v>
      </c>
      <c r="AJL370" s="1440">
        <v>946</v>
      </c>
      <c r="AJM370" s="1440">
        <v>947</v>
      </c>
      <c r="AJN370" s="1440">
        <v>948</v>
      </c>
      <c r="AJO370" s="1440">
        <v>949</v>
      </c>
      <c r="AJP370" s="1440">
        <v>950</v>
      </c>
      <c r="AJQ370" s="1440">
        <v>951</v>
      </c>
      <c r="AJR370" s="1440">
        <v>952</v>
      </c>
      <c r="AJS370" s="1440">
        <v>953</v>
      </c>
      <c r="AJT370" s="1440">
        <v>954</v>
      </c>
      <c r="AJU370" s="1440">
        <v>955</v>
      </c>
      <c r="AJV370" s="1440">
        <v>956</v>
      </c>
      <c r="AJW370" s="1440">
        <v>957</v>
      </c>
      <c r="AJX370" s="1440">
        <v>958</v>
      </c>
      <c r="AJY370" s="1440">
        <v>959</v>
      </c>
      <c r="AJZ370" s="1440">
        <v>960</v>
      </c>
      <c r="AKA370" s="1440">
        <v>961</v>
      </c>
      <c r="AKB370" s="1440">
        <v>962</v>
      </c>
      <c r="AKC370" s="1440">
        <v>963</v>
      </c>
      <c r="AKD370" s="1440">
        <v>964</v>
      </c>
      <c r="AKE370" s="1440">
        <v>965</v>
      </c>
      <c r="AKF370" s="1440">
        <v>966</v>
      </c>
      <c r="AKG370" s="1440">
        <v>967</v>
      </c>
      <c r="AKH370" s="1440">
        <v>968</v>
      </c>
      <c r="AKI370" s="1440">
        <v>969</v>
      </c>
      <c r="AKJ370" s="1440">
        <v>970</v>
      </c>
      <c r="AKK370" s="1440">
        <v>971</v>
      </c>
      <c r="AKL370" s="1440">
        <v>972</v>
      </c>
      <c r="AKM370" s="1440">
        <v>973</v>
      </c>
      <c r="AKN370" s="1440">
        <v>974</v>
      </c>
      <c r="AKO370" s="1440">
        <v>975</v>
      </c>
      <c r="AKP370" s="1440">
        <v>976</v>
      </c>
      <c r="AKQ370" s="1440">
        <v>977</v>
      </c>
      <c r="AKR370" s="1440">
        <v>978</v>
      </c>
      <c r="AKS370" s="1440">
        <v>979</v>
      </c>
      <c r="AKT370" s="1440">
        <v>980</v>
      </c>
      <c r="AKU370" s="1440">
        <v>981</v>
      </c>
      <c r="AKV370" s="1440">
        <v>982</v>
      </c>
      <c r="AKW370" s="1440">
        <v>983</v>
      </c>
      <c r="AKX370" s="1440">
        <v>984</v>
      </c>
      <c r="AKY370" s="1440">
        <v>985</v>
      </c>
      <c r="AKZ370" s="1440">
        <v>986</v>
      </c>
      <c r="ALA370" s="1440">
        <v>987</v>
      </c>
      <c r="ALB370" s="1440">
        <v>988</v>
      </c>
      <c r="ALC370" s="1440">
        <v>989</v>
      </c>
      <c r="ALD370" s="1440">
        <v>990</v>
      </c>
      <c r="ALE370" s="1440">
        <v>991</v>
      </c>
      <c r="ALF370" s="1440">
        <v>992</v>
      </c>
      <c r="ALG370" s="1440">
        <v>993</v>
      </c>
      <c r="ALH370" s="1440">
        <v>994</v>
      </c>
      <c r="ALI370" s="1440">
        <v>995</v>
      </c>
      <c r="ALJ370" s="1440">
        <v>996</v>
      </c>
      <c r="ALK370" s="1440">
        <v>997</v>
      </c>
      <c r="ALL370" s="1440">
        <v>998</v>
      </c>
      <c r="ALM370" s="1440">
        <v>999</v>
      </c>
      <c r="ALN370" s="1440">
        <v>1000</v>
      </c>
      <c r="ALO370" s="1440">
        <v>1001</v>
      </c>
      <c r="ALP370" s="1440">
        <v>1002</v>
      </c>
      <c r="ALQ370" s="1440">
        <v>1003</v>
      </c>
      <c r="ALR370" s="1440">
        <v>1004</v>
      </c>
      <c r="ALS370" s="1440">
        <v>1005</v>
      </c>
      <c r="ALT370" s="1440">
        <v>1006</v>
      </c>
      <c r="ALU370" s="1440">
        <v>1007</v>
      </c>
      <c r="ALV370" s="1440">
        <v>1008</v>
      </c>
      <c r="ALW370" s="1440">
        <v>1009</v>
      </c>
      <c r="ALX370" s="1440">
        <v>1010</v>
      </c>
      <c r="ALY370" s="1440">
        <v>1011</v>
      </c>
      <c r="ALZ370" s="1441">
        <v>1012</v>
      </c>
    </row>
    <row r="371" spans="2:1014" s="82" customFormat="1" ht="20.100000000000001" customHeight="1" thickBot="1">
      <c r="C371" s="1612" t="s">
        <v>3057</v>
      </c>
      <c r="D371" s="1613"/>
      <c r="E371" s="1614"/>
      <c r="F371" s="1621" t="s">
        <v>214</v>
      </c>
      <c r="G371" s="1621"/>
      <c r="H371" s="1622"/>
      <c r="I371" s="1615" t="s">
        <v>604</v>
      </c>
      <c r="J371" s="1616"/>
      <c r="K371" s="1616"/>
      <c r="L371" s="1617"/>
      <c r="M371" s="1615" t="s">
        <v>1010</v>
      </c>
      <c r="N371" s="1616"/>
      <c r="O371" s="1616"/>
      <c r="P371" s="1617"/>
      <c r="Q371" s="1618" t="s">
        <v>36</v>
      </c>
      <c r="R371" s="1619"/>
      <c r="S371" s="1619"/>
      <c r="T371" s="1619"/>
      <c r="U371" s="1619"/>
      <c r="V371" s="1619"/>
      <c r="W371" s="1619"/>
      <c r="X371" s="1619"/>
      <c r="Y371" s="1619"/>
      <c r="Z371" s="1619"/>
      <c r="AA371" s="1619"/>
      <c r="AB371" s="1619"/>
      <c r="AC371" s="1619"/>
      <c r="AD371" s="1619"/>
      <c r="AE371" s="1619"/>
      <c r="AF371" s="1619"/>
      <c r="AG371" s="1619"/>
      <c r="AH371" s="1619"/>
      <c r="AI371" s="1619"/>
      <c r="AJ371" s="1619"/>
      <c r="AK371" s="1619"/>
      <c r="AL371" s="1619"/>
      <c r="AM371" s="1619"/>
      <c r="AN371" s="1619"/>
      <c r="AO371" s="1619"/>
      <c r="AP371" s="1619"/>
      <c r="AQ371" s="1619"/>
      <c r="AR371" s="1619"/>
      <c r="AS371" s="1619"/>
      <c r="AT371" s="1619"/>
      <c r="AU371" s="1619"/>
      <c r="AV371" s="1619"/>
      <c r="AW371" s="1619"/>
      <c r="AX371" s="1619"/>
      <c r="AY371" s="1619"/>
      <c r="AZ371" s="1619"/>
      <c r="BA371" s="1620"/>
      <c r="BB371" s="1623" t="s">
        <v>605</v>
      </c>
      <c r="BC371" s="1624"/>
      <c r="BD371" s="1624"/>
      <c r="BE371" s="1624"/>
      <c r="BF371" s="1624"/>
      <c r="BG371" s="1624"/>
      <c r="BH371" s="1624"/>
      <c r="BI371" s="1624"/>
      <c r="BJ371" s="1624"/>
      <c r="BK371" s="1624"/>
      <c r="BL371" s="1624"/>
      <c r="BM371" s="1624"/>
      <c r="BN371" s="1624"/>
      <c r="BO371" s="1624"/>
      <c r="BP371" s="1624"/>
      <c r="BQ371" s="1624"/>
      <c r="BR371" s="1624"/>
      <c r="BS371" s="1624"/>
      <c r="BT371" s="1624"/>
      <c r="BU371" s="1624"/>
      <c r="BV371" s="1624"/>
      <c r="BW371" s="1624"/>
      <c r="BX371" s="1624"/>
      <c r="BY371" s="1624"/>
      <c r="BZ371" s="1624"/>
      <c r="CA371" s="1624"/>
      <c r="CB371" s="1624"/>
      <c r="CC371" s="1624"/>
      <c r="CD371" s="1624"/>
      <c r="CE371" s="1624"/>
      <c r="CF371" s="1624"/>
      <c r="CG371" s="1624"/>
      <c r="CH371" s="1624"/>
      <c r="CI371" s="1624"/>
      <c r="CJ371" s="1624"/>
      <c r="CK371" s="1624"/>
      <c r="CL371" s="1624"/>
      <c r="CM371" s="1624"/>
      <c r="CN371" s="1624"/>
      <c r="CO371" s="1624"/>
      <c r="CP371" s="1624"/>
      <c r="CQ371" s="1624"/>
      <c r="CR371" s="1624"/>
      <c r="CS371" s="1624"/>
      <c r="CT371" s="1624"/>
      <c r="CU371" s="1624"/>
      <c r="CV371" s="1624"/>
      <c r="CW371" s="1624"/>
      <c r="CX371" s="1624"/>
      <c r="CY371" s="1624"/>
      <c r="CZ371" s="1624"/>
      <c r="DA371" s="1624"/>
      <c r="DB371" s="1624"/>
      <c r="DC371" s="1624"/>
      <c r="DD371" s="1624"/>
      <c r="DE371" s="1624"/>
      <c r="DF371" s="1624"/>
      <c r="DG371" s="1624"/>
      <c r="DH371" s="1624"/>
      <c r="DI371" s="1624"/>
      <c r="DJ371" s="1624"/>
      <c r="DK371" s="1625"/>
      <c r="DL371" s="1623" t="s">
        <v>38</v>
      </c>
      <c r="DM371" s="1624"/>
      <c r="DN371" s="1624"/>
      <c r="DO371" s="1624"/>
      <c r="DP371" s="1624"/>
      <c r="DQ371" s="1624"/>
      <c r="DR371" s="1624"/>
      <c r="DS371" s="1624"/>
      <c r="DT371" s="1624"/>
      <c r="DU371" s="1624"/>
      <c r="DV371" s="1624"/>
      <c r="DW371" s="1624"/>
      <c r="DX371" s="1624"/>
      <c r="DY371" s="1624"/>
      <c r="DZ371" s="1624"/>
      <c r="EA371" s="1624"/>
      <c r="EB371" s="1624"/>
      <c r="EC371" s="1624"/>
      <c r="ED371" s="1624"/>
      <c r="EE371" s="1625"/>
      <c r="EF371" s="1623" t="s">
        <v>39</v>
      </c>
      <c r="EG371" s="1624"/>
      <c r="EH371" s="1624"/>
      <c r="EI371" s="1624"/>
      <c r="EJ371" s="1624"/>
      <c r="EK371" s="1624"/>
      <c r="EL371" s="1624"/>
      <c r="EM371" s="1624"/>
      <c r="EN371" s="1624"/>
      <c r="EO371" s="1624"/>
      <c r="EP371" s="1624"/>
      <c r="EQ371" s="1624"/>
      <c r="ER371" s="1624"/>
      <c r="ES371" s="1624"/>
      <c r="ET371" s="1624"/>
      <c r="EU371" s="1624"/>
      <c r="EV371" s="1624"/>
      <c r="EW371" s="1624"/>
      <c r="EX371" s="1624"/>
      <c r="EY371" s="1624"/>
      <c r="EZ371" s="1624"/>
      <c r="FA371" s="1624"/>
      <c r="FB371" s="1624"/>
      <c r="FC371" s="1624"/>
      <c r="FD371" s="1624"/>
      <c r="FE371" s="1624"/>
      <c r="FF371" s="1624"/>
      <c r="FG371" s="1624"/>
      <c r="FH371" s="1624"/>
      <c r="FI371" s="1624"/>
      <c r="FJ371" s="1624"/>
      <c r="FK371" s="1624"/>
      <c r="FL371" s="1624"/>
      <c r="FM371" s="1624"/>
      <c r="FN371" s="1624"/>
      <c r="FO371" s="1624"/>
      <c r="FP371" s="1624"/>
      <c r="FQ371" s="1624"/>
      <c r="FR371" s="1624"/>
      <c r="FS371" s="1624"/>
      <c r="FT371" s="1624"/>
      <c r="FU371" s="1624"/>
      <c r="FV371" s="1624"/>
      <c r="FW371" s="1624"/>
      <c r="FX371" s="1624"/>
      <c r="FY371" s="1624"/>
      <c r="FZ371" s="1624"/>
      <c r="GA371" s="1624"/>
      <c r="GB371" s="1624"/>
      <c r="GC371" s="1624"/>
      <c r="GD371" s="1624"/>
      <c r="GE371" s="1624"/>
      <c r="GF371" s="1624"/>
      <c r="GG371" s="1624"/>
      <c r="GH371" s="1624"/>
      <c r="GI371" s="1624"/>
      <c r="GJ371" s="1624"/>
      <c r="GK371" s="1624"/>
      <c r="GL371" s="1624"/>
      <c r="GM371" s="1624"/>
      <c r="GN371" s="1624"/>
      <c r="GO371" s="1624"/>
      <c r="GP371" s="1624"/>
      <c r="GQ371" s="1624"/>
      <c r="GR371" s="1624"/>
      <c r="GS371" s="1624"/>
      <c r="GT371" s="1624"/>
      <c r="GU371" s="1624"/>
      <c r="GV371" s="1624"/>
      <c r="GW371" s="1624"/>
      <c r="GX371" s="1624"/>
      <c r="GY371" s="1624"/>
      <c r="GZ371" s="1624"/>
      <c r="HA371" s="1624"/>
      <c r="HB371" s="1624"/>
      <c r="HC371" s="1624"/>
      <c r="HD371" s="1624"/>
      <c r="HE371" s="1624"/>
      <c r="HF371" s="1624"/>
      <c r="HG371" s="1624"/>
      <c r="HH371" s="1624"/>
      <c r="HI371" s="1624"/>
      <c r="HJ371" s="1624"/>
      <c r="HK371" s="1624"/>
      <c r="HL371" s="1624"/>
      <c r="HM371" s="1624"/>
      <c r="HN371" s="1624"/>
      <c r="HO371" s="1624"/>
      <c r="HP371" s="1624"/>
      <c r="HQ371" s="1624"/>
      <c r="HR371" s="1624"/>
      <c r="HS371" s="1624"/>
      <c r="HT371" s="1624"/>
      <c r="HU371" s="1624"/>
      <c r="HV371" s="1624"/>
      <c r="HW371" s="1624"/>
      <c r="HX371" s="1624"/>
      <c r="HY371" s="1624"/>
      <c r="HZ371" s="1624"/>
      <c r="IA371" s="1624"/>
      <c r="IB371" s="1624"/>
      <c r="IC371" s="1624"/>
      <c r="ID371" s="1624"/>
      <c r="IE371" s="1624"/>
      <c r="IF371" s="1624"/>
      <c r="IG371" s="1624"/>
      <c r="IH371" s="1624"/>
      <c r="II371" s="1624"/>
      <c r="IJ371" s="1624"/>
      <c r="IK371" s="1624"/>
      <c r="IL371" s="1624"/>
      <c r="IM371" s="1624"/>
      <c r="IN371" s="1624"/>
      <c r="IO371" s="1624"/>
      <c r="IP371" s="1624"/>
      <c r="IQ371" s="1624"/>
      <c r="IR371" s="1624"/>
      <c r="IS371" s="1624"/>
      <c r="IT371" s="1624"/>
      <c r="IU371" s="1624"/>
      <c r="IV371" s="1624"/>
      <c r="IW371" s="1625"/>
      <c r="IX371" s="1623" t="s">
        <v>55</v>
      </c>
      <c r="IY371" s="1624"/>
      <c r="IZ371" s="1624"/>
      <c r="JA371" s="1624"/>
      <c r="JB371" s="1624"/>
      <c r="JC371" s="1624"/>
      <c r="JD371" s="1624"/>
      <c r="JE371" s="1624"/>
      <c r="JF371" s="1624"/>
      <c r="JG371" s="1624"/>
      <c r="JH371" s="1624"/>
      <c r="JI371" s="1624"/>
      <c r="JJ371" s="1625"/>
      <c r="JK371" s="1623" t="s">
        <v>1788</v>
      </c>
      <c r="JL371" s="1624"/>
      <c r="JM371" s="1624"/>
      <c r="JN371" s="1624"/>
      <c r="JO371" s="1624"/>
      <c r="JP371" s="1624"/>
      <c r="JQ371" s="1624"/>
      <c r="JR371" s="1624"/>
      <c r="JS371" s="1624"/>
      <c r="JT371" s="1624"/>
      <c r="JU371" s="1624"/>
      <c r="JV371" s="1624"/>
      <c r="JW371" s="1625"/>
      <c r="JX371" s="1623" t="s">
        <v>1787</v>
      </c>
      <c r="JY371" s="1624"/>
      <c r="JZ371" s="1624"/>
      <c r="KA371" s="1624"/>
      <c r="KB371" s="1624"/>
      <c r="KC371" s="1624"/>
      <c r="KD371" s="1624"/>
      <c r="KE371" s="1624"/>
      <c r="KF371" s="1624"/>
      <c r="KG371" s="1624"/>
      <c r="KH371" s="1624"/>
      <c r="KI371" s="1624"/>
      <c r="KJ371" s="1624"/>
      <c r="KK371" s="1624"/>
      <c r="KL371" s="1624"/>
      <c r="KM371" s="1624"/>
      <c r="KN371" s="1624"/>
      <c r="KO371" s="1624"/>
      <c r="KP371" s="1624"/>
      <c r="KQ371" s="1624"/>
      <c r="KR371" s="1624"/>
      <c r="KS371" s="1624"/>
      <c r="KT371" s="1624"/>
      <c r="KU371" s="1624"/>
      <c r="KV371" s="1624"/>
      <c r="KW371" s="1624"/>
      <c r="KX371" s="1624"/>
      <c r="KY371" s="1624"/>
      <c r="KZ371" s="1624"/>
      <c r="LA371" s="1624"/>
      <c r="LB371" s="1624"/>
      <c r="LC371" s="1624"/>
      <c r="LD371" s="1624"/>
      <c r="LE371" s="1624"/>
      <c r="LF371" s="1624"/>
      <c r="LG371" s="1624"/>
      <c r="LH371" s="1624"/>
      <c r="LI371" s="1624"/>
      <c r="LJ371" s="1624"/>
      <c r="LK371" s="1624"/>
      <c r="LL371" s="1624"/>
      <c r="LM371" s="1624"/>
      <c r="LN371" s="1625"/>
      <c r="LO371" s="1623" t="s">
        <v>606</v>
      </c>
      <c r="LP371" s="1624"/>
      <c r="LQ371" s="1624"/>
      <c r="LR371" s="1624"/>
      <c r="LS371" s="1624"/>
      <c r="LT371" s="1624"/>
      <c r="LU371" s="1624"/>
      <c r="LV371" s="1624"/>
      <c r="LW371" s="1624"/>
      <c r="LX371" s="1624"/>
      <c r="LY371" s="1625"/>
      <c r="LZ371" s="1623" t="s">
        <v>1777</v>
      </c>
      <c r="MA371" s="1624"/>
      <c r="MB371" s="1624"/>
      <c r="MC371" s="1624"/>
      <c r="MD371" s="1624"/>
      <c r="ME371" s="1624"/>
      <c r="MF371" s="1624"/>
      <c r="MG371" s="1624"/>
      <c r="MH371" s="1624"/>
      <c r="MI371" s="1624"/>
      <c r="MJ371" s="1624"/>
      <c r="MK371" s="1624"/>
      <c r="ML371" s="1624"/>
      <c r="MM371" s="1624"/>
      <c r="MN371" s="1624"/>
      <c r="MO371" s="1624"/>
      <c r="MP371" s="1624"/>
      <c r="MQ371" s="1624"/>
      <c r="MR371" s="1624"/>
      <c r="MS371" s="1624"/>
      <c r="MT371" s="1624"/>
      <c r="MU371" s="1624"/>
      <c r="MV371" s="1624"/>
      <c r="MW371" s="1624"/>
      <c r="MX371" s="1625"/>
      <c r="MY371" s="1626" t="s">
        <v>607</v>
      </c>
      <c r="MZ371" s="1627"/>
      <c r="NA371" s="1627"/>
      <c r="NB371" s="1628"/>
      <c r="NC371" s="1626" t="s">
        <v>608</v>
      </c>
      <c r="ND371" s="1627"/>
      <c r="NE371" s="1627"/>
      <c r="NF371" s="1628"/>
      <c r="NG371" s="1626" t="s">
        <v>609</v>
      </c>
      <c r="NH371" s="1627"/>
      <c r="NI371" s="1627"/>
      <c r="NJ371" s="1628"/>
      <c r="NK371" s="1626" t="s">
        <v>610</v>
      </c>
      <c r="NL371" s="1627"/>
      <c r="NM371" s="1627"/>
      <c r="NN371" s="1628"/>
      <c r="NO371" s="1626" t="s">
        <v>611</v>
      </c>
      <c r="NP371" s="1627"/>
      <c r="NQ371" s="1627"/>
      <c r="NR371" s="1628"/>
      <c r="NS371" s="1626" t="s">
        <v>612</v>
      </c>
      <c r="NT371" s="1627"/>
      <c r="NU371" s="1627"/>
      <c r="NV371" s="1628"/>
      <c r="NW371" s="1423" t="s">
        <v>950</v>
      </c>
      <c r="NX371" s="1424"/>
      <c r="NY371" s="1424"/>
      <c r="NZ371" s="1424"/>
      <c r="OA371" s="1424"/>
      <c r="OB371" s="1424"/>
      <c r="OC371" s="1424"/>
      <c r="OD371" s="1424"/>
      <c r="OE371" s="1424"/>
      <c r="OF371" s="1424"/>
      <c r="OG371" s="1424"/>
      <c r="OH371" s="1424"/>
      <c r="OI371" s="1424"/>
      <c r="OJ371" s="1424"/>
      <c r="OK371" s="1424"/>
      <c r="OL371" s="1424"/>
      <c r="OM371" s="1424"/>
      <c r="ON371" s="1424"/>
      <c r="OO371" s="1424"/>
      <c r="OP371" s="1424"/>
      <c r="OQ371" s="1424"/>
      <c r="OR371" s="1424"/>
      <c r="OS371" s="1424"/>
      <c r="OT371" s="1424"/>
      <c r="OU371" s="1424"/>
      <c r="OV371" s="1424"/>
      <c r="OW371" s="1424"/>
      <c r="OX371" s="1424"/>
      <c r="OY371" s="1424"/>
      <c r="OZ371" s="1424"/>
      <c r="PA371" s="1424"/>
      <c r="PB371" s="1424"/>
      <c r="PC371" s="1424"/>
      <c r="PD371" s="1424"/>
      <c r="PE371" s="1424"/>
      <c r="PF371" s="1425"/>
      <c r="PG371" s="1423" t="s">
        <v>951</v>
      </c>
      <c r="PH371" s="1424"/>
      <c r="PI371" s="1424"/>
      <c r="PJ371" s="1424"/>
      <c r="PK371" s="1424"/>
      <c r="PL371" s="1424"/>
      <c r="PM371" s="1424"/>
      <c r="PN371" s="1424"/>
      <c r="PO371" s="1424"/>
      <c r="PP371" s="1424"/>
      <c r="PQ371" s="1424"/>
      <c r="PR371" s="1424"/>
      <c r="PS371" s="1424"/>
      <c r="PT371" s="1424"/>
      <c r="PU371" s="1424"/>
      <c r="PV371" s="1424"/>
      <c r="PW371" s="1424"/>
      <c r="PX371" s="1424"/>
      <c r="PY371" s="1424"/>
      <c r="PZ371" s="1424"/>
      <c r="QA371" s="1424"/>
      <c r="QB371" s="1424"/>
      <c r="QC371" s="1424"/>
      <c r="QD371" s="1425"/>
      <c r="QE371" s="1423" t="s">
        <v>952</v>
      </c>
      <c r="QF371" s="1424"/>
      <c r="QG371" s="1424"/>
      <c r="QH371" s="1424"/>
      <c r="QI371" s="1424"/>
      <c r="QJ371" s="1424"/>
      <c r="QK371" s="1424"/>
      <c r="QL371" s="1424"/>
      <c r="QM371" s="1424"/>
      <c r="QN371" s="1424"/>
      <c r="QO371" s="1424"/>
      <c r="QP371" s="1424"/>
      <c r="QQ371" s="1424"/>
      <c r="QR371" s="1424"/>
      <c r="QS371" s="1424"/>
      <c r="QT371" s="1424"/>
      <c r="QU371" s="1424"/>
      <c r="QV371" s="1424"/>
      <c r="QW371" s="1424"/>
      <c r="QX371" s="1424"/>
      <c r="QY371" s="1424"/>
      <c r="QZ371" s="1424"/>
      <c r="RA371" s="1424"/>
      <c r="RB371" s="1424"/>
      <c r="RC371" s="1424"/>
      <c r="RD371" s="1424"/>
      <c r="RE371" s="1424"/>
      <c r="RF371" s="1424"/>
      <c r="RG371" s="1424"/>
      <c r="RH371" s="1425"/>
      <c r="RI371" s="1423" t="s">
        <v>953</v>
      </c>
      <c r="RJ371" s="1424"/>
      <c r="RK371" s="1424"/>
      <c r="RL371" s="1424"/>
      <c r="RM371" s="1424"/>
      <c r="RN371" s="1424"/>
      <c r="RO371" s="1424"/>
      <c r="RP371" s="1424"/>
      <c r="RQ371" s="1424"/>
      <c r="RR371" s="1424"/>
      <c r="RS371" s="1424"/>
      <c r="RT371" s="1424"/>
      <c r="RU371" s="1424"/>
      <c r="RV371" s="1424"/>
      <c r="RW371" s="1424"/>
      <c r="RX371" s="1424"/>
      <c r="RY371" s="1424"/>
      <c r="RZ371" s="1424"/>
      <c r="SA371" s="1424"/>
      <c r="SB371" s="1424"/>
      <c r="SC371" s="1424"/>
      <c r="SD371" s="1424"/>
      <c r="SE371" s="1424"/>
      <c r="SF371" s="1424"/>
      <c r="SG371" s="1424"/>
      <c r="SH371" s="1424"/>
      <c r="SI371" s="1424"/>
      <c r="SJ371" s="1424"/>
      <c r="SK371" s="1424"/>
      <c r="SL371" s="1425"/>
      <c r="SM371" s="1423" t="s">
        <v>954</v>
      </c>
      <c r="SN371" s="1424"/>
      <c r="SO371" s="1424"/>
      <c r="SP371" s="1424"/>
      <c r="SQ371" s="1424"/>
      <c r="SR371" s="1424"/>
      <c r="SS371" s="1424"/>
      <c r="ST371" s="1424"/>
      <c r="SU371" s="1424"/>
      <c r="SV371" s="1424"/>
      <c r="SW371" s="1424"/>
      <c r="SX371" s="1424"/>
      <c r="SY371" s="1424"/>
      <c r="SZ371" s="1424"/>
      <c r="TA371" s="1424"/>
      <c r="TB371" s="1424"/>
      <c r="TC371" s="1424"/>
      <c r="TD371" s="1424"/>
      <c r="TE371" s="1424"/>
      <c r="TF371" s="1424"/>
      <c r="TG371" s="1424"/>
      <c r="TH371" s="1424"/>
      <c r="TI371" s="1424"/>
      <c r="TJ371" s="1424"/>
      <c r="TK371" s="1424"/>
      <c r="TL371" s="1424"/>
      <c r="TM371" s="1424"/>
      <c r="TN371" s="1424"/>
      <c r="TO371" s="1424"/>
      <c r="TP371" s="1425"/>
      <c r="TQ371" s="1423" t="s">
        <v>955</v>
      </c>
      <c r="TR371" s="1424"/>
      <c r="TS371" s="1424"/>
      <c r="TT371" s="1424"/>
      <c r="TU371" s="1424"/>
      <c r="TV371" s="1424"/>
      <c r="TW371" s="1424"/>
      <c r="TX371" s="1424"/>
      <c r="TY371" s="1424"/>
      <c r="TZ371" s="1424"/>
      <c r="UA371" s="1424"/>
      <c r="UB371" s="1424"/>
      <c r="UC371" s="1424"/>
      <c r="UD371" s="1424"/>
      <c r="UE371" s="1424"/>
      <c r="UF371" s="1424"/>
      <c r="UG371" s="1424"/>
      <c r="UH371" s="1424"/>
      <c r="UI371" s="1424"/>
      <c r="UJ371" s="1424"/>
      <c r="UK371" s="1424"/>
      <c r="UL371" s="1424"/>
      <c r="UM371" s="1424"/>
      <c r="UN371" s="1424"/>
      <c r="UO371" s="1424"/>
      <c r="UP371" s="1424"/>
      <c r="UQ371" s="1424"/>
      <c r="UR371" s="1424"/>
      <c r="US371" s="1424"/>
      <c r="UT371" s="1425"/>
      <c r="UU371" s="1423" t="s">
        <v>956</v>
      </c>
      <c r="UV371" s="1424"/>
      <c r="UW371" s="1424"/>
      <c r="UX371" s="1424"/>
      <c r="UY371" s="1424"/>
      <c r="UZ371" s="1424"/>
      <c r="VA371" s="1424"/>
      <c r="VB371" s="1424"/>
      <c r="VC371" s="1424"/>
      <c r="VD371" s="1424"/>
      <c r="VE371" s="1424"/>
      <c r="VF371" s="1424"/>
      <c r="VG371" s="1424"/>
      <c r="VH371" s="1424"/>
      <c r="VI371" s="1424"/>
      <c r="VJ371" s="1424"/>
      <c r="VK371" s="1424"/>
      <c r="VL371" s="1424"/>
      <c r="VM371" s="1424"/>
      <c r="VN371" s="1424"/>
      <c r="VO371" s="1424"/>
      <c r="VP371" s="1424"/>
      <c r="VQ371" s="1424"/>
      <c r="VR371" s="1424"/>
      <c r="VS371" s="1424"/>
      <c r="VT371" s="1424"/>
      <c r="VU371" s="1424"/>
      <c r="VV371" s="1424"/>
      <c r="VW371" s="1424"/>
      <c r="VX371" s="1424"/>
      <c r="VY371" s="1424"/>
      <c r="VZ371" s="1424"/>
      <c r="WA371" s="1424"/>
      <c r="WB371" s="1424"/>
      <c r="WC371" s="1424"/>
      <c r="WD371" s="1425"/>
      <c r="WE371" s="1426" t="s">
        <v>957</v>
      </c>
      <c r="WF371" s="1427"/>
      <c r="WG371" s="1427"/>
      <c r="WH371" s="1427"/>
      <c r="WI371" s="1427"/>
      <c r="WJ371" s="1427"/>
      <c r="WK371" s="1428"/>
      <c r="WL371" s="1426" t="s">
        <v>960</v>
      </c>
      <c r="WM371" s="1427"/>
      <c r="WN371" s="1427"/>
      <c r="WO371" s="1427"/>
      <c r="WP371" s="1427"/>
      <c r="WQ371" s="1427"/>
      <c r="WR371" s="1427"/>
      <c r="WS371" s="1427"/>
      <c r="WT371" s="1427"/>
      <c r="WU371" s="1427"/>
      <c r="WV371" s="1427"/>
      <c r="WW371" s="1427"/>
      <c r="WX371" s="1427"/>
      <c r="WY371" s="1427"/>
      <c r="WZ371" s="1427"/>
      <c r="XA371" s="1427"/>
      <c r="XB371" s="1427"/>
      <c r="XC371" s="1427"/>
      <c r="XD371" s="1427"/>
      <c r="XE371" s="1427"/>
      <c r="XF371" s="1427"/>
      <c r="XG371" s="1427"/>
      <c r="XH371" s="1427"/>
      <c r="XI371" s="1427"/>
      <c r="XJ371" s="1427"/>
      <c r="XK371" s="1427"/>
      <c r="XL371" s="1427"/>
      <c r="XM371" s="1427"/>
      <c r="XN371" s="1427"/>
      <c r="XO371" s="1427"/>
      <c r="XP371" s="1427"/>
      <c r="XQ371" s="1427"/>
      <c r="XR371" s="1428"/>
      <c r="XS371" s="1420" t="s">
        <v>1615</v>
      </c>
      <c r="XT371" s="1421"/>
      <c r="XU371" s="1421"/>
      <c r="XV371" s="1421"/>
      <c r="XW371" s="1421"/>
      <c r="XX371" s="1330"/>
      <c r="XY371" s="1426" t="s">
        <v>1792</v>
      </c>
      <c r="XZ371" s="1427"/>
      <c r="YA371" s="1427"/>
      <c r="YB371" s="1428"/>
      <c r="YC371" s="1431" t="s">
        <v>1793</v>
      </c>
      <c r="YD371" s="1431"/>
      <c r="YE371" s="1431"/>
      <c r="YF371" s="1431"/>
      <c r="YG371" s="1431"/>
      <c r="YH371" s="1431"/>
      <c r="YI371" s="1431"/>
      <c r="YJ371" s="1431"/>
      <c r="YK371" s="1429"/>
      <c r="YL371" s="1429"/>
      <c r="YM371" s="1429"/>
      <c r="YN371" s="1429"/>
      <c r="YO371" s="1429"/>
      <c r="YP371" s="1429"/>
      <c r="YQ371" s="1429"/>
      <c r="YR371" s="1429"/>
      <c r="YS371" s="1429"/>
      <c r="YT371" s="1429"/>
      <c r="YU371" s="1429"/>
      <c r="YV371" s="1429"/>
      <c r="YW371" s="1429"/>
      <c r="YX371" s="1429"/>
      <c r="YY371" s="1429"/>
      <c r="YZ371" s="1429"/>
      <c r="ZA371" s="1431"/>
      <c r="ZB371" s="1431"/>
      <c r="ZC371" s="1431"/>
      <c r="ZD371" s="1431"/>
      <c r="ZE371" s="1431"/>
      <c r="ZF371" s="1431"/>
      <c r="ZG371" s="1431"/>
      <c r="ZH371" s="1432"/>
      <c r="ZI371" s="1429" t="s">
        <v>1794</v>
      </c>
      <c r="ZJ371" s="1429"/>
      <c r="ZK371" s="1429"/>
      <c r="ZL371" s="1429"/>
      <c r="ZM371" s="1429"/>
      <c r="ZN371" s="1429"/>
      <c r="ZO371" s="1429"/>
      <c r="ZP371" s="1429"/>
      <c r="ZQ371" s="1429"/>
      <c r="ZR371" s="1429"/>
      <c r="ZS371" s="1429"/>
      <c r="ZT371" s="1429"/>
      <c r="ZU371" s="1429"/>
      <c r="ZV371" s="1429"/>
      <c r="ZW371" s="1429"/>
      <c r="ZX371" s="1429"/>
      <c r="ZY371" s="1429"/>
      <c r="ZZ371" s="1429"/>
      <c r="AAA371" s="1429"/>
      <c r="AAB371" s="1429"/>
      <c r="AAC371" s="1429"/>
      <c r="AAD371" s="1429"/>
      <c r="AAE371" s="1429"/>
      <c r="AAF371" s="1429"/>
      <c r="AAG371" s="1429"/>
      <c r="AAH371" s="1429"/>
      <c r="AAI371" s="1429"/>
      <c r="AAJ371" s="1429"/>
      <c r="AAK371" s="1429"/>
      <c r="AAL371" s="1429"/>
      <c r="AAM371" s="1429"/>
      <c r="AAN371" s="1430"/>
      <c r="AAO371" s="1429" t="s">
        <v>1795</v>
      </c>
      <c r="AAP371" s="1429"/>
      <c r="AAQ371" s="1429"/>
      <c r="AAR371" s="1429"/>
      <c r="AAS371" s="1429"/>
      <c r="AAT371" s="1429"/>
      <c r="AAU371" s="1429"/>
      <c r="AAV371" s="1429"/>
      <c r="AAW371" s="1429"/>
      <c r="AAX371" s="1429"/>
      <c r="AAY371" s="1429"/>
      <c r="AAZ371" s="1429"/>
      <c r="ABA371" s="1429"/>
      <c r="ABB371" s="1429"/>
      <c r="ABC371" s="1429"/>
      <c r="ABD371" s="1429"/>
      <c r="ABE371" s="1431"/>
      <c r="ABF371" s="1431"/>
      <c r="ABG371" s="1431"/>
      <c r="ABH371" s="1431"/>
      <c r="ABI371" s="1431"/>
      <c r="ABJ371" s="1431"/>
      <c r="ABK371" s="1431"/>
      <c r="ABL371" s="1431"/>
      <c r="ABM371" s="1429"/>
      <c r="ABN371" s="1429"/>
      <c r="ABO371" s="1429"/>
      <c r="ABP371" s="1429"/>
      <c r="ABQ371" s="1429"/>
      <c r="ABR371" s="1429"/>
      <c r="ABS371" s="1429"/>
      <c r="ABT371" s="1430"/>
      <c r="ABU371" s="1431" t="s">
        <v>1796</v>
      </c>
      <c r="ABV371" s="1431"/>
      <c r="ABW371" s="1431"/>
      <c r="ABX371" s="1431"/>
      <c r="ABY371" s="1431"/>
      <c r="ABZ371" s="1431"/>
      <c r="ACA371" s="1431"/>
      <c r="ACB371" s="1431"/>
      <c r="ACC371" s="1431"/>
      <c r="ACD371" s="1431"/>
      <c r="ACE371" s="1431"/>
      <c r="ACF371" s="1431"/>
      <c r="ACG371" s="1431"/>
      <c r="ACH371" s="1431"/>
      <c r="ACI371" s="1431"/>
      <c r="ACJ371" s="1431"/>
      <c r="ACK371" s="1431"/>
      <c r="ACL371" s="1431"/>
      <c r="ACM371" s="1431"/>
      <c r="ACN371" s="1431"/>
      <c r="ACO371" s="1431"/>
      <c r="ACP371" s="1431"/>
      <c r="ACQ371" s="1431"/>
      <c r="ACR371" s="1431"/>
      <c r="ACS371" s="1431"/>
      <c r="ACT371" s="1431"/>
      <c r="ACU371" s="1431"/>
      <c r="ACV371" s="1431"/>
      <c r="ACW371" s="1431"/>
      <c r="ACX371" s="1431"/>
      <c r="ACY371" s="1431"/>
      <c r="ACZ371" s="1432"/>
      <c r="ADA371" s="1431" t="s">
        <v>1797</v>
      </c>
      <c r="ADB371" s="1431"/>
      <c r="ADC371" s="1431"/>
      <c r="ADD371" s="1431"/>
      <c r="ADE371" s="1431"/>
      <c r="ADF371" s="1431"/>
      <c r="ADG371" s="1431"/>
      <c r="ADH371" s="1431"/>
      <c r="ADI371" s="1431"/>
      <c r="ADJ371" s="1431"/>
      <c r="ADK371" s="1431"/>
      <c r="ADL371" s="1431"/>
      <c r="ADM371" s="1431"/>
      <c r="ADN371" s="1431"/>
      <c r="ADO371" s="1431"/>
      <c r="ADP371" s="1431"/>
      <c r="ADQ371" s="1431"/>
      <c r="ADR371" s="1431"/>
      <c r="ADS371" s="1431"/>
      <c r="ADT371" s="1431"/>
      <c r="ADU371" s="1431"/>
      <c r="ADV371" s="1431"/>
      <c r="ADW371" s="1431"/>
      <c r="ADX371" s="1431"/>
      <c r="ADY371" s="1431"/>
      <c r="ADZ371" s="1431"/>
      <c r="AEA371" s="1431"/>
      <c r="AEB371" s="1431"/>
      <c r="AEC371" s="1431"/>
      <c r="AED371" s="1431"/>
      <c r="AEE371" s="1431"/>
      <c r="AEF371" s="1432"/>
      <c r="AEG371" s="1431" t="s">
        <v>1798</v>
      </c>
      <c r="AEH371" s="1431"/>
      <c r="AEI371" s="1431"/>
      <c r="AEJ371" s="1431"/>
      <c r="AEK371" s="1431"/>
      <c r="AEL371" s="1431"/>
      <c r="AEM371" s="1431"/>
      <c r="AEN371" s="1431"/>
      <c r="AEO371" s="1431"/>
      <c r="AEP371" s="1431"/>
      <c r="AEQ371" s="1431"/>
      <c r="AER371" s="1431"/>
      <c r="AES371" s="1431"/>
      <c r="AET371" s="1431"/>
      <c r="AEU371" s="1431"/>
      <c r="AEV371" s="1431"/>
      <c r="AEW371" s="1431"/>
      <c r="AEX371" s="1431"/>
      <c r="AEY371" s="1431"/>
      <c r="AEZ371" s="1431"/>
      <c r="AFA371" s="1431"/>
      <c r="AFB371" s="1431"/>
      <c r="AFC371" s="1431"/>
      <c r="AFD371" s="1431"/>
      <c r="AFE371" s="1431"/>
      <c r="AFF371" s="1431"/>
      <c r="AFG371" s="1431"/>
      <c r="AFH371" s="1431"/>
      <c r="AFI371" s="1431"/>
      <c r="AFJ371" s="1431"/>
      <c r="AFK371" s="1431"/>
      <c r="AFL371" s="1432"/>
      <c r="AFM371" s="1431" t="s">
        <v>1799</v>
      </c>
      <c r="AFN371" s="1431"/>
      <c r="AFO371" s="1431"/>
      <c r="AFP371" s="1431"/>
      <c r="AFQ371" s="1431"/>
      <c r="AFR371" s="1431"/>
      <c r="AFS371" s="1431"/>
      <c r="AFT371" s="1431"/>
      <c r="AFU371" s="1431"/>
      <c r="AFV371" s="1431"/>
      <c r="AFW371" s="1431"/>
      <c r="AFX371" s="1431"/>
      <c r="AFY371" s="1431"/>
      <c r="AFZ371" s="1431"/>
      <c r="AGA371" s="1431"/>
      <c r="AGB371" s="1431"/>
      <c r="AGC371" s="1431"/>
      <c r="AGD371" s="1431"/>
      <c r="AGE371" s="1431"/>
      <c r="AGF371" s="1431"/>
      <c r="AGG371" s="1431"/>
      <c r="AGH371" s="1431"/>
      <c r="AGI371" s="1431"/>
      <c r="AGJ371" s="1431"/>
      <c r="AGK371" s="1429"/>
      <c r="AGL371" s="1429"/>
      <c r="AGM371" s="1429"/>
      <c r="AGN371" s="1429"/>
      <c r="AGO371" s="1429"/>
      <c r="AGP371" s="1429"/>
      <c r="AGQ371" s="1429"/>
      <c r="AGR371" s="1430"/>
      <c r="AGS371" s="1427" t="s">
        <v>1800</v>
      </c>
      <c r="AGT371" s="1427"/>
      <c r="AGU371" s="1427"/>
      <c r="AGV371" s="1427"/>
      <c r="AGW371" s="1427"/>
      <c r="AGX371" s="1427"/>
      <c r="AGY371" s="1427"/>
      <c r="AGZ371" s="1428"/>
      <c r="AHA371" s="1433" t="s">
        <v>1801</v>
      </c>
      <c r="AHB371" s="1434"/>
      <c r="AHC371" s="1434"/>
      <c r="AHD371" s="1434"/>
      <c r="AHE371" s="1434"/>
      <c r="AHF371" s="1434"/>
      <c r="AHG371" s="1434"/>
      <c r="AHH371" s="1435"/>
      <c r="AHI371" s="1420" t="s">
        <v>1803</v>
      </c>
      <c r="AHJ371" s="1421"/>
      <c r="AHK371" s="1421"/>
      <c r="AHL371" s="1421"/>
      <c r="AHM371" s="1421"/>
      <c r="AHN371" s="1421"/>
      <c r="AHO371" s="1421"/>
      <c r="AHP371" s="1422"/>
      <c r="AHQ371" s="1420" t="s">
        <v>1802</v>
      </c>
      <c r="AHR371" s="1421"/>
      <c r="AHS371" s="1421"/>
      <c r="AHT371" s="1421"/>
      <c r="AHU371" s="1421"/>
      <c r="AHV371" s="1421"/>
      <c r="AHW371" s="1421"/>
      <c r="AHX371" s="1422"/>
      <c r="AHY371" s="1421" t="s">
        <v>2951</v>
      </c>
      <c r="AHZ371" s="1421"/>
      <c r="AIA371" s="1421"/>
      <c r="AIB371" s="1421"/>
      <c r="AIC371" s="1421"/>
      <c r="AID371" s="1421"/>
      <c r="AIE371" s="1421"/>
      <c r="AIF371" s="1421"/>
      <c r="AIG371" s="1421"/>
      <c r="AIH371" s="1421"/>
      <c r="AII371" s="1421"/>
      <c r="AIJ371" s="1421"/>
      <c r="AIK371" s="1421"/>
      <c r="AIL371" s="1421"/>
      <c r="AIM371" s="1421"/>
      <c r="AIN371" s="1421"/>
      <c r="AIO371" s="1421"/>
      <c r="AIP371" s="1421"/>
      <c r="AIQ371" s="1421"/>
      <c r="AIR371" s="1421"/>
      <c r="AIS371" s="1421"/>
      <c r="AIT371" s="1421"/>
      <c r="AIU371" s="1421"/>
      <c r="AIV371" s="1421"/>
      <c r="AIW371" s="1421"/>
      <c r="AIX371" s="1421"/>
      <c r="AIY371" s="1421"/>
      <c r="AIZ371" s="1421"/>
      <c r="AJA371" s="1421"/>
      <c r="AJB371" s="1421"/>
      <c r="AJC371" s="1421"/>
      <c r="AJD371" s="1421"/>
      <c r="AJE371" s="1421"/>
      <c r="AJF371" s="1421"/>
      <c r="AJG371" s="1421"/>
      <c r="AJH371" s="1421"/>
      <c r="AJI371" s="1421"/>
      <c r="AJJ371" s="1421"/>
      <c r="AJK371" s="1421"/>
      <c r="AJL371" s="1421"/>
      <c r="AJM371" s="1421"/>
      <c r="AJN371" s="1421"/>
      <c r="AJO371" s="1421"/>
      <c r="AJP371" s="1421"/>
      <c r="AJQ371" s="1421"/>
      <c r="AJR371" s="1421"/>
      <c r="AJS371" s="1421"/>
      <c r="AJT371" s="1421"/>
      <c r="AJU371" s="1420" t="s">
        <v>1804</v>
      </c>
      <c r="AJV371" s="1421"/>
      <c r="AJW371" s="1421"/>
      <c r="AJX371" s="1421"/>
      <c r="AJY371" s="1421"/>
      <c r="AJZ371" s="1421"/>
      <c r="AKA371" s="1421"/>
      <c r="AKB371" s="1421"/>
      <c r="AKC371" s="1421"/>
      <c r="AKD371" s="1422"/>
      <c r="AKE371" s="1420" t="s">
        <v>3000</v>
      </c>
      <c r="AKF371" s="1421"/>
      <c r="AKG371" s="1421"/>
      <c r="AKH371" s="1421"/>
      <c r="AKI371" s="1421"/>
      <c r="AKJ371" s="1421"/>
      <c r="AKK371" s="1421"/>
      <c r="AKL371" s="1421"/>
      <c r="AKM371" s="1421"/>
      <c r="AKN371" s="1421"/>
      <c r="AKO371" s="1421"/>
      <c r="AKP371" s="1421"/>
      <c r="AKQ371" s="1421"/>
      <c r="AKR371" s="1421"/>
      <c r="AKS371" s="1421"/>
      <c r="AKT371" s="1421"/>
      <c r="AKU371" s="1421"/>
      <c r="AKV371" s="1421"/>
      <c r="AKW371" s="1421"/>
      <c r="AKX371" s="1421"/>
      <c r="AKY371" s="1421"/>
      <c r="AKZ371" s="1421"/>
      <c r="ALA371" s="1421"/>
      <c r="ALB371" s="1421"/>
      <c r="ALC371" s="1421"/>
      <c r="ALD371" s="1421"/>
      <c r="ALE371" s="1421"/>
      <c r="ALF371" s="1421"/>
      <c r="ALG371" s="1421"/>
      <c r="ALH371" s="1421"/>
      <c r="ALI371" s="1421"/>
      <c r="ALJ371" s="1421"/>
      <c r="ALK371" s="1421"/>
      <c r="ALL371" s="1421"/>
      <c r="ALM371" s="1421"/>
      <c r="ALN371" s="1421"/>
      <c r="ALO371" s="1421"/>
      <c r="ALP371" s="1421"/>
      <c r="ALQ371" s="1421"/>
      <c r="ALR371" s="1421"/>
      <c r="ALS371" s="1421"/>
      <c r="ALT371" s="1421"/>
      <c r="ALU371" s="1421"/>
      <c r="ALV371" s="1421"/>
      <c r="ALW371" s="1421"/>
      <c r="ALX371" s="1421"/>
      <c r="ALY371" s="1421"/>
      <c r="ALZ371" s="1422"/>
    </row>
    <row r="372" spans="2:1014" ht="39.950000000000003" customHeight="1" thickBot="1">
      <c r="B372" s="1061" t="s">
        <v>1616</v>
      </c>
      <c r="C372" s="1343" t="s">
        <v>3061</v>
      </c>
      <c r="D372" s="1344" t="s">
        <v>94</v>
      </c>
      <c r="E372" s="1345" t="s">
        <v>3062</v>
      </c>
      <c r="F372" s="1148" t="s">
        <v>1687</v>
      </c>
      <c r="G372" s="1148" t="s">
        <v>1687</v>
      </c>
      <c r="H372" s="1149" t="s">
        <v>1687</v>
      </c>
      <c r="I372" s="1150" t="s">
        <v>490</v>
      </c>
      <c r="J372" s="1151" t="s">
        <v>1688</v>
      </c>
      <c r="K372" s="1151" t="s">
        <v>1688</v>
      </c>
      <c r="L372" s="1151" t="s">
        <v>1688</v>
      </c>
      <c r="M372" s="1150" t="s">
        <v>1012</v>
      </c>
      <c r="N372" s="1151" t="s">
        <v>1689</v>
      </c>
      <c r="O372" s="1151" t="s">
        <v>1689</v>
      </c>
      <c r="P372" s="1152" t="s">
        <v>1689</v>
      </c>
      <c r="Q372" s="1153" t="s">
        <v>1690</v>
      </c>
      <c r="R372" s="1154" t="s">
        <v>1755</v>
      </c>
      <c r="S372" s="782" t="s">
        <v>1681</v>
      </c>
      <c r="T372" s="782" t="s">
        <v>1681</v>
      </c>
      <c r="U372" s="1154" t="s">
        <v>1681</v>
      </c>
      <c r="V372" s="782" t="s">
        <v>1695</v>
      </c>
      <c r="W372" s="782" t="s">
        <v>1695</v>
      </c>
      <c r="X372" s="782" t="s">
        <v>1695</v>
      </c>
      <c r="Y372" s="782" t="s">
        <v>1695</v>
      </c>
      <c r="Z372" s="1154" t="s">
        <v>1695</v>
      </c>
      <c r="AA372" s="782" t="s">
        <v>1678</v>
      </c>
      <c r="AB372" s="782" t="s">
        <v>1678</v>
      </c>
      <c r="AC372" s="782" t="s">
        <v>1678</v>
      </c>
      <c r="AD372" s="782" t="s">
        <v>1678</v>
      </c>
      <c r="AE372" s="1154" t="s">
        <v>1678</v>
      </c>
      <c r="AF372" s="782" t="s">
        <v>1696</v>
      </c>
      <c r="AG372" s="782" t="s">
        <v>1696</v>
      </c>
      <c r="AH372" s="782" t="s">
        <v>1696</v>
      </c>
      <c r="AI372" s="782" t="s">
        <v>1696</v>
      </c>
      <c r="AJ372" s="1154" t="s">
        <v>1709</v>
      </c>
      <c r="AK372" s="782" t="s">
        <v>1707</v>
      </c>
      <c r="AL372" s="782" t="s">
        <v>1707</v>
      </c>
      <c r="AM372" s="782" t="s">
        <v>1707</v>
      </c>
      <c r="AN372" s="782" t="s">
        <v>1707</v>
      </c>
      <c r="AO372" s="1154" t="s">
        <v>1708</v>
      </c>
      <c r="AP372" s="782" t="s">
        <v>2276</v>
      </c>
      <c r="AQ372" s="782" t="s">
        <v>2276</v>
      </c>
      <c r="AR372" s="782" t="s">
        <v>2276</v>
      </c>
      <c r="AS372" s="782" t="s">
        <v>2276</v>
      </c>
      <c r="AT372" s="782" t="s">
        <v>2276</v>
      </c>
      <c r="AU372" s="782" t="s">
        <v>2276</v>
      </c>
      <c r="AV372" s="782" t="s">
        <v>2276</v>
      </c>
      <c r="AW372" s="783" t="s">
        <v>2539</v>
      </c>
      <c r="AX372" s="782" t="s">
        <v>2539</v>
      </c>
      <c r="AY372" s="782" t="s">
        <v>2539</v>
      </c>
      <c r="AZ372" s="782" t="s">
        <v>2539</v>
      </c>
      <c r="BA372" s="782" t="s">
        <v>2539</v>
      </c>
      <c r="BB372" s="1153" t="s">
        <v>1710</v>
      </c>
      <c r="BC372" s="782" t="s">
        <v>1754</v>
      </c>
      <c r="BD372" s="782" t="s">
        <v>1682</v>
      </c>
      <c r="BE372" s="782" t="s">
        <v>1682</v>
      </c>
      <c r="BF372" s="782" t="s">
        <v>1682</v>
      </c>
      <c r="BG372" s="782" t="s">
        <v>1791</v>
      </c>
      <c r="BH372" s="1154" t="s">
        <v>1713</v>
      </c>
      <c r="BI372" s="782" t="s">
        <v>1711</v>
      </c>
      <c r="BJ372" s="782" t="s">
        <v>1711</v>
      </c>
      <c r="BK372" s="782" t="s">
        <v>1711</v>
      </c>
      <c r="BL372" s="782" t="s">
        <v>1711</v>
      </c>
      <c r="BM372" s="782" t="s">
        <v>1711</v>
      </c>
      <c r="BN372" s="782" t="s">
        <v>1711</v>
      </c>
      <c r="BO372" s="782" t="s">
        <v>1711</v>
      </c>
      <c r="BP372" s="782" t="s">
        <v>1711</v>
      </c>
      <c r="BQ372" s="782" t="s">
        <v>1711</v>
      </c>
      <c r="BR372" s="782" t="s">
        <v>1711</v>
      </c>
      <c r="BS372" s="782" t="s">
        <v>1711</v>
      </c>
      <c r="BT372" s="782" t="s">
        <v>1711</v>
      </c>
      <c r="BU372" s="782" t="s">
        <v>1711</v>
      </c>
      <c r="BV372" s="782" t="s">
        <v>1711</v>
      </c>
      <c r="BW372" s="1154" t="s">
        <v>1711</v>
      </c>
      <c r="BX372" s="782" t="s">
        <v>1721</v>
      </c>
      <c r="BY372" s="782" t="s">
        <v>1721</v>
      </c>
      <c r="BZ372" s="782" t="s">
        <v>1721</v>
      </c>
      <c r="CA372" s="782" t="s">
        <v>1721</v>
      </c>
      <c r="CB372" s="782" t="s">
        <v>1721</v>
      </c>
      <c r="CC372" s="782" t="s">
        <v>1721</v>
      </c>
      <c r="CD372" s="782" t="s">
        <v>1721</v>
      </c>
      <c r="CE372" s="782" t="s">
        <v>1721</v>
      </c>
      <c r="CF372" s="782" t="s">
        <v>1721</v>
      </c>
      <c r="CG372" s="782" t="s">
        <v>1721</v>
      </c>
      <c r="CH372" s="782" t="s">
        <v>1721</v>
      </c>
      <c r="CI372" s="782" t="s">
        <v>1721</v>
      </c>
      <c r="CJ372" s="782" t="s">
        <v>1721</v>
      </c>
      <c r="CK372" s="782" t="s">
        <v>1721</v>
      </c>
      <c r="CL372" s="782" t="s">
        <v>1721</v>
      </c>
      <c r="CM372" s="783" t="s">
        <v>1722</v>
      </c>
      <c r="CN372" s="782" t="s">
        <v>1722</v>
      </c>
      <c r="CO372" s="782" t="s">
        <v>1722</v>
      </c>
      <c r="CP372" s="782" t="s">
        <v>1722</v>
      </c>
      <c r="CQ372" s="782" t="s">
        <v>1722</v>
      </c>
      <c r="CR372" s="782" t="s">
        <v>1722</v>
      </c>
      <c r="CS372" s="782" t="s">
        <v>1722</v>
      </c>
      <c r="CT372" s="782" t="s">
        <v>1722</v>
      </c>
      <c r="CU372" s="782" t="s">
        <v>1722</v>
      </c>
      <c r="CV372" s="782" t="s">
        <v>1722</v>
      </c>
      <c r="CW372" s="782" t="s">
        <v>1722</v>
      </c>
      <c r="CX372" s="782" t="s">
        <v>1722</v>
      </c>
      <c r="CY372" s="782" t="s">
        <v>1722</v>
      </c>
      <c r="CZ372" s="782" t="s">
        <v>1722</v>
      </c>
      <c r="DA372" s="782" t="s">
        <v>1722</v>
      </c>
      <c r="DB372" s="1155" t="s">
        <v>1679</v>
      </c>
      <c r="DC372" s="782" t="s">
        <v>1679</v>
      </c>
      <c r="DD372" s="782" t="s">
        <v>1679</v>
      </c>
      <c r="DE372" s="782" t="s">
        <v>1679</v>
      </c>
      <c r="DF372" s="782" t="s">
        <v>1679</v>
      </c>
      <c r="DG372" s="783" t="s">
        <v>2627</v>
      </c>
      <c r="DH372" s="782" t="s">
        <v>2627</v>
      </c>
      <c r="DI372" s="782" t="s">
        <v>2627</v>
      </c>
      <c r="DJ372" s="782" t="s">
        <v>2627</v>
      </c>
      <c r="DK372" s="782" t="s">
        <v>2627</v>
      </c>
      <c r="DL372" s="1156" t="s">
        <v>1756</v>
      </c>
      <c r="DM372" s="1157" t="s">
        <v>1758</v>
      </c>
      <c r="DN372" s="1157" t="s">
        <v>1759</v>
      </c>
      <c r="DO372" s="1157" t="s">
        <v>1757</v>
      </c>
      <c r="DP372" s="1157" t="s">
        <v>1757</v>
      </c>
      <c r="DQ372" s="1157" t="s">
        <v>1757</v>
      </c>
      <c r="DR372" s="1155" t="s">
        <v>2344</v>
      </c>
      <c r="DS372" s="1157" t="s">
        <v>2344</v>
      </c>
      <c r="DT372" s="1157" t="s">
        <v>2344</v>
      </c>
      <c r="DU372" s="1157" t="s">
        <v>2344</v>
      </c>
      <c r="DV372" s="1157" t="s">
        <v>2344</v>
      </c>
      <c r="DW372" s="1157" t="s">
        <v>2344</v>
      </c>
      <c r="DX372" s="1157" t="s">
        <v>2344</v>
      </c>
      <c r="DY372" s="1155" t="s">
        <v>2576</v>
      </c>
      <c r="DZ372" s="1157" t="s">
        <v>2576</v>
      </c>
      <c r="EA372" s="1157" t="s">
        <v>2576</v>
      </c>
      <c r="EB372" s="1157" t="s">
        <v>2576</v>
      </c>
      <c r="EC372" s="1157" t="s">
        <v>2576</v>
      </c>
      <c r="ED372" s="1157" t="s">
        <v>2576</v>
      </c>
      <c r="EE372" s="985" t="s">
        <v>2576</v>
      </c>
      <c r="EF372" s="1158" t="s">
        <v>1760</v>
      </c>
      <c r="EG372" s="782" t="s">
        <v>1761</v>
      </c>
      <c r="EH372" s="782" t="s">
        <v>1765</v>
      </c>
      <c r="EI372" s="782" t="s">
        <v>1766</v>
      </c>
      <c r="EJ372" s="782" t="s">
        <v>1766</v>
      </c>
      <c r="EK372" s="782" t="s">
        <v>1766</v>
      </c>
      <c r="EL372" s="984" t="s">
        <v>2480</v>
      </c>
      <c r="EM372" s="1157" t="s">
        <v>2480</v>
      </c>
      <c r="EN372" s="1157" t="s">
        <v>2480</v>
      </c>
      <c r="EO372" s="1157" t="s">
        <v>2480</v>
      </c>
      <c r="EP372" s="1157" t="s">
        <v>2480</v>
      </c>
      <c r="EQ372" s="1157" t="s">
        <v>2480</v>
      </c>
      <c r="ER372" s="1157" t="s">
        <v>2480</v>
      </c>
      <c r="ES372" s="1157" t="s">
        <v>2480</v>
      </c>
      <c r="ET372" s="1157" t="s">
        <v>2480</v>
      </c>
      <c r="EU372" s="1157" t="s">
        <v>2480</v>
      </c>
      <c r="EV372" s="1157" t="s">
        <v>2480</v>
      </c>
      <c r="EW372" s="1157" t="s">
        <v>2480</v>
      </c>
      <c r="EX372" s="1157" t="s">
        <v>2480</v>
      </c>
      <c r="EY372" s="1157" t="s">
        <v>2480</v>
      </c>
      <c r="EZ372" s="1157" t="s">
        <v>2480</v>
      </c>
      <c r="FA372" s="1157" t="s">
        <v>2480</v>
      </c>
      <c r="FB372" s="1157" t="s">
        <v>2480</v>
      </c>
      <c r="FC372" s="1157" t="s">
        <v>2480</v>
      </c>
      <c r="FD372" s="1157" t="s">
        <v>2480</v>
      </c>
      <c r="FE372" s="1157" t="s">
        <v>2480</v>
      </c>
      <c r="FF372" s="1157" t="s">
        <v>2480</v>
      </c>
      <c r="FG372" s="1157" t="s">
        <v>2480</v>
      </c>
      <c r="FH372" s="1157" t="s">
        <v>2480</v>
      </c>
      <c r="FI372" s="1157" t="s">
        <v>2480</v>
      </c>
      <c r="FJ372" s="1157" t="s">
        <v>2480</v>
      </c>
      <c r="FK372" s="1157" t="s">
        <v>2480</v>
      </c>
      <c r="FL372" s="1157" t="s">
        <v>2480</v>
      </c>
      <c r="FM372" s="1157" t="s">
        <v>2480</v>
      </c>
      <c r="FN372" s="1157" t="s">
        <v>2480</v>
      </c>
      <c r="FO372" s="1157" t="s">
        <v>2480</v>
      </c>
      <c r="FP372" s="1157" t="s">
        <v>2480</v>
      </c>
      <c r="FQ372" s="1157" t="s">
        <v>2480</v>
      </c>
      <c r="FR372" s="1157" t="s">
        <v>2480</v>
      </c>
      <c r="FS372" s="1157" t="s">
        <v>2480</v>
      </c>
      <c r="FT372" s="1157" t="s">
        <v>2480</v>
      </c>
      <c r="FU372" s="1157" t="s">
        <v>2480</v>
      </c>
      <c r="FV372" s="1157" t="s">
        <v>2480</v>
      </c>
      <c r="FW372" s="1157" t="s">
        <v>2480</v>
      </c>
      <c r="FX372" s="1157" t="s">
        <v>2480</v>
      </c>
      <c r="FY372" s="1157" t="s">
        <v>2480</v>
      </c>
      <c r="FZ372" s="1157" t="s">
        <v>2480</v>
      </c>
      <c r="GA372" s="1157" t="s">
        <v>2480</v>
      </c>
      <c r="GB372" s="1157" t="s">
        <v>2480</v>
      </c>
      <c r="GC372" s="1157" t="s">
        <v>2480</v>
      </c>
      <c r="GD372" s="1157" t="s">
        <v>2480</v>
      </c>
      <c r="GE372" s="1157" t="s">
        <v>2480</v>
      </c>
      <c r="GF372" s="1157" t="s">
        <v>2480</v>
      </c>
      <c r="GG372" s="1157" t="s">
        <v>2480</v>
      </c>
      <c r="GH372" s="1157" t="s">
        <v>2480</v>
      </c>
      <c r="GI372" s="1157" t="s">
        <v>2480</v>
      </c>
      <c r="GJ372" s="1157" t="s">
        <v>2480</v>
      </c>
      <c r="GK372" s="1157" t="s">
        <v>2480</v>
      </c>
      <c r="GL372" s="1157" t="s">
        <v>2480</v>
      </c>
      <c r="GM372" s="1157" t="s">
        <v>2480</v>
      </c>
      <c r="GN372" s="1157" t="s">
        <v>2480</v>
      </c>
      <c r="GO372" s="1157" t="s">
        <v>2480</v>
      </c>
      <c r="GP372" s="1157" t="s">
        <v>2480</v>
      </c>
      <c r="GQ372" s="1157" t="s">
        <v>2480</v>
      </c>
      <c r="GR372" s="1155" t="s">
        <v>2575</v>
      </c>
      <c r="GS372" s="1157" t="s">
        <v>2575</v>
      </c>
      <c r="GT372" s="1157" t="s">
        <v>2575</v>
      </c>
      <c r="GU372" s="1157" t="s">
        <v>2575</v>
      </c>
      <c r="GV372" s="1157" t="s">
        <v>2575</v>
      </c>
      <c r="GW372" s="1157" t="s">
        <v>2575</v>
      </c>
      <c r="GX372" s="1157" t="s">
        <v>2575</v>
      </c>
      <c r="GY372" s="1157" t="s">
        <v>2575</v>
      </c>
      <c r="GZ372" s="1157" t="s">
        <v>2575</v>
      </c>
      <c r="HA372" s="1157" t="s">
        <v>2575</v>
      </c>
      <c r="HB372" s="1157" t="s">
        <v>2575</v>
      </c>
      <c r="HC372" s="1157" t="s">
        <v>2575</v>
      </c>
      <c r="HD372" s="1157" t="s">
        <v>2575</v>
      </c>
      <c r="HE372" s="1157" t="s">
        <v>2575</v>
      </c>
      <c r="HF372" s="1157" t="s">
        <v>2575</v>
      </c>
      <c r="HG372" s="1157" t="s">
        <v>2575</v>
      </c>
      <c r="HH372" s="1157" t="s">
        <v>2575</v>
      </c>
      <c r="HI372" s="1157" t="s">
        <v>2575</v>
      </c>
      <c r="HJ372" s="1157" t="s">
        <v>2575</v>
      </c>
      <c r="HK372" s="1157" t="s">
        <v>2575</v>
      </c>
      <c r="HL372" s="1157" t="s">
        <v>2575</v>
      </c>
      <c r="HM372" s="1157" t="s">
        <v>2575</v>
      </c>
      <c r="HN372" s="1157" t="s">
        <v>2575</v>
      </c>
      <c r="HO372" s="1157" t="s">
        <v>2575</v>
      </c>
      <c r="HP372" s="1157" t="s">
        <v>2575</v>
      </c>
      <c r="HQ372" s="1157" t="s">
        <v>2575</v>
      </c>
      <c r="HR372" s="1157" t="s">
        <v>2575</v>
      </c>
      <c r="HS372" s="1157" t="s">
        <v>2575</v>
      </c>
      <c r="HT372" s="1157" t="s">
        <v>2575</v>
      </c>
      <c r="HU372" s="1157" t="s">
        <v>2575</v>
      </c>
      <c r="HV372" s="1157" t="s">
        <v>2575</v>
      </c>
      <c r="HW372" s="1157" t="s">
        <v>2575</v>
      </c>
      <c r="HX372" s="1157" t="s">
        <v>2575</v>
      </c>
      <c r="HY372" s="1157" t="s">
        <v>2575</v>
      </c>
      <c r="HZ372" s="1157" t="s">
        <v>2575</v>
      </c>
      <c r="IA372" s="1157" t="s">
        <v>2575</v>
      </c>
      <c r="IB372" s="1157" t="s">
        <v>2575</v>
      </c>
      <c r="IC372" s="1157" t="s">
        <v>2575</v>
      </c>
      <c r="ID372" s="1157" t="s">
        <v>2575</v>
      </c>
      <c r="IE372" s="1157" t="s">
        <v>2575</v>
      </c>
      <c r="IF372" s="1157" t="s">
        <v>2575</v>
      </c>
      <c r="IG372" s="1157" t="s">
        <v>2575</v>
      </c>
      <c r="IH372" s="1157" t="s">
        <v>2575</v>
      </c>
      <c r="II372" s="1157" t="s">
        <v>2575</v>
      </c>
      <c r="IJ372" s="1157" t="s">
        <v>2575</v>
      </c>
      <c r="IK372" s="1157" t="s">
        <v>2575</v>
      </c>
      <c r="IL372" s="1157" t="s">
        <v>2575</v>
      </c>
      <c r="IM372" s="1157" t="s">
        <v>2575</v>
      </c>
      <c r="IN372" s="1157" t="s">
        <v>2575</v>
      </c>
      <c r="IO372" s="1157" t="s">
        <v>2575</v>
      </c>
      <c r="IP372" s="1157" t="s">
        <v>2575</v>
      </c>
      <c r="IQ372" s="1157" t="s">
        <v>2575</v>
      </c>
      <c r="IR372" s="1157" t="s">
        <v>2575</v>
      </c>
      <c r="IS372" s="1157" t="s">
        <v>2575</v>
      </c>
      <c r="IT372" s="1157" t="s">
        <v>2575</v>
      </c>
      <c r="IU372" s="1157" t="s">
        <v>2575</v>
      </c>
      <c r="IV372" s="1157" t="s">
        <v>2575</v>
      </c>
      <c r="IW372" s="1157" t="s">
        <v>2575</v>
      </c>
      <c r="IX372" s="1156" t="s">
        <v>1767</v>
      </c>
      <c r="IY372" s="1157" t="s">
        <v>1768</v>
      </c>
      <c r="IZ372" s="1157" t="s">
        <v>1769</v>
      </c>
      <c r="JA372" s="1157" t="s">
        <v>1770</v>
      </c>
      <c r="JB372" s="1157" t="s">
        <v>1773</v>
      </c>
      <c r="JC372" s="1157" t="s">
        <v>1680</v>
      </c>
      <c r="JD372" s="1157" t="s">
        <v>1680</v>
      </c>
      <c r="JE372" s="1159" t="s">
        <v>1680</v>
      </c>
      <c r="JF372" s="1157" t="s">
        <v>1676</v>
      </c>
      <c r="JG372" s="1157" t="s">
        <v>1676</v>
      </c>
      <c r="JH372" s="1157" t="s">
        <v>1676</v>
      </c>
      <c r="JI372" s="1157" t="s">
        <v>1676</v>
      </c>
      <c r="JJ372" s="985" t="s">
        <v>1676</v>
      </c>
      <c r="JK372" s="984" t="s">
        <v>1772</v>
      </c>
      <c r="JL372" s="1157" t="s">
        <v>1769</v>
      </c>
      <c r="JM372" s="1157" t="s">
        <v>1770</v>
      </c>
      <c r="JN372" s="1157" t="s">
        <v>161</v>
      </c>
      <c r="JO372" s="1157" t="s">
        <v>1675</v>
      </c>
      <c r="JP372" s="1157" t="s">
        <v>1675</v>
      </c>
      <c r="JQ372" s="1157" t="s">
        <v>1675</v>
      </c>
      <c r="JR372" s="1155" t="s">
        <v>1683</v>
      </c>
      <c r="JS372" s="1157" t="s">
        <v>1683</v>
      </c>
      <c r="JT372" s="1157" t="s">
        <v>1683</v>
      </c>
      <c r="JU372" s="1157" t="s">
        <v>1683</v>
      </c>
      <c r="JV372" s="1157" t="s">
        <v>1683</v>
      </c>
      <c r="JW372" s="1160" t="s">
        <v>2675</v>
      </c>
      <c r="JX372" s="781" t="s">
        <v>1774</v>
      </c>
      <c r="JY372" s="782" t="s">
        <v>40</v>
      </c>
      <c r="JZ372" s="782" t="s">
        <v>1684</v>
      </c>
      <c r="KA372" s="782" t="s">
        <v>1684</v>
      </c>
      <c r="KB372" s="782" t="s">
        <v>1684</v>
      </c>
      <c r="KC372" s="783" t="s">
        <v>1677</v>
      </c>
      <c r="KD372" s="782" t="s">
        <v>1677</v>
      </c>
      <c r="KE372" s="782" t="s">
        <v>1677</v>
      </c>
      <c r="KF372" s="782" t="s">
        <v>1677</v>
      </c>
      <c r="KG372" s="782" t="s">
        <v>1677</v>
      </c>
      <c r="KH372" s="783" t="s">
        <v>2604</v>
      </c>
      <c r="KI372" s="782" t="s">
        <v>2604</v>
      </c>
      <c r="KJ372" s="782" t="s">
        <v>2604</v>
      </c>
      <c r="KK372" s="782" t="s">
        <v>2604</v>
      </c>
      <c r="KL372" s="782" t="s">
        <v>2604</v>
      </c>
      <c r="KM372" s="782" t="s">
        <v>2604</v>
      </c>
      <c r="KN372" s="782" t="s">
        <v>2604</v>
      </c>
      <c r="KO372" s="782" t="s">
        <v>2604</v>
      </c>
      <c r="KP372" s="782" t="s">
        <v>2604</v>
      </c>
      <c r="KQ372" s="783" t="s">
        <v>2635</v>
      </c>
      <c r="KR372" s="782" t="s">
        <v>2635</v>
      </c>
      <c r="KS372" s="782" t="s">
        <v>2635</v>
      </c>
      <c r="KT372" s="782" t="s">
        <v>2635</v>
      </c>
      <c r="KU372" s="782" t="s">
        <v>2635</v>
      </c>
      <c r="KV372" s="782" t="s">
        <v>2635</v>
      </c>
      <c r="KW372" s="782" t="s">
        <v>2635</v>
      </c>
      <c r="KX372" s="782" t="s">
        <v>2635</v>
      </c>
      <c r="KY372" s="782" t="s">
        <v>2635</v>
      </c>
      <c r="KZ372" s="783" t="s">
        <v>2648</v>
      </c>
      <c r="LA372" s="782" t="s">
        <v>2648</v>
      </c>
      <c r="LB372" s="782" t="s">
        <v>2648</v>
      </c>
      <c r="LC372" s="782" t="s">
        <v>2648</v>
      </c>
      <c r="LD372" s="782" t="s">
        <v>2648</v>
      </c>
      <c r="LE372" s="782" t="s">
        <v>2648</v>
      </c>
      <c r="LF372" s="782" t="s">
        <v>2648</v>
      </c>
      <c r="LG372" s="782" t="s">
        <v>2648</v>
      </c>
      <c r="LH372" s="782" t="s">
        <v>2648</v>
      </c>
      <c r="LI372" s="783" t="s">
        <v>2649</v>
      </c>
      <c r="LJ372" s="782" t="s">
        <v>2649</v>
      </c>
      <c r="LK372" s="782" t="s">
        <v>2649</v>
      </c>
      <c r="LL372" s="782" t="s">
        <v>2649</v>
      </c>
      <c r="LM372" s="782" t="s">
        <v>2649</v>
      </c>
      <c r="LN372" s="1160" t="s">
        <v>2677</v>
      </c>
      <c r="LO372" s="984" t="s">
        <v>1775</v>
      </c>
      <c r="LP372" s="1157" t="s">
        <v>1776</v>
      </c>
      <c r="LQ372" s="1157" t="s">
        <v>1685</v>
      </c>
      <c r="LR372" s="1157" t="s">
        <v>1685</v>
      </c>
      <c r="LS372" s="1157" t="s">
        <v>1685</v>
      </c>
      <c r="LT372" s="1155" t="s">
        <v>1686</v>
      </c>
      <c r="LU372" s="1157" t="s">
        <v>1686</v>
      </c>
      <c r="LV372" s="1157" t="s">
        <v>1686</v>
      </c>
      <c r="LW372" s="1157" t="s">
        <v>1686</v>
      </c>
      <c r="LX372" s="1157" t="s">
        <v>1686</v>
      </c>
      <c r="LY372" s="1155" t="s">
        <v>2677</v>
      </c>
      <c r="LZ372" s="984" t="s">
        <v>2949</v>
      </c>
      <c r="MA372" s="985" t="s">
        <v>2943</v>
      </c>
      <c r="MB372" s="1157" t="s">
        <v>2915</v>
      </c>
      <c r="MC372" s="782" t="s">
        <v>2915</v>
      </c>
      <c r="MD372" s="782" t="s">
        <v>2915</v>
      </c>
      <c r="ME372" s="1157" t="s">
        <v>2915</v>
      </c>
      <c r="MF372" s="1155" t="s">
        <v>2936</v>
      </c>
      <c r="MG372" s="1157" t="s">
        <v>2936</v>
      </c>
      <c r="MH372" s="1157" t="s">
        <v>2936</v>
      </c>
      <c r="MI372" s="1157" t="s">
        <v>2936</v>
      </c>
      <c r="MJ372" s="983" t="s">
        <v>97</v>
      </c>
      <c r="MK372" s="982" t="s">
        <v>97</v>
      </c>
      <c r="ML372" s="982" t="s">
        <v>97</v>
      </c>
      <c r="MM372" s="982" t="s">
        <v>97</v>
      </c>
      <c r="MN372" s="983" t="s">
        <v>98</v>
      </c>
      <c r="MO372" s="982" t="s">
        <v>98</v>
      </c>
      <c r="MP372" s="982" t="s">
        <v>98</v>
      </c>
      <c r="MQ372" s="982" t="s">
        <v>98</v>
      </c>
      <c r="MR372" s="983" t="s">
        <v>99</v>
      </c>
      <c r="MS372" s="982" t="s">
        <v>99</v>
      </c>
      <c r="MT372" s="982" t="s">
        <v>99</v>
      </c>
      <c r="MU372" s="981" t="s">
        <v>99</v>
      </c>
      <c r="MV372" s="984" t="s">
        <v>1778</v>
      </c>
      <c r="MW372" s="1157" t="s">
        <v>1778</v>
      </c>
      <c r="MX372" s="985" t="s">
        <v>1778</v>
      </c>
      <c r="MY372" s="1161" t="s">
        <v>480</v>
      </c>
      <c r="MZ372" s="1162" t="s">
        <v>1806</v>
      </c>
      <c r="NA372" s="1162" t="s">
        <v>1806</v>
      </c>
      <c r="NB372" s="1163" t="s">
        <v>1806</v>
      </c>
      <c r="NC372" s="1164" t="s">
        <v>477</v>
      </c>
      <c r="ND372" s="1164" t="s">
        <v>1807</v>
      </c>
      <c r="NE372" s="1164" t="s">
        <v>1807</v>
      </c>
      <c r="NF372" s="1164" t="s">
        <v>1807</v>
      </c>
      <c r="NG372" s="1161" t="s">
        <v>478</v>
      </c>
      <c r="NH372" s="1162" t="s">
        <v>1808</v>
      </c>
      <c r="NI372" s="1162" t="s">
        <v>1808</v>
      </c>
      <c r="NJ372" s="1163" t="s">
        <v>1808</v>
      </c>
      <c r="NK372" s="1164" t="s">
        <v>479</v>
      </c>
      <c r="NL372" s="1164" t="s">
        <v>1809</v>
      </c>
      <c r="NM372" s="1164" t="s">
        <v>1809</v>
      </c>
      <c r="NN372" s="1164" t="s">
        <v>1809</v>
      </c>
      <c r="NO372" s="1161" t="s">
        <v>481</v>
      </c>
      <c r="NP372" s="1162" t="s">
        <v>1810</v>
      </c>
      <c r="NQ372" s="1162" t="s">
        <v>1810</v>
      </c>
      <c r="NR372" s="1163" t="s">
        <v>1810</v>
      </c>
      <c r="NS372" s="1161" t="s">
        <v>482</v>
      </c>
      <c r="NT372" s="1162" t="s">
        <v>1811</v>
      </c>
      <c r="NU372" s="1162" t="s">
        <v>1811</v>
      </c>
      <c r="NV372" s="1163" t="s">
        <v>1811</v>
      </c>
      <c r="NW372" s="1165" t="s">
        <v>910</v>
      </c>
      <c r="NX372" s="1166" t="s">
        <v>910</v>
      </c>
      <c r="NY372" s="1166" t="s">
        <v>910</v>
      </c>
      <c r="NZ372" s="1166" t="s">
        <v>910</v>
      </c>
      <c r="OA372" s="1166" t="s">
        <v>910</v>
      </c>
      <c r="OB372" s="1167" t="s">
        <v>910</v>
      </c>
      <c r="OC372" s="1166" t="s">
        <v>911</v>
      </c>
      <c r="OD372" s="1166" t="s">
        <v>911</v>
      </c>
      <c r="OE372" s="1166" t="s">
        <v>911</v>
      </c>
      <c r="OF372" s="1166" t="s">
        <v>911</v>
      </c>
      <c r="OG372" s="1166" t="s">
        <v>911</v>
      </c>
      <c r="OH372" s="1167" t="s">
        <v>911</v>
      </c>
      <c r="OI372" s="1166" t="s">
        <v>912</v>
      </c>
      <c r="OJ372" s="1166" t="s">
        <v>912</v>
      </c>
      <c r="OK372" s="1166" t="s">
        <v>912</v>
      </c>
      <c r="OL372" s="1166" t="s">
        <v>912</v>
      </c>
      <c r="OM372" s="1166" t="s">
        <v>912</v>
      </c>
      <c r="ON372" s="1167" t="s">
        <v>912</v>
      </c>
      <c r="OO372" s="1166" t="s">
        <v>913</v>
      </c>
      <c r="OP372" s="1166" t="s">
        <v>913</v>
      </c>
      <c r="OQ372" s="1166" t="s">
        <v>913</v>
      </c>
      <c r="OR372" s="1166" t="s">
        <v>913</v>
      </c>
      <c r="OS372" s="1166" t="s">
        <v>913</v>
      </c>
      <c r="OT372" s="1167" t="s">
        <v>913</v>
      </c>
      <c r="OU372" s="1166" t="s">
        <v>914</v>
      </c>
      <c r="OV372" s="1166" t="s">
        <v>914</v>
      </c>
      <c r="OW372" s="1166" t="s">
        <v>914</v>
      </c>
      <c r="OX372" s="1166" t="s">
        <v>914</v>
      </c>
      <c r="OY372" s="1166" t="s">
        <v>914</v>
      </c>
      <c r="OZ372" s="1167" t="s">
        <v>914</v>
      </c>
      <c r="PA372" s="1166" t="s">
        <v>915</v>
      </c>
      <c r="PB372" s="1166" t="s">
        <v>915</v>
      </c>
      <c r="PC372" s="1166" t="s">
        <v>915</v>
      </c>
      <c r="PD372" s="1166" t="s">
        <v>915</v>
      </c>
      <c r="PE372" s="1166" t="s">
        <v>915</v>
      </c>
      <c r="PF372" s="1168" t="s">
        <v>915</v>
      </c>
      <c r="PG372" s="1165" t="s">
        <v>916</v>
      </c>
      <c r="PH372" s="1166" t="s">
        <v>916</v>
      </c>
      <c r="PI372" s="1166" t="s">
        <v>916</v>
      </c>
      <c r="PJ372" s="1166" t="s">
        <v>916</v>
      </c>
      <c r="PK372" s="1166" t="s">
        <v>916</v>
      </c>
      <c r="PL372" s="1167" t="s">
        <v>916</v>
      </c>
      <c r="PM372" s="1166" t="s">
        <v>917</v>
      </c>
      <c r="PN372" s="1166" t="s">
        <v>917</v>
      </c>
      <c r="PO372" s="1166" t="s">
        <v>917</v>
      </c>
      <c r="PP372" s="1166" t="s">
        <v>917</v>
      </c>
      <c r="PQ372" s="1166" t="s">
        <v>917</v>
      </c>
      <c r="PR372" s="1167" t="s">
        <v>917</v>
      </c>
      <c r="PS372" s="1166" t="s">
        <v>918</v>
      </c>
      <c r="PT372" s="1166" t="s">
        <v>918</v>
      </c>
      <c r="PU372" s="1166" t="s">
        <v>918</v>
      </c>
      <c r="PV372" s="1166" t="s">
        <v>918</v>
      </c>
      <c r="PW372" s="1166" t="s">
        <v>918</v>
      </c>
      <c r="PX372" s="1167" t="s">
        <v>918</v>
      </c>
      <c r="PY372" s="1166" t="s">
        <v>919</v>
      </c>
      <c r="PZ372" s="1166" t="s">
        <v>919</v>
      </c>
      <c r="QA372" s="1166" t="s">
        <v>919</v>
      </c>
      <c r="QB372" s="1166" t="s">
        <v>919</v>
      </c>
      <c r="QC372" s="1166" t="s">
        <v>919</v>
      </c>
      <c r="QD372" s="1168" t="s">
        <v>919</v>
      </c>
      <c r="QE372" s="1165" t="s">
        <v>920</v>
      </c>
      <c r="QF372" s="1166" t="s">
        <v>920</v>
      </c>
      <c r="QG372" s="1166" t="s">
        <v>920</v>
      </c>
      <c r="QH372" s="1166" t="s">
        <v>920</v>
      </c>
      <c r="QI372" s="1166" t="s">
        <v>920</v>
      </c>
      <c r="QJ372" s="1167" t="s">
        <v>920</v>
      </c>
      <c r="QK372" s="1166" t="s">
        <v>921</v>
      </c>
      <c r="QL372" s="1166" t="s">
        <v>921</v>
      </c>
      <c r="QM372" s="1166" t="s">
        <v>921</v>
      </c>
      <c r="QN372" s="1166" t="s">
        <v>921</v>
      </c>
      <c r="QO372" s="1166" t="s">
        <v>921</v>
      </c>
      <c r="QP372" s="1167" t="s">
        <v>921</v>
      </c>
      <c r="QQ372" s="1166" t="s">
        <v>922</v>
      </c>
      <c r="QR372" s="1166" t="s">
        <v>922</v>
      </c>
      <c r="QS372" s="1166" t="s">
        <v>922</v>
      </c>
      <c r="QT372" s="1166" t="s">
        <v>922</v>
      </c>
      <c r="QU372" s="1166" t="s">
        <v>922</v>
      </c>
      <c r="QV372" s="1167" t="s">
        <v>922</v>
      </c>
      <c r="QW372" s="1166" t="s">
        <v>923</v>
      </c>
      <c r="QX372" s="1166" t="s">
        <v>923</v>
      </c>
      <c r="QY372" s="1166" t="s">
        <v>923</v>
      </c>
      <c r="QZ372" s="1166" t="s">
        <v>923</v>
      </c>
      <c r="RA372" s="1166" t="s">
        <v>923</v>
      </c>
      <c r="RB372" s="1167" t="s">
        <v>923</v>
      </c>
      <c r="RC372" s="1166" t="s">
        <v>924</v>
      </c>
      <c r="RD372" s="1166" t="s">
        <v>924</v>
      </c>
      <c r="RE372" s="1166" t="s">
        <v>924</v>
      </c>
      <c r="RF372" s="1166" t="s">
        <v>924</v>
      </c>
      <c r="RG372" s="1166" t="s">
        <v>924</v>
      </c>
      <c r="RH372" s="1168" t="s">
        <v>924</v>
      </c>
      <c r="RI372" s="1165" t="s">
        <v>925</v>
      </c>
      <c r="RJ372" s="1166" t="s">
        <v>925</v>
      </c>
      <c r="RK372" s="1166" t="s">
        <v>925</v>
      </c>
      <c r="RL372" s="1166" t="s">
        <v>925</v>
      </c>
      <c r="RM372" s="1166" t="s">
        <v>925</v>
      </c>
      <c r="RN372" s="1167" t="s">
        <v>925</v>
      </c>
      <c r="RO372" s="1166" t="s">
        <v>909</v>
      </c>
      <c r="RP372" s="1166" t="s">
        <v>909</v>
      </c>
      <c r="RQ372" s="1166" t="s">
        <v>909</v>
      </c>
      <c r="RR372" s="1166" t="s">
        <v>909</v>
      </c>
      <c r="RS372" s="1166" t="s">
        <v>909</v>
      </c>
      <c r="RT372" s="1167" t="s">
        <v>909</v>
      </c>
      <c r="RU372" s="1166" t="s">
        <v>926</v>
      </c>
      <c r="RV372" s="1166" t="s">
        <v>926</v>
      </c>
      <c r="RW372" s="1166" t="s">
        <v>926</v>
      </c>
      <c r="RX372" s="1166" t="s">
        <v>926</v>
      </c>
      <c r="RY372" s="1166" t="s">
        <v>926</v>
      </c>
      <c r="RZ372" s="1167" t="s">
        <v>926</v>
      </c>
      <c r="SA372" s="1166" t="s">
        <v>927</v>
      </c>
      <c r="SB372" s="1166" t="s">
        <v>927</v>
      </c>
      <c r="SC372" s="1166" t="s">
        <v>927</v>
      </c>
      <c r="SD372" s="1166" t="s">
        <v>927</v>
      </c>
      <c r="SE372" s="1166" t="s">
        <v>927</v>
      </c>
      <c r="SF372" s="1167" t="s">
        <v>927</v>
      </c>
      <c r="SG372" s="1166" t="s">
        <v>928</v>
      </c>
      <c r="SH372" s="1166" t="s">
        <v>928</v>
      </c>
      <c r="SI372" s="1166" t="s">
        <v>928</v>
      </c>
      <c r="SJ372" s="1166" t="s">
        <v>928</v>
      </c>
      <c r="SK372" s="1166" t="s">
        <v>928</v>
      </c>
      <c r="SL372" s="1168" t="s">
        <v>928</v>
      </c>
      <c r="SM372" s="1165" t="s">
        <v>929</v>
      </c>
      <c r="SN372" s="1166" t="s">
        <v>929</v>
      </c>
      <c r="SO372" s="1166" t="s">
        <v>929</v>
      </c>
      <c r="SP372" s="1166" t="s">
        <v>929</v>
      </c>
      <c r="SQ372" s="1166" t="s">
        <v>929</v>
      </c>
      <c r="SR372" s="1167" t="s">
        <v>929</v>
      </c>
      <c r="SS372" s="1166" t="s">
        <v>930</v>
      </c>
      <c r="ST372" s="1166" t="s">
        <v>930</v>
      </c>
      <c r="SU372" s="1166" t="s">
        <v>930</v>
      </c>
      <c r="SV372" s="1166" t="s">
        <v>930</v>
      </c>
      <c r="SW372" s="1166" t="s">
        <v>930</v>
      </c>
      <c r="SX372" s="1166" t="s">
        <v>930</v>
      </c>
      <c r="SY372" s="1169" t="s">
        <v>931</v>
      </c>
      <c r="SZ372" s="1166" t="s">
        <v>931</v>
      </c>
      <c r="TA372" s="1166" t="s">
        <v>931</v>
      </c>
      <c r="TB372" s="1166" t="s">
        <v>931</v>
      </c>
      <c r="TC372" s="1166" t="s">
        <v>931</v>
      </c>
      <c r="TD372" s="1166" t="s">
        <v>931</v>
      </c>
      <c r="TE372" s="1169" t="s">
        <v>932</v>
      </c>
      <c r="TF372" s="1166" t="s">
        <v>932</v>
      </c>
      <c r="TG372" s="1166" t="s">
        <v>932</v>
      </c>
      <c r="TH372" s="1166" t="s">
        <v>932</v>
      </c>
      <c r="TI372" s="1166" t="s">
        <v>932</v>
      </c>
      <c r="TJ372" s="1166" t="s">
        <v>932</v>
      </c>
      <c r="TK372" s="1169" t="s">
        <v>933</v>
      </c>
      <c r="TL372" s="1166" t="s">
        <v>933</v>
      </c>
      <c r="TM372" s="1166" t="s">
        <v>933</v>
      </c>
      <c r="TN372" s="1166" t="s">
        <v>933</v>
      </c>
      <c r="TO372" s="1166" t="s">
        <v>933</v>
      </c>
      <c r="TP372" s="1168" t="s">
        <v>933</v>
      </c>
      <c r="TQ372" s="1165" t="s">
        <v>934</v>
      </c>
      <c r="TR372" s="1166" t="s">
        <v>934</v>
      </c>
      <c r="TS372" s="1166" t="s">
        <v>934</v>
      </c>
      <c r="TT372" s="1166" t="s">
        <v>934</v>
      </c>
      <c r="TU372" s="1166" t="s">
        <v>934</v>
      </c>
      <c r="TV372" s="1166" t="s">
        <v>934</v>
      </c>
      <c r="TW372" s="1169" t="s">
        <v>935</v>
      </c>
      <c r="TX372" s="1166" t="s">
        <v>935</v>
      </c>
      <c r="TY372" s="1166" t="s">
        <v>935</v>
      </c>
      <c r="TZ372" s="1166" t="s">
        <v>935</v>
      </c>
      <c r="UA372" s="1166" t="s">
        <v>935</v>
      </c>
      <c r="UB372" s="1166" t="s">
        <v>935</v>
      </c>
      <c r="UC372" s="1169" t="s">
        <v>936</v>
      </c>
      <c r="UD372" s="1166" t="s">
        <v>936</v>
      </c>
      <c r="UE372" s="1166" t="s">
        <v>936</v>
      </c>
      <c r="UF372" s="1166" t="s">
        <v>936</v>
      </c>
      <c r="UG372" s="1166" t="s">
        <v>936</v>
      </c>
      <c r="UH372" s="1166" t="s">
        <v>936</v>
      </c>
      <c r="UI372" s="1169" t="s">
        <v>937</v>
      </c>
      <c r="UJ372" s="1166" t="s">
        <v>937</v>
      </c>
      <c r="UK372" s="1166" t="s">
        <v>937</v>
      </c>
      <c r="UL372" s="1166" t="s">
        <v>937</v>
      </c>
      <c r="UM372" s="1166" t="s">
        <v>937</v>
      </c>
      <c r="UN372" s="1166" t="s">
        <v>937</v>
      </c>
      <c r="UO372" s="1169" t="s">
        <v>938</v>
      </c>
      <c r="UP372" s="1166" t="s">
        <v>938</v>
      </c>
      <c r="UQ372" s="1166" t="s">
        <v>938</v>
      </c>
      <c r="UR372" s="1166" t="s">
        <v>938</v>
      </c>
      <c r="US372" s="1166" t="s">
        <v>938</v>
      </c>
      <c r="UT372" s="1168" t="s">
        <v>938</v>
      </c>
      <c r="UU372" s="1165" t="s">
        <v>939</v>
      </c>
      <c r="UV372" s="1166" t="s">
        <v>939</v>
      </c>
      <c r="UW372" s="1166" t="s">
        <v>939</v>
      </c>
      <c r="UX372" s="1166" t="s">
        <v>939</v>
      </c>
      <c r="UY372" s="1166" t="s">
        <v>939</v>
      </c>
      <c r="UZ372" s="1166" t="s">
        <v>939</v>
      </c>
      <c r="VA372" s="1169" t="s">
        <v>940</v>
      </c>
      <c r="VB372" s="1166" t="s">
        <v>940</v>
      </c>
      <c r="VC372" s="1166" t="s">
        <v>940</v>
      </c>
      <c r="VD372" s="1166" t="s">
        <v>940</v>
      </c>
      <c r="VE372" s="1166" t="s">
        <v>940</v>
      </c>
      <c r="VF372" s="1166" t="s">
        <v>940</v>
      </c>
      <c r="VG372" s="1169" t="s">
        <v>941</v>
      </c>
      <c r="VH372" s="1166" t="s">
        <v>941</v>
      </c>
      <c r="VI372" s="1166" t="s">
        <v>941</v>
      </c>
      <c r="VJ372" s="1166" t="s">
        <v>941</v>
      </c>
      <c r="VK372" s="1166" t="s">
        <v>941</v>
      </c>
      <c r="VL372" s="1166" t="s">
        <v>941</v>
      </c>
      <c r="VM372" s="1169" t="s">
        <v>942</v>
      </c>
      <c r="VN372" s="1166" t="s">
        <v>942</v>
      </c>
      <c r="VO372" s="1166" t="s">
        <v>942</v>
      </c>
      <c r="VP372" s="1166" t="s">
        <v>942</v>
      </c>
      <c r="VQ372" s="1166" t="s">
        <v>942</v>
      </c>
      <c r="VR372" s="1167" t="s">
        <v>942</v>
      </c>
      <c r="VS372" s="1166" t="s">
        <v>943</v>
      </c>
      <c r="VT372" s="1166" t="s">
        <v>943</v>
      </c>
      <c r="VU372" s="1166" t="s">
        <v>943</v>
      </c>
      <c r="VV372" s="1166" t="s">
        <v>943</v>
      </c>
      <c r="VW372" s="1166" t="s">
        <v>943</v>
      </c>
      <c r="VX372" s="1166" t="s">
        <v>943</v>
      </c>
      <c r="VY372" s="1169" t="s">
        <v>944</v>
      </c>
      <c r="VZ372" s="1166" t="s">
        <v>944</v>
      </c>
      <c r="WA372" s="1166" t="s">
        <v>944</v>
      </c>
      <c r="WB372" s="1166" t="s">
        <v>944</v>
      </c>
      <c r="WC372" s="1166" t="s">
        <v>944</v>
      </c>
      <c r="WD372" s="1168" t="s">
        <v>944</v>
      </c>
      <c r="WE372" s="441" t="s">
        <v>964</v>
      </c>
      <c r="WF372" s="439" t="s">
        <v>964</v>
      </c>
      <c r="WG372" s="439" t="s">
        <v>964</v>
      </c>
      <c r="WH372" s="439" t="s">
        <v>964</v>
      </c>
      <c r="WI372" s="439" t="s">
        <v>964</v>
      </c>
      <c r="WJ372" s="439" t="s">
        <v>964</v>
      </c>
      <c r="WK372" s="442" t="s">
        <v>964</v>
      </c>
      <c r="WL372" s="436" t="s">
        <v>1618</v>
      </c>
      <c r="WM372" s="436" t="s">
        <v>1618</v>
      </c>
      <c r="WN372" s="437" t="s">
        <v>1618</v>
      </c>
      <c r="WO372" s="438" t="s">
        <v>1619</v>
      </c>
      <c r="WP372" s="436" t="s">
        <v>1619</v>
      </c>
      <c r="WQ372" s="437" t="s">
        <v>1619</v>
      </c>
      <c r="WR372" s="438" t="s">
        <v>1620</v>
      </c>
      <c r="WS372" s="436" t="s">
        <v>1620</v>
      </c>
      <c r="WT372" s="437" t="s">
        <v>1620</v>
      </c>
      <c r="WU372" s="438" t="s">
        <v>1621</v>
      </c>
      <c r="WV372" s="436" t="s">
        <v>1621</v>
      </c>
      <c r="WW372" s="437" t="s">
        <v>1621</v>
      </c>
      <c r="WX372" s="438" t="s">
        <v>1622</v>
      </c>
      <c r="WY372" s="436" t="s">
        <v>1622</v>
      </c>
      <c r="WZ372" s="437" t="s">
        <v>1622</v>
      </c>
      <c r="XA372" s="438" t="s">
        <v>1623</v>
      </c>
      <c r="XB372" s="436" t="s">
        <v>1623</v>
      </c>
      <c r="XC372" s="437" t="s">
        <v>1623</v>
      </c>
      <c r="XD372" s="438" t="s">
        <v>1624</v>
      </c>
      <c r="XE372" s="436" t="s">
        <v>1624</v>
      </c>
      <c r="XF372" s="437" t="s">
        <v>1624</v>
      </c>
      <c r="XG372" s="438" t="s">
        <v>1625</v>
      </c>
      <c r="XH372" s="436" t="s">
        <v>1625</v>
      </c>
      <c r="XI372" s="437" t="s">
        <v>1625</v>
      </c>
      <c r="XJ372" s="438" t="s">
        <v>1626</v>
      </c>
      <c r="XK372" s="436" t="s">
        <v>1626</v>
      </c>
      <c r="XL372" s="437" t="s">
        <v>1626</v>
      </c>
      <c r="XM372" s="438" t="s">
        <v>1627</v>
      </c>
      <c r="XN372" s="436" t="s">
        <v>1627</v>
      </c>
      <c r="XO372" s="437" t="s">
        <v>1627</v>
      </c>
      <c r="XP372" s="438" t="s">
        <v>1628</v>
      </c>
      <c r="XQ372" s="436" t="s">
        <v>1628</v>
      </c>
      <c r="XR372" s="436" t="s">
        <v>1628</v>
      </c>
      <c r="XS372" s="441" t="s">
        <v>1629</v>
      </c>
      <c r="XT372" s="439" t="s">
        <v>1629</v>
      </c>
      <c r="XU372" s="439" t="s">
        <v>1629</v>
      </c>
      <c r="XV372" s="439" t="s">
        <v>1629</v>
      </c>
      <c r="XW372" s="442" t="s">
        <v>1629</v>
      </c>
      <c r="XX372" s="1346" t="s">
        <v>1637</v>
      </c>
      <c r="XY372" s="1347" t="s">
        <v>1635</v>
      </c>
      <c r="XZ372" s="1348" t="s">
        <v>1635</v>
      </c>
      <c r="YA372" s="1348" t="s">
        <v>1635</v>
      </c>
      <c r="YB372" s="1349" t="s">
        <v>1635</v>
      </c>
      <c r="YC372" s="1348" t="s">
        <v>1634</v>
      </c>
      <c r="YD372" s="1348" t="s">
        <v>1634</v>
      </c>
      <c r="YE372" s="1348" t="s">
        <v>1634</v>
      </c>
      <c r="YF372" s="1348" t="s">
        <v>1634</v>
      </c>
      <c r="YG372" s="1348" t="s">
        <v>1634</v>
      </c>
      <c r="YH372" s="1348" t="s">
        <v>1634</v>
      </c>
      <c r="YI372" s="1348" t="s">
        <v>1634</v>
      </c>
      <c r="YJ372" s="1348" t="s">
        <v>1634</v>
      </c>
      <c r="YK372" s="1347" t="s">
        <v>1633</v>
      </c>
      <c r="YL372" s="1348" t="s">
        <v>1633</v>
      </c>
      <c r="YM372" s="1348" t="s">
        <v>1633</v>
      </c>
      <c r="YN372" s="1348" t="s">
        <v>1633</v>
      </c>
      <c r="YO372" s="1348" t="s">
        <v>1633</v>
      </c>
      <c r="YP372" s="1348" t="s">
        <v>1633</v>
      </c>
      <c r="YQ372" s="1348" t="s">
        <v>1633</v>
      </c>
      <c r="YR372" s="1348" t="s">
        <v>1633</v>
      </c>
      <c r="YS372" s="1347" t="s">
        <v>1631</v>
      </c>
      <c r="YT372" s="1348" t="s">
        <v>1631</v>
      </c>
      <c r="YU372" s="1348" t="s">
        <v>1631</v>
      </c>
      <c r="YV372" s="1348" t="s">
        <v>1631</v>
      </c>
      <c r="YW372" s="1348" t="s">
        <v>1631</v>
      </c>
      <c r="YX372" s="1348" t="s">
        <v>1631</v>
      </c>
      <c r="YY372" s="1348" t="s">
        <v>1631</v>
      </c>
      <c r="YZ372" s="1349" t="s">
        <v>1631</v>
      </c>
      <c r="ZA372" s="1348" t="s">
        <v>1632</v>
      </c>
      <c r="ZB372" s="1348" t="s">
        <v>1632</v>
      </c>
      <c r="ZC372" s="1348" t="s">
        <v>1632</v>
      </c>
      <c r="ZD372" s="1348" t="s">
        <v>1632</v>
      </c>
      <c r="ZE372" s="1348" t="s">
        <v>1632</v>
      </c>
      <c r="ZF372" s="1348" t="s">
        <v>1632</v>
      </c>
      <c r="ZG372" s="1348" t="s">
        <v>1632</v>
      </c>
      <c r="ZH372" s="1348" t="s">
        <v>1632</v>
      </c>
      <c r="ZI372" s="1347" t="s">
        <v>1638</v>
      </c>
      <c r="ZJ372" s="1348" t="s">
        <v>1638</v>
      </c>
      <c r="ZK372" s="1348" t="s">
        <v>1638</v>
      </c>
      <c r="ZL372" s="1348" t="s">
        <v>1638</v>
      </c>
      <c r="ZM372" s="1348" t="s">
        <v>1638</v>
      </c>
      <c r="ZN372" s="1348" t="s">
        <v>1638</v>
      </c>
      <c r="ZO372" s="1348" t="s">
        <v>1638</v>
      </c>
      <c r="ZP372" s="1348" t="s">
        <v>1638</v>
      </c>
      <c r="ZQ372" s="1347" t="s">
        <v>1639</v>
      </c>
      <c r="ZR372" s="1348" t="s">
        <v>1639</v>
      </c>
      <c r="ZS372" s="1348" t="s">
        <v>1639</v>
      </c>
      <c r="ZT372" s="1348" t="s">
        <v>1639</v>
      </c>
      <c r="ZU372" s="1348" t="s">
        <v>1639</v>
      </c>
      <c r="ZV372" s="1348" t="s">
        <v>1639</v>
      </c>
      <c r="ZW372" s="1348" t="s">
        <v>1639</v>
      </c>
      <c r="ZX372" s="1348" t="s">
        <v>1639</v>
      </c>
      <c r="ZY372" s="1347" t="s">
        <v>1640</v>
      </c>
      <c r="ZZ372" s="1348" t="s">
        <v>1640</v>
      </c>
      <c r="AAA372" s="1348" t="s">
        <v>1640</v>
      </c>
      <c r="AAB372" s="1348" t="s">
        <v>1640</v>
      </c>
      <c r="AAC372" s="1348" t="s">
        <v>1640</v>
      </c>
      <c r="AAD372" s="1348" t="s">
        <v>1640</v>
      </c>
      <c r="AAE372" s="1348" t="s">
        <v>1640</v>
      </c>
      <c r="AAF372" s="1348" t="s">
        <v>1640</v>
      </c>
      <c r="AAG372" s="1350" t="s">
        <v>1641</v>
      </c>
      <c r="AAH372" s="1351" t="s">
        <v>1641</v>
      </c>
      <c r="AAI372" s="1351" t="s">
        <v>1641</v>
      </c>
      <c r="AAJ372" s="1351" t="s">
        <v>1641</v>
      </c>
      <c r="AAK372" s="1351" t="s">
        <v>1641</v>
      </c>
      <c r="AAL372" s="1351" t="s">
        <v>1641</v>
      </c>
      <c r="AAM372" s="1351" t="s">
        <v>1641</v>
      </c>
      <c r="AAN372" s="1351" t="s">
        <v>1641</v>
      </c>
      <c r="AAO372" s="1347" t="s">
        <v>1642</v>
      </c>
      <c r="AAP372" s="1348" t="s">
        <v>1642</v>
      </c>
      <c r="AAQ372" s="1348" t="s">
        <v>1642</v>
      </c>
      <c r="AAR372" s="1348" t="s">
        <v>1642</v>
      </c>
      <c r="AAS372" s="1348" t="s">
        <v>1642</v>
      </c>
      <c r="AAT372" s="1348" t="s">
        <v>1642</v>
      </c>
      <c r="AAU372" s="1348" t="s">
        <v>1642</v>
      </c>
      <c r="AAV372" s="1348" t="s">
        <v>1642</v>
      </c>
      <c r="AAW372" s="1347" t="s">
        <v>1643</v>
      </c>
      <c r="AAX372" s="1348" t="s">
        <v>1643</v>
      </c>
      <c r="AAY372" s="1348" t="s">
        <v>1643</v>
      </c>
      <c r="AAZ372" s="1348" t="s">
        <v>1643</v>
      </c>
      <c r="ABA372" s="1348" t="s">
        <v>1643</v>
      </c>
      <c r="ABB372" s="1348" t="s">
        <v>1643</v>
      </c>
      <c r="ABC372" s="1348" t="s">
        <v>1643</v>
      </c>
      <c r="ABD372" s="1349" t="s">
        <v>1643</v>
      </c>
      <c r="ABE372" s="1347" t="s">
        <v>1644</v>
      </c>
      <c r="ABF372" s="1348" t="s">
        <v>1644</v>
      </c>
      <c r="ABG372" s="1348" t="s">
        <v>1644</v>
      </c>
      <c r="ABH372" s="1348" t="s">
        <v>1644</v>
      </c>
      <c r="ABI372" s="1348" t="s">
        <v>1644</v>
      </c>
      <c r="ABJ372" s="1348" t="s">
        <v>1644</v>
      </c>
      <c r="ABK372" s="1348" t="s">
        <v>1644</v>
      </c>
      <c r="ABL372" s="1348" t="s">
        <v>1644</v>
      </c>
      <c r="ABM372" s="1347" t="s">
        <v>1645</v>
      </c>
      <c r="ABN372" s="1348" t="s">
        <v>1645</v>
      </c>
      <c r="ABO372" s="1348" t="s">
        <v>1645</v>
      </c>
      <c r="ABP372" s="1348" t="s">
        <v>1645</v>
      </c>
      <c r="ABQ372" s="1348" t="s">
        <v>1645</v>
      </c>
      <c r="ABR372" s="1348" t="s">
        <v>1645</v>
      </c>
      <c r="ABS372" s="1348" t="s">
        <v>1645</v>
      </c>
      <c r="ABT372" s="1349" t="s">
        <v>1645</v>
      </c>
      <c r="ABU372" s="1347" t="s">
        <v>1646</v>
      </c>
      <c r="ABV372" s="1348" t="s">
        <v>1646</v>
      </c>
      <c r="ABW372" s="1348" t="s">
        <v>1646</v>
      </c>
      <c r="ABX372" s="1348" t="s">
        <v>1646</v>
      </c>
      <c r="ABY372" s="1348" t="s">
        <v>1646</v>
      </c>
      <c r="ABZ372" s="1348" t="s">
        <v>1646</v>
      </c>
      <c r="ACA372" s="1348" t="s">
        <v>1646</v>
      </c>
      <c r="ACB372" s="1349" t="s">
        <v>1646</v>
      </c>
      <c r="ACC372" s="1347" t="s">
        <v>1659</v>
      </c>
      <c r="ACD372" s="1348" t="s">
        <v>1659</v>
      </c>
      <c r="ACE372" s="1348" t="s">
        <v>1659</v>
      </c>
      <c r="ACF372" s="1348" t="s">
        <v>1659</v>
      </c>
      <c r="ACG372" s="1348" t="s">
        <v>1659</v>
      </c>
      <c r="ACH372" s="1348" t="s">
        <v>1659</v>
      </c>
      <c r="ACI372" s="1348" t="s">
        <v>1659</v>
      </c>
      <c r="ACJ372" s="1349" t="s">
        <v>1659</v>
      </c>
      <c r="ACK372" s="1347" t="s">
        <v>1660</v>
      </c>
      <c r="ACL372" s="1348" t="s">
        <v>1660</v>
      </c>
      <c r="ACM372" s="1348" t="s">
        <v>1660</v>
      </c>
      <c r="ACN372" s="1348" t="s">
        <v>1660</v>
      </c>
      <c r="ACO372" s="1348" t="s">
        <v>1660</v>
      </c>
      <c r="ACP372" s="1348" t="s">
        <v>1660</v>
      </c>
      <c r="ACQ372" s="1348" t="s">
        <v>1660</v>
      </c>
      <c r="ACR372" s="1349" t="s">
        <v>1660</v>
      </c>
      <c r="ACS372" s="1347" t="s">
        <v>1661</v>
      </c>
      <c r="ACT372" s="1348" t="s">
        <v>1661</v>
      </c>
      <c r="ACU372" s="1348" t="s">
        <v>1661</v>
      </c>
      <c r="ACV372" s="1348" t="s">
        <v>1661</v>
      </c>
      <c r="ACW372" s="1348" t="s">
        <v>1661</v>
      </c>
      <c r="ACX372" s="1348" t="s">
        <v>1661</v>
      </c>
      <c r="ACY372" s="1348" t="s">
        <v>1661</v>
      </c>
      <c r="ACZ372" s="1349" t="s">
        <v>1661</v>
      </c>
      <c r="ADA372" s="1352" t="s">
        <v>1662</v>
      </c>
      <c r="ADB372" s="1353" t="s">
        <v>1662</v>
      </c>
      <c r="ADC372" s="1353" t="s">
        <v>1662</v>
      </c>
      <c r="ADD372" s="1353" t="s">
        <v>1662</v>
      </c>
      <c r="ADE372" s="1353" t="s">
        <v>1662</v>
      </c>
      <c r="ADF372" s="1353" t="s">
        <v>1662</v>
      </c>
      <c r="ADG372" s="1353" t="s">
        <v>1662</v>
      </c>
      <c r="ADH372" s="1354" t="s">
        <v>1662</v>
      </c>
      <c r="ADI372" s="1352" t="s">
        <v>1663</v>
      </c>
      <c r="ADJ372" s="1353" t="s">
        <v>1663</v>
      </c>
      <c r="ADK372" s="1353" t="s">
        <v>1663</v>
      </c>
      <c r="ADL372" s="1353" t="s">
        <v>1663</v>
      </c>
      <c r="ADM372" s="1353" t="s">
        <v>1663</v>
      </c>
      <c r="ADN372" s="1353" t="s">
        <v>1663</v>
      </c>
      <c r="ADO372" s="1353" t="s">
        <v>1663</v>
      </c>
      <c r="ADP372" s="1354" t="s">
        <v>1663</v>
      </c>
      <c r="ADQ372" s="1352" t="s">
        <v>1664</v>
      </c>
      <c r="ADR372" s="1353" t="s">
        <v>1664</v>
      </c>
      <c r="ADS372" s="1353" t="s">
        <v>1664</v>
      </c>
      <c r="ADT372" s="1353" t="s">
        <v>1664</v>
      </c>
      <c r="ADU372" s="1353" t="s">
        <v>1664</v>
      </c>
      <c r="ADV372" s="1353" t="s">
        <v>1664</v>
      </c>
      <c r="ADW372" s="1353" t="s">
        <v>1664</v>
      </c>
      <c r="ADX372" s="1354" t="s">
        <v>1664</v>
      </c>
      <c r="ADY372" s="1352" t="s">
        <v>1665</v>
      </c>
      <c r="ADZ372" s="1353" t="s">
        <v>1665</v>
      </c>
      <c r="AEA372" s="1353" t="s">
        <v>1665</v>
      </c>
      <c r="AEB372" s="1353" t="s">
        <v>1665</v>
      </c>
      <c r="AEC372" s="1353" t="s">
        <v>1665</v>
      </c>
      <c r="AED372" s="1353" t="s">
        <v>1665</v>
      </c>
      <c r="AEE372" s="1353" t="s">
        <v>1665</v>
      </c>
      <c r="AEF372" s="1354" t="s">
        <v>1665</v>
      </c>
      <c r="AEG372" s="1347" t="s">
        <v>1666</v>
      </c>
      <c r="AEH372" s="1348" t="s">
        <v>1666</v>
      </c>
      <c r="AEI372" s="1348" t="s">
        <v>1666</v>
      </c>
      <c r="AEJ372" s="1348" t="s">
        <v>1666</v>
      </c>
      <c r="AEK372" s="1348" t="s">
        <v>1666</v>
      </c>
      <c r="AEL372" s="1348" t="s">
        <v>1666</v>
      </c>
      <c r="AEM372" s="1348" t="s">
        <v>1666</v>
      </c>
      <c r="AEN372" s="1349" t="s">
        <v>1666</v>
      </c>
      <c r="AEO372" s="1347" t="s">
        <v>1667</v>
      </c>
      <c r="AEP372" s="1348" t="s">
        <v>1667</v>
      </c>
      <c r="AEQ372" s="1348" t="s">
        <v>1667</v>
      </c>
      <c r="AER372" s="1348" t="s">
        <v>1667</v>
      </c>
      <c r="AES372" s="1348" t="s">
        <v>1667</v>
      </c>
      <c r="AET372" s="1348" t="s">
        <v>1667</v>
      </c>
      <c r="AEU372" s="1348" t="s">
        <v>1667</v>
      </c>
      <c r="AEV372" s="1349" t="s">
        <v>1667</v>
      </c>
      <c r="AEW372" s="1347" t="s">
        <v>1668</v>
      </c>
      <c r="AEX372" s="1348" t="s">
        <v>1668</v>
      </c>
      <c r="AEY372" s="1348" t="s">
        <v>1668</v>
      </c>
      <c r="AEZ372" s="1348" t="s">
        <v>1668</v>
      </c>
      <c r="AFA372" s="1348" t="s">
        <v>1668</v>
      </c>
      <c r="AFB372" s="1348" t="s">
        <v>1668</v>
      </c>
      <c r="AFC372" s="1348" t="s">
        <v>1668</v>
      </c>
      <c r="AFD372" s="1349" t="s">
        <v>1668</v>
      </c>
      <c r="AFE372" s="1347" t="s">
        <v>1669</v>
      </c>
      <c r="AFF372" s="1348" t="s">
        <v>1669</v>
      </c>
      <c r="AFG372" s="1348" t="s">
        <v>1669</v>
      </c>
      <c r="AFH372" s="1348" t="s">
        <v>1669</v>
      </c>
      <c r="AFI372" s="1348" t="s">
        <v>1669</v>
      </c>
      <c r="AFJ372" s="1348" t="s">
        <v>1669</v>
      </c>
      <c r="AFK372" s="1348" t="s">
        <v>1669</v>
      </c>
      <c r="AFL372" s="1349" t="s">
        <v>1669</v>
      </c>
      <c r="AFM372" s="1347" t="s">
        <v>1670</v>
      </c>
      <c r="AFN372" s="1348" t="s">
        <v>1670</v>
      </c>
      <c r="AFO372" s="1348" t="s">
        <v>1670</v>
      </c>
      <c r="AFP372" s="1348" t="s">
        <v>1670</v>
      </c>
      <c r="AFQ372" s="1348" t="s">
        <v>1670</v>
      </c>
      <c r="AFR372" s="1348" t="s">
        <v>1670</v>
      </c>
      <c r="AFS372" s="1348" t="s">
        <v>1670</v>
      </c>
      <c r="AFT372" s="1349" t="s">
        <v>1670</v>
      </c>
      <c r="AFU372" s="1347" t="s">
        <v>1671</v>
      </c>
      <c r="AFV372" s="1348" t="s">
        <v>1671</v>
      </c>
      <c r="AFW372" s="1348" t="s">
        <v>1671</v>
      </c>
      <c r="AFX372" s="1348" t="s">
        <v>1671</v>
      </c>
      <c r="AFY372" s="1348" t="s">
        <v>1671</v>
      </c>
      <c r="AFZ372" s="1348" t="s">
        <v>1671</v>
      </c>
      <c r="AGA372" s="1348" t="s">
        <v>1671</v>
      </c>
      <c r="AGB372" s="1349" t="s">
        <v>1671</v>
      </c>
      <c r="AGC372" s="1347" t="s">
        <v>1672</v>
      </c>
      <c r="AGD372" s="1348" t="s">
        <v>1672</v>
      </c>
      <c r="AGE372" s="1348" t="s">
        <v>1672</v>
      </c>
      <c r="AGF372" s="1348" t="s">
        <v>1672</v>
      </c>
      <c r="AGG372" s="1348" t="s">
        <v>1672</v>
      </c>
      <c r="AGH372" s="1348" t="s">
        <v>1672</v>
      </c>
      <c r="AGI372" s="1348" t="s">
        <v>1672</v>
      </c>
      <c r="AGJ372" s="1348" t="s">
        <v>1672</v>
      </c>
      <c r="AGK372" s="1347" t="s">
        <v>1673</v>
      </c>
      <c r="AGL372" s="1348" t="s">
        <v>1673</v>
      </c>
      <c r="AGM372" s="1348" t="s">
        <v>1673</v>
      </c>
      <c r="AGN372" s="1348" t="s">
        <v>1673</v>
      </c>
      <c r="AGO372" s="1348" t="s">
        <v>1673</v>
      </c>
      <c r="AGP372" s="1348" t="s">
        <v>1673</v>
      </c>
      <c r="AGQ372" s="1348" t="s">
        <v>1673</v>
      </c>
      <c r="AGR372" s="1349" t="s">
        <v>1673</v>
      </c>
      <c r="AGS372" s="1355" t="s">
        <v>986</v>
      </c>
      <c r="AGT372" s="1355" t="s">
        <v>986</v>
      </c>
      <c r="AGU372" s="1355" t="s">
        <v>986</v>
      </c>
      <c r="AGV372" s="1355" t="s">
        <v>986</v>
      </c>
      <c r="AGW372" s="1355" t="s">
        <v>986</v>
      </c>
      <c r="AGX372" s="1355" t="s">
        <v>986</v>
      </c>
      <c r="AGY372" s="1355" t="s">
        <v>986</v>
      </c>
      <c r="AGZ372" s="1356" t="s">
        <v>986</v>
      </c>
      <c r="AHA372" s="1357" t="s">
        <v>987</v>
      </c>
      <c r="AHB372" s="1358" t="s">
        <v>987</v>
      </c>
      <c r="AHC372" s="1358" t="s">
        <v>987</v>
      </c>
      <c r="AHD372" s="1358" t="s">
        <v>987</v>
      </c>
      <c r="AHE372" s="1358" t="s">
        <v>987</v>
      </c>
      <c r="AHF372" s="1358" t="s">
        <v>987</v>
      </c>
      <c r="AHG372" s="1358" t="s">
        <v>987</v>
      </c>
      <c r="AHH372" s="1359" t="s">
        <v>987</v>
      </c>
      <c r="AHI372" s="1358" t="s">
        <v>988</v>
      </c>
      <c r="AHJ372" s="1358" t="s">
        <v>988</v>
      </c>
      <c r="AHK372" s="1358" t="s">
        <v>988</v>
      </c>
      <c r="AHL372" s="1358" t="s">
        <v>988</v>
      </c>
      <c r="AHM372" s="1358" t="s">
        <v>988</v>
      </c>
      <c r="AHN372" s="1358" t="s">
        <v>988</v>
      </c>
      <c r="AHO372" s="1358" t="s">
        <v>988</v>
      </c>
      <c r="AHP372" s="1358" t="s">
        <v>988</v>
      </c>
      <c r="AHQ372" s="1360" t="s">
        <v>989</v>
      </c>
      <c r="AHR372" s="1355" t="s">
        <v>989</v>
      </c>
      <c r="AHS372" s="1355" t="s">
        <v>989</v>
      </c>
      <c r="AHT372" s="1355" t="s">
        <v>989</v>
      </c>
      <c r="AHU372" s="1355" t="s">
        <v>989</v>
      </c>
      <c r="AHV372" s="1355" t="s">
        <v>989</v>
      </c>
      <c r="AHW372" s="1355" t="s">
        <v>989</v>
      </c>
      <c r="AHX372" s="1356" t="s">
        <v>989</v>
      </c>
      <c r="AHY372" s="1355" t="s">
        <v>870</v>
      </c>
      <c r="AHZ372" s="1355" t="s">
        <v>870</v>
      </c>
      <c r="AIA372" s="1355" t="s">
        <v>870</v>
      </c>
      <c r="AIB372" s="1355" t="s">
        <v>870</v>
      </c>
      <c r="AIC372" s="1355" t="s">
        <v>870</v>
      </c>
      <c r="AID372" s="1355" t="s">
        <v>870</v>
      </c>
      <c r="AIE372" s="1355" t="s">
        <v>870</v>
      </c>
      <c r="AIF372" s="1355" t="s">
        <v>870</v>
      </c>
      <c r="AIG372" s="1360" t="s">
        <v>871</v>
      </c>
      <c r="AIH372" s="1355" t="s">
        <v>871</v>
      </c>
      <c r="AII372" s="1355" t="s">
        <v>871</v>
      </c>
      <c r="AIJ372" s="1355" t="s">
        <v>871</v>
      </c>
      <c r="AIK372" s="1355" t="s">
        <v>871</v>
      </c>
      <c r="AIL372" s="1355" t="s">
        <v>871</v>
      </c>
      <c r="AIM372" s="1355" t="s">
        <v>871</v>
      </c>
      <c r="AIN372" s="1356" t="s">
        <v>871</v>
      </c>
      <c r="AIO372" s="1360" t="s">
        <v>872</v>
      </c>
      <c r="AIP372" s="1355" t="s">
        <v>872</v>
      </c>
      <c r="AIQ372" s="1355" t="s">
        <v>872</v>
      </c>
      <c r="AIR372" s="1355" t="s">
        <v>872</v>
      </c>
      <c r="AIS372" s="1355" t="s">
        <v>872</v>
      </c>
      <c r="AIT372" s="1355" t="s">
        <v>872</v>
      </c>
      <c r="AIU372" s="1355" t="s">
        <v>872</v>
      </c>
      <c r="AIV372" s="1356" t="s">
        <v>872</v>
      </c>
      <c r="AIW372" s="1360" t="s">
        <v>873</v>
      </c>
      <c r="AIX372" s="1355" t="s">
        <v>873</v>
      </c>
      <c r="AIY372" s="1355" t="s">
        <v>873</v>
      </c>
      <c r="AIZ372" s="1355" t="s">
        <v>873</v>
      </c>
      <c r="AJA372" s="1355" t="s">
        <v>873</v>
      </c>
      <c r="AJB372" s="1355" t="s">
        <v>873</v>
      </c>
      <c r="AJC372" s="1355" t="s">
        <v>873</v>
      </c>
      <c r="AJD372" s="1356" t="s">
        <v>873</v>
      </c>
      <c r="AJE372" s="1360" t="s">
        <v>874</v>
      </c>
      <c r="AJF372" s="1355" t="s">
        <v>874</v>
      </c>
      <c r="AJG372" s="1355" t="s">
        <v>874</v>
      </c>
      <c r="AJH372" s="1355" t="s">
        <v>874</v>
      </c>
      <c r="AJI372" s="1355" t="s">
        <v>874</v>
      </c>
      <c r="AJJ372" s="1355" t="s">
        <v>874</v>
      </c>
      <c r="AJK372" s="1355" t="s">
        <v>874</v>
      </c>
      <c r="AJL372" s="1356" t="s">
        <v>874</v>
      </c>
      <c r="AJM372" s="1360" t="s">
        <v>875</v>
      </c>
      <c r="AJN372" s="1355" t="s">
        <v>875</v>
      </c>
      <c r="AJO372" s="1355" t="s">
        <v>875</v>
      </c>
      <c r="AJP372" s="1355" t="s">
        <v>875</v>
      </c>
      <c r="AJQ372" s="1355" t="s">
        <v>875</v>
      </c>
      <c r="AJR372" s="1355" t="s">
        <v>875</v>
      </c>
      <c r="AJS372" s="1355" t="s">
        <v>875</v>
      </c>
      <c r="AJT372" s="1355" t="s">
        <v>875</v>
      </c>
      <c r="AJU372" s="1287" t="s">
        <v>1647</v>
      </c>
      <c r="AJV372" s="1288" t="s">
        <v>1647</v>
      </c>
      <c r="AJW372" s="1288" t="s">
        <v>1647</v>
      </c>
      <c r="AJX372" s="1288" t="s">
        <v>1647</v>
      </c>
      <c r="AJY372" s="1288" t="s">
        <v>1647</v>
      </c>
      <c r="AJZ372" s="1288" t="s">
        <v>1647</v>
      </c>
      <c r="AKA372" s="1288" t="s">
        <v>1647</v>
      </c>
      <c r="AKB372" s="1288" t="s">
        <v>1647</v>
      </c>
      <c r="AKC372" s="1288" t="s">
        <v>1647</v>
      </c>
      <c r="AKD372" s="1289" t="s">
        <v>1647</v>
      </c>
      <c r="AKE372" s="1355" t="s">
        <v>870</v>
      </c>
      <c r="AKF372" s="1355" t="s">
        <v>870</v>
      </c>
      <c r="AKG372" s="1355" t="s">
        <v>870</v>
      </c>
      <c r="AKH372" s="1355" t="s">
        <v>870</v>
      </c>
      <c r="AKI372" s="1355" t="s">
        <v>870</v>
      </c>
      <c r="AKJ372" s="1355" t="s">
        <v>870</v>
      </c>
      <c r="AKK372" s="1355" t="s">
        <v>870</v>
      </c>
      <c r="AKL372" s="1355" t="s">
        <v>870</v>
      </c>
      <c r="AKM372" s="1360" t="s">
        <v>871</v>
      </c>
      <c r="AKN372" s="1355" t="s">
        <v>871</v>
      </c>
      <c r="AKO372" s="1355" t="s">
        <v>871</v>
      </c>
      <c r="AKP372" s="1355" t="s">
        <v>871</v>
      </c>
      <c r="AKQ372" s="1355" t="s">
        <v>871</v>
      </c>
      <c r="AKR372" s="1355" t="s">
        <v>871</v>
      </c>
      <c r="AKS372" s="1355" t="s">
        <v>871</v>
      </c>
      <c r="AKT372" s="1356" t="s">
        <v>871</v>
      </c>
      <c r="AKU372" s="1360" t="s">
        <v>872</v>
      </c>
      <c r="AKV372" s="1355" t="s">
        <v>872</v>
      </c>
      <c r="AKW372" s="1355" t="s">
        <v>872</v>
      </c>
      <c r="AKX372" s="1355" t="s">
        <v>872</v>
      </c>
      <c r="AKY372" s="1355" t="s">
        <v>872</v>
      </c>
      <c r="AKZ372" s="1355" t="s">
        <v>872</v>
      </c>
      <c r="ALA372" s="1355" t="s">
        <v>872</v>
      </c>
      <c r="ALB372" s="1356" t="s">
        <v>872</v>
      </c>
      <c r="ALC372" s="1360" t="s">
        <v>873</v>
      </c>
      <c r="ALD372" s="1355" t="s">
        <v>873</v>
      </c>
      <c r="ALE372" s="1355" t="s">
        <v>873</v>
      </c>
      <c r="ALF372" s="1355" t="s">
        <v>873</v>
      </c>
      <c r="ALG372" s="1355" t="s">
        <v>873</v>
      </c>
      <c r="ALH372" s="1355" t="s">
        <v>873</v>
      </c>
      <c r="ALI372" s="1355" t="s">
        <v>873</v>
      </c>
      <c r="ALJ372" s="1356" t="s">
        <v>873</v>
      </c>
      <c r="ALK372" s="1360" t="s">
        <v>874</v>
      </c>
      <c r="ALL372" s="1355" t="s">
        <v>874</v>
      </c>
      <c r="ALM372" s="1355" t="s">
        <v>874</v>
      </c>
      <c r="ALN372" s="1355" t="s">
        <v>874</v>
      </c>
      <c r="ALO372" s="1355" t="s">
        <v>874</v>
      </c>
      <c r="ALP372" s="1355" t="s">
        <v>874</v>
      </c>
      <c r="ALQ372" s="1355" t="s">
        <v>874</v>
      </c>
      <c r="ALR372" s="1356" t="s">
        <v>874</v>
      </c>
      <c r="ALS372" s="1347" t="s">
        <v>875</v>
      </c>
      <c r="ALT372" s="1348" t="s">
        <v>875</v>
      </c>
      <c r="ALU372" s="1348" t="s">
        <v>875</v>
      </c>
      <c r="ALV372" s="1348" t="s">
        <v>875</v>
      </c>
      <c r="ALW372" s="1348" t="s">
        <v>875</v>
      </c>
      <c r="ALX372" s="1348" t="s">
        <v>875</v>
      </c>
      <c r="ALY372" s="1348" t="s">
        <v>875</v>
      </c>
      <c r="ALZ372" s="1349" t="s">
        <v>875</v>
      </c>
    </row>
    <row r="373" spans="2:1014" ht="20.100000000000001" customHeight="1">
      <c r="B373" s="1062" t="s">
        <v>1617</v>
      </c>
      <c r="C373" s="1361"/>
      <c r="D373" s="1362"/>
      <c r="E373" s="1363"/>
      <c r="F373" s="1178" t="s">
        <v>962</v>
      </c>
      <c r="G373" s="1178" t="s">
        <v>963</v>
      </c>
      <c r="H373" s="1179" t="s">
        <v>961</v>
      </c>
      <c r="I373" s="1180"/>
      <c r="J373" s="1181" t="s">
        <v>962</v>
      </c>
      <c r="K373" s="1181" t="s">
        <v>963</v>
      </c>
      <c r="L373" s="1181" t="s">
        <v>961</v>
      </c>
      <c r="M373" s="1180"/>
      <c r="N373" s="1181" t="s">
        <v>962</v>
      </c>
      <c r="O373" s="1181" t="s">
        <v>963</v>
      </c>
      <c r="P373" s="1182" t="s">
        <v>961</v>
      </c>
      <c r="Q373" s="1183"/>
      <c r="R373" s="1184"/>
      <c r="S373" s="1185" t="s">
        <v>230</v>
      </c>
      <c r="T373" s="1185" t="s">
        <v>231</v>
      </c>
      <c r="U373" s="1186" t="s">
        <v>232</v>
      </c>
      <c r="V373" s="770" t="s">
        <v>623</v>
      </c>
      <c r="W373" s="770" t="s">
        <v>1693</v>
      </c>
      <c r="X373" s="770" t="s">
        <v>577</v>
      </c>
      <c r="Y373" s="770" t="s">
        <v>1694</v>
      </c>
      <c r="Z373" s="1184" t="s">
        <v>578</v>
      </c>
      <c r="AA373" s="770" t="s">
        <v>233</v>
      </c>
      <c r="AB373" s="770" t="s">
        <v>234</v>
      </c>
      <c r="AC373" s="770" t="s">
        <v>235</v>
      </c>
      <c r="AD373" s="770" t="s">
        <v>236</v>
      </c>
      <c r="AE373" s="1184" t="s">
        <v>237</v>
      </c>
      <c r="AF373" s="770" t="s">
        <v>623</v>
      </c>
      <c r="AG373" s="770" t="s">
        <v>1693</v>
      </c>
      <c r="AH373" s="770" t="s">
        <v>577</v>
      </c>
      <c r="AI373" s="770" t="s">
        <v>1694</v>
      </c>
      <c r="AJ373" s="1184" t="s">
        <v>578</v>
      </c>
      <c r="AK373" s="770" t="s">
        <v>623</v>
      </c>
      <c r="AL373" s="770" t="s">
        <v>1693</v>
      </c>
      <c r="AM373" s="770" t="s">
        <v>577</v>
      </c>
      <c r="AN373" s="770" t="s">
        <v>1694</v>
      </c>
      <c r="AO373" s="770" t="s">
        <v>578</v>
      </c>
      <c r="AP373" s="771">
        <v>2020</v>
      </c>
      <c r="AQ373" s="770">
        <v>2025</v>
      </c>
      <c r="AR373" s="770">
        <v>2030</v>
      </c>
      <c r="AS373" s="770">
        <v>2035</v>
      </c>
      <c r="AT373" s="770">
        <v>2040</v>
      </c>
      <c r="AU373" s="770">
        <v>2045</v>
      </c>
      <c r="AV373" s="770">
        <v>2050</v>
      </c>
      <c r="AW373" s="771" t="s">
        <v>2305</v>
      </c>
      <c r="AX373" s="770" t="s">
        <v>61</v>
      </c>
      <c r="AY373" s="770" t="s">
        <v>62</v>
      </c>
      <c r="AZ373" s="770" t="s">
        <v>63</v>
      </c>
      <c r="BA373" s="770" t="s">
        <v>64</v>
      </c>
      <c r="BB373" s="1183"/>
      <c r="BC373" s="770"/>
      <c r="BD373" s="1185" t="s">
        <v>962</v>
      </c>
      <c r="BE373" s="1185" t="s">
        <v>963</v>
      </c>
      <c r="BF373" s="1185" t="s">
        <v>961</v>
      </c>
      <c r="BG373" s="770"/>
      <c r="BH373" s="1184"/>
      <c r="BI373" s="770" t="s">
        <v>1693</v>
      </c>
      <c r="BJ373" s="770" t="s">
        <v>1694</v>
      </c>
      <c r="BK373" s="770" t="s">
        <v>1712</v>
      </c>
      <c r="BL373" s="770" t="s">
        <v>623</v>
      </c>
      <c r="BM373" s="770" t="s">
        <v>1714</v>
      </c>
      <c r="BN373" s="770" t="s">
        <v>1715</v>
      </c>
      <c r="BO373" s="770" t="s">
        <v>577</v>
      </c>
      <c r="BP373" s="770" t="s">
        <v>1716</v>
      </c>
      <c r="BQ373" s="770" t="s">
        <v>1717</v>
      </c>
      <c r="BR373" s="770" t="s">
        <v>1718</v>
      </c>
      <c r="BS373" s="770" t="s">
        <v>629</v>
      </c>
      <c r="BT373" s="770" t="s">
        <v>630</v>
      </c>
      <c r="BU373" s="770" t="s">
        <v>1719</v>
      </c>
      <c r="BV373" s="770" t="s">
        <v>486</v>
      </c>
      <c r="BW373" s="1184" t="s">
        <v>1720</v>
      </c>
      <c r="BX373" s="770" t="s">
        <v>1693</v>
      </c>
      <c r="BY373" s="770" t="s">
        <v>1694</v>
      </c>
      <c r="BZ373" s="770" t="s">
        <v>1712</v>
      </c>
      <c r="CA373" s="770" t="s">
        <v>623</v>
      </c>
      <c r="CB373" s="770" t="s">
        <v>1714</v>
      </c>
      <c r="CC373" s="770" t="s">
        <v>1715</v>
      </c>
      <c r="CD373" s="770" t="s">
        <v>577</v>
      </c>
      <c r="CE373" s="770" t="s">
        <v>1716</v>
      </c>
      <c r="CF373" s="770" t="s">
        <v>1717</v>
      </c>
      <c r="CG373" s="770" t="s">
        <v>1718</v>
      </c>
      <c r="CH373" s="770" t="s">
        <v>629</v>
      </c>
      <c r="CI373" s="770" t="s">
        <v>630</v>
      </c>
      <c r="CJ373" s="770" t="s">
        <v>1719</v>
      </c>
      <c r="CK373" s="770" t="s">
        <v>486</v>
      </c>
      <c r="CL373" s="770" t="s">
        <v>1720</v>
      </c>
      <c r="CM373" s="771" t="s">
        <v>1693</v>
      </c>
      <c r="CN373" s="770" t="s">
        <v>1694</v>
      </c>
      <c r="CO373" s="770" t="s">
        <v>1712</v>
      </c>
      <c r="CP373" s="770" t="s">
        <v>623</v>
      </c>
      <c r="CQ373" s="770" t="s">
        <v>1714</v>
      </c>
      <c r="CR373" s="770" t="s">
        <v>1715</v>
      </c>
      <c r="CS373" s="770" t="s">
        <v>577</v>
      </c>
      <c r="CT373" s="770" t="s">
        <v>1716</v>
      </c>
      <c r="CU373" s="770" t="s">
        <v>1717</v>
      </c>
      <c r="CV373" s="770" t="s">
        <v>1718</v>
      </c>
      <c r="CW373" s="770" t="s">
        <v>629</v>
      </c>
      <c r="CX373" s="770" t="s">
        <v>630</v>
      </c>
      <c r="CY373" s="770" t="s">
        <v>1719</v>
      </c>
      <c r="CZ373" s="770" t="s">
        <v>486</v>
      </c>
      <c r="DA373" s="770" t="s">
        <v>1720</v>
      </c>
      <c r="DB373" s="771" t="s">
        <v>233</v>
      </c>
      <c r="DC373" s="770" t="s">
        <v>234</v>
      </c>
      <c r="DD373" s="770" t="s">
        <v>235</v>
      </c>
      <c r="DE373" s="770" t="s">
        <v>236</v>
      </c>
      <c r="DF373" s="770" t="s">
        <v>237</v>
      </c>
      <c r="DG373" s="771" t="s">
        <v>2305</v>
      </c>
      <c r="DH373" s="770" t="s">
        <v>61</v>
      </c>
      <c r="DI373" s="770" t="s">
        <v>62</v>
      </c>
      <c r="DJ373" s="770" t="s">
        <v>63</v>
      </c>
      <c r="DK373" s="770" t="s">
        <v>64</v>
      </c>
      <c r="DL373" s="1187"/>
      <c r="DM373" s="770"/>
      <c r="DN373" s="770"/>
      <c r="DO373" s="1185" t="s">
        <v>962</v>
      </c>
      <c r="DP373" s="1185" t="s">
        <v>963</v>
      </c>
      <c r="DQ373" s="1185" t="s">
        <v>961</v>
      </c>
      <c r="DR373" s="1188">
        <v>1</v>
      </c>
      <c r="DS373" s="1185">
        <v>2</v>
      </c>
      <c r="DT373" s="1185">
        <v>3</v>
      </c>
      <c r="DU373" s="1185">
        <v>4</v>
      </c>
      <c r="DV373" s="1185">
        <v>5</v>
      </c>
      <c r="DW373" s="1185">
        <v>6</v>
      </c>
      <c r="DX373" s="1185">
        <v>7</v>
      </c>
      <c r="DY373" s="1188" t="s">
        <v>219</v>
      </c>
      <c r="DZ373" s="1185" t="s">
        <v>2345</v>
      </c>
      <c r="EA373" s="1185" t="s">
        <v>2346</v>
      </c>
      <c r="EB373" s="1185" t="s">
        <v>2347</v>
      </c>
      <c r="EC373" s="1185" t="s">
        <v>2348</v>
      </c>
      <c r="ED373" s="1185" t="s">
        <v>2349</v>
      </c>
      <c r="EE373" s="1189" t="s">
        <v>2350</v>
      </c>
      <c r="EF373" s="1190"/>
      <c r="EG373" s="770"/>
      <c r="EH373" s="770"/>
      <c r="EI373" s="1185" t="s">
        <v>962</v>
      </c>
      <c r="EJ373" s="1185" t="s">
        <v>963</v>
      </c>
      <c r="EK373" s="1185" t="s">
        <v>961</v>
      </c>
      <c r="EL373" s="1183">
        <v>1</v>
      </c>
      <c r="EM373" s="1185">
        <f>EL373+1</f>
        <v>2</v>
      </c>
      <c r="EN373" s="1185">
        <f t="shared" ref="EN373:GQ373" si="76">EM373+1</f>
        <v>3</v>
      </c>
      <c r="EO373" s="1185">
        <f t="shared" si="76"/>
        <v>4</v>
      </c>
      <c r="EP373" s="1185">
        <f t="shared" si="76"/>
        <v>5</v>
      </c>
      <c r="EQ373" s="1185">
        <f t="shared" si="76"/>
        <v>6</v>
      </c>
      <c r="ER373" s="1185">
        <f t="shared" si="76"/>
        <v>7</v>
      </c>
      <c r="ES373" s="1185">
        <f t="shared" si="76"/>
        <v>8</v>
      </c>
      <c r="ET373" s="1185">
        <f t="shared" si="76"/>
        <v>9</v>
      </c>
      <c r="EU373" s="1185">
        <f t="shared" si="76"/>
        <v>10</v>
      </c>
      <c r="EV373" s="1185">
        <f t="shared" si="76"/>
        <v>11</v>
      </c>
      <c r="EW373" s="1185">
        <f t="shared" si="76"/>
        <v>12</v>
      </c>
      <c r="EX373" s="1185">
        <f t="shared" si="76"/>
        <v>13</v>
      </c>
      <c r="EY373" s="1185">
        <f t="shared" si="76"/>
        <v>14</v>
      </c>
      <c r="EZ373" s="1185">
        <f t="shared" si="76"/>
        <v>15</v>
      </c>
      <c r="FA373" s="1185">
        <f t="shared" si="76"/>
        <v>16</v>
      </c>
      <c r="FB373" s="1185">
        <f t="shared" si="76"/>
        <v>17</v>
      </c>
      <c r="FC373" s="1185">
        <f t="shared" si="76"/>
        <v>18</v>
      </c>
      <c r="FD373" s="1185">
        <f t="shared" si="76"/>
        <v>19</v>
      </c>
      <c r="FE373" s="1185">
        <f t="shared" si="76"/>
        <v>20</v>
      </c>
      <c r="FF373" s="1185">
        <f t="shared" si="76"/>
        <v>21</v>
      </c>
      <c r="FG373" s="1185">
        <f t="shared" si="76"/>
        <v>22</v>
      </c>
      <c r="FH373" s="1185">
        <f t="shared" si="76"/>
        <v>23</v>
      </c>
      <c r="FI373" s="1185">
        <f t="shared" si="76"/>
        <v>24</v>
      </c>
      <c r="FJ373" s="1185">
        <f t="shared" si="76"/>
        <v>25</v>
      </c>
      <c r="FK373" s="1185">
        <f t="shared" si="76"/>
        <v>26</v>
      </c>
      <c r="FL373" s="1185">
        <f t="shared" si="76"/>
        <v>27</v>
      </c>
      <c r="FM373" s="1185">
        <f t="shared" si="76"/>
        <v>28</v>
      </c>
      <c r="FN373" s="1185">
        <f t="shared" si="76"/>
        <v>29</v>
      </c>
      <c r="FO373" s="1185">
        <f t="shared" si="76"/>
        <v>30</v>
      </c>
      <c r="FP373" s="1185">
        <f t="shared" si="76"/>
        <v>31</v>
      </c>
      <c r="FQ373" s="1185">
        <f t="shared" si="76"/>
        <v>32</v>
      </c>
      <c r="FR373" s="1185">
        <f t="shared" si="76"/>
        <v>33</v>
      </c>
      <c r="FS373" s="1185">
        <f t="shared" si="76"/>
        <v>34</v>
      </c>
      <c r="FT373" s="1185">
        <f t="shared" si="76"/>
        <v>35</v>
      </c>
      <c r="FU373" s="1185">
        <f t="shared" si="76"/>
        <v>36</v>
      </c>
      <c r="FV373" s="1185">
        <f t="shared" si="76"/>
        <v>37</v>
      </c>
      <c r="FW373" s="1185">
        <f t="shared" si="76"/>
        <v>38</v>
      </c>
      <c r="FX373" s="1185">
        <f t="shared" si="76"/>
        <v>39</v>
      </c>
      <c r="FY373" s="1185">
        <f t="shared" si="76"/>
        <v>40</v>
      </c>
      <c r="FZ373" s="1185">
        <f t="shared" si="76"/>
        <v>41</v>
      </c>
      <c r="GA373" s="1185">
        <f t="shared" si="76"/>
        <v>42</v>
      </c>
      <c r="GB373" s="1185">
        <f t="shared" si="76"/>
        <v>43</v>
      </c>
      <c r="GC373" s="1185">
        <f t="shared" si="76"/>
        <v>44</v>
      </c>
      <c r="GD373" s="1185">
        <f t="shared" si="76"/>
        <v>45</v>
      </c>
      <c r="GE373" s="1185">
        <f t="shared" si="76"/>
        <v>46</v>
      </c>
      <c r="GF373" s="1185">
        <f t="shared" si="76"/>
        <v>47</v>
      </c>
      <c r="GG373" s="1185">
        <f t="shared" si="76"/>
        <v>48</v>
      </c>
      <c r="GH373" s="1185">
        <f t="shared" si="76"/>
        <v>49</v>
      </c>
      <c r="GI373" s="1185">
        <f t="shared" si="76"/>
        <v>50</v>
      </c>
      <c r="GJ373" s="1185">
        <f t="shared" si="76"/>
        <v>51</v>
      </c>
      <c r="GK373" s="1185">
        <f t="shared" si="76"/>
        <v>52</v>
      </c>
      <c r="GL373" s="1185">
        <f t="shared" si="76"/>
        <v>53</v>
      </c>
      <c r="GM373" s="1185">
        <f t="shared" si="76"/>
        <v>54</v>
      </c>
      <c r="GN373" s="1185">
        <f t="shared" si="76"/>
        <v>55</v>
      </c>
      <c r="GO373" s="1185">
        <f t="shared" si="76"/>
        <v>56</v>
      </c>
      <c r="GP373" s="1185">
        <f t="shared" si="76"/>
        <v>57</v>
      </c>
      <c r="GQ373" s="1185">
        <f t="shared" si="76"/>
        <v>58</v>
      </c>
      <c r="GR373" s="1188" t="s">
        <v>2481</v>
      </c>
      <c r="GS373" s="1185" t="s">
        <v>2482</v>
      </c>
      <c r="GT373" s="1185" t="s">
        <v>2483</v>
      </c>
      <c r="GU373" s="1185" t="s">
        <v>2484</v>
      </c>
      <c r="GV373" s="1185" t="s">
        <v>2485</v>
      </c>
      <c r="GW373" s="1185" t="s">
        <v>2486</v>
      </c>
      <c r="GX373" s="1185" t="s">
        <v>2487</v>
      </c>
      <c r="GY373" s="1185" t="s">
        <v>2488</v>
      </c>
      <c r="GZ373" s="1185" t="s">
        <v>2489</v>
      </c>
      <c r="HA373" s="1185" t="s">
        <v>2490</v>
      </c>
      <c r="HB373" s="1185" t="s">
        <v>2491</v>
      </c>
      <c r="HC373" s="1185" t="s">
        <v>2492</v>
      </c>
      <c r="HD373" s="1185" t="s">
        <v>2493</v>
      </c>
      <c r="HE373" s="1185" t="s">
        <v>2494</v>
      </c>
      <c r="HF373" s="1185" t="s">
        <v>2495</v>
      </c>
      <c r="HG373" s="1185" t="s">
        <v>2496</v>
      </c>
      <c r="HH373" s="1185" t="s">
        <v>2497</v>
      </c>
      <c r="HI373" s="1185" t="s">
        <v>2498</v>
      </c>
      <c r="HJ373" s="1185" t="s">
        <v>2499</v>
      </c>
      <c r="HK373" s="1185" t="s">
        <v>2500</v>
      </c>
      <c r="HL373" s="1185" t="s">
        <v>2501</v>
      </c>
      <c r="HM373" s="1185" t="s">
        <v>2502</v>
      </c>
      <c r="HN373" s="1185" t="s">
        <v>2503</v>
      </c>
      <c r="HO373" s="1185" t="s">
        <v>2504</v>
      </c>
      <c r="HP373" s="1185" t="s">
        <v>2505</v>
      </c>
      <c r="HQ373" s="1185" t="s">
        <v>2506</v>
      </c>
      <c r="HR373" s="1185" t="s">
        <v>2507</v>
      </c>
      <c r="HS373" s="1185" t="s">
        <v>2508</v>
      </c>
      <c r="HT373" s="1185" t="s">
        <v>2509</v>
      </c>
      <c r="HU373" s="1185" t="s">
        <v>2510</v>
      </c>
      <c r="HV373" s="1185" t="s">
        <v>2511</v>
      </c>
      <c r="HW373" s="1185" t="s">
        <v>2512</v>
      </c>
      <c r="HX373" s="1185" t="s">
        <v>2513</v>
      </c>
      <c r="HY373" s="1185" t="s">
        <v>2514</v>
      </c>
      <c r="HZ373" s="1185" t="s">
        <v>2515</v>
      </c>
      <c r="IA373" s="1185" t="s">
        <v>2516</v>
      </c>
      <c r="IB373" s="1185" t="s">
        <v>2517</v>
      </c>
      <c r="IC373" s="1185" t="s">
        <v>2518</v>
      </c>
      <c r="ID373" s="1185" t="s">
        <v>2519</v>
      </c>
      <c r="IE373" s="1185" t="s">
        <v>2520</v>
      </c>
      <c r="IF373" s="1185" t="s">
        <v>2521</v>
      </c>
      <c r="IG373" s="1185" t="s">
        <v>2522</v>
      </c>
      <c r="IH373" s="1185" t="s">
        <v>2523</v>
      </c>
      <c r="II373" s="1185" t="s">
        <v>2524</v>
      </c>
      <c r="IJ373" s="1185" t="s">
        <v>2525</v>
      </c>
      <c r="IK373" s="1185" t="s">
        <v>2526</v>
      </c>
      <c r="IL373" s="1185" t="s">
        <v>2527</v>
      </c>
      <c r="IM373" s="1185" t="s">
        <v>2528</v>
      </c>
      <c r="IN373" s="1185" t="s">
        <v>2529</v>
      </c>
      <c r="IO373" s="1185" t="s">
        <v>2530</v>
      </c>
      <c r="IP373" s="1185" t="s">
        <v>2531</v>
      </c>
      <c r="IQ373" s="1185" t="s">
        <v>2532</v>
      </c>
      <c r="IR373" s="1185" t="s">
        <v>2533</v>
      </c>
      <c r="IS373" s="1185" t="s">
        <v>2534</v>
      </c>
      <c r="IT373" s="1185" t="s">
        <v>2535</v>
      </c>
      <c r="IU373" s="1185" t="s">
        <v>2536</v>
      </c>
      <c r="IV373" s="1185" t="s">
        <v>2537</v>
      </c>
      <c r="IW373" s="1185" t="s">
        <v>2538</v>
      </c>
      <c r="IX373" s="769"/>
      <c r="IY373" s="770"/>
      <c r="IZ373" s="770"/>
      <c r="JA373" s="770"/>
      <c r="JB373" s="770"/>
      <c r="JC373" s="770" t="s">
        <v>962</v>
      </c>
      <c r="JD373" s="770" t="s">
        <v>963</v>
      </c>
      <c r="JE373" s="1184" t="s">
        <v>961</v>
      </c>
      <c r="JF373" s="770"/>
      <c r="JG373" s="770"/>
      <c r="JH373" s="770"/>
      <c r="JI373" s="770"/>
      <c r="JJ373" s="1191"/>
      <c r="JK373" s="769"/>
      <c r="JL373" s="770"/>
      <c r="JM373" s="770"/>
      <c r="JN373" s="770"/>
      <c r="JO373" s="770" t="s">
        <v>962</v>
      </c>
      <c r="JP373" s="770" t="s">
        <v>963</v>
      </c>
      <c r="JQ373" s="770" t="s">
        <v>961</v>
      </c>
      <c r="JR373" s="771" t="s">
        <v>233</v>
      </c>
      <c r="JS373" s="770" t="s">
        <v>234</v>
      </c>
      <c r="JT373" s="770" t="s">
        <v>235</v>
      </c>
      <c r="JU373" s="770" t="s">
        <v>236</v>
      </c>
      <c r="JV373" s="770" t="s">
        <v>237</v>
      </c>
      <c r="JW373" s="1192"/>
      <c r="JX373" s="769"/>
      <c r="JY373" s="770"/>
      <c r="JZ373" s="770" t="s">
        <v>962</v>
      </c>
      <c r="KA373" s="770" t="s">
        <v>963</v>
      </c>
      <c r="KB373" s="770" t="s">
        <v>961</v>
      </c>
      <c r="KC373" s="771" t="s">
        <v>233</v>
      </c>
      <c r="KD373" s="770" t="s">
        <v>234</v>
      </c>
      <c r="KE373" s="770" t="s">
        <v>235</v>
      </c>
      <c r="KF373" s="770" t="s">
        <v>236</v>
      </c>
      <c r="KG373" s="770" t="s">
        <v>237</v>
      </c>
      <c r="KH373" s="784" t="s">
        <v>2633</v>
      </c>
      <c r="KI373" s="785" t="s">
        <v>2596</v>
      </c>
      <c r="KJ373" s="785" t="s">
        <v>2634</v>
      </c>
      <c r="KK373" s="785" t="s">
        <v>2597</v>
      </c>
      <c r="KL373" s="785" t="s">
        <v>578</v>
      </c>
      <c r="KM373" s="785" t="s">
        <v>2598</v>
      </c>
      <c r="KN373" s="785" t="s">
        <v>629</v>
      </c>
      <c r="KO373" s="785" t="s">
        <v>630</v>
      </c>
      <c r="KP373" s="785" t="s">
        <v>2599</v>
      </c>
      <c r="KQ373" s="784" t="s">
        <v>2633</v>
      </c>
      <c r="KR373" s="785" t="s">
        <v>2596</v>
      </c>
      <c r="KS373" s="785" t="s">
        <v>2634</v>
      </c>
      <c r="KT373" s="785" t="s">
        <v>2597</v>
      </c>
      <c r="KU373" s="785" t="s">
        <v>578</v>
      </c>
      <c r="KV373" s="785" t="s">
        <v>2598</v>
      </c>
      <c r="KW373" s="785" t="s">
        <v>629</v>
      </c>
      <c r="KX373" s="785" t="s">
        <v>630</v>
      </c>
      <c r="KY373" s="785" t="s">
        <v>2599</v>
      </c>
      <c r="KZ373" s="784" t="s">
        <v>2633</v>
      </c>
      <c r="LA373" s="785" t="s">
        <v>2596</v>
      </c>
      <c r="LB373" s="785" t="s">
        <v>2634</v>
      </c>
      <c r="LC373" s="785" t="s">
        <v>2597</v>
      </c>
      <c r="LD373" s="785" t="s">
        <v>578</v>
      </c>
      <c r="LE373" s="785" t="s">
        <v>2598</v>
      </c>
      <c r="LF373" s="785" t="s">
        <v>629</v>
      </c>
      <c r="LG373" s="785" t="s">
        <v>630</v>
      </c>
      <c r="LH373" s="785" t="s">
        <v>2599</v>
      </c>
      <c r="LI373" s="771" t="s">
        <v>2305</v>
      </c>
      <c r="LJ373" s="770" t="s">
        <v>61</v>
      </c>
      <c r="LK373" s="770" t="s">
        <v>62</v>
      </c>
      <c r="LL373" s="770" t="s">
        <v>63</v>
      </c>
      <c r="LM373" s="770" t="s">
        <v>64</v>
      </c>
      <c r="LN373" s="1192"/>
      <c r="LO373" s="769"/>
      <c r="LP373" s="770"/>
      <c r="LQ373" s="770" t="s">
        <v>962</v>
      </c>
      <c r="LR373" s="770" t="s">
        <v>963</v>
      </c>
      <c r="LS373" s="770" t="s">
        <v>961</v>
      </c>
      <c r="LT373" s="771" t="s">
        <v>233</v>
      </c>
      <c r="LU373" s="770" t="s">
        <v>234</v>
      </c>
      <c r="LV373" s="770" t="s">
        <v>235</v>
      </c>
      <c r="LW373" s="770" t="s">
        <v>236</v>
      </c>
      <c r="LX373" s="770" t="s">
        <v>237</v>
      </c>
      <c r="LY373" s="771"/>
      <c r="LZ373" s="769"/>
      <c r="MA373" s="1191"/>
      <c r="MB373" s="770"/>
      <c r="MC373" s="770"/>
      <c r="MD373" s="770"/>
      <c r="ME373" s="770"/>
      <c r="MF373" s="771" t="s">
        <v>2914</v>
      </c>
      <c r="MG373" s="770" t="s">
        <v>905</v>
      </c>
      <c r="MH373" s="770" t="s">
        <v>2932</v>
      </c>
      <c r="MI373" s="770" t="s">
        <v>906</v>
      </c>
      <c r="MJ373" s="771" t="s">
        <v>2914</v>
      </c>
      <c r="MK373" s="770" t="s">
        <v>905</v>
      </c>
      <c r="ML373" s="770" t="s">
        <v>2932</v>
      </c>
      <c r="MM373" s="770" t="s">
        <v>906</v>
      </c>
      <c r="MN373" s="771" t="s">
        <v>2914</v>
      </c>
      <c r="MO373" s="770" t="s">
        <v>905</v>
      </c>
      <c r="MP373" s="770" t="s">
        <v>2932</v>
      </c>
      <c r="MQ373" s="770" t="s">
        <v>906</v>
      </c>
      <c r="MR373" s="771" t="s">
        <v>2914</v>
      </c>
      <c r="MS373" s="770" t="s">
        <v>905</v>
      </c>
      <c r="MT373" s="770" t="s">
        <v>2932</v>
      </c>
      <c r="MU373" s="770" t="s">
        <v>906</v>
      </c>
      <c r="MV373" s="769" t="s">
        <v>962</v>
      </c>
      <c r="MW373" s="770" t="s">
        <v>963</v>
      </c>
      <c r="MX373" s="1191" t="s">
        <v>961</v>
      </c>
      <c r="MY373" s="1193"/>
      <c r="MZ373" s="1194" t="s">
        <v>962</v>
      </c>
      <c r="NA373" s="1194" t="s">
        <v>963</v>
      </c>
      <c r="NB373" s="1195" t="s">
        <v>961</v>
      </c>
      <c r="NC373" s="1194"/>
      <c r="ND373" s="1194" t="s">
        <v>962</v>
      </c>
      <c r="NE373" s="1194" t="s">
        <v>963</v>
      </c>
      <c r="NF373" s="1195" t="s">
        <v>961</v>
      </c>
      <c r="NG373" s="1193"/>
      <c r="NH373" s="1194" t="s">
        <v>962</v>
      </c>
      <c r="NI373" s="1194" t="s">
        <v>963</v>
      </c>
      <c r="NJ373" s="1195" t="s">
        <v>961</v>
      </c>
      <c r="NK373" s="1194"/>
      <c r="NL373" s="1194" t="s">
        <v>962</v>
      </c>
      <c r="NM373" s="1194" t="s">
        <v>963</v>
      </c>
      <c r="NN373" s="1195" t="s">
        <v>961</v>
      </c>
      <c r="NO373" s="1193"/>
      <c r="NP373" s="1194" t="s">
        <v>962</v>
      </c>
      <c r="NQ373" s="1194" t="s">
        <v>963</v>
      </c>
      <c r="NR373" s="1195" t="s">
        <v>961</v>
      </c>
      <c r="NS373" s="1193"/>
      <c r="NT373" s="1194" t="s">
        <v>962</v>
      </c>
      <c r="NU373" s="1194" t="s">
        <v>963</v>
      </c>
      <c r="NV373" s="1195" t="s">
        <v>961</v>
      </c>
      <c r="NW373" s="1196" t="s">
        <v>945</v>
      </c>
      <c r="NX373" s="1197" t="s">
        <v>946</v>
      </c>
      <c r="NY373" s="1197" t="s">
        <v>947</v>
      </c>
      <c r="NZ373" s="1197" t="s">
        <v>534</v>
      </c>
      <c r="OA373" s="1197" t="s">
        <v>948</v>
      </c>
      <c r="OB373" s="1198" t="s">
        <v>949</v>
      </c>
      <c r="OC373" s="1197" t="s">
        <v>945</v>
      </c>
      <c r="OD373" s="1197" t="s">
        <v>946</v>
      </c>
      <c r="OE373" s="1197" t="s">
        <v>947</v>
      </c>
      <c r="OF373" s="1197" t="s">
        <v>534</v>
      </c>
      <c r="OG373" s="1197" t="s">
        <v>948</v>
      </c>
      <c r="OH373" s="1198" t="s">
        <v>949</v>
      </c>
      <c r="OI373" s="1199" t="s">
        <v>945</v>
      </c>
      <c r="OJ373" s="1199" t="s">
        <v>946</v>
      </c>
      <c r="OK373" s="1199" t="s">
        <v>947</v>
      </c>
      <c r="OL373" s="1199" t="s">
        <v>534</v>
      </c>
      <c r="OM373" s="1199" t="s">
        <v>948</v>
      </c>
      <c r="ON373" s="1200" t="s">
        <v>949</v>
      </c>
      <c r="OO373" s="1197" t="s">
        <v>945</v>
      </c>
      <c r="OP373" s="1197" t="s">
        <v>946</v>
      </c>
      <c r="OQ373" s="1197" t="s">
        <v>947</v>
      </c>
      <c r="OR373" s="1197" t="s">
        <v>534</v>
      </c>
      <c r="OS373" s="1197" t="s">
        <v>948</v>
      </c>
      <c r="OT373" s="1198" t="s">
        <v>949</v>
      </c>
      <c r="OU373" s="1199" t="s">
        <v>945</v>
      </c>
      <c r="OV373" s="1199" t="s">
        <v>946</v>
      </c>
      <c r="OW373" s="1199" t="s">
        <v>947</v>
      </c>
      <c r="OX373" s="1199" t="s">
        <v>534</v>
      </c>
      <c r="OY373" s="1199" t="s">
        <v>948</v>
      </c>
      <c r="OZ373" s="1200" t="s">
        <v>949</v>
      </c>
      <c r="PA373" s="1199" t="s">
        <v>945</v>
      </c>
      <c r="PB373" s="1199" t="s">
        <v>946</v>
      </c>
      <c r="PC373" s="1199" t="s">
        <v>947</v>
      </c>
      <c r="PD373" s="1199" t="s">
        <v>534</v>
      </c>
      <c r="PE373" s="1199" t="s">
        <v>948</v>
      </c>
      <c r="PF373" s="1201" t="s">
        <v>949</v>
      </c>
      <c r="PG373" s="1202" t="s">
        <v>945</v>
      </c>
      <c r="PH373" s="1199" t="s">
        <v>946</v>
      </c>
      <c r="PI373" s="1199" t="s">
        <v>947</v>
      </c>
      <c r="PJ373" s="1199" t="s">
        <v>534</v>
      </c>
      <c r="PK373" s="1199" t="s">
        <v>948</v>
      </c>
      <c r="PL373" s="1200" t="s">
        <v>949</v>
      </c>
      <c r="PM373" s="1199" t="s">
        <v>945</v>
      </c>
      <c r="PN373" s="1199" t="s">
        <v>946</v>
      </c>
      <c r="PO373" s="1199" t="s">
        <v>947</v>
      </c>
      <c r="PP373" s="1199" t="s">
        <v>534</v>
      </c>
      <c r="PQ373" s="1199" t="s">
        <v>948</v>
      </c>
      <c r="PR373" s="1200" t="s">
        <v>949</v>
      </c>
      <c r="PS373" s="1199" t="s">
        <v>945</v>
      </c>
      <c r="PT373" s="1199" t="s">
        <v>946</v>
      </c>
      <c r="PU373" s="1199" t="s">
        <v>947</v>
      </c>
      <c r="PV373" s="1199" t="s">
        <v>534</v>
      </c>
      <c r="PW373" s="1199" t="s">
        <v>948</v>
      </c>
      <c r="PX373" s="1200" t="s">
        <v>949</v>
      </c>
      <c r="PY373" s="1199" t="s">
        <v>945</v>
      </c>
      <c r="PZ373" s="1199" t="s">
        <v>946</v>
      </c>
      <c r="QA373" s="1199" t="s">
        <v>947</v>
      </c>
      <c r="QB373" s="1199" t="s">
        <v>534</v>
      </c>
      <c r="QC373" s="1199" t="s">
        <v>948</v>
      </c>
      <c r="QD373" s="1201" t="s">
        <v>949</v>
      </c>
      <c r="QE373" s="1202" t="s">
        <v>945</v>
      </c>
      <c r="QF373" s="1199" t="s">
        <v>946</v>
      </c>
      <c r="QG373" s="1199" t="s">
        <v>947</v>
      </c>
      <c r="QH373" s="1199" t="s">
        <v>534</v>
      </c>
      <c r="QI373" s="1199" t="s">
        <v>948</v>
      </c>
      <c r="QJ373" s="1200" t="s">
        <v>949</v>
      </c>
      <c r="QK373" s="1199" t="s">
        <v>945</v>
      </c>
      <c r="QL373" s="1199" t="s">
        <v>946</v>
      </c>
      <c r="QM373" s="1199" t="s">
        <v>947</v>
      </c>
      <c r="QN373" s="1199" t="s">
        <v>534</v>
      </c>
      <c r="QO373" s="1199" t="s">
        <v>948</v>
      </c>
      <c r="QP373" s="1200" t="s">
        <v>949</v>
      </c>
      <c r="QQ373" s="1197" t="s">
        <v>945</v>
      </c>
      <c r="QR373" s="1197" t="s">
        <v>946</v>
      </c>
      <c r="QS373" s="1197" t="s">
        <v>947</v>
      </c>
      <c r="QT373" s="1197" t="s">
        <v>534</v>
      </c>
      <c r="QU373" s="1197" t="s">
        <v>948</v>
      </c>
      <c r="QV373" s="1198" t="s">
        <v>949</v>
      </c>
      <c r="QW373" s="1199" t="s">
        <v>945</v>
      </c>
      <c r="QX373" s="1199" t="s">
        <v>946</v>
      </c>
      <c r="QY373" s="1199" t="s">
        <v>947</v>
      </c>
      <c r="QZ373" s="1199" t="s">
        <v>534</v>
      </c>
      <c r="RA373" s="1199" t="s">
        <v>948</v>
      </c>
      <c r="RB373" s="1200" t="s">
        <v>949</v>
      </c>
      <c r="RC373" s="1197" t="s">
        <v>945</v>
      </c>
      <c r="RD373" s="1197" t="s">
        <v>946</v>
      </c>
      <c r="RE373" s="1197" t="s">
        <v>947</v>
      </c>
      <c r="RF373" s="1197" t="s">
        <v>534</v>
      </c>
      <c r="RG373" s="1197" t="s">
        <v>948</v>
      </c>
      <c r="RH373" s="1203" t="s">
        <v>949</v>
      </c>
      <c r="RI373" s="1196" t="s">
        <v>945</v>
      </c>
      <c r="RJ373" s="1197" t="s">
        <v>946</v>
      </c>
      <c r="RK373" s="1197" t="s">
        <v>947</v>
      </c>
      <c r="RL373" s="1197" t="s">
        <v>534</v>
      </c>
      <c r="RM373" s="1197" t="s">
        <v>948</v>
      </c>
      <c r="RN373" s="1198" t="s">
        <v>949</v>
      </c>
      <c r="RO373" s="1197" t="s">
        <v>945</v>
      </c>
      <c r="RP373" s="1197" t="s">
        <v>946</v>
      </c>
      <c r="RQ373" s="1197" t="s">
        <v>947</v>
      </c>
      <c r="RR373" s="1197" t="s">
        <v>534</v>
      </c>
      <c r="RS373" s="1197" t="s">
        <v>948</v>
      </c>
      <c r="RT373" s="1198" t="s">
        <v>949</v>
      </c>
      <c r="RU373" s="1197" t="s">
        <v>945</v>
      </c>
      <c r="RV373" s="1197" t="s">
        <v>946</v>
      </c>
      <c r="RW373" s="1197" t="s">
        <v>947</v>
      </c>
      <c r="RX373" s="1197" t="s">
        <v>534</v>
      </c>
      <c r="RY373" s="1197" t="s">
        <v>948</v>
      </c>
      <c r="RZ373" s="1198" t="s">
        <v>949</v>
      </c>
      <c r="SA373" s="1197" t="s">
        <v>945</v>
      </c>
      <c r="SB373" s="1197" t="s">
        <v>946</v>
      </c>
      <c r="SC373" s="1197" t="s">
        <v>947</v>
      </c>
      <c r="SD373" s="1197" t="s">
        <v>534</v>
      </c>
      <c r="SE373" s="1197" t="s">
        <v>948</v>
      </c>
      <c r="SF373" s="1198" t="s">
        <v>949</v>
      </c>
      <c r="SG373" s="1197" t="s">
        <v>945</v>
      </c>
      <c r="SH373" s="1197" t="s">
        <v>946</v>
      </c>
      <c r="SI373" s="1197" t="s">
        <v>947</v>
      </c>
      <c r="SJ373" s="1197" t="s">
        <v>534</v>
      </c>
      <c r="SK373" s="1197" t="s">
        <v>948</v>
      </c>
      <c r="SL373" s="1203" t="s">
        <v>949</v>
      </c>
      <c r="SM373" s="1196" t="s">
        <v>945</v>
      </c>
      <c r="SN373" s="1197" t="s">
        <v>946</v>
      </c>
      <c r="SO373" s="1197" t="s">
        <v>947</v>
      </c>
      <c r="SP373" s="1197" t="s">
        <v>534</v>
      </c>
      <c r="SQ373" s="1197" t="s">
        <v>948</v>
      </c>
      <c r="SR373" s="1198" t="s">
        <v>949</v>
      </c>
      <c r="SS373" s="1197" t="s">
        <v>945</v>
      </c>
      <c r="ST373" s="1197" t="s">
        <v>946</v>
      </c>
      <c r="SU373" s="1197" t="s">
        <v>947</v>
      </c>
      <c r="SV373" s="1197" t="s">
        <v>534</v>
      </c>
      <c r="SW373" s="1197" t="s">
        <v>948</v>
      </c>
      <c r="SX373" s="1198" t="s">
        <v>949</v>
      </c>
      <c r="SY373" s="1197" t="s">
        <v>945</v>
      </c>
      <c r="SZ373" s="1197" t="s">
        <v>946</v>
      </c>
      <c r="TA373" s="1197" t="s">
        <v>947</v>
      </c>
      <c r="TB373" s="1197" t="s">
        <v>534</v>
      </c>
      <c r="TC373" s="1197" t="s">
        <v>948</v>
      </c>
      <c r="TD373" s="1198" t="s">
        <v>949</v>
      </c>
      <c r="TE373" s="1197" t="s">
        <v>945</v>
      </c>
      <c r="TF373" s="1197" t="s">
        <v>946</v>
      </c>
      <c r="TG373" s="1197" t="s">
        <v>947</v>
      </c>
      <c r="TH373" s="1197" t="s">
        <v>534</v>
      </c>
      <c r="TI373" s="1197" t="s">
        <v>948</v>
      </c>
      <c r="TJ373" s="1198" t="s">
        <v>949</v>
      </c>
      <c r="TK373" s="1197" t="s">
        <v>945</v>
      </c>
      <c r="TL373" s="1197" t="s">
        <v>946</v>
      </c>
      <c r="TM373" s="1197" t="s">
        <v>947</v>
      </c>
      <c r="TN373" s="1197" t="s">
        <v>534</v>
      </c>
      <c r="TO373" s="1197" t="s">
        <v>948</v>
      </c>
      <c r="TP373" s="1203" t="s">
        <v>949</v>
      </c>
      <c r="TQ373" s="1196" t="s">
        <v>945</v>
      </c>
      <c r="TR373" s="1197" t="s">
        <v>946</v>
      </c>
      <c r="TS373" s="1197" t="s">
        <v>947</v>
      </c>
      <c r="TT373" s="1197" t="s">
        <v>534</v>
      </c>
      <c r="TU373" s="1197" t="s">
        <v>948</v>
      </c>
      <c r="TV373" s="1198" t="s">
        <v>949</v>
      </c>
      <c r="TW373" s="1197" t="s">
        <v>945</v>
      </c>
      <c r="TX373" s="1197" t="s">
        <v>946</v>
      </c>
      <c r="TY373" s="1197" t="s">
        <v>947</v>
      </c>
      <c r="TZ373" s="1197" t="s">
        <v>534</v>
      </c>
      <c r="UA373" s="1197" t="s">
        <v>948</v>
      </c>
      <c r="UB373" s="1198" t="s">
        <v>949</v>
      </c>
      <c r="UC373" s="1197" t="s">
        <v>945</v>
      </c>
      <c r="UD373" s="1197" t="s">
        <v>946</v>
      </c>
      <c r="UE373" s="1197" t="s">
        <v>947</v>
      </c>
      <c r="UF373" s="1197" t="s">
        <v>534</v>
      </c>
      <c r="UG373" s="1197" t="s">
        <v>948</v>
      </c>
      <c r="UH373" s="1198" t="s">
        <v>949</v>
      </c>
      <c r="UI373" s="1197" t="s">
        <v>945</v>
      </c>
      <c r="UJ373" s="1197" t="s">
        <v>946</v>
      </c>
      <c r="UK373" s="1197" t="s">
        <v>947</v>
      </c>
      <c r="UL373" s="1197" t="s">
        <v>534</v>
      </c>
      <c r="UM373" s="1197" t="s">
        <v>948</v>
      </c>
      <c r="UN373" s="1198" t="s">
        <v>949</v>
      </c>
      <c r="UO373" s="1197" t="s">
        <v>945</v>
      </c>
      <c r="UP373" s="1197" t="s">
        <v>946</v>
      </c>
      <c r="UQ373" s="1197" t="s">
        <v>947</v>
      </c>
      <c r="UR373" s="1197" t="s">
        <v>534</v>
      </c>
      <c r="US373" s="1197" t="s">
        <v>948</v>
      </c>
      <c r="UT373" s="1203" t="s">
        <v>949</v>
      </c>
      <c r="UU373" s="1196" t="s">
        <v>945</v>
      </c>
      <c r="UV373" s="1197" t="s">
        <v>946</v>
      </c>
      <c r="UW373" s="1197" t="s">
        <v>947</v>
      </c>
      <c r="UX373" s="1197" t="s">
        <v>534</v>
      </c>
      <c r="UY373" s="1197" t="s">
        <v>948</v>
      </c>
      <c r="UZ373" s="1198" t="s">
        <v>949</v>
      </c>
      <c r="VA373" s="1197" t="s">
        <v>945</v>
      </c>
      <c r="VB373" s="1197" t="s">
        <v>946</v>
      </c>
      <c r="VC373" s="1197" t="s">
        <v>947</v>
      </c>
      <c r="VD373" s="1197" t="s">
        <v>534</v>
      </c>
      <c r="VE373" s="1197" t="s">
        <v>948</v>
      </c>
      <c r="VF373" s="1198" t="s">
        <v>949</v>
      </c>
      <c r="VG373" s="1197" t="s">
        <v>945</v>
      </c>
      <c r="VH373" s="1197" t="s">
        <v>946</v>
      </c>
      <c r="VI373" s="1197" t="s">
        <v>947</v>
      </c>
      <c r="VJ373" s="1197" t="s">
        <v>534</v>
      </c>
      <c r="VK373" s="1197" t="s">
        <v>948</v>
      </c>
      <c r="VL373" s="1198" t="s">
        <v>949</v>
      </c>
      <c r="VM373" s="1197" t="s">
        <v>945</v>
      </c>
      <c r="VN373" s="1197" t="s">
        <v>946</v>
      </c>
      <c r="VO373" s="1197" t="s">
        <v>947</v>
      </c>
      <c r="VP373" s="1197" t="s">
        <v>534</v>
      </c>
      <c r="VQ373" s="1197" t="s">
        <v>948</v>
      </c>
      <c r="VR373" s="1198" t="s">
        <v>949</v>
      </c>
      <c r="VS373" s="1197" t="s">
        <v>945</v>
      </c>
      <c r="VT373" s="1197" t="s">
        <v>946</v>
      </c>
      <c r="VU373" s="1197" t="s">
        <v>947</v>
      </c>
      <c r="VV373" s="1197" t="s">
        <v>534</v>
      </c>
      <c r="VW373" s="1197" t="s">
        <v>948</v>
      </c>
      <c r="VX373" s="1198" t="s">
        <v>949</v>
      </c>
      <c r="VY373" s="1197" t="s">
        <v>945</v>
      </c>
      <c r="VZ373" s="1197" t="s">
        <v>946</v>
      </c>
      <c r="WA373" s="1197" t="s">
        <v>947</v>
      </c>
      <c r="WB373" s="1197" t="s">
        <v>534</v>
      </c>
      <c r="WC373" s="1197" t="s">
        <v>948</v>
      </c>
      <c r="WD373" s="1203" t="s">
        <v>949</v>
      </c>
      <c r="WE373" s="1364" t="s">
        <v>862</v>
      </c>
      <c r="WF373" s="1341" t="s">
        <v>863</v>
      </c>
      <c r="WG373" s="1341" t="s">
        <v>864</v>
      </c>
      <c r="WH373" s="1341" t="s">
        <v>884</v>
      </c>
      <c r="WI373" s="1341" t="s">
        <v>866</v>
      </c>
      <c r="WJ373" s="1341" t="s">
        <v>867</v>
      </c>
      <c r="WK373" s="1365" t="s">
        <v>958</v>
      </c>
      <c r="WL373" s="397" t="s">
        <v>962</v>
      </c>
      <c r="WM373" s="397" t="s">
        <v>963</v>
      </c>
      <c r="WN373" s="398" t="s">
        <v>961</v>
      </c>
      <c r="WO373" s="399" t="s">
        <v>962</v>
      </c>
      <c r="WP373" s="397" t="s">
        <v>963</v>
      </c>
      <c r="WQ373" s="398" t="s">
        <v>961</v>
      </c>
      <c r="WR373" s="399" t="s">
        <v>962</v>
      </c>
      <c r="WS373" s="397" t="s">
        <v>963</v>
      </c>
      <c r="WT373" s="398" t="s">
        <v>961</v>
      </c>
      <c r="WU373" s="399" t="s">
        <v>962</v>
      </c>
      <c r="WV373" s="397" t="s">
        <v>963</v>
      </c>
      <c r="WW373" s="398" t="s">
        <v>961</v>
      </c>
      <c r="WX373" s="399" t="s">
        <v>962</v>
      </c>
      <c r="WY373" s="397" t="s">
        <v>963</v>
      </c>
      <c r="WZ373" s="398" t="s">
        <v>961</v>
      </c>
      <c r="XA373" s="399" t="s">
        <v>962</v>
      </c>
      <c r="XB373" s="397" t="s">
        <v>963</v>
      </c>
      <c r="XC373" s="398" t="s">
        <v>961</v>
      </c>
      <c r="XD373" s="399" t="s">
        <v>962</v>
      </c>
      <c r="XE373" s="397" t="s">
        <v>963</v>
      </c>
      <c r="XF373" s="398" t="s">
        <v>961</v>
      </c>
      <c r="XG373" s="399" t="s">
        <v>962</v>
      </c>
      <c r="XH373" s="397" t="s">
        <v>963</v>
      </c>
      <c r="XI373" s="398" t="s">
        <v>961</v>
      </c>
      <c r="XJ373" s="399" t="s">
        <v>962</v>
      </c>
      <c r="XK373" s="397" t="s">
        <v>963</v>
      </c>
      <c r="XL373" s="398" t="s">
        <v>961</v>
      </c>
      <c r="XM373" s="399" t="s">
        <v>962</v>
      </c>
      <c r="XN373" s="397" t="s">
        <v>963</v>
      </c>
      <c r="XO373" s="398" t="s">
        <v>961</v>
      </c>
      <c r="XP373" s="399" t="s">
        <v>962</v>
      </c>
      <c r="XQ373" s="397" t="s">
        <v>963</v>
      </c>
      <c r="XR373" s="397" t="s">
        <v>961</v>
      </c>
      <c r="XS373" s="443" t="s">
        <v>891</v>
      </c>
      <c r="XT373" s="440" t="s">
        <v>858</v>
      </c>
      <c r="XU373" s="440" t="s">
        <v>861</v>
      </c>
      <c r="XV373" s="440" t="s">
        <v>883</v>
      </c>
      <c r="XW373" s="444" t="s">
        <v>859</v>
      </c>
      <c r="XX373" s="1366" t="s">
        <v>1636</v>
      </c>
      <c r="XY373" s="1367" t="s">
        <v>887</v>
      </c>
      <c r="XZ373" s="1368" t="s">
        <v>888</v>
      </c>
      <c r="YA373" s="1368" t="s">
        <v>889</v>
      </c>
      <c r="YB373" s="1369" t="s">
        <v>890</v>
      </c>
      <c r="YC373" s="1367" t="s">
        <v>578</v>
      </c>
      <c r="YD373" s="1370" t="s">
        <v>862</v>
      </c>
      <c r="YE373" s="1370" t="s">
        <v>863</v>
      </c>
      <c r="YF373" s="1370" t="s">
        <v>864</v>
      </c>
      <c r="YG373" s="1370" t="s">
        <v>884</v>
      </c>
      <c r="YH373" s="1370" t="s">
        <v>866</v>
      </c>
      <c r="YI373" s="1370" t="s">
        <v>867</v>
      </c>
      <c r="YJ373" s="1371" t="s">
        <v>990</v>
      </c>
      <c r="YK373" s="1367" t="s">
        <v>578</v>
      </c>
      <c r="YL373" s="1370" t="s">
        <v>862</v>
      </c>
      <c r="YM373" s="1370" t="s">
        <v>863</v>
      </c>
      <c r="YN373" s="1370" t="s">
        <v>864</v>
      </c>
      <c r="YO373" s="1370" t="s">
        <v>884</v>
      </c>
      <c r="YP373" s="1370" t="s">
        <v>866</v>
      </c>
      <c r="YQ373" s="1370" t="s">
        <v>867</v>
      </c>
      <c r="YR373" s="1371" t="s">
        <v>990</v>
      </c>
      <c r="YS373" s="1367" t="s">
        <v>578</v>
      </c>
      <c r="YT373" s="1370" t="s">
        <v>862</v>
      </c>
      <c r="YU373" s="1370" t="s">
        <v>863</v>
      </c>
      <c r="YV373" s="1370" t="s">
        <v>864</v>
      </c>
      <c r="YW373" s="1370" t="s">
        <v>884</v>
      </c>
      <c r="YX373" s="1370" t="s">
        <v>866</v>
      </c>
      <c r="YY373" s="1370" t="s">
        <v>867</v>
      </c>
      <c r="YZ373" s="1371" t="s">
        <v>990</v>
      </c>
      <c r="ZA373" s="1367" t="s">
        <v>578</v>
      </c>
      <c r="ZB373" s="1370" t="s">
        <v>862</v>
      </c>
      <c r="ZC373" s="1370" t="s">
        <v>863</v>
      </c>
      <c r="ZD373" s="1370" t="s">
        <v>864</v>
      </c>
      <c r="ZE373" s="1370" t="s">
        <v>884</v>
      </c>
      <c r="ZF373" s="1370" t="s">
        <v>866</v>
      </c>
      <c r="ZG373" s="1370" t="s">
        <v>867</v>
      </c>
      <c r="ZH373" s="1371" t="s">
        <v>990</v>
      </c>
      <c r="ZI373" s="1367" t="s">
        <v>578</v>
      </c>
      <c r="ZJ373" s="1370" t="s">
        <v>862</v>
      </c>
      <c r="ZK373" s="1370" t="s">
        <v>863</v>
      </c>
      <c r="ZL373" s="1370" t="s">
        <v>864</v>
      </c>
      <c r="ZM373" s="1370" t="s">
        <v>884</v>
      </c>
      <c r="ZN373" s="1370" t="s">
        <v>866</v>
      </c>
      <c r="ZO373" s="1370" t="s">
        <v>867</v>
      </c>
      <c r="ZP373" s="1371" t="s">
        <v>990</v>
      </c>
      <c r="ZQ373" s="1367" t="s">
        <v>578</v>
      </c>
      <c r="ZR373" s="1370" t="s">
        <v>862</v>
      </c>
      <c r="ZS373" s="1370" t="s">
        <v>863</v>
      </c>
      <c r="ZT373" s="1370" t="s">
        <v>864</v>
      </c>
      <c r="ZU373" s="1370" t="s">
        <v>884</v>
      </c>
      <c r="ZV373" s="1370" t="s">
        <v>866</v>
      </c>
      <c r="ZW373" s="1370" t="s">
        <v>867</v>
      </c>
      <c r="ZX373" s="1371" t="s">
        <v>990</v>
      </c>
      <c r="ZY373" s="1367" t="s">
        <v>578</v>
      </c>
      <c r="ZZ373" s="1370" t="s">
        <v>862</v>
      </c>
      <c r="AAA373" s="1370" t="s">
        <v>863</v>
      </c>
      <c r="AAB373" s="1370" t="s">
        <v>864</v>
      </c>
      <c r="AAC373" s="1370" t="s">
        <v>884</v>
      </c>
      <c r="AAD373" s="1370" t="s">
        <v>866</v>
      </c>
      <c r="AAE373" s="1370" t="s">
        <v>867</v>
      </c>
      <c r="AAF373" s="1371" t="s">
        <v>990</v>
      </c>
      <c r="AAG373" s="1367" t="s">
        <v>578</v>
      </c>
      <c r="AAH373" s="1370" t="s">
        <v>862</v>
      </c>
      <c r="AAI373" s="1370" t="s">
        <v>863</v>
      </c>
      <c r="AAJ373" s="1370" t="s">
        <v>864</v>
      </c>
      <c r="AAK373" s="1370" t="s">
        <v>884</v>
      </c>
      <c r="AAL373" s="1370" t="s">
        <v>866</v>
      </c>
      <c r="AAM373" s="1370" t="s">
        <v>867</v>
      </c>
      <c r="AAN373" s="1371" t="s">
        <v>990</v>
      </c>
      <c r="AAO373" s="1367" t="s">
        <v>578</v>
      </c>
      <c r="AAP373" s="1370" t="s">
        <v>862</v>
      </c>
      <c r="AAQ373" s="1370" t="s">
        <v>863</v>
      </c>
      <c r="AAR373" s="1370" t="s">
        <v>864</v>
      </c>
      <c r="AAS373" s="1370" t="s">
        <v>884</v>
      </c>
      <c r="AAT373" s="1370" t="s">
        <v>866</v>
      </c>
      <c r="AAU373" s="1370" t="s">
        <v>867</v>
      </c>
      <c r="AAV373" s="1371" t="s">
        <v>990</v>
      </c>
      <c r="AAW373" s="1367" t="s">
        <v>578</v>
      </c>
      <c r="AAX373" s="1370" t="s">
        <v>862</v>
      </c>
      <c r="AAY373" s="1370" t="s">
        <v>863</v>
      </c>
      <c r="AAZ373" s="1370" t="s">
        <v>864</v>
      </c>
      <c r="ABA373" s="1370" t="s">
        <v>884</v>
      </c>
      <c r="ABB373" s="1370" t="s">
        <v>866</v>
      </c>
      <c r="ABC373" s="1370" t="s">
        <v>867</v>
      </c>
      <c r="ABD373" s="1371" t="s">
        <v>990</v>
      </c>
      <c r="ABE373" s="1367" t="s">
        <v>578</v>
      </c>
      <c r="ABF373" s="1370" t="s">
        <v>862</v>
      </c>
      <c r="ABG373" s="1370" t="s">
        <v>863</v>
      </c>
      <c r="ABH373" s="1370" t="s">
        <v>864</v>
      </c>
      <c r="ABI373" s="1370" t="s">
        <v>884</v>
      </c>
      <c r="ABJ373" s="1370" t="s">
        <v>866</v>
      </c>
      <c r="ABK373" s="1370" t="s">
        <v>867</v>
      </c>
      <c r="ABL373" s="1371" t="s">
        <v>990</v>
      </c>
      <c r="ABM373" s="1367" t="s">
        <v>578</v>
      </c>
      <c r="ABN373" s="1370" t="s">
        <v>862</v>
      </c>
      <c r="ABO373" s="1370" t="s">
        <v>863</v>
      </c>
      <c r="ABP373" s="1370" t="s">
        <v>864</v>
      </c>
      <c r="ABQ373" s="1370" t="s">
        <v>884</v>
      </c>
      <c r="ABR373" s="1370" t="s">
        <v>866</v>
      </c>
      <c r="ABS373" s="1370" t="s">
        <v>867</v>
      </c>
      <c r="ABT373" s="1371" t="s">
        <v>990</v>
      </c>
      <c r="ABU373" s="1367" t="s">
        <v>578</v>
      </c>
      <c r="ABV373" s="1370" t="s">
        <v>862</v>
      </c>
      <c r="ABW373" s="1370" t="s">
        <v>863</v>
      </c>
      <c r="ABX373" s="1370" t="s">
        <v>864</v>
      </c>
      <c r="ABY373" s="1370" t="s">
        <v>884</v>
      </c>
      <c r="ABZ373" s="1370" t="s">
        <v>866</v>
      </c>
      <c r="ACA373" s="1370" t="s">
        <v>867</v>
      </c>
      <c r="ACB373" s="1371" t="s">
        <v>990</v>
      </c>
      <c r="ACC373" s="1367" t="s">
        <v>578</v>
      </c>
      <c r="ACD373" s="1370" t="s">
        <v>862</v>
      </c>
      <c r="ACE373" s="1370" t="s">
        <v>863</v>
      </c>
      <c r="ACF373" s="1370" t="s">
        <v>864</v>
      </c>
      <c r="ACG373" s="1370" t="s">
        <v>884</v>
      </c>
      <c r="ACH373" s="1370" t="s">
        <v>866</v>
      </c>
      <c r="ACI373" s="1370" t="s">
        <v>867</v>
      </c>
      <c r="ACJ373" s="1371" t="s">
        <v>990</v>
      </c>
      <c r="ACK373" s="1367" t="s">
        <v>578</v>
      </c>
      <c r="ACL373" s="1370" t="s">
        <v>862</v>
      </c>
      <c r="ACM373" s="1370" t="s">
        <v>863</v>
      </c>
      <c r="ACN373" s="1370" t="s">
        <v>864</v>
      </c>
      <c r="ACO373" s="1370" t="s">
        <v>884</v>
      </c>
      <c r="ACP373" s="1370" t="s">
        <v>866</v>
      </c>
      <c r="ACQ373" s="1370" t="s">
        <v>867</v>
      </c>
      <c r="ACR373" s="1371" t="s">
        <v>990</v>
      </c>
      <c r="ACS373" s="1367" t="s">
        <v>578</v>
      </c>
      <c r="ACT373" s="1370" t="s">
        <v>862</v>
      </c>
      <c r="ACU373" s="1370" t="s">
        <v>863</v>
      </c>
      <c r="ACV373" s="1370" t="s">
        <v>864</v>
      </c>
      <c r="ACW373" s="1370" t="s">
        <v>884</v>
      </c>
      <c r="ACX373" s="1370" t="s">
        <v>866</v>
      </c>
      <c r="ACY373" s="1370" t="s">
        <v>867</v>
      </c>
      <c r="ACZ373" s="1371" t="s">
        <v>990</v>
      </c>
      <c r="ADA373" s="1367" t="s">
        <v>578</v>
      </c>
      <c r="ADB373" s="1370" t="s">
        <v>862</v>
      </c>
      <c r="ADC373" s="1370" t="s">
        <v>863</v>
      </c>
      <c r="ADD373" s="1370" t="s">
        <v>864</v>
      </c>
      <c r="ADE373" s="1370" t="s">
        <v>884</v>
      </c>
      <c r="ADF373" s="1370" t="s">
        <v>866</v>
      </c>
      <c r="ADG373" s="1370" t="s">
        <v>867</v>
      </c>
      <c r="ADH373" s="1371" t="s">
        <v>990</v>
      </c>
      <c r="ADI373" s="1367" t="s">
        <v>578</v>
      </c>
      <c r="ADJ373" s="1370" t="s">
        <v>862</v>
      </c>
      <c r="ADK373" s="1370" t="s">
        <v>863</v>
      </c>
      <c r="ADL373" s="1370" t="s">
        <v>864</v>
      </c>
      <c r="ADM373" s="1370" t="s">
        <v>884</v>
      </c>
      <c r="ADN373" s="1370" t="s">
        <v>866</v>
      </c>
      <c r="ADO373" s="1370" t="s">
        <v>867</v>
      </c>
      <c r="ADP373" s="1371" t="s">
        <v>990</v>
      </c>
      <c r="ADQ373" s="1367" t="s">
        <v>578</v>
      </c>
      <c r="ADR373" s="1370" t="s">
        <v>862</v>
      </c>
      <c r="ADS373" s="1370" t="s">
        <v>863</v>
      </c>
      <c r="ADT373" s="1370" t="s">
        <v>864</v>
      </c>
      <c r="ADU373" s="1370" t="s">
        <v>884</v>
      </c>
      <c r="ADV373" s="1370" t="s">
        <v>866</v>
      </c>
      <c r="ADW373" s="1370" t="s">
        <v>867</v>
      </c>
      <c r="ADX373" s="1371" t="s">
        <v>990</v>
      </c>
      <c r="ADY373" s="1367" t="s">
        <v>578</v>
      </c>
      <c r="ADZ373" s="1370" t="s">
        <v>862</v>
      </c>
      <c r="AEA373" s="1370" t="s">
        <v>863</v>
      </c>
      <c r="AEB373" s="1370" t="s">
        <v>864</v>
      </c>
      <c r="AEC373" s="1370" t="s">
        <v>884</v>
      </c>
      <c r="AED373" s="1370" t="s">
        <v>866</v>
      </c>
      <c r="AEE373" s="1370" t="s">
        <v>867</v>
      </c>
      <c r="AEF373" s="1371" t="s">
        <v>990</v>
      </c>
      <c r="AEG373" s="1367" t="s">
        <v>578</v>
      </c>
      <c r="AEH373" s="1370" t="s">
        <v>862</v>
      </c>
      <c r="AEI373" s="1370" t="s">
        <v>863</v>
      </c>
      <c r="AEJ373" s="1370" t="s">
        <v>864</v>
      </c>
      <c r="AEK373" s="1370" t="s">
        <v>884</v>
      </c>
      <c r="AEL373" s="1370" t="s">
        <v>866</v>
      </c>
      <c r="AEM373" s="1370" t="s">
        <v>867</v>
      </c>
      <c r="AEN373" s="1371" t="s">
        <v>990</v>
      </c>
      <c r="AEO373" s="1367" t="s">
        <v>578</v>
      </c>
      <c r="AEP373" s="1370" t="s">
        <v>862</v>
      </c>
      <c r="AEQ373" s="1370" t="s">
        <v>863</v>
      </c>
      <c r="AER373" s="1370" t="s">
        <v>864</v>
      </c>
      <c r="AES373" s="1370" t="s">
        <v>884</v>
      </c>
      <c r="AET373" s="1370" t="s">
        <v>866</v>
      </c>
      <c r="AEU373" s="1370" t="s">
        <v>867</v>
      </c>
      <c r="AEV373" s="1371" t="s">
        <v>990</v>
      </c>
      <c r="AEW373" s="1367" t="s">
        <v>578</v>
      </c>
      <c r="AEX373" s="1370" t="s">
        <v>862</v>
      </c>
      <c r="AEY373" s="1370" t="s">
        <v>863</v>
      </c>
      <c r="AEZ373" s="1370" t="s">
        <v>864</v>
      </c>
      <c r="AFA373" s="1370" t="s">
        <v>884</v>
      </c>
      <c r="AFB373" s="1370" t="s">
        <v>866</v>
      </c>
      <c r="AFC373" s="1370" t="s">
        <v>867</v>
      </c>
      <c r="AFD373" s="1371" t="s">
        <v>990</v>
      </c>
      <c r="AFE373" s="1367" t="s">
        <v>578</v>
      </c>
      <c r="AFF373" s="1370" t="s">
        <v>862</v>
      </c>
      <c r="AFG373" s="1370" t="s">
        <v>863</v>
      </c>
      <c r="AFH373" s="1370" t="s">
        <v>864</v>
      </c>
      <c r="AFI373" s="1370" t="s">
        <v>884</v>
      </c>
      <c r="AFJ373" s="1370" t="s">
        <v>866</v>
      </c>
      <c r="AFK373" s="1370" t="s">
        <v>867</v>
      </c>
      <c r="AFL373" s="1371" t="s">
        <v>990</v>
      </c>
      <c r="AFM373" s="1368" t="s">
        <v>578</v>
      </c>
      <c r="AFN373" s="1370" t="s">
        <v>862</v>
      </c>
      <c r="AFO373" s="1370" t="s">
        <v>863</v>
      </c>
      <c r="AFP373" s="1370" t="s">
        <v>864</v>
      </c>
      <c r="AFQ373" s="1370" t="s">
        <v>884</v>
      </c>
      <c r="AFR373" s="1370" t="s">
        <v>866</v>
      </c>
      <c r="AFS373" s="1370" t="s">
        <v>867</v>
      </c>
      <c r="AFT373" s="1370" t="s">
        <v>990</v>
      </c>
      <c r="AFU373" s="1367" t="s">
        <v>578</v>
      </c>
      <c r="AFV373" s="1370" t="s">
        <v>862</v>
      </c>
      <c r="AFW373" s="1370" t="s">
        <v>863</v>
      </c>
      <c r="AFX373" s="1370" t="s">
        <v>864</v>
      </c>
      <c r="AFY373" s="1370" t="s">
        <v>884</v>
      </c>
      <c r="AFZ373" s="1370" t="s">
        <v>866</v>
      </c>
      <c r="AGA373" s="1370" t="s">
        <v>867</v>
      </c>
      <c r="AGB373" s="1371" t="s">
        <v>990</v>
      </c>
      <c r="AGC373" s="1368" t="s">
        <v>578</v>
      </c>
      <c r="AGD373" s="1370" t="s">
        <v>862</v>
      </c>
      <c r="AGE373" s="1370" t="s">
        <v>863</v>
      </c>
      <c r="AGF373" s="1370" t="s">
        <v>864</v>
      </c>
      <c r="AGG373" s="1370" t="s">
        <v>884</v>
      </c>
      <c r="AGH373" s="1370" t="s">
        <v>866</v>
      </c>
      <c r="AGI373" s="1370" t="s">
        <v>867</v>
      </c>
      <c r="AGJ373" s="1370" t="s">
        <v>990</v>
      </c>
      <c r="AGK373" s="1367" t="s">
        <v>578</v>
      </c>
      <c r="AGL373" s="1370" t="s">
        <v>862</v>
      </c>
      <c r="AGM373" s="1370" t="s">
        <v>863</v>
      </c>
      <c r="AGN373" s="1370" t="s">
        <v>864</v>
      </c>
      <c r="AGO373" s="1370" t="s">
        <v>884</v>
      </c>
      <c r="AGP373" s="1370" t="s">
        <v>866</v>
      </c>
      <c r="AGQ373" s="1370" t="s">
        <v>867</v>
      </c>
      <c r="AGR373" s="1371" t="s">
        <v>990</v>
      </c>
      <c r="AGS373" s="1367" t="s">
        <v>578</v>
      </c>
      <c r="AGT373" s="1370" t="s">
        <v>862</v>
      </c>
      <c r="AGU373" s="1370" t="s">
        <v>863</v>
      </c>
      <c r="AGV373" s="1370" t="s">
        <v>864</v>
      </c>
      <c r="AGW373" s="1370" t="s">
        <v>884</v>
      </c>
      <c r="AGX373" s="1370" t="s">
        <v>866</v>
      </c>
      <c r="AGY373" s="1370" t="s">
        <v>867</v>
      </c>
      <c r="AGZ373" s="1371" t="s">
        <v>990</v>
      </c>
      <c r="AHA373" s="1367" t="s">
        <v>578</v>
      </c>
      <c r="AHB373" s="1370" t="s">
        <v>862</v>
      </c>
      <c r="AHC373" s="1370" t="s">
        <v>863</v>
      </c>
      <c r="AHD373" s="1370" t="s">
        <v>864</v>
      </c>
      <c r="AHE373" s="1370" t="s">
        <v>884</v>
      </c>
      <c r="AHF373" s="1370" t="s">
        <v>866</v>
      </c>
      <c r="AHG373" s="1370" t="s">
        <v>867</v>
      </c>
      <c r="AHH373" s="1371" t="s">
        <v>990</v>
      </c>
      <c r="AHI373" s="1367" t="s">
        <v>578</v>
      </c>
      <c r="AHJ373" s="1370" t="s">
        <v>862</v>
      </c>
      <c r="AHK373" s="1370" t="s">
        <v>863</v>
      </c>
      <c r="AHL373" s="1370" t="s">
        <v>864</v>
      </c>
      <c r="AHM373" s="1370" t="s">
        <v>884</v>
      </c>
      <c r="AHN373" s="1370" t="s">
        <v>866</v>
      </c>
      <c r="AHO373" s="1370" t="s">
        <v>867</v>
      </c>
      <c r="AHP373" s="1371" t="s">
        <v>990</v>
      </c>
      <c r="AHQ373" s="1367" t="s">
        <v>578</v>
      </c>
      <c r="AHR373" s="1370" t="s">
        <v>862</v>
      </c>
      <c r="AHS373" s="1370" t="s">
        <v>863</v>
      </c>
      <c r="AHT373" s="1370" t="s">
        <v>864</v>
      </c>
      <c r="AHU373" s="1370" t="s">
        <v>884</v>
      </c>
      <c r="AHV373" s="1370" t="s">
        <v>866</v>
      </c>
      <c r="AHW373" s="1370" t="s">
        <v>867</v>
      </c>
      <c r="AHX373" s="1371" t="s">
        <v>990</v>
      </c>
      <c r="AHY373" s="1367" t="s">
        <v>578</v>
      </c>
      <c r="AHZ373" s="1370" t="s">
        <v>862</v>
      </c>
      <c r="AIA373" s="1370" t="s">
        <v>863</v>
      </c>
      <c r="AIB373" s="1370" t="s">
        <v>864</v>
      </c>
      <c r="AIC373" s="1370" t="s">
        <v>884</v>
      </c>
      <c r="AID373" s="1370" t="s">
        <v>866</v>
      </c>
      <c r="AIE373" s="1370" t="s">
        <v>867</v>
      </c>
      <c r="AIF373" s="1371" t="s">
        <v>990</v>
      </c>
      <c r="AIG373" s="1367" t="s">
        <v>578</v>
      </c>
      <c r="AIH373" s="1370" t="s">
        <v>862</v>
      </c>
      <c r="AII373" s="1370" t="s">
        <v>863</v>
      </c>
      <c r="AIJ373" s="1370" t="s">
        <v>864</v>
      </c>
      <c r="AIK373" s="1370" t="s">
        <v>884</v>
      </c>
      <c r="AIL373" s="1370" t="s">
        <v>866</v>
      </c>
      <c r="AIM373" s="1370" t="s">
        <v>867</v>
      </c>
      <c r="AIN373" s="1371" t="s">
        <v>990</v>
      </c>
      <c r="AIO373" s="1367" t="s">
        <v>578</v>
      </c>
      <c r="AIP373" s="1370" t="s">
        <v>862</v>
      </c>
      <c r="AIQ373" s="1370" t="s">
        <v>863</v>
      </c>
      <c r="AIR373" s="1370" t="s">
        <v>864</v>
      </c>
      <c r="AIS373" s="1370" t="s">
        <v>884</v>
      </c>
      <c r="AIT373" s="1370" t="s">
        <v>866</v>
      </c>
      <c r="AIU373" s="1370" t="s">
        <v>867</v>
      </c>
      <c r="AIV373" s="1371" t="s">
        <v>990</v>
      </c>
      <c r="AIW373" s="1367" t="s">
        <v>578</v>
      </c>
      <c r="AIX373" s="1370" t="s">
        <v>862</v>
      </c>
      <c r="AIY373" s="1370" t="s">
        <v>863</v>
      </c>
      <c r="AIZ373" s="1370" t="s">
        <v>864</v>
      </c>
      <c r="AJA373" s="1370" t="s">
        <v>884</v>
      </c>
      <c r="AJB373" s="1370" t="s">
        <v>866</v>
      </c>
      <c r="AJC373" s="1370" t="s">
        <v>867</v>
      </c>
      <c r="AJD373" s="1371" t="s">
        <v>990</v>
      </c>
      <c r="AJE373" s="1367" t="s">
        <v>578</v>
      </c>
      <c r="AJF373" s="1370" t="s">
        <v>862</v>
      </c>
      <c r="AJG373" s="1370" t="s">
        <v>863</v>
      </c>
      <c r="AJH373" s="1370" t="s">
        <v>864</v>
      </c>
      <c r="AJI373" s="1370" t="s">
        <v>884</v>
      </c>
      <c r="AJJ373" s="1370" t="s">
        <v>866</v>
      </c>
      <c r="AJK373" s="1370" t="s">
        <v>867</v>
      </c>
      <c r="AJL373" s="1371" t="s">
        <v>990</v>
      </c>
      <c r="AJM373" s="1367" t="s">
        <v>578</v>
      </c>
      <c r="AJN373" s="1370" t="s">
        <v>862</v>
      </c>
      <c r="AJO373" s="1370" t="s">
        <v>863</v>
      </c>
      <c r="AJP373" s="1370" t="s">
        <v>864</v>
      </c>
      <c r="AJQ373" s="1370" t="s">
        <v>884</v>
      </c>
      <c r="AJR373" s="1370" t="s">
        <v>866</v>
      </c>
      <c r="AJS373" s="1370" t="s">
        <v>867</v>
      </c>
      <c r="AJT373" s="1371" t="s">
        <v>990</v>
      </c>
      <c r="AJU373" s="1204" t="s">
        <v>1649</v>
      </c>
      <c r="AJV373" s="1142" t="s">
        <v>1650</v>
      </c>
      <c r="AJW373" s="1142" t="s">
        <v>1651</v>
      </c>
      <c r="AJX373" s="1205" t="s">
        <v>1652</v>
      </c>
      <c r="AJY373" s="1204" t="s">
        <v>1648</v>
      </c>
      <c r="AJZ373" s="1142" t="s">
        <v>1653</v>
      </c>
      <c r="AKA373" s="1142" t="s">
        <v>1654</v>
      </c>
      <c r="AKB373" s="1142" t="s">
        <v>1655</v>
      </c>
      <c r="AKC373" s="1142" t="s">
        <v>1656</v>
      </c>
      <c r="AKD373" s="1205" t="s">
        <v>1657</v>
      </c>
      <c r="AKE373" s="1367" t="s">
        <v>578</v>
      </c>
      <c r="AKF373" s="1370" t="s">
        <v>862</v>
      </c>
      <c r="AKG373" s="1370" t="s">
        <v>863</v>
      </c>
      <c r="AKH373" s="1370" t="s">
        <v>864</v>
      </c>
      <c r="AKI373" s="1370" t="s">
        <v>884</v>
      </c>
      <c r="AKJ373" s="1370" t="s">
        <v>866</v>
      </c>
      <c r="AKK373" s="1370" t="s">
        <v>867</v>
      </c>
      <c r="AKL373" s="1370" t="s">
        <v>990</v>
      </c>
      <c r="AKM373" s="1367" t="s">
        <v>578</v>
      </c>
      <c r="AKN373" s="1370" t="s">
        <v>862</v>
      </c>
      <c r="AKO373" s="1370" t="s">
        <v>863</v>
      </c>
      <c r="AKP373" s="1370" t="s">
        <v>864</v>
      </c>
      <c r="AKQ373" s="1370" t="s">
        <v>884</v>
      </c>
      <c r="AKR373" s="1370" t="s">
        <v>866</v>
      </c>
      <c r="AKS373" s="1370" t="s">
        <v>867</v>
      </c>
      <c r="AKT373" s="1371" t="s">
        <v>990</v>
      </c>
      <c r="AKU373" s="1367" t="s">
        <v>578</v>
      </c>
      <c r="AKV373" s="1370" t="s">
        <v>862</v>
      </c>
      <c r="AKW373" s="1370" t="s">
        <v>863</v>
      </c>
      <c r="AKX373" s="1370" t="s">
        <v>864</v>
      </c>
      <c r="AKY373" s="1370" t="s">
        <v>884</v>
      </c>
      <c r="AKZ373" s="1370" t="s">
        <v>866</v>
      </c>
      <c r="ALA373" s="1370" t="s">
        <v>867</v>
      </c>
      <c r="ALB373" s="1371" t="s">
        <v>990</v>
      </c>
      <c r="ALC373" s="1367" t="s">
        <v>578</v>
      </c>
      <c r="ALD373" s="1370" t="s">
        <v>862</v>
      </c>
      <c r="ALE373" s="1370" t="s">
        <v>863</v>
      </c>
      <c r="ALF373" s="1370" t="s">
        <v>864</v>
      </c>
      <c r="ALG373" s="1370" t="s">
        <v>884</v>
      </c>
      <c r="ALH373" s="1370" t="s">
        <v>866</v>
      </c>
      <c r="ALI373" s="1370" t="s">
        <v>867</v>
      </c>
      <c r="ALJ373" s="1371" t="s">
        <v>990</v>
      </c>
      <c r="ALK373" s="1367" t="s">
        <v>578</v>
      </c>
      <c r="ALL373" s="1370" t="s">
        <v>862</v>
      </c>
      <c r="ALM373" s="1370" t="s">
        <v>863</v>
      </c>
      <c r="ALN373" s="1370" t="s">
        <v>864</v>
      </c>
      <c r="ALO373" s="1370" t="s">
        <v>884</v>
      </c>
      <c r="ALP373" s="1370" t="s">
        <v>866</v>
      </c>
      <c r="ALQ373" s="1370" t="s">
        <v>867</v>
      </c>
      <c r="ALR373" s="1371" t="s">
        <v>990</v>
      </c>
      <c r="ALS373" s="1367" t="s">
        <v>578</v>
      </c>
      <c r="ALT373" s="1370" t="s">
        <v>862</v>
      </c>
      <c r="ALU373" s="1370" t="s">
        <v>863</v>
      </c>
      <c r="ALV373" s="1370" t="s">
        <v>864</v>
      </c>
      <c r="ALW373" s="1370" t="s">
        <v>884</v>
      </c>
      <c r="ALX373" s="1370" t="s">
        <v>866</v>
      </c>
      <c r="ALY373" s="1370" t="s">
        <v>867</v>
      </c>
      <c r="ALZ373" s="1371" t="s">
        <v>990</v>
      </c>
    </row>
    <row r="374" spans="2:1014" ht="20.100000000000001" customHeight="1">
      <c r="B374" s="1062" t="s">
        <v>991</v>
      </c>
      <c r="C374" s="1361"/>
      <c r="D374" s="1362"/>
      <c r="E374" s="1363"/>
      <c r="F374" s="1207" t="s">
        <v>65</v>
      </c>
      <c r="G374" s="1207" t="s">
        <v>65</v>
      </c>
      <c r="H374" s="1208" t="s">
        <v>65</v>
      </c>
      <c r="I374" s="1209" t="s">
        <v>1017</v>
      </c>
      <c r="J374" s="1181" t="s">
        <v>65</v>
      </c>
      <c r="K374" s="1181" t="s">
        <v>65</v>
      </c>
      <c r="L374" s="1181" t="s">
        <v>65</v>
      </c>
      <c r="M374" s="1209" t="s">
        <v>1017</v>
      </c>
      <c r="N374" s="1181" t="s">
        <v>65</v>
      </c>
      <c r="O374" s="1181" t="s">
        <v>65</v>
      </c>
      <c r="P374" s="1182" t="s">
        <v>65</v>
      </c>
      <c r="Q374" s="1183" t="s">
        <v>1753</v>
      </c>
      <c r="R374" s="1184" t="s">
        <v>1692</v>
      </c>
      <c r="S374" s="1210" t="s">
        <v>65</v>
      </c>
      <c r="T374" s="1210" t="s">
        <v>65</v>
      </c>
      <c r="U374" s="1211" t="s">
        <v>65</v>
      </c>
      <c r="V374" s="1210" t="s">
        <v>65</v>
      </c>
      <c r="W374" s="1210" t="s">
        <v>65</v>
      </c>
      <c r="X374" s="1210" t="s">
        <v>65</v>
      </c>
      <c r="Y374" s="1210" t="s">
        <v>65</v>
      </c>
      <c r="Z374" s="1211" t="s">
        <v>65</v>
      </c>
      <c r="AA374" s="1210" t="s">
        <v>640</v>
      </c>
      <c r="AB374" s="1210" t="s">
        <v>640</v>
      </c>
      <c r="AC374" s="1210" t="s">
        <v>640</v>
      </c>
      <c r="AD374" s="1210" t="s">
        <v>640</v>
      </c>
      <c r="AE374" s="1211" t="s">
        <v>640</v>
      </c>
      <c r="AF374" s="770" t="s">
        <v>845</v>
      </c>
      <c r="AG374" s="770" t="s">
        <v>845</v>
      </c>
      <c r="AH374" s="770" t="s">
        <v>845</v>
      </c>
      <c r="AI374" s="770" t="s">
        <v>845</v>
      </c>
      <c r="AJ374" s="1184" t="s">
        <v>1697</v>
      </c>
      <c r="AK374" s="770" t="s">
        <v>845</v>
      </c>
      <c r="AL374" s="770" t="s">
        <v>845</v>
      </c>
      <c r="AM374" s="770" t="s">
        <v>845</v>
      </c>
      <c r="AN374" s="770" t="s">
        <v>845</v>
      </c>
      <c r="AO374" s="770" t="s">
        <v>1697</v>
      </c>
      <c r="AP374" s="771" t="s">
        <v>65</v>
      </c>
      <c r="AQ374" s="770" t="s">
        <v>65</v>
      </c>
      <c r="AR374" s="770" t="s">
        <v>65</v>
      </c>
      <c r="AS374" s="770" t="s">
        <v>65</v>
      </c>
      <c r="AT374" s="770" t="s">
        <v>65</v>
      </c>
      <c r="AU374" s="770" t="s">
        <v>65</v>
      </c>
      <c r="AV374" s="770" t="s">
        <v>65</v>
      </c>
      <c r="AW374" s="771" t="s">
        <v>65</v>
      </c>
      <c r="AX374" s="770" t="s">
        <v>65</v>
      </c>
      <c r="AY374" s="770" t="s">
        <v>65</v>
      </c>
      <c r="AZ374" s="770" t="s">
        <v>65</v>
      </c>
      <c r="BA374" s="770" t="s">
        <v>65</v>
      </c>
      <c r="BB374" s="1183" t="s">
        <v>1753</v>
      </c>
      <c r="BC374" s="770"/>
      <c r="BD374" s="1190" t="s">
        <v>65</v>
      </c>
      <c r="BE374" s="1190" t="s">
        <v>65</v>
      </c>
      <c r="BF374" s="1190" t="s">
        <v>65</v>
      </c>
      <c r="BG374" s="770" t="s">
        <v>2647</v>
      </c>
      <c r="BH374" s="1184" t="s">
        <v>2647</v>
      </c>
      <c r="BI374" s="770" t="s">
        <v>65</v>
      </c>
      <c r="BJ374" s="770" t="s">
        <v>65</v>
      </c>
      <c r="BK374" s="770" t="s">
        <v>65</v>
      </c>
      <c r="BL374" s="770" t="s">
        <v>65</v>
      </c>
      <c r="BM374" s="770" t="s">
        <v>65</v>
      </c>
      <c r="BN374" s="770" t="s">
        <v>65</v>
      </c>
      <c r="BO374" s="770" t="s">
        <v>65</v>
      </c>
      <c r="BP374" s="770" t="s">
        <v>65</v>
      </c>
      <c r="BQ374" s="770" t="s">
        <v>65</v>
      </c>
      <c r="BR374" s="770" t="s">
        <v>65</v>
      </c>
      <c r="BS374" s="770" t="s">
        <v>65</v>
      </c>
      <c r="BT374" s="770" t="s">
        <v>65</v>
      </c>
      <c r="BU374" s="770" t="s">
        <v>65</v>
      </c>
      <c r="BV374" s="770" t="s">
        <v>65</v>
      </c>
      <c r="BW374" s="1184" t="s">
        <v>65</v>
      </c>
      <c r="BX374" s="770" t="s">
        <v>2647</v>
      </c>
      <c r="BY374" s="770" t="s">
        <v>2647</v>
      </c>
      <c r="BZ374" s="770" t="s">
        <v>2647</v>
      </c>
      <c r="CA374" s="770" t="s">
        <v>2647</v>
      </c>
      <c r="CB374" s="770" t="s">
        <v>2647</v>
      </c>
      <c r="CC374" s="770" t="s">
        <v>2647</v>
      </c>
      <c r="CD374" s="770" t="s">
        <v>2647</v>
      </c>
      <c r="CE374" s="770" t="s">
        <v>2647</v>
      </c>
      <c r="CF374" s="770" t="s">
        <v>2647</v>
      </c>
      <c r="CG374" s="770" t="s">
        <v>2647</v>
      </c>
      <c r="CH374" s="770" t="s">
        <v>2647</v>
      </c>
      <c r="CI374" s="770" t="s">
        <v>2647</v>
      </c>
      <c r="CJ374" s="770" t="s">
        <v>2647</v>
      </c>
      <c r="CK374" s="770" t="s">
        <v>2647</v>
      </c>
      <c r="CL374" s="770" t="s">
        <v>2043</v>
      </c>
      <c r="CM374" s="771" t="s">
        <v>2647</v>
      </c>
      <c r="CN374" s="770" t="s">
        <v>2647</v>
      </c>
      <c r="CO374" s="770" t="s">
        <v>2647</v>
      </c>
      <c r="CP374" s="770" t="s">
        <v>2647</v>
      </c>
      <c r="CQ374" s="770" t="s">
        <v>2647</v>
      </c>
      <c r="CR374" s="770" t="s">
        <v>2647</v>
      </c>
      <c r="CS374" s="770" t="s">
        <v>2647</v>
      </c>
      <c r="CT374" s="770" t="s">
        <v>2647</v>
      </c>
      <c r="CU374" s="770" t="s">
        <v>2647</v>
      </c>
      <c r="CV374" s="770" t="s">
        <v>2647</v>
      </c>
      <c r="CW374" s="770" t="s">
        <v>2647</v>
      </c>
      <c r="CX374" s="770" t="s">
        <v>2647</v>
      </c>
      <c r="CY374" s="770" t="s">
        <v>2647</v>
      </c>
      <c r="CZ374" s="770" t="s">
        <v>2647</v>
      </c>
      <c r="DA374" s="770" t="s">
        <v>2043</v>
      </c>
      <c r="DB374" s="1212" t="s">
        <v>640</v>
      </c>
      <c r="DC374" s="1190" t="s">
        <v>640</v>
      </c>
      <c r="DD374" s="1190" t="s">
        <v>640</v>
      </c>
      <c r="DE374" s="1190" t="s">
        <v>640</v>
      </c>
      <c r="DF374" s="1190" t="s">
        <v>640</v>
      </c>
      <c r="DG374" s="771" t="s">
        <v>65</v>
      </c>
      <c r="DH374" s="770" t="s">
        <v>65</v>
      </c>
      <c r="DI374" s="770" t="s">
        <v>65</v>
      </c>
      <c r="DJ374" s="770" t="s">
        <v>65</v>
      </c>
      <c r="DK374" s="770" t="s">
        <v>65</v>
      </c>
      <c r="DL374" s="769" t="s">
        <v>1753</v>
      </c>
      <c r="DM374" s="770" t="s">
        <v>1692</v>
      </c>
      <c r="DN374" s="770" t="s">
        <v>1697</v>
      </c>
      <c r="DO374" s="1190" t="s">
        <v>65</v>
      </c>
      <c r="DP374" s="1190" t="s">
        <v>65</v>
      </c>
      <c r="DQ374" s="1190" t="s">
        <v>65</v>
      </c>
      <c r="DR374" s="1212"/>
      <c r="DS374" s="1190"/>
      <c r="DT374" s="1190"/>
      <c r="DU374" s="1190"/>
      <c r="DV374" s="1190"/>
      <c r="DW374" s="1190"/>
      <c r="DX374" s="1190"/>
      <c r="DY374" s="1212" t="s">
        <v>2544</v>
      </c>
      <c r="DZ374" s="1190" t="s">
        <v>2544</v>
      </c>
      <c r="EA374" s="1190" t="s">
        <v>2544</v>
      </c>
      <c r="EB374" s="1190" t="s">
        <v>2544</v>
      </c>
      <c r="EC374" s="1190" t="s">
        <v>2544</v>
      </c>
      <c r="ED374" s="1190" t="s">
        <v>2544</v>
      </c>
      <c r="EE374" s="1213" t="s">
        <v>2544</v>
      </c>
      <c r="EF374" s="770" t="s">
        <v>1753</v>
      </c>
      <c r="EG374" s="770" t="s">
        <v>1692</v>
      </c>
      <c r="EH374" s="770" t="s">
        <v>1697</v>
      </c>
      <c r="EI374" s="1190" t="s">
        <v>65</v>
      </c>
      <c r="EJ374" s="1190" t="s">
        <v>65</v>
      </c>
      <c r="EK374" s="1190" t="s">
        <v>65</v>
      </c>
      <c r="EL374" s="1187"/>
      <c r="EM374" s="1190"/>
      <c r="EN374" s="1190"/>
      <c r="EO374" s="1190"/>
      <c r="EP374" s="1190"/>
      <c r="EQ374" s="1190"/>
      <c r="ER374" s="1190"/>
      <c r="ES374" s="1190"/>
      <c r="ET374" s="1190"/>
      <c r="EU374" s="1190"/>
      <c r="EV374" s="1190"/>
      <c r="EW374" s="1190"/>
      <c r="EX374" s="1190"/>
      <c r="EY374" s="1190"/>
      <c r="EZ374" s="1190"/>
      <c r="FA374" s="1190"/>
      <c r="FB374" s="1190"/>
      <c r="FC374" s="1190"/>
      <c r="FD374" s="1190"/>
      <c r="FE374" s="1190"/>
      <c r="FF374" s="1190"/>
      <c r="FG374" s="1190"/>
      <c r="FH374" s="1190"/>
      <c r="FI374" s="1190"/>
      <c r="FJ374" s="1190"/>
      <c r="FK374" s="1190"/>
      <c r="FL374" s="1190"/>
      <c r="FM374" s="1190"/>
      <c r="FN374" s="1190"/>
      <c r="FO374" s="1190"/>
      <c r="FP374" s="1190"/>
      <c r="FQ374" s="1190"/>
      <c r="FR374" s="1190"/>
      <c r="FS374" s="1190"/>
      <c r="FT374" s="1190"/>
      <c r="FU374" s="1190"/>
      <c r="FV374" s="1190"/>
      <c r="FW374" s="1190"/>
      <c r="FX374" s="1190"/>
      <c r="FY374" s="1190"/>
      <c r="FZ374" s="1190"/>
      <c r="GA374" s="1190"/>
      <c r="GB374" s="1190"/>
      <c r="GC374" s="1190"/>
      <c r="GD374" s="1190"/>
      <c r="GE374" s="1190"/>
      <c r="GF374" s="1190"/>
      <c r="GG374" s="1190"/>
      <c r="GH374" s="1190"/>
      <c r="GI374" s="1190"/>
      <c r="GJ374" s="1190"/>
      <c r="GK374" s="1190"/>
      <c r="GL374" s="1190"/>
      <c r="GM374" s="1190"/>
      <c r="GN374" s="1190"/>
      <c r="GO374" s="1190"/>
      <c r="GP374" s="1190"/>
      <c r="GQ374" s="1190"/>
      <c r="GR374" s="1212" t="s">
        <v>2544</v>
      </c>
      <c r="GS374" s="1190" t="s">
        <v>2544</v>
      </c>
      <c r="GT374" s="1190" t="s">
        <v>2544</v>
      </c>
      <c r="GU374" s="1190" t="s">
        <v>2544</v>
      </c>
      <c r="GV374" s="1190" t="s">
        <v>2544</v>
      </c>
      <c r="GW374" s="1190" t="s">
        <v>2544</v>
      </c>
      <c r="GX374" s="1190" t="s">
        <v>2544</v>
      </c>
      <c r="GY374" s="1190" t="s">
        <v>2544</v>
      </c>
      <c r="GZ374" s="1190" t="s">
        <v>2544</v>
      </c>
      <c r="HA374" s="1190" t="s">
        <v>2544</v>
      </c>
      <c r="HB374" s="1190" t="s">
        <v>2544</v>
      </c>
      <c r="HC374" s="1190" t="s">
        <v>2544</v>
      </c>
      <c r="HD374" s="1190" t="s">
        <v>2544</v>
      </c>
      <c r="HE374" s="1190" t="s">
        <v>2544</v>
      </c>
      <c r="HF374" s="1190" t="s">
        <v>2544</v>
      </c>
      <c r="HG374" s="1190" t="s">
        <v>2544</v>
      </c>
      <c r="HH374" s="1190" t="s">
        <v>2544</v>
      </c>
      <c r="HI374" s="1190" t="s">
        <v>2544</v>
      </c>
      <c r="HJ374" s="1190" t="s">
        <v>2544</v>
      </c>
      <c r="HK374" s="1190" t="s">
        <v>2544</v>
      </c>
      <c r="HL374" s="1190" t="s">
        <v>2544</v>
      </c>
      <c r="HM374" s="1190" t="s">
        <v>2544</v>
      </c>
      <c r="HN374" s="1190" t="s">
        <v>2544</v>
      </c>
      <c r="HO374" s="1190" t="s">
        <v>2544</v>
      </c>
      <c r="HP374" s="1190" t="s">
        <v>2544</v>
      </c>
      <c r="HQ374" s="1190" t="s">
        <v>2544</v>
      </c>
      <c r="HR374" s="1190" t="s">
        <v>2544</v>
      </c>
      <c r="HS374" s="1190" t="s">
        <v>2544</v>
      </c>
      <c r="HT374" s="1190" t="s">
        <v>2544</v>
      </c>
      <c r="HU374" s="1190" t="s">
        <v>2544</v>
      </c>
      <c r="HV374" s="1190" t="s">
        <v>2544</v>
      </c>
      <c r="HW374" s="1190" t="s">
        <v>2544</v>
      </c>
      <c r="HX374" s="1190" t="s">
        <v>2544</v>
      </c>
      <c r="HY374" s="1190" t="s">
        <v>2544</v>
      </c>
      <c r="HZ374" s="1190" t="s">
        <v>2544</v>
      </c>
      <c r="IA374" s="1190" t="s">
        <v>2544</v>
      </c>
      <c r="IB374" s="1190" t="s">
        <v>2544</v>
      </c>
      <c r="IC374" s="1190" t="s">
        <v>2544</v>
      </c>
      <c r="ID374" s="1190" t="s">
        <v>2544</v>
      </c>
      <c r="IE374" s="1190" t="s">
        <v>2544</v>
      </c>
      <c r="IF374" s="1190" t="s">
        <v>2544</v>
      </c>
      <c r="IG374" s="1190" t="s">
        <v>2544</v>
      </c>
      <c r="IH374" s="1190" t="s">
        <v>2544</v>
      </c>
      <c r="II374" s="1190" t="s">
        <v>2544</v>
      </c>
      <c r="IJ374" s="1190" t="s">
        <v>2544</v>
      </c>
      <c r="IK374" s="1190" t="s">
        <v>2544</v>
      </c>
      <c r="IL374" s="1190" t="s">
        <v>2544</v>
      </c>
      <c r="IM374" s="1190" t="s">
        <v>2544</v>
      </c>
      <c r="IN374" s="1190" t="s">
        <v>2544</v>
      </c>
      <c r="IO374" s="1190" t="s">
        <v>2544</v>
      </c>
      <c r="IP374" s="1190" t="s">
        <v>2544</v>
      </c>
      <c r="IQ374" s="1190" t="s">
        <v>2544</v>
      </c>
      <c r="IR374" s="1190" t="s">
        <v>2544</v>
      </c>
      <c r="IS374" s="1190" t="s">
        <v>2544</v>
      </c>
      <c r="IT374" s="1190" t="s">
        <v>2544</v>
      </c>
      <c r="IU374" s="1190" t="s">
        <v>2544</v>
      </c>
      <c r="IV374" s="1190" t="s">
        <v>2544</v>
      </c>
      <c r="IW374" s="1190" t="s">
        <v>2544</v>
      </c>
      <c r="IX374" s="769" t="s">
        <v>1753</v>
      </c>
      <c r="IY374" s="770" t="s">
        <v>1692</v>
      </c>
      <c r="IZ374" s="770" t="s">
        <v>3068</v>
      </c>
      <c r="JA374" s="770" t="s">
        <v>2591</v>
      </c>
      <c r="JB374" s="770" t="s">
        <v>65</v>
      </c>
      <c r="JC374" s="1372" t="s">
        <v>65</v>
      </c>
      <c r="JD374" s="1372" t="s">
        <v>65</v>
      </c>
      <c r="JE374" s="1373" t="s">
        <v>65</v>
      </c>
      <c r="JF374" s="770" t="s">
        <v>233</v>
      </c>
      <c r="JG374" s="770" t="s">
        <v>234</v>
      </c>
      <c r="JH374" s="770" t="s">
        <v>235</v>
      </c>
      <c r="JI374" s="770" t="s">
        <v>236</v>
      </c>
      <c r="JJ374" s="1191" t="s">
        <v>237</v>
      </c>
      <c r="JK374" s="769" t="s">
        <v>1674</v>
      </c>
      <c r="JL374" s="770" t="s">
        <v>2647</v>
      </c>
      <c r="JM374" s="770" t="s">
        <v>1697</v>
      </c>
      <c r="JN374" s="1372" t="s">
        <v>65</v>
      </c>
      <c r="JO374" s="1372" t="s">
        <v>65</v>
      </c>
      <c r="JP374" s="1372" t="s">
        <v>65</v>
      </c>
      <c r="JQ374" s="1372" t="s">
        <v>65</v>
      </c>
      <c r="JR374" s="1214" t="s">
        <v>640</v>
      </c>
      <c r="JS374" s="1210" t="s">
        <v>640</v>
      </c>
      <c r="JT374" s="1210" t="s">
        <v>640</v>
      </c>
      <c r="JU374" s="1210" t="s">
        <v>640</v>
      </c>
      <c r="JV374" s="1210" t="s">
        <v>640</v>
      </c>
      <c r="JW374" s="1215"/>
      <c r="JX374" s="769" t="s">
        <v>1674</v>
      </c>
      <c r="JY374" s="770" t="s">
        <v>2621</v>
      </c>
      <c r="JZ374" s="773" t="s">
        <v>65</v>
      </c>
      <c r="KA374" s="773" t="s">
        <v>65</v>
      </c>
      <c r="KB374" s="773" t="s">
        <v>65</v>
      </c>
      <c r="KC374" s="774" t="s">
        <v>640</v>
      </c>
      <c r="KD374" s="775" t="s">
        <v>640</v>
      </c>
      <c r="KE374" s="775" t="s">
        <v>640</v>
      </c>
      <c r="KF374" s="775" t="s">
        <v>640</v>
      </c>
      <c r="KG374" s="775" t="s">
        <v>640</v>
      </c>
      <c r="KH374" s="774" t="s">
        <v>65</v>
      </c>
      <c r="KI374" s="775" t="s">
        <v>65</v>
      </c>
      <c r="KJ374" s="775" t="s">
        <v>65</v>
      </c>
      <c r="KK374" s="775" t="s">
        <v>65</v>
      </c>
      <c r="KL374" s="775" t="s">
        <v>65</v>
      </c>
      <c r="KM374" s="775" t="s">
        <v>65</v>
      </c>
      <c r="KN374" s="775" t="s">
        <v>65</v>
      </c>
      <c r="KO374" s="775" t="s">
        <v>65</v>
      </c>
      <c r="KP374" s="775" t="s">
        <v>65</v>
      </c>
      <c r="KQ374" s="771" t="s">
        <v>2647</v>
      </c>
      <c r="KR374" s="770" t="s">
        <v>2647</v>
      </c>
      <c r="KS374" s="770" t="s">
        <v>2647</v>
      </c>
      <c r="KT374" s="770" t="s">
        <v>2647</v>
      </c>
      <c r="KU374" s="770"/>
      <c r="KV374" s="770" t="s">
        <v>2647</v>
      </c>
      <c r="KW374" s="770" t="s">
        <v>2647</v>
      </c>
      <c r="KX374" s="770" t="s">
        <v>2647</v>
      </c>
      <c r="KY374" s="770" t="s">
        <v>2647</v>
      </c>
      <c r="KZ374" s="771" t="s">
        <v>2647</v>
      </c>
      <c r="LA374" s="770" t="s">
        <v>2647</v>
      </c>
      <c r="LB374" s="770" t="s">
        <v>2647</v>
      </c>
      <c r="LC374" s="770" t="s">
        <v>2647</v>
      </c>
      <c r="LD374" s="770"/>
      <c r="LE374" s="770" t="s">
        <v>2647</v>
      </c>
      <c r="LF374" s="770" t="s">
        <v>2647</v>
      </c>
      <c r="LG374" s="770" t="s">
        <v>2647</v>
      </c>
      <c r="LH374" s="770" t="s">
        <v>2647</v>
      </c>
      <c r="LI374" s="771" t="s">
        <v>65</v>
      </c>
      <c r="LJ374" s="770" t="s">
        <v>65</v>
      </c>
      <c r="LK374" s="770" t="s">
        <v>65</v>
      </c>
      <c r="LL374" s="770" t="s">
        <v>65</v>
      </c>
      <c r="LM374" s="770" t="s">
        <v>65</v>
      </c>
      <c r="LN374" s="1192" t="s">
        <v>2676</v>
      </c>
      <c r="LO374" s="769" t="s">
        <v>1674</v>
      </c>
      <c r="LP374" s="770" t="s">
        <v>2621</v>
      </c>
      <c r="LQ374" s="782" t="s">
        <v>65</v>
      </c>
      <c r="LR374" s="782" t="s">
        <v>65</v>
      </c>
      <c r="LS374" s="782" t="s">
        <v>65</v>
      </c>
      <c r="LT374" s="1214" t="s">
        <v>640</v>
      </c>
      <c r="LU374" s="1210" t="s">
        <v>640</v>
      </c>
      <c r="LV374" s="1210" t="s">
        <v>640</v>
      </c>
      <c r="LW374" s="1210" t="s">
        <v>640</v>
      </c>
      <c r="LX374" s="1210" t="s">
        <v>640</v>
      </c>
      <c r="LY374" s="1214" t="s">
        <v>2676</v>
      </c>
      <c r="LZ374" s="1216"/>
      <c r="MA374" s="1217"/>
      <c r="MB374" s="1210"/>
      <c r="MC374" s="1210"/>
      <c r="MD374" s="1210"/>
      <c r="ME374" s="1210"/>
      <c r="MF374" s="1214"/>
      <c r="MG374" s="1210"/>
      <c r="MH374" s="1210"/>
      <c r="MI374" s="1210"/>
      <c r="MJ374" s="1214"/>
      <c r="MK374" s="1210"/>
      <c r="ML374" s="1210"/>
      <c r="MM374" s="1210"/>
      <c r="MN374" s="1214"/>
      <c r="MO374" s="1210"/>
      <c r="MP374" s="1210"/>
      <c r="MQ374" s="1210"/>
      <c r="MR374" s="1214"/>
      <c r="MS374" s="1210"/>
      <c r="MT374" s="1210"/>
      <c r="MU374" s="1210"/>
      <c r="MV374" s="781" t="s">
        <v>65</v>
      </c>
      <c r="MW374" s="782" t="s">
        <v>65</v>
      </c>
      <c r="MX374" s="1218" t="s">
        <v>65</v>
      </c>
      <c r="MY374" s="1193"/>
      <c r="MZ374" s="1194"/>
      <c r="NA374" s="1194"/>
      <c r="NB374" s="1195"/>
      <c r="NC374" s="1194"/>
      <c r="ND374" s="1194"/>
      <c r="NE374" s="1194"/>
      <c r="NF374" s="1194"/>
      <c r="NG374" s="1193"/>
      <c r="NH374" s="1194"/>
      <c r="NI374" s="1194"/>
      <c r="NJ374" s="1195"/>
      <c r="NK374" s="1194"/>
      <c r="NL374" s="1194"/>
      <c r="NM374" s="1194"/>
      <c r="NN374" s="1194"/>
      <c r="NO374" s="1193"/>
      <c r="NP374" s="1194"/>
      <c r="NQ374" s="1194"/>
      <c r="NR374" s="1195"/>
      <c r="NS374" s="1193"/>
      <c r="NT374" s="1194"/>
      <c r="NU374" s="1194"/>
      <c r="NV374" s="1195"/>
      <c r="NW374" s="1219"/>
      <c r="NX374" s="1220"/>
      <c r="NY374" s="1220"/>
      <c r="NZ374" s="1220"/>
      <c r="OA374" s="1220"/>
      <c r="OB374" s="1221"/>
      <c r="OC374" s="1220"/>
      <c r="OD374" s="1220"/>
      <c r="OE374" s="1220"/>
      <c r="OF374" s="1220"/>
      <c r="OG374" s="1220"/>
      <c r="OH374" s="1221"/>
      <c r="OI374" s="1222"/>
      <c r="OJ374" s="1222"/>
      <c r="OK374" s="1222"/>
      <c r="OL374" s="1222"/>
      <c r="OM374" s="1222"/>
      <c r="ON374" s="1223"/>
      <c r="OO374" s="1220"/>
      <c r="OP374" s="1220"/>
      <c r="OQ374" s="1220"/>
      <c r="OR374" s="1220"/>
      <c r="OS374" s="1220"/>
      <c r="OT374" s="1221"/>
      <c r="OU374" s="1220"/>
      <c r="OV374" s="1220"/>
      <c r="OW374" s="1220"/>
      <c r="OX374" s="1220"/>
      <c r="OY374" s="1220"/>
      <c r="OZ374" s="1221"/>
      <c r="PA374" s="1220"/>
      <c r="PB374" s="1220"/>
      <c r="PC374" s="1220"/>
      <c r="PD374" s="1220"/>
      <c r="PE374" s="1220"/>
      <c r="PF374" s="1224"/>
      <c r="PG374" s="1219"/>
      <c r="PH374" s="1220"/>
      <c r="PI374" s="1220"/>
      <c r="PJ374" s="1220"/>
      <c r="PK374" s="1220"/>
      <c r="PL374" s="1221"/>
      <c r="PM374" s="1220"/>
      <c r="PN374" s="1220"/>
      <c r="PO374" s="1220"/>
      <c r="PP374" s="1220"/>
      <c r="PQ374" s="1220"/>
      <c r="PR374" s="1221"/>
      <c r="PS374" s="1220"/>
      <c r="PT374" s="1220"/>
      <c r="PU374" s="1220"/>
      <c r="PV374" s="1220"/>
      <c r="PW374" s="1220"/>
      <c r="PX374" s="1221"/>
      <c r="PY374" s="1225"/>
      <c r="PZ374" s="1220"/>
      <c r="QA374" s="1220"/>
      <c r="QB374" s="1220"/>
      <c r="QC374" s="1220"/>
      <c r="QD374" s="1224"/>
      <c r="QE374" s="1219"/>
      <c r="QF374" s="1220"/>
      <c r="QG374" s="1220"/>
      <c r="QH374" s="1220"/>
      <c r="QI374" s="1220"/>
      <c r="QJ374" s="1221"/>
      <c r="QK374" s="1220"/>
      <c r="QL374" s="1220"/>
      <c r="QM374" s="1220"/>
      <c r="QN374" s="1220"/>
      <c r="QO374" s="1220"/>
      <c r="QP374" s="1221"/>
      <c r="QQ374" s="1220"/>
      <c r="QR374" s="1220"/>
      <c r="QS374" s="1220"/>
      <c r="QT374" s="1220"/>
      <c r="QU374" s="1220"/>
      <c r="QV374" s="1221"/>
      <c r="QW374" s="1220"/>
      <c r="QX374" s="1220"/>
      <c r="QY374" s="1220"/>
      <c r="QZ374" s="1220"/>
      <c r="RA374" s="1220"/>
      <c r="RB374" s="1221"/>
      <c r="RC374" s="1220"/>
      <c r="RD374" s="1220"/>
      <c r="RE374" s="1220"/>
      <c r="RF374" s="1220"/>
      <c r="RG374" s="1220"/>
      <c r="RH374" s="1224"/>
      <c r="RI374" s="1219"/>
      <c r="RJ374" s="1220"/>
      <c r="RK374" s="1220"/>
      <c r="RL374" s="1220"/>
      <c r="RM374" s="1220"/>
      <c r="RN374" s="1221"/>
      <c r="RO374" s="1220"/>
      <c r="RP374" s="1220"/>
      <c r="RQ374" s="1220"/>
      <c r="RR374" s="1220"/>
      <c r="RS374" s="1220"/>
      <c r="RT374" s="1221"/>
      <c r="RU374" s="1220"/>
      <c r="RV374" s="1220"/>
      <c r="RW374" s="1220"/>
      <c r="RX374" s="1220"/>
      <c r="RY374" s="1220"/>
      <c r="RZ374" s="1221"/>
      <c r="SA374" s="1220"/>
      <c r="SB374" s="1220"/>
      <c r="SC374" s="1220"/>
      <c r="SD374" s="1220"/>
      <c r="SE374" s="1220"/>
      <c r="SF374" s="1221"/>
      <c r="SG374" s="1220"/>
      <c r="SH374" s="1220"/>
      <c r="SI374" s="1220"/>
      <c r="SJ374" s="1220"/>
      <c r="SK374" s="1220"/>
      <c r="SL374" s="1224"/>
      <c r="SM374" s="1219"/>
      <c r="SN374" s="1220"/>
      <c r="SO374" s="1220"/>
      <c r="SP374" s="1220"/>
      <c r="SQ374" s="1220"/>
      <c r="SR374" s="1221"/>
      <c r="SS374" s="1220"/>
      <c r="ST374" s="1220"/>
      <c r="SU374" s="1220"/>
      <c r="SV374" s="1220"/>
      <c r="SW374" s="1220"/>
      <c r="SX374" s="1221"/>
      <c r="SY374" s="1220"/>
      <c r="SZ374" s="1220"/>
      <c r="TA374" s="1220"/>
      <c r="TB374" s="1220"/>
      <c r="TC374" s="1220"/>
      <c r="TD374" s="1221"/>
      <c r="TE374" s="1220"/>
      <c r="TF374" s="1220"/>
      <c r="TG374" s="1220"/>
      <c r="TH374" s="1220"/>
      <c r="TI374" s="1220"/>
      <c r="TJ374" s="1221"/>
      <c r="TK374" s="1220"/>
      <c r="TL374" s="1220"/>
      <c r="TM374" s="1220"/>
      <c r="TN374" s="1220"/>
      <c r="TO374" s="1220"/>
      <c r="TP374" s="1224"/>
      <c r="TQ374" s="1219"/>
      <c r="TR374" s="1220"/>
      <c r="TS374" s="1220"/>
      <c r="TT374" s="1220"/>
      <c r="TU374" s="1220"/>
      <c r="TV374" s="1221"/>
      <c r="TW374" s="1220"/>
      <c r="TX374" s="1220"/>
      <c r="TY374" s="1220"/>
      <c r="TZ374" s="1220"/>
      <c r="UA374" s="1220"/>
      <c r="UB374" s="1221"/>
      <c r="UC374" s="1220"/>
      <c r="UD374" s="1220"/>
      <c r="UE374" s="1220"/>
      <c r="UF374" s="1220"/>
      <c r="UG374" s="1220"/>
      <c r="UH374" s="1221"/>
      <c r="UI374" s="1220"/>
      <c r="UJ374" s="1220"/>
      <c r="UK374" s="1220"/>
      <c r="UL374" s="1220"/>
      <c r="UM374" s="1220"/>
      <c r="UN374" s="1221"/>
      <c r="UO374" s="1220"/>
      <c r="UP374" s="1220"/>
      <c r="UQ374" s="1220"/>
      <c r="UR374" s="1220"/>
      <c r="US374" s="1220"/>
      <c r="UT374" s="1224"/>
      <c r="UU374" s="1219"/>
      <c r="UV374" s="1220"/>
      <c r="UW374" s="1220"/>
      <c r="UX374" s="1220"/>
      <c r="UY374" s="1220"/>
      <c r="UZ374" s="1221"/>
      <c r="VA374" s="1220"/>
      <c r="VB374" s="1220"/>
      <c r="VC374" s="1220"/>
      <c r="VD374" s="1220"/>
      <c r="VE374" s="1220"/>
      <c r="VF374" s="1221"/>
      <c r="VG374" s="1220"/>
      <c r="VH374" s="1220"/>
      <c r="VI374" s="1220"/>
      <c r="VJ374" s="1220"/>
      <c r="VK374" s="1220"/>
      <c r="VL374" s="1221"/>
      <c r="VM374" s="1220"/>
      <c r="VN374" s="1220"/>
      <c r="VO374" s="1220"/>
      <c r="VP374" s="1220"/>
      <c r="VQ374" s="1220"/>
      <c r="VR374" s="1221"/>
      <c r="VS374" s="1220"/>
      <c r="VT374" s="1220"/>
      <c r="VU374" s="1220"/>
      <c r="VV374" s="1220"/>
      <c r="VW374" s="1220"/>
      <c r="VX374" s="1221"/>
      <c r="VY374" s="1220"/>
      <c r="VZ374" s="1220"/>
      <c r="WA374" s="1220"/>
      <c r="WB374" s="1220"/>
      <c r="WC374" s="1220"/>
      <c r="WD374" s="1224"/>
      <c r="WE374" s="1226" t="s">
        <v>1017</v>
      </c>
      <c r="WF374" s="1227" t="s">
        <v>1017</v>
      </c>
      <c r="WG374" s="1227" t="s">
        <v>1017</v>
      </c>
      <c r="WH374" s="1227" t="s">
        <v>1017</v>
      </c>
      <c r="WI374" s="1227" t="s">
        <v>1017</v>
      </c>
      <c r="WJ374" s="1227" t="s">
        <v>1017</v>
      </c>
      <c r="WK374" s="1228" t="s">
        <v>1017</v>
      </c>
      <c r="WL374" s="1143" t="s">
        <v>65</v>
      </c>
      <c r="WM374" s="1143" t="s">
        <v>65</v>
      </c>
      <c r="WN374" s="1229" t="s">
        <v>65</v>
      </c>
      <c r="WO374" s="1230" t="s">
        <v>65</v>
      </c>
      <c r="WP374" s="1143" t="s">
        <v>65</v>
      </c>
      <c r="WQ374" s="1229" t="s">
        <v>65</v>
      </c>
      <c r="WR374" s="1230" t="s">
        <v>65</v>
      </c>
      <c r="WS374" s="1143" t="s">
        <v>65</v>
      </c>
      <c r="WT374" s="1229" t="s">
        <v>65</v>
      </c>
      <c r="WU374" s="1230" t="s">
        <v>65</v>
      </c>
      <c r="WV374" s="1143" t="s">
        <v>65</v>
      </c>
      <c r="WW374" s="1229" t="s">
        <v>65</v>
      </c>
      <c r="WX374" s="1230" t="s">
        <v>65</v>
      </c>
      <c r="WY374" s="1143" t="s">
        <v>65</v>
      </c>
      <c r="WZ374" s="1229" t="s">
        <v>65</v>
      </c>
      <c r="XA374" s="1230" t="s">
        <v>65</v>
      </c>
      <c r="XB374" s="1143" t="s">
        <v>65</v>
      </c>
      <c r="XC374" s="1229" t="s">
        <v>65</v>
      </c>
      <c r="XD374" s="1230" t="s">
        <v>65</v>
      </c>
      <c r="XE374" s="1143" t="s">
        <v>65</v>
      </c>
      <c r="XF374" s="1229" t="s">
        <v>65</v>
      </c>
      <c r="XG374" s="1230" t="s">
        <v>65</v>
      </c>
      <c r="XH374" s="1143" t="s">
        <v>65</v>
      </c>
      <c r="XI374" s="1229" t="s">
        <v>65</v>
      </c>
      <c r="XJ374" s="1230" t="s">
        <v>65</v>
      </c>
      <c r="XK374" s="1143" t="s">
        <v>65</v>
      </c>
      <c r="XL374" s="1229" t="s">
        <v>65</v>
      </c>
      <c r="XM374" s="1230" t="s">
        <v>65</v>
      </c>
      <c r="XN374" s="1143" t="s">
        <v>65</v>
      </c>
      <c r="XO374" s="1229" t="s">
        <v>65</v>
      </c>
      <c r="XP374" s="1230" t="s">
        <v>65</v>
      </c>
      <c r="XQ374" s="1143" t="s">
        <v>65</v>
      </c>
      <c r="XR374" s="1143" t="s">
        <v>65</v>
      </c>
      <c r="XS374" s="1231"/>
      <c r="XT374" s="1143"/>
      <c r="XU374" s="1143"/>
      <c r="XV374" s="1143"/>
      <c r="XW374" s="1232"/>
      <c r="XX374" s="1366" t="s">
        <v>885</v>
      </c>
      <c r="XY374" s="1231" t="s">
        <v>65</v>
      </c>
      <c r="XZ374" s="1143" t="s">
        <v>65</v>
      </c>
      <c r="YA374" s="1143" t="s">
        <v>65</v>
      </c>
      <c r="YB374" s="1232" t="s">
        <v>65</v>
      </c>
      <c r="YC374" s="1364" t="s">
        <v>885</v>
      </c>
      <c r="YD374" s="1341" t="s">
        <v>885</v>
      </c>
      <c r="YE374" s="1341" t="s">
        <v>885</v>
      </c>
      <c r="YF374" s="1341" t="s">
        <v>885</v>
      </c>
      <c r="YG374" s="1341" t="s">
        <v>885</v>
      </c>
      <c r="YH374" s="1341" t="s">
        <v>885</v>
      </c>
      <c r="YI374" s="1341" t="s">
        <v>885</v>
      </c>
      <c r="YJ374" s="1342" t="s">
        <v>885</v>
      </c>
      <c r="YK374" s="1364" t="s">
        <v>885</v>
      </c>
      <c r="YL374" s="1341" t="s">
        <v>885</v>
      </c>
      <c r="YM374" s="1341" t="s">
        <v>885</v>
      </c>
      <c r="YN374" s="1341" t="s">
        <v>885</v>
      </c>
      <c r="YO374" s="1341" t="s">
        <v>885</v>
      </c>
      <c r="YP374" s="1341" t="s">
        <v>885</v>
      </c>
      <c r="YQ374" s="1341" t="s">
        <v>885</v>
      </c>
      <c r="YR374" s="1342" t="s">
        <v>885</v>
      </c>
      <c r="YS374" s="1364" t="s">
        <v>885</v>
      </c>
      <c r="YT374" s="1341" t="s">
        <v>885</v>
      </c>
      <c r="YU374" s="1341" t="s">
        <v>885</v>
      </c>
      <c r="YV374" s="1341" t="s">
        <v>885</v>
      </c>
      <c r="YW374" s="1341" t="s">
        <v>885</v>
      </c>
      <c r="YX374" s="1341" t="s">
        <v>885</v>
      </c>
      <c r="YY374" s="1341" t="s">
        <v>885</v>
      </c>
      <c r="YZ374" s="1342" t="s">
        <v>885</v>
      </c>
      <c r="ZA374" s="1364" t="s">
        <v>885</v>
      </c>
      <c r="ZB374" s="1341" t="s">
        <v>885</v>
      </c>
      <c r="ZC374" s="1341" t="s">
        <v>885</v>
      </c>
      <c r="ZD374" s="1341" t="s">
        <v>885</v>
      </c>
      <c r="ZE374" s="1341" t="s">
        <v>885</v>
      </c>
      <c r="ZF374" s="1341" t="s">
        <v>885</v>
      </c>
      <c r="ZG374" s="1341" t="s">
        <v>885</v>
      </c>
      <c r="ZH374" s="1342" t="s">
        <v>885</v>
      </c>
      <c r="ZI374" s="1364" t="s">
        <v>885</v>
      </c>
      <c r="ZJ374" s="1341" t="s">
        <v>885</v>
      </c>
      <c r="ZK374" s="1341" t="s">
        <v>885</v>
      </c>
      <c r="ZL374" s="1341" t="s">
        <v>885</v>
      </c>
      <c r="ZM374" s="1341" t="s">
        <v>885</v>
      </c>
      <c r="ZN374" s="1341" t="s">
        <v>885</v>
      </c>
      <c r="ZO374" s="1341" t="s">
        <v>885</v>
      </c>
      <c r="ZP374" s="1342" t="s">
        <v>885</v>
      </c>
      <c r="ZQ374" s="1364" t="s">
        <v>885</v>
      </c>
      <c r="ZR374" s="1341" t="s">
        <v>885</v>
      </c>
      <c r="ZS374" s="1341" t="s">
        <v>885</v>
      </c>
      <c r="ZT374" s="1341" t="s">
        <v>885</v>
      </c>
      <c r="ZU374" s="1341" t="s">
        <v>885</v>
      </c>
      <c r="ZV374" s="1341" t="s">
        <v>885</v>
      </c>
      <c r="ZW374" s="1341" t="s">
        <v>885</v>
      </c>
      <c r="ZX374" s="1342" t="s">
        <v>885</v>
      </c>
      <c r="ZY374" s="1364" t="s">
        <v>885</v>
      </c>
      <c r="ZZ374" s="1341" t="s">
        <v>885</v>
      </c>
      <c r="AAA374" s="1341" t="s">
        <v>885</v>
      </c>
      <c r="AAB374" s="1341" t="s">
        <v>885</v>
      </c>
      <c r="AAC374" s="1341" t="s">
        <v>885</v>
      </c>
      <c r="AAD374" s="1341" t="s">
        <v>885</v>
      </c>
      <c r="AAE374" s="1341" t="s">
        <v>885</v>
      </c>
      <c r="AAF374" s="1342" t="s">
        <v>885</v>
      </c>
      <c r="AAG374" s="1364" t="s">
        <v>885</v>
      </c>
      <c r="AAH374" s="1341" t="s">
        <v>885</v>
      </c>
      <c r="AAI374" s="1341" t="s">
        <v>885</v>
      </c>
      <c r="AAJ374" s="1341" t="s">
        <v>885</v>
      </c>
      <c r="AAK374" s="1341" t="s">
        <v>885</v>
      </c>
      <c r="AAL374" s="1341" t="s">
        <v>885</v>
      </c>
      <c r="AAM374" s="1341" t="s">
        <v>885</v>
      </c>
      <c r="AAN374" s="1342" t="s">
        <v>885</v>
      </c>
      <c r="AAO374" s="1364" t="s">
        <v>885</v>
      </c>
      <c r="AAP374" s="1341" t="s">
        <v>885</v>
      </c>
      <c r="AAQ374" s="1341" t="s">
        <v>885</v>
      </c>
      <c r="AAR374" s="1341" t="s">
        <v>885</v>
      </c>
      <c r="AAS374" s="1341" t="s">
        <v>885</v>
      </c>
      <c r="AAT374" s="1341" t="s">
        <v>885</v>
      </c>
      <c r="AAU374" s="1341" t="s">
        <v>885</v>
      </c>
      <c r="AAV374" s="1342" t="s">
        <v>885</v>
      </c>
      <c r="AAW374" s="1364" t="s">
        <v>885</v>
      </c>
      <c r="AAX374" s="1341" t="s">
        <v>885</v>
      </c>
      <c r="AAY374" s="1341" t="s">
        <v>885</v>
      </c>
      <c r="AAZ374" s="1341" t="s">
        <v>885</v>
      </c>
      <c r="ABA374" s="1341" t="s">
        <v>885</v>
      </c>
      <c r="ABB374" s="1341" t="s">
        <v>885</v>
      </c>
      <c r="ABC374" s="1341" t="s">
        <v>885</v>
      </c>
      <c r="ABD374" s="1342" t="s">
        <v>885</v>
      </c>
      <c r="ABE374" s="1364" t="s">
        <v>885</v>
      </c>
      <c r="ABF374" s="1341" t="s">
        <v>885</v>
      </c>
      <c r="ABG374" s="1341" t="s">
        <v>885</v>
      </c>
      <c r="ABH374" s="1341" t="s">
        <v>885</v>
      </c>
      <c r="ABI374" s="1341" t="s">
        <v>885</v>
      </c>
      <c r="ABJ374" s="1341" t="s">
        <v>885</v>
      </c>
      <c r="ABK374" s="1341" t="s">
        <v>885</v>
      </c>
      <c r="ABL374" s="1342" t="s">
        <v>885</v>
      </c>
      <c r="ABM374" s="1364" t="s">
        <v>885</v>
      </c>
      <c r="ABN374" s="1341" t="s">
        <v>885</v>
      </c>
      <c r="ABO374" s="1341" t="s">
        <v>885</v>
      </c>
      <c r="ABP374" s="1341" t="s">
        <v>885</v>
      </c>
      <c r="ABQ374" s="1341" t="s">
        <v>885</v>
      </c>
      <c r="ABR374" s="1341" t="s">
        <v>885</v>
      </c>
      <c r="ABS374" s="1341" t="s">
        <v>885</v>
      </c>
      <c r="ABT374" s="1342" t="s">
        <v>885</v>
      </c>
      <c r="ABU374" s="1364" t="s">
        <v>885</v>
      </c>
      <c r="ABV374" s="1341" t="s">
        <v>885</v>
      </c>
      <c r="ABW374" s="1341" t="s">
        <v>885</v>
      </c>
      <c r="ABX374" s="1341" t="s">
        <v>885</v>
      </c>
      <c r="ABY374" s="1341" t="s">
        <v>885</v>
      </c>
      <c r="ABZ374" s="1341" t="s">
        <v>885</v>
      </c>
      <c r="ACA374" s="1341" t="s">
        <v>885</v>
      </c>
      <c r="ACB374" s="1342" t="s">
        <v>885</v>
      </c>
      <c r="ACC374" s="1364" t="s">
        <v>885</v>
      </c>
      <c r="ACD374" s="1341" t="s">
        <v>885</v>
      </c>
      <c r="ACE374" s="1341" t="s">
        <v>885</v>
      </c>
      <c r="ACF374" s="1341" t="s">
        <v>885</v>
      </c>
      <c r="ACG374" s="1341" t="s">
        <v>885</v>
      </c>
      <c r="ACH374" s="1341" t="s">
        <v>885</v>
      </c>
      <c r="ACI374" s="1341" t="s">
        <v>885</v>
      </c>
      <c r="ACJ374" s="1342" t="s">
        <v>885</v>
      </c>
      <c r="ACK374" s="1364" t="s">
        <v>885</v>
      </c>
      <c r="ACL374" s="1341" t="s">
        <v>885</v>
      </c>
      <c r="ACM374" s="1341" t="s">
        <v>885</v>
      </c>
      <c r="ACN374" s="1341" t="s">
        <v>885</v>
      </c>
      <c r="ACO374" s="1341" t="s">
        <v>885</v>
      </c>
      <c r="ACP374" s="1341" t="s">
        <v>885</v>
      </c>
      <c r="ACQ374" s="1341" t="s">
        <v>885</v>
      </c>
      <c r="ACR374" s="1342" t="s">
        <v>885</v>
      </c>
      <c r="ACS374" s="1364" t="s">
        <v>885</v>
      </c>
      <c r="ACT374" s="1341" t="s">
        <v>885</v>
      </c>
      <c r="ACU374" s="1341" t="s">
        <v>885</v>
      </c>
      <c r="ACV374" s="1341" t="s">
        <v>885</v>
      </c>
      <c r="ACW374" s="1341" t="s">
        <v>885</v>
      </c>
      <c r="ACX374" s="1341" t="s">
        <v>885</v>
      </c>
      <c r="ACY374" s="1341" t="s">
        <v>885</v>
      </c>
      <c r="ACZ374" s="1342" t="s">
        <v>885</v>
      </c>
      <c r="ADA374" s="1364" t="s">
        <v>885</v>
      </c>
      <c r="ADB374" s="1341" t="s">
        <v>885</v>
      </c>
      <c r="ADC374" s="1341" t="s">
        <v>885</v>
      </c>
      <c r="ADD374" s="1341" t="s">
        <v>885</v>
      </c>
      <c r="ADE374" s="1341" t="s">
        <v>885</v>
      </c>
      <c r="ADF374" s="1341" t="s">
        <v>885</v>
      </c>
      <c r="ADG374" s="1341" t="s">
        <v>885</v>
      </c>
      <c r="ADH374" s="1342" t="s">
        <v>885</v>
      </c>
      <c r="ADI374" s="1364" t="s">
        <v>885</v>
      </c>
      <c r="ADJ374" s="1341" t="s">
        <v>885</v>
      </c>
      <c r="ADK374" s="1341" t="s">
        <v>885</v>
      </c>
      <c r="ADL374" s="1341" t="s">
        <v>885</v>
      </c>
      <c r="ADM374" s="1341" t="s">
        <v>885</v>
      </c>
      <c r="ADN374" s="1341" t="s">
        <v>885</v>
      </c>
      <c r="ADO374" s="1341" t="s">
        <v>885</v>
      </c>
      <c r="ADP374" s="1342" t="s">
        <v>885</v>
      </c>
      <c r="ADQ374" s="1364" t="s">
        <v>885</v>
      </c>
      <c r="ADR374" s="1341" t="s">
        <v>885</v>
      </c>
      <c r="ADS374" s="1341" t="s">
        <v>885</v>
      </c>
      <c r="ADT374" s="1341" t="s">
        <v>885</v>
      </c>
      <c r="ADU374" s="1341" t="s">
        <v>885</v>
      </c>
      <c r="ADV374" s="1341" t="s">
        <v>885</v>
      </c>
      <c r="ADW374" s="1341" t="s">
        <v>885</v>
      </c>
      <c r="ADX374" s="1342" t="s">
        <v>885</v>
      </c>
      <c r="ADY374" s="1364" t="s">
        <v>885</v>
      </c>
      <c r="ADZ374" s="1341" t="s">
        <v>885</v>
      </c>
      <c r="AEA374" s="1341" t="s">
        <v>885</v>
      </c>
      <c r="AEB374" s="1341" t="s">
        <v>885</v>
      </c>
      <c r="AEC374" s="1341" t="s">
        <v>885</v>
      </c>
      <c r="AED374" s="1341" t="s">
        <v>885</v>
      </c>
      <c r="AEE374" s="1341" t="s">
        <v>885</v>
      </c>
      <c r="AEF374" s="1342" t="s">
        <v>885</v>
      </c>
      <c r="AEG374" s="1364" t="s">
        <v>885</v>
      </c>
      <c r="AEH374" s="1341" t="s">
        <v>885</v>
      </c>
      <c r="AEI374" s="1341" t="s">
        <v>885</v>
      </c>
      <c r="AEJ374" s="1341" t="s">
        <v>885</v>
      </c>
      <c r="AEK374" s="1341" t="s">
        <v>885</v>
      </c>
      <c r="AEL374" s="1341" t="s">
        <v>885</v>
      </c>
      <c r="AEM374" s="1341" t="s">
        <v>885</v>
      </c>
      <c r="AEN374" s="1342" t="s">
        <v>885</v>
      </c>
      <c r="AEO374" s="1364" t="s">
        <v>885</v>
      </c>
      <c r="AEP374" s="1341" t="s">
        <v>885</v>
      </c>
      <c r="AEQ374" s="1341" t="s">
        <v>885</v>
      </c>
      <c r="AER374" s="1341" t="s">
        <v>885</v>
      </c>
      <c r="AES374" s="1341" t="s">
        <v>885</v>
      </c>
      <c r="AET374" s="1341" t="s">
        <v>885</v>
      </c>
      <c r="AEU374" s="1341" t="s">
        <v>885</v>
      </c>
      <c r="AEV374" s="1342" t="s">
        <v>885</v>
      </c>
      <c r="AEW374" s="1364" t="s">
        <v>885</v>
      </c>
      <c r="AEX374" s="1341" t="s">
        <v>885</v>
      </c>
      <c r="AEY374" s="1341" t="s">
        <v>885</v>
      </c>
      <c r="AEZ374" s="1341" t="s">
        <v>885</v>
      </c>
      <c r="AFA374" s="1341" t="s">
        <v>885</v>
      </c>
      <c r="AFB374" s="1341" t="s">
        <v>885</v>
      </c>
      <c r="AFC374" s="1341" t="s">
        <v>885</v>
      </c>
      <c r="AFD374" s="1342" t="s">
        <v>885</v>
      </c>
      <c r="AFE374" s="1364" t="s">
        <v>885</v>
      </c>
      <c r="AFF374" s="1341" t="s">
        <v>885</v>
      </c>
      <c r="AFG374" s="1341" t="s">
        <v>885</v>
      </c>
      <c r="AFH374" s="1341" t="s">
        <v>885</v>
      </c>
      <c r="AFI374" s="1341" t="s">
        <v>885</v>
      </c>
      <c r="AFJ374" s="1341" t="s">
        <v>885</v>
      </c>
      <c r="AFK374" s="1341" t="s">
        <v>885</v>
      </c>
      <c r="AFL374" s="1342" t="s">
        <v>885</v>
      </c>
      <c r="AFM374" s="1341" t="s">
        <v>885</v>
      </c>
      <c r="AFN374" s="1341" t="s">
        <v>885</v>
      </c>
      <c r="AFO374" s="1341" t="s">
        <v>885</v>
      </c>
      <c r="AFP374" s="1341" t="s">
        <v>885</v>
      </c>
      <c r="AFQ374" s="1341" t="s">
        <v>885</v>
      </c>
      <c r="AFR374" s="1341" t="s">
        <v>885</v>
      </c>
      <c r="AFS374" s="1341" t="s">
        <v>885</v>
      </c>
      <c r="AFT374" s="1341" t="s">
        <v>885</v>
      </c>
      <c r="AFU374" s="1364" t="s">
        <v>885</v>
      </c>
      <c r="AFV374" s="1341" t="s">
        <v>885</v>
      </c>
      <c r="AFW374" s="1341" t="s">
        <v>885</v>
      </c>
      <c r="AFX374" s="1341" t="s">
        <v>885</v>
      </c>
      <c r="AFY374" s="1341" t="s">
        <v>885</v>
      </c>
      <c r="AFZ374" s="1341" t="s">
        <v>885</v>
      </c>
      <c r="AGA374" s="1341" t="s">
        <v>885</v>
      </c>
      <c r="AGB374" s="1342" t="s">
        <v>885</v>
      </c>
      <c r="AGC374" s="1341" t="s">
        <v>885</v>
      </c>
      <c r="AGD374" s="1341" t="s">
        <v>885</v>
      </c>
      <c r="AGE374" s="1341" t="s">
        <v>885</v>
      </c>
      <c r="AGF374" s="1341" t="s">
        <v>885</v>
      </c>
      <c r="AGG374" s="1341" t="s">
        <v>885</v>
      </c>
      <c r="AGH374" s="1341" t="s">
        <v>885</v>
      </c>
      <c r="AGI374" s="1341" t="s">
        <v>885</v>
      </c>
      <c r="AGJ374" s="1341" t="s">
        <v>885</v>
      </c>
      <c r="AGK374" s="1364" t="s">
        <v>885</v>
      </c>
      <c r="AGL374" s="1341" t="s">
        <v>885</v>
      </c>
      <c r="AGM374" s="1341" t="s">
        <v>885</v>
      </c>
      <c r="AGN374" s="1341" t="s">
        <v>885</v>
      </c>
      <c r="AGO374" s="1341" t="s">
        <v>885</v>
      </c>
      <c r="AGP374" s="1341" t="s">
        <v>885</v>
      </c>
      <c r="AGQ374" s="1341" t="s">
        <v>885</v>
      </c>
      <c r="AGR374" s="1342" t="s">
        <v>885</v>
      </c>
      <c r="AGS374" s="1364" t="s">
        <v>885</v>
      </c>
      <c r="AGT374" s="1341" t="s">
        <v>885</v>
      </c>
      <c r="AGU374" s="1341" t="s">
        <v>885</v>
      </c>
      <c r="AGV374" s="1341" t="s">
        <v>885</v>
      </c>
      <c r="AGW374" s="1341" t="s">
        <v>885</v>
      </c>
      <c r="AGX374" s="1341" t="s">
        <v>885</v>
      </c>
      <c r="AGY374" s="1341" t="s">
        <v>885</v>
      </c>
      <c r="AGZ374" s="1342" t="s">
        <v>885</v>
      </c>
      <c r="AHA374" s="1364" t="s">
        <v>885</v>
      </c>
      <c r="AHB374" s="1341" t="s">
        <v>885</v>
      </c>
      <c r="AHC374" s="1341" t="s">
        <v>885</v>
      </c>
      <c r="AHD374" s="1341" t="s">
        <v>885</v>
      </c>
      <c r="AHE374" s="1341" t="s">
        <v>885</v>
      </c>
      <c r="AHF374" s="1341" t="s">
        <v>885</v>
      </c>
      <c r="AHG374" s="1341" t="s">
        <v>885</v>
      </c>
      <c r="AHH374" s="1342" t="s">
        <v>885</v>
      </c>
      <c r="AHI374" s="1364" t="s">
        <v>885</v>
      </c>
      <c r="AHJ374" s="1341" t="s">
        <v>885</v>
      </c>
      <c r="AHK374" s="1341" t="s">
        <v>885</v>
      </c>
      <c r="AHL374" s="1341" t="s">
        <v>885</v>
      </c>
      <c r="AHM374" s="1341" t="s">
        <v>885</v>
      </c>
      <c r="AHN374" s="1341" t="s">
        <v>885</v>
      </c>
      <c r="AHO374" s="1341" t="s">
        <v>885</v>
      </c>
      <c r="AHP374" s="1342" t="s">
        <v>885</v>
      </c>
      <c r="AHQ374" s="1364" t="s">
        <v>885</v>
      </c>
      <c r="AHR374" s="1341" t="s">
        <v>885</v>
      </c>
      <c r="AHS374" s="1341" t="s">
        <v>885</v>
      </c>
      <c r="AHT374" s="1341" t="s">
        <v>885</v>
      </c>
      <c r="AHU374" s="1341" t="s">
        <v>885</v>
      </c>
      <c r="AHV374" s="1341" t="s">
        <v>885</v>
      </c>
      <c r="AHW374" s="1341" t="s">
        <v>885</v>
      </c>
      <c r="AHX374" s="1342" t="s">
        <v>885</v>
      </c>
      <c r="AHY374" s="1364" t="s">
        <v>1658</v>
      </c>
      <c r="AHZ374" s="1341" t="s">
        <v>1658</v>
      </c>
      <c r="AIA374" s="1341" t="s">
        <v>1658</v>
      </c>
      <c r="AIB374" s="1341" t="s">
        <v>1658</v>
      </c>
      <c r="AIC374" s="1341" t="s">
        <v>1658</v>
      </c>
      <c r="AID374" s="1341" t="s">
        <v>1658</v>
      </c>
      <c r="AIE374" s="1341" t="s">
        <v>1658</v>
      </c>
      <c r="AIF374" s="1342" t="s">
        <v>1658</v>
      </c>
      <c r="AIG374" s="1364" t="s">
        <v>1658</v>
      </c>
      <c r="AIH374" s="1341" t="s">
        <v>1658</v>
      </c>
      <c r="AII374" s="1341" t="s">
        <v>1658</v>
      </c>
      <c r="AIJ374" s="1341" t="s">
        <v>1658</v>
      </c>
      <c r="AIK374" s="1341" t="s">
        <v>1658</v>
      </c>
      <c r="AIL374" s="1341" t="s">
        <v>1658</v>
      </c>
      <c r="AIM374" s="1341" t="s">
        <v>1658</v>
      </c>
      <c r="AIN374" s="1342" t="s">
        <v>1658</v>
      </c>
      <c r="AIO374" s="1364" t="s">
        <v>1658</v>
      </c>
      <c r="AIP374" s="1341" t="s">
        <v>1658</v>
      </c>
      <c r="AIQ374" s="1341" t="s">
        <v>1658</v>
      </c>
      <c r="AIR374" s="1341" t="s">
        <v>1658</v>
      </c>
      <c r="AIS374" s="1341" t="s">
        <v>1658</v>
      </c>
      <c r="AIT374" s="1341" t="s">
        <v>1658</v>
      </c>
      <c r="AIU374" s="1341" t="s">
        <v>1658</v>
      </c>
      <c r="AIV374" s="1342" t="s">
        <v>1658</v>
      </c>
      <c r="AIW374" s="1364" t="s">
        <v>1658</v>
      </c>
      <c r="AIX374" s="1341" t="s">
        <v>1658</v>
      </c>
      <c r="AIY374" s="1341" t="s">
        <v>1658</v>
      </c>
      <c r="AIZ374" s="1341" t="s">
        <v>1658</v>
      </c>
      <c r="AJA374" s="1341" t="s">
        <v>1658</v>
      </c>
      <c r="AJB374" s="1341" t="s">
        <v>1658</v>
      </c>
      <c r="AJC374" s="1341" t="s">
        <v>1658</v>
      </c>
      <c r="AJD374" s="1342" t="s">
        <v>1658</v>
      </c>
      <c r="AJE374" s="1364" t="s">
        <v>1658</v>
      </c>
      <c r="AJF374" s="1341" t="s">
        <v>1658</v>
      </c>
      <c r="AJG374" s="1341" t="s">
        <v>1658</v>
      </c>
      <c r="AJH374" s="1341" t="s">
        <v>1658</v>
      </c>
      <c r="AJI374" s="1341" t="s">
        <v>1658</v>
      </c>
      <c r="AJJ374" s="1341" t="s">
        <v>1658</v>
      </c>
      <c r="AJK374" s="1341" t="s">
        <v>1658</v>
      </c>
      <c r="AJL374" s="1342" t="s">
        <v>1658</v>
      </c>
      <c r="AJM374" s="1364" t="s">
        <v>1658</v>
      </c>
      <c r="AJN374" s="1341" t="s">
        <v>1658</v>
      </c>
      <c r="AJO374" s="1341" t="s">
        <v>1658</v>
      </c>
      <c r="AJP374" s="1341" t="s">
        <v>1658</v>
      </c>
      <c r="AJQ374" s="1341" t="s">
        <v>1658</v>
      </c>
      <c r="AJR374" s="1341" t="s">
        <v>1658</v>
      </c>
      <c r="AJS374" s="1341" t="s">
        <v>1658</v>
      </c>
      <c r="AJT374" s="1342" t="s">
        <v>1658</v>
      </c>
      <c r="AJU374" s="1231"/>
      <c r="AJV374" s="1143"/>
      <c r="AJW374" s="1143"/>
      <c r="AJX374" s="1232"/>
      <c r="AJY374" s="1231"/>
      <c r="AJZ374" s="1143"/>
      <c r="AKA374" s="1143"/>
      <c r="AKB374" s="1143"/>
      <c r="AKC374" s="1143"/>
      <c r="AKD374" s="1232"/>
      <c r="AKE374" s="1364" t="s">
        <v>1658</v>
      </c>
      <c r="AKF374" s="1341" t="s">
        <v>1658</v>
      </c>
      <c r="AKG374" s="1341" t="s">
        <v>1658</v>
      </c>
      <c r="AKH374" s="1341" t="s">
        <v>1658</v>
      </c>
      <c r="AKI374" s="1341" t="s">
        <v>1658</v>
      </c>
      <c r="AKJ374" s="1341" t="s">
        <v>1658</v>
      </c>
      <c r="AKK374" s="1341" t="s">
        <v>1658</v>
      </c>
      <c r="AKL374" s="1341" t="s">
        <v>1658</v>
      </c>
      <c r="AKM374" s="1364" t="s">
        <v>1658</v>
      </c>
      <c r="AKN374" s="1341" t="s">
        <v>1658</v>
      </c>
      <c r="AKO374" s="1341" t="s">
        <v>1658</v>
      </c>
      <c r="AKP374" s="1341" t="s">
        <v>1658</v>
      </c>
      <c r="AKQ374" s="1341" t="s">
        <v>1658</v>
      </c>
      <c r="AKR374" s="1341" t="s">
        <v>1658</v>
      </c>
      <c r="AKS374" s="1341" t="s">
        <v>1658</v>
      </c>
      <c r="AKT374" s="1342" t="s">
        <v>1658</v>
      </c>
      <c r="AKU374" s="1364" t="s">
        <v>1658</v>
      </c>
      <c r="AKV374" s="1341" t="s">
        <v>1658</v>
      </c>
      <c r="AKW374" s="1341" t="s">
        <v>1658</v>
      </c>
      <c r="AKX374" s="1341" t="s">
        <v>1658</v>
      </c>
      <c r="AKY374" s="1341" t="s">
        <v>1658</v>
      </c>
      <c r="AKZ374" s="1341" t="s">
        <v>1658</v>
      </c>
      <c r="ALA374" s="1341" t="s">
        <v>1658</v>
      </c>
      <c r="ALB374" s="1342" t="s">
        <v>1658</v>
      </c>
      <c r="ALC374" s="1364" t="s">
        <v>1658</v>
      </c>
      <c r="ALD374" s="1341" t="s">
        <v>1658</v>
      </c>
      <c r="ALE374" s="1341" t="s">
        <v>1658</v>
      </c>
      <c r="ALF374" s="1341" t="s">
        <v>1658</v>
      </c>
      <c r="ALG374" s="1341" t="s">
        <v>1658</v>
      </c>
      <c r="ALH374" s="1341" t="s">
        <v>1658</v>
      </c>
      <c r="ALI374" s="1341" t="s">
        <v>1658</v>
      </c>
      <c r="ALJ374" s="1342" t="s">
        <v>1658</v>
      </c>
      <c r="ALK374" s="1364" t="s">
        <v>1658</v>
      </c>
      <c r="ALL374" s="1341" t="s">
        <v>1658</v>
      </c>
      <c r="ALM374" s="1341" t="s">
        <v>1658</v>
      </c>
      <c r="ALN374" s="1341" t="s">
        <v>1658</v>
      </c>
      <c r="ALO374" s="1341" t="s">
        <v>1658</v>
      </c>
      <c r="ALP374" s="1341" t="s">
        <v>1658</v>
      </c>
      <c r="ALQ374" s="1341" t="s">
        <v>1658</v>
      </c>
      <c r="ALR374" s="1342" t="s">
        <v>1658</v>
      </c>
      <c r="ALS374" s="1364" t="s">
        <v>1658</v>
      </c>
      <c r="ALT374" s="1341" t="s">
        <v>1658</v>
      </c>
      <c r="ALU374" s="1341" t="s">
        <v>1658</v>
      </c>
      <c r="ALV374" s="1341" t="s">
        <v>1658</v>
      </c>
      <c r="ALW374" s="1341" t="s">
        <v>1658</v>
      </c>
      <c r="ALX374" s="1341" t="s">
        <v>1658</v>
      </c>
      <c r="ALY374" s="1341" t="s">
        <v>1658</v>
      </c>
      <c r="ALZ374" s="1342" t="s">
        <v>1658</v>
      </c>
    </row>
    <row r="375" spans="2:1014" ht="20.100000000000001" customHeight="1" thickBot="1">
      <c r="C375" s="1332" t="s">
        <v>3058</v>
      </c>
      <c r="D375" s="1333" t="s">
        <v>3059</v>
      </c>
      <c r="E375" s="1334" t="s">
        <v>3060</v>
      </c>
      <c r="F375" s="1374" t="s">
        <v>75</v>
      </c>
      <c r="G375" s="1374" t="s">
        <v>81</v>
      </c>
      <c r="H375" s="1375" t="s">
        <v>82</v>
      </c>
      <c r="I375" s="1180" t="s">
        <v>139</v>
      </c>
      <c r="J375" s="1376" t="s">
        <v>140</v>
      </c>
      <c r="K375" s="1376" t="s">
        <v>141</v>
      </c>
      <c r="L375" s="1376" t="s">
        <v>142</v>
      </c>
      <c r="M375" s="1180" t="s">
        <v>1013</v>
      </c>
      <c r="N375" s="1376" t="s">
        <v>1014</v>
      </c>
      <c r="O375" s="1376" t="s">
        <v>1015</v>
      </c>
      <c r="P375" s="1377" t="s">
        <v>1016</v>
      </c>
      <c r="Q375" s="1378" t="s">
        <v>41</v>
      </c>
      <c r="R375" s="1379" t="s">
        <v>42</v>
      </c>
      <c r="S375" s="1380" t="s">
        <v>43</v>
      </c>
      <c r="T375" s="1380" t="s">
        <v>80</v>
      </c>
      <c r="U375" s="1379" t="s">
        <v>83</v>
      </c>
      <c r="V375" s="1380" t="s">
        <v>84</v>
      </c>
      <c r="W375" s="1380" t="s">
        <v>143</v>
      </c>
      <c r="X375" s="1380" t="s">
        <v>144</v>
      </c>
      <c r="Y375" s="1380" t="s">
        <v>145</v>
      </c>
      <c r="Z375" s="1379" t="s">
        <v>146</v>
      </c>
      <c r="AA375" s="1381" t="s">
        <v>147</v>
      </c>
      <c r="AB375" s="1382" t="s">
        <v>195</v>
      </c>
      <c r="AC375" s="1382" t="s">
        <v>196</v>
      </c>
      <c r="AD375" s="1382" t="s">
        <v>197</v>
      </c>
      <c r="AE375" s="1383" t="s">
        <v>198</v>
      </c>
      <c r="AF375" s="1380" t="s">
        <v>199</v>
      </c>
      <c r="AG375" s="1380" t="s">
        <v>1698</v>
      </c>
      <c r="AH375" s="1380" t="s">
        <v>1699</v>
      </c>
      <c r="AI375" s="1380" t="s">
        <v>1700</v>
      </c>
      <c r="AJ375" s="1379" t="s">
        <v>1701</v>
      </c>
      <c r="AK375" s="1380" t="s">
        <v>1702</v>
      </c>
      <c r="AL375" s="1380" t="s">
        <v>1703</v>
      </c>
      <c r="AM375" s="1380" t="s">
        <v>1704</v>
      </c>
      <c r="AN375" s="1380" t="s">
        <v>1705</v>
      </c>
      <c r="AO375" s="1380" t="s">
        <v>1706</v>
      </c>
      <c r="AP375" s="1384" t="s">
        <v>2277</v>
      </c>
      <c r="AQ375" s="1380" t="s">
        <v>2278</v>
      </c>
      <c r="AR375" s="1380" t="s">
        <v>2279</v>
      </c>
      <c r="AS375" s="1380" t="s">
        <v>2280</v>
      </c>
      <c r="AT375" s="1380" t="s">
        <v>2281</v>
      </c>
      <c r="AU375" s="1380" t="s">
        <v>2282</v>
      </c>
      <c r="AV375" s="1380" t="s">
        <v>2283</v>
      </c>
      <c r="AW375" s="1384" t="s">
        <v>2301</v>
      </c>
      <c r="AX375" s="1380" t="s">
        <v>2302</v>
      </c>
      <c r="AY375" s="1380" t="s">
        <v>2303</v>
      </c>
      <c r="AZ375" s="1380" t="s">
        <v>2304</v>
      </c>
      <c r="BA375" s="1380" t="s">
        <v>2306</v>
      </c>
      <c r="BB375" s="1378" t="s">
        <v>44</v>
      </c>
      <c r="BC375" s="1380" t="s">
        <v>45</v>
      </c>
      <c r="BD375" s="1380" t="s">
        <v>79</v>
      </c>
      <c r="BE375" s="1380" t="s">
        <v>85</v>
      </c>
      <c r="BF375" s="1380" t="s">
        <v>86</v>
      </c>
      <c r="BG375" s="1380" t="s">
        <v>170</v>
      </c>
      <c r="BH375" s="1379" t="s">
        <v>171</v>
      </c>
      <c r="BI375" s="1380" t="s">
        <v>172</v>
      </c>
      <c r="BJ375" s="1380" t="s">
        <v>173</v>
      </c>
      <c r="BK375" s="1380" t="s">
        <v>174</v>
      </c>
      <c r="BL375" s="1380" t="s">
        <v>175</v>
      </c>
      <c r="BM375" s="1380" t="s">
        <v>176</v>
      </c>
      <c r="BN375" s="1380" t="s">
        <v>177</v>
      </c>
      <c r="BO375" s="1380" t="s">
        <v>178</v>
      </c>
      <c r="BP375" s="1380" t="s">
        <v>179</v>
      </c>
      <c r="BQ375" s="1380" t="s">
        <v>180</v>
      </c>
      <c r="BR375" s="1380" t="s">
        <v>181</v>
      </c>
      <c r="BS375" s="1380" t="s">
        <v>182</v>
      </c>
      <c r="BT375" s="1380" t="s">
        <v>183</v>
      </c>
      <c r="BU375" s="1380" t="s">
        <v>184</v>
      </c>
      <c r="BV375" s="1380" t="s">
        <v>185</v>
      </c>
      <c r="BW375" s="1379" t="s">
        <v>186</v>
      </c>
      <c r="BX375" s="1380" t="s">
        <v>200</v>
      </c>
      <c r="BY375" s="1380" t="s">
        <v>201</v>
      </c>
      <c r="BZ375" s="1380" t="s">
        <v>202</v>
      </c>
      <c r="CA375" s="1380" t="s">
        <v>203</v>
      </c>
      <c r="CB375" s="1380" t="s">
        <v>204</v>
      </c>
      <c r="CC375" s="1380" t="s">
        <v>1723</v>
      </c>
      <c r="CD375" s="1380" t="s">
        <v>1724</v>
      </c>
      <c r="CE375" s="1380" t="s">
        <v>1725</v>
      </c>
      <c r="CF375" s="1380" t="s">
        <v>1726</v>
      </c>
      <c r="CG375" s="1380" t="s">
        <v>1727</v>
      </c>
      <c r="CH375" s="1380" t="s">
        <v>1728</v>
      </c>
      <c r="CI375" s="1380" t="s">
        <v>1729</v>
      </c>
      <c r="CJ375" s="1380" t="s">
        <v>1730</v>
      </c>
      <c r="CK375" s="1380" t="s">
        <v>1731</v>
      </c>
      <c r="CL375" s="1380" t="s">
        <v>1732</v>
      </c>
      <c r="CM375" s="1384" t="s">
        <v>1733</v>
      </c>
      <c r="CN375" s="1380" t="s">
        <v>1734</v>
      </c>
      <c r="CO375" s="1380" t="s">
        <v>1735</v>
      </c>
      <c r="CP375" s="1380" t="s">
        <v>1736</v>
      </c>
      <c r="CQ375" s="1380" t="s">
        <v>1737</v>
      </c>
      <c r="CR375" s="1380" t="s">
        <v>1738</v>
      </c>
      <c r="CS375" s="1380" t="s">
        <v>1739</v>
      </c>
      <c r="CT375" s="1380" t="s">
        <v>1740</v>
      </c>
      <c r="CU375" s="1380" t="s">
        <v>1741</v>
      </c>
      <c r="CV375" s="1380" t="s">
        <v>1742</v>
      </c>
      <c r="CW375" s="1380" t="s">
        <v>1743</v>
      </c>
      <c r="CX375" s="1380" t="s">
        <v>1744</v>
      </c>
      <c r="CY375" s="1380" t="s">
        <v>1745</v>
      </c>
      <c r="CZ375" s="1380" t="s">
        <v>1746</v>
      </c>
      <c r="DA375" s="1380" t="s">
        <v>1747</v>
      </c>
      <c r="DB375" s="1381" t="s">
        <v>1748</v>
      </c>
      <c r="DC375" s="1382" t="s">
        <v>1749</v>
      </c>
      <c r="DD375" s="1382" t="s">
        <v>1750</v>
      </c>
      <c r="DE375" s="1382" t="s">
        <v>1751</v>
      </c>
      <c r="DF375" s="1383" t="s">
        <v>1752</v>
      </c>
      <c r="DG375" s="1384" t="s">
        <v>2622</v>
      </c>
      <c r="DH375" s="1380" t="s">
        <v>2623</v>
      </c>
      <c r="DI375" s="1380" t="s">
        <v>2624</v>
      </c>
      <c r="DJ375" s="1380" t="s">
        <v>2625</v>
      </c>
      <c r="DK375" s="1380" t="s">
        <v>2626</v>
      </c>
      <c r="DL375" s="1378" t="s">
        <v>46</v>
      </c>
      <c r="DM375" s="1380" t="s">
        <v>47</v>
      </c>
      <c r="DN375" s="1380" t="s">
        <v>48</v>
      </c>
      <c r="DO375" s="1380" t="s">
        <v>78</v>
      </c>
      <c r="DP375" s="1380" t="s">
        <v>87</v>
      </c>
      <c r="DQ375" s="1380" t="s">
        <v>88</v>
      </c>
      <c r="DR375" s="1384" t="s">
        <v>2351</v>
      </c>
      <c r="DS375" s="1380" t="s">
        <v>2352</v>
      </c>
      <c r="DT375" s="1380" t="s">
        <v>2353</v>
      </c>
      <c r="DU375" s="1380" t="s">
        <v>2354</v>
      </c>
      <c r="DV375" s="1380" t="s">
        <v>2355</v>
      </c>
      <c r="DW375" s="1380" t="s">
        <v>2356</v>
      </c>
      <c r="DX375" s="1380" t="s">
        <v>2357</v>
      </c>
      <c r="DY375" s="1384" t="s">
        <v>2358</v>
      </c>
      <c r="DZ375" s="1380" t="s">
        <v>2359</v>
      </c>
      <c r="EA375" s="1380" t="s">
        <v>2360</v>
      </c>
      <c r="EB375" s="1380" t="s">
        <v>2361</v>
      </c>
      <c r="EC375" s="1380" t="s">
        <v>2362</v>
      </c>
      <c r="ED375" s="1380" t="s">
        <v>2363</v>
      </c>
      <c r="EE375" s="1385" t="s">
        <v>2364</v>
      </c>
      <c r="EF375" s="1380" t="s">
        <v>49</v>
      </c>
      <c r="EG375" s="1380" t="s">
        <v>50</v>
      </c>
      <c r="EH375" s="1380" t="s">
        <v>51</v>
      </c>
      <c r="EI375" s="1380" t="s">
        <v>77</v>
      </c>
      <c r="EJ375" s="1380" t="s">
        <v>89</v>
      </c>
      <c r="EK375" s="1380" t="s">
        <v>90</v>
      </c>
      <c r="EL375" s="1378" t="s">
        <v>2365</v>
      </c>
      <c r="EM375" s="1380" t="s">
        <v>2366</v>
      </c>
      <c r="EN375" s="1380" t="s">
        <v>2367</v>
      </c>
      <c r="EO375" s="1380" t="s">
        <v>2368</v>
      </c>
      <c r="EP375" s="1380" t="s">
        <v>2369</v>
      </c>
      <c r="EQ375" s="1380" t="s">
        <v>2370</v>
      </c>
      <c r="ER375" s="1380" t="s">
        <v>2371</v>
      </c>
      <c r="ES375" s="1380" t="s">
        <v>2372</v>
      </c>
      <c r="ET375" s="1380" t="s">
        <v>2373</v>
      </c>
      <c r="EU375" s="1380" t="s">
        <v>2374</v>
      </c>
      <c r="EV375" s="1380" t="s">
        <v>2375</v>
      </c>
      <c r="EW375" s="1380" t="s">
        <v>2376</v>
      </c>
      <c r="EX375" s="1380" t="s">
        <v>2377</v>
      </c>
      <c r="EY375" s="1380" t="s">
        <v>2378</v>
      </c>
      <c r="EZ375" s="1380" t="s">
        <v>2379</v>
      </c>
      <c r="FA375" s="1380" t="s">
        <v>2380</v>
      </c>
      <c r="FB375" s="1380" t="s">
        <v>2381</v>
      </c>
      <c r="FC375" s="1380" t="s">
        <v>2382</v>
      </c>
      <c r="FD375" s="1380" t="s">
        <v>2383</v>
      </c>
      <c r="FE375" s="1380" t="s">
        <v>2384</v>
      </c>
      <c r="FF375" s="1380" t="s">
        <v>2385</v>
      </c>
      <c r="FG375" s="1380" t="s">
        <v>2386</v>
      </c>
      <c r="FH375" s="1380" t="s">
        <v>2387</v>
      </c>
      <c r="FI375" s="1380" t="s">
        <v>2388</v>
      </c>
      <c r="FJ375" s="1380" t="s">
        <v>2389</v>
      </c>
      <c r="FK375" s="1380" t="s">
        <v>2390</v>
      </c>
      <c r="FL375" s="1380" t="s">
        <v>2391</v>
      </c>
      <c r="FM375" s="1380" t="s">
        <v>2392</v>
      </c>
      <c r="FN375" s="1380" t="s">
        <v>2393</v>
      </c>
      <c r="FO375" s="1380" t="s">
        <v>2394</v>
      </c>
      <c r="FP375" s="1380" t="s">
        <v>2395</v>
      </c>
      <c r="FQ375" s="1380" t="s">
        <v>2396</v>
      </c>
      <c r="FR375" s="1380" t="s">
        <v>2397</v>
      </c>
      <c r="FS375" s="1380" t="s">
        <v>2398</v>
      </c>
      <c r="FT375" s="1380" t="s">
        <v>2399</v>
      </c>
      <c r="FU375" s="1380" t="s">
        <v>2400</v>
      </c>
      <c r="FV375" s="1380" t="s">
        <v>2401</v>
      </c>
      <c r="FW375" s="1380" t="s">
        <v>2402</v>
      </c>
      <c r="FX375" s="1380" t="s">
        <v>2403</v>
      </c>
      <c r="FY375" s="1380" t="s">
        <v>2404</v>
      </c>
      <c r="FZ375" s="1380" t="s">
        <v>2405</v>
      </c>
      <c r="GA375" s="1380" t="s">
        <v>2406</v>
      </c>
      <c r="GB375" s="1380" t="s">
        <v>2407</v>
      </c>
      <c r="GC375" s="1380" t="s">
        <v>2408</v>
      </c>
      <c r="GD375" s="1380" t="s">
        <v>2409</v>
      </c>
      <c r="GE375" s="1380" t="s">
        <v>2410</v>
      </c>
      <c r="GF375" s="1380" t="s">
        <v>2411</v>
      </c>
      <c r="GG375" s="1380" t="s">
        <v>2412</v>
      </c>
      <c r="GH375" s="1380" t="s">
        <v>2413</v>
      </c>
      <c r="GI375" s="1380" t="s">
        <v>2414</v>
      </c>
      <c r="GJ375" s="1380" t="s">
        <v>2415</v>
      </c>
      <c r="GK375" s="1380" t="s">
        <v>2416</v>
      </c>
      <c r="GL375" s="1380" t="s">
        <v>2417</v>
      </c>
      <c r="GM375" s="1380" t="s">
        <v>2418</v>
      </c>
      <c r="GN375" s="1380" t="s">
        <v>2419</v>
      </c>
      <c r="GO375" s="1380" t="s">
        <v>2420</v>
      </c>
      <c r="GP375" s="1380" t="s">
        <v>2421</v>
      </c>
      <c r="GQ375" s="1380" t="s">
        <v>2422</v>
      </c>
      <c r="GR375" s="1384" t="s">
        <v>2657</v>
      </c>
      <c r="GS375" s="1380" t="s">
        <v>2423</v>
      </c>
      <c r="GT375" s="1380" t="s">
        <v>2424</v>
      </c>
      <c r="GU375" s="1380" t="s">
        <v>2425</v>
      </c>
      <c r="GV375" s="1380" t="s">
        <v>2426</v>
      </c>
      <c r="GW375" s="1380" t="s">
        <v>2427</v>
      </c>
      <c r="GX375" s="1380" t="s">
        <v>2428</v>
      </c>
      <c r="GY375" s="1380" t="s">
        <v>2429</v>
      </c>
      <c r="GZ375" s="1380" t="s">
        <v>2430</v>
      </c>
      <c r="HA375" s="1380" t="s">
        <v>2431</v>
      </c>
      <c r="HB375" s="1380" t="s">
        <v>2432</v>
      </c>
      <c r="HC375" s="1380" t="s">
        <v>2433</v>
      </c>
      <c r="HD375" s="1380" t="s">
        <v>2434</v>
      </c>
      <c r="HE375" s="1380" t="s">
        <v>2435</v>
      </c>
      <c r="HF375" s="1380" t="s">
        <v>2436</v>
      </c>
      <c r="HG375" s="1380" t="s">
        <v>2437</v>
      </c>
      <c r="HH375" s="1380" t="s">
        <v>2438</v>
      </c>
      <c r="HI375" s="1380" t="s">
        <v>2439</v>
      </c>
      <c r="HJ375" s="1380" t="s">
        <v>2440</v>
      </c>
      <c r="HK375" s="1380" t="s">
        <v>2441</v>
      </c>
      <c r="HL375" s="1380" t="s">
        <v>2442</v>
      </c>
      <c r="HM375" s="1380" t="s">
        <v>2443</v>
      </c>
      <c r="HN375" s="1380" t="s">
        <v>2444</v>
      </c>
      <c r="HO375" s="1380" t="s">
        <v>2445</v>
      </c>
      <c r="HP375" s="1380" t="s">
        <v>2446</v>
      </c>
      <c r="HQ375" s="1380" t="s">
        <v>2447</v>
      </c>
      <c r="HR375" s="1380" t="s">
        <v>2448</v>
      </c>
      <c r="HS375" s="1380" t="s">
        <v>2449</v>
      </c>
      <c r="HT375" s="1380" t="s">
        <v>2450</v>
      </c>
      <c r="HU375" s="1380" t="s">
        <v>2451</v>
      </c>
      <c r="HV375" s="1380" t="s">
        <v>2452</v>
      </c>
      <c r="HW375" s="1380" t="s">
        <v>2453</v>
      </c>
      <c r="HX375" s="1380" t="s">
        <v>2454</v>
      </c>
      <c r="HY375" s="1380" t="s">
        <v>2455</v>
      </c>
      <c r="HZ375" s="1380" t="s">
        <v>2456</v>
      </c>
      <c r="IA375" s="1380" t="s">
        <v>2457</v>
      </c>
      <c r="IB375" s="1380" t="s">
        <v>2458</v>
      </c>
      <c r="IC375" s="1380" t="s">
        <v>2459</v>
      </c>
      <c r="ID375" s="1380" t="s">
        <v>2460</v>
      </c>
      <c r="IE375" s="1380" t="s">
        <v>2461</v>
      </c>
      <c r="IF375" s="1380" t="s">
        <v>2462</v>
      </c>
      <c r="IG375" s="1380" t="s">
        <v>2463</v>
      </c>
      <c r="IH375" s="1380" t="s">
        <v>2464</v>
      </c>
      <c r="II375" s="1380" t="s">
        <v>2465</v>
      </c>
      <c r="IJ375" s="1380" t="s">
        <v>2466</v>
      </c>
      <c r="IK375" s="1380" t="s">
        <v>2467</v>
      </c>
      <c r="IL375" s="1380" t="s">
        <v>2468</v>
      </c>
      <c r="IM375" s="1380" t="s">
        <v>2469</v>
      </c>
      <c r="IN375" s="1380" t="s">
        <v>2470</v>
      </c>
      <c r="IO375" s="1380" t="s">
        <v>2471</v>
      </c>
      <c r="IP375" s="1380" t="s">
        <v>2472</v>
      </c>
      <c r="IQ375" s="1380" t="s">
        <v>2473</v>
      </c>
      <c r="IR375" s="1380" t="s">
        <v>2474</v>
      </c>
      <c r="IS375" s="1380" t="s">
        <v>2475</v>
      </c>
      <c r="IT375" s="1380" t="s">
        <v>2476</v>
      </c>
      <c r="IU375" s="1380" t="s">
        <v>2477</v>
      </c>
      <c r="IV375" s="1380" t="s">
        <v>2478</v>
      </c>
      <c r="IW375" s="1380" t="s">
        <v>2479</v>
      </c>
      <c r="IX375" s="1378" t="s">
        <v>52</v>
      </c>
      <c r="IY375" s="1380" t="s">
        <v>53</v>
      </c>
      <c r="IZ375" s="1380" t="s">
        <v>54</v>
      </c>
      <c r="JA375" s="1380" t="s">
        <v>76</v>
      </c>
      <c r="JB375" s="1380" t="s">
        <v>91</v>
      </c>
      <c r="JC375" s="1380" t="s">
        <v>92</v>
      </c>
      <c r="JD375" s="1380" t="s">
        <v>205</v>
      </c>
      <c r="JE375" s="1379" t="s">
        <v>206</v>
      </c>
      <c r="JF375" s="1380" t="s">
        <v>207</v>
      </c>
      <c r="JG375" s="1380" t="s">
        <v>208</v>
      </c>
      <c r="JH375" s="1380" t="s">
        <v>209</v>
      </c>
      <c r="JI375" s="1380" t="s">
        <v>856</v>
      </c>
      <c r="JJ375" s="1385" t="s">
        <v>1771</v>
      </c>
      <c r="JK375" s="1378" t="s">
        <v>2815</v>
      </c>
      <c r="JL375" s="1380" t="s">
        <v>2816</v>
      </c>
      <c r="JM375" s="1380" t="s">
        <v>2817</v>
      </c>
      <c r="JN375" s="1380" t="s">
        <v>2818</v>
      </c>
      <c r="JO375" s="1380" t="s">
        <v>2819</v>
      </c>
      <c r="JP375" s="1380" t="s">
        <v>2820</v>
      </c>
      <c r="JQ375" s="1380" t="s">
        <v>2821</v>
      </c>
      <c r="JR375" s="1381" t="s">
        <v>2822</v>
      </c>
      <c r="JS375" s="1382" t="s">
        <v>2823</v>
      </c>
      <c r="JT375" s="1382" t="s">
        <v>2824</v>
      </c>
      <c r="JU375" s="1382" t="s">
        <v>2825</v>
      </c>
      <c r="JV375" s="1383" t="s">
        <v>2826</v>
      </c>
      <c r="JW375" s="1386" t="s">
        <v>2827</v>
      </c>
      <c r="JX375" s="1063" t="s">
        <v>2322</v>
      </c>
      <c r="JY375" s="1064" t="s">
        <v>2318</v>
      </c>
      <c r="JZ375" s="1064" t="s">
        <v>2319</v>
      </c>
      <c r="KA375" s="1064" t="s">
        <v>2320</v>
      </c>
      <c r="KB375" s="1064" t="s">
        <v>2321</v>
      </c>
      <c r="KC375" s="1065" t="s">
        <v>2323</v>
      </c>
      <c r="KD375" s="1066" t="s">
        <v>2324</v>
      </c>
      <c r="KE375" s="1066" t="s">
        <v>2325</v>
      </c>
      <c r="KF375" s="1066" t="s">
        <v>2326</v>
      </c>
      <c r="KG375" s="1066" t="s">
        <v>2327</v>
      </c>
      <c r="KH375" s="1065" t="s">
        <v>2605</v>
      </c>
      <c r="KI375" s="1066" t="s">
        <v>2606</v>
      </c>
      <c r="KJ375" s="1066" t="s">
        <v>2607</v>
      </c>
      <c r="KK375" s="1066" t="s">
        <v>2608</v>
      </c>
      <c r="KL375" s="1066" t="s">
        <v>2609</v>
      </c>
      <c r="KM375" s="1066" t="s">
        <v>2610</v>
      </c>
      <c r="KN375" s="1066" t="s">
        <v>2611</v>
      </c>
      <c r="KO375" s="1066" t="s">
        <v>2612</v>
      </c>
      <c r="KP375" s="1066" t="s">
        <v>2613</v>
      </c>
      <c r="KQ375" s="1065" t="s">
        <v>2614</v>
      </c>
      <c r="KR375" s="1066" t="s">
        <v>2615</v>
      </c>
      <c r="KS375" s="1066" t="s">
        <v>2616</v>
      </c>
      <c r="KT375" s="1066" t="s">
        <v>2617</v>
      </c>
      <c r="KU375" s="1066" t="s">
        <v>2618</v>
      </c>
      <c r="KV375" s="1066" t="s">
        <v>2619</v>
      </c>
      <c r="KW375" s="1066" t="s">
        <v>2620</v>
      </c>
      <c r="KX375" s="1066" t="s">
        <v>2636</v>
      </c>
      <c r="KY375" s="1066" t="s">
        <v>2637</v>
      </c>
      <c r="KZ375" s="1065" t="s">
        <v>2638</v>
      </c>
      <c r="LA375" s="1066" t="s">
        <v>2639</v>
      </c>
      <c r="LB375" s="1066" t="s">
        <v>2640</v>
      </c>
      <c r="LC375" s="1066" t="s">
        <v>2641</v>
      </c>
      <c r="LD375" s="1066" t="s">
        <v>2642</v>
      </c>
      <c r="LE375" s="1066" t="s">
        <v>2643</v>
      </c>
      <c r="LF375" s="1066" t="s">
        <v>2644</v>
      </c>
      <c r="LG375" s="1066" t="s">
        <v>2645</v>
      </c>
      <c r="LH375" s="1066" t="s">
        <v>2646</v>
      </c>
      <c r="LI375" s="1065" t="s">
        <v>2650</v>
      </c>
      <c r="LJ375" s="1066" t="s">
        <v>2651</v>
      </c>
      <c r="LK375" s="1066" t="s">
        <v>2652</v>
      </c>
      <c r="LL375" s="1066" t="s">
        <v>2653</v>
      </c>
      <c r="LM375" s="1066" t="s">
        <v>2654</v>
      </c>
      <c r="LN375" s="1066" t="s">
        <v>2678</v>
      </c>
      <c r="LO375" s="1378" t="s">
        <v>2328</v>
      </c>
      <c r="LP375" s="1380" t="s">
        <v>2329</v>
      </c>
      <c r="LQ375" s="1380" t="s">
        <v>2330</v>
      </c>
      <c r="LR375" s="1380" t="s">
        <v>2331</v>
      </c>
      <c r="LS375" s="1380" t="s">
        <v>2332</v>
      </c>
      <c r="LT375" s="1381" t="s">
        <v>2333</v>
      </c>
      <c r="LU375" s="1382" t="s">
        <v>2334</v>
      </c>
      <c r="LV375" s="1382" t="s">
        <v>2335</v>
      </c>
      <c r="LW375" s="1382" t="s">
        <v>2336</v>
      </c>
      <c r="LX375" s="1383" t="s">
        <v>2337</v>
      </c>
      <c r="LY375" s="1384" t="s">
        <v>2679</v>
      </c>
      <c r="LZ375" s="1378" t="s">
        <v>2916</v>
      </c>
      <c r="MA375" s="1385" t="s">
        <v>2917</v>
      </c>
      <c r="MB375" s="1389" t="s">
        <v>2918</v>
      </c>
      <c r="MC375" s="1382" t="s">
        <v>2919</v>
      </c>
      <c r="MD375" s="1382" t="s">
        <v>2920</v>
      </c>
      <c r="ME375" s="1382" t="s">
        <v>2921</v>
      </c>
      <c r="MF375" s="1381" t="s">
        <v>2922</v>
      </c>
      <c r="MG375" s="1382" t="s">
        <v>2923</v>
      </c>
      <c r="MH375" s="1382" t="s">
        <v>2924</v>
      </c>
      <c r="MI375" s="1382" t="s">
        <v>2925</v>
      </c>
      <c r="MJ375" s="1381" t="s">
        <v>2926</v>
      </c>
      <c r="MK375" s="1382" t="s">
        <v>2927</v>
      </c>
      <c r="ML375" s="1382" t="s">
        <v>2928</v>
      </c>
      <c r="MM375" s="1382" t="s">
        <v>2929</v>
      </c>
      <c r="MN375" s="1381" t="s">
        <v>2930</v>
      </c>
      <c r="MO375" s="1382" t="s">
        <v>2931</v>
      </c>
      <c r="MP375" s="1382" t="s">
        <v>2937</v>
      </c>
      <c r="MQ375" s="1382" t="s">
        <v>2938</v>
      </c>
      <c r="MR375" s="1381" t="s">
        <v>2939</v>
      </c>
      <c r="MS375" s="1382" t="s">
        <v>2940</v>
      </c>
      <c r="MT375" s="1382" t="s">
        <v>2941</v>
      </c>
      <c r="MU375" s="1390" t="s">
        <v>2942</v>
      </c>
      <c r="MV375" s="1378" t="s">
        <v>1813</v>
      </c>
      <c r="MW375" s="1380" t="s">
        <v>1814</v>
      </c>
      <c r="MX375" s="1385" t="s">
        <v>1815</v>
      </c>
      <c r="MY375" s="1067" t="s">
        <v>224</v>
      </c>
      <c r="MZ375" s="1068" t="s">
        <v>225</v>
      </c>
      <c r="NA375" s="1068" t="s">
        <v>226</v>
      </c>
      <c r="NB375" s="1069" t="s">
        <v>227</v>
      </c>
      <c r="NC375" s="1068" t="s">
        <v>228</v>
      </c>
      <c r="ND375" s="1068" t="s">
        <v>229</v>
      </c>
      <c r="NE375" s="1068" t="s">
        <v>238</v>
      </c>
      <c r="NF375" s="1068" t="s">
        <v>239</v>
      </c>
      <c r="NG375" s="1067" t="s">
        <v>240</v>
      </c>
      <c r="NH375" s="1068" t="s">
        <v>241</v>
      </c>
      <c r="NI375" s="1068" t="s">
        <v>242</v>
      </c>
      <c r="NJ375" s="1069" t="s">
        <v>243</v>
      </c>
      <c r="NK375" s="1068" t="s">
        <v>244</v>
      </c>
      <c r="NL375" s="1068" t="s">
        <v>245</v>
      </c>
      <c r="NM375" s="1068" t="s">
        <v>246</v>
      </c>
      <c r="NN375" s="1068" t="s">
        <v>247</v>
      </c>
      <c r="NO375" s="1067" t="s">
        <v>248</v>
      </c>
      <c r="NP375" s="1068" t="s">
        <v>249</v>
      </c>
      <c r="NQ375" s="1068" t="s">
        <v>250</v>
      </c>
      <c r="NR375" s="1069" t="s">
        <v>251</v>
      </c>
      <c r="NS375" s="1067" t="s">
        <v>252</v>
      </c>
      <c r="NT375" s="1068" t="s">
        <v>253</v>
      </c>
      <c r="NU375" s="1068" t="s">
        <v>254</v>
      </c>
      <c r="NV375" s="1069" t="s">
        <v>255</v>
      </c>
      <c r="NW375" s="1067" t="s">
        <v>256</v>
      </c>
      <c r="NX375" s="1068" t="s">
        <v>257</v>
      </c>
      <c r="NY375" s="1068" t="s">
        <v>258</v>
      </c>
      <c r="NZ375" s="1068" t="s">
        <v>259</v>
      </c>
      <c r="OA375" s="1068" t="s">
        <v>260</v>
      </c>
      <c r="OB375" s="1070" t="s">
        <v>261</v>
      </c>
      <c r="OC375" s="1068" t="s">
        <v>262</v>
      </c>
      <c r="OD375" s="1068" t="s">
        <v>263</v>
      </c>
      <c r="OE375" s="1068" t="s">
        <v>264</v>
      </c>
      <c r="OF375" s="1068" t="s">
        <v>265</v>
      </c>
      <c r="OG375" s="1068" t="s">
        <v>266</v>
      </c>
      <c r="OH375" s="1070" t="s">
        <v>267</v>
      </c>
      <c r="OI375" s="1068" t="s">
        <v>272</v>
      </c>
      <c r="OJ375" s="1068" t="s">
        <v>273</v>
      </c>
      <c r="OK375" s="1068" t="s">
        <v>274</v>
      </c>
      <c r="OL375" s="1068" t="s">
        <v>275</v>
      </c>
      <c r="OM375" s="1068" t="s">
        <v>276</v>
      </c>
      <c r="ON375" s="1070" t="s">
        <v>277</v>
      </c>
      <c r="OO375" s="1068" t="s">
        <v>278</v>
      </c>
      <c r="OP375" s="1068" t="s">
        <v>279</v>
      </c>
      <c r="OQ375" s="1068" t="s">
        <v>280</v>
      </c>
      <c r="OR375" s="1068" t="s">
        <v>281</v>
      </c>
      <c r="OS375" s="1068" t="s">
        <v>282</v>
      </c>
      <c r="OT375" s="1070" t="s">
        <v>283</v>
      </c>
      <c r="OU375" s="1068" t="s">
        <v>284</v>
      </c>
      <c r="OV375" s="1068" t="s">
        <v>285</v>
      </c>
      <c r="OW375" s="1068" t="s">
        <v>286</v>
      </c>
      <c r="OX375" s="1068" t="s">
        <v>287</v>
      </c>
      <c r="OY375" s="1068" t="s">
        <v>288</v>
      </c>
      <c r="OZ375" s="1070" t="s">
        <v>289</v>
      </c>
      <c r="PA375" s="1068" t="s">
        <v>290</v>
      </c>
      <c r="PB375" s="1068" t="s">
        <v>291</v>
      </c>
      <c r="PC375" s="1068" t="s">
        <v>292</v>
      </c>
      <c r="PD375" s="1068" t="s">
        <v>293</v>
      </c>
      <c r="PE375" s="1068" t="s">
        <v>294</v>
      </c>
      <c r="PF375" s="1069" t="s">
        <v>295</v>
      </c>
      <c r="PG375" s="1067" t="s">
        <v>296</v>
      </c>
      <c r="PH375" s="1068" t="s">
        <v>297</v>
      </c>
      <c r="PI375" s="1068" t="s">
        <v>298</v>
      </c>
      <c r="PJ375" s="1068" t="s">
        <v>299</v>
      </c>
      <c r="PK375" s="1068" t="s">
        <v>300</v>
      </c>
      <c r="PL375" s="1070" t="s">
        <v>301</v>
      </c>
      <c r="PM375" s="1068" t="s">
        <v>302</v>
      </c>
      <c r="PN375" s="1068" t="s">
        <v>303</v>
      </c>
      <c r="PO375" s="1068" t="s">
        <v>304</v>
      </c>
      <c r="PP375" s="1068" t="s">
        <v>305</v>
      </c>
      <c r="PQ375" s="1068" t="s">
        <v>306</v>
      </c>
      <c r="PR375" s="1070" t="s">
        <v>307</v>
      </c>
      <c r="PS375" s="1068" t="s">
        <v>308</v>
      </c>
      <c r="PT375" s="1068" t="s">
        <v>309</v>
      </c>
      <c r="PU375" s="1068" t="s">
        <v>310</v>
      </c>
      <c r="PV375" s="1068" t="s">
        <v>311</v>
      </c>
      <c r="PW375" s="1068" t="s">
        <v>312</v>
      </c>
      <c r="PX375" s="1070" t="s">
        <v>313</v>
      </c>
      <c r="PY375" s="1068" t="s">
        <v>314</v>
      </c>
      <c r="PZ375" s="1068" t="s">
        <v>315</v>
      </c>
      <c r="QA375" s="1068" t="s">
        <v>316</v>
      </c>
      <c r="QB375" s="1068" t="s">
        <v>317</v>
      </c>
      <c r="QC375" s="1068" t="s">
        <v>318</v>
      </c>
      <c r="QD375" s="1069" t="s">
        <v>319</v>
      </c>
      <c r="QE375" s="1067" t="s">
        <v>320</v>
      </c>
      <c r="QF375" s="1068" t="s">
        <v>321</v>
      </c>
      <c r="QG375" s="1068" t="s">
        <v>322</v>
      </c>
      <c r="QH375" s="1068" t="s">
        <v>323</v>
      </c>
      <c r="QI375" s="1068" t="s">
        <v>324</v>
      </c>
      <c r="QJ375" s="1070" t="s">
        <v>325</v>
      </c>
      <c r="QK375" s="1068" t="s">
        <v>326</v>
      </c>
      <c r="QL375" s="1068" t="s">
        <v>327</v>
      </c>
      <c r="QM375" s="1068" t="s">
        <v>328</v>
      </c>
      <c r="QN375" s="1068" t="s">
        <v>329</v>
      </c>
      <c r="QO375" s="1068" t="s">
        <v>330</v>
      </c>
      <c r="QP375" s="1070" t="s">
        <v>331</v>
      </c>
      <c r="QQ375" s="1068" t="s">
        <v>332</v>
      </c>
      <c r="QR375" s="1068" t="s">
        <v>333</v>
      </c>
      <c r="QS375" s="1068" t="s">
        <v>334</v>
      </c>
      <c r="QT375" s="1068" t="s">
        <v>335</v>
      </c>
      <c r="QU375" s="1068" t="s">
        <v>336</v>
      </c>
      <c r="QV375" s="1070" t="s">
        <v>337</v>
      </c>
      <c r="QW375" s="1068" t="s">
        <v>338</v>
      </c>
      <c r="QX375" s="1068" t="s">
        <v>339</v>
      </c>
      <c r="QY375" s="1068" t="s">
        <v>340</v>
      </c>
      <c r="QZ375" s="1068" t="s">
        <v>341</v>
      </c>
      <c r="RA375" s="1068" t="s">
        <v>342</v>
      </c>
      <c r="RB375" s="1070" t="s">
        <v>343</v>
      </c>
      <c r="RC375" s="1068" t="s">
        <v>344</v>
      </c>
      <c r="RD375" s="1068" t="s">
        <v>345</v>
      </c>
      <c r="RE375" s="1068" t="s">
        <v>346</v>
      </c>
      <c r="RF375" s="1068" t="s">
        <v>347</v>
      </c>
      <c r="RG375" s="1068" t="s">
        <v>348</v>
      </c>
      <c r="RH375" s="1069" t="s">
        <v>349</v>
      </c>
      <c r="RI375" s="1067" t="s">
        <v>350</v>
      </c>
      <c r="RJ375" s="1068" t="s">
        <v>351</v>
      </c>
      <c r="RK375" s="1068" t="s">
        <v>352</v>
      </c>
      <c r="RL375" s="1068" t="s">
        <v>353</v>
      </c>
      <c r="RM375" s="1068" t="s">
        <v>354</v>
      </c>
      <c r="RN375" s="1070" t="s">
        <v>355</v>
      </c>
      <c r="RO375" s="1068" t="s">
        <v>356</v>
      </c>
      <c r="RP375" s="1068" t="s">
        <v>357</v>
      </c>
      <c r="RQ375" s="1068" t="s">
        <v>358</v>
      </c>
      <c r="RR375" s="1068" t="s">
        <v>359</v>
      </c>
      <c r="RS375" s="1068" t="s">
        <v>360</v>
      </c>
      <c r="RT375" s="1070" t="s">
        <v>361</v>
      </c>
      <c r="RU375" s="1068" t="s">
        <v>362</v>
      </c>
      <c r="RV375" s="1068" t="s">
        <v>363</v>
      </c>
      <c r="RW375" s="1068" t="s">
        <v>364</v>
      </c>
      <c r="RX375" s="1068" t="s">
        <v>365</v>
      </c>
      <c r="RY375" s="1068" t="s">
        <v>366</v>
      </c>
      <c r="RZ375" s="1070" t="s">
        <v>367</v>
      </c>
      <c r="SA375" s="1068" t="s">
        <v>368</v>
      </c>
      <c r="SB375" s="1068" t="s">
        <v>369</v>
      </c>
      <c r="SC375" s="1068" t="s">
        <v>370</v>
      </c>
      <c r="SD375" s="1068" t="s">
        <v>371</v>
      </c>
      <c r="SE375" s="1068" t="s">
        <v>372</v>
      </c>
      <c r="SF375" s="1070" t="s">
        <v>373</v>
      </c>
      <c r="SG375" s="1068" t="s">
        <v>374</v>
      </c>
      <c r="SH375" s="1068" t="s">
        <v>375</v>
      </c>
      <c r="SI375" s="1068" t="s">
        <v>376</v>
      </c>
      <c r="SJ375" s="1068" t="s">
        <v>377</v>
      </c>
      <c r="SK375" s="1068" t="s">
        <v>378</v>
      </c>
      <c r="SL375" s="1069" t="s">
        <v>379</v>
      </c>
      <c r="SM375" s="1067" t="s">
        <v>380</v>
      </c>
      <c r="SN375" s="1068" t="s">
        <v>381</v>
      </c>
      <c r="SO375" s="1068" t="s">
        <v>382</v>
      </c>
      <c r="SP375" s="1068" t="s">
        <v>383</v>
      </c>
      <c r="SQ375" s="1068" t="s">
        <v>384</v>
      </c>
      <c r="SR375" s="1070" t="s">
        <v>385</v>
      </c>
      <c r="SS375" s="1068" t="s">
        <v>386</v>
      </c>
      <c r="ST375" s="1068" t="s">
        <v>387</v>
      </c>
      <c r="SU375" s="1068" t="s">
        <v>388</v>
      </c>
      <c r="SV375" s="1068" t="s">
        <v>389</v>
      </c>
      <c r="SW375" s="1068" t="s">
        <v>390</v>
      </c>
      <c r="SX375" s="1070" t="s">
        <v>391</v>
      </c>
      <c r="SY375" s="1068" t="s">
        <v>392</v>
      </c>
      <c r="SZ375" s="1068" t="s">
        <v>393</v>
      </c>
      <c r="TA375" s="1068" t="s">
        <v>394</v>
      </c>
      <c r="TB375" s="1068" t="s">
        <v>395</v>
      </c>
      <c r="TC375" s="1068" t="s">
        <v>396</v>
      </c>
      <c r="TD375" s="1070" t="s">
        <v>397</v>
      </c>
      <c r="TE375" s="1068" t="s">
        <v>398</v>
      </c>
      <c r="TF375" s="1068" t="s">
        <v>399</v>
      </c>
      <c r="TG375" s="1068" t="s">
        <v>400</v>
      </c>
      <c r="TH375" s="1068" t="s">
        <v>401</v>
      </c>
      <c r="TI375" s="1068" t="s">
        <v>402</v>
      </c>
      <c r="TJ375" s="1070" t="s">
        <v>403</v>
      </c>
      <c r="TK375" s="1068" t="s">
        <v>404</v>
      </c>
      <c r="TL375" s="1068" t="s">
        <v>405</v>
      </c>
      <c r="TM375" s="1068" t="s">
        <v>406</v>
      </c>
      <c r="TN375" s="1068" t="s">
        <v>407</v>
      </c>
      <c r="TO375" s="1068" t="s">
        <v>408</v>
      </c>
      <c r="TP375" s="1069" t="s">
        <v>409</v>
      </c>
      <c r="TQ375" s="1067" t="s">
        <v>410</v>
      </c>
      <c r="TR375" s="1068" t="s">
        <v>411</v>
      </c>
      <c r="TS375" s="1068" t="s">
        <v>412</v>
      </c>
      <c r="TT375" s="1068" t="s">
        <v>413</v>
      </c>
      <c r="TU375" s="1068" t="s">
        <v>414</v>
      </c>
      <c r="TV375" s="1070" t="s">
        <v>415</v>
      </c>
      <c r="TW375" s="1068" t="s">
        <v>416</v>
      </c>
      <c r="TX375" s="1068" t="s">
        <v>417</v>
      </c>
      <c r="TY375" s="1068" t="s">
        <v>418</v>
      </c>
      <c r="TZ375" s="1068" t="s">
        <v>419</v>
      </c>
      <c r="UA375" s="1068" t="s">
        <v>420</v>
      </c>
      <c r="UB375" s="1070" t="s">
        <v>421</v>
      </c>
      <c r="UC375" s="1068" t="s">
        <v>422</v>
      </c>
      <c r="UD375" s="1068" t="s">
        <v>423</v>
      </c>
      <c r="UE375" s="1068" t="s">
        <v>424</v>
      </c>
      <c r="UF375" s="1068" t="s">
        <v>425</v>
      </c>
      <c r="UG375" s="1068" t="s">
        <v>426</v>
      </c>
      <c r="UH375" s="1070" t="s">
        <v>427</v>
      </c>
      <c r="UI375" s="1068" t="s">
        <v>428</v>
      </c>
      <c r="UJ375" s="1068" t="s">
        <v>429</v>
      </c>
      <c r="UK375" s="1068" t="s">
        <v>430</v>
      </c>
      <c r="UL375" s="1068" t="s">
        <v>431</v>
      </c>
      <c r="UM375" s="1068" t="s">
        <v>432</v>
      </c>
      <c r="UN375" s="1070" t="s">
        <v>433</v>
      </c>
      <c r="UO375" s="1068" t="s">
        <v>434</v>
      </c>
      <c r="UP375" s="1068" t="s">
        <v>435</v>
      </c>
      <c r="UQ375" s="1068" t="s">
        <v>436</v>
      </c>
      <c r="UR375" s="1068" t="s">
        <v>437</v>
      </c>
      <c r="US375" s="1068" t="s">
        <v>438</v>
      </c>
      <c r="UT375" s="1069" t="s">
        <v>439</v>
      </c>
      <c r="UU375" s="1067" t="s">
        <v>440</v>
      </c>
      <c r="UV375" s="1068" t="s">
        <v>441</v>
      </c>
      <c r="UW375" s="1068" t="s">
        <v>442</v>
      </c>
      <c r="UX375" s="1068" t="s">
        <v>443</v>
      </c>
      <c r="UY375" s="1068" t="s">
        <v>444</v>
      </c>
      <c r="UZ375" s="1070" t="s">
        <v>445</v>
      </c>
      <c r="VA375" s="1068" t="s">
        <v>446</v>
      </c>
      <c r="VB375" s="1068" t="s">
        <v>447</v>
      </c>
      <c r="VC375" s="1068" t="s">
        <v>448</v>
      </c>
      <c r="VD375" s="1068" t="s">
        <v>449</v>
      </c>
      <c r="VE375" s="1068" t="s">
        <v>450</v>
      </c>
      <c r="VF375" s="1070" t="s">
        <v>451</v>
      </c>
      <c r="VG375" s="1068" t="s">
        <v>452</v>
      </c>
      <c r="VH375" s="1068" t="s">
        <v>453</v>
      </c>
      <c r="VI375" s="1068" t="s">
        <v>454</v>
      </c>
      <c r="VJ375" s="1068" t="s">
        <v>455</v>
      </c>
      <c r="VK375" s="1068" t="s">
        <v>456</v>
      </c>
      <c r="VL375" s="1070" t="s">
        <v>457</v>
      </c>
      <c r="VM375" s="1068" t="s">
        <v>458</v>
      </c>
      <c r="VN375" s="1068" t="s">
        <v>459</v>
      </c>
      <c r="VO375" s="1068" t="s">
        <v>460</v>
      </c>
      <c r="VP375" s="1068" t="s">
        <v>461</v>
      </c>
      <c r="VQ375" s="1068" t="s">
        <v>462</v>
      </c>
      <c r="VR375" s="1070" t="s">
        <v>463</v>
      </c>
      <c r="VS375" s="1068" t="s">
        <v>464</v>
      </c>
      <c r="VT375" s="1068" t="s">
        <v>465</v>
      </c>
      <c r="VU375" s="1068" t="s">
        <v>466</v>
      </c>
      <c r="VV375" s="1068" t="s">
        <v>467</v>
      </c>
      <c r="VW375" s="1068" t="s">
        <v>468</v>
      </c>
      <c r="VX375" s="1070" t="s">
        <v>469</v>
      </c>
      <c r="VY375" s="1068" t="s">
        <v>470</v>
      </c>
      <c r="VZ375" s="1068" t="s">
        <v>471</v>
      </c>
      <c r="WA375" s="1068" t="s">
        <v>472</v>
      </c>
      <c r="WB375" s="1068" t="s">
        <v>473</v>
      </c>
      <c r="WC375" s="1068" t="s">
        <v>474</v>
      </c>
      <c r="WD375" s="1069" t="s">
        <v>475</v>
      </c>
      <c r="WE375" s="1253" t="s">
        <v>886</v>
      </c>
      <c r="WF375" s="1254" t="s">
        <v>1247</v>
      </c>
      <c r="WG375" s="1254" t="s">
        <v>1248</v>
      </c>
      <c r="WH375" s="1254" t="s">
        <v>1249</v>
      </c>
      <c r="WI375" s="1254" t="s">
        <v>1250</v>
      </c>
      <c r="WJ375" s="1254" t="s">
        <v>1251</v>
      </c>
      <c r="WK375" s="1255" t="s">
        <v>1816</v>
      </c>
      <c r="WL375" s="1254" t="s">
        <v>1817</v>
      </c>
      <c r="WM375" s="1254" t="s">
        <v>1818</v>
      </c>
      <c r="WN375" s="1256" t="s">
        <v>1819</v>
      </c>
      <c r="WO375" s="1254" t="s">
        <v>1820</v>
      </c>
      <c r="WP375" s="1254" t="s">
        <v>1821</v>
      </c>
      <c r="WQ375" s="1256" t="s">
        <v>1822</v>
      </c>
      <c r="WR375" s="1254" t="s">
        <v>1823</v>
      </c>
      <c r="WS375" s="1254" t="s">
        <v>1824</v>
      </c>
      <c r="WT375" s="1256" t="s">
        <v>1825</v>
      </c>
      <c r="WU375" s="1254" t="s">
        <v>1826</v>
      </c>
      <c r="WV375" s="1254" t="s">
        <v>1827</v>
      </c>
      <c r="WW375" s="1256" t="s">
        <v>1828</v>
      </c>
      <c r="WX375" s="1254" t="s">
        <v>1829</v>
      </c>
      <c r="WY375" s="1254" t="s">
        <v>1830</v>
      </c>
      <c r="WZ375" s="1256" t="s">
        <v>1831</v>
      </c>
      <c r="XA375" s="1254" t="s">
        <v>1832</v>
      </c>
      <c r="XB375" s="1254" t="s">
        <v>1833</v>
      </c>
      <c r="XC375" s="1256" t="s">
        <v>1834</v>
      </c>
      <c r="XD375" s="1254" t="s">
        <v>1835</v>
      </c>
      <c r="XE375" s="1254" t="s">
        <v>1836</v>
      </c>
      <c r="XF375" s="1256" t="s">
        <v>1837</v>
      </c>
      <c r="XG375" s="1254" t="s">
        <v>1838</v>
      </c>
      <c r="XH375" s="1254" t="s">
        <v>1839</v>
      </c>
      <c r="XI375" s="1256" t="s">
        <v>1840</v>
      </c>
      <c r="XJ375" s="1254" t="s">
        <v>1841</v>
      </c>
      <c r="XK375" s="1254" t="s">
        <v>1842</v>
      </c>
      <c r="XL375" s="1256" t="s">
        <v>1843</v>
      </c>
      <c r="XM375" s="1254" t="s">
        <v>1844</v>
      </c>
      <c r="XN375" s="1254" t="s">
        <v>1845</v>
      </c>
      <c r="XO375" s="1256" t="s">
        <v>1846</v>
      </c>
      <c r="XP375" s="1254" t="s">
        <v>1847</v>
      </c>
      <c r="XQ375" s="1254" t="s">
        <v>1848</v>
      </c>
      <c r="XR375" s="1254" t="s">
        <v>1849</v>
      </c>
      <c r="XS375" s="1253" t="s">
        <v>1850</v>
      </c>
      <c r="XT375" s="1254" t="s">
        <v>1851</v>
      </c>
      <c r="XU375" s="1254" t="s">
        <v>1852</v>
      </c>
      <c r="XV375" s="1254" t="s">
        <v>1853</v>
      </c>
      <c r="XW375" s="1255" t="s">
        <v>1854</v>
      </c>
      <c r="XX375" s="1257" t="s">
        <v>1855</v>
      </c>
      <c r="XY375" s="1253" t="s">
        <v>1856</v>
      </c>
      <c r="XZ375" s="1254" t="s">
        <v>1857</v>
      </c>
      <c r="YA375" s="1254" t="s">
        <v>1858</v>
      </c>
      <c r="YB375" s="1255" t="s">
        <v>1859</v>
      </c>
      <c r="YC375" s="1253" t="s">
        <v>1222</v>
      </c>
      <c r="YD375" s="1254" t="s">
        <v>1233</v>
      </c>
      <c r="YE375" s="1254" t="s">
        <v>1234</v>
      </c>
      <c r="YF375" s="1254" t="s">
        <v>1235</v>
      </c>
      <c r="YG375" s="1254" t="s">
        <v>1236</v>
      </c>
      <c r="YH375" s="1254" t="s">
        <v>1237</v>
      </c>
      <c r="YI375" s="1254" t="s">
        <v>1238</v>
      </c>
      <c r="YJ375" s="1255" t="s">
        <v>1239</v>
      </c>
      <c r="YK375" s="1253" t="s">
        <v>1265</v>
      </c>
      <c r="YL375" s="1254" t="s">
        <v>1266</v>
      </c>
      <c r="YM375" s="1254" t="s">
        <v>1267</v>
      </c>
      <c r="YN375" s="1254" t="s">
        <v>1268</v>
      </c>
      <c r="YO375" s="1254" t="s">
        <v>1269</v>
      </c>
      <c r="YP375" s="1254" t="s">
        <v>1270</v>
      </c>
      <c r="YQ375" s="1254" t="s">
        <v>1271</v>
      </c>
      <c r="YR375" s="1255" t="s">
        <v>1272</v>
      </c>
      <c r="YS375" s="1253" t="s">
        <v>1293</v>
      </c>
      <c r="YT375" s="1254" t="s">
        <v>1294</v>
      </c>
      <c r="YU375" s="1254" t="s">
        <v>1295</v>
      </c>
      <c r="YV375" s="1254" t="s">
        <v>1296</v>
      </c>
      <c r="YW375" s="1254" t="s">
        <v>1297</v>
      </c>
      <c r="YX375" s="1254" t="s">
        <v>1298</v>
      </c>
      <c r="YY375" s="1254" t="s">
        <v>1299</v>
      </c>
      <c r="YZ375" s="1255" t="s">
        <v>1300</v>
      </c>
      <c r="ZA375" s="1253" t="s">
        <v>1311</v>
      </c>
      <c r="ZB375" s="1254" t="s">
        <v>1320</v>
      </c>
      <c r="ZC375" s="1254" t="s">
        <v>1321</v>
      </c>
      <c r="ZD375" s="1254" t="s">
        <v>1322</v>
      </c>
      <c r="ZE375" s="1254" t="s">
        <v>1323</v>
      </c>
      <c r="ZF375" s="1254" t="s">
        <v>1324</v>
      </c>
      <c r="ZG375" s="1254" t="s">
        <v>1325</v>
      </c>
      <c r="ZH375" s="1255" t="s">
        <v>1326</v>
      </c>
      <c r="ZI375" s="1253" t="s">
        <v>1223</v>
      </c>
      <c r="ZJ375" s="1254" t="s">
        <v>1240</v>
      </c>
      <c r="ZK375" s="1254" t="s">
        <v>1241</v>
      </c>
      <c r="ZL375" s="1254" t="s">
        <v>1242</v>
      </c>
      <c r="ZM375" s="1254" t="s">
        <v>1243</v>
      </c>
      <c r="ZN375" s="1254" t="s">
        <v>1244</v>
      </c>
      <c r="ZO375" s="1254" t="s">
        <v>1245</v>
      </c>
      <c r="ZP375" s="1255" t="s">
        <v>1246</v>
      </c>
      <c r="ZQ375" s="1231" t="s">
        <v>1273</v>
      </c>
      <c r="ZR375" s="1143" t="s">
        <v>1274</v>
      </c>
      <c r="ZS375" s="1143" t="s">
        <v>1275</v>
      </c>
      <c r="ZT375" s="1143" t="s">
        <v>1276</v>
      </c>
      <c r="ZU375" s="1143" t="s">
        <v>1277</v>
      </c>
      <c r="ZV375" s="1143" t="s">
        <v>1278</v>
      </c>
      <c r="ZW375" s="1143" t="s">
        <v>1279</v>
      </c>
      <c r="ZX375" s="1232" t="s">
        <v>1280</v>
      </c>
      <c r="ZY375" s="1231" t="s">
        <v>1301</v>
      </c>
      <c r="ZZ375" s="1143" t="s">
        <v>1302</v>
      </c>
      <c r="AAA375" s="1143" t="s">
        <v>1303</v>
      </c>
      <c r="AAB375" s="1143" t="s">
        <v>1304</v>
      </c>
      <c r="AAC375" s="1143" t="s">
        <v>1305</v>
      </c>
      <c r="AAD375" s="1143" t="s">
        <v>1306</v>
      </c>
      <c r="AAE375" s="1143" t="s">
        <v>1307</v>
      </c>
      <c r="AAF375" s="1232" t="s">
        <v>1308</v>
      </c>
      <c r="AAG375" s="1231" t="s">
        <v>1312</v>
      </c>
      <c r="AAH375" s="1143" t="s">
        <v>1327</v>
      </c>
      <c r="AAI375" s="1143" t="s">
        <v>1328</v>
      </c>
      <c r="AAJ375" s="1143" t="s">
        <v>1329</v>
      </c>
      <c r="AAK375" s="1143" t="s">
        <v>1330</v>
      </c>
      <c r="AAL375" s="1143" t="s">
        <v>1331</v>
      </c>
      <c r="AAM375" s="1143" t="s">
        <v>1332</v>
      </c>
      <c r="AAN375" s="1232" t="s">
        <v>1333</v>
      </c>
      <c r="AAO375" s="1231" t="s">
        <v>1860</v>
      </c>
      <c r="AAP375" s="1143" t="s">
        <v>1861</v>
      </c>
      <c r="AAQ375" s="1143" t="s">
        <v>1862</v>
      </c>
      <c r="AAR375" s="1143" t="s">
        <v>1863</v>
      </c>
      <c r="AAS375" s="1143" t="s">
        <v>1864</v>
      </c>
      <c r="AAT375" s="1143" t="s">
        <v>1865</v>
      </c>
      <c r="AAU375" s="1143" t="s">
        <v>1866</v>
      </c>
      <c r="AAV375" s="1232" t="s">
        <v>1867</v>
      </c>
      <c r="AAW375" s="1231" t="s">
        <v>1868</v>
      </c>
      <c r="AAX375" s="1143" t="s">
        <v>1869</v>
      </c>
      <c r="AAY375" s="1143" t="s">
        <v>1870</v>
      </c>
      <c r="AAZ375" s="1143" t="s">
        <v>1871</v>
      </c>
      <c r="ABA375" s="1143" t="s">
        <v>1872</v>
      </c>
      <c r="ABB375" s="1143" t="s">
        <v>1873</v>
      </c>
      <c r="ABC375" s="1143" t="s">
        <v>1874</v>
      </c>
      <c r="ABD375" s="1232" t="s">
        <v>1875</v>
      </c>
      <c r="ABE375" s="1231" t="s">
        <v>1876</v>
      </c>
      <c r="ABF375" s="1143" t="s">
        <v>1877</v>
      </c>
      <c r="ABG375" s="1143" t="s">
        <v>1878</v>
      </c>
      <c r="ABH375" s="1143" t="s">
        <v>1879</v>
      </c>
      <c r="ABI375" s="1143" t="s">
        <v>1880</v>
      </c>
      <c r="ABJ375" s="1143" t="s">
        <v>1881</v>
      </c>
      <c r="ABK375" s="1143" t="s">
        <v>1882</v>
      </c>
      <c r="ABL375" s="1232" t="s">
        <v>1883</v>
      </c>
      <c r="ABM375" s="1231" t="s">
        <v>1884</v>
      </c>
      <c r="ABN375" s="1143" t="s">
        <v>1885</v>
      </c>
      <c r="ABO375" s="1143" t="s">
        <v>1886</v>
      </c>
      <c r="ABP375" s="1143" t="s">
        <v>1887</v>
      </c>
      <c r="ABQ375" s="1143" t="s">
        <v>1888</v>
      </c>
      <c r="ABR375" s="1143" t="s">
        <v>1889</v>
      </c>
      <c r="ABS375" s="1143" t="s">
        <v>1890</v>
      </c>
      <c r="ABT375" s="1232" t="s">
        <v>1891</v>
      </c>
      <c r="ABU375" s="1231" t="s">
        <v>1892</v>
      </c>
      <c r="ABV375" s="1143" t="s">
        <v>1893</v>
      </c>
      <c r="ABW375" s="1143" t="s">
        <v>1894</v>
      </c>
      <c r="ABX375" s="1143" t="s">
        <v>1895</v>
      </c>
      <c r="ABY375" s="1143" t="s">
        <v>1896</v>
      </c>
      <c r="ABZ375" s="1143" t="s">
        <v>1897</v>
      </c>
      <c r="ACA375" s="1143" t="s">
        <v>1898</v>
      </c>
      <c r="ACB375" s="1232" t="s">
        <v>1899</v>
      </c>
      <c r="ACC375" s="1231" t="s">
        <v>1900</v>
      </c>
      <c r="ACD375" s="1143" t="s">
        <v>1901</v>
      </c>
      <c r="ACE375" s="1143" t="s">
        <v>1902</v>
      </c>
      <c r="ACF375" s="1143" t="s">
        <v>1903</v>
      </c>
      <c r="ACG375" s="1143" t="s">
        <v>1904</v>
      </c>
      <c r="ACH375" s="1143" t="s">
        <v>1905</v>
      </c>
      <c r="ACI375" s="1143" t="s">
        <v>1906</v>
      </c>
      <c r="ACJ375" s="1232" t="s">
        <v>1907</v>
      </c>
      <c r="ACK375" s="1231" t="s">
        <v>1908</v>
      </c>
      <c r="ACL375" s="1143" t="s">
        <v>1909</v>
      </c>
      <c r="ACM375" s="1143" t="s">
        <v>1910</v>
      </c>
      <c r="ACN375" s="1143" t="s">
        <v>1911</v>
      </c>
      <c r="ACO375" s="1143" t="s">
        <v>1912</v>
      </c>
      <c r="ACP375" s="1143" t="s">
        <v>1913</v>
      </c>
      <c r="ACQ375" s="1143" t="s">
        <v>1914</v>
      </c>
      <c r="ACR375" s="1232" t="s">
        <v>1915</v>
      </c>
      <c r="ACS375" s="1231" t="s">
        <v>1916</v>
      </c>
      <c r="ACT375" s="1143" t="s">
        <v>1917</v>
      </c>
      <c r="ACU375" s="1143" t="s">
        <v>1918</v>
      </c>
      <c r="ACV375" s="1143" t="s">
        <v>1919</v>
      </c>
      <c r="ACW375" s="1143" t="s">
        <v>1920</v>
      </c>
      <c r="ACX375" s="1143" t="s">
        <v>1921</v>
      </c>
      <c r="ACY375" s="1143" t="s">
        <v>1922</v>
      </c>
      <c r="ACZ375" s="1232" t="s">
        <v>1923</v>
      </c>
      <c r="ADA375" s="1231" t="s">
        <v>1924</v>
      </c>
      <c r="ADB375" s="1143" t="s">
        <v>1925</v>
      </c>
      <c r="ADC375" s="1143" t="s">
        <v>1926</v>
      </c>
      <c r="ADD375" s="1143" t="s">
        <v>1927</v>
      </c>
      <c r="ADE375" s="1143" t="s">
        <v>1928</v>
      </c>
      <c r="ADF375" s="1143" t="s">
        <v>1929</v>
      </c>
      <c r="ADG375" s="1143" t="s">
        <v>1930</v>
      </c>
      <c r="ADH375" s="1232" t="s">
        <v>1931</v>
      </c>
      <c r="ADI375" s="1231" t="s">
        <v>1932</v>
      </c>
      <c r="ADJ375" s="1143" t="s">
        <v>1933</v>
      </c>
      <c r="ADK375" s="1143" t="s">
        <v>1934</v>
      </c>
      <c r="ADL375" s="1143" t="s">
        <v>1935</v>
      </c>
      <c r="ADM375" s="1143" t="s">
        <v>1936</v>
      </c>
      <c r="ADN375" s="1143" t="s">
        <v>1937</v>
      </c>
      <c r="ADO375" s="1143" t="s">
        <v>1938</v>
      </c>
      <c r="ADP375" s="1232" t="s">
        <v>1939</v>
      </c>
      <c r="ADQ375" s="1231" t="s">
        <v>1940</v>
      </c>
      <c r="ADR375" s="1143" t="s">
        <v>1941</v>
      </c>
      <c r="ADS375" s="1143" t="s">
        <v>1942</v>
      </c>
      <c r="ADT375" s="1143" t="s">
        <v>1943</v>
      </c>
      <c r="ADU375" s="1143" t="s">
        <v>1944</v>
      </c>
      <c r="ADV375" s="1143" t="s">
        <v>1945</v>
      </c>
      <c r="ADW375" s="1143" t="s">
        <v>1946</v>
      </c>
      <c r="ADX375" s="1232" t="s">
        <v>1947</v>
      </c>
      <c r="ADY375" s="1231" t="s">
        <v>1948</v>
      </c>
      <c r="ADZ375" s="1143" t="s">
        <v>1949</v>
      </c>
      <c r="AEA375" s="1143" t="s">
        <v>1950</v>
      </c>
      <c r="AEB375" s="1143" t="s">
        <v>1951</v>
      </c>
      <c r="AEC375" s="1143" t="s">
        <v>1952</v>
      </c>
      <c r="AED375" s="1143" t="s">
        <v>1953</v>
      </c>
      <c r="AEE375" s="1143" t="s">
        <v>1954</v>
      </c>
      <c r="AEF375" s="1232" t="s">
        <v>1955</v>
      </c>
      <c r="AEG375" s="1231" t="s">
        <v>1956</v>
      </c>
      <c r="AEH375" s="1143" t="s">
        <v>1957</v>
      </c>
      <c r="AEI375" s="1143" t="s">
        <v>1958</v>
      </c>
      <c r="AEJ375" s="1143" t="s">
        <v>1959</v>
      </c>
      <c r="AEK375" s="1143" t="s">
        <v>1960</v>
      </c>
      <c r="AEL375" s="1143" t="s">
        <v>1961</v>
      </c>
      <c r="AEM375" s="1143" t="s">
        <v>1962</v>
      </c>
      <c r="AEN375" s="1232" t="s">
        <v>1963</v>
      </c>
      <c r="AEO375" s="1231" t="s">
        <v>1964</v>
      </c>
      <c r="AEP375" s="1143" t="s">
        <v>1965</v>
      </c>
      <c r="AEQ375" s="1143" t="s">
        <v>1966</v>
      </c>
      <c r="AER375" s="1143" t="s">
        <v>1967</v>
      </c>
      <c r="AES375" s="1143" t="s">
        <v>1968</v>
      </c>
      <c r="AET375" s="1143" t="s">
        <v>1969</v>
      </c>
      <c r="AEU375" s="1143" t="s">
        <v>1970</v>
      </c>
      <c r="AEV375" s="1232" t="s">
        <v>1971</v>
      </c>
      <c r="AEW375" s="1231" t="s">
        <v>1972</v>
      </c>
      <c r="AEX375" s="1143" t="s">
        <v>1973</v>
      </c>
      <c r="AEY375" s="1143" t="s">
        <v>1974</v>
      </c>
      <c r="AEZ375" s="1143" t="s">
        <v>1975</v>
      </c>
      <c r="AFA375" s="1143" t="s">
        <v>1976</v>
      </c>
      <c r="AFB375" s="1143" t="s">
        <v>1977</v>
      </c>
      <c r="AFC375" s="1143" t="s">
        <v>1978</v>
      </c>
      <c r="AFD375" s="1232" t="s">
        <v>1979</v>
      </c>
      <c r="AFE375" s="1231" t="s">
        <v>1980</v>
      </c>
      <c r="AFF375" s="1143" t="s">
        <v>1981</v>
      </c>
      <c r="AFG375" s="1143" t="s">
        <v>1982</v>
      </c>
      <c r="AFH375" s="1143" t="s">
        <v>1983</v>
      </c>
      <c r="AFI375" s="1143" t="s">
        <v>1984</v>
      </c>
      <c r="AFJ375" s="1143" t="s">
        <v>1985</v>
      </c>
      <c r="AFK375" s="1143" t="s">
        <v>1986</v>
      </c>
      <c r="AFL375" s="1232" t="s">
        <v>1987</v>
      </c>
      <c r="AFM375" s="1143" t="s">
        <v>1988</v>
      </c>
      <c r="AFN375" s="1143" t="s">
        <v>1989</v>
      </c>
      <c r="AFO375" s="1143" t="s">
        <v>1990</v>
      </c>
      <c r="AFP375" s="1143" t="s">
        <v>1991</v>
      </c>
      <c r="AFQ375" s="1143" t="s">
        <v>1992</v>
      </c>
      <c r="AFR375" s="1143" t="s">
        <v>1993</v>
      </c>
      <c r="AFS375" s="1143" t="s">
        <v>1994</v>
      </c>
      <c r="AFT375" s="1143" t="s">
        <v>1995</v>
      </c>
      <c r="AFU375" s="1231" t="s">
        <v>1996</v>
      </c>
      <c r="AFV375" s="1143" t="s">
        <v>1997</v>
      </c>
      <c r="AFW375" s="1143" t="s">
        <v>1998</v>
      </c>
      <c r="AFX375" s="1143" t="s">
        <v>1999</v>
      </c>
      <c r="AFY375" s="1143" t="s">
        <v>2000</v>
      </c>
      <c r="AFZ375" s="1143" t="s">
        <v>2001</v>
      </c>
      <c r="AGA375" s="1143" t="s">
        <v>2002</v>
      </c>
      <c r="AGB375" s="1232" t="s">
        <v>2003</v>
      </c>
      <c r="AGC375" s="1143" t="s">
        <v>2004</v>
      </c>
      <c r="AGD375" s="1143" t="s">
        <v>2005</v>
      </c>
      <c r="AGE375" s="1143" t="s">
        <v>2006</v>
      </c>
      <c r="AGF375" s="1143" t="s">
        <v>2007</v>
      </c>
      <c r="AGG375" s="1143" t="s">
        <v>2008</v>
      </c>
      <c r="AGH375" s="1143" t="s">
        <v>2009</v>
      </c>
      <c r="AGI375" s="1143" t="s">
        <v>2010</v>
      </c>
      <c r="AGJ375" s="1143" t="s">
        <v>2011</v>
      </c>
      <c r="AGK375" s="1231" t="s">
        <v>2012</v>
      </c>
      <c r="AGL375" s="1143" t="s">
        <v>2013</v>
      </c>
      <c r="AGM375" s="1143" t="s">
        <v>2014</v>
      </c>
      <c r="AGN375" s="1143" t="s">
        <v>2015</v>
      </c>
      <c r="AGO375" s="1143" t="s">
        <v>2016</v>
      </c>
      <c r="AGP375" s="1143" t="s">
        <v>2017</v>
      </c>
      <c r="AGQ375" s="1143" t="s">
        <v>2018</v>
      </c>
      <c r="AGR375" s="1232" t="s">
        <v>2019</v>
      </c>
      <c r="AGS375" s="1231" t="s">
        <v>1221</v>
      </c>
      <c r="AGT375" s="1143" t="s">
        <v>1226</v>
      </c>
      <c r="AGU375" s="1143" t="s">
        <v>1227</v>
      </c>
      <c r="AGV375" s="1143" t="s">
        <v>1228</v>
      </c>
      <c r="AGW375" s="1143" t="s">
        <v>1229</v>
      </c>
      <c r="AGX375" s="1143" t="s">
        <v>1230</v>
      </c>
      <c r="AGY375" s="1143" t="s">
        <v>1231</v>
      </c>
      <c r="AGZ375" s="1232" t="s">
        <v>1232</v>
      </c>
      <c r="AHA375" s="1231" t="s">
        <v>1257</v>
      </c>
      <c r="AHB375" s="1143" t="s">
        <v>1258</v>
      </c>
      <c r="AHC375" s="1143" t="s">
        <v>1259</v>
      </c>
      <c r="AHD375" s="1143" t="s">
        <v>1260</v>
      </c>
      <c r="AHE375" s="1143" t="s">
        <v>1261</v>
      </c>
      <c r="AHF375" s="1143" t="s">
        <v>1262</v>
      </c>
      <c r="AHG375" s="1143" t="s">
        <v>1263</v>
      </c>
      <c r="AHH375" s="1232" t="s">
        <v>1264</v>
      </c>
      <c r="AHI375" s="1231" t="s">
        <v>1285</v>
      </c>
      <c r="AHJ375" s="1143" t="s">
        <v>1286</v>
      </c>
      <c r="AHK375" s="1143" t="s">
        <v>1287</v>
      </c>
      <c r="AHL375" s="1143" t="s">
        <v>1288</v>
      </c>
      <c r="AHM375" s="1143" t="s">
        <v>1289</v>
      </c>
      <c r="AHN375" s="1143" t="s">
        <v>1290</v>
      </c>
      <c r="AHO375" s="1143" t="s">
        <v>1291</v>
      </c>
      <c r="AHP375" s="1232" t="s">
        <v>1292</v>
      </c>
      <c r="AHQ375" s="1231" t="s">
        <v>1310</v>
      </c>
      <c r="AHR375" s="1143" t="s">
        <v>1313</v>
      </c>
      <c r="AHS375" s="1143" t="s">
        <v>1314</v>
      </c>
      <c r="AHT375" s="1143" t="s">
        <v>1315</v>
      </c>
      <c r="AHU375" s="1143" t="s">
        <v>1316</v>
      </c>
      <c r="AHV375" s="1143" t="s">
        <v>1317</v>
      </c>
      <c r="AHW375" s="1143" t="s">
        <v>1318</v>
      </c>
      <c r="AHX375" s="1232" t="s">
        <v>1319</v>
      </c>
      <c r="AHY375" s="1231" t="s">
        <v>1396</v>
      </c>
      <c r="AHZ375" s="1143" t="s">
        <v>1397</v>
      </c>
      <c r="AIA375" s="1143" t="s">
        <v>1398</v>
      </c>
      <c r="AIB375" s="1143" t="s">
        <v>1399</v>
      </c>
      <c r="AIC375" s="1143" t="s">
        <v>1400</v>
      </c>
      <c r="AID375" s="1143" t="s">
        <v>1401</v>
      </c>
      <c r="AIE375" s="1143" t="s">
        <v>1402</v>
      </c>
      <c r="AIF375" s="1232" t="s">
        <v>1403</v>
      </c>
      <c r="AIG375" s="1231" t="s">
        <v>1409</v>
      </c>
      <c r="AIH375" s="1143" t="s">
        <v>1410</v>
      </c>
      <c r="AII375" s="1143" t="s">
        <v>1411</v>
      </c>
      <c r="AIJ375" s="1143" t="s">
        <v>1412</v>
      </c>
      <c r="AIK375" s="1143" t="s">
        <v>1413</v>
      </c>
      <c r="AIL375" s="1143" t="s">
        <v>1414</v>
      </c>
      <c r="AIM375" s="1143" t="s">
        <v>1415</v>
      </c>
      <c r="AIN375" s="1232" t="s">
        <v>1416</v>
      </c>
      <c r="AIO375" s="1231" t="s">
        <v>1417</v>
      </c>
      <c r="AIP375" s="1143" t="s">
        <v>1418</v>
      </c>
      <c r="AIQ375" s="1143" t="s">
        <v>1419</v>
      </c>
      <c r="AIR375" s="1143" t="s">
        <v>1420</v>
      </c>
      <c r="AIS375" s="1143" t="s">
        <v>1421</v>
      </c>
      <c r="AIT375" s="1143" t="s">
        <v>1422</v>
      </c>
      <c r="AIU375" s="1143" t="s">
        <v>1423</v>
      </c>
      <c r="AIV375" s="1232" t="s">
        <v>1424</v>
      </c>
      <c r="AIW375" s="1231" t="s">
        <v>1425</v>
      </c>
      <c r="AIX375" s="1143" t="s">
        <v>1426</v>
      </c>
      <c r="AIY375" s="1143" t="s">
        <v>1427</v>
      </c>
      <c r="AIZ375" s="1143" t="s">
        <v>1428</v>
      </c>
      <c r="AJA375" s="1143" t="s">
        <v>1429</v>
      </c>
      <c r="AJB375" s="1143" t="s">
        <v>1430</v>
      </c>
      <c r="AJC375" s="1143" t="s">
        <v>1431</v>
      </c>
      <c r="AJD375" s="1232" t="s">
        <v>1432</v>
      </c>
      <c r="AJE375" s="1231" t="s">
        <v>1433</v>
      </c>
      <c r="AJF375" s="1143" t="s">
        <v>1434</v>
      </c>
      <c r="AJG375" s="1143" t="s">
        <v>1435</v>
      </c>
      <c r="AJH375" s="1143" t="s">
        <v>1436</v>
      </c>
      <c r="AJI375" s="1143" t="s">
        <v>1437</v>
      </c>
      <c r="AJJ375" s="1143" t="s">
        <v>1438</v>
      </c>
      <c r="AJK375" s="1143" t="s">
        <v>1439</v>
      </c>
      <c r="AJL375" s="1232" t="s">
        <v>1440</v>
      </c>
      <c r="AJM375" s="1231" t="s">
        <v>1441</v>
      </c>
      <c r="AJN375" s="1143" t="s">
        <v>1442</v>
      </c>
      <c r="AJO375" s="1143" t="s">
        <v>1443</v>
      </c>
      <c r="AJP375" s="1143" t="s">
        <v>1444</v>
      </c>
      <c r="AJQ375" s="1143" t="s">
        <v>1445</v>
      </c>
      <c r="AJR375" s="1143" t="s">
        <v>1446</v>
      </c>
      <c r="AJS375" s="1143" t="s">
        <v>1447</v>
      </c>
      <c r="AJT375" s="1232" t="s">
        <v>1448</v>
      </c>
      <c r="AJU375" s="1231" t="s">
        <v>2020</v>
      </c>
      <c r="AJV375" s="1143" t="s">
        <v>2021</v>
      </c>
      <c r="AJW375" s="1143" t="s">
        <v>2022</v>
      </c>
      <c r="AJX375" s="1232" t="s">
        <v>2023</v>
      </c>
      <c r="AJY375" s="1231" t="s">
        <v>2024</v>
      </c>
      <c r="AJZ375" s="1143" t="s">
        <v>2025</v>
      </c>
      <c r="AKA375" s="1143" t="s">
        <v>2026</v>
      </c>
      <c r="AKB375" s="1143" t="s">
        <v>2027</v>
      </c>
      <c r="AKC375" s="1143" t="s">
        <v>2028</v>
      </c>
      <c r="AKD375" s="1232" t="s">
        <v>2029</v>
      </c>
      <c r="AKE375" s="1231" t="s">
        <v>2952</v>
      </c>
      <c r="AKF375" s="1143" t="s">
        <v>2953</v>
      </c>
      <c r="AKG375" s="1143" t="s">
        <v>2954</v>
      </c>
      <c r="AKH375" s="1143" t="s">
        <v>2955</v>
      </c>
      <c r="AKI375" s="1143" t="s">
        <v>2956</v>
      </c>
      <c r="AKJ375" s="1143" t="s">
        <v>2957</v>
      </c>
      <c r="AKK375" s="1143" t="s">
        <v>2958</v>
      </c>
      <c r="AKL375" s="1143" t="s">
        <v>2959</v>
      </c>
      <c r="AKM375" s="1231" t="s">
        <v>2960</v>
      </c>
      <c r="AKN375" s="1143" t="s">
        <v>2961</v>
      </c>
      <c r="AKO375" s="1143" t="s">
        <v>2962</v>
      </c>
      <c r="AKP375" s="1143" t="s">
        <v>2963</v>
      </c>
      <c r="AKQ375" s="1143" t="s">
        <v>2964</v>
      </c>
      <c r="AKR375" s="1143" t="s">
        <v>2965</v>
      </c>
      <c r="AKS375" s="1143" t="s">
        <v>2966</v>
      </c>
      <c r="AKT375" s="1232" t="s">
        <v>2967</v>
      </c>
      <c r="AKU375" s="1231" t="s">
        <v>2968</v>
      </c>
      <c r="AKV375" s="1143" t="s">
        <v>2969</v>
      </c>
      <c r="AKW375" s="1143" t="s">
        <v>2970</v>
      </c>
      <c r="AKX375" s="1143" t="s">
        <v>2971</v>
      </c>
      <c r="AKY375" s="1143" t="s">
        <v>2972</v>
      </c>
      <c r="AKZ375" s="1143" t="s">
        <v>2973</v>
      </c>
      <c r="ALA375" s="1143" t="s">
        <v>2974</v>
      </c>
      <c r="ALB375" s="1232" t="s">
        <v>2975</v>
      </c>
      <c r="ALC375" s="1231" t="s">
        <v>2976</v>
      </c>
      <c r="ALD375" s="1143" t="s">
        <v>2977</v>
      </c>
      <c r="ALE375" s="1143" t="s">
        <v>2978</v>
      </c>
      <c r="ALF375" s="1143" t="s">
        <v>2979</v>
      </c>
      <c r="ALG375" s="1143" t="s">
        <v>2980</v>
      </c>
      <c r="ALH375" s="1143" t="s">
        <v>2981</v>
      </c>
      <c r="ALI375" s="1143" t="s">
        <v>2982</v>
      </c>
      <c r="ALJ375" s="1232" t="s">
        <v>2983</v>
      </c>
      <c r="ALK375" s="1231" t="s">
        <v>2984</v>
      </c>
      <c r="ALL375" s="1143" t="s">
        <v>2985</v>
      </c>
      <c r="ALM375" s="1143" t="s">
        <v>2986</v>
      </c>
      <c r="ALN375" s="1143" t="s">
        <v>2987</v>
      </c>
      <c r="ALO375" s="1143" t="s">
        <v>2988</v>
      </c>
      <c r="ALP375" s="1143" t="s">
        <v>2989</v>
      </c>
      <c r="ALQ375" s="1143" t="s">
        <v>2990</v>
      </c>
      <c r="ALR375" s="1232" t="s">
        <v>2991</v>
      </c>
      <c r="ALS375" s="1231" t="s">
        <v>2992</v>
      </c>
      <c r="ALT375" s="1143" t="s">
        <v>2993</v>
      </c>
      <c r="ALU375" s="1143" t="s">
        <v>2994</v>
      </c>
      <c r="ALV375" s="1143" t="s">
        <v>2995</v>
      </c>
      <c r="ALW375" s="1143" t="s">
        <v>2996</v>
      </c>
      <c r="ALX375" s="1143" t="s">
        <v>2997</v>
      </c>
      <c r="ALY375" s="1143" t="s">
        <v>2998</v>
      </c>
      <c r="ALZ375" s="1232" t="s">
        <v>2999</v>
      </c>
    </row>
    <row r="376" spans="2:1014" s="1140" customFormat="1" ht="20.100000000000001" customHeight="1">
      <c r="B376" s="1323" t="str">
        <f>CONCATENATE(C2,"_T")</f>
        <v>London_T</v>
      </c>
      <c r="C376" s="445" t="str">
        <f>IF(C3="","",C3)</f>
        <v>QGasSP</v>
      </c>
      <c r="D376" s="445">
        <f>IF(C4="","",C4)</f>
        <v>2022</v>
      </c>
      <c r="E376" s="445">
        <f>IF(C6="","",C6)</f>
        <v>0</v>
      </c>
      <c r="F376" s="445">
        <f>SUM(D17:M17)/10</f>
        <v>-0.19999999999999998</v>
      </c>
      <c r="G376" s="445">
        <f>SUM(N17:W17)/10</f>
        <v>-0.39999999999999997</v>
      </c>
      <c r="H376" s="445">
        <f>SUM(X17:AG17)/10</f>
        <v>-0.39999999999999997</v>
      </c>
      <c r="I376" s="123">
        <f>C20</f>
        <v>348.18181818181819</v>
      </c>
      <c r="J376" s="445">
        <f>SUM(D22:M22)/10</f>
        <v>-4.7999999999999989</v>
      </c>
      <c r="K376" s="123">
        <f>SUM(N22:W22)/10</f>
        <v>-2.8000000000000003</v>
      </c>
      <c r="L376" s="123">
        <f>SUM(X22:AG22)/10</f>
        <v>-2.8000000000000003</v>
      </c>
      <c r="M376" s="123">
        <f>C25</f>
        <v>350</v>
      </c>
      <c r="N376" s="123">
        <f>SUM(D27:M27)/10</f>
        <v>0</v>
      </c>
      <c r="O376" s="123">
        <f>SUM(N27:W27)/10</f>
        <v>0</v>
      </c>
      <c r="P376" s="123">
        <f>SUM(X27:AG27)/10</f>
        <v>0</v>
      </c>
      <c r="Q376" s="123">
        <f>C31</f>
        <v>1216.230079338347</v>
      </c>
      <c r="R376" s="445">
        <f>C32</f>
        <v>12</v>
      </c>
      <c r="S376" s="445">
        <f>SUM(D34:L34)/10</f>
        <v>2.0700000000000003</v>
      </c>
      <c r="T376" s="445">
        <f>SUM(N34:W34)/10</f>
        <v>0.70000000000000007</v>
      </c>
      <c r="U376" s="445">
        <f>SUM(X34:AG34)/10</f>
        <v>0.70000000000000007</v>
      </c>
      <c r="V376" s="123">
        <f>D38</f>
        <v>0.4</v>
      </c>
      <c r="W376" s="123">
        <f>D39</f>
        <v>0</v>
      </c>
      <c r="X376" s="123">
        <f>D40</f>
        <v>94.5</v>
      </c>
      <c r="Y376" s="123">
        <f>D41</f>
        <v>2.5</v>
      </c>
      <c r="Z376" s="123">
        <f>D42</f>
        <v>0.5</v>
      </c>
      <c r="AA376" s="1140">
        <v>1</v>
      </c>
      <c r="AB376" s="1140">
        <v>1</v>
      </c>
      <c r="AC376" s="1140">
        <v>1</v>
      </c>
      <c r="AD376" s="1140">
        <v>1</v>
      </c>
      <c r="AE376" s="1140">
        <v>1</v>
      </c>
      <c r="AF376" s="445">
        <f>E38</f>
        <v>433.01922201480062</v>
      </c>
      <c r="AG376" s="445">
        <f>E39</f>
        <v>433.01922201480062</v>
      </c>
      <c r="AH376" s="445">
        <f>E40</f>
        <v>433.01922201480062</v>
      </c>
      <c r="AI376" s="445">
        <f>E41</f>
        <v>433.01922201480062</v>
      </c>
      <c r="AJ376" s="445">
        <f>E42</f>
        <v>433.01922201480062</v>
      </c>
      <c r="AK376" s="445">
        <f>F38</f>
        <v>261.91600618637949</v>
      </c>
      <c r="AL376" s="445">
        <f>F39</f>
        <v>261.91600618637949</v>
      </c>
      <c r="AM376" s="445">
        <f>F40</f>
        <v>261.91600618637949</v>
      </c>
      <c r="AN376" s="445">
        <f>F41</f>
        <v>261.91600618637949</v>
      </c>
      <c r="AO376" s="445">
        <f>F42</f>
        <v>261.91600618637949</v>
      </c>
      <c r="AP376" s="445">
        <f>H42</f>
        <v>0.1</v>
      </c>
      <c r="AQ376" s="445">
        <f t="shared" ref="AQ376:AV376" si="77">I42</f>
        <v>0.2</v>
      </c>
      <c r="AR376" s="445">
        <f t="shared" si="77"/>
        <v>0.4</v>
      </c>
      <c r="AS376" s="445">
        <f t="shared" si="77"/>
        <v>0.6</v>
      </c>
      <c r="AT376" s="445">
        <f t="shared" si="77"/>
        <v>0.9</v>
      </c>
      <c r="AU376" s="445">
        <f t="shared" si="77"/>
        <v>1.2</v>
      </c>
      <c r="AV376" s="445">
        <f t="shared" si="77"/>
        <v>1.4</v>
      </c>
      <c r="AW376" s="445">
        <f>C46</f>
        <v>0</v>
      </c>
      <c r="AX376" s="445">
        <f>C47</f>
        <v>0</v>
      </c>
      <c r="AY376" s="445">
        <f>C48</f>
        <v>0</v>
      </c>
      <c r="AZ376" s="445">
        <f>C49</f>
        <v>0</v>
      </c>
      <c r="BA376" s="445">
        <f>C50</f>
        <v>0</v>
      </c>
      <c r="BB376" s="115">
        <f>C53</f>
        <v>5412.7575023540339</v>
      </c>
      <c r="BC376" s="445">
        <f>C54</f>
        <v>1.95</v>
      </c>
      <c r="BD376" s="445"/>
      <c r="BE376" s="445"/>
      <c r="BF376" s="445"/>
      <c r="BG376" s="445"/>
      <c r="BH376" s="445"/>
      <c r="BI376" s="123">
        <f>D63</f>
        <v>2</v>
      </c>
      <c r="BJ376" s="123">
        <f>D64</f>
        <v>2</v>
      </c>
      <c r="BK376" s="123">
        <f>D65</f>
        <v>2</v>
      </c>
      <c r="BL376" s="123">
        <f>D66</f>
        <v>2</v>
      </c>
      <c r="BM376" s="123">
        <f>D67</f>
        <v>2</v>
      </c>
      <c r="BN376" s="123">
        <f>D58</f>
        <v>0</v>
      </c>
      <c r="BO376" s="123">
        <f>D69</f>
        <v>2</v>
      </c>
      <c r="BP376" s="123">
        <f>D70</f>
        <v>2</v>
      </c>
      <c r="BQ376" s="123">
        <f>D71</f>
        <v>2</v>
      </c>
      <c r="BR376" s="123">
        <f>D72</f>
        <v>2</v>
      </c>
      <c r="BS376" s="123">
        <f>D73</f>
        <v>2</v>
      </c>
      <c r="BT376" s="123">
        <f>D74</f>
        <v>2</v>
      </c>
      <c r="BU376" s="123">
        <f>D75</f>
        <v>2</v>
      </c>
      <c r="BV376" s="123">
        <f>D76</f>
        <v>2</v>
      </c>
      <c r="BW376" s="123">
        <f>D77</f>
        <v>2</v>
      </c>
      <c r="BX376" s="445">
        <f>E63</f>
        <v>261.13475999999997</v>
      </c>
      <c r="BY376" s="445">
        <f>E64</f>
        <v>261.13475999999997</v>
      </c>
      <c r="BZ376" s="445">
        <f>E65</f>
        <v>261.13475999999997</v>
      </c>
      <c r="CA376" s="445">
        <f>E66</f>
        <v>261.13475999999997</v>
      </c>
      <c r="CB376" s="445">
        <f>E67</f>
        <v>261.13475999999997</v>
      </c>
      <c r="CC376" s="445">
        <f>E68</f>
        <v>261.13475999999997</v>
      </c>
      <c r="CD376" s="445">
        <f>E69</f>
        <v>261.13475999999997</v>
      </c>
      <c r="CE376" s="445">
        <f>E70</f>
        <v>261.13475999999997</v>
      </c>
      <c r="CF376" s="445">
        <f>E71</f>
        <v>261.13475999999997</v>
      </c>
      <c r="CG376" s="445">
        <f>E72</f>
        <v>261.13475999999997</v>
      </c>
      <c r="CH376" s="445">
        <f>E73</f>
        <v>261.13475999999997</v>
      </c>
      <c r="CI376" s="445">
        <f>E74</f>
        <v>261.13475999999997</v>
      </c>
      <c r="CJ376" s="445">
        <f>E75</f>
        <v>261.13475999999997</v>
      </c>
      <c r="CK376" s="445">
        <f>E76</f>
        <v>261.13475999999997</v>
      </c>
      <c r="CL376" s="445">
        <f>E77</f>
        <v>261.13475999999997</v>
      </c>
      <c r="CM376" s="445">
        <f>F63</f>
        <v>0</v>
      </c>
      <c r="CN376" s="445">
        <f>F64</f>
        <v>0</v>
      </c>
      <c r="CO376" s="445">
        <f>F65</f>
        <v>0</v>
      </c>
      <c r="CP376" s="445">
        <f>F66</f>
        <v>0</v>
      </c>
      <c r="CQ376" s="445">
        <f>F67</f>
        <v>0</v>
      </c>
      <c r="CR376" s="445">
        <f>F68</f>
        <v>0</v>
      </c>
      <c r="CS376" s="445">
        <f>F69</f>
        <v>0</v>
      </c>
      <c r="CT376" s="445">
        <f>F70</f>
        <v>0</v>
      </c>
      <c r="CU376" s="445">
        <f>F71</f>
        <v>0</v>
      </c>
      <c r="CV376" s="445">
        <f>F72</f>
        <v>0</v>
      </c>
      <c r="CW376" s="445">
        <f>F73</f>
        <v>0</v>
      </c>
      <c r="CX376" s="445">
        <f>F74</f>
        <v>0</v>
      </c>
      <c r="CY376" s="445">
        <f>F75</f>
        <v>0</v>
      </c>
      <c r="CZ376" s="445">
        <f>F76</f>
        <v>0</v>
      </c>
      <c r="DA376" s="445">
        <f>F77</f>
        <v>0</v>
      </c>
      <c r="DB376" s="1140">
        <v>1</v>
      </c>
      <c r="DC376" s="1140">
        <v>1</v>
      </c>
      <c r="DD376" s="1140">
        <v>1</v>
      </c>
      <c r="DE376" s="1140">
        <v>1</v>
      </c>
      <c r="DF376" s="1140">
        <v>1</v>
      </c>
      <c r="DG376" s="445">
        <f>C81</f>
        <v>0</v>
      </c>
      <c r="DH376" s="445">
        <f>C82</f>
        <v>0</v>
      </c>
      <c r="DI376" s="445">
        <f>C83</f>
        <v>0</v>
      </c>
      <c r="DJ376" s="445">
        <f>C84</f>
        <v>0</v>
      </c>
      <c r="DK376" s="445">
        <f>C85</f>
        <v>0</v>
      </c>
      <c r="DL376" s="115">
        <f>C88</f>
        <v>100</v>
      </c>
      <c r="DM376" s="445">
        <f>C89</f>
        <v>18</v>
      </c>
      <c r="DN376" s="445">
        <f>C90</f>
        <v>0</v>
      </c>
      <c r="DO376" s="445"/>
      <c r="DP376" s="445"/>
      <c r="DQ376" s="445"/>
      <c r="DR376" s="445">
        <f>B96</f>
        <v>0</v>
      </c>
      <c r="DS376" s="445">
        <f>B97</f>
        <v>0</v>
      </c>
      <c r="DT376" s="445">
        <f>B98</f>
        <v>0</v>
      </c>
      <c r="DU376" s="445">
        <f>B99</f>
        <v>0</v>
      </c>
      <c r="DV376" s="445">
        <f>B100</f>
        <v>0</v>
      </c>
      <c r="DW376" s="445">
        <f>B101</f>
        <v>0</v>
      </c>
      <c r="DX376" s="445">
        <f>B102</f>
        <v>0</v>
      </c>
      <c r="DY376" s="445">
        <f>C96</f>
        <v>0</v>
      </c>
      <c r="DZ376" s="445">
        <f>C97</f>
        <v>0</v>
      </c>
      <c r="EA376" s="445">
        <f>C98</f>
        <v>0</v>
      </c>
      <c r="EB376" s="445">
        <f>C99</f>
        <v>0</v>
      </c>
      <c r="EC376" s="445">
        <f>C100</f>
        <v>0</v>
      </c>
      <c r="ED376" s="445">
        <f>C101</f>
        <v>0</v>
      </c>
      <c r="EE376" s="445">
        <f>C102</f>
        <v>0</v>
      </c>
      <c r="EF376" s="115">
        <f>C105</f>
        <v>100</v>
      </c>
      <c r="EG376" s="445">
        <f>C106</f>
        <v>18</v>
      </c>
      <c r="EH376" s="445">
        <f>C107</f>
        <v>0</v>
      </c>
      <c r="EI376" s="445"/>
      <c r="EJ376" s="445"/>
      <c r="EK376" s="445"/>
      <c r="EL376" s="445">
        <f>B113</f>
        <v>0</v>
      </c>
      <c r="EM376" s="445">
        <f>B114</f>
        <v>0</v>
      </c>
      <c r="EN376" s="445">
        <f>B115</f>
        <v>0</v>
      </c>
      <c r="EO376" s="445">
        <f>B116</f>
        <v>0</v>
      </c>
      <c r="EP376" s="445">
        <f>B117</f>
        <v>0</v>
      </c>
      <c r="EQ376" s="445">
        <f>B118</f>
        <v>0</v>
      </c>
      <c r="ER376" s="445">
        <f>B119</f>
        <v>0</v>
      </c>
      <c r="ES376" s="445">
        <f>B120</f>
        <v>0</v>
      </c>
      <c r="ET376" s="445">
        <f>B121</f>
        <v>0</v>
      </c>
      <c r="EU376" s="445">
        <f>B122</f>
        <v>0</v>
      </c>
      <c r="EV376" s="445">
        <f>B123</f>
        <v>0</v>
      </c>
      <c r="EW376" s="445">
        <f>B124</f>
        <v>0</v>
      </c>
      <c r="EX376" s="445">
        <f>B125</f>
        <v>0</v>
      </c>
      <c r="EY376" s="445">
        <f>B126</f>
        <v>0</v>
      </c>
      <c r="EZ376" s="445">
        <f>B127</f>
        <v>0</v>
      </c>
      <c r="FA376" s="445">
        <f>B128</f>
        <v>0</v>
      </c>
      <c r="FB376" s="445">
        <f>B129</f>
        <v>0</v>
      </c>
      <c r="FC376" s="445">
        <f>B130</f>
        <v>0</v>
      </c>
      <c r="FD376" s="445">
        <f>B131</f>
        <v>0</v>
      </c>
      <c r="FE376" s="445">
        <f>B132</f>
        <v>0</v>
      </c>
      <c r="FF376" s="445">
        <f>B133</f>
        <v>0</v>
      </c>
      <c r="FG376" s="445">
        <f>B134</f>
        <v>0</v>
      </c>
      <c r="FH376" s="445">
        <f>B135</f>
        <v>0</v>
      </c>
      <c r="FI376" s="445">
        <f>B136</f>
        <v>0</v>
      </c>
      <c r="FJ376" s="445">
        <f>B137</f>
        <v>0</v>
      </c>
      <c r="FK376" s="445">
        <f>B138</f>
        <v>0</v>
      </c>
      <c r="FL376" s="445">
        <f>B139</f>
        <v>0</v>
      </c>
      <c r="FM376" s="445">
        <f>B140</f>
        <v>0</v>
      </c>
      <c r="FN376" s="445">
        <f>B141</f>
        <v>0</v>
      </c>
      <c r="FO376" s="445">
        <f>B142</f>
        <v>0</v>
      </c>
      <c r="FP376" s="445">
        <f>B143</f>
        <v>0</v>
      </c>
      <c r="FQ376" s="445">
        <f>B144</f>
        <v>0</v>
      </c>
      <c r="FR376" s="445">
        <f>B145</f>
        <v>0</v>
      </c>
      <c r="FS376" s="445">
        <f>B146</f>
        <v>0</v>
      </c>
      <c r="FT376" s="445">
        <f>B147</f>
        <v>0</v>
      </c>
      <c r="FU376" s="445">
        <f>B148</f>
        <v>0</v>
      </c>
      <c r="FV376" s="445">
        <f>B149</f>
        <v>0</v>
      </c>
      <c r="FW376" s="445">
        <f>B150</f>
        <v>0</v>
      </c>
      <c r="FX376" s="445">
        <f>B151</f>
        <v>0</v>
      </c>
      <c r="FY376" s="445">
        <f>B152</f>
        <v>0</v>
      </c>
      <c r="FZ376" s="445">
        <f>B153</f>
        <v>0</v>
      </c>
      <c r="GA376" s="445">
        <f>B154</f>
        <v>0</v>
      </c>
      <c r="GB376" s="1444">
        <f>B155</f>
        <v>0</v>
      </c>
      <c r="GC376" s="1444">
        <f>B156</f>
        <v>0</v>
      </c>
      <c r="GD376" s="1444">
        <f>B157</f>
        <v>0</v>
      </c>
      <c r="GE376" s="1444">
        <f>B158</f>
        <v>0</v>
      </c>
      <c r="GF376" s="1444">
        <f>B159</f>
        <v>0</v>
      </c>
      <c r="GG376" s="1444">
        <f>B160</f>
        <v>0</v>
      </c>
      <c r="GH376" s="1444">
        <f>B161</f>
        <v>0</v>
      </c>
      <c r="GI376" s="1444">
        <f>B162</f>
        <v>0</v>
      </c>
      <c r="GJ376" s="1444">
        <f>B163</f>
        <v>0</v>
      </c>
      <c r="GK376" s="1444">
        <f>B164</f>
        <v>0</v>
      </c>
      <c r="GL376" s="1444">
        <f>B165</f>
        <v>0</v>
      </c>
      <c r="GM376" s="1444">
        <f>B166</f>
        <v>0</v>
      </c>
      <c r="GN376" s="1444">
        <f>B167</f>
        <v>0</v>
      </c>
      <c r="GO376" s="1444">
        <f>B168</f>
        <v>0</v>
      </c>
      <c r="GP376" s="1444">
        <f>B169</f>
        <v>0</v>
      </c>
      <c r="GQ376" s="1444">
        <f>B170</f>
        <v>0</v>
      </c>
      <c r="GR376" s="445">
        <f>C113</f>
        <v>0</v>
      </c>
      <c r="GS376" s="445">
        <f>C114</f>
        <v>0</v>
      </c>
      <c r="GT376" s="445">
        <f>C115</f>
        <v>0</v>
      </c>
      <c r="GU376" s="445">
        <f>C116</f>
        <v>0</v>
      </c>
      <c r="GV376" s="445">
        <f>C117</f>
        <v>0</v>
      </c>
      <c r="GW376" s="445">
        <f>C118</f>
        <v>0</v>
      </c>
      <c r="GX376" s="445">
        <f>C119</f>
        <v>0</v>
      </c>
      <c r="GY376" s="445">
        <f>C120</f>
        <v>0</v>
      </c>
      <c r="GZ376" s="445">
        <f>C121</f>
        <v>0</v>
      </c>
      <c r="HA376" s="445">
        <f>C122</f>
        <v>0</v>
      </c>
      <c r="HB376" s="445">
        <f>C123</f>
        <v>0</v>
      </c>
      <c r="HC376" s="445">
        <f>C124</f>
        <v>0</v>
      </c>
      <c r="HD376" s="445">
        <f>C125</f>
        <v>0</v>
      </c>
      <c r="HE376" s="445">
        <f>C126</f>
        <v>0</v>
      </c>
      <c r="HF376" s="445">
        <f>C127</f>
        <v>0</v>
      </c>
      <c r="HG376" s="445">
        <f>C128</f>
        <v>0</v>
      </c>
      <c r="HH376" s="445">
        <f>C129</f>
        <v>0</v>
      </c>
      <c r="HI376" s="445">
        <f>C130</f>
        <v>0</v>
      </c>
      <c r="HJ376" s="445">
        <f>C131</f>
        <v>0</v>
      </c>
      <c r="HK376" s="445">
        <f>C132</f>
        <v>0</v>
      </c>
      <c r="HL376" s="445">
        <f>C133</f>
        <v>0</v>
      </c>
      <c r="HM376" s="445">
        <f>C134</f>
        <v>0</v>
      </c>
      <c r="HN376" s="445">
        <f>C135</f>
        <v>0</v>
      </c>
      <c r="HO376" s="445">
        <f>C136</f>
        <v>0</v>
      </c>
      <c r="HP376" s="445">
        <f>C137</f>
        <v>0</v>
      </c>
      <c r="HQ376" s="445">
        <f>C138</f>
        <v>0</v>
      </c>
      <c r="HR376" s="445">
        <f>C139</f>
        <v>0</v>
      </c>
      <c r="HS376" s="445">
        <f>C140</f>
        <v>0</v>
      </c>
      <c r="HT376" s="445">
        <f>C141</f>
        <v>0</v>
      </c>
      <c r="HU376" s="445">
        <f>C142</f>
        <v>0</v>
      </c>
      <c r="HV376" s="445">
        <f>C143</f>
        <v>0</v>
      </c>
      <c r="HW376" s="445">
        <f>C144</f>
        <v>0</v>
      </c>
      <c r="HX376" s="445">
        <f>C145</f>
        <v>0</v>
      </c>
      <c r="HY376" s="445">
        <f>C146</f>
        <v>0</v>
      </c>
      <c r="HZ376" s="445">
        <f>C147</f>
        <v>0</v>
      </c>
      <c r="IA376" s="445">
        <f>C148</f>
        <v>0</v>
      </c>
      <c r="IB376" s="445">
        <f>C149</f>
        <v>0</v>
      </c>
      <c r="IC376" s="445">
        <f>C150</f>
        <v>0</v>
      </c>
      <c r="ID376" s="445">
        <f>C151</f>
        <v>0</v>
      </c>
      <c r="IE376" s="445">
        <f>C152</f>
        <v>0</v>
      </c>
      <c r="IF376" s="445">
        <f>C153</f>
        <v>0</v>
      </c>
      <c r="IG376" s="445">
        <f>C154</f>
        <v>0</v>
      </c>
      <c r="IH376" s="445">
        <f>C155</f>
        <v>0</v>
      </c>
      <c r="II376" s="445">
        <f>C156</f>
        <v>0</v>
      </c>
      <c r="IJ376" s="445">
        <f>C157</f>
        <v>0</v>
      </c>
      <c r="IK376" s="445">
        <f>C158</f>
        <v>0</v>
      </c>
      <c r="IL376" s="445">
        <f>C159</f>
        <v>0</v>
      </c>
      <c r="IM376" s="445">
        <f>C160</f>
        <v>0</v>
      </c>
      <c r="IN376" s="445">
        <f>C161</f>
        <v>0</v>
      </c>
      <c r="IO376" s="445">
        <f>C162</f>
        <v>0</v>
      </c>
      <c r="IP376" s="445">
        <f>C163</f>
        <v>0</v>
      </c>
      <c r="IQ376" s="445">
        <f>C164</f>
        <v>0</v>
      </c>
      <c r="IR376" s="445">
        <f>C165</f>
        <v>0</v>
      </c>
      <c r="IS376" s="445">
        <f>C166</f>
        <v>0</v>
      </c>
      <c r="IT376" s="445">
        <f>C167</f>
        <v>0</v>
      </c>
      <c r="IU376" s="445">
        <f>C168</f>
        <v>0</v>
      </c>
      <c r="IV376" s="445">
        <f>C169</f>
        <v>0</v>
      </c>
      <c r="IW376" s="445">
        <f>C170</f>
        <v>0</v>
      </c>
      <c r="IX376" s="115">
        <f>C173</f>
        <v>200</v>
      </c>
      <c r="IY376" s="445">
        <f>C174</f>
        <v>18</v>
      </c>
      <c r="IZ376" s="445">
        <f>C175</f>
        <v>0</v>
      </c>
      <c r="JA376" s="445">
        <f>C176</f>
        <v>0</v>
      </c>
      <c r="JB376" s="445">
        <f>C177</f>
        <v>0</v>
      </c>
      <c r="JC376" s="445"/>
      <c r="JD376" s="445"/>
      <c r="JE376" s="445"/>
      <c r="JF376" s="1140">
        <v>1</v>
      </c>
      <c r="JG376" s="1140">
        <v>1</v>
      </c>
      <c r="JH376" s="1140">
        <v>1</v>
      </c>
      <c r="JI376" s="1140">
        <v>1</v>
      </c>
      <c r="JJ376" s="1140">
        <v>1</v>
      </c>
      <c r="JK376" s="115">
        <f>C184</f>
        <v>300</v>
      </c>
      <c r="JL376" s="445">
        <f>C185</f>
        <v>0</v>
      </c>
      <c r="JM376" s="445">
        <f>C186</f>
        <v>0</v>
      </c>
      <c r="JN376" s="445">
        <f>C187</f>
        <v>0</v>
      </c>
      <c r="JO376" s="445"/>
      <c r="JP376" s="445"/>
      <c r="JQ376" s="445"/>
      <c r="JR376" s="1140">
        <v>1</v>
      </c>
      <c r="JS376" s="1140">
        <v>1</v>
      </c>
      <c r="JT376" s="1140">
        <v>1</v>
      </c>
      <c r="JU376" s="1140">
        <v>1</v>
      </c>
      <c r="JV376" s="1140">
        <v>1</v>
      </c>
      <c r="JW376" s="445">
        <f>C189</f>
        <v>0</v>
      </c>
      <c r="JX376" s="445">
        <f>C195</f>
        <v>0</v>
      </c>
      <c r="JY376" s="445"/>
      <c r="JZ376" s="445"/>
      <c r="KA376" s="445"/>
      <c r="KB376" s="445"/>
      <c r="KC376" s="1140">
        <v>1</v>
      </c>
      <c r="KD376" s="1140">
        <v>1</v>
      </c>
      <c r="KE376" s="1140">
        <v>1</v>
      </c>
      <c r="KF376" s="1140">
        <v>1</v>
      </c>
      <c r="KG376" s="1140">
        <v>1</v>
      </c>
      <c r="KH376" s="123">
        <f>D203</f>
        <v>0</v>
      </c>
      <c r="KI376" s="123">
        <f>D204</f>
        <v>94.5</v>
      </c>
      <c r="KJ376" s="123">
        <f>D205</f>
        <v>2.5</v>
      </c>
      <c r="KK376" s="123">
        <f>D206</f>
        <v>0.5</v>
      </c>
      <c r="KL376" s="123">
        <f>D207</f>
        <v>0.5</v>
      </c>
      <c r="KM376" s="123">
        <f>D208</f>
        <v>0.5</v>
      </c>
      <c r="KN376" s="123">
        <f>D209</f>
        <v>0.5</v>
      </c>
      <c r="KO376" s="123">
        <f>D210</f>
        <v>0.5</v>
      </c>
      <c r="KP376" s="445">
        <f>D211</f>
        <v>0</v>
      </c>
      <c r="KQ376" s="445">
        <f>E203</f>
        <v>0</v>
      </c>
      <c r="KR376" s="445">
        <f>E204</f>
        <v>0</v>
      </c>
      <c r="KS376" s="445">
        <f>E205</f>
        <v>0</v>
      </c>
      <c r="KT376" s="445">
        <f>E206</f>
        <v>0</v>
      </c>
      <c r="KU376" s="445">
        <f>E207</f>
        <v>0</v>
      </c>
      <c r="KV376" s="445">
        <f>E208</f>
        <v>0</v>
      </c>
      <c r="KW376" s="445">
        <f>E209</f>
        <v>0</v>
      </c>
      <c r="KX376" s="445">
        <f>E210</f>
        <v>0</v>
      </c>
      <c r="KY376" s="445">
        <f>E211</f>
        <v>0</v>
      </c>
      <c r="KZ376" s="445">
        <f>F203</f>
        <v>0</v>
      </c>
      <c r="LA376" s="445">
        <f>F204</f>
        <v>0</v>
      </c>
      <c r="LB376" s="445">
        <f>F205</f>
        <v>0</v>
      </c>
      <c r="LC376" s="445">
        <f>F206</f>
        <v>0</v>
      </c>
      <c r="LD376" s="445">
        <f>F207</f>
        <v>0</v>
      </c>
      <c r="LE376" s="445">
        <f>F208</f>
        <v>0</v>
      </c>
      <c r="LF376" s="445">
        <f>F209</f>
        <v>0</v>
      </c>
      <c r="LG376" s="445">
        <f>F210</f>
        <v>0</v>
      </c>
      <c r="LH376" s="445">
        <f>F211</f>
        <v>0</v>
      </c>
      <c r="LI376" s="445">
        <f>C215</f>
        <v>0</v>
      </c>
      <c r="LJ376" s="445">
        <f>C216</f>
        <v>0</v>
      </c>
      <c r="LK376" s="445">
        <f>C217</f>
        <v>0</v>
      </c>
      <c r="LL376" s="445">
        <f>C218</f>
        <v>0</v>
      </c>
      <c r="LM376" s="445">
        <f>C219</f>
        <v>0</v>
      </c>
      <c r="LN376" s="445">
        <f>C196</f>
        <v>0</v>
      </c>
      <c r="LO376" s="445">
        <f>C222</f>
        <v>0</v>
      </c>
      <c r="LP376" s="445"/>
      <c r="LQ376" s="445"/>
      <c r="LR376" s="445"/>
      <c r="LS376" s="445"/>
      <c r="LT376" s="1140">
        <v>1</v>
      </c>
      <c r="LU376" s="1140">
        <v>1</v>
      </c>
      <c r="LV376" s="1140">
        <v>1</v>
      </c>
      <c r="LW376" s="1140">
        <v>1</v>
      </c>
      <c r="LX376" s="1140">
        <v>1</v>
      </c>
      <c r="LY376" s="445">
        <f>C224</f>
        <v>0</v>
      </c>
      <c r="LZ376" s="1394"/>
      <c r="MA376" s="1394">
        <v>0</v>
      </c>
      <c r="MB376" s="1140" t="s">
        <v>640</v>
      </c>
      <c r="MC376" s="1140" t="s">
        <v>640</v>
      </c>
      <c r="MD376" s="1140" t="s">
        <v>640</v>
      </c>
      <c r="ME376" s="1140" t="s">
        <v>640</v>
      </c>
      <c r="MF376" s="1140" t="s">
        <v>640</v>
      </c>
      <c r="MG376" s="1140" t="s">
        <v>640</v>
      </c>
      <c r="MH376" s="1140" t="s">
        <v>640</v>
      </c>
      <c r="MI376" s="1140" t="s">
        <v>640</v>
      </c>
      <c r="MJ376" s="1140" t="s">
        <v>640</v>
      </c>
      <c r="MK376" s="1140" t="s">
        <v>640</v>
      </c>
      <c r="ML376" s="1140" t="s">
        <v>640</v>
      </c>
      <c r="MM376" s="1140" t="s">
        <v>640</v>
      </c>
      <c r="MN376" s="1140" t="s">
        <v>640</v>
      </c>
      <c r="MO376" s="1140" t="s">
        <v>640</v>
      </c>
      <c r="MP376" s="1140" t="s">
        <v>640</v>
      </c>
      <c r="MQ376" s="1140" t="s">
        <v>640</v>
      </c>
      <c r="MR376" s="1140" t="s">
        <v>640</v>
      </c>
      <c r="MS376" s="1140" t="s">
        <v>640</v>
      </c>
      <c r="MT376" s="1140" t="s">
        <v>640</v>
      </c>
      <c r="MU376" s="1140" t="s">
        <v>640</v>
      </c>
      <c r="MV376" s="445"/>
      <c r="MW376" s="445"/>
      <c r="MX376" s="445"/>
      <c r="MY376" s="133">
        <f>C240</f>
        <v>47000.43170107132</v>
      </c>
      <c r="MZ376" s="432">
        <f>AVERAGE(D243:M243)</f>
        <v>-5.6057976196632886E-2</v>
      </c>
      <c r="NA376" s="432">
        <f>AVERAGE(N243:W243)</f>
        <v>2.3169596365813168</v>
      </c>
      <c r="NB376" s="432">
        <f>AVERAGE(X243:AG243)</f>
        <v>2.3169596365813168</v>
      </c>
      <c r="NC376" s="133">
        <f>C241</f>
        <v>-111907.03951127999</v>
      </c>
      <c r="ND376" s="432"/>
      <c r="NE376" s="432"/>
      <c r="NF376" s="432"/>
      <c r="NG376" s="133">
        <f>C242</f>
        <v>0</v>
      </c>
      <c r="NH376" s="432"/>
      <c r="NI376" s="432"/>
      <c r="NJ376" s="432"/>
      <c r="NK376" s="133">
        <f>C239</f>
        <v>24937.229909639544</v>
      </c>
      <c r="NL376" s="432"/>
      <c r="NM376" s="432"/>
      <c r="NN376" s="432"/>
      <c r="NO376" s="133">
        <f>E240</f>
        <v>46903.788460051932</v>
      </c>
      <c r="NP376" s="432"/>
      <c r="NQ376" s="432"/>
      <c r="NR376" s="432"/>
      <c r="NS376" s="133">
        <f>C241</f>
        <v>-111907.03951127999</v>
      </c>
      <c r="NT376" s="432"/>
      <c r="NU376" s="432"/>
      <c r="NV376" s="432"/>
      <c r="NW376" s="1071">
        <f t="shared" ref="NW376:OB376" si="78">C257</f>
        <v>1.5231330000000001</v>
      </c>
      <c r="NX376" s="1071">
        <f t="shared" si="78"/>
        <v>0</v>
      </c>
      <c r="NY376" s="1071">
        <f t="shared" si="78"/>
        <v>0</v>
      </c>
      <c r="NZ376" s="1071">
        <f t="shared" si="78"/>
        <v>0.41499999999999998</v>
      </c>
      <c r="OA376" s="1071">
        <f t="shared" si="78"/>
        <v>1.758</v>
      </c>
      <c r="OB376" s="1071">
        <f t="shared" si="78"/>
        <v>0</v>
      </c>
      <c r="OC376" s="1071">
        <f t="shared" ref="OC376:OH376" si="79">C258</f>
        <v>-84.37</v>
      </c>
      <c r="OD376" s="1071">
        <f t="shared" si="79"/>
        <v>-16.87</v>
      </c>
      <c r="OE376" s="1071">
        <f t="shared" si="79"/>
        <v>-6.1579439252340003E-2</v>
      </c>
      <c r="OF376" s="1071">
        <f t="shared" si="79"/>
        <v>0</v>
      </c>
      <c r="OG376" s="1071">
        <f t="shared" si="79"/>
        <v>-1.446</v>
      </c>
      <c r="OH376" s="1071">
        <f t="shared" si="79"/>
        <v>0</v>
      </c>
      <c r="OI376" s="1071">
        <f t="shared" ref="OI376:ON376" si="80">C259</f>
        <v>-9.4603761378899993E-3</v>
      </c>
      <c r="OJ376" s="1071">
        <f t="shared" si="80"/>
        <v>0</v>
      </c>
      <c r="OK376" s="1071">
        <f t="shared" si="80"/>
        <v>0</v>
      </c>
      <c r="OL376" s="1071">
        <f t="shared" si="80"/>
        <v>0</v>
      </c>
      <c r="OM376" s="1071">
        <f t="shared" si="80"/>
        <v>-0.74199999999999999</v>
      </c>
      <c r="ON376" s="1071">
        <f t="shared" si="80"/>
        <v>0</v>
      </c>
      <c r="OO376" s="1071">
        <f t="shared" ref="OO376:OT376" si="81">C260</f>
        <v>0</v>
      </c>
      <c r="OP376" s="1071">
        <f t="shared" si="81"/>
        <v>0</v>
      </c>
      <c r="OQ376" s="1071">
        <f t="shared" si="81"/>
        <v>0</v>
      </c>
      <c r="OR376" s="1071">
        <f t="shared" si="81"/>
        <v>0</v>
      </c>
      <c r="OS376" s="1071">
        <f t="shared" si="81"/>
        <v>0</v>
      </c>
      <c r="OT376" s="1071">
        <f t="shared" si="81"/>
        <v>0</v>
      </c>
      <c r="OU376" s="1071">
        <f t="shared" ref="OU376:OZ376" si="82">C261</f>
        <v>0</v>
      </c>
      <c r="OV376" s="1071">
        <f t="shared" si="82"/>
        <v>0</v>
      </c>
      <c r="OW376" s="1071">
        <f t="shared" si="82"/>
        <v>0</v>
      </c>
      <c r="OX376" s="1071">
        <f t="shared" si="82"/>
        <v>0</v>
      </c>
      <c r="OY376" s="1071">
        <f t="shared" si="82"/>
        <v>0</v>
      </c>
      <c r="OZ376" s="1071">
        <f t="shared" si="82"/>
        <v>0</v>
      </c>
      <c r="PA376" s="1071">
        <f t="shared" ref="PA376:PF376" si="83">C262</f>
        <v>0</v>
      </c>
      <c r="PB376" s="1071">
        <f t="shared" si="83"/>
        <v>0</v>
      </c>
      <c r="PC376" s="1071">
        <f t="shared" si="83"/>
        <v>0</v>
      </c>
      <c r="PD376" s="1071">
        <f t="shared" si="83"/>
        <v>0</v>
      </c>
      <c r="PE376" s="1071">
        <f t="shared" si="83"/>
        <v>0.313</v>
      </c>
      <c r="PF376" s="1071">
        <f t="shared" si="83"/>
        <v>0</v>
      </c>
      <c r="PG376" s="1071">
        <f t="shared" ref="PG376:PL376" si="84">C263</f>
        <v>-84.37</v>
      </c>
      <c r="PH376" s="1071">
        <f t="shared" si="84"/>
        <v>-16.87</v>
      </c>
      <c r="PI376" s="1071">
        <f t="shared" si="84"/>
        <v>-0.24145736434109</v>
      </c>
      <c r="PJ376" s="1071">
        <f t="shared" si="84"/>
        <v>0</v>
      </c>
      <c r="PK376" s="1071">
        <f t="shared" si="84"/>
        <v>-0.70399999999999996</v>
      </c>
      <c r="PL376" s="1071">
        <f t="shared" si="84"/>
        <v>0</v>
      </c>
      <c r="PM376" s="1071">
        <f t="shared" ref="PM376:PR376" si="85">C264</f>
        <v>7.8175695100399997E-3</v>
      </c>
      <c r="PN376" s="1071">
        <f t="shared" si="85"/>
        <v>0</v>
      </c>
      <c r="PO376" s="1071">
        <f t="shared" si="85"/>
        <v>0</v>
      </c>
      <c r="PP376" s="1071">
        <f t="shared" si="85"/>
        <v>0</v>
      </c>
      <c r="PQ376" s="1071">
        <f t="shared" si="85"/>
        <v>0.74199999999999999</v>
      </c>
      <c r="PR376" s="1071">
        <f t="shared" si="85"/>
        <v>0</v>
      </c>
      <c r="PS376" s="1071">
        <f t="shared" ref="PS376:PX376" si="86">C265</f>
        <v>0</v>
      </c>
      <c r="PT376" s="1071">
        <f t="shared" si="86"/>
        <v>0</v>
      </c>
      <c r="PU376" s="1071">
        <f t="shared" si="86"/>
        <v>0</v>
      </c>
      <c r="PV376" s="1071">
        <f t="shared" si="86"/>
        <v>0</v>
      </c>
      <c r="PW376" s="1071">
        <f t="shared" si="86"/>
        <v>0</v>
      </c>
      <c r="PX376" s="1071">
        <f t="shared" si="86"/>
        <v>0</v>
      </c>
      <c r="PY376" s="1071">
        <f t="shared" ref="PY376:QD376" si="87">C266</f>
        <v>0</v>
      </c>
      <c r="PZ376" s="1071">
        <f t="shared" si="87"/>
        <v>0</v>
      </c>
      <c r="QA376" s="1071">
        <f t="shared" si="87"/>
        <v>0</v>
      </c>
      <c r="QB376" s="1071">
        <f t="shared" si="87"/>
        <v>0</v>
      </c>
      <c r="QC376" s="1071">
        <f t="shared" si="87"/>
        <v>0</v>
      </c>
      <c r="QD376" s="1071">
        <f t="shared" si="87"/>
        <v>0</v>
      </c>
      <c r="QE376" s="1071">
        <f t="shared" ref="QE376:QJ376" si="88">C267</f>
        <v>0</v>
      </c>
      <c r="QF376" s="1071">
        <f t="shared" si="88"/>
        <v>0</v>
      </c>
      <c r="QG376" s="1071">
        <f t="shared" si="88"/>
        <v>0</v>
      </c>
      <c r="QH376" s="1071">
        <f t="shared" si="88"/>
        <v>0</v>
      </c>
      <c r="QI376" s="1071">
        <f t="shared" si="88"/>
        <v>0</v>
      </c>
      <c r="QJ376" s="1071">
        <f t="shared" si="88"/>
        <v>0</v>
      </c>
      <c r="QK376" s="1071">
        <f t="shared" ref="QK376:QP376" si="89">C268</f>
        <v>0</v>
      </c>
      <c r="QL376" s="1071">
        <f t="shared" si="89"/>
        <v>0</v>
      </c>
      <c r="QM376" s="1071">
        <f t="shared" si="89"/>
        <v>0</v>
      </c>
      <c r="QN376" s="1071">
        <f t="shared" si="89"/>
        <v>0</v>
      </c>
      <c r="QO376" s="1071">
        <f t="shared" si="89"/>
        <v>0</v>
      </c>
      <c r="QP376" s="1071">
        <f t="shared" si="89"/>
        <v>0</v>
      </c>
      <c r="QQ376" s="1071">
        <f t="shared" ref="QQ376:QV376" si="90">C269</f>
        <v>0</v>
      </c>
      <c r="QR376" s="1071">
        <f t="shared" si="90"/>
        <v>0</v>
      </c>
      <c r="QS376" s="1071">
        <f t="shared" si="90"/>
        <v>0</v>
      </c>
      <c r="QT376" s="1071">
        <f t="shared" si="90"/>
        <v>0</v>
      </c>
      <c r="QU376" s="1071">
        <f t="shared" si="90"/>
        <v>0</v>
      </c>
      <c r="QV376" s="1071">
        <f t="shared" si="90"/>
        <v>0</v>
      </c>
      <c r="QW376" s="1071">
        <f t="shared" ref="QW376:RB376" si="91">C270</f>
        <v>0</v>
      </c>
      <c r="QX376" s="1071">
        <f t="shared" si="91"/>
        <v>0</v>
      </c>
      <c r="QY376" s="1071">
        <f t="shared" si="91"/>
        <v>0</v>
      </c>
      <c r="QZ376" s="1071">
        <f t="shared" si="91"/>
        <v>0</v>
      </c>
      <c r="RA376" s="1071">
        <f t="shared" si="91"/>
        <v>0</v>
      </c>
      <c r="RB376" s="1071">
        <f t="shared" si="91"/>
        <v>0</v>
      </c>
      <c r="RC376" s="1071">
        <f t="shared" ref="RC376:RH376" si="92">C271</f>
        <v>0</v>
      </c>
      <c r="RD376" s="1071">
        <f t="shared" si="92"/>
        <v>0</v>
      </c>
      <c r="RE376" s="1071">
        <f t="shared" si="92"/>
        <v>0</v>
      </c>
      <c r="RF376" s="1071">
        <f t="shared" si="92"/>
        <v>0</v>
      </c>
      <c r="RG376" s="1071">
        <f t="shared" si="92"/>
        <v>0</v>
      </c>
      <c r="RH376" s="1071">
        <f t="shared" si="92"/>
        <v>0</v>
      </c>
      <c r="RI376" s="1071">
        <f t="shared" ref="RI376:RN376" si="93">C272</f>
        <v>0</v>
      </c>
      <c r="RJ376" s="1071">
        <f t="shared" si="93"/>
        <v>0</v>
      </c>
      <c r="RK376" s="1071">
        <f t="shared" si="93"/>
        <v>0</v>
      </c>
      <c r="RL376" s="1071">
        <f t="shared" si="93"/>
        <v>0</v>
      </c>
      <c r="RM376" s="1071">
        <f t="shared" si="93"/>
        <v>0</v>
      </c>
      <c r="RN376" s="1071">
        <f t="shared" si="93"/>
        <v>0</v>
      </c>
      <c r="RO376" s="1071">
        <f t="shared" ref="RO376:RT376" si="94">C273</f>
        <v>-84.37</v>
      </c>
      <c r="RP376" s="1071">
        <f t="shared" si="94"/>
        <v>-16.87</v>
      </c>
      <c r="RQ376" s="1071">
        <f t="shared" si="94"/>
        <v>-0.45859979529171002</v>
      </c>
      <c r="RR376" s="1071">
        <f t="shared" si="94"/>
        <v>0</v>
      </c>
      <c r="RS376" s="1071">
        <f t="shared" si="94"/>
        <v>-1.758</v>
      </c>
      <c r="RT376" s="1071">
        <f t="shared" si="94"/>
        <v>0</v>
      </c>
      <c r="RU376" s="1071">
        <f t="shared" ref="RU376:RZ376" si="95">C274</f>
        <v>-0.20993225399012999</v>
      </c>
      <c r="RV376" s="1071">
        <f t="shared" si="95"/>
        <v>0</v>
      </c>
      <c r="RW376" s="1071">
        <f t="shared" si="95"/>
        <v>0</v>
      </c>
      <c r="RX376" s="1071">
        <f t="shared" si="95"/>
        <v>0</v>
      </c>
      <c r="RY376" s="1071">
        <f t="shared" si="95"/>
        <v>-0.313</v>
      </c>
      <c r="RZ376" s="1071">
        <f t="shared" si="95"/>
        <v>0</v>
      </c>
      <c r="SA376" s="1071">
        <f t="shared" ref="SA376:SF376" si="96">C275</f>
        <v>-4.7951309271049999E-2</v>
      </c>
      <c r="SB376" s="1071">
        <f t="shared" si="96"/>
        <v>0</v>
      </c>
      <c r="SC376" s="1071">
        <f t="shared" si="96"/>
        <v>0</v>
      </c>
      <c r="SD376" s="1071">
        <f t="shared" si="96"/>
        <v>0</v>
      </c>
      <c r="SE376" s="1071">
        <f t="shared" si="96"/>
        <v>-1.0549999999999999</v>
      </c>
      <c r="SF376" s="1071">
        <f t="shared" si="96"/>
        <v>0</v>
      </c>
      <c r="SG376" s="1071">
        <f t="shared" ref="SG376:SL376" si="97">C276</f>
        <v>0</v>
      </c>
      <c r="SH376" s="1071">
        <f t="shared" si="97"/>
        <v>0</v>
      </c>
      <c r="SI376" s="1071">
        <f t="shared" si="97"/>
        <v>0</v>
      </c>
      <c r="SJ376" s="1071">
        <f t="shared" si="97"/>
        <v>0</v>
      </c>
      <c r="SK376" s="1071">
        <f t="shared" si="97"/>
        <v>0</v>
      </c>
      <c r="SL376" s="1071">
        <f t="shared" si="97"/>
        <v>0</v>
      </c>
      <c r="SM376" s="1071">
        <f t="shared" ref="SM376:SR376" si="98">C277</f>
        <v>0</v>
      </c>
      <c r="SN376" s="1071">
        <f t="shared" si="98"/>
        <v>0</v>
      </c>
      <c r="SO376" s="1071">
        <f t="shared" si="98"/>
        <v>0</v>
      </c>
      <c r="SP376" s="1071">
        <f t="shared" si="98"/>
        <v>0</v>
      </c>
      <c r="SQ376" s="1071">
        <f t="shared" si="98"/>
        <v>0</v>
      </c>
      <c r="SR376" s="1071">
        <f t="shared" si="98"/>
        <v>0</v>
      </c>
      <c r="SS376" s="1071">
        <f t="shared" ref="SS376:SX376" si="99">C278</f>
        <v>-84.37</v>
      </c>
      <c r="ST376" s="1071">
        <f t="shared" si="99"/>
        <v>-16.87</v>
      </c>
      <c r="SU376" s="1071">
        <f t="shared" si="99"/>
        <v>-0.20018962807752999</v>
      </c>
      <c r="SV376" s="1071">
        <f t="shared" si="99"/>
        <v>0</v>
      </c>
      <c r="SW376" s="1071">
        <f t="shared" si="99"/>
        <v>-1.758</v>
      </c>
      <c r="SX376" s="1071">
        <f t="shared" si="99"/>
        <v>0</v>
      </c>
      <c r="SY376" s="1071">
        <f t="shared" ref="SY376:TD376" si="100">C279</f>
        <v>-0.13159524712425999</v>
      </c>
      <c r="SZ376" s="1071">
        <f t="shared" si="100"/>
        <v>0</v>
      </c>
      <c r="TA376" s="1071">
        <f t="shared" si="100"/>
        <v>0</v>
      </c>
      <c r="TB376" s="1071">
        <f t="shared" si="100"/>
        <v>0</v>
      </c>
      <c r="TC376" s="1071">
        <f t="shared" si="100"/>
        <v>-0.313</v>
      </c>
      <c r="TD376" s="1071">
        <f t="shared" si="100"/>
        <v>0</v>
      </c>
      <c r="TE376" s="1071">
        <f t="shared" ref="TE376:TJ376" si="101">C280</f>
        <v>0</v>
      </c>
      <c r="TF376" s="1071">
        <f t="shared" si="101"/>
        <v>0</v>
      </c>
      <c r="TG376" s="1071">
        <f t="shared" si="101"/>
        <v>0</v>
      </c>
      <c r="TH376" s="1071">
        <f t="shared" si="101"/>
        <v>0</v>
      </c>
      <c r="TI376" s="1071">
        <f t="shared" si="101"/>
        <v>-1.0549999999999999</v>
      </c>
      <c r="TJ376" s="1071">
        <f t="shared" si="101"/>
        <v>0</v>
      </c>
      <c r="TK376" s="1071">
        <f t="shared" ref="TK376:TP376" si="102">C281</f>
        <v>0</v>
      </c>
      <c r="TL376" s="1071">
        <f t="shared" si="102"/>
        <v>0</v>
      </c>
      <c r="TM376" s="1071">
        <f t="shared" si="102"/>
        <v>0</v>
      </c>
      <c r="TN376" s="1071">
        <f t="shared" si="102"/>
        <v>0</v>
      </c>
      <c r="TO376" s="1071">
        <f t="shared" si="102"/>
        <v>0</v>
      </c>
      <c r="TP376" s="1071">
        <f t="shared" si="102"/>
        <v>0</v>
      </c>
      <c r="TQ376" s="1071">
        <f t="shared" ref="TQ376:TV376" si="103">C282</f>
        <v>0</v>
      </c>
      <c r="TR376" s="1071">
        <f t="shared" si="103"/>
        <v>0</v>
      </c>
      <c r="TS376" s="1071">
        <f t="shared" si="103"/>
        <v>0</v>
      </c>
      <c r="TT376" s="1071">
        <f t="shared" si="103"/>
        <v>0</v>
      </c>
      <c r="TU376" s="1071">
        <f t="shared" si="103"/>
        <v>0</v>
      </c>
      <c r="TV376" s="1071">
        <f t="shared" si="103"/>
        <v>0</v>
      </c>
      <c r="TW376" s="1071">
        <f t="shared" ref="TW376:UB376" si="104">C283</f>
        <v>0.60568332875727005</v>
      </c>
      <c r="TX376" s="1071">
        <f t="shared" si="104"/>
        <v>0</v>
      </c>
      <c r="TY376" s="1071">
        <f t="shared" si="104"/>
        <v>0</v>
      </c>
      <c r="TZ376" s="1071">
        <f t="shared" si="104"/>
        <v>0</v>
      </c>
      <c r="UA376" s="1071">
        <f t="shared" si="104"/>
        <v>0</v>
      </c>
      <c r="UB376" s="1071">
        <f t="shared" si="104"/>
        <v>0</v>
      </c>
      <c r="UC376" s="1071">
        <f t="shared" ref="UC376:UH376" si="105">C284</f>
        <v>0.20484022277927999</v>
      </c>
      <c r="UD376" s="1071">
        <f t="shared" si="105"/>
        <v>0</v>
      </c>
      <c r="UE376" s="1071">
        <f t="shared" si="105"/>
        <v>0</v>
      </c>
      <c r="UF376" s="1071">
        <f t="shared" si="105"/>
        <v>0</v>
      </c>
      <c r="UG376" s="1071">
        <f t="shared" si="105"/>
        <v>1.526051853429E-2</v>
      </c>
      <c r="UH376" s="1071">
        <f t="shared" si="105"/>
        <v>0</v>
      </c>
      <c r="UI376" s="1071">
        <f t="shared" ref="UI376:UN376" si="106">C285</f>
        <v>0</v>
      </c>
      <c r="UJ376" s="1071">
        <f t="shared" si="106"/>
        <v>0</v>
      </c>
      <c r="UK376" s="1071">
        <f t="shared" si="106"/>
        <v>0</v>
      </c>
      <c r="UL376" s="1071">
        <f t="shared" si="106"/>
        <v>0</v>
      </c>
      <c r="UM376" s="1071">
        <f t="shared" si="106"/>
        <v>0</v>
      </c>
      <c r="UN376" s="1071">
        <f t="shared" si="106"/>
        <v>0</v>
      </c>
      <c r="UO376" s="1071">
        <f t="shared" ref="UO376:UT376" si="107">C286</f>
        <v>0</v>
      </c>
      <c r="UP376" s="1071">
        <f t="shared" si="107"/>
        <v>0</v>
      </c>
      <c r="UQ376" s="1071">
        <f t="shared" si="107"/>
        <v>0</v>
      </c>
      <c r="UR376" s="1071">
        <f t="shared" si="107"/>
        <v>0</v>
      </c>
      <c r="US376" s="1071">
        <f t="shared" si="107"/>
        <v>0</v>
      </c>
      <c r="UT376" s="1071">
        <f t="shared" si="107"/>
        <v>0</v>
      </c>
      <c r="UU376" s="1071">
        <f t="shared" ref="UU376:UZ376" si="108">C287</f>
        <v>0</v>
      </c>
      <c r="UV376" s="1071">
        <f t="shared" si="108"/>
        <v>0</v>
      </c>
      <c r="UW376" s="1071">
        <f t="shared" si="108"/>
        <v>0</v>
      </c>
      <c r="UX376" s="1071">
        <f t="shared" si="108"/>
        <v>0</v>
      </c>
      <c r="UY376" s="1071">
        <f t="shared" si="108"/>
        <v>0</v>
      </c>
      <c r="UZ376" s="1071">
        <f t="shared" si="108"/>
        <v>0</v>
      </c>
      <c r="VA376" s="1071">
        <f t="shared" ref="VA376:VF376" si="109">C288</f>
        <v>0</v>
      </c>
      <c r="VB376" s="1071">
        <f t="shared" si="109"/>
        <v>0</v>
      </c>
      <c r="VC376" s="1071">
        <f t="shared" si="109"/>
        <v>0</v>
      </c>
      <c r="VD376" s="1071">
        <f t="shared" si="109"/>
        <v>0</v>
      </c>
      <c r="VE376" s="1071">
        <f t="shared" si="109"/>
        <v>0</v>
      </c>
      <c r="VF376" s="1071">
        <f t="shared" si="109"/>
        <v>0</v>
      </c>
      <c r="VG376" s="1071">
        <f t="shared" ref="VG376:VL376" si="110">C289</f>
        <v>0</v>
      </c>
      <c r="VH376" s="1071">
        <f t="shared" si="110"/>
        <v>0</v>
      </c>
      <c r="VI376" s="1071">
        <f t="shared" si="110"/>
        <v>0</v>
      </c>
      <c r="VJ376" s="1071">
        <f t="shared" si="110"/>
        <v>0</v>
      </c>
      <c r="VK376" s="1071">
        <f t="shared" si="110"/>
        <v>0</v>
      </c>
      <c r="VL376" s="1071">
        <f t="shared" si="110"/>
        <v>0</v>
      </c>
      <c r="VM376" s="1071">
        <f t="shared" ref="VM376:VR376" si="111">C290</f>
        <v>0</v>
      </c>
      <c r="VN376" s="1071">
        <f t="shared" si="111"/>
        <v>0</v>
      </c>
      <c r="VO376" s="1071">
        <f t="shared" si="111"/>
        <v>0</v>
      </c>
      <c r="VP376" s="1071">
        <f t="shared" si="111"/>
        <v>0</v>
      </c>
      <c r="VQ376" s="1071">
        <f t="shared" si="111"/>
        <v>0</v>
      </c>
      <c r="VR376" s="1071">
        <f t="shared" si="111"/>
        <v>0</v>
      </c>
      <c r="VS376" s="1071">
        <f t="shared" ref="VS376:VX376" si="112">C291</f>
        <v>0</v>
      </c>
      <c r="VT376" s="1071">
        <f t="shared" si="112"/>
        <v>0</v>
      </c>
      <c r="VU376" s="1071">
        <f t="shared" si="112"/>
        <v>0</v>
      </c>
      <c r="VV376" s="1071">
        <f t="shared" si="112"/>
        <v>0</v>
      </c>
      <c r="VW376" s="1071">
        <f t="shared" si="112"/>
        <v>0</v>
      </c>
      <c r="VX376" s="1071">
        <f t="shared" si="112"/>
        <v>0</v>
      </c>
      <c r="VY376" s="1071">
        <f t="shared" ref="VY376:WD376" si="113">C292</f>
        <v>0</v>
      </c>
      <c r="VZ376" s="1071">
        <f t="shared" si="113"/>
        <v>0</v>
      </c>
      <c r="WA376" s="1071">
        <f t="shared" si="113"/>
        <v>0</v>
      </c>
      <c r="WB376" s="1071">
        <f t="shared" si="113"/>
        <v>0</v>
      </c>
      <c r="WC376" s="1071">
        <f t="shared" si="113"/>
        <v>0</v>
      </c>
      <c r="WD376" s="1071">
        <f t="shared" si="113"/>
        <v>0</v>
      </c>
      <c r="WE376" s="445">
        <f>C310</f>
        <v>0</v>
      </c>
      <c r="WF376" s="445">
        <f>C311</f>
        <v>0</v>
      </c>
      <c r="WG376" s="445">
        <f>C312</f>
        <v>0</v>
      </c>
      <c r="WH376" s="445">
        <f>C313</f>
        <v>0</v>
      </c>
      <c r="WI376" s="445">
        <f>C314</f>
        <v>0</v>
      </c>
      <c r="WJ376" s="445">
        <f>C315</f>
        <v>0</v>
      </c>
      <c r="WK376" s="445">
        <f>C316</f>
        <v>0</v>
      </c>
      <c r="WL376" s="445">
        <f>C319</f>
        <v>0</v>
      </c>
      <c r="WM376" s="445">
        <f>D319</f>
        <v>0</v>
      </c>
      <c r="WN376" s="445">
        <f>E319</f>
        <v>0</v>
      </c>
      <c r="WO376" s="445">
        <f>C320</f>
        <v>0</v>
      </c>
      <c r="WP376" s="445">
        <f>D320</f>
        <v>0</v>
      </c>
      <c r="WQ376" s="445">
        <f>E320</f>
        <v>0</v>
      </c>
      <c r="WR376" s="445">
        <f>C321</f>
        <v>0</v>
      </c>
      <c r="WS376" s="445">
        <f>D321</f>
        <v>0</v>
      </c>
      <c r="WT376" s="445">
        <f>E321</f>
        <v>0</v>
      </c>
      <c r="WU376" s="445">
        <f>C322</f>
        <v>0</v>
      </c>
      <c r="WV376" s="445">
        <f>D322</f>
        <v>0</v>
      </c>
      <c r="WW376" s="445">
        <f>E322</f>
        <v>0</v>
      </c>
      <c r="WX376" s="445">
        <f>C323</f>
        <v>0</v>
      </c>
      <c r="WY376" s="445">
        <f>D323</f>
        <v>0</v>
      </c>
      <c r="WZ376" s="445">
        <f>E323</f>
        <v>0</v>
      </c>
      <c r="XA376" s="445">
        <f>C324</f>
        <v>0</v>
      </c>
      <c r="XB376" s="445">
        <f>D324</f>
        <v>0</v>
      </c>
      <c r="XC376" s="445">
        <f>E324</f>
        <v>0</v>
      </c>
      <c r="XD376" s="445">
        <f>C325</f>
        <v>0</v>
      </c>
      <c r="XE376" s="445">
        <f>D325</f>
        <v>0</v>
      </c>
      <c r="XF376" s="445">
        <f>E325</f>
        <v>0</v>
      </c>
      <c r="XG376" s="445">
        <f>C326</f>
        <v>0</v>
      </c>
      <c r="XH376" s="445">
        <f>D326</f>
        <v>0</v>
      </c>
      <c r="XI376" s="445">
        <f>E326</f>
        <v>0</v>
      </c>
      <c r="XJ376" s="445">
        <f>C327</f>
        <v>0</v>
      </c>
      <c r="XK376" s="445">
        <f>D327</f>
        <v>0</v>
      </c>
      <c r="XL376" s="445">
        <f>E327</f>
        <v>0</v>
      </c>
      <c r="XM376" s="445">
        <f>C328</f>
        <v>0</v>
      </c>
      <c r="XN376" s="445">
        <f>D328</f>
        <v>0</v>
      </c>
      <c r="XO376" s="445">
        <f>E328</f>
        <v>0</v>
      </c>
      <c r="XP376" s="445">
        <f>C329</f>
        <v>0</v>
      </c>
      <c r="XQ376" s="445">
        <f>D329</f>
        <v>0</v>
      </c>
      <c r="XR376" s="445">
        <f>E329</f>
        <v>0</v>
      </c>
      <c r="XS376" s="445">
        <f>C332</f>
        <v>0</v>
      </c>
      <c r="XT376" s="445">
        <f>C333</f>
        <v>0</v>
      </c>
      <c r="XU376" s="445">
        <f>C334</f>
        <v>0</v>
      </c>
      <c r="XV376" s="445">
        <f>C335</f>
        <v>0</v>
      </c>
      <c r="XW376" s="445">
        <f>C336</f>
        <v>0</v>
      </c>
      <c r="XX376" s="445">
        <f>C339</f>
        <v>0</v>
      </c>
      <c r="XY376" s="445">
        <f>C342</f>
        <v>0</v>
      </c>
      <c r="XZ376" s="445">
        <f>C343</f>
        <v>0</v>
      </c>
      <c r="YA376" s="445">
        <f>C344</f>
        <v>0</v>
      </c>
      <c r="YB376" s="445">
        <f>C345</f>
        <v>0</v>
      </c>
      <c r="YC376" s="445">
        <f>C349</f>
        <v>0</v>
      </c>
      <c r="YD376" s="445">
        <f>C350</f>
        <v>0</v>
      </c>
      <c r="YE376" s="445">
        <f>C351</f>
        <v>0</v>
      </c>
      <c r="YF376" s="445">
        <f>C352</f>
        <v>0</v>
      </c>
      <c r="YG376" s="445">
        <f>C353</f>
        <v>0</v>
      </c>
      <c r="YH376" s="445">
        <f>C354</f>
        <v>0</v>
      </c>
      <c r="YI376" s="445">
        <f>C355</f>
        <v>0</v>
      </c>
      <c r="YJ376" s="445">
        <f>C356</f>
        <v>0</v>
      </c>
      <c r="YK376" s="445">
        <f>D349</f>
        <v>0</v>
      </c>
      <c r="YL376" s="445">
        <f>D350</f>
        <v>0</v>
      </c>
      <c r="YM376" s="445">
        <f>D351</f>
        <v>0</v>
      </c>
      <c r="YN376" s="445">
        <f>D352</f>
        <v>0</v>
      </c>
      <c r="YO376" s="445">
        <f>D353</f>
        <v>0</v>
      </c>
      <c r="YP376" s="445">
        <f>D354</f>
        <v>0</v>
      </c>
      <c r="YQ376" s="445">
        <f>D355</f>
        <v>0</v>
      </c>
      <c r="YR376" s="445">
        <f>D356</f>
        <v>0</v>
      </c>
      <c r="YS376" s="445">
        <f>E349</f>
        <v>0</v>
      </c>
      <c r="YT376" s="445">
        <f>E350</f>
        <v>0</v>
      </c>
      <c r="YU376" s="445">
        <f>E351</f>
        <v>0</v>
      </c>
      <c r="YV376" s="445">
        <f>E352</f>
        <v>0</v>
      </c>
      <c r="YW376" s="445">
        <f>E353</f>
        <v>0</v>
      </c>
      <c r="YX376" s="445">
        <f>E354</f>
        <v>0</v>
      </c>
      <c r="YY376" s="445">
        <f>E355</f>
        <v>0</v>
      </c>
      <c r="YZ376" s="445">
        <f>E356</f>
        <v>0</v>
      </c>
      <c r="ZA376" s="445">
        <f>F349</f>
        <v>0</v>
      </c>
      <c r="ZB376" s="445">
        <f>F350</f>
        <v>0</v>
      </c>
      <c r="ZC376" s="445">
        <f>F351</f>
        <v>0</v>
      </c>
      <c r="ZD376" s="445">
        <f>F352</f>
        <v>0</v>
      </c>
      <c r="ZE376" s="445">
        <f>F353</f>
        <v>0</v>
      </c>
      <c r="ZF376" s="445">
        <f>F354</f>
        <v>0</v>
      </c>
      <c r="ZG376" s="445">
        <f>F355</f>
        <v>0</v>
      </c>
      <c r="ZH376" s="445">
        <f>F356</f>
        <v>0</v>
      </c>
      <c r="ZI376" s="445">
        <f>G349</f>
        <v>0</v>
      </c>
      <c r="ZJ376" s="445">
        <f>G350</f>
        <v>0</v>
      </c>
      <c r="ZK376" s="445">
        <f>G351</f>
        <v>0</v>
      </c>
      <c r="ZL376" s="445">
        <f>G352</f>
        <v>0</v>
      </c>
      <c r="ZM376" s="445">
        <f>G353</f>
        <v>0</v>
      </c>
      <c r="ZN376" s="445">
        <f>G354</f>
        <v>0</v>
      </c>
      <c r="ZO376" s="445">
        <f>G355</f>
        <v>0</v>
      </c>
      <c r="ZP376" s="445">
        <f>G356</f>
        <v>0</v>
      </c>
      <c r="ZQ376" s="445">
        <f>H349</f>
        <v>0</v>
      </c>
      <c r="ZR376" s="445">
        <f>H350</f>
        <v>0</v>
      </c>
      <c r="ZS376" s="445">
        <f>H351</f>
        <v>0</v>
      </c>
      <c r="ZT376" s="445">
        <f>H352</f>
        <v>0</v>
      </c>
      <c r="ZU376" s="445">
        <f>H353</f>
        <v>0</v>
      </c>
      <c r="ZV376" s="445">
        <f>H354</f>
        <v>0</v>
      </c>
      <c r="ZW376" s="445">
        <f>H355</f>
        <v>0</v>
      </c>
      <c r="ZX376" s="445">
        <f>H356</f>
        <v>0</v>
      </c>
      <c r="ZY376" s="445">
        <f>I349</f>
        <v>0</v>
      </c>
      <c r="ZZ376" s="445">
        <f>I350</f>
        <v>0</v>
      </c>
      <c r="AAA376" s="445">
        <f>I351</f>
        <v>0</v>
      </c>
      <c r="AAB376" s="445">
        <f>I352</f>
        <v>0</v>
      </c>
      <c r="AAC376" s="445">
        <f>I353</f>
        <v>0</v>
      </c>
      <c r="AAD376" s="445">
        <f>I354</f>
        <v>0</v>
      </c>
      <c r="AAE376" s="445">
        <f>I355</f>
        <v>0</v>
      </c>
      <c r="AAF376" s="445">
        <f>I356</f>
        <v>0</v>
      </c>
      <c r="AAG376" s="445">
        <f>J349</f>
        <v>0</v>
      </c>
      <c r="AAH376" s="445">
        <f>J350</f>
        <v>0</v>
      </c>
      <c r="AAI376" s="445">
        <f>J351</f>
        <v>0</v>
      </c>
      <c r="AAJ376" s="445">
        <f>J352</f>
        <v>0</v>
      </c>
      <c r="AAK376" s="445">
        <f>J353</f>
        <v>0</v>
      </c>
      <c r="AAL376" s="445">
        <f>J354</f>
        <v>0</v>
      </c>
      <c r="AAM376" s="445">
        <f>J355</f>
        <v>0</v>
      </c>
      <c r="AAN376" s="445">
        <f>J356</f>
        <v>0</v>
      </c>
      <c r="AAO376" s="445">
        <f>K349</f>
        <v>0</v>
      </c>
      <c r="AAP376" s="445">
        <f>K350</f>
        <v>0</v>
      </c>
      <c r="AAQ376" s="445">
        <f>K351</f>
        <v>0</v>
      </c>
      <c r="AAR376" s="445">
        <f>K352</f>
        <v>0</v>
      </c>
      <c r="AAS376" s="445">
        <f>K353</f>
        <v>0</v>
      </c>
      <c r="AAT376" s="445">
        <f>K354</f>
        <v>0</v>
      </c>
      <c r="AAU376" s="445">
        <f>K355</f>
        <v>0</v>
      </c>
      <c r="AAV376" s="445">
        <f>K356</f>
        <v>0</v>
      </c>
      <c r="AAW376" s="445">
        <f>L349</f>
        <v>0</v>
      </c>
      <c r="AAX376" s="445">
        <f>L350</f>
        <v>0</v>
      </c>
      <c r="AAY376" s="445">
        <f>L351</f>
        <v>0</v>
      </c>
      <c r="AAZ376" s="445">
        <f>L352</f>
        <v>0</v>
      </c>
      <c r="ABA376" s="445">
        <f>L353</f>
        <v>0</v>
      </c>
      <c r="ABB376" s="445">
        <f>L354</f>
        <v>0</v>
      </c>
      <c r="ABC376" s="445">
        <f>L355</f>
        <v>0</v>
      </c>
      <c r="ABD376" s="445">
        <f>L356</f>
        <v>0</v>
      </c>
      <c r="ABE376" s="445">
        <f>M349</f>
        <v>0</v>
      </c>
      <c r="ABF376" s="445">
        <f>M350</f>
        <v>0</v>
      </c>
      <c r="ABG376" s="445">
        <f>M351</f>
        <v>0</v>
      </c>
      <c r="ABH376" s="445">
        <f>M352</f>
        <v>0</v>
      </c>
      <c r="ABI376" s="445">
        <f>M353</f>
        <v>0</v>
      </c>
      <c r="ABJ376" s="445">
        <f>M354</f>
        <v>0</v>
      </c>
      <c r="ABK376" s="445">
        <f>M355</f>
        <v>0</v>
      </c>
      <c r="ABL376" s="445">
        <f>M356</f>
        <v>0</v>
      </c>
      <c r="ABM376" s="445">
        <f>N349</f>
        <v>0</v>
      </c>
      <c r="ABN376" s="445">
        <f>N350</f>
        <v>0</v>
      </c>
      <c r="ABO376" s="445">
        <f>N351</f>
        <v>0</v>
      </c>
      <c r="ABP376" s="445">
        <f>N352</f>
        <v>0</v>
      </c>
      <c r="ABQ376" s="445">
        <f>N353</f>
        <v>0</v>
      </c>
      <c r="ABR376" s="445">
        <f>N354</f>
        <v>0</v>
      </c>
      <c r="ABS376" s="445">
        <f>N355</f>
        <v>0</v>
      </c>
      <c r="ABT376" s="445">
        <f>N356</f>
        <v>0</v>
      </c>
      <c r="ABU376" s="445">
        <f>O349</f>
        <v>0</v>
      </c>
      <c r="ABV376" s="445">
        <f>O350</f>
        <v>0</v>
      </c>
      <c r="ABW376" s="445">
        <f>O351</f>
        <v>0</v>
      </c>
      <c r="ABX376" s="445">
        <f>O352</f>
        <v>0</v>
      </c>
      <c r="ABY376" s="445">
        <f>O353</f>
        <v>0</v>
      </c>
      <c r="ABZ376" s="445">
        <f>O354</f>
        <v>0</v>
      </c>
      <c r="ACA376" s="445">
        <f>O355</f>
        <v>0</v>
      </c>
      <c r="ACB376" s="445">
        <f>O356</f>
        <v>0</v>
      </c>
      <c r="ACC376" s="445">
        <f>P349</f>
        <v>0</v>
      </c>
      <c r="ACD376" s="445">
        <f>P350</f>
        <v>0</v>
      </c>
      <c r="ACE376" s="445">
        <f>P351</f>
        <v>0</v>
      </c>
      <c r="ACF376" s="445">
        <f>P352</f>
        <v>0</v>
      </c>
      <c r="ACG376" s="445">
        <f>P353</f>
        <v>0</v>
      </c>
      <c r="ACH376" s="445">
        <f>P354</f>
        <v>0</v>
      </c>
      <c r="ACI376" s="445">
        <f>P355</f>
        <v>0</v>
      </c>
      <c r="ACJ376" s="445">
        <f>P356</f>
        <v>0</v>
      </c>
      <c r="ACK376" s="445">
        <f>Q349</f>
        <v>0</v>
      </c>
      <c r="ACL376" s="445">
        <f>Q350</f>
        <v>0</v>
      </c>
      <c r="ACM376" s="445">
        <f>Q351</f>
        <v>0</v>
      </c>
      <c r="ACN376" s="445">
        <f>Q352</f>
        <v>0</v>
      </c>
      <c r="ACO376" s="445">
        <f>Q353</f>
        <v>0</v>
      </c>
      <c r="ACP376" s="445">
        <f>Q354</f>
        <v>0</v>
      </c>
      <c r="ACQ376" s="445">
        <f>Q355</f>
        <v>0</v>
      </c>
      <c r="ACR376" s="445">
        <f>Q356</f>
        <v>0</v>
      </c>
      <c r="ACS376" s="445">
        <f>R349</f>
        <v>0</v>
      </c>
      <c r="ACT376" s="445">
        <f>R350</f>
        <v>0</v>
      </c>
      <c r="ACU376" s="445">
        <f>R351</f>
        <v>0</v>
      </c>
      <c r="ACV376" s="445">
        <f>R352</f>
        <v>0</v>
      </c>
      <c r="ACW376" s="445">
        <f>R353</f>
        <v>0</v>
      </c>
      <c r="ACX376" s="445">
        <f>R354</f>
        <v>0</v>
      </c>
      <c r="ACY376" s="445">
        <f>R355</f>
        <v>0</v>
      </c>
      <c r="ACZ376" s="445">
        <f>R356</f>
        <v>0</v>
      </c>
      <c r="ADA376" s="445">
        <f>S349</f>
        <v>0</v>
      </c>
      <c r="ADB376" s="445">
        <f>S350</f>
        <v>0</v>
      </c>
      <c r="ADC376" s="445">
        <f>S351</f>
        <v>0</v>
      </c>
      <c r="ADD376" s="445">
        <f>S352</f>
        <v>0</v>
      </c>
      <c r="ADE376" s="445">
        <f>S353</f>
        <v>0</v>
      </c>
      <c r="ADF376" s="445">
        <f>S354</f>
        <v>0</v>
      </c>
      <c r="ADG376" s="445">
        <f>S355</f>
        <v>0</v>
      </c>
      <c r="ADH376" s="445">
        <f>S356</f>
        <v>0</v>
      </c>
      <c r="ADI376" s="445">
        <f>T349</f>
        <v>0</v>
      </c>
      <c r="ADJ376" s="445">
        <f>T350</f>
        <v>0</v>
      </c>
      <c r="ADK376" s="445">
        <f>T351</f>
        <v>0</v>
      </c>
      <c r="ADL376" s="445">
        <f>T352</f>
        <v>0</v>
      </c>
      <c r="ADM376" s="445">
        <f>T353</f>
        <v>0</v>
      </c>
      <c r="ADN376" s="445">
        <f>T354</f>
        <v>0</v>
      </c>
      <c r="ADO376" s="445">
        <f>T355</f>
        <v>0</v>
      </c>
      <c r="ADP376" s="445">
        <f>T356</f>
        <v>0</v>
      </c>
      <c r="ADQ376" s="445">
        <f>U349</f>
        <v>0</v>
      </c>
      <c r="ADR376" s="445">
        <f>U350</f>
        <v>0</v>
      </c>
      <c r="ADS376" s="445">
        <f>U351</f>
        <v>0</v>
      </c>
      <c r="ADT376" s="445">
        <f>U352</f>
        <v>0</v>
      </c>
      <c r="ADU376" s="445">
        <f>U353</f>
        <v>0</v>
      </c>
      <c r="ADV376" s="445">
        <f>U354</f>
        <v>0</v>
      </c>
      <c r="ADW376" s="445">
        <f>U355</f>
        <v>0</v>
      </c>
      <c r="ADX376" s="445">
        <f>U356</f>
        <v>0</v>
      </c>
      <c r="ADY376" s="445">
        <f>V349</f>
        <v>0</v>
      </c>
      <c r="ADZ376" s="445">
        <f>V350</f>
        <v>0</v>
      </c>
      <c r="AEA376" s="445">
        <f>V351</f>
        <v>0</v>
      </c>
      <c r="AEB376" s="445">
        <f>V352</f>
        <v>0</v>
      </c>
      <c r="AEC376" s="445">
        <f>V353</f>
        <v>0</v>
      </c>
      <c r="AED376" s="445">
        <f>V354</f>
        <v>0</v>
      </c>
      <c r="AEE376" s="445">
        <f>V355</f>
        <v>0</v>
      </c>
      <c r="AEF376" s="445">
        <f>V356</f>
        <v>0</v>
      </c>
      <c r="AEG376" s="445">
        <f>W349</f>
        <v>0</v>
      </c>
      <c r="AEH376" s="445">
        <f>W350</f>
        <v>0</v>
      </c>
      <c r="AEI376" s="445">
        <f>W351</f>
        <v>0</v>
      </c>
      <c r="AEJ376" s="445">
        <f>W352</f>
        <v>0</v>
      </c>
      <c r="AEK376" s="445">
        <f>W353</f>
        <v>0</v>
      </c>
      <c r="AEL376" s="445">
        <f>W354</f>
        <v>0</v>
      </c>
      <c r="AEM376" s="445">
        <f>W355</f>
        <v>0</v>
      </c>
      <c r="AEN376" s="445">
        <f>W356</f>
        <v>0</v>
      </c>
      <c r="AEO376" s="445">
        <f>X349</f>
        <v>0</v>
      </c>
      <c r="AEP376" s="445">
        <f>X350</f>
        <v>0</v>
      </c>
      <c r="AEQ376" s="445">
        <f>X351</f>
        <v>0</v>
      </c>
      <c r="AER376" s="445">
        <f>X352</f>
        <v>0</v>
      </c>
      <c r="AES376" s="445">
        <f>X353</f>
        <v>0</v>
      </c>
      <c r="AET376" s="445">
        <f>X354</f>
        <v>0</v>
      </c>
      <c r="AEU376" s="445">
        <f>X355</f>
        <v>0</v>
      </c>
      <c r="AEV376" s="445">
        <f>X356</f>
        <v>0</v>
      </c>
      <c r="AEW376" s="445">
        <f>Y349</f>
        <v>0</v>
      </c>
      <c r="AEX376" s="445">
        <f>Y350</f>
        <v>0</v>
      </c>
      <c r="AEY376" s="445">
        <f>Y351</f>
        <v>0</v>
      </c>
      <c r="AEZ376" s="445">
        <f>Y352</f>
        <v>0</v>
      </c>
      <c r="AFA376" s="445">
        <f>Y353</f>
        <v>0</v>
      </c>
      <c r="AFB376" s="445">
        <f>Y354</f>
        <v>0</v>
      </c>
      <c r="AFC376" s="445">
        <f>Y355</f>
        <v>0</v>
      </c>
      <c r="AFD376" s="445">
        <f>Y356</f>
        <v>0</v>
      </c>
      <c r="AFE376" s="445">
        <f>Z349</f>
        <v>0</v>
      </c>
      <c r="AFF376" s="445">
        <f>Z350</f>
        <v>0</v>
      </c>
      <c r="AFG376" s="445">
        <f>Z351</f>
        <v>0</v>
      </c>
      <c r="AFH376" s="445">
        <f>Z352</f>
        <v>0</v>
      </c>
      <c r="AFI376" s="445">
        <f>Z353</f>
        <v>0</v>
      </c>
      <c r="AFJ376" s="445">
        <f>Z354</f>
        <v>0</v>
      </c>
      <c r="AFK376" s="445">
        <f>Z355</f>
        <v>0</v>
      </c>
      <c r="AFL376" s="445">
        <f>Z356</f>
        <v>0</v>
      </c>
      <c r="AFM376" s="445">
        <f>AA349</f>
        <v>0</v>
      </c>
      <c r="AFN376" s="445">
        <f>AA350</f>
        <v>0</v>
      </c>
      <c r="AFO376" s="445">
        <f>AA351</f>
        <v>0</v>
      </c>
      <c r="AFP376" s="445">
        <f>AA352</f>
        <v>0</v>
      </c>
      <c r="AFQ376" s="445">
        <f>AA353</f>
        <v>0</v>
      </c>
      <c r="AFR376" s="445">
        <f>AA354</f>
        <v>0</v>
      </c>
      <c r="AFS376" s="445">
        <f>AA355</f>
        <v>0</v>
      </c>
      <c r="AFT376" s="445">
        <f>AA356</f>
        <v>0</v>
      </c>
      <c r="AFU376" s="445">
        <f>AB349</f>
        <v>0</v>
      </c>
      <c r="AFV376" s="445">
        <f>AB350</f>
        <v>0</v>
      </c>
      <c r="AFW376" s="445">
        <f>AB351</f>
        <v>0</v>
      </c>
      <c r="AFX376" s="445">
        <f>AB352</f>
        <v>0</v>
      </c>
      <c r="AFY376" s="445">
        <f>AB353</f>
        <v>0</v>
      </c>
      <c r="AFZ376" s="445">
        <f>AB354</f>
        <v>0</v>
      </c>
      <c r="AGA376" s="445">
        <f>AB355</f>
        <v>0</v>
      </c>
      <c r="AGB376" s="445">
        <f>AB356</f>
        <v>0</v>
      </c>
      <c r="AGC376" s="445">
        <f>AC349</f>
        <v>0</v>
      </c>
      <c r="AGD376" s="445">
        <f>AC350</f>
        <v>0</v>
      </c>
      <c r="AGE376" s="445">
        <f>AC351</f>
        <v>0</v>
      </c>
      <c r="AGF376" s="445">
        <f>AC352</f>
        <v>0</v>
      </c>
      <c r="AGG376" s="445">
        <f>AC353</f>
        <v>0</v>
      </c>
      <c r="AGH376" s="445">
        <f>AC354</f>
        <v>0</v>
      </c>
      <c r="AGI376" s="445">
        <f>AC355</f>
        <v>0</v>
      </c>
      <c r="AGJ376" s="445">
        <f>AC356</f>
        <v>0</v>
      </c>
      <c r="AGK376" s="445">
        <f>AD349</f>
        <v>0</v>
      </c>
      <c r="AGL376" s="445">
        <f>AD350</f>
        <v>0</v>
      </c>
      <c r="AGM376" s="445">
        <f>AD351</f>
        <v>0</v>
      </c>
      <c r="AGN376" s="445">
        <f>AD352</f>
        <v>0</v>
      </c>
      <c r="AGO376" s="445">
        <f>AD353</f>
        <v>0</v>
      </c>
      <c r="AGP376" s="445">
        <f>AD354</f>
        <v>0</v>
      </c>
      <c r="AGQ376" s="445">
        <f>AD355</f>
        <v>0</v>
      </c>
      <c r="AGR376" s="445">
        <f>AD356</f>
        <v>0</v>
      </c>
      <c r="AGS376" s="445">
        <f>AE349</f>
        <v>0</v>
      </c>
      <c r="AGT376" s="445">
        <f>AE350</f>
        <v>0</v>
      </c>
      <c r="AGU376" s="445">
        <f>AE351</f>
        <v>0</v>
      </c>
      <c r="AGV376" s="445">
        <f>AE352</f>
        <v>0</v>
      </c>
      <c r="AGW376" s="445">
        <f>AE353</f>
        <v>0</v>
      </c>
      <c r="AGX376" s="445">
        <f>AE354</f>
        <v>0</v>
      </c>
      <c r="AGY376" s="445">
        <f>AE355</f>
        <v>0</v>
      </c>
      <c r="AGZ376" s="445">
        <f>AE356</f>
        <v>0</v>
      </c>
      <c r="AHA376" s="445">
        <f>AF349</f>
        <v>0</v>
      </c>
      <c r="AHB376" s="445">
        <f>AF350</f>
        <v>0</v>
      </c>
      <c r="AHC376" s="445">
        <f>AF351</f>
        <v>0</v>
      </c>
      <c r="AHD376" s="445">
        <f>AF352</f>
        <v>0</v>
      </c>
      <c r="AHE376" s="445">
        <f>AF353</f>
        <v>0</v>
      </c>
      <c r="AHF376" s="445">
        <f>AF354</f>
        <v>0</v>
      </c>
      <c r="AHG376" s="445">
        <f>AF355</f>
        <v>0</v>
      </c>
      <c r="AHH376" s="445">
        <f>AF356</f>
        <v>0</v>
      </c>
      <c r="AHI376" s="445">
        <f>AG349</f>
        <v>0</v>
      </c>
      <c r="AHJ376" s="445">
        <f>AG350</f>
        <v>0</v>
      </c>
      <c r="AHK376" s="445">
        <f>AG351</f>
        <v>0</v>
      </c>
      <c r="AHL376" s="445">
        <f>AG352</f>
        <v>0</v>
      </c>
      <c r="AHM376" s="445">
        <f>AG353</f>
        <v>0</v>
      </c>
      <c r="AHN376" s="445">
        <f>AG354</f>
        <v>0</v>
      </c>
      <c r="AHO376" s="445">
        <f>AG355</f>
        <v>0</v>
      </c>
      <c r="AHP376" s="445">
        <f>AG356</f>
        <v>0</v>
      </c>
      <c r="AHQ376" s="445">
        <f>AH349</f>
        <v>0</v>
      </c>
      <c r="AHR376" s="445">
        <f>AH350</f>
        <v>0</v>
      </c>
      <c r="AHS376" s="445">
        <f>AH351</f>
        <v>0</v>
      </c>
      <c r="AHT376" s="445">
        <f>AH352</f>
        <v>0</v>
      </c>
      <c r="AHU376" s="445">
        <f>AH353</f>
        <v>0</v>
      </c>
      <c r="AHV376" s="445">
        <f>AH354</f>
        <v>0</v>
      </c>
      <c r="AHW376" s="445">
        <f>AH355</f>
        <v>0</v>
      </c>
      <c r="AHX376" s="445">
        <f>AH356</f>
        <v>0</v>
      </c>
      <c r="AHY376" s="445">
        <f>AI349</f>
        <v>0</v>
      </c>
      <c r="AHZ376" s="445">
        <f>AI350</f>
        <v>0</v>
      </c>
      <c r="AIA376" s="445">
        <f>AI351</f>
        <v>0</v>
      </c>
      <c r="AIB376" s="445">
        <f>AI352</f>
        <v>0</v>
      </c>
      <c r="AIC376" s="445">
        <f>AI353</f>
        <v>0</v>
      </c>
      <c r="AID376" s="445">
        <f>AI354</f>
        <v>0</v>
      </c>
      <c r="AIE376" s="445">
        <f>AI355</f>
        <v>0</v>
      </c>
      <c r="AIF376" s="445">
        <f>AI356</f>
        <v>0</v>
      </c>
      <c r="AIG376" s="445">
        <f>AJ349</f>
        <v>0</v>
      </c>
      <c r="AIH376" s="445">
        <f>AJ350</f>
        <v>0</v>
      </c>
      <c r="AII376" s="445">
        <f>AJ351</f>
        <v>0</v>
      </c>
      <c r="AIJ376" s="445">
        <f>AJ352</f>
        <v>0</v>
      </c>
      <c r="AIK376" s="445">
        <f>AJ353</f>
        <v>0</v>
      </c>
      <c r="AIL376" s="445">
        <f>AJ354</f>
        <v>0</v>
      </c>
      <c r="AIM376" s="445">
        <f>AJ355</f>
        <v>0</v>
      </c>
      <c r="AIN376" s="445">
        <f>AJ356</f>
        <v>0</v>
      </c>
      <c r="AIO376" s="445">
        <f>AK349</f>
        <v>0</v>
      </c>
      <c r="AIP376" s="445">
        <f>AK350</f>
        <v>0</v>
      </c>
      <c r="AIQ376" s="445">
        <f>AK351</f>
        <v>0</v>
      </c>
      <c r="AIR376" s="445">
        <f>AK352</f>
        <v>0</v>
      </c>
      <c r="AIS376" s="445">
        <f>AK353</f>
        <v>0</v>
      </c>
      <c r="AIT376" s="445">
        <f>AK354</f>
        <v>0</v>
      </c>
      <c r="AIU376" s="445">
        <f>AK355</f>
        <v>0</v>
      </c>
      <c r="AIV376" s="445">
        <f>AK356</f>
        <v>0</v>
      </c>
      <c r="AIW376" s="445">
        <f>AL349</f>
        <v>0</v>
      </c>
      <c r="AIX376" s="445">
        <f>AL350</f>
        <v>0</v>
      </c>
      <c r="AIY376" s="445">
        <f>AL351</f>
        <v>0</v>
      </c>
      <c r="AIZ376" s="445">
        <f>AL352</f>
        <v>0</v>
      </c>
      <c r="AJA376" s="445">
        <f>AL353</f>
        <v>0</v>
      </c>
      <c r="AJB376" s="445">
        <f>AL354</f>
        <v>0</v>
      </c>
      <c r="AJC376" s="445">
        <f>AL355</f>
        <v>0</v>
      </c>
      <c r="AJD376" s="445">
        <f>AL356</f>
        <v>0</v>
      </c>
      <c r="AJE376" s="445">
        <f>AM349</f>
        <v>0</v>
      </c>
      <c r="AJF376" s="445">
        <f>AM350</f>
        <v>0</v>
      </c>
      <c r="AJG376" s="445">
        <f>AM351</f>
        <v>0</v>
      </c>
      <c r="AJH376" s="445">
        <f>AM352</f>
        <v>0</v>
      </c>
      <c r="AJI376" s="445">
        <f>AM353</f>
        <v>0</v>
      </c>
      <c r="AJJ376" s="445">
        <f>AM354</f>
        <v>0</v>
      </c>
      <c r="AJK376" s="445">
        <f>AM355</f>
        <v>0</v>
      </c>
      <c r="AJL376" s="445">
        <f>AM356</f>
        <v>0</v>
      </c>
      <c r="AJM376" s="445">
        <f>AN349</f>
        <v>0</v>
      </c>
      <c r="AJN376" s="445">
        <f>AN350</f>
        <v>0</v>
      </c>
      <c r="AJO376" s="445">
        <f>AN351</f>
        <v>0</v>
      </c>
      <c r="AJP376" s="445">
        <f>AN352</f>
        <v>0</v>
      </c>
      <c r="AJQ376" s="445">
        <f>AN353</f>
        <v>0</v>
      </c>
      <c r="AJR376" s="445">
        <f>AN354</f>
        <v>0</v>
      </c>
      <c r="AJS376" s="445">
        <f>AN355</f>
        <v>0</v>
      </c>
      <c r="AJT376" s="445">
        <f>AN356</f>
        <v>0</v>
      </c>
      <c r="AJU376" s="131" t="str">
        <f>B293</f>
        <v>apartment</v>
      </c>
      <c r="AJV376" s="131" t="str">
        <f>B294</f>
        <v>terraced</v>
      </c>
      <c r="AJW376" s="131" t="str">
        <f>B295</f>
        <v>semi-detached</v>
      </c>
      <c r="AJX376" s="131" t="str">
        <f>B296</f>
        <v>detached</v>
      </c>
      <c r="AJY376" s="131" t="str">
        <f>B298</f>
        <v>retail</v>
      </c>
      <c r="AJZ376" s="131" t="str">
        <f>B299</f>
        <v>health</v>
      </c>
      <c r="AKA376" s="131" t="str">
        <f>B300</f>
        <v>hospitality</v>
      </c>
      <c r="AKB376" s="131" t="str">
        <f>B301</f>
        <v>offices</v>
      </c>
      <c r="AKC376" s="131" t="str">
        <f>B302</f>
        <v>industrial</v>
      </c>
      <c r="AKD376" s="131" t="str">
        <f>B303</f>
        <v>warehouses</v>
      </c>
      <c r="AKE376" s="445">
        <f>AO349</f>
        <v>0</v>
      </c>
      <c r="AKF376" s="445">
        <f>AO350</f>
        <v>0</v>
      </c>
      <c r="AKG376" s="445">
        <f>AO351</f>
        <v>0</v>
      </c>
      <c r="AKH376" s="445">
        <f>AO352</f>
        <v>0</v>
      </c>
      <c r="AKI376" s="445">
        <f>AO353</f>
        <v>0</v>
      </c>
      <c r="AKJ376" s="445">
        <f>AO354</f>
        <v>0</v>
      </c>
      <c r="AKK376" s="445">
        <f>AO355</f>
        <v>0</v>
      </c>
      <c r="AKL376" s="445">
        <f>AO356</f>
        <v>0</v>
      </c>
      <c r="AKM376" s="445">
        <f>AP349</f>
        <v>0</v>
      </c>
      <c r="AKN376" s="445">
        <f>AP350</f>
        <v>0</v>
      </c>
      <c r="AKO376" s="445">
        <f>AP351</f>
        <v>0</v>
      </c>
      <c r="AKP376" s="445">
        <f>AP352</f>
        <v>0</v>
      </c>
      <c r="AKQ376" s="445">
        <f>AP353</f>
        <v>0</v>
      </c>
      <c r="AKR376" s="445">
        <f>AP354</f>
        <v>0</v>
      </c>
      <c r="AKS376" s="445">
        <f>AP355</f>
        <v>0</v>
      </c>
      <c r="AKT376" s="445">
        <f>AP356</f>
        <v>0</v>
      </c>
      <c r="AKU376" s="445">
        <f>AQ349</f>
        <v>0</v>
      </c>
      <c r="AKV376" s="445">
        <f>AQ350</f>
        <v>0</v>
      </c>
      <c r="AKW376" s="445">
        <f>AQ351</f>
        <v>0</v>
      </c>
      <c r="AKX376" s="445">
        <f>AQ352</f>
        <v>0</v>
      </c>
      <c r="AKY376" s="445">
        <f>AQ353</f>
        <v>0</v>
      </c>
      <c r="AKZ376" s="445">
        <f>AQ354</f>
        <v>0</v>
      </c>
      <c r="ALA376" s="445">
        <f>AQ355</f>
        <v>0</v>
      </c>
      <c r="ALB376" s="445">
        <f>AQ356</f>
        <v>0</v>
      </c>
      <c r="ALC376" s="445">
        <f>AR349</f>
        <v>0</v>
      </c>
      <c r="ALD376" s="445">
        <f>AR350</f>
        <v>0</v>
      </c>
      <c r="ALE376" s="445">
        <f>AR351</f>
        <v>0</v>
      </c>
      <c r="ALF376" s="445">
        <f>AR352</f>
        <v>0</v>
      </c>
      <c r="ALG376" s="445">
        <f>AR353</f>
        <v>0</v>
      </c>
      <c r="ALH376" s="445">
        <f>AR354</f>
        <v>0</v>
      </c>
      <c r="ALI376" s="445">
        <f>AR355</f>
        <v>0</v>
      </c>
      <c r="ALJ376" s="445">
        <f>AR356</f>
        <v>0</v>
      </c>
      <c r="ALK376" s="445">
        <f>AS349</f>
        <v>0</v>
      </c>
      <c r="ALL376" s="445">
        <f>AS350</f>
        <v>0</v>
      </c>
      <c r="ALM376" s="445">
        <f>AS351</f>
        <v>0</v>
      </c>
      <c r="ALN376" s="445">
        <f>AS352</f>
        <v>0</v>
      </c>
      <c r="ALO376" s="445">
        <f>AS353</f>
        <v>0</v>
      </c>
      <c r="ALP376" s="445">
        <f>AS35</f>
        <v>0</v>
      </c>
      <c r="ALQ376" s="445">
        <f>AS355</f>
        <v>0</v>
      </c>
      <c r="ALR376" s="445">
        <f>AS356</f>
        <v>0</v>
      </c>
      <c r="ALS376" s="445">
        <f>AT349</f>
        <v>0</v>
      </c>
      <c r="ALT376" s="445">
        <f>AT350</f>
        <v>0</v>
      </c>
      <c r="ALU376" s="445">
        <f>AT351</f>
        <v>0</v>
      </c>
      <c r="ALV376" s="445">
        <f>AT352</f>
        <v>0</v>
      </c>
      <c r="ALW376" s="445">
        <f>AT353</f>
        <v>0</v>
      </c>
      <c r="ALX376" s="445">
        <f>AT354</f>
        <v>0</v>
      </c>
      <c r="ALY376" s="445">
        <f>AT355</f>
        <v>0</v>
      </c>
      <c r="ALZ376" s="445">
        <f>AT356</f>
        <v>0</v>
      </c>
    </row>
    <row r="377" spans="2:1014" ht="20.100000000000001" customHeight="1">
      <c r="B377" s="1324" t="str">
        <f>CONCATENATE("Defaults from dataset ",INDEX('DEFAULT DATA'!$A$9:$A$41,C10,1))</f>
        <v>Defaults from dataset Slovakia</v>
      </c>
      <c r="C377" s="1140" t="str">
        <f>INDEX('DEFAULT DATA'!$B$9:$ALY$41,$C$10,C$370)</f>
        <v>QGasSP</v>
      </c>
      <c r="D377" s="1140">
        <f>INDEX('DEFAULT DATA'!$B$9:$ALY$41,$C$10,D$370)</f>
        <v>2022</v>
      </c>
      <c r="E377" s="1387">
        <f>INDEX('DEFAULT DATA'!$B$9:$ALY$41,$C$10,E$370)</f>
        <v>0</v>
      </c>
      <c r="F377" s="1387">
        <f>INDEX('DEFAULT DATA'!$B$9:$ALY$41,$C$10,F$370)</f>
        <v>-0.2</v>
      </c>
      <c r="G377" s="1387">
        <f>INDEX('DEFAULT DATA'!$B$9:$ALY$41,$C$10,G$370)</f>
        <v>-0.4</v>
      </c>
      <c r="H377" s="1387">
        <f>INDEX('DEFAULT DATA'!$B$9:$ALY$41,$C$10,H$370)</f>
        <v>-0.4</v>
      </c>
      <c r="I377" s="1387">
        <f>INDEX('DEFAULT DATA'!$B$9:$ALY$41,$C$10,I$370)</f>
        <v>348.18181818181819</v>
      </c>
      <c r="J377" s="1387">
        <f>INDEX('DEFAULT DATA'!$B$9:$ALY$41,$C$10,J$370)</f>
        <v>-4.8</v>
      </c>
      <c r="K377" s="1387">
        <f>INDEX('DEFAULT DATA'!$B$9:$ALY$41,$C$10,K$370)</f>
        <v>-2.8</v>
      </c>
      <c r="L377" s="1387">
        <f>INDEX('DEFAULT DATA'!$B$9:$ALY$41,$C$10,L$370)</f>
        <v>-2.8</v>
      </c>
      <c r="M377" s="1387">
        <f>INDEX('DEFAULT DATA'!$B$9:$ALY$41,$C$10,M$370)</f>
        <v>350</v>
      </c>
      <c r="N377" s="1387">
        <f>INDEX('DEFAULT DATA'!$B$9:$ALY$41,$C$10,N$370)</f>
        <v>0</v>
      </c>
      <c r="O377" s="1387">
        <f>INDEX('DEFAULT DATA'!$B$9:$ALY$41,$C$10,O$370)</f>
        <v>0</v>
      </c>
      <c r="P377" s="1387">
        <f>INDEX('DEFAULT DATA'!$B$9:$ALY$41,$C$10,P$370)</f>
        <v>0</v>
      </c>
      <c r="Q377" s="1387">
        <f>INDEX('DEFAULT DATA'!$B$9:$ALY$41,$C$10,Q$370)</f>
        <v>1216.230079338347</v>
      </c>
      <c r="R377" s="1140">
        <f>INDEX('DEFAULT DATA'!$B$9:$ALY$41,$C$10,R$370)</f>
        <v>12</v>
      </c>
      <c r="S377" s="1442">
        <f>INDEX('DEFAULT DATA'!$B$9:$ALY$41,$C$10,S$370)</f>
        <v>2.2999999999999998</v>
      </c>
      <c r="T377" s="1140">
        <f>INDEX('DEFAULT DATA'!$B$9:$ALY$41,$C$10,T$370)</f>
        <v>0.7</v>
      </c>
      <c r="U377" s="1140">
        <f>INDEX('DEFAULT DATA'!$B$9:$ALY$41,$C$10,U$370)</f>
        <v>0.7</v>
      </c>
      <c r="V377" s="1140">
        <f>INDEX('DEFAULT DATA'!$B$9:$ALY$41,$C$10,V$370)</f>
        <v>0.4</v>
      </c>
      <c r="W377" s="1140">
        <f>INDEX('DEFAULT DATA'!$B$9:$ALY$41,$C$10,W$370)</f>
        <v>0</v>
      </c>
      <c r="X377" s="1140">
        <f>INDEX('DEFAULT DATA'!$B$9:$ALY$41,$C$10,X$370)</f>
        <v>94.5</v>
      </c>
      <c r="Y377" s="1140">
        <f>INDEX('DEFAULT DATA'!$B$9:$ALY$41,$C$10,Y$370)</f>
        <v>2.5</v>
      </c>
      <c r="Z377" s="1140">
        <f>INDEX('DEFAULT DATA'!$B$9:$ALY$41,$C$10,Z$370)</f>
        <v>0.5</v>
      </c>
      <c r="AA377" s="1140">
        <f>INDEX('DEFAULT DATA'!$B$9:$ALY$41,$C$10,AA$370)</f>
        <v>2</v>
      </c>
      <c r="AB377" s="1140">
        <f>INDEX('DEFAULT DATA'!$B$9:$ALY$41,$C$10,AB$370)</f>
        <v>1.5</v>
      </c>
      <c r="AC377" s="1140">
        <f>INDEX('DEFAULT DATA'!$B$9:$ALY$41,$C$10,AC$370)</f>
        <v>1</v>
      </c>
      <c r="AD377" s="1140">
        <f>INDEX('DEFAULT DATA'!$B$9:$ALY$41,$C$10,AD$370)</f>
        <v>0.8</v>
      </c>
      <c r="AE377" s="1140">
        <f>INDEX('DEFAULT DATA'!$B$9:$ALY$41,$C$10,AE$370)</f>
        <v>0.5</v>
      </c>
      <c r="AF377" s="1387">
        <f>INDEX('DEFAULT DATA'!$B$9:$ALY$41,$C$10,AF$370)</f>
        <v>433.01922201480062</v>
      </c>
      <c r="AG377" s="1387">
        <f>INDEX('DEFAULT DATA'!$B$9:$ALY$41,$C$10,AG$370)</f>
        <v>470.67306740739195</v>
      </c>
      <c r="AH377" s="1387">
        <f>INDEX('DEFAULT DATA'!$B$9:$ALY$41,$C$10,AH$370)</f>
        <v>433.37222681535616</v>
      </c>
      <c r="AI377" s="1387">
        <f>INDEX('DEFAULT DATA'!$B$9:$ALY$41,$C$10,AI$370)</f>
        <v>649.0581599547935</v>
      </c>
      <c r="AJ377" s="1387">
        <f>INDEX('DEFAULT DATA'!$B$9:$ALY$41,$C$10,AJ$370)</f>
        <v>0.82209484106305364</v>
      </c>
      <c r="AK377" s="1387">
        <f>INDEX('DEFAULT DATA'!$B$9:$ALY$41,$C$10,AK$370)</f>
        <v>261.91600618637949</v>
      </c>
      <c r="AL377" s="1387">
        <f>INDEX('DEFAULT DATA'!$B$9:$ALY$41,$C$10,AL$370)</f>
        <v>284.69131107215162</v>
      </c>
      <c r="AM377" s="1387">
        <f>INDEX('DEFAULT DATA'!$B$9:$ALY$41,$C$10,AM$370)</f>
        <v>262.12952466968363</v>
      </c>
      <c r="AN377" s="1387">
        <f>INDEX('DEFAULT DATA'!$B$9:$ALY$41,$C$10,AN$370)</f>
        <v>392.58931796849708</v>
      </c>
      <c r="AO377" s="1387">
        <f>INDEX('DEFAULT DATA'!$B$9:$ALY$41,$C$10,AO$370)</f>
        <v>0.96717040125065135</v>
      </c>
      <c r="AP377" s="1140">
        <f>INDEX('DEFAULT DATA'!$B$9:$ALY$41,$C$10,AP$370)</f>
        <v>0.1</v>
      </c>
      <c r="AQ377" s="1140">
        <f>INDEX('DEFAULT DATA'!$B$9:$ALY$41,$C$10,AQ$370)</f>
        <v>0.2</v>
      </c>
      <c r="AR377" s="1140">
        <f>INDEX('DEFAULT DATA'!$B$9:$ALY$41,$C$10,AR$370)</f>
        <v>0.4</v>
      </c>
      <c r="AS377" s="1140">
        <f>INDEX('DEFAULT DATA'!$B$9:$ALY$41,$C$10,AS$370)</f>
        <v>0.6</v>
      </c>
      <c r="AT377" s="1140">
        <f>INDEX('DEFAULT DATA'!$B$9:$ALY$41,$C$10,AT$370)</f>
        <v>0.9</v>
      </c>
      <c r="AU377" s="1140">
        <f>INDEX('DEFAULT DATA'!$B$9:$ALY$41,$C$10,AU$370)</f>
        <v>1.2</v>
      </c>
      <c r="AV377" s="1140">
        <f>INDEX('DEFAULT DATA'!$B$9:$ALY$41,$C$10,AV$370)</f>
        <v>1.4</v>
      </c>
      <c r="AW377" s="1140">
        <f>INDEX('DEFAULT DATA'!$B$9:$ALY$41,$C$10,AW$370)</f>
        <v>0</v>
      </c>
      <c r="AX377" s="1140">
        <f>INDEX('DEFAULT DATA'!$B$9:$ALY$41,$C$10,AX$370)</f>
        <v>10</v>
      </c>
      <c r="AY377" s="1140">
        <f>INDEX('DEFAULT DATA'!$B$9:$ALY$41,$C$10,AY$370)</f>
        <v>20</v>
      </c>
      <c r="AZ377" s="1140">
        <f>INDEX('DEFAULT DATA'!$B$9:$ALY$41,$C$10,AZ$370)</f>
        <v>70</v>
      </c>
      <c r="BA377" s="1140">
        <f>INDEX('DEFAULT DATA'!$B$9:$ALY$41,$C$10,BA$370)</f>
        <v>100</v>
      </c>
      <c r="BB377" s="1387">
        <f>INDEX('DEFAULT DATA'!$B$9:$ALY$41,$C$10,BB$370)</f>
        <v>5412.7575023540339</v>
      </c>
      <c r="BC377" s="1387">
        <f>INDEX('DEFAULT DATA'!$B$9:$ALY$41,$C$10,BC$370)</f>
        <v>1.95</v>
      </c>
      <c r="BD377" s="1387">
        <f>INDEX('DEFAULT DATA'!$B$9:$ALY$41,$C$10,BD$370)</f>
        <v>2.4</v>
      </c>
      <c r="BE377" s="1387">
        <f>INDEX('DEFAULT DATA'!$B$9:$ALY$41,$C$10,BE$370)</f>
        <v>0.8</v>
      </c>
      <c r="BF377" s="1387">
        <f>INDEX('DEFAULT DATA'!$B$9:$ALY$41,$C$10,BF$370)</f>
        <v>0.8</v>
      </c>
      <c r="BG377" s="1387">
        <f>INDEX('DEFAULT DATA'!$B$9:$ALY$41,$C$10,BG$370)</f>
        <v>0.17111084121059142</v>
      </c>
      <c r="BH377" s="1387">
        <f>INDEX('DEFAULT DATA'!$B$9:$ALY$41,$C$10,BH$370)</f>
        <v>0.17335999999999999</v>
      </c>
      <c r="BI377" s="1387">
        <f>INDEX('DEFAULT DATA'!$B$9:$ALY$41,$C$10,BI$370)</f>
        <v>2</v>
      </c>
      <c r="BJ377" s="1387">
        <f>INDEX('DEFAULT DATA'!$B$9:$ALY$41,$C$10,BJ$370)</f>
        <v>0.1</v>
      </c>
      <c r="BK377" s="1387">
        <f>INDEX('DEFAULT DATA'!$B$9:$ALY$41,$C$10,BK$370)</f>
        <v>0</v>
      </c>
      <c r="BL377" s="1387">
        <f>INDEX('DEFAULT DATA'!$B$9:$ALY$41,$C$10,BL$370)</f>
        <v>51.7</v>
      </c>
      <c r="BM377" s="1387">
        <f>INDEX('DEFAULT DATA'!$B$9:$ALY$41,$C$10,BM$370)</f>
        <v>0.4</v>
      </c>
      <c r="BN377" s="1387">
        <f>INDEX('DEFAULT DATA'!$B$9:$ALY$41,$C$10,BN$370)</f>
        <v>0</v>
      </c>
      <c r="BO377" s="1387">
        <f>INDEX('DEFAULT DATA'!$B$9:$ALY$41,$C$10,BO$370)</f>
        <v>44.3</v>
      </c>
      <c r="BP377" s="1387">
        <f>INDEX('DEFAULT DATA'!$B$9:$ALY$41,$C$10,BP$370)</f>
        <v>0</v>
      </c>
      <c r="BQ377" s="1387">
        <f>INDEX('DEFAULT DATA'!$B$9:$ALY$41,$C$10,BQ$370)</f>
        <v>0</v>
      </c>
      <c r="BR377" s="1387">
        <f>INDEX('DEFAULT DATA'!$B$9:$ALY$41,$C$10,BR$370)</f>
        <v>0</v>
      </c>
      <c r="BS377" s="1387">
        <f>INDEX('DEFAULT DATA'!$B$9:$ALY$41,$C$10,BS$370)</f>
        <v>0</v>
      </c>
      <c r="BT377" s="1387">
        <f>INDEX('DEFAULT DATA'!$B$9:$ALY$41,$C$10,BT$370)</f>
        <v>0</v>
      </c>
      <c r="BU377" s="1387">
        <f>INDEX('DEFAULT DATA'!$B$9:$ALY$41,$C$10,BU$370)</f>
        <v>0</v>
      </c>
      <c r="BV377" s="1387">
        <f>INDEX('DEFAULT DATA'!$B$9:$ALY$41,$C$10,BV$370)</f>
        <v>0</v>
      </c>
      <c r="BW377" s="1387">
        <f>INDEX('DEFAULT DATA'!$B$9:$ALY$41,$C$10,BW$370)</f>
        <v>0.1</v>
      </c>
      <c r="BX377" s="1387">
        <f>INDEX('DEFAULT DATA'!$B$9:$ALY$41,$C$10,BX$370)</f>
        <v>261.13475999999997</v>
      </c>
      <c r="BY377" s="1387">
        <f>INDEX('DEFAULT DATA'!$B$9:$ALY$41,$C$10,BY$370)</f>
        <v>96.5</v>
      </c>
      <c r="BZ377" s="1387">
        <f>INDEX('DEFAULT DATA'!$B$9:$ALY$41,$C$10,BZ$370)</f>
        <v>63.215999999999994</v>
      </c>
      <c r="CA377" s="1387">
        <f>INDEX('DEFAULT DATA'!$B$9:$ALY$41,$C$10,CA$370)</f>
        <v>233.35949490734063</v>
      </c>
      <c r="CB377" s="1387">
        <f>INDEX('DEFAULT DATA'!$B$9:$ALY$41,$C$10,CB$370)</f>
        <v>157.40783999999999</v>
      </c>
      <c r="CC377" s="1387">
        <f>INDEX('DEFAULT DATA'!$B$9:$ALY$41,$C$10,CC$370)</f>
        <v>0</v>
      </c>
      <c r="CD377" s="1387">
        <f>INDEX('DEFAULT DATA'!$B$9:$ALY$41,$C$10,CD$370)</f>
        <v>256.20808011776955</v>
      </c>
      <c r="CE377" s="1387">
        <f>INDEX('DEFAULT DATA'!$B$9:$ALY$41,$C$10,CE$370)</f>
        <v>165.17663999999999</v>
      </c>
      <c r="CF377" s="1387">
        <f>INDEX('DEFAULT DATA'!$B$9:$ALY$41,$C$10,CF$370)</f>
        <v>0</v>
      </c>
      <c r="CG377" s="1387">
        <f>INDEX('DEFAULT DATA'!$B$9:$ALY$41,$C$10,CG$370)</f>
        <v>0</v>
      </c>
      <c r="CH377" s="1387">
        <f>INDEX('DEFAULT DATA'!$B$9:$ALY$41,$C$10,CH$370)</f>
        <v>6.585</v>
      </c>
      <c r="CI377" s="1387">
        <f>INDEX('DEFAULT DATA'!$B$9:$ALY$41,$C$10,CI$370)</f>
        <v>1.3169999999999999</v>
      </c>
      <c r="CJ377" s="1387">
        <f>INDEX('DEFAULT DATA'!$B$9:$ALY$41,$C$10,CJ$370)</f>
        <v>38</v>
      </c>
      <c r="CK377" s="1387">
        <f>INDEX('DEFAULT DATA'!$B$9:$ALY$41,$C$10,CK$370)</f>
        <v>225.83915999999996</v>
      </c>
      <c r="CL377" s="1387">
        <f>INDEX('DEFAULT DATA'!$B$9:$ALY$41,$C$10,CL$370)</f>
        <v>0.2</v>
      </c>
      <c r="CM377" s="1387">
        <f>INDEX('DEFAULT DATA'!$B$9:$ALY$41,$C$10,CM$370)</f>
        <v>175.08124000000001</v>
      </c>
      <c r="CN377" s="1387">
        <f>INDEX('DEFAULT DATA'!$B$9:$ALY$41,$C$10,CN$370)</f>
        <v>60.4</v>
      </c>
      <c r="CO377" s="1387">
        <f>INDEX('DEFAULT DATA'!$B$9:$ALY$41,$C$10,CO$370)</f>
        <v>42.384</v>
      </c>
      <c r="CP377" s="1387">
        <f>INDEX('DEFAULT DATA'!$B$9:$ALY$41,$C$10,CP$370)</f>
        <v>156.45894761061641</v>
      </c>
      <c r="CQ377" s="1387">
        <f>INDEX('DEFAULT DATA'!$B$9:$ALY$41,$C$10,CQ$370)</f>
        <v>105.53616</v>
      </c>
      <c r="CR377" s="1387">
        <f>INDEX('DEFAULT DATA'!$B$9:$ALY$41,$C$10,CR$370)</f>
        <v>0</v>
      </c>
      <c r="CS377" s="1387">
        <f>INDEX('DEFAULT DATA'!$B$9:$ALY$41,$C$10,CS$370)</f>
        <v>159.24945066654416</v>
      </c>
      <c r="CT377" s="1387">
        <f>INDEX('DEFAULT DATA'!$B$9:$ALY$41,$C$10,CT$370)</f>
        <v>102.66767999999999</v>
      </c>
      <c r="CU377" s="1387">
        <f>INDEX('DEFAULT DATA'!$B$9:$ALY$41,$C$10,CU$370)</f>
        <v>0</v>
      </c>
      <c r="CV377" s="1387">
        <f>INDEX('DEFAULT DATA'!$B$9:$ALY$41,$C$10,CV$370)</f>
        <v>0</v>
      </c>
      <c r="CW377" s="1387">
        <f>INDEX('DEFAULT DATA'!$B$9:$ALY$41,$C$10,CW$370)</f>
        <v>4.415</v>
      </c>
      <c r="CX377" s="1387">
        <f>INDEX('DEFAULT DATA'!$B$9:$ALY$41,$C$10,CX$370)</f>
        <v>0.88300000000000001</v>
      </c>
      <c r="CY377" s="1387">
        <f>INDEX('DEFAULT DATA'!$B$9:$ALY$41,$C$10,CY$370)</f>
        <v>27</v>
      </c>
      <c r="CZ377" s="1387">
        <f>INDEX('DEFAULT DATA'!$B$9:$ALY$41,$C$10,CZ$370)</f>
        <v>151.41683999999998</v>
      </c>
      <c r="DA377" s="1387">
        <f>INDEX('DEFAULT DATA'!$B$9:$ALY$41,$C$10,DA$370)</f>
        <v>0.2</v>
      </c>
      <c r="DB377" s="1140">
        <f>INDEX('DEFAULT DATA'!$B$9:$ALY$41,$C$10,DB$370)</f>
        <v>0.3</v>
      </c>
      <c r="DC377" s="1140">
        <f>INDEX('DEFAULT DATA'!$B$9:$ALY$41,$C$10,DC$370)</f>
        <v>0.7</v>
      </c>
      <c r="DD377" s="1140">
        <f>INDEX('DEFAULT DATA'!$B$9:$ALY$41,$C$10,DD$370)</f>
        <v>1.2</v>
      </c>
      <c r="DE377" s="1140">
        <f>INDEX('DEFAULT DATA'!$B$9:$ALY$41,$C$10,DE$370)</f>
        <v>1.2</v>
      </c>
      <c r="DF377" s="1140">
        <f>INDEX('DEFAULT DATA'!$B$9:$ALY$41,$C$10,DF$370)</f>
        <v>3</v>
      </c>
      <c r="DG377" s="1387">
        <f>INDEX('DEFAULT DATA'!$B$9:$ALY$41,$C$10,DG$370)</f>
        <v>0</v>
      </c>
      <c r="DH377" s="1387">
        <f>INDEX('DEFAULT DATA'!$B$9:$ALY$41,$C$10,DH$370)</f>
        <v>10</v>
      </c>
      <c r="DI377" s="1387">
        <f>INDEX('DEFAULT DATA'!$B$9:$ALY$41,$C$10,DI$370)</f>
        <v>20</v>
      </c>
      <c r="DJ377" s="1387">
        <f>INDEX('DEFAULT DATA'!$B$9:$ALY$41,$C$10,DJ$370)</f>
        <v>70</v>
      </c>
      <c r="DK377" s="1387">
        <f>INDEX('DEFAULT DATA'!$B$9:$ALY$41,$C$10,DK$370)</f>
        <v>100</v>
      </c>
      <c r="DL377" s="1387">
        <f>INDEX('DEFAULT DATA'!$B$9:$ALY$41,$C$10,DL$370)</f>
        <v>0</v>
      </c>
      <c r="DM377" s="1387">
        <f>INDEX('DEFAULT DATA'!$B$9:$ALY$41,$C$10,DM$370)</f>
        <v>18</v>
      </c>
      <c r="DN377" s="1387">
        <f>INDEX('DEFAULT DATA'!$B$9:$ALY$41,$C$10,DN$370)</f>
        <v>12</v>
      </c>
      <c r="DO377" s="1387">
        <f>INDEX('DEFAULT DATA'!$B$9:$ALY$41,$C$10,DO$370)</f>
        <v>2.9</v>
      </c>
      <c r="DP377" s="1387">
        <f>INDEX('DEFAULT DATA'!$B$9:$ALY$41,$C$10,DP$370)</f>
        <v>1.1000000000000001</v>
      </c>
      <c r="DQ377" s="1387">
        <f>INDEX('DEFAULT DATA'!$B$9:$ALY$41,$C$10,DQ$370)</f>
        <v>1.1000000000000001</v>
      </c>
      <c r="DR377" s="1140" t="str">
        <f>INDEX('DEFAULT DATA'!$B$9:$ALY$41,$C$10,DR$370)</f>
        <v>no metro</v>
      </c>
      <c r="DS377" s="1140" t="str">
        <f>INDEX('DEFAULT DATA'!$B$9:$ALY$41,$C$10,DS$370)</f>
        <v>-</v>
      </c>
      <c r="DT377" s="1140" t="str">
        <f>INDEX('DEFAULT DATA'!$B$9:$ALY$41,$C$10,DT$370)</f>
        <v>-</v>
      </c>
      <c r="DU377" s="1140" t="str">
        <f>INDEX('DEFAULT DATA'!$B$9:$ALY$41,$C$10,DU$370)</f>
        <v>-</v>
      </c>
      <c r="DV377" s="1140" t="str">
        <f>INDEX('DEFAULT DATA'!$B$9:$ALY$41,$C$10,DV$370)</f>
        <v>-</v>
      </c>
      <c r="DW377" s="1140" t="str">
        <f>INDEX('DEFAULT DATA'!$B$9:$ALY$41,$C$10,DW$370)</f>
        <v>-</v>
      </c>
      <c r="DX377" s="1140" t="str">
        <f>INDEX('DEFAULT DATA'!$B$9:$ALY$41,$C$10,DX$370)</f>
        <v>-</v>
      </c>
      <c r="DY377" s="1387">
        <f>INDEX('DEFAULT DATA'!$B$9:$ALY$41,$C$10,DY$370)</f>
        <v>0</v>
      </c>
      <c r="DZ377" s="1387">
        <f>INDEX('DEFAULT DATA'!$B$9:$ALY$41,$C$10,DZ$370)</f>
        <v>0</v>
      </c>
      <c r="EA377" s="1387">
        <f>INDEX('DEFAULT DATA'!$B$9:$ALY$41,$C$10,EA$370)</f>
        <v>0</v>
      </c>
      <c r="EB377" s="1387">
        <f>INDEX('DEFAULT DATA'!$B$9:$ALY$41,$C$10,EB$370)</f>
        <v>0</v>
      </c>
      <c r="EC377" s="1387">
        <f>INDEX('DEFAULT DATA'!$B$9:$ALY$41,$C$10,EC$370)</f>
        <v>0</v>
      </c>
      <c r="ED377" s="1387">
        <f>INDEX('DEFAULT DATA'!$B$9:$ALY$41,$C$10,ED$370)</f>
        <v>0</v>
      </c>
      <c r="EE377" s="1387">
        <f>INDEX('DEFAULT DATA'!$B$9:$ALY$41,$C$10,EE$370)</f>
        <v>0</v>
      </c>
      <c r="EF377" s="1387">
        <f>INDEX('DEFAULT DATA'!$B$9:$ALY$41,$C$10,EF$370)</f>
        <v>0.14037450000000001</v>
      </c>
      <c r="EG377" s="1387">
        <f>INDEX('DEFAULT DATA'!$B$9:$ALY$41,$C$10,EG$370)</f>
        <v>18</v>
      </c>
      <c r="EH377" s="1387">
        <f>INDEX('DEFAULT DATA'!$B$9:$ALY$41,$C$10,EH$370)</f>
        <v>5</v>
      </c>
      <c r="EI377" s="1387">
        <f>INDEX('DEFAULT DATA'!$B$9:$ALY$41,$C$10,EI$370)</f>
        <v>2.9</v>
      </c>
      <c r="EJ377" s="1387">
        <f>INDEX('DEFAULT DATA'!$B$9:$ALY$41,$C$10,EJ$370)</f>
        <v>1.1000000000000001</v>
      </c>
      <c r="EK377" s="1387">
        <f>INDEX('DEFAULT DATA'!$B$9:$ALY$41,$C$10,EK$370)</f>
        <v>1.1000000000000001</v>
      </c>
      <c r="EL377" s="1387" t="str">
        <f>INDEX('DEFAULT DATA'!$B$9:$ALY$41,$C$10,EL$370)</f>
        <v>Bratislava</v>
      </c>
      <c r="EM377" s="1387" t="str">
        <f>INDEX('DEFAULT DATA'!$B$9:$ALY$41,$C$10,EM$370)</f>
        <v>Košice</v>
      </c>
      <c r="EN377" s="1387" t="str">
        <f>INDEX('DEFAULT DATA'!$B$9:$ALY$41,$C$10,EN$370)</f>
        <v>Trenčianske Teplice</v>
      </c>
      <c r="EO377" s="1387" t="str">
        <f>INDEX('DEFAULT DATA'!$B$9:$ALY$41,$C$10,EO$370)</f>
        <v>-</v>
      </c>
      <c r="EP377" s="1387" t="str">
        <f>INDEX('DEFAULT DATA'!$B$9:$ALY$41,$C$10,EP$370)</f>
        <v>-</v>
      </c>
      <c r="EQ377" s="1387" t="str">
        <f>INDEX('DEFAULT DATA'!$B$9:$ALY$41,$C$10,EQ$370)</f>
        <v>-</v>
      </c>
      <c r="ER377" s="1387" t="str">
        <f>INDEX('DEFAULT DATA'!$B$9:$ALY$41,$C$10,ER$370)</f>
        <v>-</v>
      </c>
      <c r="ES377" s="1387" t="str">
        <f>INDEX('DEFAULT DATA'!$B$9:$ALY$41,$C$10,ES$370)</f>
        <v>-</v>
      </c>
      <c r="ET377" s="1387" t="str">
        <f>INDEX('DEFAULT DATA'!$B$9:$ALY$41,$C$10,ET$370)</f>
        <v>-</v>
      </c>
      <c r="EU377" s="1387" t="str">
        <f>INDEX('DEFAULT DATA'!$B$9:$ALY$41,$C$10,EU$370)</f>
        <v>-</v>
      </c>
      <c r="EV377" s="1387" t="str">
        <f>INDEX('DEFAULT DATA'!$B$9:$ALY$41,$C$10,EV$370)</f>
        <v>-</v>
      </c>
      <c r="EW377" s="1387" t="str">
        <f>INDEX('DEFAULT DATA'!$B$9:$ALY$41,$C$10,EW$370)</f>
        <v>-</v>
      </c>
      <c r="EX377" s="1387" t="str">
        <f>INDEX('DEFAULT DATA'!$B$9:$ALY$41,$C$10,EX$370)</f>
        <v>-</v>
      </c>
      <c r="EY377" s="1387" t="str">
        <f>INDEX('DEFAULT DATA'!$B$9:$ALY$41,$C$10,EY$370)</f>
        <v>-</v>
      </c>
      <c r="EZ377" s="1387" t="str">
        <f>INDEX('DEFAULT DATA'!$B$9:$ALY$41,$C$10,EZ$370)</f>
        <v>-</v>
      </c>
      <c r="FA377" s="1387" t="str">
        <f>INDEX('DEFAULT DATA'!$B$9:$ALY$41,$C$10,FA$370)</f>
        <v>-</v>
      </c>
      <c r="FB377" s="1387" t="str">
        <f>INDEX('DEFAULT DATA'!$B$9:$ALY$41,$C$10,FB$370)</f>
        <v>-</v>
      </c>
      <c r="FC377" s="1387" t="str">
        <f>INDEX('DEFAULT DATA'!$B$9:$ALY$41,$C$10,FC$370)</f>
        <v>-</v>
      </c>
      <c r="FD377" s="1387" t="str">
        <f>INDEX('DEFAULT DATA'!$B$9:$ALY$41,$C$10,FD$370)</f>
        <v>-</v>
      </c>
      <c r="FE377" s="1387" t="str">
        <f>INDEX('DEFAULT DATA'!$B$9:$ALY$41,$C$10,FE$370)</f>
        <v>-</v>
      </c>
      <c r="FF377" s="1387" t="str">
        <f>INDEX('DEFAULT DATA'!$B$9:$ALY$41,$C$10,FF$370)</f>
        <v>-</v>
      </c>
      <c r="FG377" s="1387" t="str">
        <f>INDEX('DEFAULT DATA'!$B$9:$ALY$41,$C$10,FG$370)</f>
        <v>-</v>
      </c>
      <c r="FH377" s="1387" t="str">
        <f>INDEX('DEFAULT DATA'!$B$9:$ALY$41,$C$10,FH$370)</f>
        <v>-</v>
      </c>
      <c r="FI377" s="1387" t="str">
        <f>INDEX('DEFAULT DATA'!$B$9:$ALY$41,$C$10,FI$370)</f>
        <v>-</v>
      </c>
      <c r="FJ377" s="1387" t="str">
        <f>INDEX('DEFAULT DATA'!$B$9:$ALY$41,$C$10,FJ$370)</f>
        <v>-</v>
      </c>
      <c r="FK377" s="1387" t="str">
        <f>INDEX('DEFAULT DATA'!$B$9:$ALY$41,$C$10,FK$370)</f>
        <v>-</v>
      </c>
      <c r="FL377" s="1387" t="str">
        <f>INDEX('DEFAULT DATA'!$B$9:$ALY$41,$C$10,FL$370)</f>
        <v>-</v>
      </c>
      <c r="FM377" s="1387" t="str">
        <f>INDEX('DEFAULT DATA'!$B$9:$ALY$41,$C$10,FM$370)</f>
        <v>-</v>
      </c>
      <c r="FN377" s="1387" t="str">
        <f>INDEX('DEFAULT DATA'!$B$9:$ALY$41,$C$10,FN$370)</f>
        <v>-</v>
      </c>
      <c r="FO377" s="1387" t="str">
        <f>INDEX('DEFAULT DATA'!$B$9:$ALY$41,$C$10,FO$370)</f>
        <v>-</v>
      </c>
      <c r="FP377" s="1387" t="str">
        <f>INDEX('DEFAULT DATA'!$B$9:$ALY$41,$C$10,FP$370)</f>
        <v>-</v>
      </c>
      <c r="FQ377" s="1387" t="str">
        <f>INDEX('DEFAULT DATA'!$B$9:$ALY$41,$C$10,FQ$370)</f>
        <v>-</v>
      </c>
      <c r="FR377" s="1387" t="str">
        <f>INDEX('DEFAULT DATA'!$B$9:$ALY$41,$C$10,FR$370)</f>
        <v>-</v>
      </c>
      <c r="FS377" s="1387" t="str">
        <f>INDEX('DEFAULT DATA'!$B$9:$ALY$41,$C$10,FS$370)</f>
        <v>-</v>
      </c>
      <c r="FT377" s="1387" t="str">
        <f>INDEX('DEFAULT DATA'!$B$9:$ALY$41,$C$10,FT$370)</f>
        <v>-</v>
      </c>
      <c r="FU377" s="1387" t="str">
        <f>INDEX('DEFAULT DATA'!$B$9:$ALY$41,$C$10,FU$370)</f>
        <v>-</v>
      </c>
      <c r="FV377" s="1387" t="str">
        <f>INDEX('DEFAULT DATA'!$B$9:$ALY$41,$C$10,FV$370)</f>
        <v>-</v>
      </c>
      <c r="FW377" s="1387" t="str">
        <f>INDEX('DEFAULT DATA'!$B$9:$ALY$41,$C$10,FW$370)</f>
        <v>-</v>
      </c>
      <c r="FX377" s="1387" t="str">
        <f>INDEX('DEFAULT DATA'!$B$9:$ALY$41,$C$10,FX$370)</f>
        <v>-</v>
      </c>
      <c r="FY377" s="1387" t="str">
        <f>INDEX('DEFAULT DATA'!$B$9:$ALY$41,$C$10,FY$370)</f>
        <v>-</v>
      </c>
      <c r="FZ377" s="1387" t="str">
        <f>INDEX('DEFAULT DATA'!$B$9:$ALY$41,$C$10,FZ$370)</f>
        <v>-</v>
      </c>
      <c r="GA377" s="1387" t="str">
        <f>INDEX('DEFAULT DATA'!$B$9:$ALY$41,$C$10,GA$370)</f>
        <v>-</v>
      </c>
      <c r="GB377" s="1387" t="str">
        <f>INDEX('DEFAULT DATA'!$B$9:$ALY$41,$C$10,GB$370)</f>
        <v>-</v>
      </c>
      <c r="GC377" s="1387" t="str">
        <f>INDEX('DEFAULT DATA'!$B$9:$ALY$41,$C$10,GC$370)</f>
        <v>-</v>
      </c>
      <c r="GD377" s="1387" t="str">
        <f>INDEX('DEFAULT DATA'!$B$9:$ALY$41,$C$10,GD$370)</f>
        <v>-</v>
      </c>
      <c r="GE377" s="1387" t="str">
        <f>INDEX('DEFAULT DATA'!$B$9:$ALY$41,$C$10,GE$370)</f>
        <v>-</v>
      </c>
      <c r="GF377" s="1387" t="str">
        <f>INDEX('DEFAULT DATA'!$B$9:$ALY$41,$C$10,GF$370)</f>
        <v>-</v>
      </c>
      <c r="GG377" s="1387" t="str">
        <f>INDEX('DEFAULT DATA'!$B$9:$ALY$41,$C$10,GG$370)</f>
        <v>-</v>
      </c>
      <c r="GH377" s="1387" t="str">
        <f>INDEX('DEFAULT DATA'!$B$9:$ALY$41,$C$10,GH$370)</f>
        <v>-</v>
      </c>
      <c r="GI377" s="1387" t="str">
        <f>INDEX('DEFAULT DATA'!$B$9:$ALY$41,$C$10,GI$370)</f>
        <v>-</v>
      </c>
      <c r="GJ377" s="1387" t="str">
        <f>INDEX('DEFAULT DATA'!$B$9:$ALY$41,$C$10,GJ$370)</f>
        <v>-</v>
      </c>
      <c r="GK377" s="1387" t="str">
        <f>INDEX('DEFAULT DATA'!$B$9:$ALY$41,$C$10,GK$370)</f>
        <v>-</v>
      </c>
      <c r="GL377" s="1387" t="str">
        <f>INDEX('DEFAULT DATA'!$B$9:$ALY$41,$C$10,GL$370)</f>
        <v>-</v>
      </c>
      <c r="GM377" s="1387" t="str">
        <f>INDEX('DEFAULT DATA'!$B$9:$ALY$41,$C$10,GM$370)</f>
        <v>-</v>
      </c>
      <c r="GN377" s="1387" t="str">
        <f>INDEX('DEFAULT DATA'!$B$9:$ALY$41,$C$10,GN$370)</f>
        <v>-</v>
      </c>
      <c r="GO377" s="1387" t="str">
        <f>INDEX('DEFAULT DATA'!$B$9:$ALY$41,$C$10,GO$370)</f>
        <v>-</v>
      </c>
      <c r="GP377" s="1387" t="str">
        <f>INDEX('DEFAULT DATA'!$B$9:$ALY$41,$C$10,GP$370)</f>
        <v>-</v>
      </c>
      <c r="GQ377" s="1387" t="str">
        <f>INDEX('DEFAULT DATA'!$B$9:$ALY$41,$C$10,GQ$370)</f>
        <v>-</v>
      </c>
      <c r="GR377" s="1387">
        <f>INDEX('DEFAULT DATA'!$B$9:$ALY$41,$C$10,GR$370)</f>
        <v>60.752242622950831</v>
      </c>
      <c r="GS377" s="1387">
        <f>INDEX('DEFAULT DATA'!$B$9:$ALY$41,$C$10,GS$370)</f>
        <v>70.570786885245909</v>
      </c>
      <c r="GT377" s="1387">
        <f>INDEX('DEFAULT DATA'!$B$9:$ALY$41,$C$10,GT$370)</f>
        <v>9.0514704918032809</v>
      </c>
      <c r="GU377" s="1387">
        <f>INDEX('DEFAULT DATA'!$B$9:$ALY$41,$C$10,GU$370)</f>
        <v>0</v>
      </c>
      <c r="GV377" s="1387">
        <f>INDEX('DEFAULT DATA'!$B$9:$ALY$41,$C$10,GV$370)</f>
        <v>0</v>
      </c>
      <c r="GW377" s="1387">
        <f>INDEX('DEFAULT DATA'!$B$9:$ALY$41,$C$10,GW$370)</f>
        <v>0</v>
      </c>
      <c r="GX377" s="1387">
        <f>INDEX('DEFAULT DATA'!$B$9:$ALY$41,$C$10,GX$370)</f>
        <v>0</v>
      </c>
      <c r="GY377" s="1387">
        <f>INDEX('DEFAULT DATA'!$B$9:$ALY$41,$C$10,GY$370)</f>
        <v>0</v>
      </c>
      <c r="GZ377" s="1387">
        <f>INDEX('DEFAULT DATA'!$B$9:$ALY$41,$C$10,GZ$370)</f>
        <v>0</v>
      </c>
      <c r="HA377" s="1387">
        <f>INDEX('DEFAULT DATA'!$B$9:$ALY$41,$C$10,HA$370)</f>
        <v>0</v>
      </c>
      <c r="HB377" s="1387">
        <f>INDEX('DEFAULT DATA'!$B$9:$ALY$41,$C$10,HB$370)</f>
        <v>0</v>
      </c>
      <c r="HC377" s="1387">
        <f>INDEX('DEFAULT DATA'!$B$9:$ALY$41,$C$10,HC$370)</f>
        <v>0</v>
      </c>
      <c r="HD377" s="1387">
        <f>INDEX('DEFAULT DATA'!$B$9:$ALY$41,$C$10,HD$370)</f>
        <v>0</v>
      </c>
      <c r="HE377" s="1387">
        <f>INDEX('DEFAULT DATA'!$B$9:$ALY$41,$C$10,HE$370)</f>
        <v>0</v>
      </c>
      <c r="HF377" s="1387">
        <f>INDEX('DEFAULT DATA'!$B$9:$ALY$41,$C$10,HF$370)</f>
        <v>0</v>
      </c>
      <c r="HG377" s="1387">
        <f>INDEX('DEFAULT DATA'!$B$9:$ALY$41,$C$10,HG$370)</f>
        <v>0</v>
      </c>
      <c r="HH377" s="1387">
        <f>INDEX('DEFAULT DATA'!$B$9:$ALY$41,$C$10,HH$370)</f>
        <v>0</v>
      </c>
      <c r="HI377" s="1387">
        <f>INDEX('DEFAULT DATA'!$B$9:$ALY$41,$C$10,HI$370)</f>
        <v>0</v>
      </c>
      <c r="HJ377" s="1387">
        <f>INDEX('DEFAULT DATA'!$B$9:$ALY$41,$C$10,HJ$370)</f>
        <v>0</v>
      </c>
      <c r="HK377" s="1387">
        <f>INDEX('DEFAULT DATA'!$B$9:$ALY$41,$C$10,HK$370)</f>
        <v>0</v>
      </c>
      <c r="HL377" s="1387">
        <f>INDEX('DEFAULT DATA'!$B$9:$ALY$41,$C$10,HL$370)</f>
        <v>0</v>
      </c>
      <c r="HM377" s="1387">
        <f>INDEX('DEFAULT DATA'!$B$9:$ALY$41,$C$10,HM$370)</f>
        <v>0</v>
      </c>
      <c r="HN377" s="1387">
        <f>INDEX('DEFAULT DATA'!$B$9:$ALY$41,$C$10,HN$370)</f>
        <v>0</v>
      </c>
      <c r="HO377" s="1387">
        <f>INDEX('DEFAULT DATA'!$B$9:$ALY$41,$C$10,HO$370)</f>
        <v>0</v>
      </c>
      <c r="HP377" s="1387">
        <f>INDEX('DEFAULT DATA'!$B$9:$ALY$41,$C$10,HP$370)</f>
        <v>0</v>
      </c>
      <c r="HQ377" s="1387">
        <f>INDEX('DEFAULT DATA'!$B$9:$ALY$41,$C$10,HQ$370)</f>
        <v>0</v>
      </c>
      <c r="HR377" s="1387">
        <f>INDEX('DEFAULT DATA'!$B$9:$ALY$41,$C$10,HR$370)</f>
        <v>0</v>
      </c>
      <c r="HS377" s="1387">
        <f>INDEX('DEFAULT DATA'!$B$9:$ALY$41,$C$10,HS$370)</f>
        <v>0</v>
      </c>
      <c r="HT377" s="1387">
        <f>INDEX('DEFAULT DATA'!$B$9:$ALY$41,$C$10,HT$370)</f>
        <v>0</v>
      </c>
      <c r="HU377" s="1387">
        <f>INDEX('DEFAULT DATA'!$B$9:$ALY$41,$C$10,HU$370)</f>
        <v>0</v>
      </c>
      <c r="HV377" s="1387">
        <f>INDEX('DEFAULT DATA'!$B$9:$ALY$41,$C$10,HV$370)</f>
        <v>0</v>
      </c>
      <c r="HW377" s="1387">
        <f>INDEX('DEFAULT DATA'!$B$9:$ALY$41,$C$10,HW$370)</f>
        <v>0</v>
      </c>
      <c r="HX377" s="1387">
        <f>INDEX('DEFAULT DATA'!$B$9:$ALY$41,$C$10,HX$370)</f>
        <v>0</v>
      </c>
      <c r="HY377" s="1387">
        <f>INDEX('DEFAULT DATA'!$B$9:$ALY$41,$C$10,HY$370)</f>
        <v>0</v>
      </c>
      <c r="HZ377" s="1387">
        <f>INDEX('DEFAULT DATA'!$B$9:$ALY$41,$C$10,HZ$370)</f>
        <v>0</v>
      </c>
      <c r="IA377" s="1387">
        <f>INDEX('DEFAULT DATA'!$B$9:$ALY$41,$C$10,IA$370)</f>
        <v>0</v>
      </c>
      <c r="IB377" s="1387">
        <f>INDEX('DEFAULT DATA'!$B$9:$ALY$41,$C$10,IB$370)</f>
        <v>0</v>
      </c>
      <c r="IC377" s="1387">
        <f>INDEX('DEFAULT DATA'!$B$9:$ALY$41,$C$10,IC$370)</f>
        <v>0</v>
      </c>
      <c r="ID377" s="1387">
        <f>INDEX('DEFAULT DATA'!$B$9:$ALY$41,$C$10,ID$370)</f>
        <v>0</v>
      </c>
      <c r="IE377" s="1387">
        <f>INDEX('DEFAULT DATA'!$B$9:$ALY$41,$C$10,IE$370)</f>
        <v>0</v>
      </c>
      <c r="IF377" s="1387">
        <f>INDEX('DEFAULT DATA'!$B$9:$ALY$41,$C$10,IF$370)</f>
        <v>0</v>
      </c>
      <c r="IG377" s="1387">
        <f>INDEX('DEFAULT DATA'!$B$9:$ALY$41,$C$10,IG$370)</f>
        <v>0</v>
      </c>
      <c r="IH377" s="1387">
        <f>INDEX('DEFAULT DATA'!$B$9:$ALY$41,$C$10,IH$370)</f>
        <v>0</v>
      </c>
      <c r="II377" s="1387">
        <f>INDEX('DEFAULT DATA'!$B$9:$ALY$41,$C$10,II$370)</f>
        <v>0</v>
      </c>
      <c r="IJ377" s="1387">
        <f>INDEX('DEFAULT DATA'!$B$9:$ALY$41,$C$10,IJ$370)</f>
        <v>0</v>
      </c>
      <c r="IK377" s="1387">
        <f>INDEX('DEFAULT DATA'!$B$9:$ALY$41,$C$10,IK$370)</f>
        <v>0</v>
      </c>
      <c r="IL377" s="1387">
        <f>INDEX('DEFAULT DATA'!$B$9:$ALY$41,$C$10,IL$370)</f>
        <v>0</v>
      </c>
      <c r="IM377" s="1387">
        <f>INDEX('DEFAULT DATA'!$B$9:$ALY$41,$C$10,IM$370)</f>
        <v>0</v>
      </c>
      <c r="IN377" s="1387">
        <f>INDEX('DEFAULT DATA'!$B$9:$ALY$41,$C$10,IN$370)</f>
        <v>0</v>
      </c>
      <c r="IO377" s="1387">
        <f>INDEX('DEFAULT DATA'!$B$9:$ALY$41,$C$10,IO$370)</f>
        <v>0</v>
      </c>
      <c r="IP377" s="1387">
        <f>INDEX('DEFAULT DATA'!$B$9:$ALY$41,$C$10,IP$370)</f>
        <v>0</v>
      </c>
      <c r="IQ377" s="1387">
        <f>INDEX('DEFAULT DATA'!$B$9:$ALY$41,$C$10,IQ$370)</f>
        <v>0</v>
      </c>
      <c r="IR377" s="1387">
        <f>INDEX('DEFAULT DATA'!$B$9:$ALY$41,$C$10,IR$370)</f>
        <v>0</v>
      </c>
      <c r="IS377" s="1387">
        <f>INDEX('DEFAULT DATA'!$B$9:$ALY$41,$C$10,IS$370)</f>
        <v>0</v>
      </c>
      <c r="IT377" s="1387">
        <f>INDEX('DEFAULT DATA'!$B$9:$ALY$41,$C$10,IT$370)</f>
        <v>0</v>
      </c>
      <c r="IU377" s="1387">
        <f>INDEX('DEFAULT DATA'!$B$9:$ALY$41,$C$10,IU$370)</f>
        <v>0</v>
      </c>
      <c r="IV377" s="1387">
        <f>INDEX('DEFAULT DATA'!$B$9:$ALY$41,$C$10,IV$370)</f>
        <v>0</v>
      </c>
      <c r="IW377" s="1387">
        <f>INDEX('DEFAULT DATA'!$B$9:$ALY$41,$C$10,IW$370)</f>
        <v>0</v>
      </c>
      <c r="IX377" s="1387">
        <f>INDEX('DEFAULT DATA'!$B$9:$ALY$41,$C$10,IX$370)</f>
        <v>694.53335216192738</v>
      </c>
      <c r="IY377" s="1387">
        <f>INDEX('DEFAULT DATA'!$B$9:$ALY$41,$C$10,IY$370)</f>
        <v>179.9</v>
      </c>
      <c r="IZ377" s="1387">
        <f>INDEX('DEFAULT DATA'!$B$9:$ALY$41,$C$10,IZ$370)</f>
        <v>2647.0800000000199</v>
      </c>
      <c r="JA377" s="1387">
        <f>INDEX('DEFAULT DATA'!$B$9:$ALY$41,$C$10,JA$370)</f>
        <v>12.64</v>
      </c>
      <c r="JB377" s="1387">
        <f>INDEX('DEFAULT DATA'!$B$9:$ALY$41,$C$10,JB$370)</f>
        <v>60.876276097376049</v>
      </c>
      <c r="JC377" s="1387">
        <f>INDEX('DEFAULT DATA'!$B$9:$ALY$41,$C$10,JC$370)</f>
        <v>2.9</v>
      </c>
      <c r="JD377" s="1387">
        <f>INDEX('DEFAULT DATA'!$B$9:$ALY$41,$C$10,JD$370)</f>
        <v>1.1000000000000001</v>
      </c>
      <c r="JE377" s="1387">
        <f>INDEX('DEFAULT DATA'!$B$9:$ALY$41,$C$10,JE$370)</f>
        <v>1.1000000000000001</v>
      </c>
      <c r="JF377" s="1387">
        <f>INDEX('DEFAULT DATA'!$B$9:$ALY$41,$C$10,JF$370)</f>
        <v>2</v>
      </c>
      <c r="JG377" s="1387">
        <f>INDEX('DEFAULT DATA'!$B$9:$ALY$41,$C$10,JG$370)</f>
        <v>1.5</v>
      </c>
      <c r="JH377" s="1387">
        <f>INDEX('DEFAULT DATA'!$B$9:$ALY$41,$C$10,JH$370)</f>
        <v>0.7</v>
      </c>
      <c r="JI377" s="1387">
        <f>INDEX('DEFAULT DATA'!$B$9:$ALY$41,$C$10,JI$370)</f>
        <v>0.7</v>
      </c>
      <c r="JJ377" s="1387">
        <f>INDEX('DEFAULT DATA'!$B$9:$ALY$41,$C$10,JJ$370)</f>
        <v>0.5</v>
      </c>
      <c r="JK377" s="1387">
        <f>INDEX('DEFAULT DATA'!$B$9:$ALY$41,$C$10,JK$370)</f>
        <v>247.60012756555616</v>
      </c>
      <c r="JL377" s="1387">
        <f>INDEX('DEFAULT DATA'!$B$9:$ALY$41,$C$10,JL$370)</f>
        <v>2647.0800000000199</v>
      </c>
      <c r="JM377" s="1387">
        <f>INDEX('DEFAULT DATA'!$B$9:$ALY$41,$C$10,JM$370)</f>
        <v>12.64</v>
      </c>
      <c r="JN377" s="1387">
        <f>INDEX('DEFAULT DATA'!$B$9:$ALY$41,$C$10,JN$370)</f>
        <v>60.876276097376049</v>
      </c>
      <c r="JO377" s="1387">
        <f>INDEX('DEFAULT DATA'!$B$9:$ALY$41,$C$10,JO$370)</f>
        <v>2.8</v>
      </c>
      <c r="JP377" s="1387">
        <f>INDEX('DEFAULT DATA'!$B$9:$ALY$41,$C$10,JP$370)</f>
        <v>1</v>
      </c>
      <c r="JQ377" s="1387">
        <f>INDEX('DEFAULT DATA'!$B$9:$ALY$41,$C$10,JQ$370)</f>
        <v>1</v>
      </c>
      <c r="JR377" s="1387">
        <f>INDEX('DEFAULT DATA'!$B$9:$ALY$41,$C$10,JR$370)</f>
        <v>2</v>
      </c>
      <c r="JS377" s="1387">
        <f>INDEX('DEFAULT DATA'!$B$9:$ALY$41,$C$10,JS$370)</f>
        <v>2</v>
      </c>
      <c r="JT377" s="1387">
        <f>INDEX('DEFAULT DATA'!$B$9:$ALY$41,$C$10,JT$370)</f>
        <v>1</v>
      </c>
      <c r="JU377" s="1387">
        <f>INDEX('DEFAULT DATA'!$B$9:$ALY$41,$C$10,JU$370)</f>
        <v>1</v>
      </c>
      <c r="JV377" s="1387">
        <f>INDEX('DEFAULT DATA'!$B$9:$ALY$41,$C$10,JV$370)</f>
        <v>0.5</v>
      </c>
      <c r="JW377" s="1387">
        <f>INDEX('DEFAULT DATA'!$B$9:$ALY$41,$C$10,JW$370)</f>
        <v>2000</v>
      </c>
      <c r="JX377" s="1388">
        <f>INDEX('DEFAULT DATA'!$B$9:$ALY$41,$C$10,JX$370)</f>
        <v>518.06555086275444</v>
      </c>
      <c r="JY377" s="1388">
        <f>INDEX('DEFAULT DATA'!$B$9:$ALY$41,$C$10,JY$370)</f>
        <v>500</v>
      </c>
      <c r="JZ377" s="1388">
        <f>INDEX('DEFAULT DATA'!$B$9:$ALY$41,$C$10,JZ$370)</f>
        <v>1.7</v>
      </c>
      <c r="KA377" s="1388">
        <f>INDEX('DEFAULT DATA'!$B$9:$ALY$41,$C$10,KA$370)</f>
        <v>0.6</v>
      </c>
      <c r="KB377" s="1388">
        <f>INDEX('DEFAULT DATA'!$B$9:$ALY$41,$C$10,KB$370)</f>
        <v>0.6</v>
      </c>
      <c r="KC377" s="1388">
        <f>INDEX('DEFAULT DATA'!$B$9:$ALY$41,$C$10,KC$370)</f>
        <v>2</v>
      </c>
      <c r="KD377" s="1388">
        <f>INDEX('DEFAULT DATA'!$B$9:$ALY$41,$C$10,KD$370)</f>
        <v>1.5</v>
      </c>
      <c r="KE377" s="1388">
        <f>INDEX('DEFAULT DATA'!$B$9:$ALY$41,$C$10,KE$370)</f>
        <v>0.5</v>
      </c>
      <c r="KF377" s="1388">
        <f>INDEX('DEFAULT DATA'!$B$9:$ALY$41,$C$10,KF$370)</f>
        <v>1</v>
      </c>
      <c r="KG377" s="1388">
        <f>INDEX('DEFAULT DATA'!$B$9:$ALY$41,$C$10,KG$370)</f>
        <v>0.5</v>
      </c>
      <c r="KH377" s="1388">
        <f>INDEX('DEFAULT DATA'!$B$9:$ALY$41,$C$10,KH$370)</f>
        <v>0</v>
      </c>
      <c r="KI377" s="1388">
        <f>INDEX('DEFAULT DATA'!$B$9:$ALY$41,$C$10,KI$370)</f>
        <v>0</v>
      </c>
      <c r="KJ377" s="1388">
        <f>INDEX('DEFAULT DATA'!$B$9:$ALY$41,$C$10,KJ$370)</f>
        <v>0</v>
      </c>
      <c r="KK377" s="1388">
        <f>INDEX('DEFAULT DATA'!$B$9:$ALY$41,$C$10,KK$370)</f>
        <v>0</v>
      </c>
      <c r="KL377" s="1388">
        <f>INDEX('DEFAULT DATA'!$B$9:$ALY$41,$C$10,KL$370)</f>
        <v>0</v>
      </c>
      <c r="KM377" s="1388">
        <f>INDEX('DEFAULT DATA'!$B$9:$ALY$41,$C$10,KM$370)</f>
        <v>0</v>
      </c>
      <c r="KN377" s="1388">
        <f>INDEX('DEFAULT DATA'!$B$9:$ALY$41,$C$10,KN$370)</f>
        <v>0</v>
      </c>
      <c r="KO377" s="1388">
        <f>INDEX('DEFAULT DATA'!$B$9:$ALY$41,$C$10,KO$370)</f>
        <v>0</v>
      </c>
      <c r="KP377" s="1388">
        <f>INDEX('DEFAULT DATA'!$B$9:$ALY$41,$C$10,KP$370)</f>
        <v>0</v>
      </c>
      <c r="KQ377" s="1388">
        <f>INDEX('DEFAULT DATA'!$B$9:$ALY$41,$C$10,KQ$370)</f>
        <v>580</v>
      </c>
      <c r="KR377" s="1388">
        <f>INDEX('DEFAULT DATA'!$B$9:$ALY$41,$C$10,KR$370)</f>
        <v>580</v>
      </c>
      <c r="KS377" s="1388">
        <f>INDEX('DEFAULT DATA'!$B$9:$ALY$41,$C$10,KS$370)</f>
        <v>580</v>
      </c>
      <c r="KT377" s="1388">
        <f>INDEX('DEFAULT DATA'!$B$9:$ALY$41,$C$10,KT$370)</f>
        <v>580</v>
      </c>
      <c r="KU377" s="1388">
        <f>INDEX('DEFAULT DATA'!$B$9:$ALY$41,$C$10,KU$370)</f>
        <v>0</v>
      </c>
      <c r="KV377" s="1388">
        <f>INDEX('DEFAULT DATA'!$B$9:$ALY$41,$C$10,KV$370)</f>
        <v>580</v>
      </c>
      <c r="KW377" s="1388">
        <f>INDEX('DEFAULT DATA'!$B$9:$ALY$41,$C$10,KW$370)</f>
        <v>580</v>
      </c>
      <c r="KX377" s="1388">
        <f>INDEX('DEFAULT DATA'!$B$9:$ALY$41,$C$10,KX$370)</f>
        <v>580</v>
      </c>
      <c r="KY377" s="1388">
        <f>INDEX('DEFAULT DATA'!$B$9:$ALY$41,$C$10,KY$370)</f>
        <v>580</v>
      </c>
      <c r="KZ377" s="1140">
        <f>INDEX('DEFAULT DATA'!$B$9:$ALY$41,$C$10,KZ$370)</f>
        <v>370</v>
      </c>
      <c r="LA377" s="1140">
        <f>INDEX('DEFAULT DATA'!$B$9:$ALY$41,$C$10,LA$370)</f>
        <v>370</v>
      </c>
      <c r="LB377" s="1140">
        <f>INDEX('DEFAULT DATA'!$B$9:$ALY$41,$C$10,LB$370)</f>
        <v>370</v>
      </c>
      <c r="LC377" s="1140">
        <f>INDEX('DEFAULT DATA'!$B$9:$ALY$41,$C$10,LC$370)</f>
        <v>370</v>
      </c>
      <c r="LD377" s="1140">
        <f>INDEX('DEFAULT DATA'!$B$9:$ALY$41,$C$10,LD$370)</f>
        <v>0</v>
      </c>
      <c r="LE377" s="1140">
        <f>INDEX('DEFAULT DATA'!$B$9:$ALY$41,$C$10,LE$370)</f>
        <v>370</v>
      </c>
      <c r="LF377" s="1140">
        <f>INDEX('DEFAULT DATA'!$B$9:$ALY$41,$C$10,LF$370)</f>
        <v>370</v>
      </c>
      <c r="LG377" s="1140">
        <f>INDEX('DEFAULT DATA'!$B$9:$ALY$41,$C$10,LG$370)</f>
        <v>370</v>
      </c>
      <c r="LH377" s="1140">
        <f>INDEX('DEFAULT DATA'!$B$9:$ALY$41,$C$10,LH$370)</f>
        <v>370</v>
      </c>
      <c r="LI377" s="1140">
        <f>INDEX('DEFAULT DATA'!$B$9:$ALY$41,$C$10,LI$370)</f>
        <v>0</v>
      </c>
      <c r="LJ377" s="1140">
        <f>INDEX('DEFAULT DATA'!$B$9:$ALY$41,$C$10,LJ$370)</f>
        <v>10</v>
      </c>
      <c r="LK377" s="1140">
        <f>INDEX('DEFAULT DATA'!$B$9:$ALY$41,$C$10,LK$370)</f>
        <v>20</v>
      </c>
      <c r="LL377" s="1140">
        <f>INDEX('DEFAULT DATA'!$B$9:$ALY$41,$C$10,LL$370)</f>
        <v>70</v>
      </c>
      <c r="LM377" s="1140">
        <f>INDEX('DEFAULT DATA'!$B$9:$ALY$41,$C$10,LM$370)</f>
        <v>100</v>
      </c>
      <c r="LN377" s="1140">
        <f>INDEX('DEFAULT DATA'!$B$9:$ALY$41,$C$10,LN$370)</f>
        <v>1000</v>
      </c>
      <c r="LO377" s="1140">
        <f>INDEX('DEFAULT DATA'!$B$9:$ALY$41,$C$10,LO$370)</f>
        <v>152.75337966852516</v>
      </c>
      <c r="LP377" s="1140">
        <f>INDEX('DEFAULT DATA'!$B$9:$ALY$41,$C$10,LP$370)</f>
        <v>29</v>
      </c>
      <c r="LQ377" s="1140">
        <f>INDEX('DEFAULT DATA'!$B$9:$ALY$41,$C$10,LQ$370)</f>
        <v>1.4</v>
      </c>
      <c r="LR377" s="1140">
        <f>INDEX('DEFAULT DATA'!$B$9:$ALY$41,$C$10,LR$370)</f>
        <v>0.5</v>
      </c>
      <c r="LS377" s="1140">
        <f>INDEX('DEFAULT DATA'!$B$9:$ALY$41,$C$10,LS$370)</f>
        <v>0.5</v>
      </c>
      <c r="LT377" s="1140">
        <f>INDEX('DEFAULT DATA'!$B$9:$ALY$41,$C$10,LT$370)</f>
        <v>2</v>
      </c>
      <c r="LU377" s="1140">
        <f>INDEX('DEFAULT DATA'!$B$9:$ALY$41,$C$10,LU$370)</f>
        <v>1</v>
      </c>
      <c r="LV377" s="1140">
        <f>INDEX('DEFAULT DATA'!$B$9:$ALY$41,$C$10,LV$370)</f>
        <v>0.5</v>
      </c>
      <c r="LW377" s="1140">
        <f>INDEX('DEFAULT DATA'!$B$9:$ALY$41,$C$10,LW$370)</f>
        <v>0.7</v>
      </c>
      <c r="LX377" s="1140">
        <f>INDEX('DEFAULT DATA'!$B$9:$ALY$41,$C$10,LX$370)</f>
        <v>0.2</v>
      </c>
      <c r="LY377" s="1140">
        <f>INDEX('DEFAULT DATA'!$B$9:$ALY$41,$C$10,LY$370)</f>
        <v>1500</v>
      </c>
      <c r="LZ377" s="1140">
        <f>INDEX('DEFAULT DATA'!$B$9:$ALY$41,$C$10,LZ$370)</f>
        <v>500</v>
      </c>
      <c r="MA377" s="1140">
        <f>INDEX('DEFAULT DATA'!$B$9:$ALY$41,$C$10,MA$370)</f>
        <v>1</v>
      </c>
      <c r="MB377" s="1140" t="str">
        <f>INDEX('DEFAULT DATA'!$B$9:$ALY$41,$C$10,MB$370)</f>
        <v>none</v>
      </c>
      <c r="MC377" s="1140" t="str">
        <f>INDEX('DEFAULT DATA'!$B$9:$ALY$41,$C$10,MC$370)</f>
        <v>low intensity</v>
      </c>
      <c r="MD377" s="1140" t="str">
        <f>INDEX('DEFAULT DATA'!$B$9:$ALY$41,$C$10,MD$370)</f>
        <v>average intensity</v>
      </c>
      <c r="ME377" s="1140" t="str">
        <f>INDEX('DEFAULT DATA'!$B$9:$ALY$41,$C$10,ME$370)</f>
        <v>high intensity</v>
      </c>
      <c r="MF377" s="1140">
        <f>INDEX('DEFAULT DATA'!$B$9:$ALY$41,$C$10,MF$370)</f>
        <v>0.5</v>
      </c>
      <c r="MG377" s="1140">
        <f>INDEX('DEFAULT DATA'!$B$9:$ALY$41,$C$10,MG$370)</f>
        <v>0.75</v>
      </c>
      <c r="MH377" s="1140">
        <f>INDEX('DEFAULT DATA'!$B$9:$ALY$41,$C$10,MH$370)</f>
        <v>1</v>
      </c>
      <c r="MI377" s="1140">
        <f>INDEX('DEFAULT DATA'!$B$9:$ALY$41,$C$10,MI$370)</f>
        <v>2</v>
      </c>
      <c r="MJ377" s="1140">
        <f>INDEX('DEFAULT DATA'!$B$9:$ALY$41,$C$10,MJ$370)</f>
        <v>0.5</v>
      </c>
      <c r="MK377" s="1140">
        <f>INDEX('DEFAULT DATA'!$B$9:$ALY$41,$C$10,MK$370)</f>
        <v>0.75</v>
      </c>
      <c r="ML377" s="1140">
        <f>INDEX('DEFAULT DATA'!$B$9:$ALY$41,$C$10,ML$370)</f>
        <v>1</v>
      </c>
      <c r="MM377" s="1140">
        <f>INDEX('DEFAULT DATA'!$B$9:$ALY$41,$C$10,MM$370)</f>
        <v>2</v>
      </c>
      <c r="MN377" s="1140">
        <f>INDEX('DEFAULT DATA'!$B$9:$ALY$41,$C$10,MN$370)</f>
        <v>0</v>
      </c>
      <c r="MO377" s="1140">
        <f>INDEX('DEFAULT DATA'!$B$9:$ALY$41,$C$10,MO$370)</f>
        <v>0.5</v>
      </c>
      <c r="MP377" s="1140">
        <f>INDEX('DEFAULT DATA'!$B$9:$ALY$41,$C$10,MP$370)</f>
        <v>1</v>
      </c>
      <c r="MQ377" s="1140">
        <f>INDEX('DEFAULT DATA'!$B$9:$ALY$41,$C$10,MQ$370)</f>
        <v>2</v>
      </c>
      <c r="MR377" s="1140">
        <f>INDEX('DEFAULT DATA'!$B$9:$ALY$41,$C$10,MR$370)</f>
        <v>0</v>
      </c>
      <c r="MS377" s="1140">
        <f>INDEX('DEFAULT DATA'!$B$9:$ALY$41,$C$10,MS$370)</f>
        <v>0.5</v>
      </c>
      <c r="MT377" s="1140">
        <f>INDEX('DEFAULT DATA'!$B$9:$ALY$41,$C$10,MT$370)</f>
        <v>1</v>
      </c>
      <c r="MU377" s="1140">
        <f>INDEX('DEFAULT DATA'!$B$9:$ALY$41,$C$10,MU$370)</f>
        <v>2</v>
      </c>
      <c r="MV377" s="1140">
        <f>INDEX('DEFAULT DATA'!$B$9:$ALY$41,$C$10,MV$370)</f>
        <v>0</v>
      </c>
      <c r="MW377" s="1140">
        <f>INDEX('DEFAULT DATA'!$B$9:$ALY$41,$C$10,MW$370)</f>
        <v>0</v>
      </c>
      <c r="MX377" s="1140">
        <f>INDEX('DEFAULT DATA'!$B$9:$ALY$41,$C$10,MX$370)</f>
        <v>0</v>
      </c>
      <c r="MY377" s="1140">
        <f>INDEX('DEFAULT DATA'!$B$9:$ALY$41,$C$10,MY$370)</f>
        <v>0</v>
      </c>
      <c r="MZ377" s="1140">
        <f>INDEX('DEFAULT DATA'!$B$9:$ALY$41,$C$10,MZ$370)</f>
        <v>0</v>
      </c>
      <c r="NA377" s="1140">
        <f>INDEX('DEFAULT DATA'!$B$9:$ALY$41,$C$10,NA$370)</f>
        <v>0</v>
      </c>
      <c r="NB377" s="1140">
        <f>INDEX('DEFAULT DATA'!$B$9:$ALY$41,$C$10,NB$370)</f>
        <v>0</v>
      </c>
      <c r="NC377" s="1140">
        <f>INDEX('DEFAULT DATA'!$B$9:$ALY$41,$C$10,NC$370)</f>
        <v>0</v>
      </c>
      <c r="ND377" s="1140">
        <f>INDEX('DEFAULT DATA'!$B$9:$ALY$41,$C$10,ND$370)</f>
        <v>0</v>
      </c>
      <c r="NE377" s="1140">
        <f>INDEX('DEFAULT DATA'!$B$9:$ALY$41,$C$10,NE$370)</f>
        <v>0</v>
      </c>
      <c r="NF377" s="1140">
        <f>INDEX('DEFAULT DATA'!$B$9:$ALY$41,$C$10,NF$370)</f>
        <v>0</v>
      </c>
      <c r="NG377" s="1140">
        <f>INDEX('DEFAULT DATA'!$B$9:$ALY$41,$C$10,NG$370)</f>
        <v>0</v>
      </c>
      <c r="NH377" s="1140">
        <f>INDEX('DEFAULT DATA'!$B$9:$ALY$41,$C$10,NH$370)</f>
        <v>0</v>
      </c>
      <c r="NI377" s="1140">
        <f>INDEX('DEFAULT DATA'!$B$9:$ALY$41,$C$10,NI$370)</f>
        <v>0</v>
      </c>
      <c r="NJ377" s="1140">
        <f>INDEX('DEFAULT DATA'!$B$9:$ALY$41,$C$10,NJ$370)</f>
        <v>0</v>
      </c>
      <c r="NK377" s="1140">
        <f>INDEX('DEFAULT DATA'!$B$9:$ALY$41,$C$10,NK$370)</f>
        <v>0</v>
      </c>
      <c r="NL377" s="1140">
        <f>INDEX('DEFAULT DATA'!$B$9:$ALY$41,$C$10,NL$370)</f>
        <v>0</v>
      </c>
      <c r="NM377" s="1140">
        <f>INDEX('DEFAULT DATA'!$B$9:$ALY$41,$C$10,NM$370)</f>
        <v>0</v>
      </c>
      <c r="NN377" s="1140">
        <f>INDEX('DEFAULT DATA'!$B$9:$ALY$41,$C$10,NN$370)</f>
        <v>0</v>
      </c>
      <c r="NO377" s="1140">
        <f>INDEX('DEFAULT DATA'!$B$9:$ALY$41,$C$10,NO$370)</f>
        <v>0</v>
      </c>
      <c r="NP377" s="1140">
        <f>INDEX('DEFAULT DATA'!$B$9:$ALY$41,$C$10,NP$370)</f>
        <v>0</v>
      </c>
      <c r="NQ377" s="1140">
        <f>INDEX('DEFAULT DATA'!$B$9:$ALY$41,$C$10,NQ$370)</f>
        <v>0</v>
      </c>
      <c r="NR377" s="1140">
        <f>INDEX('DEFAULT DATA'!$B$9:$ALY$41,$C$10,NR$370)</f>
        <v>0</v>
      </c>
      <c r="NS377" s="1140">
        <f>INDEX('DEFAULT DATA'!$B$9:$ALY$41,$C$10,NS$370)</f>
        <v>0</v>
      </c>
      <c r="NT377" s="1140">
        <f>INDEX('DEFAULT DATA'!$B$9:$ALY$41,$C$10,NT$370)</f>
        <v>0</v>
      </c>
      <c r="NU377" s="1140">
        <f>INDEX('DEFAULT DATA'!$B$9:$ALY$41,$C$10,NU$370)</f>
        <v>0</v>
      </c>
      <c r="NV377" s="1140">
        <f>INDEX('DEFAULT DATA'!$B$9:$ALY$41,$C$10,NV$370)</f>
        <v>0</v>
      </c>
      <c r="NW377" s="1140">
        <f>INDEX('DEFAULT DATA'!$B$9:$ALY$41,$C$10,NW$370)</f>
        <v>1.5231330000000001</v>
      </c>
      <c r="NX377" s="1140">
        <f>INDEX('DEFAULT DATA'!$B$9:$ALY$41,$C$10,NX$370)</f>
        <v>0</v>
      </c>
      <c r="NY377" s="1140">
        <f>INDEX('DEFAULT DATA'!$B$9:$ALY$41,$C$10,NY$370)</f>
        <v>0</v>
      </c>
      <c r="NZ377" s="1140">
        <f>INDEX('DEFAULT DATA'!$B$9:$ALY$41,$C$10,NZ$370)</f>
        <v>0.41499999999999998</v>
      </c>
      <c r="OA377" s="1140">
        <f>INDEX('DEFAULT DATA'!$B$9:$ALY$41,$C$10,OA$370)</f>
        <v>1.446</v>
      </c>
      <c r="OB377" s="1140">
        <f>INDEX('DEFAULT DATA'!$B$9:$ALY$41,$C$10,OB$370)</f>
        <v>0</v>
      </c>
      <c r="OC377" s="1140">
        <f>INDEX('DEFAULT DATA'!$B$9:$ALY$41,$C$10,OC$370)</f>
        <v>1.5231330000000001</v>
      </c>
      <c r="OD377" s="1140">
        <f>INDEX('DEFAULT DATA'!$B$9:$ALY$41,$C$10,OD$370)</f>
        <v>0</v>
      </c>
      <c r="OE377" s="1140">
        <f>INDEX('DEFAULT DATA'!$B$9:$ALY$41,$C$10,OE$370)</f>
        <v>0</v>
      </c>
      <c r="OF377" s="1140">
        <f>INDEX('DEFAULT DATA'!$B$9:$ALY$41,$C$10,OF$370)</f>
        <v>0.41499999999999998</v>
      </c>
      <c r="OG377" s="1140">
        <f>INDEX('DEFAULT DATA'!$B$9:$ALY$41,$C$10,OG$370)</f>
        <v>0.70399999999999996</v>
      </c>
      <c r="OH377" s="1140">
        <f>INDEX('DEFAULT DATA'!$B$9:$ALY$41,$C$10,OH$370)</f>
        <v>0</v>
      </c>
      <c r="OI377" s="1140">
        <f>INDEX('DEFAULT DATA'!$B$9:$ALY$41,$C$10,OI$370)</f>
        <v>0</v>
      </c>
      <c r="OJ377" s="1140">
        <f>INDEX('DEFAULT DATA'!$B$9:$ALY$41,$C$10,OJ$370)</f>
        <v>0</v>
      </c>
      <c r="OK377" s="1140">
        <f>INDEX('DEFAULT DATA'!$B$9:$ALY$41,$C$10,OK$370)</f>
        <v>0</v>
      </c>
      <c r="OL377" s="1140">
        <f>INDEX('DEFAULT DATA'!$B$9:$ALY$41,$C$10,OL$370)</f>
        <v>0</v>
      </c>
      <c r="OM377" s="1140">
        <f>INDEX('DEFAULT DATA'!$B$9:$ALY$41,$C$10,OM$370)</f>
        <v>0</v>
      </c>
      <c r="ON377" s="1140">
        <f>INDEX('DEFAULT DATA'!$B$9:$ALY$41,$C$10,ON$370)</f>
        <v>0</v>
      </c>
      <c r="OO377" s="1140">
        <f>INDEX('DEFAULT DATA'!$B$9:$ALY$41,$C$10,OO$370)</f>
        <v>0</v>
      </c>
      <c r="OP377" s="1140">
        <f>INDEX('DEFAULT DATA'!$B$9:$ALY$41,$C$10,OP$370)</f>
        <v>0</v>
      </c>
      <c r="OQ377" s="1140">
        <f>INDEX('DEFAULT DATA'!$B$9:$ALY$41,$C$10,OQ$370)</f>
        <v>0</v>
      </c>
      <c r="OR377" s="1140">
        <f>INDEX('DEFAULT DATA'!$B$9:$ALY$41,$C$10,OR$370)</f>
        <v>0</v>
      </c>
      <c r="OS377" s="1140">
        <f>INDEX('DEFAULT DATA'!$B$9:$ALY$41,$C$10,OS$370)</f>
        <v>0</v>
      </c>
      <c r="OT377" s="1140">
        <f>INDEX('DEFAULT DATA'!$B$9:$ALY$41,$C$10,OT$370)</f>
        <v>0</v>
      </c>
      <c r="OU377" s="1140">
        <f>INDEX('DEFAULT DATA'!$B$9:$ALY$41,$C$10,OU$370)</f>
        <v>1.5231330000000001</v>
      </c>
      <c r="OV377" s="1140">
        <f>INDEX('DEFAULT DATA'!$B$9:$ALY$41,$C$10,OV$370)</f>
        <v>0</v>
      </c>
      <c r="OW377" s="1140">
        <f>INDEX('DEFAULT DATA'!$B$9:$ALY$41,$C$10,OW$370)</f>
        <v>0</v>
      </c>
      <c r="OX377" s="1140">
        <f>INDEX('DEFAULT DATA'!$B$9:$ALY$41,$C$10,OX$370)</f>
        <v>0.41499999999999998</v>
      </c>
      <c r="OY377" s="1140">
        <f>INDEX('DEFAULT DATA'!$B$9:$ALY$41,$C$10,OY$370)</f>
        <v>1.758</v>
      </c>
      <c r="OZ377" s="1140">
        <f>INDEX('DEFAULT DATA'!$B$9:$ALY$41,$C$10,OZ$370)</f>
        <v>0</v>
      </c>
      <c r="PA377" s="1140">
        <f>INDEX('DEFAULT DATA'!$B$9:$ALY$41,$C$10,PA$370)</f>
        <v>-84.37</v>
      </c>
      <c r="PB377" s="1140">
        <f>INDEX('DEFAULT DATA'!$B$9:$ALY$41,$C$10,PB$370)</f>
        <v>-16.87</v>
      </c>
      <c r="PC377" s="1140">
        <f>INDEX('DEFAULT DATA'!$B$9:$ALY$41,$C$10,PC$370)</f>
        <v>-6.1579439252340003E-2</v>
      </c>
      <c r="PD377" s="1140">
        <f>INDEX('DEFAULT DATA'!$B$9:$ALY$41,$C$10,PD$370)</f>
        <v>0</v>
      </c>
      <c r="PE377" s="1140">
        <f>INDEX('DEFAULT DATA'!$B$9:$ALY$41,$C$10,PE$370)</f>
        <v>-1.446</v>
      </c>
      <c r="PF377" s="1140">
        <f>INDEX('DEFAULT DATA'!$B$9:$ALY$41,$C$10,PF$370)</f>
        <v>0</v>
      </c>
      <c r="PG377" s="1140">
        <f>INDEX('DEFAULT DATA'!$B$9:$ALY$41,$C$10,PG$370)</f>
        <v>-9.4603761378899993E-3</v>
      </c>
      <c r="PH377" s="1140">
        <f>INDEX('DEFAULT DATA'!$B$9:$ALY$41,$C$10,PH$370)</f>
        <v>0</v>
      </c>
      <c r="PI377" s="1140">
        <f>INDEX('DEFAULT DATA'!$B$9:$ALY$41,$C$10,PI$370)</f>
        <v>0</v>
      </c>
      <c r="PJ377" s="1140">
        <f>INDEX('DEFAULT DATA'!$B$9:$ALY$41,$C$10,PJ$370)</f>
        <v>0</v>
      </c>
      <c r="PK377" s="1140">
        <f>INDEX('DEFAULT DATA'!$B$9:$ALY$41,$C$10,PK$370)</f>
        <v>-0.74199999999999999</v>
      </c>
      <c r="PL377" s="1140">
        <f>INDEX('DEFAULT DATA'!$B$9:$ALY$41,$C$10,PL$370)</f>
        <v>0</v>
      </c>
      <c r="PM377" s="1140">
        <f>INDEX('DEFAULT DATA'!$B$9:$ALY$41,$C$10,PM$370)</f>
        <v>0</v>
      </c>
      <c r="PN377" s="1140">
        <f>INDEX('DEFAULT DATA'!$B$9:$ALY$41,$C$10,PN$370)</f>
        <v>0</v>
      </c>
      <c r="PO377" s="1140">
        <f>INDEX('DEFAULT DATA'!$B$9:$ALY$41,$C$10,PO$370)</f>
        <v>0</v>
      </c>
      <c r="PP377" s="1140">
        <f>INDEX('DEFAULT DATA'!$B$9:$ALY$41,$C$10,PP$370)</f>
        <v>0</v>
      </c>
      <c r="PQ377" s="1140">
        <f>INDEX('DEFAULT DATA'!$B$9:$ALY$41,$C$10,PQ$370)</f>
        <v>0</v>
      </c>
      <c r="PR377" s="1140">
        <f>INDEX('DEFAULT DATA'!$B$9:$ALY$41,$C$10,PR$370)</f>
        <v>0</v>
      </c>
      <c r="PS377" s="1140">
        <f>INDEX('DEFAULT DATA'!$B$9:$ALY$41,$C$10,PS$370)</f>
        <v>0</v>
      </c>
      <c r="PT377" s="1140">
        <f>INDEX('DEFAULT DATA'!$B$9:$ALY$41,$C$10,PT$370)</f>
        <v>0</v>
      </c>
      <c r="PU377" s="1140">
        <f>INDEX('DEFAULT DATA'!$B$9:$ALY$41,$C$10,PU$370)</f>
        <v>0</v>
      </c>
      <c r="PV377" s="1140">
        <f>INDEX('DEFAULT DATA'!$B$9:$ALY$41,$C$10,PV$370)</f>
        <v>0</v>
      </c>
      <c r="PW377" s="1140">
        <f>INDEX('DEFAULT DATA'!$B$9:$ALY$41,$C$10,PW$370)</f>
        <v>0</v>
      </c>
      <c r="PX377" s="1140">
        <f>INDEX('DEFAULT DATA'!$B$9:$ALY$41,$C$10,PX$370)</f>
        <v>0</v>
      </c>
      <c r="PY377" s="1140">
        <f>INDEX('DEFAULT DATA'!$B$9:$ALY$41,$C$10,PY$370)</f>
        <v>0</v>
      </c>
      <c r="PZ377" s="1140">
        <f>INDEX('DEFAULT DATA'!$B$9:$ALY$41,$C$10,PZ$370)</f>
        <v>0</v>
      </c>
      <c r="QA377" s="1140">
        <f>INDEX('DEFAULT DATA'!$B$9:$ALY$41,$C$10,QA$370)</f>
        <v>0</v>
      </c>
      <c r="QB377" s="1140">
        <f>INDEX('DEFAULT DATA'!$B$9:$ALY$41,$C$10,QB$370)</f>
        <v>0</v>
      </c>
      <c r="QC377" s="1140">
        <f>INDEX('DEFAULT DATA'!$B$9:$ALY$41,$C$10,QC$370)</f>
        <v>0.313</v>
      </c>
      <c r="QD377" s="1140">
        <f>INDEX('DEFAULT DATA'!$B$9:$ALY$41,$C$10,QD$370)</f>
        <v>0</v>
      </c>
      <c r="QE377" s="1140">
        <f>INDEX('DEFAULT DATA'!$B$9:$ALY$41,$C$10,QE$370)</f>
        <v>-84.37</v>
      </c>
      <c r="QF377" s="1140">
        <f>INDEX('DEFAULT DATA'!$B$9:$ALY$41,$C$10,QF$370)</f>
        <v>-16.87</v>
      </c>
      <c r="QG377" s="1140">
        <f>INDEX('DEFAULT DATA'!$B$9:$ALY$41,$C$10,QG$370)</f>
        <v>-0.24145736434109</v>
      </c>
      <c r="QH377" s="1140">
        <f>INDEX('DEFAULT DATA'!$B$9:$ALY$41,$C$10,QH$370)</f>
        <v>0</v>
      </c>
      <c r="QI377" s="1140">
        <f>INDEX('DEFAULT DATA'!$B$9:$ALY$41,$C$10,QI$370)</f>
        <v>-0.70399999999999996</v>
      </c>
      <c r="QJ377" s="1140">
        <f>INDEX('DEFAULT DATA'!$B$9:$ALY$41,$C$10,QJ$370)</f>
        <v>0</v>
      </c>
      <c r="QK377" s="1140">
        <f>INDEX('DEFAULT DATA'!$B$9:$ALY$41,$C$10,QK$370)</f>
        <v>7.8175695100399997E-3</v>
      </c>
      <c r="QL377" s="1140">
        <f>INDEX('DEFAULT DATA'!$B$9:$ALY$41,$C$10,QL$370)</f>
        <v>0</v>
      </c>
      <c r="QM377" s="1140">
        <f>INDEX('DEFAULT DATA'!$B$9:$ALY$41,$C$10,QM$370)</f>
        <v>0</v>
      </c>
      <c r="QN377" s="1140">
        <f>INDEX('DEFAULT DATA'!$B$9:$ALY$41,$C$10,QN$370)</f>
        <v>0</v>
      </c>
      <c r="QO377" s="1140">
        <f>INDEX('DEFAULT DATA'!$B$9:$ALY$41,$C$10,QO$370)</f>
        <v>0.74199999999999999</v>
      </c>
      <c r="QP377" s="1140">
        <f>INDEX('DEFAULT DATA'!$B$9:$ALY$41,$C$10,QP$370)</f>
        <v>0</v>
      </c>
      <c r="QQ377" s="1140">
        <f>INDEX('DEFAULT DATA'!$B$9:$ALY$41,$C$10,QQ$370)</f>
        <v>0</v>
      </c>
      <c r="QR377" s="1140">
        <f>INDEX('DEFAULT DATA'!$B$9:$ALY$41,$C$10,QR$370)</f>
        <v>0</v>
      </c>
      <c r="QS377" s="1140">
        <f>INDEX('DEFAULT DATA'!$B$9:$ALY$41,$C$10,QS$370)</f>
        <v>0</v>
      </c>
      <c r="QT377" s="1140">
        <f>INDEX('DEFAULT DATA'!$B$9:$ALY$41,$C$10,QT$370)</f>
        <v>0</v>
      </c>
      <c r="QU377" s="1140">
        <f>INDEX('DEFAULT DATA'!$B$9:$ALY$41,$C$10,QU$370)</f>
        <v>0</v>
      </c>
      <c r="QV377" s="1140">
        <f>INDEX('DEFAULT DATA'!$B$9:$ALY$41,$C$10,QV$370)</f>
        <v>0</v>
      </c>
      <c r="QW377" s="1140">
        <f>INDEX('DEFAULT DATA'!$B$9:$ALY$41,$C$10,QW$370)</f>
        <v>0</v>
      </c>
      <c r="QX377" s="1140">
        <f>INDEX('DEFAULT DATA'!$B$9:$ALY$41,$C$10,QX$370)</f>
        <v>0</v>
      </c>
      <c r="QY377" s="1140">
        <f>INDEX('DEFAULT DATA'!$B$9:$ALY$41,$C$10,QY$370)</f>
        <v>0</v>
      </c>
      <c r="QZ377" s="1140">
        <f>INDEX('DEFAULT DATA'!$B$9:$ALY$41,$C$10,QZ$370)</f>
        <v>0</v>
      </c>
      <c r="RA377" s="1140">
        <f>INDEX('DEFAULT DATA'!$B$9:$ALY$41,$C$10,RA$370)</f>
        <v>0</v>
      </c>
      <c r="RB377" s="1140">
        <f>INDEX('DEFAULT DATA'!$B$9:$ALY$41,$C$10,RB$370)</f>
        <v>0</v>
      </c>
      <c r="RC377" s="1140">
        <f>INDEX('DEFAULT DATA'!$B$9:$ALY$41,$C$10,RC$370)</f>
        <v>0</v>
      </c>
      <c r="RD377" s="1140">
        <f>INDEX('DEFAULT DATA'!$B$9:$ALY$41,$C$10,RD$370)</f>
        <v>0</v>
      </c>
      <c r="RE377" s="1140">
        <f>INDEX('DEFAULT DATA'!$B$9:$ALY$41,$C$10,RE$370)</f>
        <v>0</v>
      </c>
      <c r="RF377" s="1140">
        <f>INDEX('DEFAULT DATA'!$B$9:$ALY$41,$C$10,RF$370)</f>
        <v>0</v>
      </c>
      <c r="RG377" s="1140">
        <f>INDEX('DEFAULT DATA'!$B$9:$ALY$41,$C$10,RG$370)</f>
        <v>0</v>
      </c>
      <c r="RH377" s="1140">
        <f>INDEX('DEFAULT DATA'!$B$9:$ALY$41,$C$10,RH$370)</f>
        <v>0</v>
      </c>
      <c r="RI377" s="1140">
        <f>INDEX('DEFAULT DATA'!$B$9:$ALY$41,$C$10,RI$370)</f>
        <v>0</v>
      </c>
      <c r="RJ377" s="1140">
        <f>INDEX('DEFAULT DATA'!$B$9:$ALY$41,$C$10,RJ$370)</f>
        <v>0</v>
      </c>
      <c r="RK377" s="1140">
        <f>INDEX('DEFAULT DATA'!$B$9:$ALY$41,$C$10,RK$370)</f>
        <v>0</v>
      </c>
      <c r="RL377" s="1140">
        <f>INDEX('DEFAULT DATA'!$B$9:$ALY$41,$C$10,RL$370)</f>
        <v>0</v>
      </c>
      <c r="RM377" s="1140">
        <f>INDEX('DEFAULT DATA'!$B$9:$ALY$41,$C$10,RM$370)</f>
        <v>0</v>
      </c>
      <c r="RN377" s="1140">
        <f>INDEX('DEFAULT DATA'!$B$9:$ALY$41,$C$10,RN$370)</f>
        <v>0</v>
      </c>
      <c r="RO377" s="1140">
        <f>INDEX('DEFAULT DATA'!$B$9:$ALY$41,$C$10,RO$370)</f>
        <v>0</v>
      </c>
      <c r="RP377" s="1140">
        <f>INDEX('DEFAULT DATA'!$B$9:$ALY$41,$C$10,RP$370)</f>
        <v>0</v>
      </c>
      <c r="RQ377" s="1140">
        <f>INDEX('DEFAULT DATA'!$B$9:$ALY$41,$C$10,RQ$370)</f>
        <v>0</v>
      </c>
      <c r="RR377" s="1140">
        <f>INDEX('DEFAULT DATA'!$B$9:$ALY$41,$C$10,RR$370)</f>
        <v>0</v>
      </c>
      <c r="RS377" s="1140">
        <f>INDEX('DEFAULT DATA'!$B$9:$ALY$41,$C$10,RS$370)</f>
        <v>0</v>
      </c>
      <c r="RT377" s="1140">
        <f>INDEX('DEFAULT DATA'!$B$9:$ALY$41,$C$10,RT$370)</f>
        <v>0</v>
      </c>
      <c r="RU377" s="1140">
        <f>INDEX('DEFAULT DATA'!$B$9:$ALY$41,$C$10,RU$370)</f>
        <v>0</v>
      </c>
      <c r="RV377" s="1140">
        <f>INDEX('DEFAULT DATA'!$B$9:$ALY$41,$C$10,RV$370)</f>
        <v>0</v>
      </c>
      <c r="RW377" s="1140">
        <f>INDEX('DEFAULT DATA'!$B$9:$ALY$41,$C$10,RW$370)</f>
        <v>0</v>
      </c>
      <c r="RX377" s="1140">
        <f>INDEX('DEFAULT DATA'!$B$9:$ALY$41,$C$10,RX$370)</f>
        <v>0</v>
      </c>
      <c r="RY377" s="1140">
        <f>INDEX('DEFAULT DATA'!$B$9:$ALY$41,$C$10,RY$370)</f>
        <v>0</v>
      </c>
      <c r="RZ377" s="1140">
        <f>INDEX('DEFAULT DATA'!$B$9:$ALY$41,$C$10,RZ$370)</f>
        <v>0</v>
      </c>
      <c r="SA377" s="1140">
        <f>INDEX('DEFAULT DATA'!$B$9:$ALY$41,$C$10,SA$370)</f>
        <v>0</v>
      </c>
      <c r="SB377" s="1140">
        <f>INDEX('DEFAULT DATA'!$B$9:$ALY$41,$C$10,SB$370)</f>
        <v>0</v>
      </c>
      <c r="SC377" s="1140">
        <f>INDEX('DEFAULT DATA'!$B$9:$ALY$41,$C$10,SC$370)</f>
        <v>0</v>
      </c>
      <c r="SD377" s="1140">
        <f>INDEX('DEFAULT DATA'!$B$9:$ALY$41,$C$10,SD$370)</f>
        <v>0</v>
      </c>
      <c r="SE377" s="1140">
        <f>INDEX('DEFAULT DATA'!$B$9:$ALY$41,$C$10,SE$370)</f>
        <v>0</v>
      </c>
      <c r="SF377" s="1140">
        <f>INDEX('DEFAULT DATA'!$B$9:$ALY$41,$C$10,SF$370)</f>
        <v>0</v>
      </c>
      <c r="SG377" s="1140">
        <f>INDEX('DEFAULT DATA'!$B$9:$ALY$41,$C$10,SG$370)</f>
        <v>0</v>
      </c>
      <c r="SH377" s="1140">
        <f>INDEX('DEFAULT DATA'!$B$9:$ALY$41,$C$10,SH$370)</f>
        <v>0</v>
      </c>
      <c r="SI377" s="1140">
        <f>INDEX('DEFAULT DATA'!$B$9:$ALY$41,$C$10,SI$370)</f>
        <v>0</v>
      </c>
      <c r="SJ377" s="1140">
        <f>INDEX('DEFAULT DATA'!$B$9:$ALY$41,$C$10,SJ$370)</f>
        <v>0</v>
      </c>
      <c r="SK377" s="1140">
        <f>INDEX('DEFAULT DATA'!$B$9:$ALY$41,$C$10,SK$370)</f>
        <v>0</v>
      </c>
      <c r="SL377" s="1140">
        <f>INDEX('DEFAULT DATA'!$B$9:$ALY$41,$C$10,SL$370)</f>
        <v>0</v>
      </c>
      <c r="SM377" s="1140">
        <f>INDEX('DEFAULT DATA'!$B$9:$ALY$41,$C$10,SM$370)</f>
        <v>-84.37</v>
      </c>
      <c r="SN377" s="1140">
        <f>INDEX('DEFAULT DATA'!$B$9:$ALY$41,$C$10,SN$370)</f>
        <v>-16.87</v>
      </c>
      <c r="SO377" s="1140">
        <f>INDEX('DEFAULT DATA'!$B$9:$ALY$41,$C$10,SO$370)</f>
        <v>-0.45859979529171002</v>
      </c>
      <c r="SP377" s="1140">
        <f>INDEX('DEFAULT DATA'!$B$9:$ALY$41,$C$10,SP$370)</f>
        <v>0</v>
      </c>
      <c r="SQ377" s="1140">
        <f>INDEX('DEFAULT DATA'!$B$9:$ALY$41,$C$10,SQ$370)</f>
        <v>-1.758</v>
      </c>
      <c r="SR377" s="1140">
        <f>INDEX('DEFAULT DATA'!$B$9:$ALY$41,$C$10,SR$370)</f>
        <v>0</v>
      </c>
      <c r="SS377" s="1140">
        <f>INDEX('DEFAULT DATA'!$B$9:$ALY$41,$C$10,SS$370)</f>
        <v>-0.20993225399012999</v>
      </c>
      <c r="ST377" s="1140">
        <f>INDEX('DEFAULT DATA'!$B$9:$ALY$41,$C$10,ST$370)</f>
        <v>0</v>
      </c>
      <c r="SU377" s="1140">
        <f>INDEX('DEFAULT DATA'!$B$9:$ALY$41,$C$10,SU$370)</f>
        <v>0</v>
      </c>
      <c r="SV377" s="1140">
        <f>INDEX('DEFAULT DATA'!$B$9:$ALY$41,$C$10,SV$370)</f>
        <v>0</v>
      </c>
      <c r="SW377" s="1140">
        <f>INDEX('DEFAULT DATA'!$B$9:$ALY$41,$C$10,SW$370)</f>
        <v>-0.313</v>
      </c>
      <c r="SX377" s="1140">
        <f>INDEX('DEFAULT DATA'!$B$9:$ALY$41,$C$10,SX$370)</f>
        <v>0</v>
      </c>
      <c r="SY377" s="1140">
        <f>INDEX('DEFAULT DATA'!$B$9:$ALY$41,$C$10,SY$370)</f>
        <v>-4.7951309271049999E-2</v>
      </c>
      <c r="SZ377" s="1140">
        <f>INDEX('DEFAULT DATA'!$B$9:$ALY$41,$C$10,SZ$370)</f>
        <v>0</v>
      </c>
      <c r="TA377" s="1140">
        <f>INDEX('DEFAULT DATA'!$B$9:$ALY$41,$C$10,TA$370)</f>
        <v>0</v>
      </c>
      <c r="TB377" s="1140">
        <f>INDEX('DEFAULT DATA'!$B$9:$ALY$41,$C$10,TB$370)</f>
        <v>0</v>
      </c>
      <c r="TC377" s="1140">
        <f>INDEX('DEFAULT DATA'!$B$9:$ALY$41,$C$10,TC$370)</f>
        <v>-1.0549999999999999</v>
      </c>
      <c r="TD377" s="1140">
        <f>INDEX('DEFAULT DATA'!$B$9:$ALY$41,$C$10,TD$370)</f>
        <v>0</v>
      </c>
      <c r="TE377" s="1140">
        <f>INDEX('DEFAULT DATA'!$B$9:$ALY$41,$C$10,TE$370)</f>
        <v>0</v>
      </c>
      <c r="TF377" s="1140">
        <f>INDEX('DEFAULT DATA'!$B$9:$ALY$41,$C$10,TF$370)</f>
        <v>0</v>
      </c>
      <c r="TG377" s="1140">
        <f>INDEX('DEFAULT DATA'!$B$9:$ALY$41,$C$10,TG$370)</f>
        <v>0</v>
      </c>
      <c r="TH377" s="1140">
        <f>INDEX('DEFAULT DATA'!$B$9:$ALY$41,$C$10,TH$370)</f>
        <v>0</v>
      </c>
      <c r="TI377" s="1140">
        <f>INDEX('DEFAULT DATA'!$B$9:$ALY$41,$C$10,TI$370)</f>
        <v>0</v>
      </c>
      <c r="TJ377" s="1140">
        <f>INDEX('DEFAULT DATA'!$B$9:$ALY$41,$C$10,TJ$370)</f>
        <v>0</v>
      </c>
      <c r="TK377" s="1140">
        <f>INDEX('DEFAULT DATA'!$B$9:$ALY$41,$C$10,TK$370)</f>
        <v>0</v>
      </c>
      <c r="TL377" s="1140">
        <f>INDEX('DEFAULT DATA'!$B$9:$ALY$41,$C$10,TL$370)</f>
        <v>0</v>
      </c>
      <c r="TM377" s="1140">
        <f>INDEX('DEFAULT DATA'!$B$9:$ALY$41,$C$10,TM$370)</f>
        <v>0</v>
      </c>
      <c r="TN377" s="1140">
        <f>INDEX('DEFAULT DATA'!$B$9:$ALY$41,$C$10,TN$370)</f>
        <v>0</v>
      </c>
      <c r="TO377" s="1140">
        <f>INDEX('DEFAULT DATA'!$B$9:$ALY$41,$C$10,TO$370)</f>
        <v>0</v>
      </c>
      <c r="TP377" s="1140">
        <f>INDEX('DEFAULT DATA'!$B$9:$ALY$41,$C$10,TP$370)</f>
        <v>0</v>
      </c>
      <c r="TQ377" s="1140">
        <f>INDEX('DEFAULT DATA'!$B$9:$ALY$41,$C$10,TQ$370)</f>
        <v>-84.37</v>
      </c>
      <c r="TR377" s="1140">
        <f>INDEX('DEFAULT DATA'!$B$9:$ALY$41,$C$10,TR$370)</f>
        <v>-16.87</v>
      </c>
      <c r="TS377" s="1140">
        <f>INDEX('DEFAULT DATA'!$B$9:$ALY$41,$C$10,TS$370)</f>
        <v>-0.20018962807752999</v>
      </c>
      <c r="TT377" s="1140">
        <f>INDEX('DEFAULT DATA'!$B$9:$ALY$41,$C$10,TT$370)</f>
        <v>0</v>
      </c>
      <c r="TU377" s="1140">
        <f>INDEX('DEFAULT DATA'!$B$9:$ALY$41,$C$10,TU$370)</f>
        <v>-1.758</v>
      </c>
      <c r="TV377" s="1140">
        <f>INDEX('DEFAULT DATA'!$B$9:$ALY$41,$C$10,TV$370)</f>
        <v>0</v>
      </c>
      <c r="TW377" s="1140">
        <f>INDEX('DEFAULT DATA'!$B$9:$ALY$41,$C$10,TW$370)</f>
        <v>-0.13159524712425999</v>
      </c>
      <c r="TX377" s="1140">
        <f>INDEX('DEFAULT DATA'!$B$9:$ALY$41,$C$10,TX$370)</f>
        <v>0</v>
      </c>
      <c r="TY377" s="1140">
        <f>INDEX('DEFAULT DATA'!$B$9:$ALY$41,$C$10,TY$370)</f>
        <v>0</v>
      </c>
      <c r="TZ377" s="1140">
        <f>INDEX('DEFAULT DATA'!$B$9:$ALY$41,$C$10,TZ$370)</f>
        <v>0</v>
      </c>
      <c r="UA377" s="1140">
        <f>INDEX('DEFAULT DATA'!$B$9:$ALY$41,$C$10,UA$370)</f>
        <v>-0.313</v>
      </c>
      <c r="UB377" s="1140">
        <f>INDEX('DEFAULT DATA'!$B$9:$ALY$41,$C$10,UB$370)</f>
        <v>0</v>
      </c>
      <c r="UC377" s="1140">
        <f>INDEX('DEFAULT DATA'!$B$9:$ALY$41,$C$10,UC$370)</f>
        <v>0</v>
      </c>
      <c r="UD377" s="1140">
        <f>INDEX('DEFAULT DATA'!$B$9:$ALY$41,$C$10,UD$370)</f>
        <v>0</v>
      </c>
      <c r="UE377" s="1140">
        <f>INDEX('DEFAULT DATA'!$B$9:$ALY$41,$C$10,UE$370)</f>
        <v>0</v>
      </c>
      <c r="UF377" s="1140">
        <f>INDEX('DEFAULT DATA'!$B$9:$ALY$41,$C$10,UF$370)</f>
        <v>0</v>
      </c>
      <c r="UG377" s="1140">
        <f>INDEX('DEFAULT DATA'!$B$9:$ALY$41,$C$10,UG$370)</f>
        <v>-1.0549999999999999</v>
      </c>
      <c r="UH377" s="1140">
        <f>INDEX('DEFAULT DATA'!$B$9:$ALY$41,$C$10,UH$370)</f>
        <v>0</v>
      </c>
      <c r="UI377" s="1140">
        <f>INDEX('DEFAULT DATA'!$B$9:$ALY$41,$C$10,UI$370)</f>
        <v>0</v>
      </c>
      <c r="UJ377" s="1140">
        <f>INDEX('DEFAULT DATA'!$B$9:$ALY$41,$C$10,UJ$370)</f>
        <v>0</v>
      </c>
      <c r="UK377" s="1140">
        <f>INDEX('DEFAULT DATA'!$B$9:$ALY$41,$C$10,UK$370)</f>
        <v>0</v>
      </c>
      <c r="UL377" s="1140">
        <f>INDEX('DEFAULT DATA'!$B$9:$ALY$41,$C$10,UL$370)</f>
        <v>0</v>
      </c>
      <c r="UM377" s="1140">
        <f>INDEX('DEFAULT DATA'!$B$9:$ALY$41,$C$10,UM$370)</f>
        <v>0</v>
      </c>
      <c r="UN377" s="1140">
        <f>INDEX('DEFAULT DATA'!$B$9:$ALY$41,$C$10,UN$370)</f>
        <v>0</v>
      </c>
      <c r="UO377" s="1140">
        <f>INDEX('DEFAULT DATA'!$B$9:$ALY$41,$C$10,UO$370)</f>
        <v>0</v>
      </c>
      <c r="UP377" s="1140">
        <f>INDEX('DEFAULT DATA'!$B$9:$ALY$41,$C$10,UP$370)</f>
        <v>0</v>
      </c>
      <c r="UQ377" s="1140">
        <f>INDEX('DEFAULT DATA'!$B$9:$ALY$41,$C$10,UQ$370)</f>
        <v>0</v>
      </c>
      <c r="UR377" s="1140">
        <f>INDEX('DEFAULT DATA'!$B$9:$ALY$41,$C$10,UR$370)</f>
        <v>0</v>
      </c>
      <c r="US377" s="1140">
        <f>INDEX('DEFAULT DATA'!$B$9:$ALY$41,$C$10,US$370)</f>
        <v>0</v>
      </c>
      <c r="UT377" s="1140">
        <f>INDEX('DEFAULT DATA'!$B$9:$ALY$41,$C$10,UT$370)</f>
        <v>0</v>
      </c>
      <c r="UU377" s="1140">
        <f>INDEX('DEFAULT DATA'!$B$9:$ALY$41,$C$10,UU$370)</f>
        <v>0.60568332875727005</v>
      </c>
      <c r="UV377" s="1140">
        <f>INDEX('DEFAULT DATA'!$B$9:$ALY$41,$C$10,UV$370)</f>
        <v>0</v>
      </c>
      <c r="UW377" s="1140">
        <f>INDEX('DEFAULT DATA'!$B$9:$ALY$41,$C$10,UW$370)</f>
        <v>0</v>
      </c>
      <c r="UX377" s="1140">
        <f>INDEX('DEFAULT DATA'!$B$9:$ALY$41,$C$10,UX$370)</f>
        <v>0</v>
      </c>
      <c r="UY377" s="1140">
        <f>INDEX('DEFAULT DATA'!$B$9:$ALY$41,$C$10,UY$370)</f>
        <v>0</v>
      </c>
      <c r="UZ377" s="1140">
        <f>INDEX('DEFAULT DATA'!$B$9:$ALY$41,$C$10,UZ$370)</f>
        <v>0</v>
      </c>
      <c r="VA377" s="1140">
        <f>INDEX('DEFAULT DATA'!$B$9:$ALY$41,$C$10,VA$370)</f>
        <v>0.20484022277927999</v>
      </c>
      <c r="VB377" s="1140">
        <f>INDEX('DEFAULT DATA'!$B$9:$ALY$41,$C$10,VB$370)</f>
        <v>0</v>
      </c>
      <c r="VC377" s="1140">
        <f>INDEX('DEFAULT DATA'!$B$9:$ALY$41,$C$10,VC$370)</f>
        <v>0</v>
      </c>
      <c r="VD377" s="1140">
        <f>INDEX('DEFAULT DATA'!$B$9:$ALY$41,$C$10,VD$370)</f>
        <v>0</v>
      </c>
      <c r="VE377" s="1140">
        <f>INDEX('DEFAULT DATA'!$B$9:$ALY$41,$C$10,VE$370)</f>
        <v>1.526051853429E-2</v>
      </c>
      <c r="VF377" s="1140">
        <f>INDEX('DEFAULT DATA'!$B$9:$ALY$41,$C$10,VF$370)</f>
        <v>0</v>
      </c>
      <c r="VG377" s="1140">
        <f>INDEX('DEFAULT DATA'!$B$9:$ALY$41,$C$10,VG$370)</f>
        <v>0</v>
      </c>
      <c r="VH377" s="1140">
        <f>INDEX('DEFAULT DATA'!$B$9:$ALY$41,$C$10,VH$370)</f>
        <v>0</v>
      </c>
      <c r="VI377" s="1140">
        <f>INDEX('DEFAULT DATA'!$B$9:$ALY$41,$C$10,VI$370)</f>
        <v>0</v>
      </c>
      <c r="VJ377" s="1140">
        <f>INDEX('DEFAULT DATA'!$B$9:$ALY$41,$C$10,VJ$370)</f>
        <v>0</v>
      </c>
      <c r="VK377" s="1140">
        <f>INDEX('DEFAULT DATA'!$B$9:$ALY$41,$C$10,VK$370)</f>
        <v>0</v>
      </c>
      <c r="VL377" s="1140">
        <f>INDEX('DEFAULT DATA'!$B$9:$ALY$41,$C$10,VL$370)</f>
        <v>0</v>
      </c>
      <c r="VM377" s="1140">
        <f>INDEX('DEFAULT DATA'!$B$9:$ALY$41,$C$10,VM$370)</f>
        <v>0</v>
      </c>
      <c r="VN377" s="1140">
        <f>INDEX('DEFAULT DATA'!$B$9:$ALY$41,$C$10,VN$370)</f>
        <v>0</v>
      </c>
      <c r="VO377" s="1140">
        <f>INDEX('DEFAULT DATA'!$B$9:$ALY$41,$C$10,VO$370)</f>
        <v>0</v>
      </c>
      <c r="VP377" s="1140">
        <f>INDEX('DEFAULT DATA'!$B$9:$ALY$41,$C$10,VP$370)</f>
        <v>0</v>
      </c>
      <c r="VQ377" s="1140">
        <f>INDEX('DEFAULT DATA'!$B$9:$ALY$41,$C$10,VQ$370)</f>
        <v>0</v>
      </c>
      <c r="VR377" s="1140">
        <f>INDEX('DEFAULT DATA'!$B$9:$ALY$41,$C$10,VR$370)</f>
        <v>0</v>
      </c>
      <c r="VS377" s="1140">
        <f>INDEX('DEFAULT DATA'!$B$9:$ALY$41,$C$10,VS$370)</f>
        <v>0</v>
      </c>
      <c r="VT377" s="1140">
        <f>INDEX('DEFAULT DATA'!$B$9:$ALY$41,$C$10,VT$370)</f>
        <v>0</v>
      </c>
      <c r="VU377" s="1140">
        <f>INDEX('DEFAULT DATA'!$B$9:$ALY$41,$C$10,VU$370)</f>
        <v>0</v>
      </c>
      <c r="VV377" s="1140">
        <f>INDEX('DEFAULT DATA'!$B$9:$ALY$41,$C$10,VV$370)</f>
        <v>0</v>
      </c>
      <c r="VW377" s="1140">
        <f>INDEX('DEFAULT DATA'!$B$9:$ALY$41,$C$10,VW$370)</f>
        <v>0</v>
      </c>
      <c r="VX377" s="1140">
        <f>INDEX('DEFAULT DATA'!$B$9:$ALY$41,$C$10,VX$370)</f>
        <v>0</v>
      </c>
      <c r="VY377" s="1140">
        <f>INDEX('DEFAULT DATA'!$B$9:$ALY$41,$C$10,VY$370)</f>
        <v>0</v>
      </c>
      <c r="VZ377" s="1140">
        <f>INDEX('DEFAULT DATA'!$B$9:$ALY$41,$C$10,VZ$370)</f>
        <v>0</v>
      </c>
      <c r="WA377" s="1140">
        <f>INDEX('DEFAULT DATA'!$B$9:$ALY$41,$C$10,WA$370)</f>
        <v>0</v>
      </c>
      <c r="WB377" s="1140">
        <f>INDEX('DEFAULT DATA'!$B$9:$ALY$41,$C$10,WB$370)</f>
        <v>0</v>
      </c>
      <c r="WC377" s="1140">
        <f>INDEX('DEFAULT DATA'!$B$9:$ALY$41,$C$10,WC$370)</f>
        <v>0</v>
      </c>
      <c r="WD377" s="1140">
        <f>INDEX('DEFAULT DATA'!$B$9:$ALY$41,$C$10,WD$370)</f>
        <v>0</v>
      </c>
      <c r="WE377" s="1140">
        <f>INDEX('DEFAULT DATA'!$B$9:$ALY$41,$C$10,WE$370)</f>
        <v>202</v>
      </c>
      <c r="WF377" s="1140">
        <f>INDEX('DEFAULT DATA'!$B$9:$ALY$41,$C$10,WF$370)</f>
        <v>267</v>
      </c>
      <c r="WG377" s="1140">
        <f>INDEX('DEFAULT DATA'!$B$9:$ALY$41,$C$10,WG$370)</f>
        <v>354</v>
      </c>
      <c r="WH377" s="1140">
        <f>INDEX('DEFAULT DATA'!$B$9:$ALY$41,$C$10,WH$370)</f>
        <v>382</v>
      </c>
      <c r="WI377" s="1140">
        <f>INDEX('DEFAULT DATA'!$B$9:$ALY$41,$C$10,WI$370)</f>
        <v>403</v>
      </c>
      <c r="WJ377" s="1140">
        <f>INDEX('DEFAULT DATA'!$B$9:$ALY$41,$C$10,WJ$370)</f>
        <v>0</v>
      </c>
      <c r="WK377" s="1140">
        <f>INDEX('DEFAULT DATA'!$B$9:$ALY$41,$C$10,WK$370)</f>
        <v>1300</v>
      </c>
      <c r="WL377" s="1140">
        <f>INDEX('DEFAULT DATA'!$B$9:$ALY$41,$C$10,WL$370)</f>
        <v>0</v>
      </c>
      <c r="WM377" s="1140">
        <f>INDEX('DEFAULT DATA'!$B$9:$ALY$41,$C$10,WM$370)</f>
        <v>0</v>
      </c>
      <c r="WN377" s="1140">
        <f>INDEX('DEFAULT DATA'!$B$9:$ALY$41,$C$10,WN$370)</f>
        <v>0</v>
      </c>
      <c r="WO377" s="1140">
        <f>INDEX('DEFAULT DATA'!$B$9:$ALY$41,$C$10,WO$370)</f>
        <v>0</v>
      </c>
      <c r="WP377" s="1140">
        <f>INDEX('DEFAULT DATA'!$B$9:$ALY$41,$C$10,WP$370)</f>
        <v>0</v>
      </c>
      <c r="WQ377" s="1140">
        <f>INDEX('DEFAULT DATA'!$B$9:$ALY$41,$C$10,WQ$370)</f>
        <v>0</v>
      </c>
      <c r="WR377" s="1140">
        <f>INDEX('DEFAULT DATA'!$B$9:$ALY$41,$C$10,WR$370)</f>
        <v>0</v>
      </c>
      <c r="WS377" s="1140">
        <f>INDEX('DEFAULT DATA'!$B$9:$ALY$41,$C$10,WS$370)</f>
        <v>0</v>
      </c>
      <c r="WT377" s="1140">
        <f>INDEX('DEFAULT DATA'!$B$9:$ALY$41,$C$10,WT$370)</f>
        <v>0</v>
      </c>
      <c r="WU377" s="1140">
        <f>INDEX('DEFAULT DATA'!$B$9:$ALY$41,$C$10,WU$370)</f>
        <v>0</v>
      </c>
      <c r="WV377" s="1140">
        <f>INDEX('DEFAULT DATA'!$B$9:$ALY$41,$C$10,WV$370)</f>
        <v>0</v>
      </c>
      <c r="WW377" s="1140">
        <f>INDEX('DEFAULT DATA'!$B$9:$ALY$41,$C$10,WW$370)</f>
        <v>0</v>
      </c>
      <c r="WX377" s="1140">
        <f>INDEX('DEFAULT DATA'!$B$9:$ALY$41,$C$10,WX$370)</f>
        <v>0</v>
      </c>
      <c r="WY377" s="1140">
        <f>INDEX('DEFAULT DATA'!$B$9:$ALY$41,$C$10,WY$370)</f>
        <v>0</v>
      </c>
      <c r="WZ377" s="1140">
        <f>INDEX('DEFAULT DATA'!$B$9:$ALY$41,$C$10,WZ$370)</f>
        <v>0</v>
      </c>
      <c r="XA377" s="1140">
        <f>INDEX('DEFAULT DATA'!$B$9:$ALY$41,$C$10,XA$370)</f>
        <v>0</v>
      </c>
      <c r="XB377" s="1140">
        <f>INDEX('DEFAULT DATA'!$B$9:$ALY$41,$C$10,XB$370)</f>
        <v>0</v>
      </c>
      <c r="XC377" s="1140">
        <f>INDEX('DEFAULT DATA'!$B$9:$ALY$41,$C$10,XC$370)</f>
        <v>0</v>
      </c>
      <c r="XD377" s="1140">
        <f>INDEX('DEFAULT DATA'!$B$9:$ALY$41,$C$10,XD$370)</f>
        <v>0</v>
      </c>
      <c r="XE377" s="1140">
        <f>INDEX('DEFAULT DATA'!$B$9:$ALY$41,$C$10,XE$370)</f>
        <v>0</v>
      </c>
      <c r="XF377" s="1140">
        <f>INDEX('DEFAULT DATA'!$B$9:$ALY$41,$C$10,XF$370)</f>
        <v>0</v>
      </c>
      <c r="XG377" s="1140">
        <f>INDEX('DEFAULT DATA'!$B$9:$ALY$41,$C$10,XG$370)</f>
        <v>0</v>
      </c>
      <c r="XH377" s="1140">
        <f>INDEX('DEFAULT DATA'!$B$9:$ALY$41,$C$10,XH$370)</f>
        <v>0</v>
      </c>
      <c r="XI377" s="1140">
        <f>INDEX('DEFAULT DATA'!$B$9:$ALY$41,$C$10,XI$370)</f>
        <v>0</v>
      </c>
      <c r="XJ377" s="1140">
        <f>INDEX('DEFAULT DATA'!$B$9:$ALY$41,$C$10,XJ$370)</f>
        <v>0</v>
      </c>
      <c r="XK377" s="1140">
        <f>INDEX('DEFAULT DATA'!$B$9:$ALY$41,$C$10,XK$370)</f>
        <v>0</v>
      </c>
      <c r="XL377" s="1140">
        <f>INDEX('DEFAULT DATA'!$B$9:$ALY$41,$C$10,XL$370)</f>
        <v>0</v>
      </c>
      <c r="XM377" s="1140">
        <f>INDEX('DEFAULT DATA'!$B$9:$ALY$41,$C$10,XM$370)</f>
        <v>0</v>
      </c>
      <c r="XN377" s="1140">
        <f>INDEX('DEFAULT DATA'!$B$9:$ALY$41,$C$10,XN$370)</f>
        <v>0</v>
      </c>
      <c r="XO377" s="1140">
        <f>INDEX('DEFAULT DATA'!$B$9:$ALY$41,$C$10,XO$370)</f>
        <v>0</v>
      </c>
      <c r="XP377" s="1140">
        <f>INDEX('DEFAULT DATA'!$B$9:$ALY$41,$C$10,XP$370)</f>
        <v>0</v>
      </c>
      <c r="XQ377" s="1140">
        <f>INDEX('DEFAULT DATA'!$B$9:$ALY$41,$C$10,XQ$370)</f>
        <v>0</v>
      </c>
      <c r="XR377" s="1140">
        <f>INDEX('DEFAULT DATA'!$B$9:$ALY$41,$C$10,XR$370)</f>
        <v>0</v>
      </c>
      <c r="XS377" s="1140">
        <f>INDEX('DEFAULT DATA'!$B$9:$ALY$41,$C$10,XS$370)</f>
        <v>85.034700000000001</v>
      </c>
      <c r="XT377" s="1140">
        <f>INDEX('DEFAULT DATA'!$B$9:$ALY$41,$C$10,XT$370)</f>
        <v>67.459678496868477</v>
      </c>
      <c r="XU377" s="1140">
        <f>INDEX('DEFAULT DATA'!$B$9:$ALY$41,$C$10,XU$370)</f>
        <v>74.560697286012527</v>
      </c>
      <c r="XV377" s="1140">
        <f>INDEX('DEFAULT DATA'!$B$9:$ALY$41,$C$10,XV$370)</f>
        <v>78.111206680584544</v>
      </c>
      <c r="XW377" s="1140">
        <f>INDEX('DEFAULT DATA'!$B$9:$ALY$41,$C$10,XW$370)</f>
        <v>120.00721753653445</v>
      </c>
      <c r="XX377" s="1140">
        <f>INDEX('DEFAULT DATA'!$B$9:$ALY$41,$C$10,XX$370)</f>
        <v>12824.85295</v>
      </c>
      <c r="XY377" s="1140">
        <f>INDEX('DEFAULT DATA'!$B$9:$ALY$41,$C$10,XY$370)</f>
        <v>78</v>
      </c>
      <c r="XZ377" s="1140">
        <f>INDEX('DEFAULT DATA'!$B$9:$ALY$41,$C$10,XZ$370)</f>
        <v>15</v>
      </c>
      <c r="YA377" s="1140">
        <f>INDEX('DEFAULT DATA'!$B$9:$ALY$41,$C$10,YA$370)</f>
        <v>7.0000000000000009</v>
      </c>
      <c r="YB377" s="1140">
        <f>INDEX('DEFAULT DATA'!$B$9:$ALY$41,$C$10,YB$370)</f>
        <v>0</v>
      </c>
      <c r="YC377" s="1140">
        <f>INDEX('DEFAULT DATA'!$B$9:$ALY$41,$C$10,YC$370)</f>
        <v>1290.5968091557904</v>
      </c>
      <c r="YD377" s="1140">
        <f>INDEX('DEFAULT DATA'!$B$9:$ALY$41,$C$10,YD$370)</f>
        <v>0</v>
      </c>
      <c r="YE377" s="1140">
        <f>INDEX('DEFAULT DATA'!$B$9:$ALY$41,$C$10,YE$370)</f>
        <v>0</v>
      </c>
      <c r="YF377" s="1140">
        <f>INDEX('DEFAULT DATA'!$B$9:$ALY$41,$C$10,YF$370)</f>
        <v>0</v>
      </c>
      <c r="YG377" s="1140">
        <f>INDEX('DEFAULT DATA'!$B$9:$ALY$41,$C$10,YG$370)</f>
        <v>0</v>
      </c>
      <c r="YH377" s="1140">
        <f>INDEX('DEFAULT DATA'!$B$9:$ALY$41,$C$10,YH$370)</f>
        <v>0</v>
      </c>
      <c r="YI377" s="1140">
        <f>INDEX('DEFAULT DATA'!$B$9:$ALY$41,$C$10,YI$370)</f>
        <v>129.05968091557904</v>
      </c>
      <c r="YJ377" s="1140">
        <f>INDEX('DEFAULT DATA'!$B$9:$ALY$41,$C$10,YJ$370)</f>
        <v>1355.1266496135797</v>
      </c>
      <c r="YK377" s="1140">
        <f>INDEX('DEFAULT DATA'!$B$9:$ALY$41,$C$10,YK$370)</f>
        <v>1384.4947194194474</v>
      </c>
      <c r="YL377" s="1140">
        <f>INDEX('DEFAULT DATA'!$B$9:$ALY$41,$C$10,YL$370)</f>
        <v>0</v>
      </c>
      <c r="YM377" s="1140">
        <f>INDEX('DEFAULT DATA'!$B$9:$ALY$41,$C$10,YM$370)</f>
        <v>0</v>
      </c>
      <c r="YN377" s="1140">
        <f>INDEX('DEFAULT DATA'!$B$9:$ALY$41,$C$10,YN$370)</f>
        <v>0</v>
      </c>
      <c r="YO377" s="1140">
        <f>INDEX('DEFAULT DATA'!$B$9:$ALY$41,$C$10,YO$370)</f>
        <v>0</v>
      </c>
      <c r="YP377" s="1140">
        <f>INDEX('DEFAULT DATA'!$B$9:$ALY$41,$C$10,YP$370)</f>
        <v>0</v>
      </c>
      <c r="YQ377" s="1140">
        <f>INDEX('DEFAULT DATA'!$B$9:$ALY$41,$C$10,YQ$370)</f>
        <v>138.44947194194472</v>
      </c>
      <c r="YR377" s="1140">
        <f>INDEX('DEFAULT DATA'!$B$9:$ALY$41,$C$10,YR$370)</f>
        <v>1453.7194553904194</v>
      </c>
      <c r="YS377" s="1140">
        <f>INDEX('DEFAULT DATA'!$B$9:$ALY$41,$C$10,YS$370)</f>
        <v>1450.4230393918019</v>
      </c>
      <c r="YT377" s="1140">
        <f>INDEX('DEFAULT DATA'!$B$9:$ALY$41,$C$10,YT$370)</f>
        <v>0</v>
      </c>
      <c r="YU377" s="1140">
        <f>INDEX('DEFAULT DATA'!$B$9:$ALY$41,$C$10,YU$370)</f>
        <v>0</v>
      </c>
      <c r="YV377" s="1140">
        <f>INDEX('DEFAULT DATA'!$B$9:$ALY$41,$C$10,YV$370)</f>
        <v>0</v>
      </c>
      <c r="YW377" s="1140">
        <f>INDEX('DEFAULT DATA'!$B$9:$ALY$41,$C$10,YW$370)</f>
        <v>0</v>
      </c>
      <c r="YX377" s="1140">
        <f>INDEX('DEFAULT DATA'!$B$9:$ALY$41,$C$10,YX$370)</f>
        <v>0</v>
      </c>
      <c r="YY377" s="1140">
        <f>INDEX('DEFAULT DATA'!$B$9:$ALY$41,$C$10,YY$370)</f>
        <v>145.04230393918016</v>
      </c>
      <c r="YZ377" s="1140">
        <f>INDEX('DEFAULT DATA'!$B$9:$ALY$41,$C$10,YZ$370)</f>
        <v>1522.9441913613916</v>
      </c>
      <c r="ZA377" s="1140">
        <f>INDEX('DEFAULT DATA'!$B$9:$ALY$41,$C$10,ZA$370)</f>
        <v>2228.3772150655873</v>
      </c>
      <c r="ZB377" s="1140">
        <f>INDEX('DEFAULT DATA'!$B$9:$ALY$41,$C$10,ZB$370)</f>
        <v>0</v>
      </c>
      <c r="ZC377" s="1140">
        <f>INDEX('DEFAULT DATA'!$B$9:$ALY$41,$C$10,ZC$370)</f>
        <v>0</v>
      </c>
      <c r="ZD377" s="1140">
        <f>INDEX('DEFAULT DATA'!$B$9:$ALY$41,$C$10,ZD$370)</f>
        <v>0</v>
      </c>
      <c r="ZE377" s="1140">
        <f>INDEX('DEFAULT DATA'!$B$9:$ALY$41,$C$10,ZE$370)</f>
        <v>0</v>
      </c>
      <c r="ZF377" s="1140">
        <f>INDEX('DEFAULT DATA'!$B$9:$ALY$41,$C$10,ZF$370)</f>
        <v>0</v>
      </c>
      <c r="ZG377" s="1140">
        <f>INDEX('DEFAULT DATA'!$B$9:$ALY$41,$C$10,ZG$370)</f>
        <v>222.83772150655869</v>
      </c>
      <c r="ZH377" s="1140">
        <f>INDEX('DEFAULT DATA'!$B$9:$ALY$41,$C$10,ZH$370)</f>
        <v>2339.796075818866</v>
      </c>
      <c r="ZI377" s="1140">
        <f>INDEX('DEFAULT DATA'!$B$9:$ALY$41,$C$10,ZI$370)</f>
        <v>764.60690960207501</v>
      </c>
      <c r="ZJ377" s="1140">
        <f>INDEX('DEFAULT DATA'!$B$9:$ALY$41,$C$10,ZJ$370)</f>
        <v>2102.6690014057062</v>
      </c>
      <c r="ZK377" s="1140">
        <f>INDEX('DEFAULT DATA'!$B$9:$ALY$41,$C$10,ZK$370)</f>
        <v>0</v>
      </c>
      <c r="ZL377" s="1140">
        <f>INDEX('DEFAULT DATA'!$B$9:$ALY$41,$C$10,ZL$370)</f>
        <v>76.460690960207501</v>
      </c>
      <c r="ZM377" s="1140">
        <f>INDEX('DEFAULT DATA'!$B$9:$ALY$41,$C$10,ZM$370)</f>
        <v>0</v>
      </c>
      <c r="ZN377" s="1140">
        <f>INDEX('DEFAULT DATA'!$B$9:$ALY$41,$C$10,ZN$370)</f>
        <v>0</v>
      </c>
      <c r="ZO377" s="1140">
        <f>INDEX('DEFAULT DATA'!$B$9:$ALY$41,$C$10,ZO$370)</f>
        <v>76.460690960207501</v>
      </c>
      <c r="ZP377" s="1140">
        <f>INDEX('DEFAULT DATA'!$B$9:$ALY$41,$C$10,ZP$370)</f>
        <v>802.83725508217867</v>
      </c>
      <c r="ZQ377" s="1140">
        <f>INDEX('DEFAULT DATA'!$B$9:$ALY$41,$C$10,ZQ$370)</f>
        <v>820.23620488272138</v>
      </c>
      <c r="ZR377" s="1140">
        <f>INDEX('DEFAULT DATA'!$B$9:$ALY$41,$C$10,ZR$370)</f>
        <v>2255.6495634274838</v>
      </c>
      <c r="ZS377" s="1140">
        <f>INDEX('DEFAULT DATA'!$B$9:$ALY$41,$C$10,ZS$370)</f>
        <v>0</v>
      </c>
      <c r="ZT377" s="1140">
        <f>INDEX('DEFAULT DATA'!$B$9:$ALY$41,$C$10,ZT$370)</f>
        <v>82.023620488272144</v>
      </c>
      <c r="ZU377" s="1140">
        <f>INDEX('DEFAULT DATA'!$B$9:$ALY$41,$C$10,ZU$370)</f>
        <v>0</v>
      </c>
      <c r="ZV377" s="1140">
        <f>INDEX('DEFAULT DATA'!$B$9:$ALY$41,$C$10,ZV$370)</f>
        <v>0</v>
      </c>
      <c r="ZW377" s="1140">
        <f>INDEX('DEFAULT DATA'!$B$9:$ALY$41,$C$10,ZW$370)</f>
        <v>82.023620488272144</v>
      </c>
      <c r="ZX377" s="1140">
        <f>INDEX('DEFAULT DATA'!$B$9:$ALY$41,$C$10,ZX$370)</f>
        <v>861.24801512685735</v>
      </c>
      <c r="ZY377" s="1140">
        <f>INDEX('DEFAULT DATA'!$B$9:$ALY$41,$C$10,ZY$370)</f>
        <v>859.29507178189851</v>
      </c>
      <c r="ZZ377" s="1140">
        <f>INDEX('DEFAULT DATA'!$B$9:$ALY$41,$C$10,ZZ$370)</f>
        <v>2363.0614474002209</v>
      </c>
      <c r="AAA377" s="1140">
        <f>INDEX('DEFAULT DATA'!$B$9:$ALY$41,$C$10,AAA$370)</f>
        <v>0</v>
      </c>
      <c r="AAB377" s="1140">
        <f>INDEX('DEFAULT DATA'!$B$9:$ALY$41,$C$10,AAB$370)</f>
        <v>85.929507178189851</v>
      </c>
      <c r="AAC377" s="1140">
        <f>INDEX('DEFAULT DATA'!$B$9:$ALY$41,$C$10,AAC$370)</f>
        <v>0</v>
      </c>
      <c r="AAD377" s="1140">
        <f>INDEX('DEFAULT DATA'!$B$9:$ALY$41,$C$10,AAD$370)</f>
        <v>0</v>
      </c>
      <c r="AAE377" s="1140">
        <f>INDEX('DEFAULT DATA'!$B$9:$ALY$41,$C$10,AAE$370)</f>
        <v>85.929507178189851</v>
      </c>
      <c r="AAF377" s="1140">
        <f>INDEX('DEFAULT DATA'!$B$9:$ALY$41,$C$10,AAF$370)</f>
        <v>902.25982537099344</v>
      </c>
      <c r="AAG377" s="1140">
        <f>INDEX('DEFAULT DATA'!$B$9:$ALY$41,$C$10,AAG$370)</f>
        <v>1320.1897011921899</v>
      </c>
      <c r="AAH377" s="1140">
        <f>INDEX('DEFAULT DATA'!$B$9:$ALY$41,$C$10,AAH$370)</f>
        <v>3630.5216782785219</v>
      </c>
      <c r="AAI377" s="1140">
        <f>INDEX('DEFAULT DATA'!$B$9:$ALY$41,$C$10,AAI$370)</f>
        <v>0</v>
      </c>
      <c r="AAJ377" s="1140">
        <f>INDEX('DEFAULT DATA'!$B$9:$ALY$41,$C$10,AAJ$370)</f>
        <v>132.01897011921898</v>
      </c>
      <c r="AAK377" s="1140">
        <f>INDEX('DEFAULT DATA'!$B$9:$ALY$41,$C$10,AAK$370)</f>
        <v>0</v>
      </c>
      <c r="AAL377" s="1140">
        <f>INDEX('DEFAULT DATA'!$B$9:$ALY$41,$C$10,AAL$370)</f>
        <v>0</v>
      </c>
      <c r="AAM377" s="1140">
        <f>INDEX('DEFAULT DATA'!$B$9:$ALY$41,$C$10,AAM$370)</f>
        <v>132.01897011921898</v>
      </c>
      <c r="AAN377" s="1140">
        <f>INDEX('DEFAULT DATA'!$B$9:$ALY$41,$C$10,AAN$370)</f>
        <v>1386.1991862517991</v>
      </c>
      <c r="AAO377" s="1140">
        <f>INDEX('DEFAULT DATA'!$B$9:$ALY$41,$C$10,AAO$370)</f>
        <v>2034.8409691022964</v>
      </c>
      <c r="AAP377" s="1140">
        <f>INDEX('DEFAULT DATA'!$B$9:$ALY$41,$C$10,AAP$370)</f>
        <v>5595.8126650313152</v>
      </c>
      <c r="AAQ377" s="1140">
        <f>INDEX('DEFAULT DATA'!$B$9:$ALY$41,$C$10,AAQ$370)</f>
        <v>0</v>
      </c>
      <c r="AAR377" s="1140">
        <f>INDEX('DEFAULT DATA'!$B$9:$ALY$41,$C$10,AAR$370)</f>
        <v>203.48409691022965</v>
      </c>
      <c r="AAS377" s="1140">
        <f>INDEX('DEFAULT DATA'!$B$9:$ALY$41,$C$10,AAS$370)</f>
        <v>0</v>
      </c>
      <c r="AAT377" s="1140">
        <f>INDEX('DEFAULT DATA'!$B$9:$ALY$41,$C$10,AAT$370)</f>
        <v>0</v>
      </c>
      <c r="AAU377" s="1140">
        <f>INDEX('DEFAULT DATA'!$B$9:$ALY$41,$C$10,AAU$370)</f>
        <v>203.48409691022965</v>
      </c>
      <c r="AAV377" s="1140">
        <f>INDEX('DEFAULT DATA'!$B$9:$ALY$41,$C$10,AAV$370)</f>
        <v>2136.583017557411</v>
      </c>
      <c r="AAW377" s="1140">
        <f>INDEX('DEFAULT DATA'!$B$9:$ALY$41,$C$10,AAW$370)</f>
        <v>2249.0347553235911</v>
      </c>
      <c r="AAX377" s="1140">
        <f>INDEX('DEFAULT DATA'!$B$9:$ALY$41,$C$10,AAX$370)</f>
        <v>6184.8455771398749</v>
      </c>
      <c r="AAY377" s="1140">
        <f>INDEX('DEFAULT DATA'!$B$9:$ALY$41,$C$10,AAY$370)</f>
        <v>0</v>
      </c>
      <c r="AAZ377" s="1140">
        <f>INDEX('DEFAULT DATA'!$B$9:$ALY$41,$C$10,AAZ$370)</f>
        <v>224.9034755323591</v>
      </c>
      <c r="ABA377" s="1140">
        <f>INDEX('DEFAULT DATA'!$B$9:$ALY$41,$C$10,ABA$370)</f>
        <v>0</v>
      </c>
      <c r="ABB377" s="1140">
        <f>INDEX('DEFAULT DATA'!$B$9:$ALY$41,$C$10,ABB$370)</f>
        <v>0</v>
      </c>
      <c r="ABC377" s="1140">
        <f>INDEX('DEFAULT DATA'!$B$9:$ALY$41,$C$10,ABC$370)</f>
        <v>224.9034755323591</v>
      </c>
      <c r="ABD377" s="1140">
        <f>INDEX('DEFAULT DATA'!$B$9:$ALY$41,$C$10,ABD$370)</f>
        <v>2361.4864930897702</v>
      </c>
      <c r="ABE377" s="1140">
        <f>INDEX('DEFAULT DATA'!$B$9:$ALY$41,$C$10,ABE$370)</f>
        <v>2356.1316484342383</v>
      </c>
      <c r="ABF377" s="1140">
        <f>INDEX('DEFAULT DATA'!$B$9:$ALY$41,$C$10,ABF$370)</f>
        <v>6479.3620331941547</v>
      </c>
      <c r="ABG377" s="1140">
        <f>INDEX('DEFAULT DATA'!$B$9:$ALY$41,$C$10,ABG$370)</f>
        <v>0</v>
      </c>
      <c r="ABH377" s="1140">
        <f>INDEX('DEFAULT DATA'!$B$9:$ALY$41,$C$10,ABH$370)</f>
        <v>235.61316484342382</v>
      </c>
      <c r="ABI377" s="1140">
        <f>INDEX('DEFAULT DATA'!$B$9:$ALY$41,$C$10,ABI$370)</f>
        <v>0</v>
      </c>
      <c r="ABJ377" s="1140">
        <f>INDEX('DEFAULT DATA'!$B$9:$ALY$41,$C$10,ABJ$370)</f>
        <v>0</v>
      </c>
      <c r="ABK377" s="1140">
        <f>INDEX('DEFAULT DATA'!$B$9:$ALY$41,$C$10,ABK$370)</f>
        <v>235.61316484342382</v>
      </c>
      <c r="ABL377" s="1140">
        <f>INDEX('DEFAULT DATA'!$B$9:$ALY$41,$C$10,ABL$370)</f>
        <v>2473.9382308559498</v>
      </c>
      <c r="ABM377" s="1140">
        <f>INDEX('DEFAULT DATA'!$B$9:$ALY$41,$C$10,ABM$370)</f>
        <v>3619.8749871398754</v>
      </c>
      <c r="ABN377" s="1140">
        <f>INDEX('DEFAULT DATA'!$B$9:$ALY$41,$C$10,ABN$370)</f>
        <v>9954.6562146346569</v>
      </c>
      <c r="ABO377" s="1140">
        <f>INDEX('DEFAULT DATA'!$B$9:$ALY$41,$C$10,ABO$370)</f>
        <v>0</v>
      </c>
      <c r="ABP377" s="1140">
        <f>INDEX('DEFAULT DATA'!$B$9:$ALY$41,$C$10,ABP$370)</f>
        <v>361.98749871398752</v>
      </c>
      <c r="ABQ377" s="1140">
        <f>INDEX('DEFAULT DATA'!$B$9:$ALY$41,$C$10,ABQ$370)</f>
        <v>0</v>
      </c>
      <c r="ABR377" s="1140">
        <f>INDEX('DEFAULT DATA'!$B$9:$ALY$41,$C$10,ABR$370)</f>
        <v>0</v>
      </c>
      <c r="ABS377" s="1140">
        <f>INDEX('DEFAULT DATA'!$B$9:$ALY$41,$C$10,ABS$370)</f>
        <v>361.98749871398752</v>
      </c>
      <c r="ABT377" s="1140">
        <f>INDEX('DEFAULT DATA'!$B$9:$ALY$41,$C$10,ABT$370)</f>
        <v>3800.8687364968687</v>
      </c>
      <c r="ABU377" s="1140">
        <f>INDEX('DEFAULT DATA'!$B$9:$ALY$41,$C$10,ABU$370)</f>
        <v>2799.4478787043718</v>
      </c>
      <c r="ABV377" s="1140">
        <f>INDEX('DEFAULT DATA'!$B$9:$ALY$41,$C$10,ABV$370)</f>
        <v>7698.4816664370219</v>
      </c>
      <c r="ABW377" s="1140">
        <f>INDEX('DEFAULT DATA'!$B$9:$ALY$41,$C$10,ABW$370)</f>
        <v>0</v>
      </c>
      <c r="ABX377" s="1140">
        <f>INDEX('DEFAULT DATA'!$B$9:$ALY$41,$C$10,ABX$370)</f>
        <v>279.94478787043715</v>
      </c>
      <c r="ABY377" s="1140">
        <f>INDEX('DEFAULT DATA'!$B$9:$ALY$41,$C$10,ABY$370)</f>
        <v>0</v>
      </c>
      <c r="ABZ377" s="1140">
        <f>INDEX('DEFAULT DATA'!$B$9:$ALY$41,$C$10,ABZ$370)</f>
        <v>0</v>
      </c>
      <c r="ACA377" s="1140">
        <f>INDEX('DEFAULT DATA'!$B$9:$ALY$41,$C$10,ACA$370)</f>
        <v>279.94478787043715</v>
      </c>
      <c r="ACB377" s="1140">
        <f>INDEX('DEFAULT DATA'!$B$9:$ALY$41,$C$10,ACB$370)</f>
        <v>2939.4202726395897</v>
      </c>
      <c r="ACC377" s="1140">
        <f>INDEX('DEFAULT DATA'!$B$9:$ALY$41,$C$10,ACC$370)</f>
        <v>2963.4340305440255</v>
      </c>
      <c r="ACD377" s="1140">
        <f>INDEX('DEFAULT DATA'!$B$9:$ALY$41,$C$10,ACD$370)</f>
        <v>8149.4435839960706</v>
      </c>
      <c r="ACE377" s="1140">
        <f>INDEX('DEFAULT DATA'!$B$9:$ALY$41,$C$10,ACE$370)</f>
        <v>0</v>
      </c>
      <c r="ACF377" s="1140">
        <f>INDEX('DEFAULT DATA'!$B$9:$ALY$41,$C$10,ACF$370)</f>
        <v>296.34340305440259</v>
      </c>
      <c r="ACG377" s="1140">
        <f>INDEX('DEFAULT DATA'!$B$9:$ALY$41,$C$10,ACG$370)</f>
        <v>0</v>
      </c>
      <c r="ACH377" s="1140">
        <f>INDEX('DEFAULT DATA'!$B$9:$ALY$41,$C$10,ACH$370)</f>
        <v>0</v>
      </c>
      <c r="ACI377" s="1140">
        <f>INDEX('DEFAULT DATA'!$B$9:$ALY$41,$C$10,ACI$370)</f>
        <v>296.34340305440259</v>
      </c>
      <c r="ACJ377" s="1140">
        <f>INDEX('DEFAULT DATA'!$B$9:$ALY$41,$C$10,ACJ$370)</f>
        <v>3111.6057320712266</v>
      </c>
      <c r="ACK377" s="1140">
        <f>INDEX('DEFAULT DATA'!$B$9:$ALY$41,$C$10,ACK$370)</f>
        <v>3104.5499367604079</v>
      </c>
      <c r="ACL377" s="1140">
        <f>INDEX('DEFAULT DATA'!$B$9:$ALY$41,$C$10,ACL$370)</f>
        <v>8537.5123260911223</v>
      </c>
      <c r="ACM377" s="1140">
        <f>INDEX('DEFAULT DATA'!$B$9:$ALY$41,$C$10,ACM$370)</f>
        <v>0</v>
      </c>
      <c r="ACN377" s="1140">
        <f>INDEX('DEFAULT DATA'!$B$9:$ALY$41,$C$10,ACN$370)</f>
        <v>310.45499367604077</v>
      </c>
      <c r="ACO377" s="1140">
        <f>INDEX('DEFAULT DATA'!$B$9:$ALY$41,$C$10,ACO$370)</f>
        <v>0</v>
      </c>
      <c r="ACP377" s="1140">
        <f>INDEX('DEFAULT DATA'!$B$9:$ALY$41,$C$10,ACP$370)</f>
        <v>0</v>
      </c>
      <c r="ACQ377" s="1140">
        <f>INDEX('DEFAULT DATA'!$B$9:$ALY$41,$C$10,ACQ$370)</f>
        <v>310.45499367604077</v>
      </c>
      <c r="ACR377" s="1140">
        <f>INDEX('DEFAULT DATA'!$B$9:$ALY$41,$C$10,ACR$370)</f>
        <v>3259.7774335984277</v>
      </c>
      <c r="ACS377" s="1140">
        <f>INDEX('DEFAULT DATA'!$B$9:$ALY$41,$C$10,ACS$370)</f>
        <v>4769.7176301137179</v>
      </c>
      <c r="ACT377" s="1140">
        <f>INDEX('DEFAULT DATA'!$B$9:$ALY$41,$C$10,ACT$370)</f>
        <v>13116.723482812726</v>
      </c>
      <c r="ACU377" s="1140">
        <f>INDEX('DEFAULT DATA'!$B$9:$ALY$41,$C$10,ACU$370)</f>
        <v>0</v>
      </c>
      <c r="ACV377" s="1140">
        <f>INDEX('DEFAULT DATA'!$B$9:$ALY$41,$C$10,ACV$370)</f>
        <v>476.97176301137182</v>
      </c>
      <c r="ACW377" s="1140">
        <f>INDEX('DEFAULT DATA'!$B$9:$ALY$41,$C$10,ACW$370)</f>
        <v>0</v>
      </c>
      <c r="ACX377" s="1140">
        <f>INDEX('DEFAULT DATA'!$B$9:$ALY$41,$C$10,ACX$370)</f>
        <v>0</v>
      </c>
      <c r="ACY377" s="1140">
        <f>INDEX('DEFAULT DATA'!$B$9:$ALY$41,$C$10,ACY$370)</f>
        <v>476.97176301137182</v>
      </c>
      <c r="ACZ377" s="1140">
        <f>INDEX('DEFAULT DATA'!$B$9:$ALY$41,$C$10,ACZ$370)</f>
        <v>5008.2035116194038</v>
      </c>
      <c r="ADA377" s="1140">
        <f>INDEX('DEFAULT DATA'!$B$9:$ALY$41,$C$10,ADA$370)</f>
        <v>3625.7166358550007</v>
      </c>
      <c r="ADB377" s="1140">
        <f>INDEX('DEFAULT DATA'!$B$9:$ALY$41,$C$10,ADB$370)</f>
        <v>9970.7207486012521</v>
      </c>
      <c r="ADC377" s="1140">
        <f>INDEX('DEFAULT DATA'!$B$9:$ALY$41,$C$10,ADC$370)</f>
        <v>0</v>
      </c>
      <c r="ADD377" s="1140">
        <f>INDEX('DEFAULT DATA'!$B$9:$ALY$41,$C$10,ADD$370)</f>
        <v>362.57166358550006</v>
      </c>
      <c r="ADE377" s="1140">
        <f>INDEX('DEFAULT DATA'!$B$9:$ALY$41,$C$10,ADE$370)</f>
        <v>0</v>
      </c>
      <c r="ADF377" s="1140">
        <f>INDEX('DEFAULT DATA'!$B$9:$ALY$41,$C$10,ADF$370)</f>
        <v>0</v>
      </c>
      <c r="ADG377" s="1140">
        <f>INDEX('DEFAULT DATA'!$B$9:$ALY$41,$C$10,ADG$370)</f>
        <v>362.57166358550006</v>
      </c>
      <c r="ADH377" s="1140">
        <f>INDEX('DEFAULT DATA'!$B$9:$ALY$41,$C$10,ADH$370)</f>
        <v>3807.0024676477506</v>
      </c>
      <c r="ADI377" s="1140">
        <f>INDEX('DEFAULT DATA'!$B$9:$ALY$41,$C$10,ADI$370)</f>
        <v>3876.2775488812476</v>
      </c>
      <c r="ADJ377" s="1140">
        <f>INDEX('DEFAULT DATA'!$B$9:$ALY$41,$C$10,ADJ$370)</f>
        <v>10659.763259423431</v>
      </c>
      <c r="ADK377" s="1140">
        <f>INDEX('DEFAULT DATA'!$B$9:$ALY$41,$C$10,ADK$370)</f>
        <v>0</v>
      </c>
      <c r="ADL377" s="1140">
        <f>INDEX('DEFAULT DATA'!$B$9:$ALY$41,$C$10,ADL$370)</f>
        <v>387.6277548881248</v>
      </c>
      <c r="ADM377" s="1140">
        <f>INDEX('DEFAULT DATA'!$B$9:$ALY$41,$C$10,ADM$370)</f>
        <v>0</v>
      </c>
      <c r="ADN377" s="1140">
        <f>INDEX('DEFAULT DATA'!$B$9:$ALY$41,$C$10,ADN$370)</f>
        <v>0</v>
      </c>
      <c r="ADO377" s="1140">
        <f>INDEX('DEFAULT DATA'!$B$9:$ALY$41,$C$10,ADO$370)</f>
        <v>387.6277548881248</v>
      </c>
      <c r="ADP377" s="1140">
        <f>INDEX('DEFAULT DATA'!$B$9:$ALY$41,$C$10,ADP$370)</f>
        <v>4070.0914263253098</v>
      </c>
      <c r="ADQ377" s="1140">
        <f>INDEX('DEFAULT DATA'!$B$9:$ALY$41,$C$10,ADQ$370)</f>
        <v>4060.8621940660692</v>
      </c>
      <c r="ADR377" s="1140">
        <f>INDEX('DEFAULT DATA'!$B$9:$ALY$41,$C$10,ADR$370)</f>
        <v>11167.371033681691</v>
      </c>
      <c r="ADS377" s="1140">
        <f>INDEX('DEFAULT DATA'!$B$9:$ALY$41,$C$10,ADS$370)</f>
        <v>0</v>
      </c>
      <c r="ADT377" s="1140">
        <f>INDEX('DEFAULT DATA'!$B$9:$ALY$41,$C$10,ADT$370)</f>
        <v>406.08621940660692</v>
      </c>
      <c r="ADU377" s="1140">
        <f>INDEX('DEFAULT DATA'!$B$9:$ALY$41,$C$10,ADU$370)</f>
        <v>0</v>
      </c>
      <c r="ADV377" s="1140">
        <f>INDEX('DEFAULT DATA'!$B$9:$ALY$41,$C$10,ADV$370)</f>
        <v>0</v>
      </c>
      <c r="ADW377" s="1140">
        <f>INDEX('DEFAULT DATA'!$B$9:$ALY$41,$C$10,ADW$370)</f>
        <v>406.08621940660692</v>
      </c>
      <c r="ADX377" s="1140">
        <f>INDEX('DEFAULT DATA'!$B$9:$ALY$41,$C$10,ADX$370)</f>
        <v>4263.905303769372</v>
      </c>
      <c r="ADY377" s="1140">
        <f>INDEX('DEFAULT DATA'!$B$9:$ALY$41,$C$10,ADY$370)</f>
        <v>6238.9610072469623</v>
      </c>
      <c r="ADZ377" s="1140">
        <f>INDEX('DEFAULT DATA'!$B$9:$ALY$41,$C$10,ADZ$370)</f>
        <v>17157.142769929145</v>
      </c>
      <c r="AEA377" s="1140">
        <f>INDEX('DEFAULT DATA'!$B$9:$ALY$41,$C$10,AEA$370)</f>
        <v>0</v>
      </c>
      <c r="AEB377" s="1140">
        <f>INDEX('DEFAULT DATA'!$B$9:$ALY$41,$C$10,AEB$370)</f>
        <v>623.89610072469611</v>
      </c>
      <c r="AEC377" s="1140">
        <f>INDEX('DEFAULT DATA'!$B$9:$ALY$41,$C$10,AEC$370)</f>
        <v>0</v>
      </c>
      <c r="AED377" s="1140">
        <f>INDEX('DEFAULT DATA'!$B$9:$ALY$41,$C$10,AED$370)</f>
        <v>0</v>
      </c>
      <c r="AEE377" s="1140">
        <f>INDEX('DEFAULT DATA'!$B$9:$ALY$41,$C$10,AEE$370)</f>
        <v>623.89610072469611</v>
      </c>
      <c r="AEF377" s="1140">
        <f>INDEX('DEFAULT DATA'!$B$9:$ALY$41,$C$10,AEF$370)</f>
        <v>6550.9090576093095</v>
      </c>
      <c r="AEG377" s="1140">
        <f>INDEX('DEFAULT DATA'!$B$9:$ALY$41,$C$10,AEG$370)</f>
        <v>4427.3206539862085</v>
      </c>
      <c r="AEH377" s="1140">
        <f>INDEX('DEFAULT DATA'!$B$9:$ALY$41,$C$10,AEH$370)</f>
        <v>12175.131798462075</v>
      </c>
      <c r="AEI377" s="1140">
        <f>INDEX('DEFAULT DATA'!$B$9:$ALY$41,$C$10,AEI$370)</f>
        <v>0</v>
      </c>
      <c r="AEJ377" s="1140">
        <f>INDEX('DEFAULT DATA'!$B$9:$ALY$41,$C$10,AEJ$370)</f>
        <v>442.73206539862082</v>
      </c>
      <c r="AEK377" s="1140">
        <f>INDEX('DEFAULT DATA'!$B$9:$ALY$41,$C$10,AEK$370)</f>
        <v>0</v>
      </c>
      <c r="AEL377" s="1140">
        <f>INDEX('DEFAULT DATA'!$B$9:$ALY$41,$C$10,AEL$370)</f>
        <v>0</v>
      </c>
      <c r="AEM377" s="1140">
        <f>INDEX('DEFAULT DATA'!$B$9:$ALY$41,$C$10,AEM$370)</f>
        <v>442.73206539862082</v>
      </c>
      <c r="AEN377" s="1140">
        <f>INDEX('DEFAULT DATA'!$B$9:$ALY$41,$C$10,AEN$370)</f>
        <v>4648.6866866855189</v>
      </c>
      <c r="AEO377" s="1140">
        <f>INDEX('DEFAULT DATA'!$B$9:$ALY$41,$C$10,AEO$370)</f>
        <v>4762.6618348028987</v>
      </c>
      <c r="AEP377" s="1140">
        <f>INDEX('DEFAULT DATA'!$B$9:$ALY$41,$C$10,AEP$370)</f>
        <v>13097.320045707971</v>
      </c>
      <c r="AEQ377" s="1140">
        <f>INDEX('DEFAULT DATA'!$B$9:$ALY$41,$C$10,AEQ$370)</f>
        <v>0</v>
      </c>
      <c r="AER377" s="1140">
        <f>INDEX('DEFAULT DATA'!$B$9:$ALY$41,$C$10,AER$370)</f>
        <v>476.26618348028984</v>
      </c>
      <c r="AES377" s="1140">
        <f>INDEX('DEFAULT DATA'!$B$9:$ALY$41,$C$10,AES$370)</f>
        <v>0</v>
      </c>
      <c r="AET377" s="1140">
        <f>INDEX('DEFAULT DATA'!$B$9:$ALY$41,$C$10,AET$370)</f>
        <v>0</v>
      </c>
      <c r="AEU377" s="1140">
        <f>INDEX('DEFAULT DATA'!$B$9:$ALY$41,$C$10,AEU$370)</f>
        <v>476.26618348028984</v>
      </c>
      <c r="AEV377" s="1140">
        <f>INDEX('DEFAULT DATA'!$B$9:$ALY$41,$C$10,AEV$370)</f>
        <v>5000.7949265430434</v>
      </c>
      <c r="AEW377" s="1140">
        <f>INDEX('DEFAULT DATA'!$B$9:$ALY$41,$C$10,AEW$370)</f>
        <v>4989.455255507798</v>
      </c>
      <c r="AEX377" s="1140">
        <f>INDEX('DEFAULT DATA'!$B$9:$ALY$41,$C$10,AEX$370)</f>
        <v>13721.001952646446</v>
      </c>
      <c r="AEY377" s="1140">
        <f>INDEX('DEFAULT DATA'!$B$9:$ALY$41,$C$10,AEY$370)</f>
        <v>0</v>
      </c>
      <c r="AEZ377" s="1140">
        <f>INDEX('DEFAULT DATA'!$B$9:$ALY$41,$C$10,AEZ$370)</f>
        <v>498.94552555077979</v>
      </c>
      <c r="AFA377" s="1140">
        <f>INDEX('DEFAULT DATA'!$B$9:$ALY$41,$C$10,AFA$370)</f>
        <v>0</v>
      </c>
      <c r="AFB377" s="1140">
        <f>INDEX('DEFAULT DATA'!$B$9:$ALY$41,$C$10,AFB$370)</f>
        <v>0</v>
      </c>
      <c r="AFC377" s="1140">
        <f>INDEX('DEFAULT DATA'!$B$9:$ALY$41,$C$10,AFC$370)</f>
        <v>498.94552555077979</v>
      </c>
      <c r="AFD377" s="1140">
        <f>INDEX('DEFAULT DATA'!$B$9:$ALY$41,$C$10,AFD$370)</f>
        <v>5238.9280182831872</v>
      </c>
      <c r="AFE377" s="1140">
        <f>INDEX('DEFAULT DATA'!$B$9:$ALY$41,$C$10,AFE$370)</f>
        <v>7665.6176198256189</v>
      </c>
      <c r="AFF377" s="1140">
        <f>INDEX('DEFAULT DATA'!$B$9:$ALY$41,$C$10,AFF$370)</f>
        <v>21080.448454520454</v>
      </c>
      <c r="AFG377" s="1140">
        <f>INDEX('DEFAULT DATA'!$B$9:$ALY$41,$C$10,AFG$370)</f>
        <v>0</v>
      </c>
      <c r="AFH377" s="1140">
        <f>INDEX('DEFAULT DATA'!$B$9:$ALY$41,$C$10,AFH$370)</f>
        <v>766.56176198256185</v>
      </c>
      <c r="AFI377" s="1140">
        <f>INDEX('DEFAULT DATA'!$B$9:$ALY$41,$C$10,AFI$370)</f>
        <v>0</v>
      </c>
      <c r="AFJ377" s="1140">
        <f>INDEX('DEFAULT DATA'!$B$9:$ALY$41,$C$10,AFJ$370)</f>
        <v>0</v>
      </c>
      <c r="AFK377" s="1140">
        <f>INDEX('DEFAULT DATA'!$B$9:$ALY$41,$C$10,AFK$370)</f>
        <v>766.56176198256185</v>
      </c>
      <c r="AFL377" s="1140">
        <f>INDEX('DEFAULT DATA'!$B$9:$ALY$41,$C$10,AFL$370)</f>
        <v>8048.8985008168993</v>
      </c>
      <c r="AFM377" s="1140">
        <f>INDEX('DEFAULT DATA'!$B$9:$ALY$41,$C$10,AFM$370)</f>
        <v>5105.6009770203082</v>
      </c>
      <c r="AFN377" s="1140">
        <f>INDEX('DEFAULT DATA'!$B$9:$ALY$41,$C$10,AFN$370)</f>
        <v>14040.402686805846</v>
      </c>
      <c r="AFO377" s="1140">
        <f>INDEX('DEFAULT DATA'!$B$9:$ALY$41,$C$10,AFO$370)</f>
        <v>0</v>
      </c>
      <c r="AFP377" s="1140">
        <f>INDEX('DEFAULT DATA'!$B$9:$ALY$41,$C$10,AFP$370)</f>
        <v>510.56009770203076</v>
      </c>
      <c r="AFQ377" s="1140">
        <f>INDEX('DEFAULT DATA'!$B$9:$ALY$41,$C$10,AFQ$370)</f>
        <v>0</v>
      </c>
      <c r="AFR377" s="1140">
        <f>INDEX('DEFAULT DATA'!$B$9:$ALY$41,$C$10,AFR$370)</f>
        <v>0</v>
      </c>
      <c r="AFS377" s="1140">
        <f>INDEX('DEFAULT DATA'!$B$9:$ALY$41,$C$10,AFS$370)</f>
        <v>510.56009770203076</v>
      </c>
      <c r="AFT377" s="1140">
        <f>INDEX('DEFAULT DATA'!$B$9:$ALY$41,$C$10,AFT$370)</f>
        <v>5360.8810258713229</v>
      </c>
      <c r="AFU377" s="1140">
        <f>INDEX('DEFAULT DATA'!$B$9:$ALY$41,$C$10,AFU$370)</f>
        <v>5424.1426451921898</v>
      </c>
      <c r="AFV377" s="1140">
        <f>INDEX('DEFAULT DATA'!$B$9:$ALY$41,$C$10,AFV$370)</f>
        <v>14916.392274278522</v>
      </c>
      <c r="AFW377" s="1140">
        <f>INDEX('DEFAULT DATA'!$B$9:$ALY$41,$C$10,AFW$370)</f>
        <v>0</v>
      </c>
      <c r="AFX377" s="1140">
        <f>INDEX('DEFAULT DATA'!$B$9:$ALY$41,$C$10,AFX$370)</f>
        <v>542.41426451921893</v>
      </c>
      <c r="AFY377" s="1140">
        <f>INDEX('DEFAULT DATA'!$B$9:$ALY$41,$C$10,AFY$370)</f>
        <v>0</v>
      </c>
      <c r="AFZ377" s="1140">
        <f>INDEX('DEFAULT DATA'!$B$9:$ALY$41,$C$10,AFZ$370)</f>
        <v>0</v>
      </c>
      <c r="AGA377" s="1140">
        <f>INDEX('DEFAULT DATA'!$B$9:$ALY$41,$C$10,AGA$370)</f>
        <v>542.41426451921893</v>
      </c>
      <c r="AGB377" s="1140">
        <f>INDEX('DEFAULT DATA'!$B$9:$ALY$41,$C$10,AGB$370)</f>
        <v>5695.3497774517982</v>
      </c>
      <c r="AGC377" s="1140">
        <f>INDEX('DEFAULT DATA'!$B$9:$ALY$41,$C$10,AGC$370)</f>
        <v>5682.4351521061035</v>
      </c>
      <c r="AGD377" s="1140">
        <f>INDEX('DEFAULT DATA'!$B$9:$ALY$41,$C$10,AGD$370)</f>
        <v>15626.696668291786</v>
      </c>
      <c r="AGE377" s="1140">
        <f>INDEX('DEFAULT DATA'!$B$9:$ALY$41,$C$10,AGE$370)</f>
        <v>0</v>
      </c>
      <c r="AGF377" s="1140">
        <f>INDEX('DEFAULT DATA'!$B$9:$ALY$41,$C$10,AGF$370)</f>
        <v>568.24351521061033</v>
      </c>
      <c r="AGG377" s="1140">
        <f>INDEX('DEFAULT DATA'!$B$9:$ALY$41,$C$10,AGG$370)</f>
        <v>0</v>
      </c>
      <c r="AGH377" s="1140">
        <f>INDEX('DEFAULT DATA'!$B$9:$ALY$41,$C$10,AGH$370)</f>
        <v>0</v>
      </c>
      <c r="AGI377" s="1140">
        <f>INDEX('DEFAULT DATA'!$B$9:$ALY$41,$C$10,AGI$370)</f>
        <v>568.24351521061033</v>
      </c>
      <c r="AGJ377" s="1140">
        <f>INDEX('DEFAULT DATA'!$B$9:$ALY$41,$C$10,AGJ$370)</f>
        <v>5966.5569097114085</v>
      </c>
      <c r="AGK377" s="1140">
        <f>INDEX('DEFAULT DATA'!$B$9:$ALY$41,$C$10,AGK$370)</f>
        <v>8730.2867336902873</v>
      </c>
      <c r="AGL377" s="1140">
        <f>INDEX('DEFAULT DATA'!$B$9:$ALY$41,$C$10,AGL$370)</f>
        <v>24008.288517648292</v>
      </c>
      <c r="AGM377" s="1140">
        <f>INDEX('DEFAULT DATA'!$B$9:$ALY$41,$C$10,AGM$370)</f>
        <v>0</v>
      </c>
      <c r="AGN377" s="1140">
        <f>INDEX('DEFAULT DATA'!$B$9:$ALY$41,$C$10,AGN$370)</f>
        <v>873.02867336902875</v>
      </c>
      <c r="AGO377" s="1140">
        <f>INDEX('DEFAULT DATA'!$B$9:$ALY$41,$C$10,AGO$370)</f>
        <v>0</v>
      </c>
      <c r="AGP377" s="1140">
        <f>INDEX('DEFAULT DATA'!$B$9:$ALY$41,$C$10,AGP$370)</f>
        <v>0</v>
      </c>
      <c r="AGQ377" s="1140">
        <f>INDEX('DEFAULT DATA'!$B$9:$ALY$41,$C$10,AGQ$370)</f>
        <v>873.02867336902875</v>
      </c>
      <c r="AGR377" s="1140">
        <f>INDEX('DEFAULT DATA'!$B$9:$ALY$41,$C$10,AGR$370)</f>
        <v>9166.8010703748005</v>
      </c>
      <c r="AGS377" s="1140">
        <f>INDEX('DEFAULT DATA'!$B$9:$ALY$41,$C$10,AGS$370)</f>
        <v>2034.8409691022964</v>
      </c>
      <c r="AGT377" s="1140">
        <f>INDEX('DEFAULT DATA'!$B$9:$ALY$41,$C$10,AGT$370)</f>
        <v>5595.8126650313152</v>
      </c>
      <c r="AGU377" s="1140">
        <f>INDEX('DEFAULT DATA'!$B$9:$ALY$41,$C$10,AGU$370)</f>
        <v>0</v>
      </c>
      <c r="AGV377" s="1140">
        <f>INDEX('DEFAULT DATA'!$B$9:$ALY$41,$C$10,AGV$370)</f>
        <v>203.48409691022965</v>
      </c>
      <c r="AGW377" s="1140">
        <f>INDEX('DEFAULT DATA'!$B$9:$ALY$41,$C$10,AGW$370)</f>
        <v>0</v>
      </c>
      <c r="AGX377" s="1140">
        <f>INDEX('DEFAULT DATA'!$B$9:$ALY$41,$C$10,AGX$370)</f>
        <v>0</v>
      </c>
      <c r="AGY377" s="1140">
        <f>INDEX('DEFAULT DATA'!$B$9:$ALY$41,$C$10,AGY$370)</f>
        <v>203.48409691022965</v>
      </c>
      <c r="AGZ377" s="1140">
        <f>INDEX('DEFAULT DATA'!$B$9:$ALY$41,$C$10,AGZ$370)</f>
        <v>2136.583017557411</v>
      </c>
      <c r="AHA377" s="1140">
        <f>INDEX('DEFAULT DATA'!$B$9:$ALY$41,$C$10,AHA$370)</f>
        <v>2249.0347553235911</v>
      </c>
      <c r="AHB377" s="1140">
        <f>INDEX('DEFAULT DATA'!$B$9:$ALY$41,$C$10,AHB$370)</f>
        <v>6184.8455771398749</v>
      </c>
      <c r="AHC377" s="1140">
        <f>INDEX('DEFAULT DATA'!$B$9:$ALY$41,$C$10,AHC$370)</f>
        <v>0</v>
      </c>
      <c r="AHD377" s="1140">
        <f>INDEX('DEFAULT DATA'!$B$9:$ALY$41,$C$10,AHD$370)</f>
        <v>224.9034755323591</v>
      </c>
      <c r="AHE377" s="1140">
        <f>INDEX('DEFAULT DATA'!$B$9:$ALY$41,$C$10,AHE$370)</f>
        <v>0</v>
      </c>
      <c r="AHF377" s="1140">
        <f>INDEX('DEFAULT DATA'!$B$9:$ALY$41,$C$10,AHF$370)</f>
        <v>0</v>
      </c>
      <c r="AHG377" s="1140">
        <f>INDEX('DEFAULT DATA'!$B$9:$ALY$41,$C$10,AHG$370)</f>
        <v>224.9034755323591</v>
      </c>
      <c r="AHH377" s="1140">
        <f>INDEX('DEFAULT DATA'!$B$9:$ALY$41,$C$10,AHH$370)</f>
        <v>2361.4864930897702</v>
      </c>
      <c r="AHI377" s="1140">
        <f>INDEX('DEFAULT DATA'!$B$9:$ALY$41,$C$10,AHI$370)</f>
        <v>2356.1316484342383</v>
      </c>
      <c r="AHJ377" s="1140">
        <f>INDEX('DEFAULT DATA'!$B$9:$ALY$41,$C$10,AHJ$370)</f>
        <v>6479.3620331941547</v>
      </c>
      <c r="AHK377" s="1140">
        <f>INDEX('DEFAULT DATA'!$B$9:$ALY$41,$C$10,AHK$370)</f>
        <v>0</v>
      </c>
      <c r="AHL377" s="1140">
        <f>INDEX('DEFAULT DATA'!$B$9:$ALY$41,$C$10,AHL$370)</f>
        <v>235.61316484342382</v>
      </c>
      <c r="AHM377" s="1140">
        <f>INDEX('DEFAULT DATA'!$B$9:$ALY$41,$C$10,AHM$370)</f>
        <v>0</v>
      </c>
      <c r="AHN377" s="1140">
        <f>INDEX('DEFAULT DATA'!$B$9:$ALY$41,$C$10,AHN$370)</f>
        <v>0</v>
      </c>
      <c r="AHO377" s="1140">
        <f>INDEX('DEFAULT DATA'!$B$9:$ALY$41,$C$10,AHO$370)</f>
        <v>235.61316484342382</v>
      </c>
      <c r="AHP377" s="1140">
        <f>INDEX('DEFAULT DATA'!$B$9:$ALY$41,$C$10,AHP$370)</f>
        <v>2473.9382308559498</v>
      </c>
      <c r="AHQ377" s="1140">
        <f>INDEX('DEFAULT DATA'!$B$9:$ALY$41,$C$10,AHQ$370)</f>
        <v>3619.8749871398754</v>
      </c>
      <c r="AHR377" s="1140">
        <f>INDEX('DEFAULT DATA'!$B$9:$ALY$41,$C$10,AHR$370)</f>
        <v>9954.6562146346569</v>
      </c>
      <c r="AHS377" s="1140">
        <f>INDEX('DEFAULT DATA'!$B$9:$ALY$41,$C$10,AHS$370)</f>
        <v>0</v>
      </c>
      <c r="AHT377" s="1140">
        <f>INDEX('DEFAULT DATA'!$B$9:$ALY$41,$C$10,AHT$370)</f>
        <v>361.98749871398752</v>
      </c>
      <c r="AHU377" s="1140">
        <f>INDEX('DEFAULT DATA'!$B$9:$ALY$41,$C$10,AHU$370)</f>
        <v>0</v>
      </c>
      <c r="AHV377" s="1140">
        <f>INDEX('DEFAULT DATA'!$B$9:$ALY$41,$C$10,AHV$370)</f>
        <v>0</v>
      </c>
      <c r="AHW377" s="1140">
        <f>INDEX('DEFAULT DATA'!$B$9:$ALY$41,$C$10,AHW$370)</f>
        <v>361.98749871398752</v>
      </c>
      <c r="AHX377" s="1140">
        <f>INDEX('DEFAULT DATA'!$B$9:$ALY$41,$C$10,AHX$370)</f>
        <v>3800.8687364968687</v>
      </c>
      <c r="AHY377" s="1140">
        <f>INDEX('DEFAULT DATA'!$B$9:$ALY$41,$C$10,AHY$370)</f>
        <v>165</v>
      </c>
      <c r="AHZ377" s="1140">
        <f>INDEX('DEFAULT DATA'!$B$9:$ALY$41,$C$10,AHZ$370)</f>
        <v>0</v>
      </c>
      <c r="AIA377" s="1140">
        <f>INDEX('DEFAULT DATA'!$B$9:$ALY$41,$C$10,AIA$370)</f>
        <v>0</v>
      </c>
      <c r="AIB377" s="1140">
        <f>INDEX('DEFAULT DATA'!$B$9:$ALY$41,$C$10,AIB$370)</f>
        <v>0</v>
      </c>
      <c r="AIC377" s="1140">
        <f>INDEX('DEFAULT DATA'!$B$9:$ALY$41,$C$10,AIC$370)</f>
        <v>0</v>
      </c>
      <c r="AID377" s="1140">
        <f>INDEX('DEFAULT DATA'!$B$9:$ALY$41,$C$10,AID$370)</f>
        <v>0</v>
      </c>
      <c r="AIE377" s="1140">
        <f>INDEX('DEFAULT DATA'!$B$9:$ALY$41,$C$10,AIE$370)</f>
        <v>0</v>
      </c>
      <c r="AIF377" s="1140">
        <f>INDEX('DEFAULT DATA'!$B$9:$ALY$41,$C$10,AIF$370)</f>
        <v>0</v>
      </c>
      <c r="AIG377" s="1140">
        <f>INDEX('DEFAULT DATA'!$B$9:$ALY$41,$C$10,AIG$370)</f>
        <v>420</v>
      </c>
      <c r="AIH377" s="1140">
        <f>INDEX('DEFAULT DATA'!$B$9:$ALY$41,$C$10,AIH$370)</f>
        <v>32.409999999999997</v>
      </c>
      <c r="AII377" s="1140">
        <f>INDEX('DEFAULT DATA'!$B$9:$ALY$41,$C$10,AII$370)</f>
        <v>27.01</v>
      </c>
      <c r="AIJ377" s="1140">
        <f>INDEX('DEFAULT DATA'!$B$9:$ALY$41,$C$10,AIJ$370)</f>
        <v>0</v>
      </c>
      <c r="AIK377" s="1140">
        <f>INDEX('DEFAULT DATA'!$B$9:$ALY$41,$C$10,AIK$370)</f>
        <v>2.52</v>
      </c>
      <c r="AIL377" s="1140">
        <f>INDEX('DEFAULT DATA'!$B$9:$ALY$41,$C$10,AIL$370)</f>
        <v>3.06</v>
      </c>
      <c r="AIM377" s="1140">
        <f>INDEX('DEFAULT DATA'!$B$9:$ALY$41,$C$10,AIM$370)</f>
        <v>0</v>
      </c>
      <c r="AIN377" s="1140">
        <f>INDEX('DEFAULT DATA'!$B$9:$ALY$41,$C$10,AIN$370)</f>
        <v>0</v>
      </c>
      <c r="AIO377" s="1140">
        <f>INDEX('DEFAULT DATA'!$B$9:$ALY$41,$C$10,AIO$370)</f>
        <v>350</v>
      </c>
      <c r="AIP377" s="1140">
        <f>INDEX('DEFAULT DATA'!$B$9:$ALY$41,$C$10,AIP$370)</f>
        <v>64.819999999999993</v>
      </c>
      <c r="AIQ377" s="1140">
        <f>INDEX('DEFAULT DATA'!$B$9:$ALY$41,$C$10,AIQ$370)</f>
        <v>54.02</v>
      </c>
      <c r="AIR377" s="1140">
        <f>INDEX('DEFAULT DATA'!$B$9:$ALY$41,$C$10,AIR$370)</f>
        <v>0</v>
      </c>
      <c r="AIS377" s="1140">
        <f>INDEX('DEFAULT DATA'!$B$9:$ALY$41,$C$10,AIS$370)</f>
        <v>5.04</v>
      </c>
      <c r="AIT377" s="1140">
        <f>INDEX('DEFAULT DATA'!$B$9:$ALY$41,$C$10,AIT$370)</f>
        <v>6.12</v>
      </c>
      <c r="AIU377" s="1140">
        <f>INDEX('DEFAULT DATA'!$B$9:$ALY$41,$C$10,AIU$370)</f>
        <v>0</v>
      </c>
      <c r="AIV377" s="1140">
        <f>INDEX('DEFAULT DATA'!$B$9:$ALY$41,$C$10,AIV$370)</f>
        <v>0</v>
      </c>
      <c r="AIW377" s="1140">
        <f>INDEX('DEFAULT DATA'!$B$9:$ALY$41,$C$10,AIW$370)</f>
        <v>120</v>
      </c>
      <c r="AIX377" s="1140">
        <f>INDEX('DEFAULT DATA'!$B$9:$ALY$41,$C$10,AIX$370)</f>
        <v>47.37</v>
      </c>
      <c r="AIY377" s="1140">
        <f>INDEX('DEFAULT DATA'!$B$9:$ALY$41,$C$10,AIY$370)</f>
        <v>39.47</v>
      </c>
      <c r="AIZ377" s="1140">
        <f>INDEX('DEFAULT DATA'!$B$9:$ALY$41,$C$10,AIZ$370)</f>
        <v>0</v>
      </c>
      <c r="AJA377" s="1140">
        <f>INDEX('DEFAULT DATA'!$B$9:$ALY$41,$C$10,AJA$370)</f>
        <v>3.68</v>
      </c>
      <c r="AJB377" s="1140">
        <f>INDEX('DEFAULT DATA'!$B$9:$ALY$41,$C$10,AJB$370)</f>
        <v>4.4800000000000004</v>
      </c>
      <c r="AJC377" s="1140">
        <f>INDEX('DEFAULT DATA'!$B$9:$ALY$41,$C$10,AJC$370)</f>
        <v>0</v>
      </c>
      <c r="AJD377" s="1140">
        <f>INDEX('DEFAULT DATA'!$B$9:$ALY$41,$C$10,AJD$370)</f>
        <v>0</v>
      </c>
      <c r="AJE377" s="1140">
        <f>INDEX('DEFAULT DATA'!$B$9:$ALY$41,$C$10,AJE$370)</f>
        <v>129.6</v>
      </c>
      <c r="AJF377" s="1140">
        <f>INDEX('DEFAULT DATA'!$B$9:$ALY$41,$C$10,AJF$370)</f>
        <v>96.93</v>
      </c>
      <c r="AJG377" s="1140">
        <f>INDEX('DEFAULT DATA'!$B$9:$ALY$41,$C$10,AJG$370)</f>
        <v>80.78</v>
      </c>
      <c r="AJH377" s="1140">
        <f>INDEX('DEFAULT DATA'!$B$9:$ALY$41,$C$10,AJH$370)</f>
        <v>0</v>
      </c>
      <c r="AJI377" s="1140">
        <f>INDEX('DEFAULT DATA'!$B$9:$ALY$41,$C$10,AJI$370)</f>
        <v>7.54</v>
      </c>
      <c r="AJJ377" s="1140">
        <f>INDEX('DEFAULT DATA'!$B$9:$ALY$41,$C$10,AJJ$370)</f>
        <v>9.15</v>
      </c>
      <c r="AJK377" s="1140">
        <f>INDEX('DEFAULT DATA'!$B$9:$ALY$41,$C$10,AJK$370)</f>
        <v>0</v>
      </c>
      <c r="AJL377" s="1140">
        <f>INDEX('DEFAULT DATA'!$B$9:$ALY$41,$C$10,AJL$370)</f>
        <v>0</v>
      </c>
      <c r="AJM377" s="1140">
        <f>INDEX('DEFAULT DATA'!$B$9:$ALY$41,$C$10,AJM$370)</f>
        <v>160</v>
      </c>
      <c r="AJN377" s="1140">
        <f>INDEX('DEFAULT DATA'!$B$9:$ALY$41,$C$10,AJN$370)</f>
        <v>17.45</v>
      </c>
      <c r="AJO377" s="1140">
        <f>INDEX('DEFAULT DATA'!$B$9:$ALY$41,$C$10,AJO$370)</f>
        <v>14.54</v>
      </c>
      <c r="AJP377" s="1140">
        <f>INDEX('DEFAULT DATA'!$B$9:$ALY$41,$C$10,AJP$370)</f>
        <v>0</v>
      </c>
      <c r="AJQ377" s="1140">
        <f>INDEX('DEFAULT DATA'!$B$9:$ALY$41,$C$10,AJQ$370)</f>
        <v>1.36</v>
      </c>
      <c r="AJR377" s="1140">
        <f>INDEX('DEFAULT DATA'!$B$9:$ALY$41,$C$10,AJR$370)</f>
        <v>1.65</v>
      </c>
      <c r="AJS377" s="1140">
        <f>INDEX('DEFAULT DATA'!$B$9:$ALY$41,$C$10,AJS$370)</f>
        <v>0</v>
      </c>
      <c r="AJT377" s="1140">
        <f>INDEX('DEFAULT DATA'!$B$9:$ALY$41,$C$10,AJT$370)</f>
        <v>0</v>
      </c>
      <c r="AJU377" s="1140" t="str">
        <f>INDEX('DEFAULT DATA'!$B$9:$ALY$41,$C$10,AJU$370)</f>
        <v>Apartment</v>
      </c>
      <c r="AJV377" s="1140" t="str">
        <f>INDEX('DEFAULT DATA'!$B$9:$ALY$41,$C$10,AJV$370)</f>
        <v>Terraced</v>
      </c>
      <c r="AJW377" s="1140" t="str">
        <f>INDEX('DEFAULT DATA'!$B$9:$ALY$41,$C$10,AJW$370)</f>
        <v>Semi-detached</v>
      </c>
      <c r="AJX377" s="1140" t="str">
        <f>INDEX('DEFAULT DATA'!$B$9:$ALY$41,$C$10,AJX$370)</f>
        <v>Detached</v>
      </c>
      <c r="AJY377" s="1140" t="str">
        <f>INDEX('DEFAULT DATA'!$B$9:$ALY$41,$C$10,AJY$370)</f>
        <v>Retail</v>
      </c>
      <c r="AJZ377" s="1140" t="str">
        <f>INDEX('DEFAULT DATA'!$B$9:$ALY$41,$C$10,AJZ$370)</f>
        <v>Health</v>
      </c>
      <c r="AKA377" s="1140" t="str">
        <f>INDEX('DEFAULT DATA'!$B$9:$ALY$41,$C$10,AKA$370)</f>
        <v>Hospitality</v>
      </c>
      <c r="AKB377" s="1140" t="str">
        <f>INDEX('DEFAULT DATA'!$B$9:$ALY$41,$C$10,AKB$370)</f>
        <v>Offices</v>
      </c>
      <c r="AKC377" s="1140" t="str">
        <f>INDEX('DEFAULT DATA'!$B$9:$ALY$41,$C$10,AKC$370)</f>
        <v>Industrial</v>
      </c>
      <c r="AKD377" s="1140" t="str">
        <f>INDEX('DEFAULT DATA'!$B$9:$ALY$41,$C$10,AKD$370)</f>
        <v>Warehouses</v>
      </c>
      <c r="AKE377" s="1140">
        <f>INDEX('DEFAULT DATA'!$B$9:$ALY$41,$C$10,AKE$370)</f>
        <v>104.21052631578947</v>
      </c>
      <c r="AKF377" s="1140">
        <f>INDEX('DEFAULT DATA'!$B$9:$ALY$41,$C$10,AKF$370)</f>
        <v>0</v>
      </c>
      <c r="AKG377" s="1140">
        <f>INDEX('DEFAULT DATA'!$B$9:$ALY$41,$C$10,AKG$370)</f>
        <v>0</v>
      </c>
      <c r="AKH377" s="1140">
        <f>INDEX('DEFAULT DATA'!$B$9:$ALY$41,$C$10,AKH$370)</f>
        <v>0</v>
      </c>
      <c r="AKI377" s="1140">
        <f>INDEX('DEFAULT DATA'!$B$9:$ALY$41,$C$10,AKI$370)</f>
        <v>0</v>
      </c>
      <c r="AKJ377" s="1140">
        <f>INDEX('DEFAULT DATA'!$B$9:$ALY$41,$C$10,AKJ$370)</f>
        <v>0</v>
      </c>
      <c r="AKK377" s="1140">
        <f>INDEX('DEFAULT DATA'!$B$9:$ALY$41,$C$10,AKK$370)</f>
        <v>3.2565789473684208</v>
      </c>
      <c r="AKL377" s="1140">
        <f>INDEX('DEFAULT DATA'!$B$9:$ALY$41,$C$10,AKL$370)</f>
        <v>16.282894736842103</v>
      </c>
      <c r="AKM377" s="1140">
        <f>INDEX('DEFAULT DATA'!$B$9:$ALY$41,$C$10,AKM$370)</f>
        <v>306.31578947368416</v>
      </c>
      <c r="AKN377" s="1140">
        <f>INDEX('DEFAULT DATA'!$B$9:$ALY$41,$C$10,AKN$370)</f>
        <v>0</v>
      </c>
      <c r="AKO377" s="1140">
        <f>INDEX('DEFAULT DATA'!$B$9:$ALY$41,$C$10,AKO$370)</f>
        <v>0</v>
      </c>
      <c r="AKP377" s="1140">
        <f>INDEX('DEFAULT DATA'!$B$9:$ALY$41,$C$10,AKP$370)</f>
        <v>0</v>
      </c>
      <c r="AKQ377" s="1140">
        <f>INDEX('DEFAULT DATA'!$B$9:$ALY$41,$C$10,AKQ$370)</f>
        <v>0</v>
      </c>
      <c r="AKR377" s="1140">
        <f>INDEX('DEFAULT DATA'!$B$9:$ALY$41,$C$10,AKR$370)</f>
        <v>0</v>
      </c>
      <c r="AKS377" s="1140">
        <f>INDEX('DEFAULT DATA'!$B$9:$ALY$41,$C$10,AKS$370)</f>
        <v>9.5723684210526301</v>
      </c>
      <c r="AKT377" s="1140">
        <f>INDEX('DEFAULT DATA'!$B$9:$ALY$41,$C$10,AKT$370)</f>
        <v>47.86184210526315</v>
      </c>
      <c r="AKU377" s="1140">
        <f>INDEX('DEFAULT DATA'!$B$9:$ALY$41,$C$10,AKU$370)</f>
        <v>303.15789473684208</v>
      </c>
      <c r="AKV377" s="1140">
        <f>INDEX('DEFAULT DATA'!$B$9:$ALY$41,$C$10,AKV$370)</f>
        <v>0</v>
      </c>
      <c r="AKW377" s="1140">
        <f>INDEX('DEFAULT DATA'!$B$9:$ALY$41,$C$10,AKW$370)</f>
        <v>0</v>
      </c>
      <c r="AKX377" s="1140">
        <f>INDEX('DEFAULT DATA'!$B$9:$ALY$41,$C$10,AKX$370)</f>
        <v>0</v>
      </c>
      <c r="AKY377" s="1140">
        <f>INDEX('DEFAULT DATA'!$B$9:$ALY$41,$C$10,AKY$370)</f>
        <v>0</v>
      </c>
      <c r="AKZ377" s="1140">
        <f>INDEX('DEFAULT DATA'!$B$9:$ALY$41,$C$10,AKZ$370)</f>
        <v>0</v>
      </c>
      <c r="ALA377" s="1140">
        <f>INDEX('DEFAULT DATA'!$B$9:$ALY$41,$C$10,ALA$370)</f>
        <v>9.473684210526315</v>
      </c>
      <c r="ALB377" s="1140">
        <f>INDEX('DEFAULT DATA'!$B$9:$ALY$41,$C$10,ALB$370)</f>
        <v>47.368421052631575</v>
      </c>
      <c r="ALC377" s="1140">
        <f>INDEX('DEFAULT DATA'!$B$9:$ALY$41,$C$10,ALC$370)</f>
        <v>135.78947368421052</v>
      </c>
      <c r="ALD377" s="1140">
        <f>INDEX('DEFAULT DATA'!$B$9:$ALY$41,$C$10,ALD$370)</f>
        <v>0</v>
      </c>
      <c r="ALE377" s="1140">
        <f>INDEX('DEFAULT DATA'!$B$9:$ALY$41,$C$10,ALE$370)</f>
        <v>0</v>
      </c>
      <c r="ALF377" s="1140">
        <f>INDEX('DEFAULT DATA'!$B$9:$ALY$41,$C$10,ALF$370)</f>
        <v>0</v>
      </c>
      <c r="ALG377" s="1140">
        <f>INDEX('DEFAULT DATA'!$B$9:$ALY$41,$C$10,ALG$370)</f>
        <v>0</v>
      </c>
      <c r="ALH377" s="1140">
        <f>INDEX('DEFAULT DATA'!$B$9:$ALY$41,$C$10,ALH$370)</f>
        <v>0</v>
      </c>
      <c r="ALI377" s="1140">
        <f>INDEX('DEFAULT DATA'!$B$9:$ALY$41,$C$10,ALI$370)</f>
        <v>4.2434210526315788</v>
      </c>
      <c r="ALJ377" s="1140">
        <f>INDEX('DEFAULT DATA'!$B$9:$ALY$41,$C$10,ALJ$370)</f>
        <v>21.217105263157894</v>
      </c>
      <c r="ALK377" s="1140">
        <f>INDEX('DEFAULT DATA'!$B$9:$ALY$41,$C$10,ALK$370)</f>
        <v>204.63157894736841</v>
      </c>
      <c r="ALL377" s="1140">
        <f>INDEX('DEFAULT DATA'!$B$9:$ALY$41,$C$10,ALL$370)</f>
        <v>0</v>
      </c>
      <c r="ALM377" s="1140">
        <f>INDEX('DEFAULT DATA'!$B$9:$ALY$41,$C$10,ALM$370)</f>
        <v>0</v>
      </c>
      <c r="ALN377" s="1140">
        <f>INDEX('DEFAULT DATA'!$B$9:$ALY$41,$C$10,ALN$370)</f>
        <v>0</v>
      </c>
      <c r="ALO377" s="1140">
        <f>INDEX('DEFAULT DATA'!$B$9:$ALY$41,$C$10,ALO$370)</f>
        <v>0</v>
      </c>
      <c r="ALP377" s="1140">
        <f>INDEX('DEFAULT DATA'!$B$9:$ALY$41,$C$10,ALP$370)</f>
        <v>0</v>
      </c>
      <c r="ALQ377" s="1140">
        <f>INDEX('DEFAULT DATA'!$B$9:$ALY$41,$C$10,ALQ$370)</f>
        <v>6.3947368421052628</v>
      </c>
      <c r="ALR377" s="1140">
        <f>INDEX('DEFAULT DATA'!$B$9:$ALY$41,$C$10,ALR$370)</f>
        <v>31.973684210526315</v>
      </c>
      <c r="ALS377" s="1140">
        <f>INDEX('DEFAULT DATA'!$B$9:$ALY$41,$C$10,ALS$370)</f>
        <v>123.1578947368421</v>
      </c>
      <c r="ALT377" s="1140">
        <f>INDEX('DEFAULT DATA'!$B$9:$ALY$41,$C$10,ALT$370)</f>
        <v>0</v>
      </c>
      <c r="ALU377" s="1140">
        <f>INDEX('DEFAULT DATA'!$B$9:$ALY$41,$C$10,ALU$370)</f>
        <v>0</v>
      </c>
      <c r="ALV377" s="1140">
        <f>INDEX('DEFAULT DATA'!$B$9:$ALY$41,$C$10,ALV$370)</f>
        <v>0</v>
      </c>
      <c r="ALW377" s="1140">
        <f>INDEX('DEFAULT DATA'!$B$9:$ALY$41,$C$10,ALW$370)</f>
        <v>0</v>
      </c>
      <c r="ALX377" s="1140">
        <f>INDEX('DEFAULT DATA'!$B$9:$ALY$41,$C$10,ALX$370)</f>
        <v>0</v>
      </c>
      <c r="ALY377" s="1140">
        <f>INDEX('DEFAULT DATA'!$B$9:$ALY$41,$C$10,ALY$370)</f>
        <v>3.8486842105263155</v>
      </c>
      <c r="ALZ377" s="1140">
        <f>INDEX('DEFAULT DATA'!$B$9:$ALY$41,$C$10,ALZ$370)</f>
        <v>19.243421052631579</v>
      </c>
    </row>
    <row r="378" spans="2:1014" s="426" customFormat="1" ht="20.100000000000001" customHeight="1">
      <c r="B378" s="1318" t="str">
        <f>IF(C10=33,E10,"")</f>
        <v/>
      </c>
      <c r="C378" s="426" t="s">
        <v>4153</v>
      </c>
      <c r="D378" s="426" t="s">
        <v>4154</v>
      </c>
      <c r="E378" s="426" t="s">
        <v>4155</v>
      </c>
      <c r="F378" s="1443" t="s">
        <v>4156</v>
      </c>
      <c r="G378" s="1443" t="s">
        <v>4157</v>
      </c>
      <c r="H378" s="1443" t="s">
        <v>4158</v>
      </c>
      <c r="I378" s="426" t="s">
        <v>4159</v>
      </c>
      <c r="J378" s="1443" t="s">
        <v>4160</v>
      </c>
      <c r="K378" s="1443" t="s">
        <v>4161</v>
      </c>
      <c r="L378" s="1443" t="s">
        <v>4162</v>
      </c>
      <c r="M378" s="426" t="s">
        <v>4163</v>
      </c>
      <c r="N378" s="1443" t="s">
        <v>4164</v>
      </c>
      <c r="O378" s="1443" t="s">
        <v>4165</v>
      </c>
      <c r="P378" s="1443" t="s">
        <v>4166</v>
      </c>
      <c r="Q378" s="426" t="s">
        <v>4167</v>
      </c>
      <c r="R378" s="426" t="s">
        <v>4168</v>
      </c>
      <c r="S378" s="1443" t="s">
        <v>4169</v>
      </c>
      <c r="T378" s="1443" t="s">
        <v>4170</v>
      </c>
      <c r="U378" s="1443" t="s">
        <v>4171</v>
      </c>
      <c r="V378" s="426" t="s">
        <v>4172</v>
      </c>
      <c r="W378" s="426" t="s">
        <v>4173</v>
      </c>
      <c r="X378" s="426" t="s">
        <v>4174</v>
      </c>
      <c r="Y378" s="426" t="s">
        <v>4175</v>
      </c>
      <c r="Z378" s="426" t="s">
        <v>4811</v>
      </c>
      <c r="AF378" s="426" t="s">
        <v>4176</v>
      </c>
      <c r="AG378" s="426" t="s">
        <v>4177</v>
      </c>
      <c r="AH378" s="426" t="s">
        <v>4178</v>
      </c>
      <c r="AI378" s="426" t="s">
        <v>4179</v>
      </c>
      <c r="AJ378" s="426" t="s">
        <v>4396</v>
      </c>
      <c r="AK378" s="426" t="s">
        <v>4180</v>
      </c>
      <c r="AL378" s="426" t="s">
        <v>4181</v>
      </c>
      <c r="AM378" s="426" t="s">
        <v>4182</v>
      </c>
      <c r="AN378" s="426" t="s">
        <v>4183</v>
      </c>
      <c r="AO378" s="426" t="s">
        <v>4397</v>
      </c>
      <c r="AP378" s="426" t="s">
        <v>4184</v>
      </c>
      <c r="AQ378" s="426" t="s">
        <v>4398</v>
      </c>
      <c r="AR378" s="426" t="s">
        <v>4399</v>
      </c>
      <c r="AS378" s="426" t="s">
        <v>4400</v>
      </c>
      <c r="AT378" s="426" t="s">
        <v>4401</v>
      </c>
      <c r="AU378" s="426" t="s">
        <v>4402</v>
      </c>
      <c r="AV378" s="426" t="s">
        <v>4403</v>
      </c>
      <c r="AW378" s="426" t="s">
        <v>4185</v>
      </c>
      <c r="AX378" s="426" t="s">
        <v>4186</v>
      </c>
      <c r="AY378" s="426" t="s">
        <v>4187</v>
      </c>
      <c r="AZ378" s="426" t="s">
        <v>4188</v>
      </c>
      <c r="BA378" s="426" t="s">
        <v>4404</v>
      </c>
      <c r="BB378" s="426" t="s">
        <v>4189</v>
      </c>
      <c r="BC378" s="426" t="s">
        <v>4405</v>
      </c>
      <c r="BD378" s="1443" t="s">
        <v>4406</v>
      </c>
      <c r="BE378" s="1443" t="s">
        <v>4407</v>
      </c>
      <c r="BF378" s="1443" t="s">
        <v>4408</v>
      </c>
      <c r="BI378" s="426" t="s">
        <v>4190</v>
      </c>
      <c r="BJ378" s="426" t="s">
        <v>4191</v>
      </c>
      <c r="BK378" s="426" t="s">
        <v>4192</v>
      </c>
      <c r="BL378" s="426" t="s">
        <v>4193</v>
      </c>
      <c r="BM378" s="426" t="s">
        <v>4194</v>
      </c>
      <c r="BN378" s="426" t="s">
        <v>4195</v>
      </c>
      <c r="BO378" s="426" t="s">
        <v>4196</v>
      </c>
      <c r="BP378" s="426" t="s">
        <v>4197</v>
      </c>
      <c r="BQ378" s="426" t="s">
        <v>4198</v>
      </c>
      <c r="BR378" s="426" t="s">
        <v>4199</v>
      </c>
      <c r="BS378" s="426" t="s">
        <v>4200</v>
      </c>
      <c r="BT378" s="426" t="s">
        <v>1520</v>
      </c>
      <c r="BU378" s="426" t="s">
        <v>1528</v>
      </c>
      <c r="BV378" s="426" t="s">
        <v>1533</v>
      </c>
      <c r="BW378" s="426" t="s">
        <v>1534</v>
      </c>
      <c r="BX378" s="426" t="s">
        <v>4201</v>
      </c>
      <c r="BY378" s="426" t="s">
        <v>4202</v>
      </c>
      <c r="BZ378" s="426" t="s">
        <v>4203</v>
      </c>
      <c r="CA378" s="426" t="s">
        <v>4204</v>
      </c>
      <c r="CB378" s="426" t="s">
        <v>4205</v>
      </c>
      <c r="CC378" s="426" t="s">
        <v>4206</v>
      </c>
      <c r="CD378" s="426" t="s">
        <v>4207</v>
      </c>
      <c r="CE378" s="426" t="s">
        <v>4208</v>
      </c>
      <c r="CF378" s="426" t="s">
        <v>4209</v>
      </c>
      <c r="CG378" s="426" t="s">
        <v>4210</v>
      </c>
      <c r="CH378" s="426" t="s">
        <v>4211</v>
      </c>
      <c r="CI378" s="426" t="s">
        <v>1522</v>
      </c>
      <c r="CJ378" s="426" t="s">
        <v>1529</v>
      </c>
      <c r="CK378" s="426" t="s">
        <v>1535</v>
      </c>
      <c r="CL378" s="426" t="s">
        <v>1536</v>
      </c>
      <c r="CM378" s="426" t="s">
        <v>4212</v>
      </c>
      <c r="CN378" s="426" t="s">
        <v>4213</v>
      </c>
      <c r="CO378" s="426" t="s">
        <v>4214</v>
      </c>
      <c r="CP378" s="426" t="s">
        <v>4215</v>
      </c>
      <c r="CQ378" s="426" t="s">
        <v>4216</v>
      </c>
      <c r="CR378" s="426" t="s">
        <v>4217</v>
      </c>
      <c r="CS378" s="426" t="s">
        <v>4218</v>
      </c>
      <c r="CT378" s="426" t="s">
        <v>4219</v>
      </c>
      <c r="CU378" s="426" t="s">
        <v>4220</v>
      </c>
      <c r="CV378" s="426" t="s">
        <v>4221</v>
      </c>
      <c r="CW378" s="426" t="s">
        <v>4222</v>
      </c>
      <c r="CX378" s="426" t="s">
        <v>4223</v>
      </c>
      <c r="CY378" s="426" t="s">
        <v>1530</v>
      </c>
      <c r="CZ378" s="426" t="s">
        <v>1537</v>
      </c>
      <c r="DA378" s="426" t="s">
        <v>1538</v>
      </c>
      <c r="DG378" s="426" t="s">
        <v>4224</v>
      </c>
      <c r="DH378" s="426" t="s">
        <v>4225</v>
      </c>
      <c r="DI378" s="426" t="s">
        <v>4226</v>
      </c>
      <c r="DJ378" s="426" t="s">
        <v>4409</v>
      </c>
      <c r="DK378" s="426" t="s">
        <v>4410</v>
      </c>
      <c r="DL378" s="426" t="s">
        <v>4227</v>
      </c>
      <c r="DM378" s="426" t="s">
        <v>4411</v>
      </c>
      <c r="DN378" s="426" t="s">
        <v>4412</v>
      </c>
      <c r="DO378" s="1443" t="s">
        <v>4413</v>
      </c>
      <c r="DP378" s="1443" t="s">
        <v>4414</v>
      </c>
      <c r="DQ378" s="1443" t="s">
        <v>4415</v>
      </c>
      <c r="DR378" s="426" t="s">
        <v>4228</v>
      </c>
      <c r="DS378" s="426" t="s">
        <v>4229</v>
      </c>
      <c r="DT378" s="426" t="s">
        <v>4230</v>
      </c>
      <c r="DU378" s="426" t="s">
        <v>4231</v>
      </c>
      <c r="DV378" s="426" t="s">
        <v>4416</v>
      </c>
      <c r="DW378" s="426" t="s">
        <v>4417</v>
      </c>
      <c r="DX378" s="426" t="s">
        <v>4418</v>
      </c>
      <c r="DY378" s="426" t="s">
        <v>4232</v>
      </c>
      <c r="DZ378" s="426" t="s">
        <v>4233</v>
      </c>
      <c r="EA378" s="426" t="s">
        <v>4234</v>
      </c>
      <c r="EB378" s="426" t="s">
        <v>4235</v>
      </c>
      <c r="EC378" s="426" t="s">
        <v>4419</v>
      </c>
      <c r="ED378" s="426" t="s">
        <v>4420</v>
      </c>
      <c r="EE378" s="426" t="s">
        <v>4236</v>
      </c>
      <c r="EF378" s="426" t="s">
        <v>4421</v>
      </c>
      <c r="EG378" s="426" t="s">
        <v>4422</v>
      </c>
      <c r="EH378" s="426" t="s">
        <v>4423</v>
      </c>
      <c r="EI378" s="1443" t="s">
        <v>4424</v>
      </c>
      <c r="EJ378" s="1443" t="s">
        <v>4425</v>
      </c>
      <c r="EK378" s="1443" t="s">
        <v>4426</v>
      </c>
      <c r="EL378" s="426" t="s">
        <v>4237</v>
      </c>
      <c r="EM378" s="426" t="s">
        <v>4238</v>
      </c>
      <c r="EN378" s="426" t="s">
        <v>4239</v>
      </c>
      <c r="EO378" s="426" t="s">
        <v>4240</v>
      </c>
      <c r="EP378" s="426" t="s">
        <v>4241</v>
      </c>
      <c r="EQ378" s="426" t="s">
        <v>4242</v>
      </c>
      <c r="ER378" s="426" t="s">
        <v>4243</v>
      </c>
      <c r="ES378" s="426" t="s">
        <v>4244</v>
      </c>
      <c r="ET378" s="426" t="s">
        <v>4245</v>
      </c>
      <c r="EU378" s="426" t="s">
        <v>4246</v>
      </c>
      <c r="EV378" s="426" t="s">
        <v>4247</v>
      </c>
      <c r="EW378" s="426" t="s">
        <v>4248</v>
      </c>
      <c r="EX378" s="426" t="s">
        <v>4249</v>
      </c>
      <c r="EY378" s="426" t="s">
        <v>4250</v>
      </c>
      <c r="EZ378" s="426" t="s">
        <v>4251</v>
      </c>
      <c r="FA378" s="426" t="s">
        <v>4252</v>
      </c>
      <c r="FB378" s="426" t="s">
        <v>4253</v>
      </c>
      <c r="FC378" s="426" t="s">
        <v>4254</v>
      </c>
      <c r="FD378" s="426" t="s">
        <v>4255</v>
      </c>
      <c r="FE378" s="426" t="s">
        <v>4256</v>
      </c>
      <c r="FF378" s="426" t="s">
        <v>4257</v>
      </c>
      <c r="FG378" s="426" t="s">
        <v>4258</v>
      </c>
      <c r="FH378" s="426" t="s">
        <v>4259</v>
      </c>
      <c r="FI378" s="426" t="s">
        <v>4260</v>
      </c>
      <c r="FJ378" s="426" t="s">
        <v>4261</v>
      </c>
      <c r="FK378" s="426" t="s">
        <v>4262</v>
      </c>
      <c r="FL378" s="426" t="s">
        <v>4263</v>
      </c>
      <c r="FM378" s="426" t="s">
        <v>4264</v>
      </c>
      <c r="FN378" s="426" t="s">
        <v>4265</v>
      </c>
      <c r="FO378" s="426" t="s">
        <v>4266</v>
      </c>
      <c r="FP378" s="426" t="s">
        <v>4267</v>
      </c>
      <c r="FQ378" s="426" t="s">
        <v>4268</v>
      </c>
      <c r="FR378" s="426" t="s">
        <v>4269</v>
      </c>
      <c r="FS378" s="426" t="s">
        <v>4270</v>
      </c>
      <c r="FT378" s="426" t="s">
        <v>4271</v>
      </c>
      <c r="FU378" s="426" t="s">
        <v>4272</v>
      </c>
      <c r="FV378" s="426" t="s">
        <v>4273</v>
      </c>
      <c r="FW378" s="426" t="s">
        <v>4274</v>
      </c>
      <c r="FX378" s="426" t="s">
        <v>4275</v>
      </c>
      <c r="FY378" s="426" t="s">
        <v>4276</v>
      </c>
      <c r="FZ378" s="426" t="s">
        <v>4277</v>
      </c>
      <c r="GA378" s="426" t="s">
        <v>4278</v>
      </c>
      <c r="GB378" s="426" t="s">
        <v>4279</v>
      </c>
      <c r="GC378" s="426" t="s">
        <v>4280</v>
      </c>
      <c r="GD378" s="426" t="s">
        <v>4281</v>
      </c>
      <c r="GE378" s="426" t="s">
        <v>4282</v>
      </c>
      <c r="GF378" s="426" t="s">
        <v>4283</v>
      </c>
      <c r="GG378" s="426" t="s">
        <v>4284</v>
      </c>
      <c r="GH378" s="426" t="s">
        <v>4285</v>
      </c>
      <c r="GI378" s="426" t="s">
        <v>4286</v>
      </c>
      <c r="GJ378" s="426" t="s">
        <v>4287</v>
      </c>
      <c r="GK378" s="426" t="s">
        <v>4288</v>
      </c>
      <c r="GL378" s="426" t="s">
        <v>4289</v>
      </c>
      <c r="GM378" s="426" t="s">
        <v>4290</v>
      </c>
      <c r="GN378" s="426" t="s">
        <v>4427</v>
      </c>
      <c r="GO378" s="426" t="s">
        <v>4428</v>
      </c>
      <c r="GP378" s="426" t="s">
        <v>4429</v>
      </c>
      <c r="GQ378" s="426" t="s">
        <v>4430</v>
      </c>
      <c r="GR378" s="426" t="s">
        <v>4291</v>
      </c>
      <c r="GS378" s="426" t="s">
        <v>4292</v>
      </c>
      <c r="GT378" s="426" t="s">
        <v>4293</v>
      </c>
      <c r="GU378" s="426" t="s">
        <v>4294</v>
      </c>
      <c r="GV378" s="426" t="s">
        <v>4295</v>
      </c>
      <c r="GW378" s="426" t="s">
        <v>4296</v>
      </c>
      <c r="GX378" s="426" t="s">
        <v>4297</v>
      </c>
      <c r="GY378" s="426" t="s">
        <v>4298</v>
      </c>
      <c r="GZ378" s="426" t="s">
        <v>4299</v>
      </c>
      <c r="HA378" s="426" t="s">
        <v>4300</v>
      </c>
      <c r="HB378" s="426" t="s">
        <v>4301</v>
      </c>
      <c r="HC378" s="426" t="s">
        <v>4302</v>
      </c>
      <c r="HD378" s="426" t="s">
        <v>4303</v>
      </c>
      <c r="HE378" s="426" t="s">
        <v>4304</v>
      </c>
      <c r="HF378" s="426" t="s">
        <v>4305</v>
      </c>
      <c r="HG378" s="426" t="s">
        <v>4306</v>
      </c>
      <c r="HH378" s="426" t="s">
        <v>4307</v>
      </c>
      <c r="HI378" s="426" t="s">
        <v>4308</v>
      </c>
      <c r="HJ378" s="426" t="s">
        <v>4309</v>
      </c>
      <c r="HK378" s="426" t="s">
        <v>4310</v>
      </c>
      <c r="HL378" s="426" t="s">
        <v>4311</v>
      </c>
      <c r="HM378" s="426" t="s">
        <v>4312</v>
      </c>
      <c r="HN378" s="426" t="s">
        <v>4313</v>
      </c>
      <c r="HO378" s="426" t="s">
        <v>4314</v>
      </c>
      <c r="HP378" s="426" t="s">
        <v>4315</v>
      </c>
      <c r="HQ378" s="426" t="s">
        <v>4316</v>
      </c>
      <c r="HR378" s="426" t="s">
        <v>4317</v>
      </c>
      <c r="HS378" s="426" t="s">
        <v>4318</v>
      </c>
      <c r="HT378" s="426" t="s">
        <v>4319</v>
      </c>
      <c r="HU378" s="426" t="s">
        <v>4320</v>
      </c>
      <c r="HV378" s="426" t="s">
        <v>4321</v>
      </c>
      <c r="HW378" s="426" t="s">
        <v>4322</v>
      </c>
      <c r="HX378" s="426" t="s">
        <v>4323</v>
      </c>
      <c r="HY378" s="426" t="s">
        <v>4324</v>
      </c>
      <c r="HZ378" s="426" t="s">
        <v>4325</v>
      </c>
      <c r="IA378" s="426" t="s">
        <v>4326</v>
      </c>
      <c r="IB378" s="426" t="s">
        <v>4327</v>
      </c>
      <c r="IC378" s="426" t="s">
        <v>4328</v>
      </c>
      <c r="ID378" s="426" t="s">
        <v>4329</v>
      </c>
      <c r="IE378" s="426" t="s">
        <v>4330</v>
      </c>
      <c r="IF378" s="426" t="s">
        <v>4331</v>
      </c>
      <c r="IG378" s="426" t="s">
        <v>4332</v>
      </c>
      <c r="IH378" s="426" t="s">
        <v>4333</v>
      </c>
      <c r="II378" s="426" t="s">
        <v>4334</v>
      </c>
      <c r="IJ378" s="426" t="s">
        <v>4335</v>
      </c>
      <c r="IK378" s="426" t="s">
        <v>4336</v>
      </c>
      <c r="IL378" s="426" t="s">
        <v>4337</v>
      </c>
      <c r="IM378" s="426" t="s">
        <v>4338</v>
      </c>
      <c r="IN378" s="426" t="s">
        <v>4339</v>
      </c>
      <c r="IO378" s="426" t="s">
        <v>4340</v>
      </c>
      <c r="IP378" s="426" t="s">
        <v>4341</v>
      </c>
      <c r="IQ378" s="426" t="s">
        <v>4342</v>
      </c>
      <c r="IR378" s="426" t="s">
        <v>4343</v>
      </c>
      <c r="IS378" s="426" t="s">
        <v>4344</v>
      </c>
      <c r="IT378" s="426" t="s">
        <v>4431</v>
      </c>
      <c r="IU378" s="426" t="s">
        <v>4432</v>
      </c>
      <c r="IV378" s="426" t="s">
        <v>4345</v>
      </c>
      <c r="IW378" s="426" t="s">
        <v>4346</v>
      </c>
      <c r="IX378" s="426" t="s">
        <v>4347</v>
      </c>
      <c r="IY378" s="426" t="s">
        <v>4433</v>
      </c>
      <c r="IZ378" s="426" t="s">
        <v>4434</v>
      </c>
      <c r="JA378" s="426" t="s">
        <v>4435</v>
      </c>
      <c r="JB378" s="426" t="s">
        <v>4436</v>
      </c>
      <c r="JC378" s="1443" t="s">
        <v>4437</v>
      </c>
      <c r="JD378" s="1443" t="s">
        <v>4438</v>
      </c>
      <c r="JE378" s="1443" t="s">
        <v>4439</v>
      </c>
      <c r="JK378" s="426" t="s">
        <v>4348</v>
      </c>
      <c r="JL378" s="426" t="s">
        <v>4440</v>
      </c>
      <c r="JM378" s="426" t="s">
        <v>4441</v>
      </c>
      <c r="JN378" s="426" t="s">
        <v>4442</v>
      </c>
      <c r="JO378" s="1443" t="s">
        <v>4443</v>
      </c>
      <c r="JP378" s="1443" t="s">
        <v>4444</v>
      </c>
      <c r="JQ378" s="1443" t="s">
        <v>4445</v>
      </c>
      <c r="JW378" s="426" t="s">
        <v>4349</v>
      </c>
      <c r="JX378" s="426" t="s">
        <v>4446</v>
      </c>
      <c r="JZ378" s="1443" t="s">
        <v>4448</v>
      </c>
      <c r="KA378" s="1443" t="s">
        <v>4449</v>
      </c>
      <c r="KB378" s="1443" t="s">
        <v>4450</v>
      </c>
      <c r="KH378" s="426" t="s">
        <v>4350</v>
      </c>
      <c r="KI378" s="426" t="s">
        <v>4351</v>
      </c>
      <c r="KJ378" s="426" t="s">
        <v>4451</v>
      </c>
      <c r="KK378" s="426" t="s">
        <v>4452</v>
      </c>
      <c r="KL378" s="426" t="s">
        <v>4453</v>
      </c>
      <c r="KM378" s="426" t="s">
        <v>4454</v>
      </c>
      <c r="KN378" s="426" t="s">
        <v>4455</v>
      </c>
      <c r="KO378" s="426" t="s">
        <v>4456</v>
      </c>
      <c r="KP378" s="426" t="s">
        <v>4457</v>
      </c>
      <c r="KQ378" s="426" t="s">
        <v>4352</v>
      </c>
      <c r="KR378" s="426" t="s">
        <v>4353</v>
      </c>
      <c r="KS378" s="426" t="s">
        <v>4458</v>
      </c>
      <c r="KT378" s="426" t="s">
        <v>4459</v>
      </c>
      <c r="KU378" s="426" t="s">
        <v>4460</v>
      </c>
      <c r="KV378" s="426" t="s">
        <v>4461</v>
      </c>
      <c r="KW378" s="426" t="s">
        <v>4462</v>
      </c>
      <c r="KX378" s="426" t="s">
        <v>4463</v>
      </c>
      <c r="KY378" s="426" t="s">
        <v>4464</v>
      </c>
      <c r="KZ378" s="426" t="s">
        <v>4354</v>
      </c>
      <c r="LA378" s="426" t="s">
        <v>4355</v>
      </c>
      <c r="LB378" s="426" t="s">
        <v>4465</v>
      </c>
      <c r="LC378" s="426" t="s">
        <v>4466</v>
      </c>
      <c r="LD378" s="426" t="s">
        <v>4467</v>
      </c>
      <c r="LE378" s="426" t="s">
        <v>4468</v>
      </c>
      <c r="LF378" s="426" t="s">
        <v>4469</v>
      </c>
      <c r="LG378" s="426" t="s">
        <v>4470</v>
      </c>
      <c r="LH378" s="426" t="s">
        <v>4471</v>
      </c>
      <c r="LI378" s="426" t="s">
        <v>4356</v>
      </c>
      <c r="LJ378" s="426" t="s">
        <v>4357</v>
      </c>
      <c r="LK378" s="426" t="s">
        <v>4358</v>
      </c>
      <c r="LL378" s="426" t="s">
        <v>4472</v>
      </c>
      <c r="LM378" s="426" t="s">
        <v>4473</v>
      </c>
      <c r="LN378" s="426" t="s">
        <v>4447</v>
      </c>
      <c r="LO378" s="426" t="s">
        <v>4474</v>
      </c>
      <c r="LP378" s="1445" t="s">
        <v>4475</v>
      </c>
      <c r="LQ378" s="1443" t="s">
        <v>4476</v>
      </c>
      <c r="LR378" s="1443" t="s">
        <v>4477</v>
      </c>
      <c r="LS378" s="1443" t="s">
        <v>4478</v>
      </c>
      <c r="LY378" s="426" t="s">
        <v>4479</v>
      </c>
      <c r="MB378" s="1416"/>
      <c r="MY378" s="426" t="s">
        <v>4483</v>
      </c>
      <c r="MZ378" s="1443" t="s">
        <v>4480</v>
      </c>
      <c r="NA378" s="1443" t="s">
        <v>4481</v>
      </c>
      <c r="NB378" s="1443" t="s">
        <v>4482</v>
      </c>
      <c r="NC378" s="426" t="s">
        <v>4484</v>
      </c>
      <c r="ND378" s="1445" t="s">
        <v>4828</v>
      </c>
      <c r="NE378" s="1445"/>
      <c r="NF378" s="1445"/>
      <c r="NG378" s="426" t="s">
        <v>4485</v>
      </c>
      <c r="NH378" s="1445">
        <v>249</v>
      </c>
      <c r="NI378" s="1445"/>
      <c r="NJ378" s="1445"/>
      <c r="NK378" s="426" t="s">
        <v>4486</v>
      </c>
      <c r="NL378" s="1445">
        <v>250</v>
      </c>
      <c r="NM378" s="1445"/>
      <c r="NN378" s="1445"/>
      <c r="NO378" s="426" t="s">
        <v>4487</v>
      </c>
      <c r="NP378" s="1445">
        <v>251</v>
      </c>
      <c r="NQ378" s="1445"/>
      <c r="NR378" s="1445"/>
      <c r="NS378" s="426" t="s">
        <v>4488</v>
      </c>
      <c r="NT378" s="1445">
        <v>252</v>
      </c>
      <c r="NU378" s="1445"/>
      <c r="NV378" s="1445"/>
      <c r="NW378" s="426" t="s">
        <v>4489</v>
      </c>
      <c r="NX378" s="426" t="s">
        <v>4490</v>
      </c>
      <c r="NY378" s="426" t="s">
        <v>4491</v>
      </c>
      <c r="NZ378" s="426" t="s">
        <v>4492</v>
      </c>
      <c r="OA378" s="426" t="s">
        <v>4493</v>
      </c>
      <c r="OB378" s="426" t="s">
        <v>4494</v>
      </c>
      <c r="OC378" s="426" t="s">
        <v>4495</v>
      </c>
      <c r="OD378" s="426" t="s">
        <v>4496</v>
      </c>
      <c r="OE378" s="426" t="s">
        <v>4497</v>
      </c>
      <c r="OF378" s="426" t="s">
        <v>4498</v>
      </c>
      <c r="OG378" s="426" t="s">
        <v>4499</v>
      </c>
      <c r="OH378" s="426" t="s">
        <v>4500</v>
      </c>
      <c r="OI378" s="426" t="s">
        <v>4501</v>
      </c>
      <c r="OJ378" s="426" t="s">
        <v>4502</v>
      </c>
      <c r="OK378" s="426" t="s">
        <v>4503</v>
      </c>
      <c r="OL378" s="426" t="s">
        <v>4504</v>
      </c>
      <c r="OM378" s="426" t="s">
        <v>4505</v>
      </c>
      <c r="ON378" s="426" t="s">
        <v>4506</v>
      </c>
      <c r="OO378" s="426" t="s">
        <v>4507</v>
      </c>
      <c r="OP378" s="426" t="s">
        <v>4508</v>
      </c>
      <c r="OQ378" s="426" t="s">
        <v>4509</v>
      </c>
      <c r="OR378" s="426" t="s">
        <v>4510</v>
      </c>
      <c r="OS378" s="426" t="s">
        <v>4511</v>
      </c>
      <c r="OT378" s="426" t="s">
        <v>4512</v>
      </c>
      <c r="OU378" s="426" t="s">
        <v>4513</v>
      </c>
      <c r="OV378" s="426" t="s">
        <v>4514</v>
      </c>
      <c r="OW378" s="426" t="s">
        <v>4515</v>
      </c>
      <c r="OX378" s="426" t="s">
        <v>4516</v>
      </c>
      <c r="OY378" s="426" t="s">
        <v>4517</v>
      </c>
      <c r="OZ378" s="426" t="s">
        <v>4518</v>
      </c>
      <c r="PA378" s="426" t="s">
        <v>4519</v>
      </c>
      <c r="PB378" s="426" t="s">
        <v>4520</v>
      </c>
      <c r="PC378" s="426" t="s">
        <v>4521</v>
      </c>
      <c r="PD378" s="426" t="s">
        <v>4522</v>
      </c>
      <c r="PE378" s="426" t="s">
        <v>4523</v>
      </c>
      <c r="PF378" s="426" t="s">
        <v>4524</v>
      </c>
      <c r="PG378" s="426" t="s">
        <v>4525</v>
      </c>
      <c r="PH378" s="426" t="s">
        <v>4526</v>
      </c>
      <c r="PI378" s="426" t="s">
        <v>4527</v>
      </c>
      <c r="PJ378" s="426" t="s">
        <v>4528</v>
      </c>
      <c r="PK378" s="426" t="s">
        <v>4529</v>
      </c>
      <c r="PL378" s="426" t="s">
        <v>4530</v>
      </c>
      <c r="PM378" s="426" t="s">
        <v>4531</v>
      </c>
      <c r="PN378" s="426" t="s">
        <v>4532</v>
      </c>
      <c r="PO378" s="426" t="s">
        <v>4533</v>
      </c>
      <c r="PP378" s="426" t="s">
        <v>4534</v>
      </c>
      <c r="PQ378" s="426" t="s">
        <v>4535</v>
      </c>
      <c r="PR378" s="426" t="s">
        <v>4536</v>
      </c>
      <c r="PS378" s="426" t="s">
        <v>4537</v>
      </c>
      <c r="PT378" s="426" t="s">
        <v>4538</v>
      </c>
      <c r="PU378" s="426" t="s">
        <v>4539</v>
      </c>
      <c r="PV378" s="426" t="s">
        <v>4540</v>
      </c>
      <c r="PW378" s="426" t="s">
        <v>4541</v>
      </c>
      <c r="PX378" s="426" t="s">
        <v>4542</v>
      </c>
      <c r="PY378" s="426" t="s">
        <v>4543</v>
      </c>
      <c r="PZ378" s="426" t="s">
        <v>4544</v>
      </c>
      <c r="QA378" s="426" t="s">
        <v>4545</v>
      </c>
      <c r="QB378" s="426" t="s">
        <v>4546</v>
      </c>
      <c r="QC378" s="426" t="s">
        <v>4547</v>
      </c>
      <c r="QD378" s="426" t="s">
        <v>4548</v>
      </c>
      <c r="QE378" s="426" t="s">
        <v>4549</v>
      </c>
      <c r="QF378" s="426" t="s">
        <v>4550</v>
      </c>
      <c r="QG378" s="426" t="s">
        <v>4551</v>
      </c>
      <c r="QH378" s="426" t="s">
        <v>4552</v>
      </c>
      <c r="QI378" s="426" t="s">
        <v>4553</v>
      </c>
      <c r="QJ378" s="426" t="s">
        <v>4554</v>
      </c>
      <c r="QK378" s="426" t="s">
        <v>4555</v>
      </c>
      <c r="QL378" s="426" t="s">
        <v>4556</v>
      </c>
      <c r="QM378" s="426" t="s">
        <v>4557</v>
      </c>
      <c r="QN378" s="426" t="s">
        <v>4558</v>
      </c>
      <c r="QO378" s="426" t="s">
        <v>4559</v>
      </c>
      <c r="QP378" s="426" t="s">
        <v>4560</v>
      </c>
      <c r="QQ378" s="426" t="s">
        <v>4561</v>
      </c>
      <c r="QR378" s="426" t="s">
        <v>4562</v>
      </c>
      <c r="QS378" s="426" t="s">
        <v>4563</v>
      </c>
      <c r="QT378" s="426" t="s">
        <v>4564</v>
      </c>
      <c r="QU378" s="426" t="s">
        <v>4565</v>
      </c>
      <c r="QV378" s="426" t="s">
        <v>4566</v>
      </c>
      <c r="QW378" s="426" t="s">
        <v>4567</v>
      </c>
      <c r="QX378" s="426" t="s">
        <v>4568</v>
      </c>
      <c r="QY378" s="426" t="s">
        <v>4569</v>
      </c>
      <c r="QZ378" s="426" t="s">
        <v>4570</v>
      </c>
      <c r="RA378" s="426" t="s">
        <v>4571</v>
      </c>
      <c r="RB378" s="426" t="s">
        <v>4572</v>
      </c>
      <c r="RC378" s="426" t="s">
        <v>4573</v>
      </c>
      <c r="RD378" s="426" t="s">
        <v>4574</v>
      </c>
      <c r="RE378" s="426" t="s">
        <v>4575</v>
      </c>
      <c r="RF378" s="426" t="s">
        <v>4576</v>
      </c>
      <c r="RG378" s="426" t="s">
        <v>4577</v>
      </c>
      <c r="RH378" s="426" t="s">
        <v>4578</v>
      </c>
      <c r="RI378" s="426" t="s">
        <v>4579</v>
      </c>
      <c r="RJ378" s="426" t="s">
        <v>4580</v>
      </c>
      <c r="RK378" s="426" t="s">
        <v>4581</v>
      </c>
      <c r="RL378" s="426" t="s">
        <v>4582</v>
      </c>
      <c r="RM378" s="426" t="s">
        <v>4583</v>
      </c>
      <c r="RN378" s="426" t="s">
        <v>4584</v>
      </c>
      <c r="RO378" s="426" t="s">
        <v>4585</v>
      </c>
      <c r="RP378" s="426" t="s">
        <v>4586</v>
      </c>
      <c r="RQ378" s="426" t="s">
        <v>4587</v>
      </c>
      <c r="RR378" s="426" t="s">
        <v>4588</v>
      </c>
      <c r="RS378" s="426" t="s">
        <v>4589</v>
      </c>
      <c r="RT378" s="426" t="s">
        <v>4590</v>
      </c>
      <c r="RU378" s="426" t="s">
        <v>4591</v>
      </c>
      <c r="RV378" s="426" t="s">
        <v>4592</v>
      </c>
      <c r="RW378" s="426" t="s">
        <v>4593</v>
      </c>
      <c r="RX378" s="426" t="s">
        <v>4594</v>
      </c>
      <c r="RY378" s="426" t="s">
        <v>4595</v>
      </c>
      <c r="RZ378" s="426" t="s">
        <v>4596</v>
      </c>
      <c r="SA378" s="426" t="s">
        <v>4597</v>
      </c>
      <c r="SB378" s="426" t="s">
        <v>4598</v>
      </c>
      <c r="SC378" s="426" t="s">
        <v>4599</v>
      </c>
      <c r="SD378" s="426" t="s">
        <v>4600</v>
      </c>
      <c r="SE378" s="426" t="s">
        <v>4601</v>
      </c>
      <c r="SF378" s="426" t="s">
        <v>4602</v>
      </c>
      <c r="SG378" s="426" t="s">
        <v>4603</v>
      </c>
      <c r="SH378" s="426" t="s">
        <v>4604</v>
      </c>
      <c r="SI378" s="426" t="s">
        <v>4605</v>
      </c>
      <c r="SJ378" s="426" t="s">
        <v>4606</v>
      </c>
      <c r="SK378" s="426" t="s">
        <v>4607</v>
      </c>
      <c r="SL378" s="426" t="s">
        <v>4608</v>
      </c>
      <c r="SM378" s="426" t="s">
        <v>4609</v>
      </c>
      <c r="SN378" s="426" t="s">
        <v>4610</v>
      </c>
      <c r="SO378" s="426" t="s">
        <v>4611</v>
      </c>
      <c r="SP378" s="426" t="s">
        <v>4612</v>
      </c>
      <c r="SQ378" s="426" t="s">
        <v>4613</v>
      </c>
      <c r="SR378" s="426" t="s">
        <v>4614</v>
      </c>
      <c r="SS378" s="426" t="s">
        <v>4615</v>
      </c>
      <c r="ST378" s="426" t="s">
        <v>4616</v>
      </c>
      <c r="SU378" s="426" t="s">
        <v>4617</v>
      </c>
      <c r="SV378" s="426" t="s">
        <v>4618</v>
      </c>
      <c r="SW378" s="426" t="s">
        <v>4619</v>
      </c>
      <c r="SX378" s="426" t="s">
        <v>4620</v>
      </c>
      <c r="SY378" s="426" t="s">
        <v>4621</v>
      </c>
      <c r="SZ378" s="426" t="s">
        <v>4622</v>
      </c>
      <c r="TA378" s="426" t="s">
        <v>4623</v>
      </c>
      <c r="TB378" s="426" t="s">
        <v>4624</v>
      </c>
      <c r="TC378" s="426" t="s">
        <v>4625</v>
      </c>
      <c r="TD378" s="426" t="s">
        <v>4626</v>
      </c>
      <c r="TE378" s="426" t="s">
        <v>4627</v>
      </c>
      <c r="TF378" s="426" t="s">
        <v>4628</v>
      </c>
      <c r="TG378" s="426" t="s">
        <v>4629</v>
      </c>
      <c r="TH378" s="426" t="s">
        <v>4630</v>
      </c>
      <c r="TI378" s="426" t="s">
        <v>4631</v>
      </c>
      <c r="TJ378" s="426" t="s">
        <v>4632</v>
      </c>
      <c r="TK378" s="426" t="s">
        <v>4633</v>
      </c>
      <c r="TL378" s="426" t="s">
        <v>4634</v>
      </c>
      <c r="TM378" s="426" t="s">
        <v>4635</v>
      </c>
      <c r="TN378" s="426" t="s">
        <v>4636</v>
      </c>
      <c r="TO378" s="426" t="s">
        <v>4637</v>
      </c>
      <c r="TP378" s="426" t="s">
        <v>4638</v>
      </c>
      <c r="TQ378" s="426" t="s">
        <v>4639</v>
      </c>
      <c r="TR378" s="426" t="s">
        <v>4640</v>
      </c>
      <c r="TS378" s="426" t="s">
        <v>4641</v>
      </c>
      <c r="TT378" s="426" t="s">
        <v>4642</v>
      </c>
      <c r="TU378" s="426" t="s">
        <v>4643</v>
      </c>
      <c r="TV378" s="426" t="s">
        <v>4644</v>
      </c>
      <c r="TW378" s="426" t="s">
        <v>4645</v>
      </c>
      <c r="TX378" s="426" t="s">
        <v>4646</v>
      </c>
      <c r="TY378" s="426" t="s">
        <v>4647</v>
      </c>
      <c r="TZ378" s="426" t="s">
        <v>4648</v>
      </c>
      <c r="UA378" s="426" t="s">
        <v>4649</v>
      </c>
      <c r="UB378" s="426" t="s">
        <v>4650</v>
      </c>
      <c r="UC378" s="426" t="s">
        <v>4651</v>
      </c>
      <c r="UD378" s="426" t="s">
        <v>4652</v>
      </c>
      <c r="UE378" s="426" t="s">
        <v>4653</v>
      </c>
      <c r="UF378" s="426" t="s">
        <v>4654</v>
      </c>
      <c r="UG378" s="426" t="s">
        <v>4655</v>
      </c>
      <c r="UH378" s="426" t="s">
        <v>4656</v>
      </c>
      <c r="UI378" s="426" t="s">
        <v>4657</v>
      </c>
      <c r="UJ378" s="426" t="s">
        <v>4658</v>
      </c>
      <c r="UK378" s="426" t="s">
        <v>4659</v>
      </c>
      <c r="UL378" s="426" t="s">
        <v>4660</v>
      </c>
      <c r="UM378" s="426" t="s">
        <v>4661</v>
      </c>
      <c r="UN378" s="426" t="s">
        <v>4662</v>
      </c>
      <c r="UO378" s="426" t="s">
        <v>4663</v>
      </c>
      <c r="UP378" s="426" t="s">
        <v>4664</v>
      </c>
      <c r="UQ378" s="426" t="s">
        <v>4665</v>
      </c>
      <c r="UR378" s="426" t="s">
        <v>4666</v>
      </c>
      <c r="US378" s="426" t="s">
        <v>4667</v>
      </c>
      <c r="UT378" s="426" t="s">
        <v>4668</v>
      </c>
      <c r="UU378" s="426" t="s">
        <v>4669</v>
      </c>
      <c r="UV378" s="426" t="s">
        <v>4670</v>
      </c>
      <c r="UW378" s="426" t="s">
        <v>4671</v>
      </c>
      <c r="UX378" s="426" t="s">
        <v>4672</v>
      </c>
      <c r="UY378" s="426" t="s">
        <v>4673</v>
      </c>
      <c r="UZ378" s="426" t="s">
        <v>4674</v>
      </c>
      <c r="VA378" s="426" t="s">
        <v>4675</v>
      </c>
      <c r="VB378" s="426" t="s">
        <v>4676</v>
      </c>
      <c r="VC378" s="426" t="s">
        <v>4677</v>
      </c>
      <c r="VD378" s="426" t="s">
        <v>4678</v>
      </c>
      <c r="VE378" s="426" t="s">
        <v>4679</v>
      </c>
      <c r="VF378" s="426" t="s">
        <v>4680</v>
      </c>
      <c r="VG378" s="426" t="s">
        <v>4681</v>
      </c>
      <c r="VH378" s="426" t="s">
        <v>4682</v>
      </c>
      <c r="VI378" s="426" t="s">
        <v>4683</v>
      </c>
      <c r="VJ378" s="426" t="s">
        <v>4684</v>
      </c>
      <c r="VK378" s="426" t="s">
        <v>4685</v>
      </c>
      <c r="VL378" s="426" t="s">
        <v>4686</v>
      </c>
      <c r="VM378" s="426" t="s">
        <v>4687</v>
      </c>
      <c r="VN378" s="426" t="s">
        <v>4688</v>
      </c>
      <c r="VO378" s="426" t="s">
        <v>4689</v>
      </c>
      <c r="VP378" s="426" t="s">
        <v>4690</v>
      </c>
      <c r="VQ378" s="426" t="s">
        <v>4691</v>
      </c>
      <c r="VR378" s="426" t="s">
        <v>4692</v>
      </c>
      <c r="VS378" s="426" t="s">
        <v>4693</v>
      </c>
      <c r="VT378" s="426" t="s">
        <v>4694</v>
      </c>
      <c r="VU378" s="426" t="s">
        <v>4695</v>
      </c>
      <c r="VV378" s="426" t="s">
        <v>4696</v>
      </c>
      <c r="VW378" s="426" t="s">
        <v>4697</v>
      </c>
      <c r="VX378" s="426" t="s">
        <v>4698</v>
      </c>
      <c r="VY378" s="426" t="s">
        <v>4699</v>
      </c>
      <c r="VZ378" s="426" t="s">
        <v>4700</v>
      </c>
      <c r="WA378" s="426" t="s">
        <v>4701</v>
      </c>
      <c r="WB378" s="426" t="s">
        <v>4702</v>
      </c>
      <c r="WC378" s="426" t="s">
        <v>4703</v>
      </c>
      <c r="WD378" s="426" t="s">
        <v>4704</v>
      </c>
      <c r="WE378" s="426" t="s">
        <v>4705</v>
      </c>
      <c r="WF378" s="426" t="s">
        <v>4706</v>
      </c>
      <c r="WG378" s="426" t="s">
        <v>4707</v>
      </c>
      <c r="WH378" s="426" t="s">
        <v>4708</v>
      </c>
      <c r="WI378" s="426" t="s">
        <v>4709</v>
      </c>
      <c r="WJ378" s="426" t="s">
        <v>4710</v>
      </c>
      <c r="WK378" s="426" t="s">
        <v>4711</v>
      </c>
      <c r="WL378" s="426" t="s">
        <v>4712</v>
      </c>
      <c r="WM378" s="426" t="s">
        <v>4713</v>
      </c>
      <c r="WN378" s="426" t="s">
        <v>4714</v>
      </c>
      <c r="WO378" s="426" t="s">
        <v>4715</v>
      </c>
      <c r="WP378" s="426" t="s">
        <v>4716</v>
      </c>
      <c r="WQ378" s="426" t="s">
        <v>4717</v>
      </c>
      <c r="WR378" s="426" t="s">
        <v>4718</v>
      </c>
      <c r="WS378" s="426" t="s">
        <v>4719</v>
      </c>
      <c r="WT378" s="426" t="s">
        <v>4720</v>
      </c>
      <c r="WU378" s="426" t="s">
        <v>4721</v>
      </c>
      <c r="WV378" s="426" t="s">
        <v>4722</v>
      </c>
      <c r="WW378" s="426" t="s">
        <v>4723</v>
      </c>
      <c r="WX378" s="426" t="s">
        <v>4724</v>
      </c>
      <c r="WY378" s="426" t="s">
        <v>4725</v>
      </c>
      <c r="WZ378" s="426" t="s">
        <v>4726</v>
      </c>
      <c r="XA378" s="426" t="s">
        <v>4727</v>
      </c>
      <c r="XB378" s="426" t="s">
        <v>4728</v>
      </c>
      <c r="XC378" s="426" t="s">
        <v>4729</v>
      </c>
      <c r="XD378" s="426" t="s">
        <v>4730</v>
      </c>
      <c r="XE378" s="426" t="s">
        <v>4731</v>
      </c>
      <c r="XF378" s="426" t="s">
        <v>4732</v>
      </c>
      <c r="XG378" s="426" t="s">
        <v>4733</v>
      </c>
      <c r="XH378" s="426" t="s">
        <v>4734</v>
      </c>
      <c r="XI378" s="426" t="s">
        <v>4735</v>
      </c>
      <c r="XJ378" s="426" t="s">
        <v>4736</v>
      </c>
      <c r="XK378" s="426" t="s">
        <v>4737</v>
      </c>
      <c r="XL378" s="426" t="s">
        <v>4738</v>
      </c>
      <c r="XM378" s="426" t="s">
        <v>4739</v>
      </c>
      <c r="XN378" s="426" t="s">
        <v>4740</v>
      </c>
      <c r="XO378" s="426" t="s">
        <v>4741</v>
      </c>
      <c r="XP378" s="426" t="s">
        <v>4742</v>
      </c>
      <c r="XQ378" s="426" t="s">
        <v>4743</v>
      </c>
      <c r="XR378" s="426" t="s">
        <v>4744</v>
      </c>
      <c r="XS378" s="426" t="s">
        <v>4745</v>
      </c>
      <c r="XT378" s="426" t="s">
        <v>4746</v>
      </c>
      <c r="XU378" s="426" t="s">
        <v>4747</v>
      </c>
      <c r="XV378" s="426" t="s">
        <v>4748</v>
      </c>
      <c r="XW378" s="426" t="s">
        <v>4749</v>
      </c>
      <c r="XX378" s="426" t="s">
        <v>4750</v>
      </c>
      <c r="XY378" s="426" t="s">
        <v>4751</v>
      </c>
      <c r="XZ378" s="426" t="s">
        <v>4752</v>
      </c>
      <c r="YA378" s="426" t="s">
        <v>4753</v>
      </c>
      <c r="YB378" s="426" t="s">
        <v>4754</v>
      </c>
      <c r="YC378" s="426" t="s">
        <v>4369</v>
      </c>
      <c r="YD378" s="426" t="s">
        <v>4374</v>
      </c>
      <c r="YE378" s="426" t="s">
        <v>4379</v>
      </c>
      <c r="YF378" s="426" t="s">
        <v>4384</v>
      </c>
      <c r="YG378" s="426" t="s">
        <v>4389</v>
      </c>
      <c r="YH378" s="426" t="s">
        <v>4755</v>
      </c>
      <c r="YI378" s="426" t="s">
        <v>4756</v>
      </c>
      <c r="YJ378" s="426" t="s">
        <v>4757</v>
      </c>
      <c r="YK378" s="426" t="s">
        <v>4370</v>
      </c>
      <c r="YL378" s="426" t="s">
        <v>4375</v>
      </c>
      <c r="YM378" s="426" t="s">
        <v>4380</v>
      </c>
      <c r="YN378" s="426" t="s">
        <v>4385</v>
      </c>
      <c r="YO378" s="426" t="s">
        <v>4390</v>
      </c>
      <c r="YP378" s="426" t="s">
        <v>4758</v>
      </c>
      <c r="YQ378" s="426" t="s">
        <v>4759</v>
      </c>
      <c r="YR378" s="426" t="s">
        <v>4760</v>
      </c>
      <c r="YS378" s="426" t="s">
        <v>4371</v>
      </c>
      <c r="YT378" s="426" t="s">
        <v>4376</v>
      </c>
      <c r="YU378" s="426" t="s">
        <v>4381</v>
      </c>
      <c r="YV378" s="426" t="s">
        <v>4386</v>
      </c>
      <c r="YW378" s="426" t="s">
        <v>4391</v>
      </c>
      <c r="YX378" s="426" t="s">
        <v>4761</v>
      </c>
      <c r="YY378" s="426" t="s">
        <v>4762</v>
      </c>
      <c r="YZ378" s="426" t="s">
        <v>4763</v>
      </c>
      <c r="ZA378" s="426" t="s">
        <v>4372</v>
      </c>
      <c r="ZB378" s="426" t="s">
        <v>4377</v>
      </c>
      <c r="ZC378" s="426" t="s">
        <v>4382</v>
      </c>
      <c r="ZD378" s="426" t="s">
        <v>4387</v>
      </c>
      <c r="ZE378" s="426" t="s">
        <v>4392</v>
      </c>
      <c r="ZF378" s="426" t="s">
        <v>4764</v>
      </c>
      <c r="ZG378" s="426" t="s">
        <v>4765</v>
      </c>
      <c r="ZH378" s="426" t="s">
        <v>4766</v>
      </c>
      <c r="ZI378" s="426" t="s">
        <v>4373</v>
      </c>
      <c r="ZJ378" s="426" t="s">
        <v>4378</v>
      </c>
      <c r="ZK378" s="426" t="s">
        <v>4383</v>
      </c>
      <c r="ZL378" s="426" t="s">
        <v>4388</v>
      </c>
      <c r="ZM378" s="426" t="s">
        <v>4393</v>
      </c>
      <c r="ZN378" s="426" t="s">
        <v>4767</v>
      </c>
      <c r="ZO378" s="426" t="s">
        <v>4768</v>
      </c>
      <c r="ZP378" s="426" t="s">
        <v>4769</v>
      </c>
      <c r="ZQ378" s="280" t="str">
        <f>CONCATENATE(ZQ380,ZQ379)</f>
        <v>H349</v>
      </c>
      <c r="ZR378" s="280" t="str">
        <f t="shared" ref="ZR378:ZY378" si="114">CONCATENATE(ZR380,ZR379)</f>
        <v>H350</v>
      </c>
      <c r="ZS378" s="280" t="str">
        <f t="shared" si="114"/>
        <v>H351</v>
      </c>
      <c r="ZT378" s="280" t="str">
        <f t="shared" si="114"/>
        <v>H352</v>
      </c>
      <c r="ZU378" s="280" t="str">
        <f t="shared" si="114"/>
        <v>H353</v>
      </c>
      <c r="ZV378" s="280" t="str">
        <f t="shared" si="114"/>
        <v>H354</v>
      </c>
      <c r="ZW378" s="280" t="str">
        <f t="shared" si="114"/>
        <v>H355</v>
      </c>
      <c r="ZX378" s="280" t="str">
        <f t="shared" si="114"/>
        <v>H356</v>
      </c>
      <c r="ZY378" s="280" t="str">
        <f t="shared" si="114"/>
        <v>I349</v>
      </c>
      <c r="ZZ378" s="280" t="str">
        <f t="shared" ref="ZZ378" si="115">CONCATENATE(ZZ380,ZZ379)</f>
        <v>I350</v>
      </c>
      <c r="AAA378" s="280" t="str">
        <f t="shared" ref="AAA378" si="116">CONCATENATE(AAA380,AAA379)</f>
        <v>I351</v>
      </c>
      <c r="AAB378" s="280" t="str">
        <f t="shared" ref="AAB378" si="117">CONCATENATE(AAB380,AAB379)</f>
        <v>I352</v>
      </c>
      <c r="AAC378" s="280" t="str">
        <f t="shared" ref="AAC378" si="118">CONCATENATE(AAC380,AAC379)</f>
        <v>I353</v>
      </c>
      <c r="AAD378" s="280" t="str">
        <f t="shared" ref="AAD378" si="119">CONCATENATE(AAD380,AAD379)</f>
        <v>I354</v>
      </c>
      <c r="AAE378" s="280" t="str">
        <f t="shared" ref="AAE378" si="120">CONCATENATE(AAE380,AAE379)</f>
        <v>I355</v>
      </c>
      <c r="AAF378" s="280" t="str">
        <f t="shared" ref="AAF378" si="121">CONCATENATE(AAF380,AAF379)</f>
        <v>I356</v>
      </c>
      <c r="AAG378" s="280" t="str">
        <f t="shared" ref="AAG378" si="122">CONCATENATE(AAG380,AAG379)</f>
        <v>J349</v>
      </c>
      <c r="AAH378" s="280" t="str">
        <f t="shared" ref="AAH378" si="123">CONCATENATE(AAH380,AAH379)</f>
        <v>J350</v>
      </c>
      <c r="AAI378" s="280" t="str">
        <f t="shared" ref="AAI378" si="124">CONCATENATE(AAI380,AAI379)</f>
        <v>J351</v>
      </c>
      <c r="AAJ378" s="280" t="str">
        <f t="shared" ref="AAJ378" si="125">CONCATENATE(AAJ380,AAJ379)</f>
        <v>J352</v>
      </c>
      <c r="AAK378" s="280" t="str">
        <f t="shared" ref="AAK378" si="126">CONCATENATE(AAK380,AAK379)</f>
        <v>J353</v>
      </c>
      <c r="AAL378" s="280" t="str">
        <f t="shared" ref="AAL378" si="127">CONCATENATE(AAL380,AAL379)</f>
        <v>J354</v>
      </c>
      <c r="AAM378" s="280" t="str">
        <f t="shared" ref="AAM378" si="128">CONCATENATE(AAM380,AAM379)</f>
        <v>J355</v>
      </c>
      <c r="AAN378" s="280" t="str">
        <f t="shared" ref="AAN378" si="129">CONCATENATE(AAN380,AAN379)</f>
        <v>J356</v>
      </c>
      <c r="AAO378" s="280" t="str">
        <f t="shared" ref="AAO378" si="130">CONCATENATE(AAO380,AAO379)</f>
        <v>K349</v>
      </c>
      <c r="AAP378" s="280" t="str">
        <f t="shared" ref="AAP378" si="131">CONCATENATE(AAP380,AAP379)</f>
        <v>K350</v>
      </c>
      <c r="AAQ378" s="280" t="str">
        <f t="shared" ref="AAQ378" si="132">CONCATENATE(AAQ380,AAQ379)</f>
        <v>K351</v>
      </c>
      <c r="AAR378" s="280" t="str">
        <f t="shared" ref="AAR378" si="133">CONCATENATE(AAR380,AAR379)</f>
        <v>K352</v>
      </c>
      <c r="AAS378" s="280" t="str">
        <f t="shared" ref="AAS378" si="134">CONCATENATE(AAS380,AAS379)</f>
        <v>K353</v>
      </c>
      <c r="AAT378" s="280" t="str">
        <f t="shared" ref="AAT378" si="135">CONCATENATE(AAT380,AAT379)</f>
        <v>K354</v>
      </c>
      <c r="AAU378" s="280" t="str">
        <f t="shared" ref="AAU378" si="136">CONCATENATE(AAU380,AAU379)</f>
        <v>K355</v>
      </c>
      <c r="AAV378" s="280" t="str">
        <f t="shared" ref="AAV378" si="137">CONCATENATE(AAV380,AAV379)</f>
        <v>K356</v>
      </c>
      <c r="AAW378" s="280" t="str">
        <f t="shared" ref="AAW378" si="138">CONCATENATE(AAW380,AAW379)</f>
        <v>L349</v>
      </c>
      <c r="AAX378" s="280" t="str">
        <f t="shared" ref="AAX378" si="139">CONCATENATE(AAX380,AAX379)</f>
        <v>L350</v>
      </c>
      <c r="AAY378" s="280" t="str">
        <f t="shared" ref="AAY378" si="140">CONCATENATE(AAY380,AAY379)</f>
        <v>L351</v>
      </c>
      <c r="AAZ378" s="280" t="str">
        <f t="shared" ref="AAZ378" si="141">CONCATENATE(AAZ380,AAZ379)</f>
        <v>L352</v>
      </c>
      <c r="ABA378" s="280" t="str">
        <f t="shared" ref="ABA378" si="142">CONCATENATE(ABA380,ABA379)</f>
        <v>L353</v>
      </c>
      <c r="ABB378" s="280" t="str">
        <f t="shared" ref="ABB378" si="143">CONCATENATE(ABB380,ABB379)</f>
        <v>L354</v>
      </c>
      <c r="ABC378" s="280" t="str">
        <f t="shared" ref="ABC378" si="144">CONCATENATE(ABC380,ABC379)</f>
        <v>L355</v>
      </c>
      <c r="ABD378" s="280" t="str">
        <f t="shared" ref="ABD378" si="145">CONCATENATE(ABD380,ABD379)</f>
        <v>L356</v>
      </c>
      <c r="ABE378" s="280" t="str">
        <f t="shared" ref="ABE378" si="146">CONCATENATE(ABE380,ABE379)</f>
        <v>M349</v>
      </c>
      <c r="ABF378" s="280" t="str">
        <f t="shared" ref="ABF378" si="147">CONCATENATE(ABF380,ABF379)</f>
        <v>M350</v>
      </c>
      <c r="ABG378" s="280" t="str">
        <f t="shared" ref="ABG378" si="148">CONCATENATE(ABG380,ABG379)</f>
        <v>M351</v>
      </c>
      <c r="ABH378" s="280" t="str">
        <f t="shared" ref="ABH378" si="149">CONCATENATE(ABH380,ABH379)</f>
        <v>M352</v>
      </c>
      <c r="ABI378" s="280" t="str">
        <f t="shared" ref="ABI378" si="150">CONCATENATE(ABI380,ABI379)</f>
        <v>M353</v>
      </c>
      <c r="ABJ378" s="280" t="str">
        <f t="shared" ref="ABJ378" si="151">CONCATENATE(ABJ380,ABJ379)</f>
        <v>M354</v>
      </c>
      <c r="ABK378" s="280" t="str">
        <f t="shared" ref="ABK378" si="152">CONCATENATE(ABK380,ABK379)</f>
        <v>M355</v>
      </c>
      <c r="ABL378" s="280" t="str">
        <f t="shared" ref="ABL378:ABM378" si="153">CONCATENATE(ABL380,ABL379)</f>
        <v>M356</v>
      </c>
      <c r="ABM378" s="280" t="str">
        <f t="shared" si="153"/>
        <v>N349</v>
      </c>
      <c r="ABN378" s="280" t="str">
        <f t="shared" ref="ABN378" si="154">CONCATENATE(ABN380,ABN379)</f>
        <v>N350</v>
      </c>
      <c r="ABO378" s="280" t="str">
        <f t="shared" ref="ABO378" si="155">CONCATENATE(ABO380,ABO379)</f>
        <v>N351</v>
      </c>
      <c r="ABP378" s="280" t="str">
        <f t="shared" ref="ABP378" si="156">CONCATENATE(ABP380,ABP379)</f>
        <v>N352</v>
      </c>
      <c r="ABQ378" s="280" t="str">
        <f t="shared" ref="ABQ378" si="157">CONCATENATE(ABQ380,ABQ379)</f>
        <v>N353</v>
      </c>
      <c r="ABR378" s="280" t="str">
        <f t="shared" ref="ABR378" si="158">CONCATENATE(ABR380,ABR379)</f>
        <v>N354</v>
      </c>
      <c r="ABS378" s="280" t="str">
        <f t="shared" ref="ABS378" si="159">CONCATENATE(ABS380,ABS379)</f>
        <v>N355</v>
      </c>
      <c r="ABT378" s="280" t="str">
        <f t="shared" ref="ABT378" si="160">CONCATENATE(ABT380,ABT379)</f>
        <v>N356</v>
      </c>
      <c r="ABU378" s="280" t="str">
        <f t="shared" ref="ABU378" si="161">CONCATENATE(ABU380,ABU379)</f>
        <v>O349</v>
      </c>
      <c r="ABV378" s="280" t="str">
        <f t="shared" ref="ABV378" si="162">CONCATENATE(ABV380,ABV379)</f>
        <v>O350</v>
      </c>
      <c r="ABW378" s="280" t="str">
        <f t="shared" ref="ABW378" si="163">CONCATENATE(ABW380,ABW379)</f>
        <v>O351</v>
      </c>
      <c r="ABX378" s="280" t="str">
        <f t="shared" ref="ABX378" si="164">CONCATENATE(ABX380,ABX379)</f>
        <v>O352</v>
      </c>
      <c r="ABY378" s="280" t="str">
        <f t="shared" ref="ABY378" si="165">CONCATENATE(ABY380,ABY379)</f>
        <v>O353</v>
      </c>
      <c r="ABZ378" s="280" t="str">
        <f t="shared" ref="ABZ378" si="166">CONCATENATE(ABZ380,ABZ379)</f>
        <v>O354</v>
      </c>
      <c r="ACA378" s="280" t="str">
        <f t="shared" ref="ACA378" si="167">CONCATENATE(ACA380,ACA379)</f>
        <v>O355</v>
      </c>
      <c r="ACB378" s="280" t="str">
        <f t="shared" ref="ACB378" si="168">CONCATENATE(ACB380,ACB379)</f>
        <v>O356</v>
      </c>
      <c r="ACC378" s="280" t="str">
        <f t="shared" ref="ACC378" si="169">CONCATENATE(ACC380,ACC379)</f>
        <v>P349</v>
      </c>
      <c r="ACD378" s="280" t="str">
        <f t="shared" ref="ACD378" si="170">CONCATENATE(ACD380,ACD379)</f>
        <v>P350</v>
      </c>
      <c r="ACE378" s="280" t="str">
        <f t="shared" ref="ACE378" si="171">CONCATENATE(ACE380,ACE379)</f>
        <v>P351</v>
      </c>
      <c r="ACF378" s="280" t="str">
        <f t="shared" ref="ACF378" si="172">CONCATENATE(ACF380,ACF379)</f>
        <v>P352</v>
      </c>
      <c r="ACG378" s="280" t="str">
        <f t="shared" ref="ACG378" si="173">CONCATENATE(ACG380,ACG379)</f>
        <v>P353</v>
      </c>
      <c r="ACH378" s="280" t="str">
        <f t="shared" ref="ACH378" si="174">CONCATENATE(ACH380,ACH379)</f>
        <v>P354</v>
      </c>
      <c r="ACI378" s="280" t="str">
        <f t="shared" ref="ACI378" si="175">CONCATENATE(ACI380,ACI379)</f>
        <v>P355</v>
      </c>
      <c r="ACJ378" s="280" t="str">
        <f t="shared" ref="ACJ378" si="176">CONCATENATE(ACJ380,ACJ379)</f>
        <v>P356</v>
      </c>
      <c r="ACK378" s="280" t="str">
        <f t="shared" ref="ACK378" si="177">CONCATENATE(ACK380,ACK379)</f>
        <v>Q349</v>
      </c>
      <c r="ACL378" s="280" t="str">
        <f t="shared" ref="ACL378" si="178">CONCATENATE(ACL380,ACL379)</f>
        <v>Q350</v>
      </c>
      <c r="ACM378" s="280" t="str">
        <f t="shared" ref="ACM378" si="179">CONCATENATE(ACM380,ACM379)</f>
        <v>Q351</v>
      </c>
      <c r="ACN378" s="280" t="str">
        <f t="shared" ref="ACN378" si="180">CONCATENATE(ACN380,ACN379)</f>
        <v>Q352</v>
      </c>
      <c r="ACO378" s="280" t="str">
        <f t="shared" ref="ACO378" si="181">CONCATENATE(ACO380,ACO379)</f>
        <v>Q353</v>
      </c>
      <c r="ACP378" s="280" t="str">
        <f t="shared" ref="ACP378" si="182">CONCATENATE(ACP380,ACP379)</f>
        <v>Q354</v>
      </c>
      <c r="ACQ378" s="280" t="str">
        <f t="shared" ref="ACQ378" si="183">CONCATENATE(ACQ380,ACQ379)</f>
        <v>Q355</v>
      </c>
      <c r="ACR378" s="280" t="str">
        <f t="shared" ref="ACR378" si="184">CONCATENATE(ACR380,ACR379)</f>
        <v>Q356</v>
      </c>
      <c r="ACS378" s="280" t="str">
        <f t="shared" ref="ACS378" si="185">CONCATENATE(ACS380,ACS379)</f>
        <v>R349</v>
      </c>
      <c r="ACT378" s="280" t="str">
        <f t="shared" ref="ACT378" si="186">CONCATENATE(ACT380,ACT379)</f>
        <v>R350</v>
      </c>
      <c r="ACU378" s="280" t="str">
        <f t="shared" ref="ACU378" si="187">CONCATENATE(ACU380,ACU379)</f>
        <v>R351</v>
      </c>
      <c r="ACV378" s="280" t="str">
        <f t="shared" ref="ACV378" si="188">CONCATENATE(ACV380,ACV379)</f>
        <v>R352</v>
      </c>
      <c r="ACW378" s="280" t="str">
        <f t="shared" ref="ACW378" si="189">CONCATENATE(ACW380,ACW379)</f>
        <v>R353</v>
      </c>
      <c r="ACX378" s="280" t="str">
        <f t="shared" ref="ACX378" si="190">CONCATENATE(ACX380,ACX379)</f>
        <v>R354</v>
      </c>
      <c r="ACY378" s="280" t="str">
        <f t="shared" ref="ACY378" si="191">CONCATENATE(ACY380,ACY379)</f>
        <v>R355</v>
      </c>
      <c r="ACZ378" s="280" t="str">
        <f t="shared" ref="ACZ378" si="192">CONCATENATE(ACZ380,ACZ379)</f>
        <v>R356</v>
      </c>
      <c r="ADA378" s="280" t="str">
        <f t="shared" ref="ADA378" si="193">CONCATENATE(ADA380,ADA379)</f>
        <v>S349</v>
      </c>
      <c r="ADB378" s="280" t="str">
        <f t="shared" ref="ADB378" si="194">CONCATENATE(ADB380,ADB379)</f>
        <v>S350</v>
      </c>
      <c r="ADC378" s="280" t="str">
        <f t="shared" ref="ADC378" si="195">CONCATENATE(ADC380,ADC379)</f>
        <v>S351</v>
      </c>
      <c r="ADD378" s="280" t="str">
        <f t="shared" ref="ADD378" si="196">CONCATENATE(ADD380,ADD379)</f>
        <v>S352</v>
      </c>
      <c r="ADE378" s="280" t="str">
        <f t="shared" ref="ADE378" si="197">CONCATENATE(ADE380,ADE379)</f>
        <v>S353</v>
      </c>
      <c r="ADF378" s="280" t="str">
        <f t="shared" ref="ADF378" si="198">CONCATENATE(ADF380,ADF379)</f>
        <v>S354</v>
      </c>
      <c r="ADG378" s="280" t="str">
        <f t="shared" ref="ADG378" si="199">CONCATENATE(ADG380,ADG379)</f>
        <v>S355</v>
      </c>
      <c r="ADH378" s="280" t="str">
        <f t="shared" ref="ADH378" si="200">CONCATENATE(ADH380,ADH379)</f>
        <v>S356</v>
      </c>
      <c r="ADI378" s="280" t="str">
        <f t="shared" ref="ADI378" si="201">CONCATENATE(ADI380,ADI379)</f>
        <v>T349</v>
      </c>
      <c r="ADJ378" s="280" t="str">
        <f t="shared" ref="ADJ378" si="202">CONCATENATE(ADJ380,ADJ379)</f>
        <v>T350</v>
      </c>
      <c r="ADK378" s="280" t="str">
        <f t="shared" ref="ADK378" si="203">CONCATENATE(ADK380,ADK379)</f>
        <v>T351</v>
      </c>
      <c r="ADL378" s="280" t="str">
        <f t="shared" ref="ADL378" si="204">CONCATENATE(ADL380,ADL379)</f>
        <v>T352</v>
      </c>
      <c r="ADM378" s="280" t="str">
        <f t="shared" ref="ADM378" si="205">CONCATENATE(ADM380,ADM379)</f>
        <v>T353</v>
      </c>
      <c r="ADN378" s="280" t="str">
        <f t="shared" ref="ADN378" si="206">CONCATENATE(ADN380,ADN379)</f>
        <v>T354</v>
      </c>
      <c r="ADO378" s="280" t="str">
        <f t="shared" ref="ADO378" si="207">CONCATENATE(ADO380,ADO379)</f>
        <v>T355</v>
      </c>
      <c r="ADP378" s="280" t="str">
        <f t="shared" ref="ADP378" si="208">CONCATENATE(ADP380,ADP379)</f>
        <v>T356</v>
      </c>
      <c r="ADQ378" s="280" t="str">
        <f t="shared" ref="ADQ378" si="209">CONCATENATE(ADQ380,ADQ379)</f>
        <v>U349</v>
      </c>
      <c r="ADR378" s="280" t="str">
        <f t="shared" ref="ADR378" si="210">CONCATENATE(ADR380,ADR379)</f>
        <v>U350</v>
      </c>
      <c r="ADS378" s="280" t="str">
        <f t="shared" ref="ADS378" si="211">CONCATENATE(ADS380,ADS379)</f>
        <v>U351</v>
      </c>
      <c r="ADT378" s="280" t="str">
        <f t="shared" ref="ADT378" si="212">CONCATENATE(ADT380,ADT379)</f>
        <v>U352</v>
      </c>
      <c r="ADU378" s="280" t="str">
        <f t="shared" ref="ADU378" si="213">CONCATENATE(ADU380,ADU379)</f>
        <v>U353</v>
      </c>
      <c r="ADV378" s="280" t="str">
        <f t="shared" ref="ADV378" si="214">CONCATENATE(ADV380,ADV379)</f>
        <v>U354</v>
      </c>
      <c r="ADW378" s="280" t="str">
        <f t="shared" ref="ADW378" si="215">CONCATENATE(ADW380,ADW379)</f>
        <v>U355</v>
      </c>
      <c r="ADX378" s="280" t="str">
        <f t="shared" ref="ADX378" si="216">CONCATENATE(ADX380,ADX379)</f>
        <v>U356</v>
      </c>
      <c r="ADY378" s="280" t="str">
        <f t="shared" ref="ADY378" si="217">CONCATENATE(ADY380,ADY379)</f>
        <v>V349</v>
      </c>
      <c r="ADZ378" s="280" t="str">
        <f t="shared" ref="ADZ378" si="218">CONCATENATE(ADZ380,ADZ379)</f>
        <v>V350</v>
      </c>
      <c r="AEA378" s="280" t="str">
        <f t="shared" ref="AEA378" si="219">CONCATENATE(AEA380,AEA379)</f>
        <v>V351</v>
      </c>
      <c r="AEB378" s="280" t="str">
        <f t="shared" ref="AEB378" si="220">CONCATENATE(AEB380,AEB379)</f>
        <v>V352</v>
      </c>
      <c r="AEC378" s="280" t="str">
        <f t="shared" ref="AEC378" si="221">CONCATENATE(AEC380,AEC379)</f>
        <v>V353</v>
      </c>
      <c r="AED378" s="280" t="str">
        <f t="shared" ref="AED378" si="222">CONCATENATE(AED380,AED379)</f>
        <v>V354</v>
      </c>
      <c r="AEE378" s="280" t="str">
        <f t="shared" ref="AEE378" si="223">CONCATENATE(AEE380,AEE379)</f>
        <v>V355</v>
      </c>
      <c r="AEF378" s="280" t="str">
        <f t="shared" ref="AEF378" si="224">CONCATENATE(AEF380,AEF379)</f>
        <v>V356</v>
      </c>
      <c r="AEG378" s="280" t="str">
        <f t="shared" ref="AEG378" si="225">CONCATENATE(AEG380,AEG379)</f>
        <v>W349</v>
      </c>
      <c r="AEH378" s="280" t="str">
        <f t="shared" ref="AEH378" si="226">CONCATENATE(AEH380,AEH379)</f>
        <v>W350</v>
      </c>
      <c r="AEI378" s="280" t="str">
        <f t="shared" ref="AEI378" si="227">CONCATENATE(AEI380,AEI379)</f>
        <v>W351</v>
      </c>
      <c r="AEJ378" s="280" t="str">
        <f t="shared" ref="AEJ378" si="228">CONCATENATE(AEJ380,AEJ379)</f>
        <v>W352</v>
      </c>
      <c r="AEK378" s="280" t="str">
        <f t="shared" ref="AEK378" si="229">CONCATENATE(AEK380,AEK379)</f>
        <v>W353</v>
      </c>
      <c r="AEL378" s="280" t="str">
        <f t="shared" ref="AEL378" si="230">CONCATENATE(AEL380,AEL379)</f>
        <v>W354</v>
      </c>
      <c r="AEM378" s="280" t="str">
        <f t="shared" ref="AEM378" si="231">CONCATENATE(AEM380,AEM379)</f>
        <v>W355</v>
      </c>
      <c r="AEN378" s="280" t="str">
        <f t="shared" ref="AEN378" si="232">CONCATENATE(AEN380,AEN379)</f>
        <v>W356</v>
      </c>
      <c r="AEO378" s="280" t="str">
        <f t="shared" ref="AEO378" si="233">CONCATENATE(AEO380,AEO379)</f>
        <v>X349</v>
      </c>
      <c r="AEP378" s="280" t="str">
        <f t="shared" ref="AEP378" si="234">CONCATENATE(AEP380,AEP379)</f>
        <v>X350</v>
      </c>
      <c r="AEQ378" s="280" t="str">
        <f t="shared" ref="AEQ378" si="235">CONCATENATE(AEQ380,AEQ379)</f>
        <v>X351</v>
      </c>
      <c r="AER378" s="280" t="str">
        <f t="shared" ref="AER378" si="236">CONCATENATE(AER380,AER379)</f>
        <v>X352</v>
      </c>
      <c r="AES378" s="280" t="str">
        <f t="shared" ref="AES378" si="237">CONCATENATE(AES380,AES379)</f>
        <v>X353</v>
      </c>
      <c r="AET378" s="280" t="str">
        <f t="shared" ref="AET378" si="238">CONCATENATE(AET380,AET379)</f>
        <v>X354</v>
      </c>
      <c r="AEU378" s="280" t="str">
        <f t="shared" ref="AEU378" si="239">CONCATENATE(AEU380,AEU379)</f>
        <v>X355</v>
      </c>
      <c r="AEV378" s="280" t="str">
        <f t="shared" ref="AEV378" si="240">CONCATENATE(AEV380,AEV379)</f>
        <v>X356</v>
      </c>
      <c r="AEW378" s="280" t="str">
        <f t="shared" ref="AEW378" si="241">CONCATENATE(AEW380,AEW379)</f>
        <v>Y349</v>
      </c>
      <c r="AEX378" s="280" t="str">
        <f t="shared" ref="AEX378" si="242">CONCATENATE(AEX380,AEX379)</f>
        <v>Y350</v>
      </c>
      <c r="AEY378" s="280" t="str">
        <f t="shared" ref="AEY378" si="243">CONCATENATE(AEY380,AEY379)</f>
        <v>Y351</v>
      </c>
      <c r="AEZ378" s="280" t="str">
        <f t="shared" ref="AEZ378" si="244">CONCATENATE(AEZ380,AEZ379)</f>
        <v>Y352</v>
      </c>
      <c r="AFA378" s="280" t="str">
        <f t="shared" ref="AFA378" si="245">CONCATENATE(AFA380,AFA379)</f>
        <v>Y353</v>
      </c>
      <c r="AFB378" s="280" t="str">
        <f t="shared" ref="AFB378" si="246">CONCATENATE(AFB380,AFB379)</f>
        <v>Y354</v>
      </c>
      <c r="AFC378" s="280" t="str">
        <f t="shared" ref="AFC378" si="247">CONCATENATE(AFC380,AFC379)</f>
        <v>Y355</v>
      </c>
      <c r="AFD378" s="280" t="str">
        <f t="shared" ref="AFD378" si="248">CONCATENATE(AFD380,AFD379)</f>
        <v>Y356</v>
      </c>
      <c r="AFE378" s="280" t="str">
        <f t="shared" ref="AFE378" si="249">CONCATENATE(AFE380,AFE379)</f>
        <v>Z349</v>
      </c>
      <c r="AFF378" s="280" t="str">
        <f t="shared" ref="AFF378" si="250">CONCATENATE(AFF380,AFF379)</f>
        <v>Z350</v>
      </c>
      <c r="AFG378" s="280" t="str">
        <f t="shared" ref="AFG378" si="251">CONCATENATE(AFG380,AFG379)</f>
        <v>Z351</v>
      </c>
      <c r="AFH378" s="280" t="str">
        <f t="shared" ref="AFH378" si="252">CONCATENATE(AFH380,AFH379)</f>
        <v>Z352</v>
      </c>
      <c r="AFI378" s="280" t="str">
        <f t="shared" ref="AFI378" si="253">CONCATENATE(AFI380,AFI379)</f>
        <v>Z353</v>
      </c>
      <c r="AFJ378" s="280" t="str">
        <f t="shared" ref="AFJ378" si="254">CONCATENATE(AFJ380,AFJ379)</f>
        <v>Z354</v>
      </c>
      <c r="AFK378" s="280" t="str">
        <f t="shared" ref="AFK378" si="255">CONCATENATE(AFK380,AFK379)</f>
        <v>Z355</v>
      </c>
      <c r="AFL378" s="280" t="str">
        <f t="shared" ref="AFL378" si="256">CONCATENATE(AFL380,AFL379)</f>
        <v>Z356</v>
      </c>
      <c r="AFM378" s="280" t="str">
        <f t="shared" ref="AFM378" si="257">CONCATENATE(AFM380,AFM379)</f>
        <v>AA349</v>
      </c>
      <c r="AFN378" s="280" t="str">
        <f t="shared" ref="AFN378" si="258">CONCATENATE(AFN380,AFN379)</f>
        <v>AA350</v>
      </c>
      <c r="AFO378" s="280" t="str">
        <f t="shared" ref="AFO378" si="259">CONCATENATE(AFO380,AFO379)</f>
        <v>AA351</v>
      </c>
      <c r="AFP378" s="280" t="str">
        <f t="shared" ref="AFP378" si="260">CONCATENATE(AFP380,AFP379)</f>
        <v>AA352</v>
      </c>
      <c r="AFQ378" s="280" t="str">
        <f t="shared" ref="AFQ378" si="261">CONCATENATE(AFQ380,AFQ379)</f>
        <v>AA353</v>
      </c>
      <c r="AFR378" s="280" t="str">
        <f t="shared" ref="AFR378" si="262">CONCATENATE(AFR380,AFR379)</f>
        <v>AA354</v>
      </c>
      <c r="AFS378" s="280" t="str">
        <f t="shared" ref="AFS378" si="263">CONCATENATE(AFS380,AFS379)</f>
        <v>AA355</v>
      </c>
      <c r="AFT378" s="280" t="str">
        <f t="shared" ref="AFT378" si="264">CONCATENATE(AFT380,AFT379)</f>
        <v>AA356</v>
      </c>
      <c r="AFU378" s="280" t="str">
        <f t="shared" ref="AFU378" si="265">CONCATENATE(AFU380,AFU379)</f>
        <v>AB349</v>
      </c>
      <c r="AFV378" s="280" t="str">
        <f t="shared" ref="AFV378" si="266">CONCATENATE(AFV380,AFV379)</f>
        <v>AB350</v>
      </c>
      <c r="AFW378" s="280" t="str">
        <f t="shared" ref="AFW378" si="267">CONCATENATE(AFW380,AFW379)</f>
        <v>AB351</v>
      </c>
      <c r="AFX378" s="280" t="str">
        <f t="shared" ref="AFX378" si="268">CONCATENATE(AFX380,AFX379)</f>
        <v>AB352</v>
      </c>
      <c r="AFY378" s="280" t="str">
        <f t="shared" ref="AFY378" si="269">CONCATENATE(AFY380,AFY379)</f>
        <v>AB353</v>
      </c>
      <c r="AFZ378" s="280" t="str">
        <f t="shared" ref="AFZ378" si="270">CONCATENATE(AFZ380,AFZ379)</f>
        <v>AB354</v>
      </c>
      <c r="AGA378" s="280" t="str">
        <f t="shared" ref="AGA378" si="271">CONCATENATE(AGA380,AGA379)</f>
        <v>AB355</v>
      </c>
      <c r="AGB378" s="280" t="str">
        <f t="shared" ref="AGB378" si="272">CONCATENATE(AGB380,AGB379)</f>
        <v>AB356</v>
      </c>
      <c r="AGC378" s="280" t="str">
        <f t="shared" ref="AGC378" si="273">CONCATENATE(AGC380,AGC379)</f>
        <v>AC349</v>
      </c>
      <c r="AGD378" s="280" t="str">
        <f t="shared" ref="AGD378" si="274">CONCATENATE(AGD380,AGD379)</f>
        <v>AC350</v>
      </c>
      <c r="AGE378" s="280" t="str">
        <f t="shared" ref="AGE378" si="275">CONCATENATE(AGE380,AGE379)</f>
        <v>AC351</v>
      </c>
      <c r="AGF378" s="280" t="str">
        <f t="shared" ref="AGF378" si="276">CONCATENATE(AGF380,AGF379)</f>
        <v>AC352</v>
      </c>
      <c r="AGG378" s="280" t="str">
        <f t="shared" ref="AGG378" si="277">CONCATENATE(AGG380,AGG379)</f>
        <v>AC353</v>
      </c>
      <c r="AGH378" s="280" t="str">
        <f t="shared" ref="AGH378" si="278">CONCATENATE(AGH380,AGH379)</f>
        <v>AC354</v>
      </c>
      <c r="AGI378" s="280" t="str">
        <f t="shared" ref="AGI378" si="279">CONCATENATE(AGI380,AGI379)</f>
        <v>AC355</v>
      </c>
      <c r="AGJ378" s="280" t="str">
        <f t="shared" ref="AGJ378" si="280">CONCATENATE(AGJ380,AGJ379)</f>
        <v>AC356</v>
      </c>
      <c r="AGK378" s="280" t="str">
        <f t="shared" ref="AGK378" si="281">CONCATENATE(AGK380,AGK379)</f>
        <v>AD349</v>
      </c>
      <c r="AGL378" s="280" t="str">
        <f t="shared" ref="AGL378" si="282">CONCATENATE(AGL380,AGL379)</f>
        <v>AD350</v>
      </c>
      <c r="AGM378" s="280" t="str">
        <f t="shared" ref="AGM378" si="283">CONCATENATE(AGM380,AGM379)</f>
        <v>AD351</v>
      </c>
      <c r="AGN378" s="280" t="str">
        <f t="shared" ref="AGN378" si="284">CONCATENATE(AGN380,AGN379)</f>
        <v>AD352</v>
      </c>
      <c r="AGO378" s="280" t="str">
        <f t="shared" ref="AGO378" si="285">CONCATENATE(AGO380,AGO379)</f>
        <v>AD353</v>
      </c>
      <c r="AGP378" s="280" t="str">
        <f t="shared" ref="AGP378" si="286">CONCATENATE(AGP380,AGP379)</f>
        <v>AD354</v>
      </c>
      <c r="AGQ378" s="280" t="str">
        <f t="shared" ref="AGQ378" si="287">CONCATENATE(AGQ380,AGQ379)</f>
        <v>AD355</v>
      </c>
      <c r="AGR378" s="280" t="str">
        <f t="shared" ref="AGR378" si="288">CONCATENATE(AGR380,AGR379)</f>
        <v>AD356</v>
      </c>
      <c r="AGS378" s="280" t="str">
        <f t="shared" ref="AGS378" si="289">CONCATENATE(AGS380,AGS379)</f>
        <v>AE349</v>
      </c>
      <c r="AGT378" s="280" t="str">
        <f t="shared" ref="AGT378" si="290">CONCATENATE(AGT380,AGT379)</f>
        <v>AE350</v>
      </c>
      <c r="AGU378" s="280" t="str">
        <f t="shared" ref="AGU378" si="291">CONCATENATE(AGU380,AGU379)</f>
        <v>AE351</v>
      </c>
      <c r="AGV378" s="280" t="str">
        <f t="shared" ref="AGV378" si="292">CONCATENATE(AGV380,AGV379)</f>
        <v>AE352</v>
      </c>
      <c r="AGW378" s="280" t="str">
        <f t="shared" ref="AGW378" si="293">CONCATENATE(AGW380,AGW379)</f>
        <v>AE353</v>
      </c>
      <c r="AGX378" s="280" t="str">
        <f t="shared" ref="AGX378" si="294">CONCATENATE(AGX380,AGX379)</f>
        <v>AE354</v>
      </c>
      <c r="AGY378" s="280" t="str">
        <f t="shared" ref="AGY378" si="295">CONCATENATE(AGY380,AGY379)</f>
        <v>AE355</v>
      </c>
      <c r="AGZ378" s="280" t="str">
        <f t="shared" ref="AGZ378:AHA378" si="296">CONCATENATE(AGZ380,AGZ379)</f>
        <v>AE356</v>
      </c>
      <c r="AHA378" s="280" t="str">
        <f t="shared" si="296"/>
        <v>AF349</v>
      </c>
      <c r="AHB378" s="280" t="str">
        <f t="shared" ref="AHB378" si="297">CONCATENATE(AHB380,AHB379)</f>
        <v>AF350</v>
      </c>
      <c r="AHC378" s="280" t="str">
        <f t="shared" ref="AHC378" si="298">CONCATENATE(AHC380,AHC379)</f>
        <v>AF351</v>
      </c>
      <c r="AHD378" s="280" t="str">
        <f t="shared" ref="AHD378" si="299">CONCATENATE(AHD380,AHD379)</f>
        <v>AF352</v>
      </c>
      <c r="AHE378" s="280" t="str">
        <f t="shared" ref="AHE378" si="300">CONCATENATE(AHE380,AHE379)</f>
        <v>AF353</v>
      </c>
      <c r="AHF378" s="280" t="str">
        <f t="shared" ref="AHF378" si="301">CONCATENATE(AHF380,AHF379)</f>
        <v>AF354</v>
      </c>
      <c r="AHG378" s="280" t="str">
        <f t="shared" ref="AHG378" si="302">CONCATENATE(AHG380,AHG379)</f>
        <v>AF355</v>
      </c>
      <c r="AHH378" s="280" t="str">
        <f t="shared" ref="AHH378" si="303">CONCATENATE(AHH380,AHH379)</f>
        <v>AF356</v>
      </c>
      <c r="AHI378" s="280" t="str">
        <f t="shared" ref="AHI378" si="304">CONCATENATE(AHI380,AHI379)</f>
        <v>AG349</v>
      </c>
      <c r="AHJ378" s="280" t="str">
        <f t="shared" ref="AHJ378" si="305">CONCATENATE(AHJ380,AHJ379)</f>
        <v>AG350</v>
      </c>
      <c r="AHK378" s="280" t="str">
        <f t="shared" ref="AHK378" si="306">CONCATENATE(AHK380,AHK379)</f>
        <v>AG351</v>
      </c>
      <c r="AHL378" s="280" t="str">
        <f t="shared" ref="AHL378" si="307">CONCATENATE(AHL380,AHL379)</f>
        <v>AG352</v>
      </c>
      <c r="AHM378" s="280" t="str">
        <f t="shared" ref="AHM378" si="308">CONCATENATE(AHM380,AHM379)</f>
        <v>AG353</v>
      </c>
      <c r="AHN378" s="280" t="str">
        <f t="shared" ref="AHN378" si="309">CONCATENATE(AHN380,AHN379)</f>
        <v>AG354</v>
      </c>
      <c r="AHO378" s="280" t="str">
        <f t="shared" ref="AHO378" si="310">CONCATENATE(AHO380,AHO379)</f>
        <v>AG355</v>
      </c>
      <c r="AHP378" s="280" t="str">
        <f t="shared" ref="AHP378" si="311">CONCATENATE(AHP380,AHP379)</f>
        <v>AG356</v>
      </c>
      <c r="AHQ378" s="280" t="str">
        <f t="shared" ref="AHQ378" si="312">CONCATENATE(AHQ380,AHQ379)</f>
        <v>AH349</v>
      </c>
      <c r="AHR378" s="280" t="str">
        <f t="shared" ref="AHR378" si="313">CONCATENATE(AHR380,AHR379)</f>
        <v>AH350</v>
      </c>
      <c r="AHS378" s="280" t="str">
        <f t="shared" ref="AHS378" si="314">CONCATENATE(AHS380,AHS379)</f>
        <v>AH351</v>
      </c>
      <c r="AHT378" s="280" t="str">
        <f t="shared" ref="AHT378" si="315">CONCATENATE(AHT380,AHT379)</f>
        <v>AH352</v>
      </c>
      <c r="AHU378" s="280" t="str">
        <f t="shared" ref="AHU378" si="316">CONCATENATE(AHU380,AHU379)</f>
        <v>AH353</v>
      </c>
      <c r="AHV378" s="280" t="str">
        <f t="shared" ref="AHV378" si="317">CONCATENATE(AHV380,AHV379)</f>
        <v>AH354</v>
      </c>
      <c r="AHW378" s="280" t="str">
        <f t="shared" ref="AHW378" si="318">CONCATENATE(AHW380,AHW379)</f>
        <v>AH355</v>
      </c>
      <c r="AHX378" s="280" t="str">
        <f t="shared" ref="AHX378" si="319">CONCATENATE(AHX380,AHX379)</f>
        <v>AH356</v>
      </c>
      <c r="AHY378" s="280" t="str">
        <f t="shared" ref="AHY378" si="320">CONCATENATE(AHY380,AHY379)</f>
        <v>AI349</v>
      </c>
      <c r="AHZ378" s="280" t="str">
        <f t="shared" ref="AHZ378" si="321">CONCATENATE(AHZ380,AHZ379)</f>
        <v>AI350</v>
      </c>
      <c r="AIA378" s="280" t="str">
        <f t="shared" ref="AIA378" si="322">CONCATENATE(AIA380,AIA379)</f>
        <v>AI351</v>
      </c>
      <c r="AIB378" s="280" t="str">
        <f t="shared" ref="AIB378" si="323">CONCATENATE(AIB380,AIB379)</f>
        <v>AI352</v>
      </c>
      <c r="AIC378" s="280" t="str">
        <f t="shared" ref="AIC378" si="324">CONCATENATE(AIC380,AIC379)</f>
        <v>AI353</v>
      </c>
      <c r="AID378" s="280" t="str">
        <f t="shared" ref="AID378" si="325">CONCATENATE(AID380,AID379)</f>
        <v>AI354</v>
      </c>
      <c r="AIE378" s="280" t="str">
        <f t="shared" ref="AIE378" si="326">CONCATENATE(AIE380,AIE379)</f>
        <v>AI355</v>
      </c>
      <c r="AIF378" s="280" t="str">
        <f t="shared" ref="AIF378" si="327">CONCATENATE(AIF380,AIF379)</f>
        <v>AI356</v>
      </c>
      <c r="AIG378" s="280" t="str">
        <f t="shared" ref="AIG378" si="328">CONCATENATE(AIG380,AIG379)</f>
        <v>AJ349</v>
      </c>
      <c r="AIH378" s="280" t="str">
        <f t="shared" ref="AIH378" si="329">CONCATENATE(AIH380,AIH379)</f>
        <v>AJ350</v>
      </c>
      <c r="AII378" s="280" t="str">
        <f t="shared" ref="AII378" si="330">CONCATENATE(AII380,AII379)</f>
        <v>AJ351</v>
      </c>
      <c r="AIJ378" s="280" t="str">
        <f t="shared" ref="AIJ378" si="331">CONCATENATE(AIJ380,AIJ379)</f>
        <v>AJ352</v>
      </c>
      <c r="AIK378" s="280" t="str">
        <f t="shared" ref="AIK378" si="332">CONCATENATE(AIK380,AIK379)</f>
        <v>AJ353</v>
      </c>
      <c r="AIL378" s="280" t="str">
        <f t="shared" ref="AIL378" si="333">CONCATENATE(AIL380,AIL379)</f>
        <v>AJ354</v>
      </c>
      <c r="AIM378" s="280" t="str">
        <f t="shared" ref="AIM378" si="334">CONCATENATE(AIM380,AIM379)</f>
        <v>AJ355</v>
      </c>
      <c r="AIN378" s="280" t="str">
        <f t="shared" ref="AIN378:AIO378" si="335">CONCATENATE(AIN380,AIN379)</f>
        <v>AJ356</v>
      </c>
      <c r="AIO378" s="280" t="str">
        <f t="shared" si="335"/>
        <v>AK349</v>
      </c>
      <c r="AIP378" s="280" t="str">
        <f t="shared" ref="AIP378" si="336">CONCATENATE(AIP380,AIP379)</f>
        <v>AK350</v>
      </c>
      <c r="AIQ378" s="280" t="str">
        <f t="shared" ref="AIQ378" si="337">CONCATENATE(AIQ380,AIQ379)</f>
        <v>AK351</v>
      </c>
      <c r="AIR378" s="280" t="str">
        <f t="shared" ref="AIR378" si="338">CONCATENATE(AIR380,AIR379)</f>
        <v>AK352</v>
      </c>
      <c r="AIS378" s="280" t="str">
        <f t="shared" ref="AIS378" si="339">CONCATENATE(AIS380,AIS379)</f>
        <v>AK353</v>
      </c>
      <c r="AIT378" s="280" t="str">
        <f t="shared" ref="AIT378" si="340">CONCATENATE(AIT380,AIT379)</f>
        <v>AK354</v>
      </c>
      <c r="AIU378" s="280" t="str">
        <f t="shared" ref="AIU378" si="341">CONCATENATE(AIU380,AIU379)</f>
        <v>AK355</v>
      </c>
      <c r="AIV378" s="280" t="str">
        <f t="shared" ref="AIV378" si="342">CONCATENATE(AIV380,AIV379)</f>
        <v>AK356</v>
      </c>
      <c r="AIW378" s="280" t="str">
        <f t="shared" ref="AIW378" si="343">CONCATENATE(AIW380,AIW379)</f>
        <v>AL349</v>
      </c>
      <c r="AIX378" s="280" t="str">
        <f t="shared" ref="AIX378" si="344">CONCATENATE(AIX380,AIX379)</f>
        <v>AL350</v>
      </c>
      <c r="AIY378" s="280" t="str">
        <f t="shared" ref="AIY378" si="345">CONCATENATE(AIY380,AIY379)</f>
        <v>AL351</v>
      </c>
      <c r="AIZ378" s="280" t="str">
        <f t="shared" ref="AIZ378" si="346">CONCATENATE(AIZ380,AIZ379)</f>
        <v>AL352</v>
      </c>
      <c r="AJA378" s="280" t="str">
        <f t="shared" ref="AJA378" si="347">CONCATENATE(AJA380,AJA379)</f>
        <v>AL353</v>
      </c>
      <c r="AJB378" s="280" t="str">
        <f t="shared" ref="AJB378" si="348">CONCATENATE(AJB380,AJB379)</f>
        <v>AL354</v>
      </c>
      <c r="AJC378" s="280" t="str">
        <f t="shared" ref="AJC378" si="349">CONCATENATE(AJC380,AJC379)</f>
        <v>AL355</v>
      </c>
      <c r="AJD378" s="280" t="str">
        <f t="shared" ref="AJD378" si="350">CONCATENATE(AJD380,AJD379)</f>
        <v>AL356</v>
      </c>
      <c r="AJE378" s="280" t="str">
        <f t="shared" ref="AJE378" si="351">CONCATENATE(AJE380,AJE379)</f>
        <v>AM349</v>
      </c>
      <c r="AJF378" s="280" t="str">
        <f t="shared" ref="AJF378" si="352">CONCATENATE(AJF380,AJF379)</f>
        <v>AM350</v>
      </c>
      <c r="AJG378" s="280" t="str">
        <f t="shared" ref="AJG378" si="353">CONCATENATE(AJG380,AJG379)</f>
        <v>AM351</v>
      </c>
      <c r="AJH378" s="280" t="str">
        <f t="shared" ref="AJH378" si="354">CONCATENATE(AJH380,AJH379)</f>
        <v>AM352</v>
      </c>
      <c r="AJI378" s="280" t="str">
        <f t="shared" ref="AJI378" si="355">CONCATENATE(AJI380,AJI379)</f>
        <v>AM353</v>
      </c>
      <c r="AJJ378" s="280" t="str">
        <f t="shared" ref="AJJ378" si="356">CONCATENATE(AJJ380,AJJ379)</f>
        <v>AM354</v>
      </c>
      <c r="AJK378" s="280" t="str">
        <f t="shared" ref="AJK378" si="357">CONCATENATE(AJK380,AJK379)</f>
        <v>AM355</v>
      </c>
      <c r="AJL378" s="280" t="str">
        <f t="shared" ref="AJL378" si="358">CONCATENATE(AJL380,AJL379)</f>
        <v>AM356</v>
      </c>
      <c r="AJM378" s="280" t="str">
        <f t="shared" ref="AJM378" si="359">CONCATENATE(AJM380,AJM379)</f>
        <v>AN349</v>
      </c>
      <c r="AJN378" s="280" t="str">
        <f t="shared" ref="AJN378" si="360">CONCATENATE(AJN380,AJN379)</f>
        <v>AN350</v>
      </c>
      <c r="AJO378" s="280" t="str">
        <f t="shared" ref="AJO378" si="361">CONCATENATE(AJO380,AJO379)</f>
        <v>AN351</v>
      </c>
      <c r="AJP378" s="280" t="str">
        <f t="shared" ref="AJP378" si="362">CONCATENATE(AJP380,AJP379)</f>
        <v>AN352</v>
      </c>
      <c r="AJQ378" s="280" t="str">
        <f t="shared" ref="AJQ378" si="363">CONCATENATE(AJQ380,AJQ379)</f>
        <v>AN353</v>
      </c>
      <c r="AJR378" s="280" t="str">
        <f t="shared" ref="AJR378" si="364">CONCATENATE(AJR380,AJR379)</f>
        <v>AN354</v>
      </c>
      <c r="AJS378" s="280" t="str">
        <f t="shared" ref="AJS378" si="365">CONCATENATE(AJS380,AJS379)</f>
        <v>AN355</v>
      </c>
      <c r="AJT378" s="280" t="str">
        <f t="shared" ref="AJT378" si="366">CONCATENATE(AJT380,AJT379)</f>
        <v>AN356</v>
      </c>
      <c r="AJU378" s="426" t="s">
        <v>5457</v>
      </c>
      <c r="AJV378" s="426" t="s">
        <v>5458</v>
      </c>
      <c r="AJW378" s="426" t="s">
        <v>5459</v>
      </c>
      <c r="AJX378" s="426" t="s">
        <v>5460</v>
      </c>
      <c r="AJY378" s="426" t="s">
        <v>4803</v>
      </c>
      <c r="AJZ378" s="426" t="s">
        <v>4804</v>
      </c>
      <c r="AKA378" s="426" t="s">
        <v>4805</v>
      </c>
      <c r="AKB378" s="426" t="s">
        <v>4806</v>
      </c>
      <c r="AKC378" s="426" t="s">
        <v>4807</v>
      </c>
      <c r="AKD378" s="426" t="s">
        <v>4808</v>
      </c>
      <c r="AKE378" s="426" t="str">
        <f>CONCATENATE(AKE380,AKE379)</f>
        <v>AO349</v>
      </c>
      <c r="AKF378" s="426" t="str">
        <f t="shared" ref="AKF378:ALZ378" si="367">CONCATENATE(AKF380,AKF379)</f>
        <v>AO350</v>
      </c>
      <c r="AKG378" s="426" t="str">
        <f t="shared" si="367"/>
        <v>AO351</v>
      </c>
      <c r="AKH378" s="426" t="str">
        <f t="shared" si="367"/>
        <v>AO352</v>
      </c>
      <c r="AKI378" s="426" t="str">
        <f t="shared" si="367"/>
        <v>AO353</v>
      </c>
      <c r="AKJ378" s="426" t="str">
        <f t="shared" si="367"/>
        <v>AO354</v>
      </c>
      <c r="AKK378" s="426" t="str">
        <f t="shared" si="367"/>
        <v>AO355</v>
      </c>
      <c r="AKL378" s="426" t="str">
        <f t="shared" si="367"/>
        <v>AO356</v>
      </c>
      <c r="AKM378" s="426" t="str">
        <f t="shared" si="367"/>
        <v>AP349</v>
      </c>
      <c r="AKN378" s="426" t="str">
        <f t="shared" si="367"/>
        <v>AP350</v>
      </c>
      <c r="AKO378" s="426" t="str">
        <f t="shared" si="367"/>
        <v>AP351</v>
      </c>
      <c r="AKP378" s="426" t="str">
        <f t="shared" si="367"/>
        <v>AP352</v>
      </c>
      <c r="AKQ378" s="426" t="str">
        <f t="shared" si="367"/>
        <v>AP353</v>
      </c>
      <c r="AKR378" s="426" t="str">
        <f t="shared" si="367"/>
        <v>AP354</v>
      </c>
      <c r="AKS378" s="426" t="str">
        <f t="shared" si="367"/>
        <v>AP355</v>
      </c>
      <c r="AKT378" s="426" t="str">
        <f t="shared" si="367"/>
        <v>AP356</v>
      </c>
      <c r="AKU378" s="426" t="str">
        <f t="shared" si="367"/>
        <v>AQ349</v>
      </c>
      <c r="AKV378" s="426" t="str">
        <f t="shared" si="367"/>
        <v>AQ350</v>
      </c>
      <c r="AKW378" s="426" t="str">
        <f t="shared" si="367"/>
        <v>AQ351</v>
      </c>
      <c r="AKX378" s="426" t="str">
        <f t="shared" si="367"/>
        <v>AQ352</v>
      </c>
      <c r="AKY378" s="426" t="str">
        <f t="shared" si="367"/>
        <v>AQ353</v>
      </c>
      <c r="AKZ378" s="426" t="str">
        <f t="shared" si="367"/>
        <v>AQ354</v>
      </c>
      <c r="ALA378" s="426" t="str">
        <f t="shared" si="367"/>
        <v>AQ355</v>
      </c>
      <c r="ALB378" s="426" t="str">
        <f t="shared" si="367"/>
        <v>AQ356</v>
      </c>
      <c r="ALC378" s="426" t="str">
        <f t="shared" si="367"/>
        <v>AR349</v>
      </c>
      <c r="ALD378" s="426" t="str">
        <f t="shared" si="367"/>
        <v>AR350</v>
      </c>
      <c r="ALE378" s="426" t="str">
        <f t="shared" si="367"/>
        <v>AR351</v>
      </c>
      <c r="ALF378" s="426" t="str">
        <f t="shared" si="367"/>
        <v>AR352</v>
      </c>
      <c r="ALG378" s="426" t="str">
        <f t="shared" si="367"/>
        <v>AR353</v>
      </c>
      <c r="ALH378" s="426" t="str">
        <f t="shared" si="367"/>
        <v>AR354</v>
      </c>
      <c r="ALI378" s="426" t="str">
        <f t="shared" si="367"/>
        <v>AR355</v>
      </c>
      <c r="ALJ378" s="426" t="str">
        <f t="shared" si="367"/>
        <v>AR356</v>
      </c>
      <c r="ALK378" s="426" t="str">
        <f t="shared" si="367"/>
        <v>AS349</v>
      </c>
      <c r="ALL378" s="426" t="str">
        <f t="shared" si="367"/>
        <v>AS350</v>
      </c>
      <c r="ALM378" s="426" t="str">
        <f t="shared" si="367"/>
        <v>AS351</v>
      </c>
      <c r="ALN378" s="426" t="str">
        <f t="shared" si="367"/>
        <v>AS352</v>
      </c>
      <c r="ALO378" s="426" t="str">
        <f t="shared" si="367"/>
        <v>AS353</v>
      </c>
      <c r="ALP378" s="426" t="str">
        <f t="shared" si="367"/>
        <v>AS354</v>
      </c>
      <c r="ALQ378" s="426" t="str">
        <f t="shared" si="367"/>
        <v>AS355</v>
      </c>
      <c r="ALR378" s="426" t="str">
        <f t="shared" si="367"/>
        <v>AS356</v>
      </c>
      <c r="ALS378" s="426" t="str">
        <f t="shared" si="367"/>
        <v>AT349</v>
      </c>
      <c r="ALT378" s="426" t="str">
        <f t="shared" si="367"/>
        <v>AT350</v>
      </c>
      <c r="ALU378" s="426" t="str">
        <f t="shared" si="367"/>
        <v>AT351</v>
      </c>
      <c r="ALV378" s="426" t="str">
        <f t="shared" si="367"/>
        <v>AT352</v>
      </c>
      <c r="ALW378" s="426" t="str">
        <f t="shared" si="367"/>
        <v>AT353</v>
      </c>
      <c r="ALX378" s="426" t="str">
        <f t="shared" si="367"/>
        <v>AT354</v>
      </c>
      <c r="ALY378" s="426" t="str">
        <f t="shared" si="367"/>
        <v>AT355</v>
      </c>
      <c r="ALZ378" s="426" t="str">
        <f t="shared" si="367"/>
        <v>AT356</v>
      </c>
    </row>
    <row r="379" spans="2:1014" ht="20.100000000000001" customHeight="1">
      <c r="C379" s="668" t="s">
        <v>4394</v>
      </c>
      <c r="S379" s="1450"/>
      <c r="W379" s="1450"/>
      <c r="AF379" s="1450"/>
      <c r="AG379" s="1450"/>
      <c r="AH379" s="1450"/>
      <c r="AI379" s="1450"/>
      <c r="AJ379" s="1450"/>
      <c r="KZ379" s="668" t="str">
        <f>CONCATENATE("=",KZ378)</f>
        <v>=F203</v>
      </c>
      <c r="LA379" s="668" t="str">
        <f t="shared" ref="LA379:LO379" si="368">CONCATENATE("=",LA378)</f>
        <v>=F204</v>
      </c>
      <c r="LB379" s="668" t="str">
        <f t="shared" si="368"/>
        <v>=F205</v>
      </c>
      <c r="LC379" s="668" t="str">
        <f t="shared" si="368"/>
        <v>=F206</v>
      </c>
      <c r="LD379" s="668" t="str">
        <f t="shared" si="368"/>
        <v>=F207</v>
      </c>
      <c r="LE379" s="668" t="str">
        <f t="shared" si="368"/>
        <v>=F208</v>
      </c>
      <c r="LF379" s="668" t="str">
        <f t="shared" si="368"/>
        <v>=F209</v>
      </c>
      <c r="LG379" s="668" t="str">
        <f t="shared" si="368"/>
        <v>=F210</v>
      </c>
      <c r="LH379" s="668" t="str">
        <f t="shared" si="368"/>
        <v>=F211</v>
      </c>
      <c r="LI379" s="668" t="str">
        <f t="shared" si="368"/>
        <v>=C215</v>
      </c>
      <c r="LJ379" s="668" t="str">
        <f t="shared" si="368"/>
        <v>=C216</v>
      </c>
      <c r="LK379" s="668" t="str">
        <f t="shared" si="368"/>
        <v>=C217</v>
      </c>
      <c r="LL379" s="668" t="str">
        <f t="shared" si="368"/>
        <v>=C218</v>
      </c>
      <c r="LM379" s="668" t="str">
        <f t="shared" si="368"/>
        <v>=C219</v>
      </c>
      <c r="LN379" s="668" t="str">
        <f t="shared" si="368"/>
        <v>=C196</v>
      </c>
      <c r="LO379" s="668" t="str">
        <f t="shared" si="368"/>
        <v>=C222</v>
      </c>
      <c r="NW379" s="668" t="str">
        <f>CONCATENATE("=",NW378)</f>
        <v>=C257</v>
      </c>
      <c r="NX379" s="668" t="str">
        <f t="shared" ref="NX379:QI379" si="369">CONCATENATE("=",NX378)</f>
        <v>=D257</v>
      </c>
      <c r="NY379" s="668" t="str">
        <f t="shared" si="369"/>
        <v>=E257</v>
      </c>
      <c r="NZ379" s="668" t="str">
        <f t="shared" si="369"/>
        <v>=F257</v>
      </c>
      <c r="OA379" s="668" t="str">
        <f t="shared" si="369"/>
        <v>=G257</v>
      </c>
      <c r="OB379" s="668" t="str">
        <f t="shared" si="369"/>
        <v>=H257</v>
      </c>
      <c r="OC379" s="668" t="str">
        <f t="shared" si="369"/>
        <v>=C258</v>
      </c>
      <c r="OD379" s="668" t="str">
        <f t="shared" si="369"/>
        <v>=D258</v>
      </c>
      <c r="OE379" s="668" t="str">
        <f t="shared" si="369"/>
        <v>=E258</v>
      </c>
      <c r="OF379" s="668" t="str">
        <f t="shared" si="369"/>
        <v>=F258</v>
      </c>
      <c r="OG379" s="668" t="str">
        <f t="shared" si="369"/>
        <v>=G258</v>
      </c>
      <c r="OH379" s="668" t="str">
        <f t="shared" si="369"/>
        <v>=H258</v>
      </c>
      <c r="OI379" s="668" t="str">
        <f t="shared" si="369"/>
        <v>=C259</v>
      </c>
      <c r="OJ379" s="668" t="str">
        <f t="shared" si="369"/>
        <v>=D259</v>
      </c>
      <c r="OK379" s="668" t="str">
        <f t="shared" si="369"/>
        <v>=E259</v>
      </c>
      <c r="OL379" s="668" t="str">
        <f t="shared" si="369"/>
        <v>=F259</v>
      </c>
      <c r="OM379" s="668" t="str">
        <f t="shared" si="369"/>
        <v>=G259</v>
      </c>
      <c r="ON379" s="668" t="str">
        <f t="shared" si="369"/>
        <v>=H259</v>
      </c>
      <c r="OO379" s="668" t="str">
        <f t="shared" si="369"/>
        <v>=C260</v>
      </c>
      <c r="OP379" s="668" t="str">
        <f t="shared" si="369"/>
        <v>=D260</v>
      </c>
      <c r="OQ379" s="668" t="str">
        <f t="shared" si="369"/>
        <v>=E260</v>
      </c>
      <c r="OR379" s="668" t="str">
        <f t="shared" si="369"/>
        <v>=F260</v>
      </c>
      <c r="OS379" s="668" t="str">
        <f t="shared" si="369"/>
        <v>=G260</v>
      </c>
      <c r="OT379" s="668" t="str">
        <f t="shared" si="369"/>
        <v>=H260</v>
      </c>
      <c r="OU379" s="668" t="str">
        <f t="shared" si="369"/>
        <v>=C261</v>
      </c>
      <c r="OV379" s="668" t="str">
        <f t="shared" si="369"/>
        <v>=D261</v>
      </c>
      <c r="OW379" s="668" t="str">
        <f t="shared" si="369"/>
        <v>=E261</v>
      </c>
      <c r="OX379" s="668" t="str">
        <f t="shared" si="369"/>
        <v>=F261</v>
      </c>
      <c r="OY379" s="668" t="str">
        <f t="shared" si="369"/>
        <v>=G261</v>
      </c>
      <c r="OZ379" s="668" t="str">
        <f t="shared" si="369"/>
        <v>=H261</v>
      </c>
      <c r="PA379" s="668" t="str">
        <f t="shared" si="369"/>
        <v>=C262</v>
      </c>
      <c r="PB379" s="668" t="str">
        <f t="shared" si="369"/>
        <v>=D262</v>
      </c>
      <c r="PC379" s="668" t="str">
        <f t="shared" si="369"/>
        <v>=E262</v>
      </c>
      <c r="PD379" s="668" t="str">
        <f t="shared" si="369"/>
        <v>=F262</v>
      </c>
      <c r="PE379" s="668" t="str">
        <f t="shared" si="369"/>
        <v>=G262</v>
      </c>
      <c r="PF379" s="668" t="str">
        <f t="shared" si="369"/>
        <v>=H262</v>
      </c>
      <c r="PG379" s="668" t="str">
        <f t="shared" si="369"/>
        <v>=C263</v>
      </c>
      <c r="PH379" s="668" t="str">
        <f t="shared" si="369"/>
        <v>=D263</v>
      </c>
      <c r="PI379" s="668" t="str">
        <f t="shared" si="369"/>
        <v>=E263</v>
      </c>
      <c r="PJ379" s="668" t="str">
        <f t="shared" si="369"/>
        <v>=F263</v>
      </c>
      <c r="PK379" s="668" t="str">
        <f t="shared" si="369"/>
        <v>=G263</v>
      </c>
      <c r="PL379" s="668" t="str">
        <f t="shared" si="369"/>
        <v>=H263</v>
      </c>
      <c r="PM379" s="668" t="str">
        <f t="shared" si="369"/>
        <v>=C264</v>
      </c>
      <c r="PN379" s="668" t="str">
        <f t="shared" si="369"/>
        <v>=D264</v>
      </c>
      <c r="PO379" s="668" t="str">
        <f t="shared" si="369"/>
        <v>=E264</v>
      </c>
      <c r="PP379" s="668" t="str">
        <f t="shared" si="369"/>
        <v>=F264</v>
      </c>
      <c r="PQ379" s="668" t="str">
        <f t="shared" si="369"/>
        <v>=G264</v>
      </c>
      <c r="PR379" s="668" t="str">
        <f t="shared" si="369"/>
        <v>=H264</v>
      </c>
      <c r="PS379" s="668" t="str">
        <f t="shared" si="369"/>
        <v>=C265</v>
      </c>
      <c r="PT379" s="668" t="str">
        <f t="shared" si="369"/>
        <v>=D265</v>
      </c>
      <c r="PU379" s="668" t="str">
        <f t="shared" si="369"/>
        <v>=E265</v>
      </c>
      <c r="PV379" s="668" t="str">
        <f t="shared" si="369"/>
        <v>=F265</v>
      </c>
      <c r="PW379" s="668" t="str">
        <f t="shared" si="369"/>
        <v>=G265</v>
      </c>
      <c r="PX379" s="668" t="str">
        <f t="shared" si="369"/>
        <v>=H265</v>
      </c>
      <c r="PY379" s="668" t="str">
        <f t="shared" si="369"/>
        <v>=C266</v>
      </c>
      <c r="PZ379" s="668" t="str">
        <f t="shared" si="369"/>
        <v>=D266</v>
      </c>
      <c r="QA379" s="668" t="str">
        <f t="shared" si="369"/>
        <v>=E266</v>
      </c>
      <c r="QB379" s="668" t="str">
        <f t="shared" si="369"/>
        <v>=F266</v>
      </c>
      <c r="QC379" s="668" t="str">
        <f t="shared" si="369"/>
        <v>=G266</v>
      </c>
      <c r="QD379" s="668" t="str">
        <f t="shared" si="369"/>
        <v>=H266</v>
      </c>
      <c r="QE379" s="668" t="str">
        <f t="shared" si="369"/>
        <v>=C267</v>
      </c>
      <c r="QF379" s="668" t="str">
        <f t="shared" si="369"/>
        <v>=D267</v>
      </c>
      <c r="QG379" s="668" t="str">
        <f t="shared" si="369"/>
        <v>=E267</v>
      </c>
      <c r="QH379" s="668" t="str">
        <f t="shared" si="369"/>
        <v>=F267</v>
      </c>
      <c r="QI379" s="668" t="str">
        <f t="shared" si="369"/>
        <v>=G267</v>
      </c>
      <c r="QJ379" s="668" t="str">
        <f t="shared" ref="QJ379:SU379" si="370">CONCATENATE("=",QJ378)</f>
        <v>=H267</v>
      </c>
      <c r="QK379" s="668" t="str">
        <f t="shared" si="370"/>
        <v>=C268</v>
      </c>
      <c r="QL379" s="668" t="str">
        <f t="shared" si="370"/>
        <v>=D268</v>
      </c>
      <c r="QM379" s="668" t="str">
        <f t="shared" si="370"/>
        <v>=E268</v>
      </c>
      <c r="QN379" s="668" t="str">
        <f t="shared" si="370"/>
        <v>=F268</v>
      </c>
      <c r="QO379" s="668" t="str">
        <f t="shared" si="370"/>
        <v>=G268</v>
      </c>
      <c r="QP379" s="668" t="str">
        <f t="shared" si="370"/>
        <v>=H268</v>
      </c>
      <c r="QQ379" s="668" t="str">
        <f t="shared" si="370"/>
        <v>=C269</v>
      </c>
      <c r="QR379" s="668" t="str">
        <f t="shared" si="370"/>
        <v>=D269</v>
      </c>
      <c r="QS379" s="668" t="str">
        <f t="shared" si="370"/>
        <v>=E269</v>
      </c>
      <c r="QT379" s="668" t="str">
        <f t="shared" si="370"/>
        <v>=F269</v>
      </c>
      <c r="QU379" s="668" t="str">
        <f t="shared" si="370"/>
        <v>=G269</v>
      </c>
      <c r="QV379" s="668" t="str">
        <f t="shared" si="370"/>
        <v>=H269</v>
      </c>
      <c r="QW379" s="668" t="str">
        <f t="shared" si="370"/>
        <v>=C270</v>
      </c>
      <c r="QX379" s="668" t="str">
        <f t="shared" si="370"/>
        <v>=D270</v>
      </c>
      <c r="QY379" s="668" t="str">
        <f t="shared" si="370"/>
        <v>=E270</v>
      </c>
      <c r="QZ379" s="668" t="str">
        <f t="shared" si="370"/>
        <v>=F270</v>
      </c>
      <c r="RA379" s="668" t="str">
        <f t="shared" si="370"/>
        <v>=G270</v>
      </c>
      <c r="RB379" s="668" t="str">
        <f t="shared" si="370"/>
        <v>=H270</v>
      </c>
      <c r="RC379" s="668" t="str">
        <f t="shared" si="370"/>
        <v>=C271</v>
      </c>
      <c r="RD379" s="668" t="str">
        <f t="shared" si="370"/>
        <v>=D271</v>
      </c>
      <c r="RE379" s="668" t="str">
        <f t="shared" si="370"/>
        <v>=E271</v>
      </c>
      <c r="RF379" s="668" t="str">
        <f t="shared" si="370"/>
        <v>=F271</v>
      </c>
      <c r="RG379" s="668" t="str">
        <f t="shared" si="370"/>
        <v>=G271</v>
      </c>
      <c r="RH379" s="668" t="str">
        <f t="shared" si="370"/>
        <v>=H271</v>
      </c>
      <c r="RI379" s="668" t="str">
        <f t="shared" si="370"/>
        <v>=C272</v>
      </c>
      <c r="RJ379" s="668" t="str">
        <f t="shared" si="370"/>
        <v>=D272</v>
      </c>
      <c r="RK379" s="668" t="str">
        <f t="shared" si="370"/>
        <v>=E272</v>
      </c>
      <c r="RL379" s="668" t="str">
        <f t="shared" si="370"/>
        <v>=F272</v>
      </c>
      <c r="RM379" s="668" t="str">
        <f t="shared" si="370"/>
        <v>=G272</v>
      </c>
      <c r="RN379" s="668" t="str">
        <f t="shared" si="370"/>
        <v>=H272</v>
      </c>
      <c r="RO379" s="668" t="str">
        <f t="shared" si="370"/>
        <v>=C273</v>
      </c>
      <c r="RP379" s="668" t="str">
        <f t="shared" si="370"/>
        <v>=D273</v>
      </c>
      <c r="RQ379" s="668" t="str">
        <f t="shared" si="370"/>
        <v>=E273</v>
      </c>
      <c r="RR379" s="668" t="str">
        <f t="shared" si="370"/>
        <v>=F273</v>
      </c>
      <c r="RS379" s="668" t="str">
        <f t="shared" si="370"/>
        <v>=G273</v>
      </c>
      <c r="RT379" s="668" t="str">
        <f t="shared" si="370"/>
        <v>=H273</v>
      </c>
      <c r="RU379" s="668" t="str">
        <f t="shared" si="370"/>
        <v>=C274</v>
      </c>
      <c r="RV379" s="668" t="str">
        <f t="shared" si="370"/>
        <v>=D274</v>
      </c>
      <c r="RW379" s="668" t="str">
        <f t="shared" si="370"/>
        <v>=E274</v>
      </c>
      <c r="RX379" s="668" t="str">
        <f t="shared" si="370"/>
        <v>=F274</v>
      </c>
      <c r="RY379" s="668" t="str">
        <f t="shared" si="370"/>
        <v>=G274</v>
      </c>
      <c r="RZ379" s="668" t="str">
        <f t="shared" si="370"/>
        <v>=H274</v>
      </c>
      <c r="SA379" s="668" t="str">
        <f t="shared" si="370"/>
        <v>=C275</v>
      </c>
      <c r="SB379" s="668" t="str">
        <f t="shared" si="370"/>
        <v>=D275</v>
      </c>
      <c r="SC379" s="668" t="str">
        <f t="shared" si="370"/>
        <v>=E275</v>
      </c>
      <c r="SD379" s="668" t="str">
        <f t="shared" si="370"/>
        <v>=F275</v>
      </c>
      <c r="SE379" s="668" t="str">
        <f t="shared" si="370"/>
        <v>=G275</v>
      </c>
      <c r="SF379" s="668" t="str">
        <f t="shared" si="370"/>
        <v>=H275</v>
      </c>
      <c r="SG379" s="668" t="str">
        <f t="shared" si="370"/>
        <v>=C276</v>
      </c>
      <c r="SH379" s="668" t="str">
        <f t="shared" si="370"/>
        <v>=D276</v>
      </c>
      <c r="SI379" s="668" t="str">
        <f t="shared" si="370"/>
        <v>=E276</v>
      </c>
      <c r="SJ379" s="668" t="str">
        <f t="shared" si="370"/>
        <v>=F276</v>
      </c>
      <c r="SK379" s="668" t="str">
        <f t="shared" si="370"/>
        <v>=G276</v>
      </c>
      <c r="SL379" s="668" t="str">
        <f t="shared" si="370"/>
        <v>=H276</v>
      </c>
      <c r="SM379" s="668" t="str">
        <f t="shared" si="370"/>
        <v>=C277</v>
      </c>
      <c r="SN379" s="668" t="str">
        <f t="shared" si="370"/>
        <v>=D277</v>
      </c>
      <c r="SO379" s="668" t="str">
        <f t="shared" si="370"/>
        <v>=E277</v>
      </c>
      <c r="SP379" s="668" t="str">
        <f t="shared" si="370"/>
        <v>=F277</v>
      </c>
      <c r="SQ379" s="668" t="str">
        <f t="shared" si="370"/>
        <v>=G277</v>
      </c>
      <c r="SR379" s="668" t="str">
        <f t="shared" si="370"/>
        <v>=H277</v>
      </c>
      <c r="SS379" s="668" t="str">
        <f t="shared" si="370"/>
        <v>=C278</v>
      </c>
      <c r="ST379" s="668" t="str">
        <f t="shared" si="370"/>
        <v>=D278</v>
      </c>
      <c r="SU379" s="668" t="str">
        <f t="shared" si="370"/>
        <v>=E278</v>
      </c>
      <c r="SV379" s="668" t="str">
        <f t="shared" ref="SV379:VG379" si="371">CONCATENATE("=",SV378)</f>
        <v>=F278</v>
      </c>
      <c r="SW379" s="668" t="str">
        <f t="shared" si="371"/>
        <v>=G278</v>
      </c>
      <c r="SX379" s="668" t="str">
        <f t="shared" si="371"/>
        <v>=H278</v>
      </c>
      <c r="SY379" s="668" t="str">
        <f t="shared" si="371"/>
        <v>=C279</v>
      </c>
      <c r="SZ379" s="668" t="str">
        <f t="shared" si="371"/>
        <v>=D279</v>
      </c>
      <c r="TA379" s="668" t="str">
        <f t="shared" si="371"/>
        <v>=E279</v>
      </c>
      <c r="TB379" s="668" t="str">
        <f t="shared" si="371"/>
        <v>=F279</v>
      </c>
      <c r="TC379" s="668" t="str">
        <f t="shared" si="371"/>
        <v>=G279</v>
      </c>
      <c r="TD379" s="668" t="str">
        <f t="shared" si="371"/>
        <v>=H279</v>
      </c>
      <c r="TE379" s="668" t="str">
        <f t="shared" si="371"/>
        <v>=C280</v>
      </c>
      <c r="TF379" s="668" t="str">
        <f t="shared" si="371"/>
        <v>=D280</v>
      </c>
      <c r="TG379" s="668" t="str">
        <f t="shared" si="371"/>
        <v>=E280</v>
      </c>
      <c r="TH379" s="668" t="str">
        <f t="shared" si="371"/>
        <v>=F280</v>
      </c>
      <c r="TI379" s="668" t="str">
        <f t="shared" si="371"/>
        <v>=G280</v>
      </c>
      <c r="TJ379" s="668" t="str">
        <f t="shared" si="371"/>
        <v>=H280</v>
      </c>
      <c r="TK379" s="668" t="str">
        <f t="shared" si="371"/>
        <v>=C281</v>
      </c>
      <c r="TL379" s="668" t="str">
        <f t="shared" si="371"/>
        <v>=D281</v>
      </c>
      <c r="TM379" s="668" t="str">
        <f t="shared" si="371"/>
        <v>=E281</v>
      </c>
      <c r="TN379" s="668" t="str">
        <f t="shared" si="371"/>
        <v>=F281</v>
      </c>
      <c r="TO379" s="668" t="str">
        <f t="shared" si="371"/>
        <v>=G281</v>
      </c>
      <c r="TP379" s="668" t="str">
        <f t="shared" si="371"/>
        <v>=H281</v>
      </c>
      <c r="TQ379" s="668" t="str">
        <f t="shared" si="371"/>
        <v>=C282</v>
      </c>
      <c r="TR379" s="668" t="str">
        <f t="shared" si="371"/>
        <v>=D282</v>
      </c>
      <c r="TS379" s="668" t="str">
        <f t="shared" si="371"/>
        <v>=E282</v>
      </c>
      <c r="TT379" s="668" t="str">
        <f t="shared" si="371"/>
        <v>=F282</v>
      </c>
      <c r="TU379" s="668" t="str">
        <f t="shared" si="371"/>
        <v>=G282</v>
      </c>
      <c r="TV379" s="668" t="str">
        <f t="shared" si="371"/>
        <v>=H282</v>
      </c>
      <c r="TW379" s="668" t="str">
        <f t="shared" si="371"/>
        <v>=C283</v>
      </c>
      <c r="TX379" s="668" t="str">
        <f t="shared" si="371"/>
        <v>=D283</v>
      </c>
      <c r="TY379" s="668" t="str">
        <f t="shared" si="371"/>
        <v>=E283</v>
      </c>
      <c r="TZ379" s="668" t="str">
        <f t="shared" si="371"/>
        <v>=F283</v>
      </c>
      <c r="UA379" s="668" t="str">
        <f t="shared" si="371"/>
        <v>=G283</v>
      </c>
      <c r="UB379" s="668" t="str">
        <f t="shared" si="371"/>
        <v>=H283</v>
      </c>
      <c r="UC379" s="668" t="str">
        <f t="shared" si="371"/>
        <v>=C284</v>
      </c>
      <c r="UD379" s="668" t="str">
        <f t="shared" si="371"/>
        <v>=D284</v>
      </c>
      <c r="UE379" s="668" t="str">
        <f t="shared" si="371"/>
        <v>=E284</v>
      </c>
      <c r="UF379" s="668" t="str">
        <f t="shared" si="371"/>
        <v>=F284</v>
      </c>
      <c r="UG379" s="668" t="str">
        <f t="shared" si="371"/>
        <v>=G284</v>
      </c>
      <c r="UH379" s="668" t="str">
        <f t="shared" si="371"/>
        <v>=H284</v>
      </c>
      <c r="UI379" s="668" t="str">
        <f t="shared" si="371"/>
        <v>=C285</v>
      </c>
      <c r="UJ379" s="668" t="str">
        <f t="shared" si="371"/>
        <v>=D285</v>
      </c>
      <c r="UK379" s="668" t="str">
        <f t="shared" si="371"/>
        <v>=E285</v>
      </c>
      <c r="UL379" s="668" t="str">
        <f t="shared" si="371"/>
        <v>=F285</v>
      </c>
      <c r="UM379" s="668" t="str">
        <f t="shared" si="371"/>
        <v>=G285</v>
      </c>
      <c r="UN379" s="668" t="str">
        <f t="shared" si="371"/>
        <v>=H285</v>
      </c>
      <c r="UO379" s="668" t="str">
        <f t="shared" si="371"/>
        <v>=C286</v>
      </c>
      <c r="UP379" s="668" t="str">
        <f t="shared" si="371"/>
        <v>=D286</v>
      </c>
      <c r="UQ379" s="668" t="str">
        <f t="shared" si="371"/>
        <v>=E286</v>
      </c>
      <c r="UR379" s="668" t="str">
        <f t="shared" si="371"/>
        <v>=F286</v>
      </c>
      <c r="US379" s="668" t="str">
        <f t="shared" si="371"/>
        <v>=G286</v>
      </c>
      <c r="UT379" s="668" t="str">
        <f t="shared" si="371"/>
        <v>=H286</v>
      </c>
      <c r="UU379" s="668" t="str">
        <f t="shared" si="371"/>
        <v>=C287</v>
      </c>
      <c r="UV379" s="668" t="str">
        <f t="shared" si="371"/>
        <v>=D287</v>
      </c>
      <c r="UW379" s="668" t="str">
        <f t="shared" si="371"/>
        <v>=E287</v>
      </c>
      <c r="UX379" s="668" t="str">
        <f t="shared" si="371"/>
        <v>=F287</v>
      </c>
      <c r="UY379" s="668" t="str">
        <f t="shared" si="371"/>
        <v>=G287</v>
      </c>
      <c r="UZ379" s="668" t="str">
        <f t="shared" si="371"/>
        <v>=H287</v>
      </c>
      <c r="VA379" s="668" t="str">
        <f t="shared" si="371"/>
        <v>=C288</v>
      </c>
      <c r="VB379" s="668" t="str">
        <f t="shared" si="371"/>
        <v>=D288</v>
      </c>
      <c r="VC379" s="668" t="str">
        <f t="shared" si="371"/>
        <v>=E288</v>
      </c>
      <c r="VD379" s="668" t="str">
        <f t="shared" si="371"/>
        <v>=F288</v>
      </c>
      <c r="VE379" s="668" t="str">
        <f t="shared" si="371"/>
        <v>=G288</v>
      </c>
      <c r="VF379" s="668" t="str">
        <f t="shared" si="371"/>
        <v>=H288</v>
      </c>
      <c r="VG379" s="668" t="str">
        <f t="shared" si="371"/>
        <v>=C289</v>
      </c>
      <c r="VH379" s="668" t="str">
        <f t="shared" ref="VH379:XS379" si="372">CONCATENATE("=",VH378)</f>
        <v>=D289</v>
      </c>
      <c r="VI379" s="668" t="str">
        <f t="shared" si="372"/>
        <v>=E289</v>
      </c>
      <c r="VJ379" s="668" t="str">
        <f t="shared" si="372"/>
        <v>=F289</v>
      </c>
      <c r="VK379" s="668" t="str">
        <f t="shared" si="372"/>
        <v>=G289</v>
      </c>
      <c r="VL379" s="668" t="str">
        <f t="shared" si="372"/>
        <v>=H289</v>
      </c>
      <c r="VM379" s="668" t="str">
        <f t="shared" si="372"/>
        <v>=C290</v>
      </c>
      <c r="VN379" s="668" t="str">
        <f t="shared" si="372"/>
        <v>=D290</v>
      </c>
      <c r="VO379" s="668" t="str">
        <f t="shared" si="372"/>
        <v>=E290</v>
      </c>
      <c r="VP379" s="668" t="str">
        <f t="shared" si="372"/>
        <v>=F290</v>
      </c>
      <c r="VQ379" s="668" t="str">
        <f t="shared" si="372"/>
        <v>=G290</v>
      </c>
      <c r="VR379" s="668" t="str">
        <f t="shared" si="372"/>
        <v>=H290</v>
      </c>
      <c r="VS379" s="668" t="str">
        <f t="shared" si="372"/>
        <v>=C291</v>
      </c>
      <c r="VT379" s="668" t="str">
        <f t="shared" si="372"/>
        <v>=D291</v>
      </c>
      <c r="VU379" s="668" t="str">
        <f t="shared" si="372"/>
        <v>=E291</v>
      </c>
      <c r="VV379" s="668" t="str">
        <f t="shared" si="372"/>
        <v>=F291</v>
      </c>
      <c r="VW379" s="668" t="str">
        <f t="shared" si="372"/>
        <v>=G291</v>
      </c>
      <c r="VX379" s="668" t="str">
        <f t="shared" si="372"/>
        <v>=H291</v>
      </c>
      <c r="VY379" s="668" t="str">
        <f t="shared" si="372"/>
        <v>=C292</v>
      </c>
      <c r="VZ379" s="668" t="str">
        <f t="shared" si="372"/>
        <v>=D292</v>
      </c>
      <c r="WA379" s="668" t="str">
        <f t="shared" si="372"/>
        <v>=E292</v>
      </c>
      <c r="WB379" s="668" t="str">
        <f t="shared" si="372"/>
        <v>=F292</v>
      </c>
      <c r="WC379" s="668" t="str">
        <f t="shared" si="372"/>
        <v>=G292</v>
      </c>
      <c r="WD379" s="668" t="str">
        <f t="shared" si="372"/>
        <v>=H292</v>
      </c>
      <c r="WE379" s="668" t="str">
        <f t="shared" si="372"/>
        <v>=C310</v>
      </c>
      <c r="WF379" s="668" t="str">
        <f t="shared" si="372"/>
        <v>=C311</v>
      </c>
      <c r="WG379" s="668" t="str">
        <f t="shared" si="372"/>
        <v>=C312</v>
      </c>
      <c r="WH379" s="668" t="str">
        <f t="shared" si="372"/>
        <v>=C313</v>
      </c>
      <c r="WI379" s="668" t="str">
        <f t="shared" si="372"/>
        <v>=C314</v>
      </c>
      <c r="WJ379" s="668" t="str">
        <f t="shared" si="372"/>
        <v>=C315</v>
      </c>
      <c r="WK379" s="668" t="str">
        <f t="shared" si="372"/>
        <v>=C316</v>
      </c>
      <c r="WL379" s="668" t="str">
        <f t="shared" si="372"/>
        <v>=C319</v>
      </c>
      <c r="WM379" s="668" t="str">
        <f t="shared" si="372"/>
        <v>=D319</v>
      </c>
      <c r="WN379" s="668" t="str">
        <f t="shared" si="372"/>
        <v>=E319</v>
      </c>
      <c r="WO379" s="668" t="str">
        <f t="shared" si="372"/>
        <v>=C320</v>
      </c>
      <c r="WP379" s="668" t="str">
        <f t="shared" si="372"/>
        <v>=D320</v>
      </c>
      <c r="WQ379" s="668" t="str">
        <f t="shared" si="372"/>
        <v>=E320</v>
      </c>
      <c r="WR379" s="668" t="str">
        <f t="shared" si="372"/>
        <v>=C321</v>
      </c>
      <c r="WS379" s="668" t="str">
        <f t="shared" si="372"/>
        <v>=D321</v>
      </c>
      <c r="WT379" s="668" t="str">
        <f t="shared" si="372"/>
        <v>=E321</v>
      </c>
      <c r="WU379" s="668" t="str">
        <f t="shared" si="372"/>
        <v>=C322</v>
      </c>
      <c r="WV379" s="668" t="str">
        <f t="shared" si="372"/>
        <v>=D322</v>
      </c>
      <c r="WW379" s="668" t="str">
        <f t="shared" si="372"/>
        <v>=E322</v>
      </c>
      <c r="WX379" s="668" t="str">
        <f t="shared" si="372"/>
        <v>=C323</v>
      </c>
      <c r="WY379" s="668" t="str">
        <f t="shared" si="372"/>
        <v>=D323</v>
      </c>
      <c r="WZ379" s="668" t="str">
        <f t="shared" si="372"/>
        <v>=E323</v>
      </c>
      <c r="XA379" s="668" t="str">
        <f t="shared" si="372"/>
        <v>=C324</v>
      </c>
      <c r="XB379" s="668" t="str">
        <f t="shared" si="372"/>
        <v>=D324</v>
      </c>
      <c r="XC379" s="668" t="str">
        <f t="shared" si="372"/>
        <v>=E324</v>
      </c>
      <c r="XD379" s="668" t="str">
        <f t="shared" si="372"/>
        <v>=C325</v>
      </c>
      <c r="XE379" s="668" t="str">
        <f t="shared" si="372"/>
        <v>=D325</v>
      </c>
      <c r="XF379" s="668" t="str">
        <f t="shared" si="372"/>
        <v>=E325</v>
      </c>
      <c r="XG379" s="668" t="str">
        <f t="shared" si="372"/>
        <v>=C326</v>
      </c>
      <c r="XH379" s="668" t="str">
        <f t="shared" si="372"/>
        <v>=D326</v>
      </c>
      <c r="XI379" s="668" t="str">
        <f t="shared" si="372"/>
        <v>=E326</v>
      </c>
      <c r="XJ379" s="668" t="str">
        <f t="shared" si="372"/>
        <v>=C327</v>
      </c>
      <c r="XK379" s="668" t="str">
        <f t="shared" si="372"/>
        <v>=D327</v>
      </c>
      <c r="XL379" s="668" t="str">
        <f t="shared" si="372"/>
        <v>=E327</v>
      </c>
      <c r="XM379" s="668" t="str">
        <f t="shared" si="372"/>
        <v>=C328</v>
      </c>
      <c r="XN379" s="668" t="str">
        <f t="shared" si="372"/>
        <v>=D328</v>
      </c>
      <c r="XO379" s="668" t="str">
        <f t="shared" si="372"/>
        <v>=E328</v>
      </c>
      <c r="XP379" s="668" t="str">
        <f t="shared" si="372"/>
        <v>=C329</v>
      </c>
      <c r="XQ379" s="668" t="str">
        <f t="shared" si="372"/>
        <v>=D329</v>
      </c>
      <c r="XR379" s="668" t="str">
        <f t="shared" si="372"/>
        <v>=E329</v>
      </c>
      <c r="XS379" s="668" t="str">
        <f t="shared" si="372"/>
        <v>=C332</v>
      </c>
      <c r="XT379" s="668" t="str">
        <f t="shared" ref="XT379:ZP379" si="373">CONCATENATE("=",XT378)</f>
        <v>=C333</v>
      </c>
      <c r="XU379" s="668" t="str">
        <f t="shared" si="373"/>
        <v>=C334</v>
      </c>
      <c r="XV379" s="668" t="str">
        <f t="shared" si="373"/>
        <v>=C335</v>
      </c>
      <c r="XW379" s="668" t="str">
        <f t="shared" si="373"/>
        <v>=C336</v>
      </c>
      <c r="XX379" s="668" t="str">
        <f t="shared" si="373"/>
        <v>=C339</v>
      </c>
      <c r="XY379" s="668" t="str">
        <f t="shared" si="373"/>
        <v>=C342</v>
      </c>
      <c r="XZ379" s="668" t="str">
        <f t="shared" si="373"/>
        <v>=C343</v>
      </c>
      <c r="YA379" s="668" t="str">
        <f t="shared" si="373"/>
        <v>=C344</v>
      </c>
      <c r="YB379" s="668" t="str">
        <f t="shared" si="373"/>
        <v>=C345</v>
      </c>
      <c r="YC379" s="668" t="str">
        <f t="shared" si="373"/>
        <v>=C349</v>
      </c>
      <c r="YD379" s="668" t="str">
        <f t="shared" si="373"/>
        <v>=C350</v>
      </c>
      <c r="YE379" s="668" t="str">
        <f t="shared" si="373"/>
        <v>=C351</v>
      </c>
      <c r="YF379" s="668" t="str">
        <f t="shared" si="373"/>
        <v>=C352</v>
      </c>
      <c r="YG379" s="668" t="str">
        <f t="shared" si="373"/>
        <v>=C353</v>
      </c>
      <c r="YH379" s="668" t="str">
        <f t="shared" si="373"/>
        <v>=C354</v>
      </c>
      <c r="YI379" s="668" t="str">
        <f t="shared" si="373"/>
        <v>=C355</v>
      </c>
      <c r="YJ379" s="668" t="str">
        <f t="shared" si="373"/>
        <v>=C356</v>
      </c>
      <c r="YK379" s="668" t="str">
        <f t="shared" si="373"/>
        <v>=D349</v>
      </c>
      <c r="YL379" s="668" t="str">
        <f t="shared" si="373"/>
        <v>=D350</v>
      </c>
      <c r="YM379" s="668" t="str">
        <f t="shared" si="373"/>
        <v>=D351</v>
      </c>
      <c r="YN379" s="668" t="str">
        <f t="shared" si="373"/>
        <v>=D352</v>
      </c>
      <c r="YO379" s="668" t="str">
        <f t="shared" si="373"/>
        <v>=D353</v>
      </c>
      <c r="YP379" s="668" t="str">
        <f t="shared" si="373"/>
        <v>=D354</v>
      </c>
      <c r="YQ379" s="668" t="str">
        <f t="shared" si="373"/>
        <v>=D355</v>
      </c>
      <c r="YR379" s="668" t="str">
        <f t="shared" si="373"/>
        <v>=D356</v>
      </c>
      <c r="YS379" s="668" t="str">
        <f t="shared" si="373"/>
        <v>=E349</v>
      </c>
      <c r="YT379" s="668" t="str">
        <f t="shared" si="373"/>
        <v>=E350</v>
      </c>
      <c r="YU379" s="668" t="str">
        <f t="shared" si="373"/>
        <v>=E351</v>
      </c>
      <c r="YV379" s="668" t="str">
        <f t="shared" si="373"/>
        <v>=E352</v>
      </c>
      <c r="YW379" s="668" t="str">
        <f t="shared" si="373"/>
        <v>=E353</v>
      </c>
      <c r="YX379" s="668" t="str">
        <f t="shared" si="373"/>
        <v>=E354</v>
      </c>
      <c r="YY379" s="668" t="str">
        <f t="shared" si="373"/>
        <v>=E355</v>
      </c>
      <c r="YZ379" s="668" t="str">
        <f t="shared" si="373"/>
        <v>=E356</v>
      </c>
      <c r="ZA379" s="668" t="str">
        <f t="shared" si="373"/>
        <v>=F349</v>
      </c>
      <c r="ZB379" s="668" t="str">
        <f t="shared" si="373"/>
        <v>=F350</v>
      </c>
      <c r="ZC379" s="668" t="str">
        <f t="shared" si="373"/>
        <v>=F351</v>
      </c>
      <c r="ZD379" s="668" t="str">
        <f t="shared" si="373"/>
        <v>=F352</v>
      </c>
      <c r="ZE379" s="668" t="str">
        <f t="shared" si="373"/>
        <v>=F353</v>
      </c>
      <c r="ZF379" s="668" t="str">
        <f t="shared" si="373"/>
        <v>=F354</v>
      </c>
      <c r="ZG379" s="668" t="str">
        <f t="shared" si="373"/>
        <v>=F355</v>
      </c>
      <c r="ZH379" s="668" t="str">
        <f t="shared" si="373"/>
        <v>=F356</v>
      </c>
      <c r="ZI379" s="668" t="str">
        <f t="shared" si="373"/>
        <v>=G349</v>
      </c>
      <c r="ZJ379" s="668" t="str">
        <f t="shared" si="373"/>
        <v>=G350</v>
      </c>
      <c r="ZK379" s="668" t="str">
        <f t="shared" si="373"/>
        <v>=G351</v>
      </c>
      <c r="ZL379" s="668" t="str">
        <f t="shared" si="373"/>
        <v>=G352</v>
      </c>
      <c r="ZM379" s="668" t="str">
        <f t="shared" si="373"/>
        <v>=G353</v>
      </c>
      <c r="ZN379" s="668" t="str">
        <f t="shared" si="373"/>
        <v>=G354</v>
      </c>
      <c r="ZO379" s="668" t="str">
        <f t="shared" si="373"/>
        <v>=G355</v>
      </c>
      <c r="ZP379" s="668" t="str">
        <f t="shared" si="373"/>
        <v>=G356</v>
      </c>
      <c r="ZQ379" s="280">
        <v>349</v>
      </c>
      <c r="ZR379" s="280">
        <v>350</v>
      </c>
      <c r="ZS379" s="280">
        <v>351</v>
      </c>
      <c r="ZT379" s="280">
        <v>352</v>
      </c>
      <c r="ZU379" s="280">
        <v>353</v>
      </c>
      <c r="ZV379" s="280">
        <v>354</v>
      </c>
      <c r="ZW379" s="280">
        <v>355</v>
      </c>
      <c r="ZX379" s="280">
        <v>356</v>
      </c>
      <c r="ZY379" s="280">
        <v>349</v>
      </c>
      <c r="ZZ379" s="280">
        <v>350</v>
      </c>
      <c r="AAA379" s="280">
        <v>351</v>
      </c>
      <c r="AAB379" s="280">
        <v>352</v>
      </c>
      <c r="AAC379" s="280">
        <v>353</v>
      </c>
      <c r="AAD379" s="280">
        <v>354</v>
      </c>
      <c r="AAE379" s="280">
        <v>355</v>
      </c>
      <c r="AAF379" s="280">
        <v>356</v>
      </c>
      <c r="AAG379" s="280">
        <v>349</v>
      </c>
      <c r="AAH379" s="280">
        <v>350</v>
      </c>
      <c r="AAI379" s="280">
        <v>351</v>
      </c>
      <c r="AAJ379" s="280">
        <v>352</v>
      </c>
      <c r="AAK379" s="280">
        <v>353</v>
      </c>
      <c r="AAL379" s="280">
        <v>354</v>
      </c>
      <c r="AAM379" s="280">
        <v>355</v>
      </c>
      <c r="AAN379" s="280">
        <v>356</v>
      </c>
      <c r="AAO379" s="280">
        <v>349</v>
      </c>
      <c r="AAP379" s="280">
        <v>350</v>
      </c>
      <c r="AAQ379" s="280">
        <v>351</v>
      </c>
      <c r="AAR379" s="280">
        <v>352</v>
      </c>
      <c r="AAS379" s="280">
        <v>353</v>
      </c>
      <c r="AAT379" s="280">
        <v>354</v>
      </c>
      <c r="AAU379" s="280">
        <v>355</v>
      </c>
      <c r="AAV379" s="280">
        <v>356</v>
      </c>
      <c r="AAW379" s="280">
        <v>349</v>
      </c>
      <c r="AAX379" s="280">
        <v>350</v>
      </c>
      <c r="AAY379" s="280">
        <v>351</v>
      </c>
      <c r="AAZ379" s="280">
        <v>352</v>
      </c>
      <c r="ABA379" s="280">
        <v>353</v>
      </c>
      <c r="ABB379" s="280">
        <v>354</v>
      </c>
      <c r="ABC379" s="280">
        <v>355</v>
      </c>
      <c r="ABD379" s="280">
        <v>356</v>
      </c>
      <c r="ABE379" s="280">
        <v>349</v>
      </c>
      <c r="ABF379" s="280">
        <v>350</v>
      </c>
      <c r="ABG379" s="280">
        <v>351</v>
      </c>
      <c r="ABH379" s="280">
        <v>352</v>
      </c>
      <c r="ABI379" s="280">
        <v>353</v>
      </c>
      <c r="ABJ379" s="280">
        <v>354</v>
      </c>
      <c r="ABK379" s="280">
        <v>355</v>
      </c>
      <c r="ABL379" s="280">
        <v>356</v>
      </c>
      <c r="ABM379" s="280">
        <v>349</v>
      </c>
      <c r="ABN379" s="280">
        <v>350</v>
      </c>
      <c r="ABO379" s="280">
        <v>351</v>
      </c>
      <c r="ABP379" s="280">
        <v>352</v>
      </c>
      <c r="ABQ379" s="280">
        <v>353</v>
      </c>
      <c r="ABR379" s="280">
        <v>354</v>
      </c>
      <c r="ABS379" s="280">
        <v>355</v>
      </c>
      <c r="ABT379" s="280">
        <v>356</v>
      </c>
      <c r="ABU379" s="280">
        <v>349</v>
      </c>
      <c r="ABV379" s="280">
        <v>350</v>
      </c>
      <c r="ABW379" s="280">
        <v>351</v>
      </c>
      <c r="ABX379" s="280">
        <v>352</v>
      </c>
      <c r="ABY379" s="280">
        <v>353</v>
      </c>
      <c r="ABZ379" s="280">
        <v>354</v>
      </c>
      <c r="ACA379" s="280">
        <v>355</v>
      </c>
      <c r="ACB379" s="280">
        <v>356</v>
      </c>
      <c r="ACC379" s="280">
        <v>349</v>
      </c>
      <c r="ACD379" s="280">
        <v>350</v>
      </c>
      <c r="ACE379" s="280">
        <v>351</v>
      </c>
      <c r="ACF379" s="280">
        <v>352</v>
      </c>
      <c r="ACG379" s="280">
        <v>353</v>
      </c>
      <c r="ACH379" s="280">
        <v>354</v>
      </c>
      <c r="ACI379" s="280">
        <v>355</v>
      </c>
      <c r="ACJ379" s="280">
        <v>356</v>
      </c>
      <c r="ACK379" s="280">
        <v>349</v>
      </c>
      <c r="ACL379" s="280">
        <v>350</v>
      </c>
      <c r="ACM379" s="280">
        <v>351</v>
      </c>
      <c r="ACN379" s="280">
        <v>352</v>
      </c>
      <c r="ACO379" s="280">
        <v>353</v>
      </c>
      <c r="ACP379" s="280">
        <v>354</v>
      </c>
      <c r="ACQ379" s="280">
        <v>355</v>
      </c>
      <c r="ACR379" s="280">
        <v>356</v>
      </c>
      <c r="ACS379" s="280">
        <v>349</v>
      </c>
      <c r="ACT379" s="280">
        <v>350</v>
      </c>
      <c r="ACU379" s="280">
        <v>351</v>
      </c>
      <c r="ACV379" s="280">
        <v>352</v>
      </c>
      <c r="ACW379" s="280">
        <v>353</v>
      </c>
      <c r="ACX379" s="280">
        <v>354</v>
      </c>
      <c r="ACY379" s="280">
        <v>355</v>
      </c>
      <c r="ACZ379" s="280">
        <v>356</v>
      </c>
      <c r="ADA379" s="280">
        <v>349</v>
      </c>
      <c r="ADB379" s="280">
        <v>350</v>
      </c>
      <c r="ADC379" s="280">
        <v>351</v>
      </c>
      <c r="ADD379" s="280">
        <v>352</v>
      </c>
      <c r="ADE379" s="280">
        <v>353</v>
      </c>
      <c r="ADF379" s="280">
        <v>354</v>
      </c>
      <c r="ADG379" s="280">
        <v>355</v>
      </c>
      <c r="ADH379" s="280">
        <v>356</v>
      </c>
      <c r="ADI379" s="280">
        <v>349</v>
      </c>
      <c r="ADJ379" s="280">
        <v>350</v>
      </c>
      <c r="ADK379" s="280">
        <v>351</v>
      </c>
      <c r="ADL379" s="280">
        <v>352</v>
      </c>
      <c r="ADM379" s="280">
        <v>353</v>
      </c>
      <c r="ADN379" s="280">
        <v>354</v>
      </c>
      <c r="ADO379" s="280">
        <v>355</v>
      </c>
      <c r="ADP379" s="280">
        <v>356</v>
      </c>
      <c r="ADQ379" s="280">
        <v>349</v>
      </c>
      <c r="ADR379" s="280">
        <v>350</v>
      </c>
      <c r="ADS379" s="280">
        <v>351</v>
      </c>
      <c r="ADT379" s="280">
        <v>352</v>
      </c>
      <c r="ADU379" s="280">
        <v>353</v>
      </c>
      <c r="ADV379" s="280">
        <v>354</v>
      </c>
      <c r="ADW379" s="280">
        <v>355</v>
      </c>
      <c r="ADX379" s="280">
        <v>356</v>
      </c>
      <c r="ADY379" s="280">
        <v>349</v>
      </c>
      <c r="ADZ379" s="280">
        <v>350</v>
      </c>
      <c r="AEA379" s="280">
        <v>351</v>
      </c>
      <c r="AEB379" s="280">
        <v>352</v>
      </c>
      <c r="AEC379" s="280">
        <v>353</v>
      </c>
      <c r="AED379" s="280">
        <v>354</v>
      </c>
      <c r="AEE379" s="280">
        <v>355</v>
      </c>
      <c r="AEF379" s="280">
        <v>356</v>
      </c>
      <c r="AEG379" s="280">
        <v>349</v>
      </c>
      <c r="AEH379" s="280">
        <v>350</v>
      </c>
      <c r="AEI379" s="280">
        <v>351</v>
      </c>
      <c r="AEJ379" s="280">
        <v>352</v>
      </c>
      <c r="AEK379" s="280">
        <v>353</v>
      </c>
      <c r="AEL379" s="280">
        <v>354</v>
      </c>
      <c r="AEM379" s="280">
        <v>355</v>
      </c>
      <c r="AEN379" s="280">
        <v>356</v>
      </c>
      <c r="AEO379" s="280">
        <v>349</v>
      </c>
      <c r="AEP379" s="280">
        <v>350</v>
      </c>
      <c r="AEQ379" s="280">
        <v>351</v>
      </c>
      <c r="AER379" s="280">
        <v>352</v>
      </c>
      <c r="AES379" s="280">
        <v>353</v>
      </c>
      <c r="AET379" s="280">
        <v>354</v>
      </c>
      <c r="AEU379" s="280">
        <v>355</v>
      </c>
      <c r="AEV379" s="280">
        <v>356</v>
      </c>
      <c r="AEW379" s="280">
        <v>349</v>
      </c>
      <c r="AEX379" s="280">
        <v>350</v>
      </c>
      <c r="AEY379" s="280">
        <v>351</v>
      </c>
      <c r="AEZ379" s="280">
        <v>352</v>
      </c>
      <c r="AFA379" s="280">
        <v>353</v>
      </c>
      <c r="AFB379" s="280">
        <v>354</v>
      </c>
      <c r="AFC379" s="280">
        <v>355</v>
      </c>
      <c r="AFD379" s="280">
        <v>356</v>
      </c>
      <c r="AFE379" s="280">
        <v>349</v>
      </c>
      <c r="AFF379" s="280">
        <v>350</v>
      </c>
      <c r="AFG379" s="280">
        <v>351</v>
      </c>
      <c r="AFH379" s="280">
        <v>352</v>
      </c>
      <c r="AFI379" s="280">
        <v>353</v>
      </c>
      <c r="AFJ379" s="280">
        <v>354</v>
      </c>
      <c r="AFK379" s="280">
        <v>355</v>
      </c>
      <c r="AFL379" s="280">
        <v>356</v>
      </c>
      <c r="AFM379" s="280">
        <v>349</v>
      </c>
      <c r="AFN379" s="280">
        <v>350</v>
      </c>
      <c r="AFO379" s="280">
        <v>351</v>
      </c>
      <c r="AFP379" s="280">
        <v>352</v>
      </c>
      <c r="AFQ379" s="280">
        <v>353</v>
      </c>
      <c r="AFR379" s="280">
        <v>354</v>
      </c>
      <c r="AFS379" s="280">
        <v>355</v>
      </c>
      <c r="AFT379" s="280">
        <v>356</v>
      </c>
      <c r="AFU379" s="280">
        <v>349</v>
      </c>
      <c r="AFV379" s="280">
        <v>350</v>
      </c>
      <c r="AFW379" s="280">
        <v>351</v>
      </c>
      <c r="AFX379" s="280">
        <v>352</v>
      </c>
      <c r="AFY379" s="280">
        <v>353</v>
      </c>
      <c r="AFZ379" s="280">
        <v>354</v>
      </c>
      <c r="AGA379" s="280">
        <v>355</v>
      </c>
      <c r="AGB379" s="280">
        <v>356</v>
      </c>
      <c r="AGC379" s="280">
        <v>349</v>
      </c>
      <c r="AGD379" s="280">
        <v>350</v>
      </c>
      <c r="AGE379" s="280">
        <v>351</v>
      </c>
      <c r="AGF379" s="280">
        <v>352</v>
      </c>
      <c r="AGG379" s="280">
        <v>353</v>
      </c>
      <c r="AGH379" s="280">
        <v>354</v>
      </c>
      <c r="AGI379" s="280">
        <v>355</v>
      </c>
      <c r="AGJ379" s="280">
        <v>356</v>
      </c>
      <c r="AGK379" s="280">
        <v>349</v>
      </c>
      <c r="AGL379" s="280">
        <v>350</v>
      </c>
      <c r="AGM379" s="280">
        <v>351</v>
      </c>
      <c r="AGN379" s="280">
        <v>352</v>
      </c>
      <c r="AGO379" s="280">
        <v>353</v>
      </c>
      <c r="AGP379" s="280">
        <v>354</v>
      </c>
      <c r="AGQ379" s="280">
        <v>355</v>
      </c>
      <c r="AGR379" s="280">
        <v>356</v>
      </c>
      <c r="AGS379" s="280">
        <v>349</v>
      </c>
      <c r="AGT379" s="280">
        <v>350</v>
      </c>
      <c r="AGU379" s="280">
        <v>351</v>
      </c>
      <c r="AGV379" s="280">
        <v>352</v>
      </c>
      <c r="AGW379" s="280">
        <v>353</v>
      </c>
      <c r="AGX379" s="280">
        <v>354</v>
      </c>
      <c r="AGY379" s="280">
        <v>355</v>
      </c>
      <c r="AGZ379" s="280">
        <v>356</v>
      </c>
      <c r="AHA379" s="280">
        <v>349</v>
      </c>
      <c r="AHB379" s="280">
        <v>350</v>
      </c>
      <c r="AHC379" s="280">
        <v>351</v>
      </c>
      <c r="AHD379" s="280">
        <v>352</v>
      </c>
      <c r="AHE379" s="280">
        <v>353</v>
      </c>
      <c r="AHF379" s="280">
        <v>354</v>
      </c>
      <c r="AHG379" s="280">
        <v>355</v>
      </c>
      <c r="AHH379" s="280">
        <v>356</v>
      </c>
      <c r="AHI379" s="280">
        <v>349</v>
      </c>
      <c r="AHJ379" s="280">
        <v>350</v>
      </c>
      <c r="AHK379" s="280">
        <v>351</v>
      </c>
      <c r="AHL379" s="280">
        <v>352</v>
      </c>
      <c r="AHM379" s="280">
        <v>353</v>
      </c>
      <c r="AHN379" s="280">
        <v>354</v>
      </c>
      <c r="AHO379" s="280">
        <v>355</v>
      </c>
      <c r="AHP379" s="280">
        <v>356</v>
      </c>
      <c r="AHQ379" s="280">
        <v>349</v>
      </c>
      <c r="AHR379" s="280">
        <v>350</v>
      </c>
      <c r="AHS379" s="280">
        <v>351</v>
      </c>
      <c r="AHT379" s="280">
        <v>352</v>
      </c>
      <c r="AHU379" s="280">
        <v>353</v>
      </c>
      <c r="AHV379" s="280">
        <v>354</v>
      </c>
      <c r="AHW379" s="280">
        <v>355</v>
      </c>
      <c r="AHX379" s="280">
        <v>356</v>
      </c>
      <c r="AHY379" s="280">
        <v>349</v>
      </c>
      <c r="AHZ379" s="280">
        <v>350</v>
      </c>
      <c r="AIA379" s="280">
        <v>351</v>
      </c>
      <c r="AIB379" s="280">
        <v>352</v>
      </c>
      <c r="AIC379" s="280">
        <v>353</v>
      </c>
      <c r="AID379" s="280">
        <v>354</v>
      </c>
      <c r="AIE379" s="280">
        <v>355</v>
      </c>
      <c r="AIF379" s="280">
        <v>356</v>
      </c>
      <c r="AIG379" s="280">
        <v>349</v>
      </c>
      <c r="AIH379" s="280">
        <v>350</v>
      </c>
      <c r="AII379" s="280">
        <v>351</v>
      </c>
      <c r="AIJ379" s="280">
        <v>352</v>
      </c>
      <c r="AIK379" s="280">
        <v>353</v>
      </c>
      <c r="AIL379" s="280">
        <v>354</v>
      </c>
      <c r="AIM379" s="280">
        <v>355</v>
      </c>
      <c r="AIN379" s="280">
        <v>356</v>
      </c>
      <c r="AIO379" s="280">
        <v>349</v>
      </c>
      <c r="AIP379" s="280">
        <v>350</v>
      </c>
      <c r="AIQ379" s="280">
        <v>351</v>
      </c>
      <c r="AIR379" s="280">
        <v>352</v>
      </c>
      <c r="AIS379" s="280">
        <v>353</v>
      </c>
      <c r="AIT379" s="280">
        <v>354</v>
      </c>
      <c r="AIU379" s="280">
        <v>355</v>
      </c>
      <c r="AIV379" s="280">
        <v>356</v>
      </c>
      <c r="AIW379" s="280">
        <v>349</v>
      </c>
      <c r="AIX379" s="280">
        <v>350</v>
      </c>
      <c r="AIY379" s="280">
        <v>351</v>
      </c>
      <c r="AIZ379" s="280">
        <v>352</v>
      </c>
      <c r="AJA379" s="280">
        <v>353</v>
      </c>
      <c r="AJB379" s="280">
        <v>354</v>
      </c>
      <c r="AJC379" s="280">
        <v>355</v>
      </c>
      <c r="AJD379" s="280">
        <v>356</v>
      </c>
      <c r="AJE379" s="280">
        <v>349</v>
      </c>
      <c r="AJF379" s="280">
        <v>350</v>
      </c>
      <c r="AJG379" s="280">
        <v>351</v>
      </c>
      <c r="AJH379" s="280">
        <v>352</v>
      </c>
      <c r="AJI379" s="280">
        <v>353</v>
      </c>
      <c r="AJJ379" s="280">
        <v>354</v>
      </c>
      <c r="AJK379" s="280">
        <v>355</v>
      </c>
      <c r="AJL379" s="280">
        <v>356</v>
      </c>
      <c r="AJM379" s="280">
        <v>349</v>
      </c>
      <c r="AJN379" s="280">
        <v>350</v>
      </c>
      <c r="AJO379" s="280">
        <v>351</v>
      </c>
      <c r="AJP379" s="280">
        <v>352</v>
      </c>
      <c r="AJQ379" s="280">
        <v>353</v>
      </c>
      <c r="AJR379" s="280">
        <v>354</v>
      </c>
      <c r="AJS379" s="280">
        <v>355</v>
      </c>
      <c r="AJT379" s="280">
        <v>356</v>
      </c>
      <c r="AJU379" s="668" t="str">
        <f>CONCATENATE("=",AJU378)</f>
        <v>=B293</v>
      </c>
      <c r="AJV379" s="668" t="str">
        <f t="shared" ref="AJV379:AKD379" si="374">CONCATENATE("=",AJV378)</f>
        <v>=B294</v>
      </c>
      <c r="AJW379" s="668" t="str">
        <f t="shared" si="374"/>
        <v>=B295</v>
      </c>
      <c r="AJX379" s="668" t="str">
        <f t="shared" si="374"/>
        <v>=B296</v>
      </c>
      <c r="AJY379" s="668" t="str">
        <f t="shared" si="374"/>
        <v>=B298</v>
      </c>
      <c r="AJZ379" s="668" t="str">
        <f t="shared" si="374"/>
        <v>=B299</v>
      </c>
      <c r="AKA379" s="668" t="str">
        <f t="shared" si="374"/>
        <v>=B300</v>
      </c>
      <c r="AKB379" s="668" t="str">
        <f t="shared" si="374"/>
        <v>=B301</v>
      </c>
      <c r="AKC379" s="668" t="str">
        <f t="shared" si="374"/>
        <v>=B302</v>
      </c>
      <c r="AKD379" s="668" t="str">
        <f t="shared" si="374"/>
        <v>=B303</v>
      </c>
      <c r="AKE379" s="280">
        <v>349</v>
      </c>
      <c r="AKF379" s="280">
        <v>350</v>
      </c>
      <c r="AKG379" s="280">
        <v>351</v>
      </c>
      <c r="AKH379" s="280">
        <v>352</v>
      </c>
      <c r="AKI379" s="280">
        <v>353</v>
      </c>
      <c r="AKJ379" s="280">
        <v>354</v>
      </c>
      <c r="AKK379" s="280">
        <v>355</v>
      </c>
      <c r="AKL379" s="280">
        <v>356</v>
      </c>
      <c r="AKM379" s="280">
        <v>349</v>
      </c>
      <c r="AKN379" s="280">
        <v>350</v>
      </c>
      <c r="AKO379" s="280">
        <v>351</v>
      </c>
      <c r="AKP379" s="280">
        <v>352</v>
      </c>
      <c r="AKQ379" s="280">
        <v>353</v>
      </c>
      <c r="AKR379" s="280">
        <v>354</v>
      </c>
      <c r="AKS379" s="280">
        <v>355</v>
      </c>
      <c r="AKT379" s="280">
        <v>356</v>
      </c>
      <c r="AKU379" s="280">
        <v>349</v>
      </c>
      <c r="AKV379" s="280">
        <v>350</v>
      </c>
      <c r="AKW379" s="280">
        <v>351</v>
      </c>
      <c r="AKX379" s="280">
        <v>352</v>
      </c>
      <c r="AKY379" s="280">
        <v>353</v>
      </c>
      <c r="AKZ379" s="280">
        <v>354</v>
      </c>
      <c r="ALA379" s="280">
        <v>355</v>
      </c>
      <c r="ALB379" s="280">
        <v>356</v>
      </c>
      <c r="ALC379" s="280">
        <v>349</v>
      </c>
      <c r="ALD379" s="280">
        <v>350</v>
      </c>
      <c r="ALE379" s="280">
        <v>351</v>
      </c>
      <c r="ALF379" s="280">
        <v>352</v>
      </c>
      <c r="ALG379" s="280">
        <v>353</v>
      </c>
      <c r="ALH379" s="280">
        <v>354</v>
      </c>
      <c r="ALI379" s="280">
        <v>355</v>
      </c>
      <c r="ALJ379" s="280">
        <v>356</v>
      </c>
      <c r="ALK379" s="280">
        <v>349</v>
      </c>
      <c r="ALL379" s="280">
        <v>350</v>
      </c>
      <c r="ALM379" s="280">
        <v>351</v>
      </c>
      <c r="ALN379" s="280">
        <v>352</v>
      </c>
      <c r="ALO379" s="280">
        <v>353</v>
      </c>
      <c r="ALP379" s="280">
        <v>354</v>
      </c>
      <c r="ALQ379" s="280">
        <v>355</v>
      </c>
      <c r="ALR379" s="280">
        <v>356</v>
      </c>
      <c r="ALS379" s="280">
        <v>349</v>
      </c>
      <c r="ALT379" s="280">
        <v>350</v>
      </c>
      <c r="ALU379" s="280">
        <v>351</v>
      </c>
      <c r="ALV379" s="280">
        <v>352</v>
      </c>
      <c r="ALW379" s="280">
        <v>353</v>
      </c>
      <c r="ALX379" s="280">
        <v>354</v>
      </c>
      <c r="ALY379" s="280">
        <v>355</v>
      </c>
      <c r="ALZ379" s="280">
        <v>356</v>
      </c>
    </row>
    <row r="380" spans="2:1014" ht="20.100000000000001" customHeight="1">
      <c r="C380" s="668" t="str">
        <f>CONCATENATE("=IF(",C378,"=",C379,",",C379,",",C378,")")</f>
        <v>=IF(C3="","",C3)</v>
      </c>
      <c r="S380" s="1450"/>
      <c r="W380" s="1450"/>
      <c r="AK380" s="1450"/>
      <c r="AL380" s="1450"/>
      <c r="AM380" s="1450"/>
      <c r="AN380" s="1450"/>
      <c r="AO380" s="1450"/>
      <c r="BI380" s="1450"/>
      <c r="BJ380" s="1450"/>
      <c r="BK380" s="1450"/>
      <c r="BL380" s="1450"/>
      <c r="BM380" s="1450"/>
      <c r="BN380" s="1450"/>
      <c r="BO380" s="1450"/>
      <c r="BP380" s="1450"/>
      <c r="BQ380" s="1450"/>
      <c r="BR380" s="1450"/>
      <c r="BS380" s="1450"/>
      <c r="BT380" s="1450"/>
      <c r="BU380" s="1450"/>
      <c r="BV380" s="1450"/>
      <c r="BW380" s="1450"/>
      <c r="BX380" s="1450"/>
      <c r="BY380" s="1450"/>
      <c r="BZ380" s="1450"/>
      <c r="CA380" s="1450"/>
      <c r="CB380" s="1450"/>
      <c r="CC380" s="1450"/>
      <c r="CD380" s="1450"/>
      <c r="CE380" s="1450"/>
      <c r="CF380" s="1450"/>
      <c r="CG380" s="1450"/>
      <c r="CH380" s="1450"/>
      <c r="CI380" s="1450"/>
      <c r="CJ380" s="1450"/>
      <c r="CK380" s="1450"/>
      <c r="CL380" s="1450"/>
      <c r="CM380" s="1446"/>
      <c r="KZ380" s="668" t="s">
        <v>4812</v>
      </c>
      <c r="LA380" s="668" t="s">
        <v>4813</v>
      </c>
      <c r="LB380" s="668" t="s">
        <v>4814</v>
      </c>
      <c r="LC380" s="668" t="s">
        <v>4815</v>
      </c>
      <c r="LD380" s="668" t="s">
        <v>4816</v>
      </c>
      <c r="LE380" s="668" t="s">
        <v>4817</v>
      </c>
      <c r="LF380" s="668" t="s">
        <v>4818</v>
      </c>
      <c r="LG380" s="668" t="s">
        <v>4819</v>
      </c>
      <c r="LH380" s="668" t="s">
        <v>4820</v>
      </c>
      <c r="LI380" s="668" t="s">
        <v>4821</v>
      </c>
      <c r="LJ380" s="668" t="s">
        <v>4822</v>
      </c>
      <c r="LK380" s="668" t="s">
        <v>4823</v>
      </c>
      <c r="LL380" s="668" t="s">
        <v>4824</v>
      </c>
      <c r="LM380" s="668" t="s">
        <v>4825</v>
      </c>
      <c r="LN380" s="668" t="s">
        <v>4826</v>
      </c>
      <c r="LO380" s="668" t="s">
        <v>4827</v>
      </c>
      <c r="NW380" s="668" t="s">
        <v>4829</v>
      </c>
      <c r="NX380" s="668" t="s">
        <v>4830</v>
      </c>
      <c r="NY380" s="668" t="s">
        <v>4831</v>
      </c>
      <c r="NZ380" s="668" t="s">
        <v>4832</v>
      </c>
      <c r="OA380" s="668" t="s">
        <v>4833</v>
      </c>
      <c r="OB380" s="668" t="s">
        <v>4834</v>
      </c>
      <c r="OC380" s="668" t="s">
        <v>4835</v>
      </c>
      <c r="OD380" s="668" t="s">
        <v>4836</v>
      </c>
      <c r="OE380" s="668" t="s">
        <v>4837</v>
      </c>
      <c r="OF380" s="668" t="s">
        <v>4838</v>
      </c>
      <c r="OG380" s="668" t="s">
        <v>4839</v>
      </c>
      <c r="OH380" s="668" t="s">
        <v>4840</v>
      </c>
      <c r="OI380" s="668" t="s">
        <v>4841</v>
      </c>
      <c r="OJ380" s="668" t="s">
        <v>4842</v>
      </c>
      <c r="OK380" s="668" t="s">
        <v>4843</v>
      </c>
      <c r="OL380" s="668" t="s">
        <v>4844</v>
      </c>
      <c r="OM380" s="668" t="s">
        <v>4845</v>
      </c>
      <c r="ON380" s="668" t="s">
        <v>4846</v>
      </c>
      <c r="OO380" s="668" t="s">
        <v>4847</v>
      </c>
      <c r="OP380" s="668" t="s">
        <v>4848</v>
      </c>
      <c r="OQ380" s="668" t="s">
        <v>4849</v>
      </c>
      <c r="OR380" s="668" t="s">
        <v>4850</v>
      </c>
      <c r="OS380" s="668" t="s">
        <v>4851</v>
      </c>
      <c r="OT380" s="668" t="s">
        <v>4852</v>
      </c>
      <c r="OU380" s="668" t="s">
        <v>4853</v>
      </c>
      <c r="OV380" s="668" t="s">
        <v>4854</v>
      </c>
      <c r="OW380" s="668" t="s">
        <v>4855</v>
      </c>
      <c r="OX380" s="668" t="s">
        <v>4856</v>
      </c>
      <c r="OY380" s="668" t="s">
        <v>4857</v>
      </c>
      <c r="OZ380" s="668" t="s">
        <v>4858</v>
      </c>
      <c r="PA380" s="668" t="s">
        <v>4859</v>
      </c>
      <c r="PB380" s="668" t="s">
        <v>4860</v>
      </c>
      <c r="PC380" s="668" t="s">
        <v>4861</v>
      </c>
      <c r="PD380" s="668" t="s">
        <v>4862</v>
      </c>
      <c r="PE380" s="668" t="s">
        <v>4863</v>
      </c>
      <c r="PF380" s="668" t="s">
        <v>4864</v>
      </c>
      <c r="PG380" s="668" t="s">
        <v>4865</v>
      </c>
      <c r="PH380" s="668" t="s">
        <v>4866</v>
      </c>
      <c r="PI380" s="668" t="s">
        <v>4867</v>
      </c>
      <c r="PJ380" s="668" t="s">
        <v>4868</v>
      </c>
      <c r="PK380" s="668" t="s">
        <v>4869</v>
      </c>
      <c r="PL380" s="668" t="s">
        <v>4870</v>
      </c>
      <c r="PM380" s="668" t="s">
        <v>4871</v>
      </c>
      <c r="PN380" s="668" t="s">
        <v>4872</v>
      </c>
      <c r="PO380" s="668" t="s">
        <v>4873</v>
      </c>
      <c r="PP380" s="668" t="s">
        <v>4874</v>
      </c>
      <c r="PQ380" s="668" t="s">
        <v>4875</v>
      </c>
      <c r="PR380" s="668" t="s">
        <v>4876</v>
      </c>
      <c r="PS380" s="668" t="s">
        <v>4877</v>
      </c>
      <c r="PT380" s="668" t="s">
        <v>4878</v>
      </c>
      <c r="PU380" s="668" t="s">
        <v>4879</v>
      </c>
      <c r="PV380" s="668" t="s">
        <v>4880</v>
      </c>
      <c r="PW380" s="668" t="s">
        <v>4881</v>
      </c>
      <c r="PX380" s="668" t="s">
        <v>4882</v>
      </c>
      <c r="PY380" s="668" t="s">
        <v>4883</v>
      </c>
      <c r="PZ380" s="668" t="s">
        <v>4884</v>
      </c>
      <c r="QA380" s="668" t="s">
        <v>4885</v>
      </c>
      <c r="QB380" s="668" t="s">
        <v>4886</v>
      </c>
      <c r="QC380" s="668" t="s">
        <v>4887</v>
      </c>
      <c r="QD380" s="668" t="s">
        <v>4888</v>
      </c>
      <c r="QE380" s="668" t="s">
        <v>4889</v>
      </c>
      <c r="QF380" s="668" t="s">
        <v>4890</v>
      </c>
      <c r="QG380" s="668" t="s">
        <v>4891</v>
      </c>
      <c r="QH380" s="668" t="s">
        <v>4892</v>
      </c>
      <c r="QI380" s="668" t="s">
        <v>4893</v>
      </c>
      <c r="QJ380" s="668" t="s">
        <v>4894</v>
      </c>
      <c r="QK380" s="668" t="s">
        <v>4895</v>
      </c>
      <c r="QL380" s="668" t="s">
        <v>4896</v>
      </c>
      <c r="QM380" s="668" t="s">
        <v>4897</v>
      </c>
      <c r="QN380" s="668" t="s">
        <v>4898</v>
      </c>
      <c r="QO380" s="668" t="s">
        <v>4899</v>
      </c>
      <c r="QP380" s="668" t="s">
        <v>4900</v>
      </c>
      <c r="QQ380" s="668" t="s">
        <v>4901</v>
      </c>
      <c r="QR380" s="668" t="s">
        <v>4902</v>
      </c>
      <c r="QS380" s="668" t="s">
        <v>4903</v>
      </c>
      <c r="QT380" s="668" t="s">
        <v>4904</v>
      </c>
      <c r="QU380" s="668" t="s">
        <v>4905</v>
      </c>
      <c r="QV380" s="668" t="s">
        <v>4906</v>
      </c>
      <c r="QW380" s="668" t="s">
        <v>4907</v>
      </c>
      <c r="QX380" s="668" t="s">
        <v>4908</v>
      </c>
      <c r="QY380" s="668" t="s">
        <v>4909</v>
      </c>
      <c r="QZ380" s="668" t="s">
        <v>4910</v>
      </c>
      <c r="RA380" s="668" t="s">
        <v>4911</v>
      </c>
      <c r="RB380" s="668" t="s">
        <v>4912</v>
      </c>
      <c r="RC380" s="668" t="s">
        <v>4913</v>
      </c>
      <c r="RD380" s="668" t="s">
        <v>4914</v>
      </c>
      <c r="RE380" s="668" t="s">
        <v>4915</v>
      </c>
      <c r="RF380" s="668" t="s">
        <v>4916</v>
      </c>
      <c r="RG380" s="668" t="s">
        <v>4917</v>
      </c>
      <c r="RH380" s="668" t="s">
        <v>4918</v>
      </c>
      <c r="RI380" s="668" t="s">
        <v>4919</v>
      </c>
      <c r="RJ380" s="668" t="s">
        <v>4920</v>
      </c>
      <c r="RK380" s="668" t="s">
        <v>4921</v>
      </c>
      <c r="RL380" s="668" t="s">
        <v>4922</v>
      </c>
      <c r="RM380" s="668" t="s">
        <v>4923</v>
      </c>
      <c r="RN380" s="668" t="s">
        <v>4924</v>
      </c>
      <c r="RO380" s="668" t="s">
        <v>4925</v>
      </c>
      <c r="RP380" s="668" t="s">
        <v>4926</v>
      </c>
      <c r="RQ380" s="668" t="s">
        <v>4927</v>
      </c>
      <c r="RR380" s="668" t="s">
        <v>4928</v>
      </c>
      <c r="RS380" s="668" t="s">
        <v>4929</v>
      </c>
      <c r="RT380" s="668" t="s">
        <v>4930</v>
      </c>
      <c r="RU380" s="668" t="s">
        <v>4931</v>
      </c>
      <c r="RV380" s="668" t="s">
        <v>4932</v>
      </c>
      <c r="RW380" s="668" t="s">
        <v>4933</v>
      </c>
      <c r="RX380" s="668" t="s">
        <v>4934</v>
      </c>
      <c r="RY380" s="668" t="s">
        <v>4935</v>
      </c>
      <c r="RZ380" s="668" t="s">
        <v>4936</v>
      </c>
      <c r="SA380" s="668" t="s">
        <v>4937</v>
      </c>
      <c r="SB380" s="668" t="s">
        <v>4938</v>
      </c>
      <c r="SC380" s="668" t="s">
        <v>4939</v>
      </c>
      <c r="SD380" s="668" t="s">
        <v>4940</v>
      </c>
      <c r="SE380" s="668" t="s">
        <v>4941</v>
      </c>
      <c r="SF380" s="668" t="s">
        <v>4942</v>
      </c>
      <c r="SG380" s="668" t="s">
        <v>4943</v>
      </c>
      <c r="SH380" s="668" t="s">
        <v>4944</v>
      </c>
      <c r="SI380" s="668" t="s">
        <v>4945</v>
      </c>
      <c r="SJ380" s="668" t="s">
        <v>4946</v>
      </c>
      <c r="SK380" s="668" t="s">
        <v>4947</v>
      </c>
      <c r="SL380" s="668" t="s">
        <v>4948</v>
      </c>
      <c r="SM380" s="668" t="s">
        <v>4949</v>
      </c>
      <c r="SN380" s="668" t="s">
        <v>4950</v>
      </c>
      <c r="SO380" s="668" t="s">
        <v>4951</v>
      </c>
      <c r="SP380" s="668" t="s">
        <v>4952</v>
      </c>
      <c r="SQ380" s="668" t="s">
        <v>4953</v>
      </c>
      <c r="SR380" s="668" t="s">
        <v>4954</v>
      </c>
      <c r="SS380" s="668" t="s">
        <v>4955</v>
      </c>
      <c r="ST380" s="668" t="s">
        <v>4956</v>
      </c>
      <c r="SU380" s="668" t="s">
        <v>4957</v>
      </c>
      <c r="SV380" s="668" t="s">
        <v>4958</v>
      </c>
      <c r="SW380" s="668" t="s">
        <v>4959</v>
      </c>
      <c r="SX380" s="668" t="s">
        <v>4960</v>
      </c>
      <c r="SY380" s="668" t="s">
        <v>4961</v>
      </c>
      <c r="SZ380" s="668" t="s">
        <v>4962</v>
      </c>
      <c r="TA380" s="668" t="s">
        <v>4963</v>
      </c>
      <c r="TB380" s="668" t="s">
        <v>4964</v>
      </c>
      <c r="TC380" s="668" t="s">
        <v>4965</v>
      </c>
      <c r="TD380" s="668" t="s">
        <v>4966</v>
      </c>
      <c r="TE380" s="668" t="s">
        <v>4967</v>
      </c>
      <c r="TF380" s="668" t="s">
        <v>4968</v>
      </c>
      <c r="TG380" s="668" t="s">
        <v>4969</v>
      </c>
      <c r="TH380" s="668" t="s">
        <v>4970</v>
      </c>
      <c r="TI380" s="668" t="s">
        <v>4971</v>
      </c>
      <c r="TJ380" s="668" t="s">
        <v>4972</v>
      </c>
      <c r="TK380" s="668" t="s">
        <v>4973</v>
      </c>
      <c r="TL380" s="668" t="s">
        <v>4974</v>
      </c>
      <c r="TM380" s="668" t="s">
        <v>4975</v>
      </c>
      <c r="TN380" s="668" t="s">
        <v>4976</v>
      </c>
      <c r="TO380" s="668" t="s">
        <v>4977</v>
      </c>
      <c r="TP380" s="668" t="s">
        <v>4978</v>
      </c>
      <c r="TQ380" s="668" t="s">
        <v>4979</v>
      </c>
      <c r="TR380" s="668" t="s">
        <v>4980</v>
      </c>
      <c r="TS380" s="668" t="s">
        <v>4981</v>
      </c>
      <c r="TT380" s="668" t="s">
        <v>4982</v>
      </c>
      <c r="TU380" s="668" t="s">
        <v>4983</v>
      </c>
      <c r="TV380" s="668" t="s">
        <v>4984</v>
      </c>
      <c r="TW380" s="668" t="s">
        <v>4985</v>
      </c>
      <c r="TX380" s="668" t="s">
        <v>4986</v>
      </c>
      <c r="TY380" s="668" t="s">
        <v>4987</v>
      </c>
      <c r="TZ380" s="668" t="s">
        <v>4988</v>
      </c>
      <c r="UA380" s="668" t="s">
        <v>4989</v>
      </c>
      <c r="UB380" s="668" t="s">
        <v>4990</v>
      </c>
      <c r="UC380" s="668" t="s">
        <v>4991</v>
      </c>
      <c r="UD380" s="668" t="s">
        <v>4992</v>
      </c>
      <c r="UE380" s="668" t="s">
        <v>4993</v>
      </c>
      <c r="UF380" s="668" t="s">
        <v>4994</v>
      </c>
      <c r="UG380" s="668" t="s">
        <v>4995</v>
      </c>
      <c r="UH380" s="668" t="s">
        <v>4996</v>
      </c>
      <c r="UI380" s="668" t="s">
        <v>4997</v>
      </c>
      <c r="UJ380" s="668" t="s">
        <v>4998</v>
      </c>
      <c r="UK380" s="668" t="s">
        <v>4999</v>
      </c>
      <c r="UL380" s="668" t="s">
        <v>5000</v>
      </c>
      <c r="UM380" s="668" t="s">
        <v>5001</v>
      </c>
      <c r="UN380" s="668" t="s">
        <v>5002</v>
      </c>
      <c r="UO380" s="668" t="s">
        <v>5003</v>
      </c>
      <c r="UP380" s="668" t="s">
        <v>5004</v>
      </c>
      <c r="UQ380" s="668" t="s">
        <v>5005</v>
      </c>
      <c r="UR380" s="668" t="s">
        <v>5006</v>
      </c>
      <c r="US380" s="668" t="s">
        <v>5007</v>
      </c>
      <c r="UT380" s="668" t="s">
        <v>5008</v>
      </c>
      <c r="UU380" s="668" t="s">
        <v>5009</v>
      </c>
      <c r="UV380" s="668" t="s">
        <v>5010</v>
      </c>
      <c r="UW380" s="668" t="s">
        <v>5011</v>
      </c>
      <c r="UX380" s="668" t="s">
        <v>5012</v>
      </c>
      <c r="UY380" s="668" t="s">
        <v>5013</v>
      </c>
      <c r="UZ380" s="668" t="s">
        <v>5014</v>
      </c>
      <c r="VA380" s="668" t="s">
        <v>5015</v>
      </c>
      <c r="VB380" s="668" t="s">
        <v>5016</v>
      </c>
      <c r="VC380" s="668" t="s">
        <v>5017</v>
      </c>
      <c r="VD380" s="668" t="s">
        <v>5018</v>
      </c>
      <c r="VE380" s="668" t="s">
        <v>5019</v>
      </c>
      <c r="VF380" s="668" t="s">
        <v>5020</v>
      </c>
      <c r="VG380" s="668" t="s">
        <v>5021</v>
      </c>
      <c r="VH380" s="668" t="s">
        <v>5022</v>
      </c>
      <c r="VI380" s="668" t="s">
        <v>5023</v>
      </c>
      <c r="VJ380" s="668" t="s">
        <v>5024</v>
      </c>
      <c r="VK380" s="668" t="s">
        <v>5025</v>
      </c>
      <c r="VL380" s="668" t="s">
        <v>5026</v>
      </c>
      <c r="VM380" s="668" t="s">
        <v>5027</v>
      </c>
      <c r="VN380" s="668" t="s">
        <v>5028</v>
      </c>
      <c r="VO380" s="668" t="s">
        <v>5029</v>
      </c>
      <c r="VP380" s="668" t="s">
        <v>5030</v>
      </c>
      <c r="VQ380" s="668" t="s">
        <v>5031</v>
      </c>
      <c r="VR380" s="668" t="s">
        <v>5032</v>
      </c>
      <c r="VS380" s="668" t="s">
        <v>5033</v>
      </c>
      <c r="VT380" s="668" t="s">
        <v>5034</v>
      </c>
      <c r="VU380" s="668" t="s">
        <v>5035</v>
      </c>
      <c r="VV380" s="668" t="s">
        <v>5036</v>
      </c>
      <c r="VW380" s="668" t="s">
        <v>5037</v>
      </c>
      <c r="VX380" s="668" t="s">
        <v>5038</v>
      </c>
      <c r="VY380" s="668" t="s">
        <v>5039</v>
      </c>
      <c r="VZ380" s="668" t="s">
        <v>5040</v>
      </c>
      <c r="WA380" s="668" t="s">
        <v>5041</v>
      </c>
      <c r="WB380" s="668" t="s">
        <v>5042</v>
      </c>
      <c r="WC380" s="668" t="s">
        <v>5043</v>
      </c>
      <c r="WD380" s="668" t="s">
        <v>5044</v>
      </c>
      <c r="WE380" s="668" t="s">
        <v>5045</v>
      </c>
      <c r="WF380" s="668" t="s">
        <v>5046</v>
      </c>
      <c r="WG380" s="668" t="s">
        <v>5047</v>
      </c>
      <c r="WH380" s="668" t="s">
        <v>5048</v>
      </c>
      <c r="WI380" s="668" t="s">
        <v>5049</v>
      </c>
      <c r="WJ380" s="668" t="s">
        <v>5050</v>
      </c>
      <c r="WK380" s="668" t="s">
        <v>5051</v>
      </c>
      <c r="WL380" s="668" t="s">
        <v>5052</v>
      </c>
      <c r="WM380" s="668" t="s">
        <v>5053</v>
      </c>
      <c r="WN380" s="668" t="s">
        <v>5054</v>
      </c>
      <c r="WO380" s="668" t="s">
        <v>5055</v>
      </c>
      <c r="WP380" s="668" t="s">
        <v>5056</v>
      </c>
      <c r="WQ380" s="668" t="s">
        <v>5057</v>
      </c>
      <c r="WR380" s="668" t="s">
        <v>5058</v>
      </c>
      <c r="WS380" s="668" t="s">
        <v>5059</v>
      </c>
      <c r="WT380" s="668" t="s">
        <v>5060</v>
      </c>
      <c r="WU380" s="668" t="s">
        <v>5061</v>
      </c>
      <c r="WV380" s="668" t="s">
        <v>5062</v>
      </c>
      <c r="WW380" s="668" t="s">
        <v>5063</v>
      </c>
      <c r="WX380" s="668" t="s">
        <v>5064</v>
      </c>
      <c r="WY380" s="668" t="s">
        <v>5065</v>
      </c>
      <c r="WZ380" s="668" t="s">
        <v>5066</v>
      </c>
      <c r="XA380" s="668" t="s">
        <v>5067</v>
      </c>
      <c r="XB380" s="668" t="s">
        <v>5068</v>
      </c>
      <c r="XC380" s="668" t="s">
        <v>5069</v>
      </c>
      <c r="XD380" s="668" t="s">
        <v>5070</v>
      </c>
      <c r="XE380" s="668" t="s">
        <v>5071</v>
      </c>
      <c r="XF380" s="668" t="s">
        <v>5072</v>
      </c>
      <c r="XG380" s="668" t="s">
        <v>5073</v>
      </c>
      <c r="XH380" s="668" t="s">
        <v>5074</v>
      </c>
      <c r="XI380" s="668" t="s">
        <v>5075</v>
      </c>
      <c r="XJ380" s="668" t="s">
        <v>5076</v>
      </c>
      <c r="XK380" s="668" t="s">
        <v>5077</v>
      </c>
      <c r="XL380" s="668" t="s">
        <v>5078</v>
      </c>
      <c r="XM380" s="668" t="s">
        <v>5079</v>
      </c>
      <c r="XN380" s="668" t="s">
        <v>5080</v>
      </c>
      <c r="XO380" s="668" t="s">
        <v>5081</v>
      </c>
      <c r="XP380" s="668" t="s">
        <v>5082</v>
      </c>
      <c r="XQ380" s="668" t="s">
        <v>5083</v>
      </c>
      <c r="XR380" s="668" t="s">
        <v>5084</v>
      </c>
      <c r="XS380" s="668" t="s">
        <v>5085</v>
      </c>
      <c r="XT380" s="668" t="s">
        <v>5086</v>
      </c>
      <c r="XU380" s="668" t="s">
        <v>5087</v>
      </c>
      <c r="XV380" s="668" t="s">
        <v>5088</v>
      </c>
      <c r="XW380" s="668" t="s">
        <v>5089</v>
      </c>
      <c r="XX380" s="668" t="s">
        <v>5090</v>
      </c>
      <c r="XY380" s="668" t="s">
        <v>5091</v>
      </c>
      <c r="XZ380" s="668" t="s">
        <v>5092</v>
      </c>
      <c r="YA380" s="668" t="s">
        <v>5093</v>
      </c>
      <c r="YB380" s="668" t="s">
        <v>5094</v>
      </c>
      <c r="YC380" s="668" t="s">
        <v>5095</v>
      </c>
      <c r="YD380" s="668" t="s">
        <v>5096</v>
      </c>
      <c r="YE380" s="668" t="s">
        <v>5097</v>
      </c>
      <c r="YF380" s="668" t="s">
        <v>5098</v>
      </c>
      <c r="YG380" s="668" t="s">
        <v>5099</v>
      </c>
      <c r="YH380" s="668" t="s">
        <v>5100</v>
      </c>
      <c r="YI380" s="668" t="s">
        <v>5101</v>
      </c>
      <c r="YJ380" s="668" t="s">
        <v>5102</v>
      </c>
      <c r="YK380" s="668" t="s">
        <v>5103</v>
      </c>
      <c r="YL380" s="668" t="s">
        <v>5104</v>
      </c>
      <c r="YM380" s="668" t="s">
        <v>5105</v>
      </c>
      <c r="YN380" s="668" t="s">
        <v>5106</v>
      </c>
      <c r="YO380" s="668" t="s">
        <v>5107</v>
      </c>
      <c r="YP380" s="668" t="s">
        <v>5108</v>
      </c>
      <c r="YQ380" s="668" t="s">
        <v>5109</v>
      </c>
      <c r="YR380" s="668" t="s">
        <v>5110</v>
      </c>
      <c r="YS380" s="668" t="s">
        <v>5111</v>
      </c>
      <c r="YT380" s="668" t="s">
        <v>5112</v>
      </c>
      <c r="YU380" s="668" t="s">
        <v>5113</v>
      </c>
      <c r="YV380" s="668" t="s">
        <v>5114</v>
      </c>
      <c r="YW380" s="668" t="s">
        <v>5115</v>
      </c>
      <c r="YX380" s="668" t="s">
        <v>5116</v>
      </c>
      <c r="YY380" s="668" t="s">
        <v>5117</v>
      </c>
      <c r="YZ380" s="668" t="s">
        <v>5118</v>
      </c>
      <c r="ZA380" s="668" t="s">
        <v>5119</v>
      </c>
      <c r="ZB380" s="668" t="s">
        <v>5120</v>
      </c>
      <c r="ZC380" s="668" t="s">
        <v>5121</v>
      </c>
      <c r="ZD380" s="668" t="s">
        <v>5122</v>
      </c>
      <c r="ZE380" s="668" t="s">
        <v>5123</v>
      </c>
      <c r="ZF380" s="668" t="s">
        <v>5124</v>
      </c>
      <c r="ZG380" s="668" t="s">
        <v>5125</v>
      </c>
      <c r="ZH380" s="668" t="s">
        <v>5126</v>
      </c>
      <c r="ZI380" s="668" t="s">
        <v>5127</v>
      </c>
      <c r="ZJ380" s="668" t="s">
        <v>5128</v>
      </c>
      <c r="ZK380" s="668" t="s">
        <v>5129</v>
      </c>
      <c r="ZL380" s="668" t="s">
        <v>5130</v>
      </c>
      <c r="ZM380" s="668" t="s">
        <v>5131</v>
      </c>
      <c r="ZN380" s="668" t="s">
        <v>5132</v>
      </c>
      <c r="ZO380" s="668" t="s">
        <v>5133</v>
      </c>
      <c r="ZP380" s="668" t="s">
        <v>5134</v>
      </c>
      <c r="ZQ380" s="280" t="s">
        <v>4770</v>
      </c>
      <c r="ZR380" s="280" t="s">
        <v>4770</v>
      </c>
      <c r="ZS380" s="280" t="s">
        <v>4770</v>
      </c>
      <c r="ZT380" s="280" t="s">
        <v>4770</v>
      </c>
      <c r="ZU380" s="280" t="s">
        <v>4770</v>
      </c>
      <c r="ZV380" s="280" t="s">
        <v>4770</v>
      </c>
      <c r="ZW380" s="280" t="s">
        <v>4770</v>
      </c>
      <c r="ZX380" s="280" t="s">
        <v>4770</v>
      </c>
      <c r="ZY380" s="668" t="s">
        <v>4771</v>
      </c>
      <c r="ZZ380" s="668" t="s">
        <v>4771</v>
      </c>
      <c r="AAA380" s="668" t="s">
        <v>4771</v>
      </c>
      <c r="AAB380" s="668" t="s">
        <v>4771</v>
      </c>
      <c r="AAC380" s="668" t="s">
        <v>4771</v>
      </c>
      <c r="AAD380" s="668" t="s">
        <v>4771</v>
      </c>
      <c r="AAE380" s="668" t="s">
        <v>4771</v>
      </c>
      <c r="AAF380" s="668" t="s">
        <v>4771</v>
      </c>
      <c r="AAG380" s="668" t="s">
        <v>4772</v>
      </c>
      <c r="AAH380" s="668" t="s">
        <v>4772</v>
      </c>
      <c r="AAI380" s="668" t="s">
        <v>4772</v>
      </c>
      <c r="AAJ380" s="668" t="s">
        <v>4772</v>
      </c>
      <c r="AAK380" s="668" t="s">
        <v>4772</v>
      </c>
      <c r="AAL380" s="668" t="s">
        <v>4772</v>
      </c>
      <c r="AAM380" s="668" t="s">
        <v>4772</v>
      </c>
      <c r="AAN380" s="668" t="s">
        <v>4772</v>
      </c>
      <c r="AAO380" s="668" t="s">
        <v>4773</v>
      </c>
      <c r="AAP380" s="668" t="s">
        <v>4773</v>
      </c>
      <c r="AAQ380" s="668" t="s">
        <v>4773</v>
      </c>
      <c r="AAR380" s="668" t="s">
        <v>4773</v>
      </c>
      <c r="AAS380" s="668" t="s">
        <v>4773</v>
      </c>
      <c r="AAT380" s="668" t="s">
        <v>4773</v>
      </c>
      <c r="AAU380" s="668" t="s">
        <v>4773</v>
      </c>
      <c r="AAV380" s="668" t="s">
        <v>4773</v>
      </c>
      <c r="AAW380" s="668" t="s">
        <v>4774</v>
      </c>
      <c r="AAX380" s="668" t="s">
        <v>4774</v>
      </c>
      <c r="AAY380" s="668" t="s">
        <v>4774</v>
      </c>
      <c r="AAZ380" s="668" t="s">
        <v>4774</v>
      </c>
      <c r="ABA380" s="668" t="s">
        <v>4774</v>
      </c>
      <c r="ABB380" s="668" t="s">
        <v>4774</v>
      </c>
      <c r="ABC380" s="668" t="s">
        <v>4774</v>
      </c>
      <c r="ABD380" s="668" t="s">
        <v>4774</v>
      </c>
      <c r="ABE380" s="668" t="s">
        <v>4775</v>
      </c>
      <c r="ABF380" s="668" t="s">
        <v>4775</v>
      </c>
      <c r="ABG380" s="668" t="s">
        <v>4775</v>
      </c>
      <c r="ABH380" s="668" t="s">
        <v>4775</v>
      </c>
      <c r="ABI380" s="668" t="s">
        <v>4775</v>
      </c>
      <c r="ABJ380" s="668" t="s">
        <v>4775</v>
      </c>
      <c r="ABK380" s="668" t="s">
        <v>4775</v>
      </c>
      <c r="ABL380" s="668" t="s">
        <v>4775</v>
      </c>
      <c r="ABM380" s="668" t="s">
        <v>4776</v>
      </c>
      <c r="ABN380" s="668" t="s">
        <v>4776</v>
      </c>
      <c r="ABO380" s="668" t="s">
        <v>4776</v>
      </c>
      <c r="ABP380" s="668" t="s">
        <v>4776</v>
      </c>
      <c r="ABQ380" s="668" t="s">
        <v>4776</v>
      </c>
      <c r="ABR380" s="668" t="s">
        <v>4776</v>
      </c>
      <c r="ABS380" s="668" t="s">
        <v>4776</v>
      </c>
      <c r="ABT380" s="668" t="s">
        <v>4776</v>
      </c>
      <c r="ABU380" s="668" t="s">
        <v>4777</v>
      </c>
      <c r="ABV380" s="668" t="s">
        <v>4777</v>
      </c>
      <c r="ABW380" s="668" t="s">
        <v>4777</v>
      </c>
      <c r="ABX380" s="668" t="s">
        <v>4777</v>
      </c>
      <c r="ABY380" s="668" t="s">
        <v>4777</v>
      </c>
      <c r="ABZ380" s="668" t="s">
        <v>4777</v>
      </c>
      <c r="ACA380" s="668" t="s">
        <v>4777</v>
      </c>
      <c r="ACB380" s="668" t="s">
        <v>4777</v>
      </c>
      <c r="ACC380" s="668" t="s">
        <v>4778</v>
      </c>
      <c r="ACD380" s="668" t="s">
        <v>4778</v>
      </c>
      <c r="ACE380" s="668" t="s">
        <v>4778</v>
      </c>
      <c r="ACF380" s="668" t="s">
        <v>4778</v>
      </c>
      <c r="ACG380" s="668" t="s">
        <v>4778</v>
      </c>
      <c r="ACH380" s="668" t="s">
        <v>4778</v>
      </c>
      <c r="ACI380" s="668" t="s">
        <v>4778</v>
      </c>
      <c r="ACJ380" s="668" t="s">
        <v>4778</v>
      </c>
      <c r="ACK380" s="668" t="s">
        <v>4779</v>
      </c>
      <c r="ACL380" s="668" t="s">
        <v>4779</v>
      </c>
      <c r="ACM380" s="668" t="s">
        <v>4779</v>
      </c>
      <c r="ACN380" s="668" t="s">
        <v>4779</v>
      </c>
      <c r="ACO380" s="668" t="s">
        <v>4779</v>
      </c>
      <c r="ACP380" s="668" t="s">
        <v>4779</v>
      </c>
      <c r="ACQ380" s="668" t="s">
        <v>4779</v>
      </c>
      <c r="ACR380" s="668" t="s">
        <v>4779</v>
      </c>
      <c r="ACS380" s="668" t="s">
        <v>4780</v>
      </c>
      <c r="ACT380" s="668" t="s">
        <v>4780</v>
      </c>
      <c r="ACU380" s="668" t="s">
        <v>4780</v>
      </c>
      <c r="ACV380" s="668" t="s">
        <v>4780</v>
      </c>
      <c r="ACW380" s="668" t="s">
        <v>4780</v>
      </c>
      <c r="ACX380" s="668" t="s">
        <v>4780</v>
      </c>
      <c r="ACY380" s="668" t="s">
        <v>4780</v>
      </c>
      <c r="ACZ380" s="668" t="s">
        <v>4780</v>
      </c>
      <c r="ADA380" s="668" t="s">
        <v>4781</v>
      </c>
      <c r="ADB380" s="668" t="s">
        <v>4781</v>
      </c>
      <c r="ADC380" s="668" t="s">
        <v>4781</v>
      </c>
      <c r="ADD380" s="668" t="s">
        <v>4781</v>
      </c>
      <c r="ADE380" s="668" t="s">
        <v>4781</v>
      </c>
      <c r="ADF380" s="668" t="s">
        <v>4781</v>
      </c>
      <c r="ADG380" s="668" t="s">
        <v>4781</v>
      </c>
      <c r="ADH380" s="668" t="s">
        <v>4781</v>
      </c>
      <c r="ADI380" s="668" t="s">
        <v>4782</v>
      </c>
      <c r="ADJ380" s="668" t="s">
        <v>4782</v>
      </c>
      <c r="ADK380" s="668" t="s">
        <v>4782</v>
      </c>
      <c r="ADL380" s="668" t="s">
        <v>4782</v>
      </c>
      <c r="ADM380" s="668" t="s">
        <v>4782</v>
      </c>
      <c r="ADN380" s="668" t="s">
        <v>4782</v>
      </c>
      <c r="ADO380" s="668" t="s">
        <v>4782</v>
      </c>
      <c r="ADP380" s="668" t="s">
        <v>4782</v>
      </c>
      <c r="ADQ380" s="668" t="s">
        <v>4783</v>
      </c>
      <c r="ADR380" s="668" t="s">
        <v>4783</v>
      </c>
      <c r="ADS380" s="668" t="s">
        <v>4783</v>
      </c>
      <c r="ADT380" s="668" t="s">
        <v>4783</v>
      </c>
      <c r="ADU380" s="668" t="s">
        <v>4783</v>
      </c>
      <c r="ADV380" s="668" t="s">
        <v>4783</v>
      </c>
      <c r="ADW380" s="668" t="s">
        <v>4783</v>
      </c>
      <c r="ADX380" s="668" t="s">
        <v>4783</v>
      </c>
      <c r="ADY380" s="668" t="s">
        <v>4784</v>
      </c>
      <c r="ADZ380" s="668" t="s">
        <v>4784</v>
      </c>
      <c r="AEA380" s="668" t="s">
        <v>4784</v>
      </c>
      <c r="AEB380" s="668" t="s">
        <v>4784</v>
      </c>
      <c r="AEC380" s="668" t="s">
        <v>4784</v>
      </c>
      <c r="AED380" s="668" t="s">
        <v>4784</v>
      </c>
      <c r="AEE380" s="668" t="s">
        <v>4784</v>
      </c>
      <c r="AEF380" s="668" t="s">
        <v>4784</v>
      </c>
      <c r="AEG380" s="668" t="s">
        <v>4785</v>
      </c>
      <c r="AEH380" s="668" t="s">
        <v>4785</v>
      </c>
      <c r="AEI380" s="668" t="s">
        <v>4785</v>
      </c>
      <c r="AEJ380" s="668" t="s">
        <v>4785</v>
      </c>
      <c r="AEK380" s="668" t="s">
        <v>4785</v>
      </c>
      <c r="AEL380" s="668" t="s">
        <v>4785</v>
      </c>
      <c r="AEM380" s="668" t="s">
        <v>4785</v>
      </c>
      <c r="AEN380" s="668" t="s">
        <v>4785</v>
      </c>
      <c r="AEO380" s="668" t="s">
        <v>4786</v>
      </c>
      <c r="AEP380" s="668" t="s">
        <v>4786</v>
      </c>
      <c r="AEQ380" s="668" t="s">
        <v>4786</v>
      </c>
      <c r="AER380" s="668" t="s">
        <v>4786</v>
      </c>
      <c r="AES380" s="668" t="s">
        <v>4786</v>
      </c>
      <c r="AET380" s="668" t="s">
        <v>4786</v>
      </c>
      <c r="AEU380" s="668" t="s">
        <v>4786</v>
      </c>
      <c r="AEV380" s="668" t="s">
        <v>4786</v>
      </c>
      <c r="AEW380" s="668" t="s">
        <v>4787</v>
      </c>
      <c r="AEX380" s="668" t="s">
        <v>4787</v>
      </c>
      <c r="AEY380" s="668" t="s">
        <v>4787</v>
      </c>
      <c r="AEZ380" s="668" t="s">
        <v>4787</v>
      </c>
      <c r="AFA380" s="668" t="s">
        <v>4787</v>
      </c>
      <c r="AFB380" s="668" t="s">
        <v>4787</v>
      </c>
      <c r="AFC380" s="668" t="s">
        <v>4787</v>
      </c>
      <c r="AFD380" s="668" t="s">
        <v>4787</v>
      </c>
      <c r="AFE380" s="668" t="s">
        <v>4788</v>
      </c>
      <c r="AFF380" s="668" t="s">
        <v>4788</v>
      </c>
      <c r="AFG380" s="668" t="s">
        <v>4788</v>
      </c>
      <c r="AFH380" s="668" t="s">
        <v>4788</v>
      </c>
      <c r="AFI380" s="668" t="s">
        <v>4788</v>
      </c>
      <c r="AFJ380" s="668" t="s">
        <v>4788</v>
      </c>
      <c r="AFK380" s="668" t="s">
        <v>4788</v>
      </c>
      <c r="AFL380" s="668" t="s">
        <v>4788</v>
      </c>
      <c r="AFM380" s="668" t="s">
        <v>4789</v>
      </c>
      <c r="AFN380" s="668" t="s">
        <v>4789</v>
      </c>
      <c r="AFO380" s="668" t="s">
        <v>4789</v>
      </c>
      <c r="AFP380" s="668" t="s">
        <v>4789</v>
      </c>
      <c r="AFQ380" s="668" t="s">
        <v>4789</v>
      </c>
      <c r="AFR380" s="668" t="s">
        <v>4789</v>
      </c>
      <c r="AFS380" s="668" t="s">
        <v>4789</v>
      </c>
      <c r="AFT380" s="668" t="s">
        <v>4789</v>
      </c>
      <c r="AFU380" s="668" t="s">
        <v>4790</v>
      </c>
      <c r="AFV380" s="668" t="s">
        <v>4790</v>
      </c>
      <c r="AFW380" s="668" t="s">
        <v>4790</v>
      </c>
      <c r="AFX380" s="668" t="s">
        <v>4790</v>
      </c>
      <c r="AFY380" s="668" t="s">
        <v>4790</v>
      </c>
      <c r="AFZ380" s="668" t="s">
        <v>4790</v>
      </c>
      <c r="AGA380" s="668" t="s">
        <v>4790</v>
      </c>
      <c r="AGB380" s="668" t="s">
        <v>4790</v>
      </c>
      <c r="AGC380" s="668" t="s">
        <v>4791</v>
      </c>
      <c r="AGD380" s="668" t="s">
        <v>4791</v>
      </c>
      <c r="AGE380" s="668" t="s">
        <v>4791</v>
      </c>
      <c r="AGF380" s="668" t="s">
        <v>4791</v>
      </c>
      <c r="AGG380" s="668" t="s">
        <v>4791</v>
      </c>
      <c r="AGH380" s="668" t="s">
        <v>4791</v>
      </c>
      <c r="AGI380" s="668" t="s">
        <v>4791</v>
      </c>
      <c r="AGJ380" s="668" t="s">
        <v>4791</v>
      </c>
      <c r="AGK380" s="668" t="s">
        <v>4792</v>
      </c>
      <c r="AGL380" s="668" t="s">
        <v>4792</v>
      </c>
      <c r="AGM380" s="668" t="s">
        <v>4792</v>
      </c>
      <c r="AGN380" s="668" t="s">
        <v>4792</v>
      </c>
      <c r="AGO380" s="668" t="s">
        <v>4792</v>
      </c>
      <c r="AGP380" s="668" t="s">
        <v>4792</v>
      </c>
      <c r="AGQ380" s="668" t="s">
        <v>4792</v>
      </c>
      <c r="AGR380" s="668" t="s">
        <v>4792</v>
      </c>
      <c r="AGS380" s="668" t="s">
        <v>4793</v>
      </c>
      <c r="AGT380" s="668" t="s">
        <v>4793</v>
      </c>
      <c r="AGU380" s="668" t="s">
        <v>4793</v>
      </c>
      <c r="AGV380" s="668" t="s">
        <v>4793</v>
      </c>
      <c r="AGW380" s="668" t="s">
        <v>4793</v>
      </c>
      <c r="AGX380" s="668" t="s">
        <v>4793</v>
      </c>
      <c r="AGY380" s="668" t="s">
        <v>4793</v>
      </c>
      <c r="AGZ380" s="668" t="s">
        <v>4793</v>
      </c>
      <c r="AHA380" s="668" t="s">
        <v>4794</v>
      </c>
      <c r="AHB380" s="668" t="s">
        <v>4794</v>
      </c>
      <c r="AHC380" s="668" t="s">
        <v>4794</v>
      </c>
      <c r="AHD380" s="668" t="s">
        <v>4794</v>
      </c>
      <c r="AHE380" s="668" t="s">
        <v>4794</v>
      </c>
      <c r="AHF380" s="668" t="s">
        <v>4794</v>
      </c>
      <c r="AHG380" s="668" t="s">
        <v>4794</v>
      </c>
      <c r="AHH380" s="668" t="s">
        <v>4794</v>
      </c>
      <c r="AHI380" s="668" t="s">
        <v>4795</v>
      </c>
      <c r="AHJ380" s="668" t="s">
        <v>4795</v>
      </c>
      <c r="AHK380" s="668" t="s">
        <v>4795</v>
      </c>
      <c r="AHL380" s="668" t="s">
        <v>4795</v>
      </c>
      <c r="AHM380" s="668" t="s">
        <v>4795</v>
      </c>
      <c r="AHN380" s="668" t="s">
        <v>4795</v>
      </c>
      <c r="AHO380" s="668" t="s">
        <v>4795</v>
      </c>
      <c r="AHP380" s="668" t="s">
        <v>4795</v>
      </c>
      <c r="AHQ380" s="668" t="s">
        <v>4796</v>
      </c>
      <c r="AHR380" s="668" t="s">
        <v>4796</v>
      </c>
      <c r="AHS380" s="668" t="s">
        <v>4796</v>
      </c>
      <c r="AHT380" s="668" t="s">
        <v>4796</v>
      </c>
      <c r="AHU380" s="668" t="s">
        <v>4796</v>
      </c>
      <c r="AHV380" s="668" t="s">
        <v>4796</v>
      </c>
      <c r="AHW380" s="668" t="s">
        <v>4796</v>
      </c>
      <c r="AHX380" s="668" t="s">
        <v>4796</v>
      </c>
      <c r="AHY380" s="668" t="s">
        <v>4797</v>
      </c>
      <c r="AHZ380" s="668" t="s">
        <v>4797</v>
      </c>
      <c r="AIA380" s="668" t="s">
        <v>4797</v>
      </c>
      <c r="AIB380" s="668" t="s">
        <v>4797</v>
      </c>
      <c r="AIC380" s="668" t="s">
        <v>4797</v>
      </c>
      <c r="AID380" s="668" t="s">
        <v>4797</v>
      </c>
      <c r="AIE380" s="668" t="s">
        <v>4797</v>
      </c>
      <c r="AIF380" s="668" t="s">
        <v>4797</v>
      </c>
      <c r="AIG380" s="668" t="s">
        <v>4798</v>
      </c>
      <c r="AIH380" s="668" t="s">
        <v>4798</v>
      </c>
      <c r="AII380" s="668" t="s">
        <v>4798</v>
      </c>
      <c r="AIJ380" s="668" t="s">
        <v>4798</v>
      </c>
      <c r="AIK380" s="668" t="s">
        <v>4798</v>
      </c>
      <c r="AIL380" s="668" t="s">
        <v>4798</v>
      </c>
      <c r="AIM380" s="668" t="s">
        <v>4798</v>
      </c>
      <c r="AIN380" s="668" t="s">
        <v>4798</v>
      </c>
      <c r="AIO380" s="668" t="s">
        <v>4799</v>
      </c>
      <c r="AIP380" s="668" t="s">
        <v>4799</v>
      </c>
      <c r="AIQ380" s="668" t="s">
        <v>4799</v>
      </c>
      <c r="AIR380" s="668" t="s">
        <v>4799</v>
      </c>
      <c r="AIS380" s="668" t="s">
        <v>4799</v>
      </c>
      <c r="AIT380" s="668" t="s">
        <v>4799</v>
      </c>
      <c r="AIU380" s="668" t="s">
        <v>4799</v>
      </c>
      <c r="AIV380" s="668" t="s">
        <v>4799</v>
      </c>
      <c r="AIW380" s="668" t="s">
        <v>4800</v>
      </c>
      <c r="AIX380" s="668" t="s">
        <v>4800</v>
      </c>
      <c r="AIY380" s="668" t="s">
        <v>4800</v>
      </c>
      <c r="AIZ380" s="668" t="s">
        <v>4800</v>
      </c>
      <c r="AJA380" s="668" t="s">
        <v>4800</v>
      </c>
      <c r="AJB380" s="668" t="s">
        <v>4800</v>
      </c>
      <c r="AJC380" s="668" t="s">
        <v>4800</v>
      </c>
      <c r="AJD380" s="668" t="s">
        <v>4800</v>
      </c>
      <c r="AJE380" s="668" t="s">
        <v>4801</v>
      </c>
      <c r="AJF380" s="668" t="s">
        <v>4801</v>
      </c>
      <c r="AJG380" s="668" t="s">
        <v>4801</v>
      </c>
      <c r="AJH380" s="668" t="s">
        <v>4801</v>
      </c>
      <c r="AJI380" s="668" t="s">
        <v>4801</v>
      </c>
      <c r="AJJ380" s="668" t="s">
        <v>4801</v>
      </c>
      <c r="AJK380" s="668" t="s">
        <v>4801</v>
      </c>
      <c r="AJL380" s="668" t="s">
        <v>4801</v>
      </c>
      <c r="AJM380" s="668" t="s">
        <v>4802</v>
      </c>
      <c r="AJN380" s="668" t="s">
        <v>4802</v>
      </c>
      <c r="AJO380" s="668" t="s">
        <v>4802</v>
      </c>
      <c r="AJP380" s="668" t="s">
        <v>4802</v>
      </c>
      <c r="AJQ380" s="668" t="s">
        <v>4802</v>
      </c>
      <c r="AJR380" s="668" t="s">
        <v>4802</v>
      </c>
      <c r="AJS380" s="668" t="s">
        <v>4802</v>
      </c>
      <c r="AJT380" s="668" t="s">
        <v>4802</v>
      </c>
      <c r="AJU380" s="668" t="s">
        <v>5461</v>
      </c>
      <c r="AJV380" s="668" t="s">
        <v>5462</v>
      </c>
      <c r="AJW380" s="668" t="s">
        <v>5463</v>
      </c>
      <c r="AJX380" s="668" t="s">
        <v>5464</v>
      </c>
      <c r="AJY380" s="668" t="s">
        <v>5399</v>
      </c>
      <c r="AJZ380" s="668" t="s">
        <v>5400</v>
      </c>
      <c r="AKA380" s="668" t="s">
        <v>5401</v>
      </c>
      <c r="AKB380" s="668" t="s">
        <v>5465</v>
      </c>
      <c r="AKC380" s="668" t="s">
        <v>5402</v>
      </c>
      <c r="AKD380" s="668" t="s">
        <v>5403</v>
      </c>
      <c r="AKE380" s="668" t="s">
        <v>4810</v>
      </c>
      <c r="AKF380" s="668" t="s">
        <v>4810</v>
      </c>
      <c r="AKG380" s="668" t="s">
        <v>4810</v>
      </c>
      <c r="AKH380" s="668" t="s">
        <v>4810</v>
      </c>
      <c r="AKI380" s="668" t="s">
        <v>4810</v>
      </c>
      <c r="AKJ380" s="668" t="s">
        <v>4810</v>
      </c>
      <c r="AKK380" s="668" t="s">
        <v>4810</v>
      </c>
      <c r="AKL380" s="668" t="s">
        <v>4810</v>
      </c>
      <c r="AKM380" s="668" t="s">
        <v>5412</v>
      </c>
      <c r="AKN380" s="668" t="s">
        <v>5412</v>
      </c>
      <c r="AKO380" s="668" t="s">
        <v>5412</v>
      </c>
      <c r="AKP380" s="668" t="s">
        <v>5412</v>
      </c>
      <c r="AKQ380" s="668" t="s">
        <v>5412</v>
      </c>
      <c r="AKR380" s="668" t="s">
        <v>5412</v>
      </c>
      <c r="AKS380" s="668" t="s">
        <v>5412</v>
      </c>
      <c r="AKT380" s="668" t="s">
        <v>5412</v>
      </c>
      <c r="AKU380" s="668" t="s">
        <v>5413</v>
      </c>
      <c r="AKV380" s="668" t="s">
        <v>5413</v>
      </c>
      <c r="AKW380" s="668" t="s">
        <v>5413</v>
      </c>
      <c r="AKX380" s="668" t="s">
        <v>5413</v>
      </c>
      <c r="AKY380" s="668" t="s">
        <v>5413</v>
      </c>
      <c r="AKZ380" s="668" t="s">
        <v>5413</v>
      </c>
      <c r="ALA380" s="668" t="s">
        <v>5413</v>
      </c>
      <c r="ALB380" s="668" t="s">
        <v>5413</v>
      </c>
      <c r="ALC380" s="668" t="s">
        <v>5414</v>
      </c>
      <c r="ALD380" s="668" t="s">
        <v>5414</v>
      </c>
      <c r="ALE380" s="668" t="s">
        <v>5414</v>
      </c>
      <c r="ALF380" s="668" t="s">
        <v>5414</v>
      </c>
      <c r="ALG380" s="668" t="s">
        <v>5414</v>
      </c>
      <c r="ALH380" s="668" t="s">
        <v>5414</v>
      </c>
      <c r="ALI380" s="668" t="s">
        <v>5414</v>
      </c>
      <c r="ALJ380" s="668" t="s">
        <v>5414</v>
      </c>
      <c r="ALK380" s="668" t="s">
        <v>5415</v>
      </c>
      <c r="ALL380" s="668" t="s">
        <v>5415</v>
      </c>
      <c r="ALM380" s="668" t="s">
        <v>5415</v>
      </c>
      <c r="ALN380" s="668" t="s">
        <v>5415</v>
      </c>
      <c r="ALO380" s="668" t="s">
        <v>5415</v>
      </c>
      <c r="ALP380" s="668" t="s">
        <v>5415</v>
      </c>
      <c r="ALQ380" s="668" t="s">
        <v>5415</v>
      </c>
      <c r="ALR380" s="668" t="s">
        <v>5415</v>
      </c>
      <c r="ALS380" s="668" t="s">
        <v>5416</v>
      </c>
      <c r="ALT380" s="668" t="s">
        <v>5416</v>
      </c>
      <c r="ALU380" s="668" t="s">
        <v>5416</v>
      </c>
      <c r="ALV380" s="668" t="s">
        <v>5416</v>
      </c>
      <c r="ALW380" s="668" t="s">
        <v>5416</v>
      </c>
      <c r="ALX380" s="668" t="s">
        <v>5416</v>
      </c>
      <c r="ALY380" s="668" t="s">
        <v>5416</v>
      </c>
      <c r="ALZ380" s="668" t="s">
        <v>5416</v>
      </c>
    </row>
    <row r="381" spans="2:1014" ht="20.100000000000001" customHeight="1">
      <c r="S381" s="1450"/>
      <c r="W381" s="1450"/>
      <c r="CM381" s="1447" t="s">
        <v>5466</v>
      </c>
      <c r="ZQ381" s="668" t="str">
        <f>CONCATENATE("=",ZQ378)</f>
        <v>=H349</v>
      </c>
      <c r="ZR381" s="668" t="str">
        <f t="shared" ref="ZR381:ACC381" si="375">CONCATENATE("=",ZR378)</f>
        <v>=H350</v>
      </c>
      <c r="ZS381" s="668" t="str">
        <f t="shared" si="375"/>
        <v>=H351</v>
      </c>
      <c r="ZT381" s="668" t="str">
        <f t="shared" si="375"/>
        <v>=H352</v>
      </c>
      <c r="ZU381" s="668" t="str">
        <f t="shared" si="375"/>
        <v>=H353</v>
      </c>
      <c r="ZV381" s="668" t="str">
        <f t="shared" si="375"/>
        <v>=H354</v>
      </c>
      <c r="ZW381" s="668" t="str">
        <f t="shared" si="375"/>
        <v>=H355</v>
      </c>
      <c r="ZX381" s="668" t="str">
        <f t="shared" si="375"/>
        <v>=H356</v>
      </c>
      <c r="ZY381" s="668" t="str">
        <f t="shared" si="375"/>
        <v>=I349</v>
      </c>
      <c r="ZZ381" s="668" t="str">
        <f t="shared" si="375"/>
        <v>=I350</v>
      </c>
      <c r="AAA381" s="668" t="str">
        <f t="shared" si="375"/>
        <v>=I351</v>
      </c>
      <c r="AAB381" s="668" t="str">
        <f t="shared" si="375"/>
        <v>=I352</v>
      </c>
      <c r="AAC381" s="668" t="str">
        <f t="shared" si="375"/>
        <v>=I353</v>
      </c>
      <c r="AAD381" s="668" t="str">
        <f t="shared" si="375"/>
        <v>=I354</v>
      </c>
      <c r="AAE381" s="668" t="str">
        <f t="shared" si="375"/>
        <v>=I355</v>
      </c>
      <c r="AAF381" s="668" t="str">
        <f t="shared" si="375"/>
        <v>=I356</v>
      </c>
      <c r="AAG381" s="668" t="str">
        <f t="shared" si="375"/>
        <v>=J349</v>
      </c>
      <c r="AAH381" s="668" t="str">
        <f t="shared" si="375"/>
        <v>=J350</v>
      </c>
      <c r="AAI381" s="668" t="str">
        <f t="shared" si="375"/>
        <v>=J351</v>
      </c>
      <c r="AAJ381" s="668" t="str">
        <f t="shared" si="375"/>
        <v>=J352</v>
      </c>
      <c r="AAK381" s="668" t="str">
        <f t="shared" si="375"/>
        <v>=J353</v>
      </c>
      <c r="AAL381" s="668" t="str">
        <f t="shared" si="375"/>
        <v>=J354</v>
      </c>
      <c r="AAM381" s="668" t="str">
        <f t="shared" si="375"/>
        <v>=J355</v>
      </c>
      <c r="AAN381" s="668" t="str">
        <f t="shared" si="375"/>
        <v>=J356</v>
      </c>
      <c r="AAO381" s="668" t="str">
        <f t="shared" si="375"/>
        <v>=K349</v>
      </c>
      <c r="AAP381" s="668" t="str">
        <f t="shared" si="375"/>
        <v>=K350</v>
      </c>
      <c r="AAQ381" s="668" t="str">
        <f t="shared" si="375"/>
        <v>=K351</v>
      </c>
      <c r="AAR381" s="668" t="str">
        <f t="shared" si="375"/>
        <v>=K352</v>
      </c>
      <c r="AAS381" s="668" t="str">
        <f t="shared" si="375"/>
        <v>=K353</v>
      </c>
      <c r="AAT381" s="668" t="str">
        <f t="shared" si="375"/>
        <v>=K354</v>
      </c>
      <c r="AAU381" s="668" t="str">
        <f t="shared" si="375"/>
        <v>=K355</v>
      </c>
      <c r="AAV381" s="668" t="str">
        <f t="shared" si="375"/>
        <v>=K356</v>
      </c>
      <c r="AAW381" s="668" t="str">
        <f t="shared" si="375"/>
        <v>=L349</v>
      </c>
      <c r="AAX381" s="668" t="str">
        <f t="shared" si="375"/>
        <v>=L350</v>
      </c>
      <c r="AAY381" s="668" t="str">
        <f t="shared" si="375"/>
        <v>=L351</v>
      </c>
      <c r="AAZ381" s="668" t="str">
        <f t="shared" si="375"/>
        <v>=L352</v>
      </c>
      <c r="ABA381" s="668" t="str">
        <f t="shared" si="375"/>
        <v>=L353</v>
      </c>
      <c r="ABB381" s="668" t="str">
        <f t="shared" si="375"/>
        <v>=L354</v>
      </c>
      <c r="ABC381" s="668" t="str">
        <f t="shared" si="375"/>
        <v>=L355</v>
      </c>
      <c r="ABD381" s="668" t="str">
        <f t="shared" si="375"/>
        <v>=L356</v>
      </c>
      <c r="ABE381" s="668" t="str">
        <f t="shared" si="375"/>
        <v>=M349</v>
      </c>
      <c r="ABF381" s="668" t="str">
        <f t="shared" si="375"/>
        <v>=M350</v>
      </c>
      <c r="ABG381" s="668" t="str">
        <f t="shared" si="375"/>
        <v>=M351</v>
      </c>
      <c r="ABH381" s="668" t="str">
        <f t="shared" si="375"/>
        <v>=M352</v>
      </c>
      <c r="ABI381" s="668" t="str">
        <f t="shared" si="375"/>
        <v>=M353</v>
      </c>
      <c r="ABJ381" s="668" t="str">
        <f t="shared" si="375"/>
        <v>=M354</v>
      </c>
      <c r="ABK381" s="668" t="str">
        <f t="shared" si="375"/>
        <v>=M355</v>
      </c>
      <c r="ABL381" s="668" t="str">
        <f t="shared" si="375"/>
        <v>=M356</v>
      </c>
      <c r="ABM381" s="668" t="str">
        <f t="shared" si="375"/>
        <v>=N349</v>
      </c>
      <c r="ABN381" s="668" t="str">
        <f t="shared" si="375"/>
        <v>=N350</v>
      </c>
      <c r="ABO381" s="668" t="str">
        <f t="shared" si="375"/>
        <v>=N351</v>
      </c>
      <c r="ABP381" s="668" t="str">
        <f t="shared" si="375"/>
        <v>=N352</v>
      </c>
      <c r="ABQ381" s="668" t="str">
        <f t="shared" si="375"/>
        <v>=N353</v>
      </c>
      <c r="ABR381" s="668" t="str">
        <f t="shared" si="375"/>
        <v>=N354</v>
      </c>
      <c r="ABS381" s="668" t="str">
        <f t="shared" si="375"/>
        <v>=N355</v>
      </c>
      <c r="ABT381" s="668" t="str">
        <f t="shared" si="375"/>
        <v>=N356</v>
      </c>
      <c r="ABU381" s="668" t="str">
        <f t="shared" si="375"/>
        <v>=O349</v>
      </c>
      <c r="ABV381" s="668" t="str">
        <f t="shared" si="375"/>
        <v>=O350</v>
      </c>
      <c r="ABW381" s="668" t="str">
        <f t="shared" si="375"/>
        <v>=O351</v>
      </c>
      <c r="ABX381" s="668" t="str">
        <f t="shared" si="375"/>
        <v>=O352</v>
      </c>
      <c r="ABY381" s="668" t="str">
        <f t="shared" si="375"/>
        <v>=O353</v>
      </c>
      <c r="ABZ381" s="668" t="str">
        <f t="shared" si="375"/>
        <v>=O354</v>
      </c>
      <c r="ACA381" s="668" t="str">
        <f t="shared" si="375"/>
        <v>=O355</v>
      </c>
      <c r="ACB381" s="668" t="str">
        <f t="shared" si="375"/>
        <v>=O356</v>
      </c>
      <c r="ACC381" s="668" t="str">
        <f t="shared" si="375"/>
        <v>=P349</v>
      </c>
      <c r="ACD381" s="668" t="str">
        <f t="shared" ref="ACD381:AEO381" si="376">CONCATENATE("=",ACD378)</f>
        <v>=P350</v>
      </c>
      <c r="ACE381" s="668" t="str">
        <f t="shared" si="376"/>
        <v>=P351</v>
      </c>
      <c r="ACF381" s="668" t="str">
        <f t="shared" si="376"/>
        <v>=P352</v>
      </c>
      <c r="ACG381" s="668" t="str">
        <f t="shared" si="376"/>
        <v>=P353</v>
      </c>
      <c r="ACH381" s="668" t="str">
        <f t="shared" si="376"/>
        <v>=P354</v>
      </c>
      <c r="ACI381" s="668" t="str">
        <f t="shared" si="376"/>
        <v>=P355</v>
      </c>
      <c r="ACJ381" s="668" t="str">
        <f t="shared" si="376"/>
        <v>=P356</v>
      </c>
      <c r="ACK381" s="668" t="str">
        <f t="shared" si="376"/>
        <v>=Q349</v>
      </c>
      <c r="ACL381" s="668" t="str">
        <f t="shared" si="376"/>
        <v>=Q350</v>
      </c>
      <c r="ACM381" s="668" t="str">
        <f t="shared" si="376"/>
        <v>=Q351</v>
      </c>
      <c r="ACN381" s="668" t="str">
        <f t="shared" si="376"/>
        <v>=Q352</v>
      </c>
      <c r="ACO381" s="668" t="str">
        <f t="shared" si="376"/>
        <v>=Q353</v>
      </c>
      <c r="ACP381" s="668" t="str">
        <f t="shared" si="376"/>
        <v>=Q354</v>
      </c>
      <c r="ACQ381" s="668" t="str">
        <f t="shared" si="376"/>
        <v>=Q355</v>
      </c>
      <c r="ACR381" s="668" t="str">
        <f t="shared" si="376"/>
        <v>=Q356</v>
      </c>
      <c r="ACS381" s="668" t="str">
        <f t="shared" si="376"/>
        <v>=R349</v>
      </c>
      <c r="ACT381" s="668" t="str">
        <f t="shared" si="376"/>
        <v>=R350</v>
      </c>
      <c r="ACU381" s="668" t="str">
        <f t="shared" si="376"/>
        <v>=R351</v>
      </c>
      <c r="ACV381" s="668" t="str">
        <f t="shared" si="376"/>
        <v>=R352</v>
      </c>
      <c r="ACW381" s="668" t="str">
        <f t="shared" si="376"/>
        <v>=R353</v>
      </c>
      <c r="ACX381" s="668" t="str">
        <f t="shared" si="376"/>
        <v>=R354</v>
      </c>
      <c r="ACY381" s="668" t="str">
        <f t="shared" si="376"/>
        <v>=R355</v>
      </c>
      <c r="ACZ381" s="668" t="str">
        <f t="shared" si="376"/>
        <v>=R356</v>
      </c>
      <c r="ADA381" s="668" t="str">
        <f t="shared" si="376"/>
        <v>=S349</v>
      </c>
      <c r="ADB381" s="668" t="str">
        <f t="shared" si="376"/>
        <v>=S350</v>
      </c>
      <c r="ADC381" s="668" t="str">
        <f t="shared" si="376"/>
        <v>=S351</v>
      </c>
      <c r="ADD381" s="668" t="str">
        <f t="shared" si="376"/>
        <v>=S352</v>
      </c>
      <c r="ADE381" s="668" t="str">
        <f t="shared" si="376"/>
        <v>=S353</v>
      </c>
      <c r="ADF381" s="668" t="str">
        <f t="shared" si="376"/>
        <v>=S354</v>
      </c>
      <c r="ADG381" s="668" t="str">
        <f t="shared" si="376"/>
        <v>=S355</v>
      </c>
      <c r="ADH381" s="668" t="str">
        <f t="shared" si="376"/>
        <v>=S356</v>
      </c>
      <c r="ADI381" s="668" t="str">
        <f t="shared" si="376"/>
        <v>=T349</v>
      </c>
      <c r="ADJ381" s="668" t="str">
        <f t="shared" si="376"/>
        <v>=T350</v>
      </c>
      <c r="ADK381" s="668" t="str">
        <f t="shared" si="376"/>
        <v>=T351</v>
      </c>
      <c r="ADL381" s="668" t="str">
        <f t="shared" si="376"/>
        <v>=T352</v>
      </c>
      <c r="ADM381" s="668" t="str">
        <f t="shared" si="376"/>
        <v>=T353</v>
      </c>
      <c r="ADN381" s="668" t="str">
        <f t="shared" si="376"/>
        <v>=T354</v>
      </c>
      <c r="ADO381" s="668" t="str">
        <f t="shared" si="376"/>
        <v>=T355</v>
      </c>
      <c r="ADP381" s="668" t="str">
        <f t="shared" si="376"/>
        <v>=T356</v>
      </c>
      <c r="ADQ381" s="668" t="str">
        <f t="shared" si="376"/>
        <v>=U349</v>
      </c>
      <c r="ADR381" s="668" t="str">
        <f t="shared" si="376"/>
        <v>=U350</v>
      </c>
      <c r="ADS381" s="668" t="str">
        <f t="shared" si="376"/>
        <v>=U351</v>
      </c>
      <c r="ADT381" s="668" t="str">
        <f t="shared" si="376"/>
        <v>=U352</v>
      </c>
      <c r="ADU381" s="668" t="str">
        <f t="shared" si="376"/>
        <v>=U353</v>
      </c>
      <c r="ADV381" s="668" t="str">
        <f t="shared" si="376"/>
        <v>=U354</v>
      </c>
      <c r="ADW381" s="668" t="str">
        <f t="shared" si="376"/>
        <v>=U355</v>
      </c>
      <c r="ADX381" s="668" t="str">
        <f t="shared" si="376"/>
        <v>=U356</v>
      </c>
      <c r="ADY381" s="668" t="str">
        <f t="shared" si="376"/>
        <v>=V349</v>
      </c>
      <c r="ADZ381" s="668" t="str">
        <f t="shared" si="376"/>
        <v>=V350</v>
      </c>
      <c r="AEA381" s="668" t="str">
        <f t="shared" si="376"/>
        <v>=V351</v>
      </c>
      <c r="AEB381" s="668" t="str">
        <f t="shared" si="376"/>
        <v>=V352</v>
      </c>
      <c r="AEC381" s="668" t="str">
        <f t="shared" si="376"/>
        <v>=V353</v>
      </c>
      <c r="AED381" s="668" t="str">
        <f t="shared" si="376"/>
        <v>=V354</v>
      </c>
      <c r="AEE381" s="668" t="str">
        <f t="shared" si="376"/>
        <v>=V355</v>
      </c>
      <c r="AEF381" s="668" t="str">
        <f t="shared" si="376"/>
        <v>=V356</v>
      </c>
      <c r="AEG381" s="668" t="str">
        <f t="shared" si="376"/>
        <v>=W349</v>
      </c>
      <c r="AEH381" s="668" t="str">
        <f t="shared" si="376"/>
        <v>=W350</v>
      </c>
      <c r="AEI381" s="668" t="str">
        <f t="shared" si="376"/>
        <v>=W351</v>
      </c>
      <c r="AEJ381" s="668" t="str">
        <f t="shared" si="376"/>
        <v>=W352</v>
      </c>
      <c r="AEK381" s="668" t="str">
        <f t="shared" si="376"/>
        <v>=W353</v>
      </c>
      <c r="AEL381" s="668" t="str">
        <f t="shared" si="376"/>
        <v>=W354</v>
      </c>
      <c r="AEM381" s="668" t="str">
        <f t="shared" si="376"/>
        <v>=W355</v>
      </c>
      <c r="AEN381" s="668" t="str">
        <f t="shared" si="376"/>
        <v>=W356</v>
      </c>
      <c r="AEO381" s="668" t="str">
        <f t="shared" si="376"/>
        <v>=X349</v>
      </c>
      <c r="AEP381" s="668" t="str">
        <f t="shared" ref="AEP381:AHA381" si="377">CONCATENATE("=",AEP378)</f>
        <v>=X350</v>
      </c>
      <c r="AEQ381" s="668" t="str">
        <f t="shared" si="377"/>
        <v>=X351</v>
      </c>
      <c r="AER381" s="668" t="str">
        <f t="shared" si="377"/>
        <v>=X352</v>
      </c>
      <c r="AES381" s="668" t="str">
        <f t="shared" si="377"/>
        <v>=X353</v>
      </c>
      <c r="AET381" s="668" t="str">
        <f t="shared" si="377"/>
        <v>=X354</v>
      </c>
      <c r="AEU381" s="668" t="str">
        <f t="shared" si="377"/>
        <v>=X355</v>
      </c>
      <c r="AEV381" s="668" t="str">
        <f t="shared" si="377"/>
        <v>=X356</v>
      </c>
      <c r="AEW381" s="668" t="str">
        <f t="shared" si="377"/>
        <v>=Y349</v>
      </c>
      <c r="AEX381" s="668" t="str">
        <f t="shared" si="377"/>
        <v>=Y350</v>
      </c>
      <c r="AEY381" s="668" t="str">
        <f t="shared" si="377"/>
        <v>=Y351</v>
      </c>
      <c r="AEZ381" s="668" t="str">
        <f t="shared" si="377"/>
        <v>=Y352</v>
      </c>
      <c r="AFA381" s="668" t="str">
        <f t="shared" si="377"/>
        <v>=Y353</v>
      </c>
      <c r="AFB381" s="668" t="str">
        <f t="shared" si="377"/>
        <v>=Y354</v>
      </c>
      <c r="AFC381" s="668" t="str">
        <f t="shared" si="377"/>
        <v>=Y355</v>
      </c>
      <c r="AFD381" s="668" t="str">
        <f t="shared" si="377"/>
        <v>=Y356</v>
      </c>
      <c r="AFE381" s="668" t="str">
        <f t="shared" si="377"/>
        <v>=Z349</v>
      </c>
      <c r="AFF381" s="668" t="str">
        <f t="shared" si="377"/>
        <v>=Z350</v>
      </c>
      <c r="AFG381" s="668" t="str">
        <f t="shared" si="377"/>
        <v>=Z351</v>
      </c>
      <c r="AFH381" s="668" t="str">
        <f t="shared" si="377"/>
        <v>=Z352</v>
      </c>
      <c r="AFI381" s="668" t="str">
        <f t="shared" si="377"/>
        <v>=Z353</v>
      </c>
      <c r="AFJ381" s="668" t="str">
        <f t="shared" si="377"/>
        <v>=Z354</v>
      </c>
      <c r="AFK381" s="668" t="str">
        <f t="shared" si="377"/>
        <v>=Z355</v>
      </c>
      <c r="AFL381" s="668" t="str">
        <f t="shared" si="377"/>
        <v>=Z356</v>
      </c>
      <c r="AFM381" s="668" t="str">
        <f t="shared" si="377"/>
        <v>=AA349</v>
      </c>
      <c r="AFN381" s="668" t="str">
        <f t="shared" si="377"/>
        <v>=AA350</v>
      </c>
      <c r="AFO381" s="668" t="str">
        <f t="shared" si="377"/>
        <v>=AA351</v>
      </c>
      <c r="AFP381" s="668" t="str">
        <f t="shared" si="377"/>
        <v>=AA352</v>
      </c>
      <c r="AFQ381" s="668" t="str">
        <f t="shared" si="377"/>
        <v>=AA353</v>
      </c>
      <c r="AFR381" s="668" t="str">
        <f t="shared" si="377"/>
        <v>=AA354</v>
      </c>
      <c r="AFS381" s="668" t="str">
        <f t="shared" si="377"/>
        <v>=AA355</v>
      </c>
      <c r="AFT381" s="668" t="str">
        <f t="shared" si="377"/>
        <v>=AA356</v>
      </c>
      <c r="AFU381" s="668" t="str">
        <f t="shared" si="377"/>
        <v>=AB349</v>
      </c>
      <c r="AFV381" s="668" t="str">
        <f t="shared" si="377"/>
        <v>=AB350</v>
      </c>
      <c r="AFW381" s="668" t="str">
        <f t="shared" si="377"/>
        <v>=AB351</v>
      </c>
      <c r="AFX381" s="668" t="str">
        <f t="shared" si="377"/>
        <v>=AB352</v>
      </c>
      <c r="AFY381" s="668" t="str">
        <f t="shared" si="377"/>
        <v>=AB353</v>
      </c>
      <c r="AFZ381" s="668" t="str">
        <f t="shared" si="377"/>
        <v>=AB354</v>
      </c>
      <c r="AGA381" s="668" t="str">
        <f t="shared" si="377"/>
        <v>=AB355</v>
      </c>
      <c r="AGB381" s="668" t="str">
        <f t="shared" si="377"/>
        <v>=AB356</v>
      </c>
      <c r="AGC381" s="668" t="str">
        <f t="shared" si="377"/>
        <v>=AC349</v>
      </c>
      <c r="AGD381" s="668" t="str">
        <f t="shared" si="377"/>
        <v>=AC350</v>
      </c>
      <c r="AGE381" s="668" t="str">
        <f t="shared" si="377"/>
        <v>=AC351</v>
      </c>
      <c r="AGF381" s="668" t="str">
        <f t="shared" si="377"/>
        <v>=AC352</v>
      </c>
      <c r="AGG381" s="668" t="str">
        <f t="shared" si="377"/>
        <v>=AC353</v>
      </c>
      <c r="AGH381" s="668" t="str">
        <f t="shared" si="377"/>
        <v>=AC354</v>
      </c>
      <c r="AGI381" s="668" t="str">
        <f t="shared" si="377"/>
        <v>=AC355</v>
      </c>
      <c r="AGJ381" s="668" t="str">
        <f t="shared" si="377"/>
        <v>=AC356</v>
      </c>
      <c r="AGK381" s="668" t="str">
        <f t="shared" si="377"/>
        <v>=AD349</v>
      </c>
      <c r="AGL381" s="668" t="str">
        <f t="shared" si="377"/>
        <v>=AD350</v>
      </c>
      <c r="AGM381" s="668" t="str">
        <f t="shared" si="377"/>
        <v>=AD351</v>
      </c>
      <c r="AGN381" s="668" t="str">
        <f t="shared" si="377"/>
        <v>=AD352</v>
      </c>
      <c r="AGO381" s="668" t="str">
        <f t="shared" si="377"/>
        <v>=AD353</v>
      </c>
      <c r="AGP381" s="668" t="str">
        <f t="shared" si="377"/>
        <v>=AD354</v>
      </c>
      <c r="AGQ381" s="668" t="str">
        <f t="shared" si="377"/>
        <v>=AD355</v>
      </c>
      <c r="AGR381" s="668" t="str">
        <f t="shared" si="377"/>
        <v>=AD356</v>
      </c>
      <c r="AGS381" s="668" t="str">
        <f t="shared" si="377"/>
        <v>=AE349</v>
      </c>
      <c r="AGT381" s="668" t="str">
        <f t="shared" si="377"/>
        <v>=AE350</v>
      </c>
      <c r="AGU381" s="668" t="str">
        <f t="shared" si="377"/>
        <v>=AE351</v>
      </c>
      <c r="AGV381" s="668" t="str">
        <f t="shared" si="377"/>
        <v>=AE352</v>
      </c>
      <c r="AGW381" s="668" t="str">
        <f t="shared" si="377"/>
        <v>=AE353</v>
      </c>
      <c r="AGX381" s="668" t="str">
        <f t="shared" si="377"/>
        <v>=AE354</v>
      </c>
      <c r="AGY381" s="668" t="str">
        <f t="shared" si="377"/>
        <v>=AE355</v>
      </c>
      <c r="AGZ381" s="668" t="str">
        <f t="shared" si="377"/>
        <v>=AE356</v>
      </c>
      <c r="AHA381" s="668" t="str">
        <f t="shared" si="377"/>
        <v>=AF349</v>
      </c>
      <c r="AHB381" s="668" t="str">
        <f t="shared" ref="AHB381:AJM381" si="378">CONCATENATE("=",AHB378)</f>
        <v>=AF350</v>
      </c>
      <c r="AHC381" s="668" t="str">
        <f t="shared" si="378"/>
        <v>=AF351</v>
      </c>
      <c r="AHD381" s="668" t="str">
        <f t="shared" si="378"/>
        <v>=AF352</v>
      </c>
      <c r="AHE381" s="668" t="str">
        <f t="shared" si="378"/>
        <v>=AF353</v>
      </c>
      <c r="AHF381" s="668" t="str">
        <f t="shared" si="378"/>
        <v>=AF354</v>
      </c>
      <c r="AHG381" s="668" t="str">
        <f t="shared" si="378"/>
        <v>=AF355</v>
      </c>
      <c r="AHH381" s="668" t="str">
        <f t="shared" si="378"/>
        <v>=AF356</v>
      </c>
      <c r="AHI381" s="668" t="str">
        <f t="shared" si="378"/>
        <v>=AG349</v>
      </c>
      <c r="AHJ381" s="668" t="str">
        <f t="shared" si="378"/>
        <v>=AG350</v>
      </c>
      <c r="AHK381" s="668" t="str">
        <f t="shared" si="378"/>
        <v>=AG351</v>
      </c>
      <c r="AHL381" s="668" t="str">
        <f t="shared" si="378"/>
        <v>=AG352</v>
      </c>
      <c r="AHM381" s="668" t="str">
        <f t="shared" si="378"/>
        <v>=AG353</v>
      </c>
      <c r="AHN381" s="668" t="str">
        <f t="shared" si="378"/>
        <v>=AG354</v>
      </c>
      <c r="AHO381" s="668" t="str">
        <f t="shared" si="378"/>
        <v>=AG355</v>
      </c>
      <c r="AHP381" s="668" t="str">
        <f t="shared" si="378"/>
        <v>=AG356</v>
      </c>
      <c r="AHQ381" s="668" t="str">
        <f t="shared" si="378"/>
        <v>=AH349</v>
      </c>
      <c r="AHR381" s="668" t="str">
        <f t="shared" si="378"/>
        <v>=AH350</v>
      </c>
      <c r="AHS381" s="668" t="str">
        <f t="shared" si="378"/>
        <v>=AH351</v>
      </c>
      <c r="AHT381" s="668" t="str">
        <f t="shared" si="378"/>
        <v>=AH352</v>
      </c>
      <c r="AHU381" s="668" t="str">
        <f t="shared" si="378"/>
        <v>=AH353</v>
      </c>
      <c r="AHV381" s="668" t="str">
        <f t="shared" si="378"/>
        <v>=AH354</v>
      </c>
      <c r="AHW381" s="668" t="str">
        <f t="shared" si="378"/>
        <v>=AH355</v>
      </c>
      <c r="AHX381" s="668" t="str">
        <f t="shared" si="378"/>
        <v>=AH356</v>
      </c>
      <c r="AHY381" s="668" t="str">
        <f t="shared" si="378"/>
        <v>=AI349</v>
      </c>
      <c r="AHZ381" s="668" t="str">
        <f t="shared" si="378"/>
        <v>=AI350</v>
      </c>
      <c r="AIA381" s="668" t="str">
        <f t="shared" si="378"/>
        <v>=AI351</v>
      </c>
      <c r="AIB381" s="668" t="str">
        <f t="shared" si="378"/>
        <v>=AI352</v>
      </c>
      <c r="AIC381" s="668" t="str">
        <f t="shared" si="378"/>
        <v>=AI353</v>
      </c>
      <c r="AID381" s="668" t="str">
        <f t="shared" si="378"/>
        <v>=AI354</v>
      </c>
      <c r="AIE381" s="668" t="str">
        <f t="shared" si="378"/>
        <v>=AI355</v>
      </c>
      <c r="AIF381" s="668" t="str">
        <f t="shared" si="378"/>
        <v>=AI356</v>
      </c>
      <c r="AIG381" s="668" t="str">
        <f t="shared" si="378"/>
        <v>=AJ349</v>
      </c>
      <c r="AIH381" s="668" t="str">
        <f t="shared" si="378"/>
        <v>=AJ350</v>
      </c>
      <c r="AII381" s="668" t="str">
        <f t="shared" si="378"/>
        <v>=AJ351</v>
      </c>
      <c r="AIJ381" s="668" t="str">
        <f t="shared" si="378"/>
        <v>=AJ352</v>
      </c>
      <c r="AIK381" s="668" t="str">
        <f t="shared" si="378"/>
        <v>=AJ353</v>
      </c>
      <c r="AIL381" s="668" t="str">
        <f t="shared" si="378"/>
        <v>=AJ354</v>
      </c>
      <c r="AIM381" s="668" t="str">
        <f t="shared" si="378"/>
        <v>=AJ355</v>
      </c>
      <c r="AIN381" s="668" t="str">
        <f t="shared" si="378"/>
        <v>=AJ356</v>
      </c>
      <c r="AIO381" s="668" t="str">
        <f t="shared" si="378"/>
        <v>=AK349</v>
      </c>
      <c r="AIP381" s="668" t="str">
        <f t="shared" si="378"/>
        <v>=AK350</v>
      </c>
      <c r="AIQ381" s="668" t="str">
        <f t="shared" si="378"/>
        <v>=AK351</v>
      </c>
      <c r="AIR381" s="668" t="str">
        <f t="shared" si="378"/>
        <v>=AK352</v>
      </c>
      <c r="AIS381" s="668" t="str">
        <f t="shared" si="378"/>
        <v>=AK353</v>
      </c>
      <c r="AIT381" s="668" t="str">
        <f t="shared" si="378"/>
        <v>=AK354</v>
      </c>
      <c r="AIU381" s="668" t="str">
        <f t="shared" si="378"/>
        <v>=AK355</v>
      </c>
      <c r="AIV381" s="668" t="str">
        <f t="shared" si="378"/>
        <v>=AK356</v>
      </c>
      <c r="AIW381" s="668" t="str">
        <f t="shared" si="378"/>
        <v>=AL349</v>
      </c>
      <c r="AIX381" s="668" t="str">
        <f t="shared" si="378"/>
        <v>=AL350</v>
      </c>
      <c r="AIY381" s="668" t="str">
        <f t="shared" si="378"/>
        <v>=AL351</v>
      </c>
      <c r="AIZ381" s="668" t="str">
        <f t="shared" si="378"/>
        <v>=AL352</v>
      </c>
      <c r="AJA381" s="668" t="str">
        <f t="shared" si="378"/>
        <v>=AL353</v>
      </c>
      <c r="AJB381" s="668" t="str">
        <f t="shared" si="378"/>
        <v>=AL354</v>
      </c>
      <c r="AJC381" s="668" t="str">
        <f t="shared" si="378"/>
        <v>=AL355</v>
      </c>
      <c r="AJD381" s="668" t="str">
        <f t="shared" si="378"/>
        <v>=AL356</v>
      </c>
      <c r="AJE381" s="668" t="str">
        <f t="shared" si="378"/>
        <v>=AM349</v>
      </c>
      <c r="AJF381" s="668" t="str">
        <f t="shared" si="378"/>
        <v>=AM350</v>
      </c>
      <c r="AJG381" s="668" t="str">
        <f t="shared" si="378"/>
        <v>=AM351</v>
      </c>
      <c r="AJH381" s="668" t="str">
        <f t="shared" si="378"/>
        <v>=AM352</v>
      </c>
      <c r="AJI381" s="668" t="str">
        <f t="shared" si="378"/>
        <v>=AM353</v>
      </c>
      <c r="AJJ381" s="668" t="str">
        <f t="shared" si="378"/>
        <v>=AM354</v>
      </c>
      <c r="AJK381" s="668" t="str">
        <f t="shared" si="378"/>
        <v>=AM355</v>
      </c>
      <c r="AJL381" s="668" t="str">
        <f t="shared" si="378"/>
        <v>=AM356</v>
      </c>
      <c r="AJM381" s="668" t="str">
        <f t="shared" si="378"/>
        <v>=AN349</v>
      </c>
      <c r="AJN381" s="668" t="str">
        <f t="shared" ref="AJN381:AJT381" si="379">CONCATENATE("=",AJN378)</f>
        <v>=AN350</v>
      </c>
      <c r="AJO381" s="668" t="str">
        <f t="shared" si="379"/>
        <v>=AN351</v>
      </c>
      <c r="AJP381" s="668" t="str">
        <f t="shared" si="379"/>
        <v>=AN352</v>
      </c>
      <c r="AJQ381" s="668" t="str">
        <f t="shared" si="379"/>
        <v>=AN353</v>
      </c>
      <c r="AJR381" s="668" t="str">
        <f t="shared" si="379"/>
        <v>=AN354</v>
      </c>
      <c r="AJS381" s="668" t="str">
        <f t="shared" si="379"/>
        <v>=AN355</v>
      </c>
      <c r="AJT381" s="668" t="str">
        <f t="shared" si="379"/>
        <v>=AN356</v>
      </c>
      <c r="AKE381" s="668" t="str">
        <f>CONCATENATE("=",AKE378)</f>
        <v>=AO349</v>
      </c>
      <c r="AKF381" s="668" t="str">
        <f t="shared" ref="AKF381:ALZ381" si="380">CONCATENATE("=",AKF378)</f>
        <v>=AO350</v>
      </c>
      <c r="AKG381" s="668" t="str">
        <f t="shared" si="380"/>
        <v>=AO351</v>
      </c>
      <c r="AKH381" s="668" t="str">
        <f t="shared" si="380"/>
        <v>=AO352</v>
      </c>
      <c r="AKI381" s="668" t="str">
        <f t="shared" si="380"/>
        <v>=AO353</v>
      </c>
      <c r="AKJ381" s="668" t="str">
        <f t="shared" si="380"/>
        <v>=AO354</v>
      </c>
      <c r="AKK381" s="668" t="str">
        <f t="shared" si="380"/>
        <v>=AO355</v>
      </c>
      <c r="AKL381" s="668" t="str">
        <f t="shared" si="380"/>
        <v>=AO356</v>
      </c>
      <c r="AKM381" s="668" t="str">
        <f t="shared" si="380"/>
        <v>=AP349</v>
      </c>
      <c r="AKN381" s="668" t="str">
        <f t="shared" ref="AKN381:AKT381" si="381">CONCATENATE("=",AKN378)</f>
        <v>=AP350</v>
      </c>
      <c r="AKO381" s="668" t="str">
        <f t="shared" si="381"/>
        <v>=AP351</v>
      </c>
      <c r="AKP381" s="668" t="str">
        <f t="shared" si="381"/>
        <v>=AP352</v>
      </c>
      <c r="AKQ381" s="668" t="str">
        <f t="shared" si="381"/>
        <v>=AP353</v>
      </c>
      <c r="AKR381" s="668" t="str">
        <f t="shared" si="381"/>
        <v>=AP354</v>
      </c>
      <c r="AKS381" s="668" t="str">
        <f t="shared" si="381"/>
        <v>=AP355</v>
      </c>
      <c r="AKT381" s="668" t="str">
        <f t="shared" si="381"/>
        <v>=AP356</v>
      </c>
      <c r="AKU381" s="668" t="str">
        <f t="shared" si="380"/>
        <v>=AQ349</v>
      </c>
      <c r="AKV381" s="668" t="str">
        <f t="shared" si="380"/>
        <v>=AQ350</v>
      </c>
      <c r="AKW381" s="668" t="str">
        <f t="shared" si="380"/>
        <v>=AQ351</v>
      </c>
      <c r="AKX381" s="668" t="str">
        <f t="shared" si="380"/>
        <v>=AQ352</v>
      </c>
      <c r="AKY381" s="668" t="str">
        <f t="shared" si="380"/>
        <v>=AQ353</v>
      </c>
      <c r="AKZ381" s="668" t="str">
        <f t="shared" si="380"/>
        <v>=AQ354</v>
      </c>
      <c r="ALA381" s="668" t="str">
        <f t="shared" si="380"/>
        <v>=AQ355</v>
      </c>
      <c r="ALB381" s="668" t="str">
        <f t="shared" si="380"/>
        <v>=AQ356</v>
      </c>
      <c r="ALC381" s="668" t="str">
        <f t="shared" si="380"/>
        <v>=AR349</v>
      </c>
      <c r="ALD381" s="668" t="str">
        <f t="shared" si="380"/>
        <v>=AR350</v>
      </c>
      <c r="ALE381" s="668" t="str">
        <f t="shared" si="380"/>
        <v>=AR351</v>
      </c>
      <c r="ALF381" s="668" t="str">
        <f t="shared" si="380"/>
        <v>=AR352</v>
      </c>
      <c r="ALG381" s="668" t="str">
        <f t="shared" si="380"/>
        <v>=AR353</v>
      </c>
      <c r="ALH381" s="668" t="str">
        <f t="shared" si="380"/>
        <v>=AR354</v>
      </c>
      <c r="ALI381" s="668" t="str">
        <f t="shared" si="380"/>
        <v>=AR355</v>
      </c>
      <c r="ALJ381" s="668" t="str">
        <f t="shared" si="380"/>
        <v>=AR356</v>
      </c>
      <c r="ALK381" s="668" t="str">
        <f t="shared" si="380"/>
        <v>=AS349</v>
      </c>
      <c r="ALL381" s="668" t="str">
        <f t="shared" si="380"/>
        <v>=AS350</v>
      </c>
      <c r="ALM381" s="668" t="str">
        <f t="shared" si="380"/>
        <v>=AS351</v>
      </c>
      <c r="ALN381" s="668" t="str">
        <f t="shared" si="380"/>
        <v>=AS352</v>
      </c>
      <c r="ALO381" s="668" t="str">
        <f t="shared" si="380"/>
        <v>=AS353</v>
      </c>
      <c r="ALP381" s="668" t="str">
        <f t="shared" si="380"/>
        <v>=AS354</v>
      </c>
      <c r="ALQ381" s="668" t="str">
        <f t="shared" si="380"/>
        <v>=AS355</v>
      </c>
      <c r="ALR381" s="668" t="str">
        <f t="shared" si="380"/>
        <v>=AS356</v>
      </c>
      <c r="ALS381" s="668" t="str">
        <f t="shared" si="380"/>
        <v>=AT349</v>
      </c>
      <c r="ALT381" s="668" t="str">
        <f t="shared" si="380"/>
        <v>=AT350</v>
      </c>
      <c r="ALU381" s="668" t="str">
        <f t="shared" si="380"/>
        <v>=AT351</v>
      </c>
      <c r="ALV381" s="668" t="str">
        <f t="shared" si="380"/>
        <v>=AT352</v>
      </c>
      <c r="ALW381" s="668" t="str">
        <f t="shared" si="380"/>
        <v>=AT353</v>
      </c>
      <c r="ALX381" s="668" t="str">
        <f t="shared" si="380"/>
        <v>=AT354</v>
      </c>
      <c r="ALY381" s="668" t="str">
        <f t="shared" si="380"/>
        <v>=AT355</v>
      </c>
      <c r="ALZ381" s="668" t="str">
        <f t="shared" si="380"/>
        <v>=AT356</v>
      </c>
    </row>
    <row r="382" spans="2:1014" ht="20.100000000000001" customHeight="1">
      <c r="V382" s="1450"/>
      <c r="W382" s="1450"/>
      <c r="X382" s="1450"/>
      <c r="Y382" s="1450"/>
      <c r="Z382" s="1450"/>
      <c r="CM382" s="1447"/>
      <c r="ZQ382" s="668" t="s">
        <v>5135</v>
      </c>
      <c r="ZR382" s="668" t="s">
        <v>5136</v>
      </c>
      <c r="ZS382" s="668" t="s">
        <v>5137</v>
      </c>
      <c r="ZT382" s="668" t="s">
        <v>5138</v>
      </c>
      <c r="ZU382" s="668" t="s">
        <v>5139</v>
      </c>
      <c r="ZV382" s="668" t="s">
        <v>5140</v>
      </c>
      <c r="ZW382" s="668" t="s">
        <v>5141</v>
      </c>
      <c r="ZX382" s="668" t="s">
        <v>5142</v>
      </c>
      <c r="ZY382" s="668" t="s">
        <v>5143</v>
      </c>
      <c r="ZZ382" s="668" t="s">
        <v>5144</v>
      </c>
      <c r="AAA382" s="668" t="s">
        <v>5145</v>
      </c>
      <c r="AAB382" s="668" t="s">
        <v>5146</v>
      </c>
      <c r="AAC382" s="668" t="s">
        <v>5147</v>
      </c>
      <c r="AAD382" s="668" t="s">
        <v>5148</v>
      </c>
      <c r="AAE382" s="668" t="s">
        <v>5149</v>
      </c>
      <c r="AAF382" s="668" t="s">
        <v>5150</v>
      </c>
      <c r="AAG382" s="668" t="s">
        <v>5151</v>
      </c>
      <c r="AAH382" s="668" t="s">
        <v>5152</v>
      </c>
      <c r="AAI382" s="668" t="s">
        <v>5153</v>
      </c>
      <c r="AAJ382" s="668" t="s">
        <v>5154</v>
      </c>
      <c r="AAK382" s="668" t="s">
        <v>5155</v>
      </c>
      <c r="AAL382" s="668" t="s">
        <v>5156</v>
      </c>
      <c r="AAM382" s="668" t="s">
        <v>5157</v>
      </c>
      <c r="AAN382" s="668" t="s">
        <v>5158</v>
      </c>
      <c r="AAO382" s="668" t="s">
        <v>5159</v>
      </c>
      <c r="AAP382" s="668" t="s">
        <v>5160</v>
      </c>
      <c r="AAQ382" s="668" t="s">
        <v>5161</v>
      </c>
      <c r="AAR382" s="668" t="s">
        <v>5162</v>
      </c>
      <c r="AAS382" s="668" t="s">
        <v>5163</v>
      </c>
      <c r="AAT382" s="668" t="s">
        <v>5164</v>
      </c>
      <c r="AAU382" s="668" t="s">
        <v>5165</v>
      </c>
      <c r="AAV382" s="668" t="s">
        <v>5166</v>
      </c>
      <c r="AAW382" s="668" t="s">
        <v>5167</v>
      </c>
      <c r="AAX382" s="668" t="s">
        <v>5168</v>
      </c>
      <c r="AAY382" s="668" t="s">
        <v>5169</v>
      </c>
      <c r="AAZ382" s="668" t="s">
        <v>5170</v>
      </c>
      <c r="ABA382" s="668" t="s">
        <v>5171</v>
      </c>
      <c r="ABB382" s="668" t="s">
        <v>5172</v>
      </c>
      <c r="ABC382" s="668" t="s">
        <v>5173</v>
      </c>
      <c r="ABD382" s="668" t="s">
        <v>5174</v>
      </c>
      <c r="ABE382" s="668" t="s">
        <v>5175</v>
      </c>
      <c r="ABF382" s="668" t="s">
        <v>5176</v>
      </c>
      <c r="ABG382" s="668" t="s">
        <v>5177</v>
      </c>
      <c r="ABH382" s="668" t="s">
        <v>5178</v>
      </c>
      <c r="ABI382" s="668" t="s">
        <v>5179</v>
      </c>
      <c r="ABJ382" s="668" t="s">
        <v>5180</v>
      </c>
      <c r="ABK382" s="668" t="s">
        <v>5181</v>
      </c>
      <c r="ABL382" s="668" t="s">
        <v>5182</v>
      </c>
      <c r="ABM382" s="668" t="s">
        <v>5183</v>
      </c>
      <c r="ABN382" s="668" t="s">
        <v>5184</v>
      </c>
      <c r="ABO382" s="668" t="s">
        <v>5185</v>
      </c>
      <c r="ABP382" s="668" t="s">
        <v>5186</v>
      </c>
      <c r="ABQ382" s="668" t="s">
        <v>5187</v>
      </c>
      <c r="ABR382" s="668" t="s">
        <v>5188</v>
      </c>
      <c r="ABS382" s="668" t="s">
        <v>5189</v>
      </c>
      <c r="ABT382" s="668" t="s">
        <v>5190</v>
      </c>
      <c r="ABU382" s="668" t="s">
        <v>5191</v>
      </c>
      <c r="ABV382" s="668" t="s">
        <v>5192</v>
      </c>
      <c r="ABW382" s="668" t="s">
        <v>5193</v>
      </c>
      <c r="ABX382" s="668" t="s">
        <v>5194</v>
      </c>
      <c r="ABY382" s="668" t="s">
        <v>5195</v>
      </c>
      <c r="ABZ382" s="668" t="s">
        <v>5196</v>
      </c>
      <c r="ACA382" s="668" t="s">
        <v>5197</v>
      </c>
      <c r="ACB382" s="668" t="s">
        <v>5198</v>
      </c>
      <c r="ACC382" s="668" t="s">
        <v>5199</v>
      </c>
      <c r="ACD382" s="668" t="s">
        <v>5200</v>
      </c>
      <c r="ACE382" s="668" t="s">
        <v>5201</v>
      </c>
      <c r="ACF382" s="668" t="s">
        <v>5202</v>
      </c>
      <c r="ACG382" s="668" t="s">
        <v>5203</v>
      </c>
      <c r="ACH382" s="668" t="s">
        <v>5204</v>
      </c>
      <c r="ACI382" s="668" t="s">
        <v>5205</v>
      </c>
      <c r="ACJ382" s="668" t="s">
        <v>5206</v>
      </c>
      <c r="ACK382" s="668" t="s">
        <v>5207</v>
      </c>
      <c r="ACL382" s="668" t="s">
        <v>5208</v>
      </c>
      <c r="ACM382" s="668" t="s">
        <v>5209</v>
      </c>
      <c r="ACN382" s="668" t="s">
        <v>5210</v>
      </c>
      <c r="ACO382" s="668" t="s">
        <v>5211</v>
      </c>
      <c r="ACP382" s="668" t="s">
        <v>5212</v>
      </c>
      <c r="ACQ382" s="668" t="s">
        <v>5213</v>
      </c>
      <c r="ACR382" s="668" t="s">
        <v>5214</v>
      </c>
      <c r="ACS382" s="668" t="s">
        <v>5215</v>
      </c>
      <c r="ACT382" s="668" t="s">
        <v>5216</v>
      </c>
      <c r="ACU382" s="668" t="s">
        <v>5217</v>
      </c>
      <c r="ACV382" s="668" t="s">
        <v>5218</v>
      </c>
      <c r="ACW382" s="668" t="s">
        <v>5219</v>
      </c>
      <c r="ACX382" s="668" t="s">
        <v>5220</v>
      </c>
      <c r="ACY382" s="668" t="s">
        <v>5221</v>
      </c>
      <c r="ACZ382" s="668" t="s">
        <v>5222</v>
      </c>
      <c r="ADA382" s="668" t="s">
        <v>5223</v>
      </c>
      <c r="ADB382" s="668" t="s">
        <v>5224</v>
      </c>
      <c r="ADC382" s="668" t="s">
        <v>5225</v>
      </c>
      <c r="ADD382" s="668" t="s">
        <v>5226</v>
      </c>
      <c r="ADE382" s="668" t="s">
        <v>5227</v>
      </c>
      <c r="ADF382" s="668" t="s">
        <v>5228</v>
      </c>
      <c r="ADG382" s="668" t="s">
        <v>5229</v>
      </c>
      <c r="ADH382" s="668" t="s">
        <v>5230</v>
      </c>
      <c r="ADI382" s="668" t="s">
        <v>5231</v>
      </c>
      <c r="ADJ382" s="668" t="s">
        <v>5232</v>
      </c>
      <c r="ADK382" s="668" t="s">
        <v>5233</v>
      </c>
      <c r="ADL382" s="668" t="s">
        <v>5234</v>
      </c>
      <c r="ADM382" s="668" t="s">
        <v>5235</v>
      </c>
      <c r="ADN382" s="668" t="s">
        <v>5236</v>
      </c>
      <c r="ADO382" s="668" t="s">
        <v>5237</v>
      </c>
      <c r="ADP382" s="668" t="s">
        <v>5238</v>
      </c>
      <c r="ADQ382" s="668" t="s">
        <v>5239</v>
      </c>
      <c r="ADR382" s="668" t="s">
        <v>5240</v>
      </c>
      <c r="ADS382" s="668" t="s">
        <v>5241</v>
      </c>
      <c r="ADT382" s="668" t="s">
        <v>5242</v>
      </c>
      <c r="ADU382" s="668" t="s">
        <v>5243</v>
      </c>
      <c r="ADV382" s="668" t="s">
        <v>5244</v>
      </c>
      <c r="ADW382" s="668" t="s">
        <v>5245</v>
      </c>
      <c r="ADX382" s="668" t="s">
        <v>5246</v>
      </c>
      <c r="ADY382" s="668" t="s">
        <v>5247</v>
      </c>
      <c r="ADZ382" s="668" t="s">
        <v>5248</v>
      </c>
      <c r="AEA382" s="668" t="s">
        <v>5249</v>
      </c>
      <c r="AEB382" s="668" t="s">
        <v>5250</v>
      </c>
      <c r="AEC382" s="668" t="s">
        <v>5251</v>
      </c>
      <c r="AED382" s="668" t="s">
        <v>5252</v>
      </c>
      <c r="AEE382" s="668" t="s">
        <v>5253</v>
      </c>
      <c r="AEF382" s="668" t="s">
        <v>5254</v>
      </c>
      <c r="AEG382" s="668" t="s">
        <v>5255</v>
      </c>
      <c r="AEH382" s="668" t="s">
        <v>5256</v>
      </c>
      <c r="AEI382" s="668" t="s">
        <v>5257</v>
      </c>
      <c r="AEJ382" s="668" t="s">
        <v>5258</v>
      </c>
      <c r="AEK382" s="668" t="s">
        <v>5259</v>
      </c>
      <c r="AEL382" s="668" t="s">
        <v>5260</v>
      </c>
      <c r="AEM382" s="668" t="s">
        <v>5261</v>
      </c>
      <c r="AEN382" s="668" t="s">
        <v>5262</v>
      </c>
      <c r="AEO382" s="668" t="s">
        <v>5263</v>
      </c>
      <c r="AEP382" s="668" t="s">
        <v>5264</v>
      </c>
      <c r="AEQ382" s="668" t="s">
        <v>5265</v>
      </c>
      <c r="AER382" s="668" t="s">
        <v>5266</v>
      </c>
      <c r="AES382" s="668" t="s">
        <v>5267</v>
      </c>
      <c r="AET382" s="668" t="s">
        <v>5268</v>
      </c>
      <c r="AEU382" s="668" t="s">
        <v>5269</v>
      </c>
      <c r="AEV382" s="668" t="s">
        <v>5270</v>
      </c>
      <c r="AEW382" s="668" t="s">
        <v>5271</v>
      </c>
      <c r="AEX382" s="668" t="s">
        <v>5272</v>
      </c>
      <c r="AEY382" s="668" t="s">
        <v>5273</v>
      </c>
      <c r="AEZ382" s="668" t="s">
        <v>5274</v>
      </c>
      <c r="AFA382" s="668" t="s">
        <v>5275</v>
      </c>
      <c r="AFB382" s="668" t="s">
        <v>5276</v>
      </c>
      <c r="AFC382" s="668" t="s">
        <v>5277</v>
      </c>
      <c r="AFD382" s="668" t="s">
        <v>5278</v>
      </c>
      <c r="AFE382" s="668" t="s">
        <v>5279</v>
      </c>
      <c r="AFF382" s="668" t="s">
        <v>5280</v>
      </c>
      <c r="AFG382" s="668" t="s">
        <v>5281</v>
      </c>
      <c r="AFH382" s="668" t="s">
        <v>5282</v>
      </c>
      <c r="AFI382" s="668" t="s">
        <v>5283</v>
      </c>
      <c r="AFJ382" s="668" t="s">
        <v>5284</v>
      </c>
      <c r="AFK382" s="668" t="s">
        <v>5285</v>
      </c>
      <c r="AFL382" s="668" t="s">
        <v>5286</v>
      </c>
      <c r="AFM382" s="668" t="s">
        <v>5287</v>
      </c>
      <c r="AFN382" s="668" t="s">
        <v>5288</v>
      </c>
      <c r="AFO382" s="668" t="s">
        <v>5289</v>
      </c>
      <c r="AFP382" s="668" t="s">
        <v>5290</v>
      </c>
      <c r="AFQ382" s="668" t="s">
        <v>5291</v>
      </c>
      <c r="AFR382" s="668" t="s">
        <v>5292</v>
      </c>
      <c r="AFS382" s="668" t="s">
        <v>5293</v>
      </c>
      <c r="AFT382" s="668" t="s">
        <v>5294</v>
      </c>
      <c r="AFU382" s="668" t="s">
        <v>5295</v>
      </c>
      <c r="AFV382" s="668" t="s">
        <v>5296</v>
      </c>
      <c r="AFW382" s="668" t="s">
        <v>5297</v>
      </c>
      <c r="AFX382" s="668" t="s">
        <v>5298</v>
      </c>
      <c r="AFY382" s="668" t="s">
        <v>5299</v>
      </c>
      <c r="AFZ382" s="668" t="s">
        <v>5300</v>
      </c>
      <c r="AGA382" s="668" t="s">
        <v>5301</v>
      </c>
      <c r="AGB382" s="668" t="s">
        <v>5302</v>
      </c>
      <c r="AGC382" s="668" t="s">
        <v>5303</v>
      </c>
      <c r="AGD382" s="668" t="s">
        <v>5304</v>
      </c>
      <c r="AGE382" s="668" t="s">
        <v>5305</v>
      </c>
      <c r="AGF382" s="668" t="s">
        <v>5306</v>
      </c>
      <c r="AGG382" s="668" t="s">
        <v>5307</v>
      </c>
      <c r="AGH382" s="668" t="s">
        <v>5308</v>
      </c>
      <c r="AGI382" s="668" t="s">
        <v>5309</v>
      </c>
      <c r="AGJ382" s="668" t="s">
        <v>5310</v>
      </c>
      <c r="AGK382" s="668" t="s">
        <v>5311</v>
      </c>
      <c r="AGL382" s="668" t="s">
        <v>5312</v>
      </c>
      <c r="AGM382" s="668" t="s">
        <v>5313</v>
      </c>
      <c r="AGN382" s="668" t="s">
        <v>5314</v>
      </c>
      <c r="AGO382" s="668" t="s">
        <v>5315</v>
      </c>
      <c r="AGP382" s="668" t="s">
        <v>5316</v>
      </c>
      <c r="AGQ382" s="668" t="s">
        <v>5317</v>
      </c>
      <c r="AGR382" s="668" t="s">
        <v>5318</v>
      </c>
      <c r="AGS382" s="668" t="s">
        <v>5319</v>
      </c>
      <c r="AGT382" s="668" t="s">
        <v>5320</v>
      </c>
      <c r="AGU382" s="668" t="s">
        <v>5321</v>
      </c>
      <c r="AGV382" s="668" t="s">
        <v>5322</v>
      </c>
      <c r="AGW382" s="668" t="s">
        <v>5323</v>
      </c>
      <c r="AGX382" s="668" t="s">
        <v>5324</v>
      </c>
      <c r="AGY382" s="668" t="s">
        <v>5325</v>
      </c>
      <c r="AGZ382" s="668" t="s">
        <v>5326</v>
      </c>
      <c r="AHA382" s="668" t="s">
        <v>5327</v>
      </c>
      <c r="AHB382" s="668" t="s">
        <v>5328</v>
      </c>
      <c r="AHC382" s="668" t="s">
        <v>5329</v>
      </c>
      <c r="AHD382" s="668" t="s">
        <v>5330</v>
      </c>
      <c r="AHE382" s="668" t="s">
        <v>5331</v>
      </c>
      <c r="AHF382" s="668" t="s">
        <v>5332</v>
      </c>
      <c r="AHG382" s="668" t="s">
        <v>5333</v>
      </c>
      <c r="AHH382" s="668" t="s">
        <v>5334</v>
      </c>
      <c r="AHI382" s="668" t="s">
        <v>5335</v>
      </c>
      <c r="AHJ382" s="668" t="s">
        <v>5336</v>
      </c>
      <c r="AHK382" s="668" t="s">
        <v>5337</v>
      </c>
      <c r="AHL382" s="668" t="s">
        <v>5338</v>
      </c>
      <c r="AHM382" s="668" t="s">
        <v>5339</v>
      </c>
      <c r="AHN382" s="668" t="s">
        <v>5340</v>
      </c>
      <c r="AHO382" s="668" t="s">
        <v>5341</v>
      </c>
      <c r="AHP382" s="668" t="s">
        <v>5342</v>
      </c>
      <c r="AHQ382" s="668" t="s">
        <v>5343</v>
      </c>
      <c r="AHR382" s="668" t="s">
        <v>5344</v>
      </c>
      <c r="AHS382" s="668" t="s">
        <v>5345</v>
      </c>
      <c r="AHT382" s="668" t="s">
        <v>5346</v>
      </c>
      <c r="AHU382" s="668" t="s">
        <v>5347</v>
      </c>
      <c r="AHV382" s="668" t="s">
        <v>5348</v>
      </c>
      <c r="AHW382" s="668" t="s">
        <v>5349</v>
      </c>
      <c r="AHX382" s="668" t="s">
        <v>5350</v>
      </c>
      <c r="AHY382" s="668" t="s">
        <v>5351</v>
      </c>
      <c r="AHZ382" s="668" t="s">
        <v>5352</v>
      </c>
      <c r="AIA382" s="668" t="s">
        <v>5353</v>
      </c>
      <c r="AIB382" s="668" t="s">
        <v>5354</v>
      </c>
      <c r="AIC382" s="668" t="s">
        <v>5355</v>
      </c>
      <c r="AID382" s="668" t="s">
        <v>5356</v>
      </c>
      <c r="AIE382" s="668" t="s">
        <v>5357</v>
      </c>
      <c r="AIF382" s="668" t="s">
        <v>5358</v>
      </c>
      <c r="AIG382" s="668" t="s">
        <v>5359</v>
      </c>
      <c r="AIH382" s="668" t="s">
        <v>5360</v>
      </c>
      <c r="AII382" s="668" t="s">
        <v>5361</v>
      </c>
      <c r="AIJ382" s="668" t="s">
        <v>5362</v>
      </c>
      <c r="AIK382" s="668" t="s">
        <v>5363</v>
      </c>
      <c r="AIL382" s="668" t="s">
        <v>5364</v>
      </c>
      <c r="AIM382" s="668" t="s">
        <v>5365</v>
      </c>
      <c r="AIN382" s="668" t="s">
        <v>5366</v>
      </c>
      <c r="AIO382" s="668" t="s">
        <v>5367</v>
      </c>
      <c r="AIP382" s="668" t="s">
        <v>5368</v>
      </c>
      <c r="AIQ382" s="668" t="s">
        <v>5369</v>
      </c>
      <c r="AIR382" s="668" t="s">
        <v>5370</v>
      </c>
      <c r="AIS382" s="668" t="s">
        <v>5371</v>
      </c>
      <c r="AIT382" s="668" t="s">
        <v>5372</v>
      </c>
      <c r="AIU382" s="668" t="s">
        <v>5373</v>
      </c>
      <c r="AIV382" s="668" t="s">
        <v>5374</v>
      </c>
      <c r="AIW382" s="668" t="s">
        <v>5375</v>
      </c>
      <c r="AIX382" s="668" t="s">
        <v>5376</v>
      </c>
      <c r="AIY382" s="668" t="s">
        <v>5377</v>
      </c>
      <c r="AIZ382" s="668" t="s">
        <v>5378</v>
      </c>
      <c r="AJA382" s="668" t="s">
        <v>5379</v>
      </c>
      <c r="AJB382" s="668" t="s">
        <v>5380</v>
      </c>
      <c r="AJC382" s="668" t="s">
        <v>5381</v>
      </c>
      <c r="AJD382" s="668" t="s">
        <v>5382</v>
      </c>
      <c r="AJE382" s="668" t="s">
        <v>5383</v>
      </c>
      <c r="AJF382" s="668" t="s">
        <v>5384</v>
      </c>
      <c r="AJG382" s="668" t="s">
        <v>5385</v>
      </c>
      <c r="AJH382" s="668" t="s">
        <v>5386</v>
      </c>
      <c r="AJI382" s="668" t="s">
        <v>5387</v>
      </c>
      <c r="AJJ382" s="668" t="s">
        <v>5388</v>
      </c>
      <c r="AJK382" s="668" t="s">
        <v>5389</v>
      </c>
      <c r="AJL382" s="668" t="s">
        <v>5390</v>
      </c>
      <c r="AJM382" s="668" t="s">
        <v>5391</v>
      </c>
      <c r="AJN382" s="668" t="s">
        <v>5392</v>
      </c>
      <c r="AJO382" s="668" t="s">
        <v>5393</v>
      </c>
      <c r="AJP382" s="668" t="s">
        <v>5394</v>
      </c>
      <c r="AJQ382" s="668" t="s">
        <v>5395</v>
      </c>
      <c r="AJR382" s="668" t="s">
        <v>5396</v>
      </c>
      <c r="AJS382" s="668" t="s">
        <v>5397</v>
      </c>
      <c r="AJT382" s="668" t="s">
        <v>5398</v>
      </c>
      <c r="AKE382" s="668" t="s">
        <v>5404</v>
      </c>
      <c r="AKF382" s="668" t="s">
        <v>5405</v>
      </c>
      <c r="AKG382" s="668" t="s">
        <v>5406</v>
      </c>
      <c r="AKH382" s="668" t="s">
        <v>5407</v>
      </c>
      <c r="AKI382" s="668" t="s">
        <v>5408</v>
      </c>
      <c r="AKJ382" s="668" t="s">
        <v>5409</v>
      </c>
      <c r="AKK382" s="668" t="s">
        <v>5410</v>
      </c>
      <c r="AKL382" s="668" t="s">
        <v>5411</v>
      </c>
      <c r="AKM382" s="668" t="s">
        <v>5417</v>
      </c>
      <c r="AKN382" s="668" t="s">
        <v>5418</v>
      </c>
      <c r="AKO382" s="668" t="s">
        <v>5419</v>
      </c>
      <c r="AKP382" s="668" t="s">
        <v>5420</v>
      </c>
      <c r="AKQ382" s="668" t="s">
        <v>5421</v>
      </c>
      <c r="AKR382" s="668" t="s">
        <v>5422</v>
      </c>
      <c r="AKS382" s="668" t="s">
        <v>5423</v>
      </c>
      <c r="AKT382" s="668" t="s">
        <v>5424</v>
      </c>
      <c r="AKU382" s="668" t="s">
        <v>5425</v>
      </c>
      <c r="AKV382" s="668" t="s">
        <v>5426</v>
      </c>
      <c r="AKW382" s="668" t="s">
        <v>5427</v>
      </c>
      <c r="AKX382" s="668" t="s">
        <v>5428</v>
      </c>
      <c r="AKY382" s="668" t="s">
        <v>5429</v>
      </c>
      <c r="AKZ382" s="668" t="s">
        <v>5430</v>
      </c>
      <c r="ALA382" s="668" t="s">
        <v>5431</v>
      </c>
      <c r="ALB382" s="668" t="s">
        <v>5432</v>
      </c>
      <c r="ALC382" s="668" t="s">
        <v>5433</v>
      </c>
      <c r="ALD382" s="668" t="s">
        <v>5434</v>
      </c>
      <c r="ALE382" s="668" t="s">
        <v>5435</v>
      </c>
      <c r="ALF382" s="668" t="s">
        <v>5436</v>
      </c>
      <c r="ALG382" s="668" t="s">
        <v>5437</v>
      </c>
      <c r="ALH382" s="668" t="s">
        <v>5438</v>
      </c>
      <c r="ALI382" s="668" t="s">
        <v>5439</v>
      </c>
      <c r="ALJ382" s="668" t="s">
        <v>5440</v>
      </c>
      <c r="ALK382" s="668" t="s">
        <v>5441</v>
      </c>
      <c r="ALL382" s="668" t="s">
        <v>5442</v>
      </c>
      <c r="ALM382" s="668" t="s">
        <v>5443</v>
      </c>
      <c r="ALN382" s="668" t="s">
        <v>5444</v>
      </c>
      <c r="ALO382" s="668" t="s">
        <v>5445</v>
      </c>
      <c r="ALP382" s="668" t="s">
        <v>5446</v>
      </c>
      <c r="ALQ382" s="668" t="s">
        <v>5447</v>
      </c>
      <c r="ALR382" s="668" t="s">
        <v>5448</v>
      </c>
      <c r="ALS382" s="668" t="s">
        <v>5449</v>
      </c>
      <c r="ALT382" s="668" t="s">
        <v>5450</v>
      </c>
      <c r="ALU382" s="668" t="s">
        <v>5451</v>
      </c>
      <c r="ALV382" s="668" t="s">
        <v>5452</v>
      </c>
      <c r="ALW382" s="668" t="s">
        <v>5453</v>
      </c>
      <c r="ALX382" s="668" t="s">
        <v>5454</v>
      </c>
      <c r="ALY382" s="668" t="s">
        <v>5455</v>
      </c>
      <c r="ALZ382" s="668" t="s">
        <v>5456</v>
      </c>
    </row>
    <row r="383" spans="2:1014" ht="20.100000000000001" customHeight="1">
      <c r="CM383" s="1447"/>
    </row>
  </sheetData>
  <mergeCells count="1056">
    <mergeCell ref="ALY367:ALY369"/>
    <mergeCell ref="ALZ367:ALZ369"/>
    <mergeCell ref="ALT367:ALT369"/>
    <mergeCell ref="ALU367:ALU369"/>
    <mergeCell ref="ALV367:ALV369"/>
    <mergeCell ref="ALW367:ALW369"/>
    <mergeCell ref="ALX367:ALX369"/>
    <mergeCell ref="ALO367:ALO369"/>
    <mergeCell ref="ALP367:ALP369"/>
    <mergeCell ref="ALQ367:ALQ369"/>
    <mergeCell ref="ALR367:ALR369"/>
    <mergeCell ref="ALS367:ALS369"/>
    <mergeCell ref="ALJ367:ALJ369"/>
    <mergeCell ref="ALK367:ALK369"/>
    <mergeCell ref="ALL367:ALL369"/>
    <mergeCell ref="ALM367:ALM369"/>
    <mergeCell ref="ALN367:ALN369"/>
    <mergeCell ref="ALE367:ALE369"/>
    <mergeCell ref="ALF367:ALF369"/>
    <mergeCell ref="ALG367:ALG369"/>
    <mergeCell ref="ALH367:ALH369"/>
    <mergeCell ref="ALI367:ALI369"/>
    <mergeCell ref="AKZ367:AKZ369"/>
    <mergeCell ref="ALA367:ALA369"/>
    <mergeCell ref="ALB367:ALB369"/>
    <mergeCell ref="ALC367:ALC369"/>
    <mergeCell ref="ALD367:ALD369"/>
    <mergeCell ref="AKU367:AKU369"/>
    <mergeCell ref="AKV367:AKV369"/>
    <mergeCell ref="AKW367:AKW369"/>
    <mergeCell ref="AKX367:AKX369"/>
    <mergeCell ref="AKY367:AKY369"/>
    <mergeCell ref="AKP367:AKP369"/>
    <mergeCell ref="AKQ367:AKQ369"/>
    <mergeCell ref="AKR367:AKR369"/>
    <mergeCell ref="AKS367:AKS369"/>
    <mergeCell ref="AKT367:AKT369"/>
    <mergeCell ref="AKK367:AKK369"/>
    <mergeCell ref="AKL367:AKL369"/>
    <mergeCell ref="AKM367:AKM369"/>
    <mergeCell ref="AKN367:AKN369"/>
    <mergeCell ref="AKO367:AKO369"/>
    <mergeCell ref="AKF367:AKF369"/>
    <mergeCell ref="AKG367:AKG369"/>
    <mergeCell ref="AKH367:AKH369"/>
    <mergeCell ref="AKI367:AKI369"/>
    <mergeCell ref="AKJ367:AKJ369"/>
    <mergeCell ref="AKA367:AKA369"/>
    <mergeCell ref="AKB367:AKB369"/>
    <mergeCell ref="AKC367:AKC369"/>
    <mergeCell ref="AKD367:AKD369"/>
    <mergeCell ref="AKE367:AKE369"/>
    <mergeCell ref="AJV367:AJV369"/>
    <mergeCell ref="AJW367:AJW369"/>
    <mergeCell ref="AJX367:AJX369"/>
    <mergeCell ref="AJY367:AJY369"/>
    <mergeCell ref="AJZ367:AJZ369"/>
    <mergeCell ref="AJQ367:AJQ369"/>
    <mergeCell ref="AJR367:AJR369"/>
    <mergeCell ref="AJS367:AJS369"/>
    <mergeCell ref="AJT367:AJT369"/>
    <mergeCell ref="AJU367:AJU369"/>
    <mergeCell ref="AJL367:AJL369"/>
    <mergeCell ref="AJM367:AJM369"/>
    <mergeCell ref="AJN367:AJN369"/>
    <mergeCell ref="AJO367:AJO369"/>
    <mergeCell ref="AJP367:AJP369"/>
    <mergeCell ref="AJG367:AJG369"/>
    <mergeCell ref="AJH367:AJH369"/>
    <mergeCell ref="AJI367:AJI369"/>
    <mergeCell ref="AJJ367:AJJ369"/>
    <mergeCell ref="AJK367:AJK369"/>
    <mergeCell ref="AJB367:AJB369"/>
    <mergeCell ref="AJC367:AJC369"/>
    <mergeCell ref="AJD367:AJD369"/>
    <mergeCell ref="AJE367:AJE369"/>
    <mergeCell ref="AJF367:AJF369"/>
    <mergeCell ref="AIW367:AIW369"/>
    <mergeCell ref="AIX367:AIX369"/>
    <mergeCell ref="AIY367:AIY369"/>
    <mergeCell ref="AIZ367:AIZ369"/>
    <mergeCell ref="AJA367:AJA369"/>
    <mergeCell ref="AIR367:AIR369"/>
    <mergeCell ref="AIS367:AIS369"/>
    <mergeCell ref="AIT367:AIT369"/>
    <mergeCell ref="AIU367:AIU369"/>
    <mergeCell ref="AIV367:AIV369"/>
    <mergeCell ref="AIM367:AIM369"/>
    <mergeCell ref="AIN367:AIN369"/>
    <mergeCell ref="AIO367:AIO369"/>
    <mergeCell ref="AIP367:AIP369"/>
    <mergeCell ref="AIQ367:AIQ369"/>
    <mergeCell ref="AIH367:AIH369"/>
    <mergeCell ref="AII367:AII369"/>
    <mergeCell ref="AIJ367:AIJ369"/>
    <mergeCell ref="AIK367:AIK369"/>
    <mergeCell ref="AIL367:AIL369"/>
    <mergeCell ref="AIC367:AIC369"/>
    <mergeCell ref="AID367:AID369"/>
    <mergeCell ref="AIE367:AIE369"/>
    <mergeCell ref="AIF367:AIF369"/>
    <mergeCell ref="AIG367:AIG369"/>
    <mergeCell ref="AHX367:AHX369"/>
    <mergeCell ref="AHY367:AHY369"/>
    <mergeCell ref="AHZ367:AHZ369"/>
    <mergeCell ref="AIA367:AIA369"/>
    <mergeCell ref="AIB367:AIB369"/>
    <mergeCell ref="AHS367:AHS369"/>
    <mergeCell ref="AHT367:AHT369"/>
    <mergeCell ref="AHU367:AHU369"/>
    <mergeCell ref="AHV367:AHV369"/>
    <mergeCell ref="AHW367:AHW369"/>
    <mergeCell ref="AHN367:AHN369"/>
    <mergeCell ref="AHO367:AHO369"/>
    <mergeCell ref="AHP367:AHP369"/>
    <mergeCell ref="AHQ367:AHQ369"/>
    <mergeCell ref="AHR367:AHR369"/>
    <mergeCell ref="AHI367:AHI369"/>
    <mergeCell ref="AHJ367:AHJ369"/>
    <mergeCell ref="AHK367:AHK369"/>
    <mergeCell ref="AHL367:AHL369"/>
    <mergeCell ref="AHM367:AHM369"/>
    <mergeCell ref="AHD367:AHD369"/>
    <mergeCell ref="AHE367:AHE369"/>
    <mergeCell ref="AHF367:AHF369"/>
    <mergeCell ref="AHG367:AHG369"/>
    <mergeCell ref="AHH367:AHH369"/>
    <mergeCell ref="AGY367:AGY369"/>
    <mergeCell ref="AGZ367:AGZ369"/>
    <mergeCell ref="AHA367:AHA369"/>
    <mergeCell ref="AHB367:AHB369"/>
    <mergeCell ref="AHC367:AHC369"/>
    <mergeCell ref="AGT367:AGT369"/>
    <mergeCell ref="AGU367:AGU369"/>
    <mergeCell ref="AGV367:AGV369"/>
    <mergeCell ref="AGW367:AGW369"/>
    <mergeCell ref="AGX367:AGX369"/>
    <mergeCell ref="AGO367:AGO369"/>
    <mergeCell ref="AGP367:AGP369"/>
    <mergeCell ref="AGQ367:AGQ369"/>
    <mergeCell ref="AGR367:AGR369"/>
    <mergeCell ref="AGS367:AGS369"/>
    <mergeCell ref="AGJ367:AGJ369"/>
    <mergeCell ref="AGK367:AGK369"/>
    <mergeCell ref="AGL367:AGL369"/>
    <mergeCell ref="AGM367:AGM369"/>
    <mergeCell ref="AGN367:AGN369"/>
    <mergeCell ref="AGE367:AGE369"/>
    <mergeCell ref="AGF367:AGF369"/>
    <mergeCell ref="AGG367:AGG369"/>
    <mergeCell ref="AGH367:AGH369"/>
    <mergeCell ref="AGI367:AGI369"/>
    <mergeCell ref="AFZ367:AFZ369"/>
    <mergeCell ref="AGA367:AGA369"/>
    <mergeCell ref="AGB367:AGB369"/>
    <mergeCell ref="AGC367:AGC369"/>
    <mergeCell ref="AGD367:AGD369"/>
    <mergeCell ref="AFU367:AFU369"/>
    <mergeCell ref="AFV367:AFV369"/>
    <mergeCell ref="AFW367:AFW369"/>
    <mergeCell ref="AFX367:AFX369"/>
    <mergeCell ref="AFY367:AFY369"/>
    <mergeCell ref="AFP367:AFP369"/>
    <mergeCell ref="AFQ367:AFQ369"/>
    <mergeCell ref="AFR367:AFR369"/>
    <mergeCell ref="AFS367:AFS369"/>
    <mergeCell ref="AFT367:AFT369"/>
    <mergeCell ref="AFK367:AFK369"/>
    <mergeCell ref="AFL367:AFL369"/>
    <mergeCell ref="AFM367:AFM369"/>
    <mergeCell ref="AFN367:AFN369"/>
    <mergeCell ref="AFO367:AFO369"/>
    <mergeCell ref="AFF367:AFF369"/>
    <mergeCell ref="AFG367:AFG369"/>
    <mergeCell ref="AFH367:AFH369"/>
    <mergeCell ref="AFI367:AFI369"/>
    <mergeCell ref="AFJ367:AFJ369"/>
    <mergeCell ref="AFA367:AFA369"/>
    <mergeCell ref="AFB367:AFB369"/>
    <mergeCell ref="AFC367:AFC369"/>
    <mergeCell ref="AFD367:AFD369"/>
    <mergeCell ref="AFE367:AFE369"/>
    <mergeCell ref="AEV367:AEV369"/>
    <mergeCell ref="AEW367:AEW369"/>
    <mergeCell ref="AEX367:AEX369"/>
    <mergeCell ref="AEY367:AEY369"/>
    <mergeCell ref="AEZ367:AEZ369"/>
    <mergeCell ref="AEQ367:AEQ369"/>
    <mergeCell ref="AER367:AER369"/>
    <mergeCell ref="AES367:AES369"/>
    <mergeCell ref="AET367:AET369"/>
    <mergeCell ref="AEU367:AEU369"/>
    <mergeCell ref="AEL367:AEL369"/>
    <mergeCell ref="AEM367:AEM369"/>
    <mergeCell ref="AEN367:AEN369"/>
    <mergeCell ref="AEO367:AEO369"/>
    <mergeCell ref="AEP367:AEP369"/>
    <mergeCell ref="AEG367:AEG369"/>
    <mergeCell ref="AEH367:AEH369"/>
    <mergeCell ref="AEI367:AEI369"/>
    <mergeCell ref="AEJ367:AEJ369"/>
    <mergeCell ref="AEK367:AEK369"/>
    <mergeCell ref="AEB367:AEB369"/>
    <mergeCell ref="AEC367:AEC369"/>
    <mergeCell ref="AED367:AED369"/>
    <mergeCell ref="AEE367:AEE369"/>
    <mergeCell ref="AEF367:AEF369"/>
    <mergeCell ref="ADW367:ADW369"/>
    <mergeCell ref="ADX367:ADX369"/>
    <mergeCell ref="ADY367:ADY369"/>
    <mergeCell ref="ADZ367:ADZ369"/>
    <mergeCell ref="AEA367:AEA369"/>
    <mergeCell ref="ADR367:ADR369"/>
    <mergeCell ref="ADS367:ADS369"/>
    <mergeCell ref="ADT367:ADT369"/>
    <mergeCell ref="ADU367:ADU369"/>
    <mergeCell ref="ADV367:ADV369"/>
    <mergeCell ref="ADM367:ADM369"/>
    <mergeCell ref="ADN367:ADN369"/>
    <mergeCell ref="ADO367:ADO369"/>
    <mergeCell ref="ADP367:ADP369"/>
    <mergeCell ref="ADQ367:ADQ369"/>
    <mergeCell ref="ADH367:ADH369"/>
    <mergeCell ref="ADI367:ADI369"/>
    <mergeCell ref="ADJ367:ADJ369"/>
    <mergeCell ref="ADK367:ADK369"/>
    <mergeCell ref="ADL367:ADL369"/>
    <mergeCell ref="ADC367:ADC369"/>
    <mergeCell ref="ADD367:ADD369"/>
    <mergeCell ref="ADE367:ADE369"/>
    <mergeCell ref="ADF367:ADF369"/>
    <mergeCell ref="ADG367:ADG369"/>
    <mergeCell ref="ACX367:ACX369"/>
    <mergeCell ref="ACY367:ACY369"/>
    <mergeCell ref="ACZ367:ACZ369"/>
    <mergeCell ref="ADA367:ADA369"/>
    <mergeCell ref="ADB367:ADB369"/>
    <mergeCell ref="ACS367:ACS369"/>
    <mergeCell ref="ACT367:ACT369"/>
    <mergeCell ref="ACU367:ACU369"/>
    <mergeCell ref="ACV367:ACV369"/>
    <mergeCell ref="ACW367:ACW369"/>
    <mergeCell ref="ACN367:ACN369"/>
    <mergeCell ref="ACO367:ACO369"/>
    <mergeCell ref="ACP367:ACP369"/>
    <mergeCell ref="ACQ367:ACQ369"/>
    <mergeCell ref="ACR367:ACR369"/>
    <mergeCell ref="ACI367:ACI369"/>
    <mergeCell ref="ACJ367:ACJ369"/>
    <mergeCell ref="ACK367:ACK369"/>
    <mergeCell ref="ACL367:ACL369"/>
    <mergeCell ref="ACM367:ACM369"/>
    <mergeCell ref="ACD367:ACD369"/>
    <mergeCell ref="ACE367:ACE369"/>
    <mergeCell ref="ACF367:ACF369"/>
    <mergeCell ref="ACG367:ACG369"/>
    <mergeCell ref="ACH367:ACH369"/>
    <mergeCell ref="ABY367:ABY369"/>
    <mergeCell ref="ABZ367:ABZ369"/>
    <mergeCell ref="ACA367:ACA369"/>
    <mergeCell ref="ACB367:ACB369"/>
    <mergeCell ref="ACC367:ACC369"/>
    <mergeCell ref="ABT367:ABT369"/>
    <mergeCell ref="ABU367:ABU369"/>
    <mergeCell ref="ABV367:ABV369"/>
    <mergeCell ref="ABW367:ABW369"/>
    <mergeCell ref="ABX367:ABX369"/>
    <mergeCell ref="ABO367:ABO369"/>
    <mergeCell ref="ABP367:ABP369"/>
    <mergeCell ref="ABQ367:ABQ369"/>
    <mergeCell ref="ABR367:ABR369"/>
    <mergeCell ref="ABS367:ABS369"/>
    <mergeCell ref="ABJ367:ABJ369"/>
    <mergeCell ref="ABK367:ABK369"/>
    <mergeCell ref="ABL367:ABL369"/>
    <mergeCell ref="ABM367:ABM369"/>
    <mergeCell ref="ABN367:ABN369"/>
    <mergeCell ref="ABE367:ABE369"/>
    <mergeCell ref="ABF367:ABF369"/>
    <mergeCell ref="ABG367:ABG369"/>
    <mergeCell ref="ABH367:ABH369"/>
    <mergeCell ref="ABI367:ABI369"/>
    <mergeCell ref="AAZ367:AAZ369"/>
    <mergeCell ref="ABA367:ABA369"/>
    <mergeCell ref="ABB367:ABB369"/>
    <mergeCell ref="ABC367:ABC369"/>
    <mergeCell ref="ABD367:ABD369"/>
    <mergeCell ref="AAU367:AAU369"/>
    <mergeCell ref="AAV367:AAV369"/>
    <mergeCell ref="AAW367:AAW369"/>
    <mergeCell ref="AAX367:AAX369"/>
    <mergeCell ref="AAY367:AAY369"/>
    <mergeCell ref="AAP367:AAP369"/>
    <mergeCell ref="AAQ367:AAQ369"/>
    <mergeCell ref="AAR367:AAR369"/>
    <mergeCell ref="AAS367:AAS369"/>
    <mergeCell ref="AAT367:AAT369"/>
    <mergeCell ref="AAK367:AAK369"/>
    <mergeCell ref="AAL367:AAL369"/>
    <mergeCell ref="AAM367:AAM369"/>
    <mergeCell ref="AAN367:AAN369"/>
    <mergeCell ref="AAO367:AAO369"/>
    <mergeCell ref="AAF367:AAF369"/>
    <mergeCell ref="AAG367:AAG369"/>
    <mergeCell ref="AAH367:AAH369"/>
    <mergeCell ref="AAI367:AAI369"/>
    <mergeCell ref="AAJ367:AAJ369"/>
    <mergeCell ref="AAA367:AAA369"/>
    <mergeCell ref="AAB367:AAB369"/>
    <mergeCell ref="AAC367:AAC369"/>
    <mergeCell ref="AAD367:AAD369"/>
    <mergeCell ref="AAE367:AAE369"/>
    <mergeCell ref="ZV367:ZV369"/>
    <mergeCell ref="ZW367:ZW369"/>
    <mergeCell ref="ZX367:ZX369"/>
    <mergeCell ref="ZY367:ZY369"/>
    <mergeCell ref="ZZ367:ZZ369"/>
    <mergeCell ref="ZQ367:ZQ369"/>
    <mergeCell ref="ZR367:ZR369"/>
    <mergeCell ref="ZS367:ZS369"/>
    <mergeCell ref="ZT367:ZT369"/>
    <mergeCell ref="ZU367:ZU369"/>
    <mergeCell ref="ZL367:ZL369"/>
    <mergeCell ref="ZM367:ZM369"/>
    <mergeCell ref="ZN367:ZN369"/>
    <mergeCell ref="ZO367:ZO369"/>
    <mergeCell ref="ZP367:ZP369"/>
    <mergeCell ref="ZG367:ZG369"/>
    <mergeCell ref="ZH367:ZH369"/>
    <mergeCell ref="ZI367:ZI369"/>
    <mergeCell ref="ZJ367:ZJ369"/>
    <mergeCell ref="ZK367:ZK369"/>
    <mergeCell ref="ZB367:ZB369"/>
    <mergeCell ref="ZC367:ZC369"/>
    <mergeCell ref="ZD367:ZD369"/>
    <mergeCell ref="ZE367:ZE369"/>
    <mergeCell ref="ZF367:ZF369"/>
    <mergeCell ref="YW367:YW369"/>
    <mergeCell ref="YX367:YX369"/>
    <mergeCell ref="YY367:YY369"/>
    <mergeCell ref="YZ367:YZ369"/>
    <mergeCell ref="ZA367:ZA369"/>
    <mergeCell ref="YR367:YR369"/>
    <mergeCell ref="YS367:YS369"/>
    <mergeCell ref="YT367:YT369"/>
    <mergeCell ref="YU367:YU369"/>
    <mergeCell ref="YV367:YV369"/>
    <mergeCell ref="YM367:YM369"/>
    <mergeCell ref="YN367:YN369"/>
    <mergeCell ref="YO367:YO369"/>
    <mergeCell ref="YP367:YP369"/>
    <mergeCell ref="YQ367:YQ369"/>
    <mergeCell ref="YH367:YH369"/>
    <mergeCell ref="YI367:YI369"/>
    <mergeCell ref="YJ367:YJ369"/>
    <mergeCell ref="YK367:YK369"/>
    <mergeCell ref="YL367:YL369"/>
    <mergeCell ref="YC367:YC369"/>
    <mergeCell ref="YD367:YD369"/>
    <mergeCell ref="YE367:YE369"/>
    <mergeCell ref="YF367:YF369"/>
    <mergeCell ref="YG367:YG369"/>
    <mergeCell ref="XX367:XX369"/>
    <mergeCell ref="XY367:XY369"/>
    <mergeCell ref="XZ367:XZ369"/>
    <mergeCell ref="YA367:YA369"/>
    <mergeCell ref="YB367:YB369"/>
    <mergeCell ref="XS367:XS369"/>
    <mergeCell ref="XT367:XT369"/>
    <mergeCell ref="XU367:XU369"/>
    <mergeCell ref="XV367:XV369"/>
    <mergeCell ref="XW367:XW369"/>
    <mergeCell ref="XN367:XN369"/>
    <mergeCell ref="XO367:XO369"/>
    <mergeCell ref="XP367:XP369"/>
    <mergeCell ref="XQ367:XQ369"/>
    <mergeCell ref="XR367:XR369"/>
    <mergeCell ref="XI367:XI369"/>
    <mergeCell ref="XJ367:XJ369"/>
    <mergeCell ref="XK367:XK369"/>
    <mergeCell ref="XL367:XL369"/>
    <mergeCell ref="XM367:XM369"/>
    <mergeCell ref="XD367:XD369"/>
    <mergeCell ref="XE367:XE369"/>
    <mergeCell ref="XF367:XF369"/>
    <mergeCell ref="XG367:XG369"/>
    <mergeCell ref="XH367:XH369"/>
    <mergeCell ref="WY367:WY369"/>
    <mergeCell ref="WZ367:WZ369"/>
    <mergeCell ref="XA367:XA369"/>
    <mergeCell ref="XB367:XB369"/>
    <mergeCell ref="XC367:XC369"/>
    <mergeCell ref="WT367:WT369"/>
    <mergeCell ref="WU367:WU369"/>
    <mergeCell ref="WV367:WV369"/>
    <mergeCell ref="WW367:WW369"/>
    <mergeCell ref="WX367:WX369"/>
    <mergeCell ref="WO367:WO369"/>
    <mergeCell ref="WP367:WP369"/>
    <mergeCell ref="WQ367:WQ369"/>
    <mergeCell ref="WR367:WR369"/>
    <mergeCell ref="WS367:WS369"/>
    <mergeCell ref="WJ367:WJ369"/>
    <mergeCell ref="WK367:WK369"/>
    <mergeCell ref="WL367:WL369"/>
    <mergeCell ref="WM367:WM369"/>
    <mergeCell ref="WN367:WN369"/>
    <mergeCell ref="WE367:WE369"/>
    <mergeCell ref="WF367:WF369"/>
    <mergeCell ref="WG367:WG369"/>
    <mergeCell ref="WH367:WH369"/>
    <mergeCell ref="WI367:WI369"/>
    <mergeCell ref="VZ367:VZ369"/>
    <mergeCell ref="WA367:WA369"/>
    <mergeCell ref="WB367:WB369"/>
    <mergeCell ref="WC367:WC369"/>
    <mergeCell ref="WD367:WD369"/>
    <mergeCell ref="VU367:VU369"/>
    <mergeCell ref="VV367:VV369"/>
    <mergeCell ref="VW367:VW369"/>
    <mergeCell ref="VX367:VX369"/>
    <mergeCell ref="VY367:VY369"/>
    <mergeCell ref="VP367:VP369"/>
    <mergeCell ref="VQ367:VQ369"/>
    <mergeCell ref="VR367:VR369"/>
    <mergeCell ref="VS367:VS369"/>
    <mergeCell ref="VT367:VT369"/>
    <mergeCell ref="VK367:VK369"/>
    <mergeCell ref="VL367:VL369"/>
    <mergeCell ref="VM367:VM369"/>
    <mergeCell ref="VN367:VN369"/>
    <mergeCell ref="VO367:VO369"/>
    <mergeCell ref="VF367:VF369"/>
    <mergeCell ref="VG367:VG369"/>
    <mergeCell ref="VH367:VH369"/>
    <mergeCell ref="VI367:VI369"/>
    <mergeCell ref="VJ367:VJ369"/>
    <mergeCell ref="VA367:VA369"/>
    <mergeCell ref="VB367:VB369"/>
    <mergeCell ref="VC367:VC369"/>
    <mergeCell ref="VD367:VD369"/>
    <mergeCell ref="VE367:VE369"/>
    <mergeCell ref="UV367:UV369"/>
    <mergeCell ref="UW367:UW369"/>
    <mergeCell ref="UX367:UX369"/>
    <mergeCell ref="UY367:UY369"/>
    <mergeCell ref="UZ367:UZ369"/>
    <mergeCell ref="UQ367:UQ369"/>
    <mergeCell ref="UR367:UR369"/>
    <mergeCell ref="US367:US369"/>
    <mergeCell ref="UT367:UT369"/>
    <mergeCell ref="UU367:UU369"/>
    <mergeCell ref="UL367:UL369"/>
    <mergeCell ref="UM367:UM369"/>
    <mergeCell ref="UN367:UN369"/>
    <mergeCell ref="UO367:UO369"/>
    <mergeCell ref="UP367:UP369"/>
    <mergeCell ref="UG367:UG369"/>
    <mergeCell ref="UH367:UH369"/>
    <mergeCell ref="UI367:UI369"/>
    <mergeCell ref="UJ367:UJ369"/>
    <mergeCell ref="UK367:UK369"/>
    <mergeCell ref="UB367:UB369"/>
    <mergeCell ref="UC367:UC369"/>
    <mergeCell ref="UD367:UD369"/>
    <mergeCell ref="UE367:UE369"/>
    <mergeCell ref="UF367:UF369"/>
    <mergeCell ref="TW367:TW369"/>
    <mergeCell ref="TX367:TX369"/>
    <mergeCell ref="TY367:TY369"/>
    <mergeCell ref="TZ367:TZ369"/>
    <mergeCell ref="UA367:UA369"/>
    <mergeCell ref="TR367:TR369"/>
    <mergeCell ref="TS367:TS369"/>
    <mergeCell ref="TT367:TT369"/>
    <mergeCell ref="TU367:TU369"/>
    <mergeCell ref="TV367:TV369"/>
    <mergeCell ref="TM367:TM369"/>
    <mergeCell ref="TN367:TN369"/>
    <mergeCell ref="TO367:TO369"/>
    <mergeCell ref="TP367:TP369"/>
    <mergeCell ref="TQ367:TQ369"/>
    <mergeCell ref="TH367:TH369"/>
    <mergeCell ref="TI367:TI369"/>
    <mergeCell ref="TJ367:TJ369"/>
    <mergeCell ref="TK367:TK369"/>
    <mergeCell ref="TL367:TL369"/>
    <mergeCell ref="TC367:TC369"/>
    <mergeCell ref="TD367:TD369"/>
    <mergeCell ref="TE367:TE369"/>
    <mergeCell ref="TF367:TF369"/>
    <mergeCell ref="TG367:TG369"/>
    <mergeCell ref="SX367:SX369"/>
    <mergeCell ref="SY367:SY369"/>
    <mergeCell ref="SZ367:SZ369"/>
    <mergeCell ref="TA367:TA369"/>
    <mergeCell ref="TB367:TB369"/>
    <mergeCell ref="SS367:SS369"/>
    <mergeCell ref="ST367:ST369"/>
    <mergeCell ref="SU367:SU369"/>
    <mergeCell ref="SV367:SV369"/>
    <mergeCell ref="SW367:SW369"/>
    <mergeCell ref="SN367:SN369"/>
    <mergeCell ref="SO367:SO369"/>
    <mergeCell ref="SP367:SP369"/>
    <mergeCell ref="SQ367:SQ369"/>
    <mergeCell ref="SR367:SR369"/>
    <mergeCell ref="SI367:SI369"/>
    <mergeCell ref="SJ367:SJ369"/>
    <mergeCell ref="SK367:SK369"/>
    <mergeCell ref="SL367:SL369"/>
    <mergeCell ref="SM367:SM369"/>
    <mergeCell ref="SD367:SD369"/>
    <mergeCell ref="SE367:SE369"/>
    <mergeCell ref="SF367:SF369"/>
    <mergeCell ref="SG367:SG369"/>
    <mergeCell ref="SH367:SH369"/>
    <mergeCell ref="RY367:RY369"/>
    <mergeCell ref="RZ367:RZ369"/>
    <mergeCell ref="SA367:SA369"/>
    <mergeCell ref="SB367:SB369"/>
    <mergeCell ref="SC367:SC369"/>
    <mergeCell ref="RT367:RT369"/>
    <mergeCell ref="RU367:RU369"/>
    <mergeCell ref="RV367:RV369"/>
    <mergeCell ref="RW367:RW369"/>
    <mergeCell ref="RX367:RX369"/>
    <mergeCell ref="RO367:RO369"/>
    <mergeCell ref="RP367:RP369"/>
    <mergeCell ref="RQ367:RQ369"/>
    <mergeCell ref="RR367:RR369"/>
    <mergeCell ref="RS367:RS369"/>
    <mergeCell ref="RJ367:RJ369"/>
    <mergeCell ref="RK367:RK369"/>
    <mergeCell ref="RL367:RL369"/>
    <mergeCell ref="RM367:RM369"/>
    <mergeCell ref="RN367:RN369"/>
    <mergeCell ref="RE367:RE369"/>
    <mergeCell ref="RF367:RF369"/>
    <mergeCell ref="RG367:RG369"/>
    <mergeCell ref="RH367:RH369"/>
    <mergeCell ref="RI367:RI369"/>
    <mergeCell ref="QZ367:QZ369"/>
    <mergeCell ref="RA367:RA369"/>
    <mergeCell ref="RB367:RB369"/>
    <mergeCell ref="RC367:RC369"/>
    <mergeCell ref="RD367:RD369"/>
    <mergeCell ref="QU367:QU369"/>
    <mergeCell ref="QV367:QV369"/>
    <mergeCell ref="QW367:QW369"/>
    <mergeCell ref="QX367:QX369"/>
    <mergeCell ref="QY367:QY369"/>
    <mergeCell ref="QP367:QP369"/>
    <mergeCell ref="QQ367:QQ369"/>
    <mergeCell ref="QR367:QR369"/>
    <mergeCell ref="QS367:QS369"/>
    <mergeCell ref="QT367:QT369"/>
    <mergeCell ref="QK367:QK369"/>
    <mergeCell ref="QL367:QL369"/>
    <mergeCell ref="QM367:QM369"/>
    <mergeCell ref="QN367:QN369"/>
    <mergeCell ref="QO367:QO369"/>
    <mergeCell ref="QF367:QF369"/>
    <mergeCell ref="QG367:QG369"/>
    <mergeCell ref="QH367:QH369"/>
    <mergeCell ref="QI367:QI369"/>
    <mergeCell ref="QJ367:QJ369"/>
    <mergeCell ref="QA367:QA369"/>
    <mergeCell ref="QB367:QB369"/>
    <mergeCell ref="QC367:QC369"/>
    <mergeCell ref="QD367:QD369"/>
    <mergeCell ref="QE367:QE369"/>
    <mergeCell ref="PV367:PV369"/>
    <mergeCell ref="PW367:PW369"/>
    <mergeCell ref="PX367:PX369"/>
    <mergeCell ref="PY367:PY369"/>
    <mergeCell ref="PZ367:PZ369"/>
    <mergeCell ref="PQ367:PQ369"/>
    <mergeCell ref="PR367:PR369"/>
    <mergeCell ref="PS367:PS369"/>
    <mergeCell ref="PT367:PT369"/>
    <mergeCell ref="PU367:PU369"/>
    <mergeCell ref="PL367:PL369"/>
    <mergeCell ref="PM367:PM369"/>
    <mergeCell ref="PN367:PN369"/>
    <mergeCell ref="PO367:PO369"/>
    <mergeCell ref="PP367:PP369"/>
    <mergeCell ref="PG367:PG369"/>
    <mergeCell ref="PH367:PH369"/>
    <mergeCell ref="PI367:PI369"/>
    <mergeCell ref="PJ367:PJ369"/>
    <mergeCell ref="PK367:PK369"/>
    <mergeCell ref="PB367:PB369"/>
    <mergeCell ref="PC367:PC369"/>
    <mergeCell ref="PD367:PD369"/>
    <mergeCell ref="PE367:PE369"/>
    <mergeCell ref="PF367:PF369"/>
    <mergeCell ref="OW367:OW369"/>
    <mergeCell ref="OX367:OX369"/>
    <mergeCell ref="OY367:OY369"/>
    <mergeCell ref="OZ367:OZ369"/>
    <mergeCell ref="PA367:PA369"/>
    <mergeCell ref="OR367:OR369"/>
    <mergeCell ref="OS367:OS369"/>
    <mergeCell ref="OT367:OT369"/>
    <mergeCell ref="OU367:OU369"/>
    <mergeCell ref="OV367:OV369"/>
    <mergeCell ref="OM367:OM369"/>
    <mergeCell ref="ON367:ON369"/>
    <mergeCell ref="OO367:OO369"/>
    <mergeCell ref="OP367:OP369"/>
    <mergeCell ref="OQ367:OQ369"/>
    <mergeCell ref="OH367:OH369"/>
    <mergeCell ref="OI367:OI369"/>
    <mergeCell ref="OJ367:OJ369"/>
    <mergeCell ref="OK367:OK369"/>
    <mergeCell ref="OL367:OL369"/>
    <mergeCell ref="OC367:OC369"/>
    <mergeCell ref="OD367:OD369"/>
    <mergeCell ref="OE367:OE369"/>
    <mergeCell ref="OF367:OF369"/>
    <mergeCell ref="OG367:OG369"/>
    <mergeCell ref="NX367:NX369"/>
    <mergeCell ref="NY367:NY369"/>
    <mergeCell ref="NZ367:NZ369"/>
    <mergeCell ref="OA367:OA369"/>
    <mergeCell ref="OB367:OB369"/>
    <mergeCell ref="NS367:NS369"/>
    <mergeCell ref="NT367:NT369"/>
    <mergeCell ref="NU367:NU369"/>
    <mergeCell ref="NV367:NV369"/>
    <mergeCell ref="NW367:NW369"/>
    <mergeCell ref="NN367:NN369"/>
    <mergeCell ref="NO367:NO369"/>
    <mergeCell ref="NP367:NP369"/>
    <mergeCell ref="NQ367:NQ369"/>
    <mergeCell ref="NR367:NR369"/>
    <mergeCell ref="NI367:NI369"/>
    <mergeCell ref="NJ367:NJ369"/>
    <mergeCell ref="NK367:NK369"/>
    <mergeCell ref="NL367:NL369"/>
    <mergeCell ref="NM367:NM369"/>
    <mergeCell ref="ND367:ND369"/>
    <mergeCell ref="NE367:NE369"/>
    <mergeCell ref="NF367:NF369"/>
    <mergeCell ref="NG367:NG369"/>
    <mergeCell ref="NH367:NH369"/>
    <mergeCell ref="MY367:MY369"/>
    <mergeCell ref="MZ367:MZ369"/>
    <mergeCell ref="NA367:NA369"/>
    <mergeCell ref="NB367:NB369"/>
    <mergeCell ref="NC367:NC369"/>
    <mergeCell ref="MT367:MT369"/>
    <mergeCell ref="MU367:MU369"/>
    <mergeCell ref="MV367:MV369"/>
    <mergeCell ref="MW367:MW369"/>
    <mergeCell ref="MX367:MX369"/>
    <mergeCell ref="MO367:MO369"/>
    <mergeCell ref="MP367:MP369"/>
    <mergeCell ref="MQ367:MQ369"/>
    <mergeCell ref="MR367:MR369"/>
    <mergeCell ref="MS367:MS369"/>
    <mergeCell ref="MJ367:MJ369"/>
    <mergeCell ref="MK367:MK369"/>
    <mergeCell ref="ML367:ML369"/>
    <mergeCell ref="MM367:MM369"/>
    <mergeCell ref="MN367:MN369"/>
    <mergeCell ref="ME367:ME369"/>
    <mergeCell ref="MF367:MF369"/>
    <mergeCell ref="MG367:MG369"/>
    <mergeCell ref="MH367:MH369"/>
    <mergeCell ref="MI367:MI369"/>
    <mergeCell ref="LZ367:LZ369"/>
    <mergeCell ref="MA367:MA369"/>
    <mergeCell ref="MB367:MB369"/>
    <mergeCell ref="MC367:MC369"/>
    <mergeCell ref="MD367:MD369"/>
    <mergeCell ref="LU367:LU369"/>
    <mergeCell ref="LV367:LV369"/>
    <mergeCell ref="LW367:LW369"/>
    <mergeCell ref="LX367:LX369"/>
    <mergeCell ref="LY367:LY369"/>
    <mergeCell ref="LP367:LP369"/>
    <mergeCell ref="LQ367:LQ369"/>
    <mergeCell ref="LR367:LR369"/>
    <mergeCell ref="LS367:LS369"/>
    <mergeCell ref="LT367:LT369"/>
    <mergeCell ref="LK367:LK369"/>
    <mergeCell ref="LL367:LL369"/>
    <mergeCell ref="LM367:LM369"/>
    <mergeCell ref="LN367:LN369"/>
    <mergeCell ref="LO367:LO369"/>
    <mergeCell ref="LF367:LF369"/>
    <mergeCell ref="LG367:LG369"/>
    <mergeCell ref="LH367:LH369"/>
    <mergeCell ref="LI367:LI369"/>
    <mergeCell ref="LJ367:LJ369"/>
    <mergeCell ref="LA367:LA369"/>
    <mergeCell ref="LB367:LB369"/>
    <mergeCell ref="LC367:LC369"/>
    <mergeCell ref="LD367:LD369"/>
    <mergeCell ref="LE367:LE369"/>
    <mergeCell ref="KV367:KV369"/>
    <mergeCell ref="KW367:KW369"/>
    <mergeCell ref="KX367:KX369"/>
    <mergeCell ref="KY367:KY369"/>
    <mergeCell ref="KZ367:KZ369"/>
    <mergeCell ref="KQ367:KQ369"/>
    <mergeCell ref="KR367:KR369"/>
    <mergeCell ref="KS367:KS369"/>
    <mergeCell ref="KT367:KT369"/>
    <mergeCell ref="KU367:KU369"/>
    <mergeCell ref="KL367:KL369"/>
    <mergeCell ref="KM367:KM369"/>
    <mergeCell ref="KN367:KN369"/>
    <mergeCell ref="KO367:KO369"/>
    <mergeCell ref="KP367:KP369"/>
    <mergeCell ref="KG367:KG369"/>
    <mergeCell ref="KH367:KH369"/>
    <mergeCell ref="KI367:KI369"/>
    <mergeCell ref="KJ367:KJ369"/>
    <mergeCell ref="KK367:KK369"/>
    <mergeCell ref="KB367:KB369"/>
    <mergeCell ref="KC367:KC369"/>
    <mergeCell ref="KD367:KD369"/>
    <mergeCell ref="KE367:KE369"/>
    <mergeCell ref="KF367:KF369"/>
    <mergeCell ref="JW367:JW369"/>
    <mergeCell ref="JX367:JX369"/>
    <mergeCell ref="JY367:JY369"/>
    <mergeCell ref="JZ367:JZ369"/>
    <mergeCell ref="KA367:KA369"/>
    <mergeCell ref="JR367:JR369"/>
    <mergeCell ref="JS367:JS369"/>
    <mergeCell ref="JT367:JT369"/>
    <mergeCell ref="JU367:JU369"/>
    <mergeCell ref="JV367:JV369"/>
    <mergeCell ref="JM367:JM369"/>
    <mergeCell ref="JN367:JN369"/>
    <mergeCell ref="JO367:JO369"/>
    <mergeCell ref="JP367:JP369"/>
    <mergeCell ref="JQ367:JQ369"/>
    <mergeCell ref="JH367:JH369"/>
    <mergeCell ref="JI367:JI369"/>
    <mergeCell ref="JJ367:JJ369"/>
    <mergeCell ref="JK367:JK369"/>
    <mergeCell ref="JL367:JL369"/>
    <mergeCell ref="JC367:JC369"/>
    <mergeCell ref="JD367:JD369"/>
    <mergeCell ref="JE367:JE369"/>
    <mergeCell ref="JF367:JF369"/>
    <mergeCell ref="JG367:JG369"/>
    <mergeCell ref="IX367:IX369"/>
    <mergeCell ref="IY367:IY369"/>
    <mergeCell ref="IZ367:IZ369"/>
    <mergeCell ref="JA367:JA369"/>
    <mergeCell ref="JB367:JB369"/>
    <mergeCell ref="IS367:IS369"/>
    <mergeCell ref="IT367:IT369"/>
    <mergeCell ref="IU367:IU369"/>
    <mergeCell ref="IV367:IV369"/>
    <mergeCell ref="IW367:IW369"/>
    <mergeCell ref="IN367:IN369"/>
    <mergeCell ref="IO367:IO369"/>
    <mergeCell ref="IP367:IP369"/>
    <mergeCell ref="IQ367:IQ369"/>
    <mergeCell ref="IR367:IR369"/>
    <mergeCell ref="II367:II369"/>
    <mergeCell ref="IJ367:IJ369"/>
    <mergeCell ref="IK367:IK369"/>
    <mergeCell ref="IL367:IL369"/>
    <mergeCell ref="IM367:IM369"/>
    <mergeCell ref="ID367:ID369"/>
    <mergeCell ref="IE367:IE369"/>
    <mergeCell ref="IF367:IF369"/>
    <mergeCell ref="IG367:IG369"/>
    <mergeCell ref="IH367:IH369"/>
    <mergeCell ref="HY367:HY369"/>
    <mergeCell ref="HZ367:HZ369"/>
    <mergeCell ref="IA367:IA369"/>
    <mergeCell ref="IB367:IB369"/>
    <mergeCell ref="IC367:IC369"/>
    <mergeCell ref="HT367:HT369"/>
    <mergeCell ref="HU367:HU369"/>
    <mergeCell ref="HV367:HV369"/>
    <mergeCell ref="HW367:HW369"/>
    <mergeCell ref="HX367:HX369"/>
    <mergeCell ref="HO367:HO369"/>
    <mergeCell ref="HP367:HP369"/>
    <mergeCell ref="HQ367:HQ369"/>
    <mergeCell ref="HR367:HR369"/>
    <mergeCell ref="HS367:HS369"/>
    <mergeCell ref="HJ367:HJ369"/>
    <mergeCell ref="HK367:HK369"/>
    <mergeCell ref="HL367:HL369"/>
    <mergeCell ref="HM367:HM369"/>
    <mergeCell ref="HN367:HN369"/>
    <mergeCell ref="HE367:HE369"/>
    <mergeCell ref="HF367:HF369"/>
    <mergeCell ref="HG367:HG369"/>
    <mergeCell ref="HH367:HH369"/>
    <mergeCell ref="HI367:HI369"/>
    <mergeCell ref="GZ367:GZ369"/>
    <mergeCell ref="HA367:HA369"/>
    <mergeCell ref="HB367:HB369"/>
    <mergeCell ref="HC367:HC369"/>
    <mergeCell ref="HD367:HD369"/>
    <mergeCell ref="GU367:GU369"/>
    <mergeCell ref="GV367:GV369"/>
    <mergeCell ref="GW367:GW369"/>
    <mergeCell ref="GX367:GX369"/>
    <mergeCell ref="GY367:GY369"/>
    <mergeCell ref="GP367:GP369"/>
    <mergeCell ref="GQ367:GQ369"/>
    <mergeCell ref="GR367:GR369"/>
    <mergeCell ref="GS367:GS369"/>
    <mergeCell ref="GT367:GT369"/>
    <mergeCell ref="GK367:GK369"/>
    <mergeCell ref="GL367:GL369"/>
    <mergeCell ref="GM367:GM369"/>
    <mergeCell ref="GN367:GN369"/>
    <mergeCell ref="GO367:GO369"/>
    <mergeCell ref="GF367:GF369"/>
    <mergeCell ref="GG367:GG369"/>
    <mergeCell ref="GH367:GH369"/>
    <mergeCell ref="GI367:GI369"/>
    <mergeCell ref="GJ367:GJ369"/>
    <mergeCell ref="GA367:GA369"/>
    <mergeCell ref="GB367:GB369"/>
    <mergeCell ref="GC367:GC369"/>
    <mergeCell ref="GD367:GD369"/>
    <mergeCell ref="GE367:GE369"/>
    <mergeCell ref="FV367:FV369"/>
    <mergeCell ref="FW367:FW369"/>
    <mergeCell ref="FX367:FX369"/>
    <mergeCell ref="FY367:FY369"/>
    <mergeCell ref="FZ367:FZ369"/>
    <mergeCell ref="FQ367:FQ369"/>
    <mergeCell ref="FR367:FR369"/>
    <mergeCell ref="FS367:FS369"/>
    <mergeCell ref="FT367:FT369"/>
    <mergeCell ref="FU367:FU369"/>
    <mergeCell ref="FL367:FL369"/>
    <mergeCell ref="FM367:FM369"/>
    <mergeCell ref="FN367:FN369"/>
    <mergeCell ref="FO367:FO369"/>
    <mergeCell ref="FP367:FP369"/>
    <mergeCell ref="FG367:FG369"/>
    <mergeCell ref="FH367:FH369"/>
    <mergeCell ref="FI367:FI369"/>
    <mergeCell ref="FJ367:FJ369"/>
    <mergeCell ref="FK367:FK369"/>
    <mergeCell ref="FB367:FB369"/>
    <mergeCell ref="FC367:FC369"/>
    <mergeCell ref="FD367:FD369"/>
    <mergeCell ref="FE367:FE369"/>
    <mergeCell ref="FF367:FF369"/>
    <mergeCell ref="EW367:EW369"/>
    <mergeCell ref="EX367:EX369"/>
    <mergeCell ref="EY367:EY369"/>
    <mergeCell ref="EZ367:EZ369"/>
    <mergeCell ref="FA367:FA369"/>
    <mergeCell ref="ER367:ER369"/>
    <mergeCell ref="ES367:ES369"/>
    <mergeCell ref="ET367:ET369"/>
    <mergeCell ref="EU367:EU369"/>
    <mergeCell ref="EV367:EV369"/>
    <mergeCell ref="EM367:EM369"/>
    <mergeCell ref="EN367:EN369"/>
    <mergeCell ref="EO367:EO369"/>
    <mergeCell ref="EP367:EP369"/>
    <mergeCell ref="EQ367:EQ369"/>
    <mergeCell ref="EH367:EH369"/>
    <mergeCell ref="EI367:EI369"/>
    <mergeCell ref="EJ367:EJ369"/>
    <mergeCell ref="EK367:EK369"/>
    <mergeCell ref="EL367:EL369"/>
    <mergeCell ref="EC367:EC369"/>
    <mergeCell ref="ED367:ED369"/>
    <mergeCell ref="EE367:EE369"/>
    <mergeCell ref="EF367:EF369"/>
    <mergeCell ref="EG367:EG369"/>
    <mergeCell ref="DX367:DX369"/>
    <mergeCell ref="DY367:DY369"/>
    <mergeCell ref="DZ367:DZ369"/>
    <mergeCell ref="EA367:EA369"/>
    <mergeCell ref="EB367:EB369"/>
    <mergeCell ref="DS367:DS369"/>
    <mergeCell ref="DT367:DT369"/>
    <mergeCell ref="DU367:DU369"/>
    <mergeCell ref="DV367:DV369"/>
    <mergeCell ref="DW367:DW369"/>
    <mergeCell ref="DN367:DN369"/>
    <mergeCell ref="DO367:DO369"/>
    <mergeCell ref="DP367:DP369"/>
    <mergeCell ref="DQ367:DQ369"/>
    <mergeCell ref="DR367:DR369"/>
    <mergeCell ref="DI367:DI369"/>
    <mergeCell ref="DJ367:DJ369"/>
    <mergeCell ref="DK367:DK369"/>
    <mergeCell ref="DL367:DL369"/>
    <mergeCell ref="DM367:DM369"/>
    <mergeCell ref="DD367:DD369"/>
    <mergeCell ref="DE367:DE369"/>
    <mergeCell ref="DF367:DF369"/>
    <mergeCell ref="DG367:DG369"/>
    <mergeCell ref="DH367:DH369"/>
    <mergeCell ref="CY367:CY369"/>
    <mergeCell ref="CZ367:CZ369"/>
    <mergeCell ref="DA367:DA369"/>
    <mergeCell ref="DB367:DB369"/>
    <mergeCell ref="DC367:DC369"/>
    <mergeCell ref="CT367:CT369"/>
    <mergeCell ref="CU367:CU369"/>
    <mergeCell ref="CV367:CV369"/>
    <mergeCell ref="CW367:CW369"/>
    <mergeCell ref="CX367:CX369"/>
    <mergeCell ref="CO367:CO369"/>
    <mergeCell ref="CP367:CP369"/>
    <mergeCell ref="CQ367:CQ369"/>
    <mergeCell ref="CR367:CR369"/>
    <mergeCell ref="CS367:CS369"/>
    <mergeCell ref="CJ367:CJ369"/>
    <mergeCell ref="CK367:CK369"/>
    <mergeCell ref="CL367:CL369"/>
    <mergeCell ref="CM367:CM369"/>
    <mergeCell ref="CN367:CN369"/>
    <mergeCell ref="CE367:CE369"/>
    <mergeCell ref="CF367:CF369"/>
    <mergeCell ref="CG367:CG369"/>
    <mergeCell ref="CH367:CH369"/>
    <mergeCell ref="CI367:CI369"/>
    <mergeCell ref="BZ367:BZ369"/>
    <mergeCell ref="CA367:CA369"/>
    <mergeCell ref="CB367:CB369"/>
    <mergeCell ref="CC367:CC369"/>
    <mergeCell ref="CD367:CD369"/>
    <mergeCell ref="BU367:BU369"/>
    <mergeCell ref="BV367:BV369"/>
    <mergeCell ref="BW367:BW369"/>
    <mergeCell ref="BX367:BX369"/>
    <mergeCell ref="BY367:BY369"/>
    <mergeCell ref="BP367:BP369"/>
    <mergeCell ref="BQ367:BQ369"/>
    <mergeCell ref="BR367:BR369"/>
    <mergeCell ref="BS367:BS369"/>
    <mergeCell ref="BT367:BT369"/>
    <mergeCell ref="BK367:BK369"/>
    <mergeCell ref="BL367:BL369"/>
    <mergeCell ref="BM367:BM369"/>
    <mergeCell ref="BN367:BN369"/>
    <mergeCell ref="BO367:BO369"/>
    <mergeCell ref="BF367:BF369"/>
    <mergeCell ref="BG367:BG369"/>
    <mergeCell ref="BH367:BH369"/>
    <mergeCell ref="BI367:BI369"/>
    <mergeCell ref="BJ367:BJ369"/>
    <mergeCell ref="BA367:BA369"/>
    <mergeCell ref="BB367:BB369"/>
    <mergeCell ref="BC367:BC369"/>
    <mergeCell ref="BD367:BD369"/>
    <mergeCell ref="BE367:BE369"/>
    <mergeCell ref="AV367:AV369"/>
    <mergeCell ref="AW367:AW369"/>
    <mergeCell ref="AX367:AX369"/>
    <mergeCell ref="AY367:AY369"/>
    <mergeCell ref="AZ367:AZ369"/>
    <mergeCell ref="AQ367:AQ369"/>
    <mergeCell ref="AR367:AR369"/>
    <mergeCell ref="AS367:AS369"/>
    <mergeCell ref="AT367:AT369"/>
    <mergeCell ref="AU367:AU369"/>
    <mergeCell ref="AL367:AL369"/>
    <mergeCell ref="AM367:AM369"/>
    <mergeCell ref="AN367:AN369"/>
    <mergeCell ref="AO367:AO369"/>
    <mergeCell ref="AP367:AP369"/>
    <mergeCell ref="AI367:AI369"/>
    <mergeCell ref="AJ367:AJ369"/>
    <mergeCell ref="AK367:AK369"/>
    <mergeCell ref="AB367:AB369"/>
    <mergeCell ref="AC367:AC369"/>
    <mergeCell ref="AD367:AD369"/>
    <mergeCell ref="AE367:AE369"/>
    <mergeCell ref="AF367:AF369"/>
    <mergeCell ref="W367:W369"/>
    <mergeCell ref="X367:X369"/>
    <mergeCell ref="Y367:Y369"/>
    <mergeCell ref="Z367:Z369"/>
    <mergeCell ref="AA367:AA369"/>
    <mergeCell ref="R367:R369"/>
    <mergeCell ref="S367:S369"/>
    <mergeCell ref="T367:T369"/>
    <mergeCell ref="U367:U369"/>
    <mergeCell ref="V367:V369"/>
    <mergeCell ref="C2:G2"/>
    <mergeCell ref="B251:B252"/>
    <mergeCell ref="C251:D251"/>
    <mergeCell ref="E251:F251"/>
    <mergeCell ref="G251:H251"/>
    <mergeCell ref="C3:G3"/>
    <mergeCell ref="C6:G8"/>
    <mergeCell ref="H11:L12"/>
    <mergeCell ref="H6:L7"/>
    <mergeCell ref="C44:D44"/>
    <mergeCell ref="C79:D79"/>
    <mergeCell ref="M367:M369"/>
    <mergeCell ref="N367:N369"/>
    <mergeCell ref="O367:O369"/>
    <mergeCell ref="P367:P369"/>
    <mergeCell ref="Q367:Q369"/>
    <mergeCell ref="H367:H369"/>
    <mergeCell ref="I367:I369"/>
    <mergeCell ref="J367:J369"/>
    <mergeCell ref="K367:K369"/>
    <mergeCell ref="L367:L369"/>
    <mergeCell ref="F367:F369"/>
    <mergeCell ref="C367:C369"/>
    <mergeCell ref="D367:D369"/>
    <mergeCell ref="E367:E369"/>
    <mergeCell ref="G367:G369"/>
    <mergeCell ref="C361:H362"/>
    <mergeCell ref="C363:H364"/>
    <mergeCell ref="C365:H365"/>
    <mergeCell ref="AO347:AT347"/>
    <mergeCell ref="C371:E371"/>
    <mergeCell ref="I371:L371"/>
    <mergeCell ref="M371:P371"/>
    <mergeCell ref="Q371:BA371"/>
    <mergeCell ref="F371:H371"/>
    <mergeCell ref="BB371:DK371"/>
    <mergeCell ref="DL371:EE371"/>
    <mergeCell ref="EF371:IW371"/>
    <mergeCell ref="IX371:JJ371"/>
    <mergeCell ref="JK371:JW371"/>
    <mergeCell ref="NG371:NJ371"/>
    <mergeCell ref="NK371:NN371"/>
    <mergeCell ref="NO371:NR371"/>
    <mergeCell ref="NS371:NV371"/>
    <mergeCell ref="JX371:LN371"/>
    <mergeCell ref="LO371:LY371"/>
    <mergeCell ref="LZ371:MX371"/>
    <mergeCell ref="MY371:NB371"/>
    <mergeCell ref="NC371:NF371"/>
    <mergeCell ref="W347:Z347"/>
    <mergeCell ref="AA347:AD347"/>
    <mergeCell ref="AE347:AH347"/>
    <mergeCell ref="AI347:AN347"/>
    <mergeCell ref="C359:H360"/>
    <mergeCell ref="C347:F347"/>
    <mergeCell ref="G347:J347"/>
    <mergeCell ref="K347:N347"/>
    <mergeCell ref="O347:R347"/>
    <mergeCell ref="S347:V347"/>
    <mergeCell ref="AG367:AG369"/>
    <mergeCell ref="AH367:AH369"/>
  </mergeCells>
  <hyperlinks>
    <hyperlink ref="C365" r:id="rId1" display="https://github.com/QGasSP/ggia-backend/tree/main/CSVfiles"/>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1273" r:id="rId5" name="CommandButton1">
          <controlPr defaultSize="0" autoLine="0" r:id="rId6">
            <anchor moveWithCells="1">
              <from>
                <xdr:col>1</xdr:col>
                <xdr:colOff>76200</xdr:colOff>
                <xdr:row>358</xdr:row>
                <xdr:rowOff>38100</xdr:rowOff>
              </from>
              <to>
                <xdr:col>1</xdr:col>
                <xdr:colOff>2619375</xdr:colOff>
                <xdr:row>359</xdr:row>
                <xdr:rowOff>238125</xdr:rowOff>
              </to>
            </anchor>
          </controlPr>
        </control>
      </mc:Choice>
      <mc:Fallback>
        <control shapeId="11273" r:id="rId5" name="CommandButton1"/>
      </mc:Fallback>
    </mc:AlternateContent>
    <mc:AlternateContent xmlns:mc="http://schemas.openxmlformats.org/markup-compatibility/2006">
      <mc:Choice Requires="x14">
        <control shapeId="11274" r:id="rId7" name="CommandButton2">
          <controlPr defaultSize="0" autoLine="0" r:id="rId8">
            <anchor moveWithCells="1">
              <from>
                <xdr:col>1</xdr:col>
                <xdr:colOff>66675</xdr:colOff>
                <xdr:row>360</xdr:row>
                <xdr:rowOff>38100</xdr:rowOff>
              </from>
              <to>
                <xdr:col>1</xdr:col>
                <xdr:colOff>2609850</xdr:colOff>
                <xdr:row>361</xdr:row>
                <xdr:rowOff>238125</xdr:rowOff>
              </to>
            </anchor>
          </controlPr>
        </control>
      </mc:Choice>
      <mc:Fallback>
        <control shapeId="11274" r:id="rId7" name="CommandButton2"/>
      </mc:Fallback>
    </mc:AlternateContent>
    <mc:AlternateContent xmlns:mc="http://schemas.openxmlformats.org/markup-compatibility/2006">
      <mc:Choice Requires="x14">
        <control shapeId="11276" r:id="rId9" name="CommandButton4">
          <controlPr defaultSize="0" autoLine="0" r:id="rId10">
            <anchor moveWithCells="1">
              <from>
                <xdr:col>2</xdr:col>
                <xdr:colOff>0</xdr:colOff>
                <xdr:row>10</xdr:row>
                <xdr:rowOff>57150</xdr:rowOff>
              </from>
              <to>
                <xdr:col>6</xdr:col>
                <xdr:colOff>695325</xdr:colOff>
                <xdr:row>11</xdr:row>
                <xdr:rowOff>190500</xdr:rowOff>
              </to>
            </anchor>
          </controlPr>
        </control>
      </mc:Choice>
      <mc:Fallback>
        <control shapeId="11276" r:id="rId9" name="CommandButton4"/>
      </mc:Fallback>
    </mc:AlternateContent>
    <mc:AlternateContent xmlns:mc="http://schemas.openxmlformats.org/markup-compatibility/2006">
      <mc:Choice Requires="x14">
        <control shapeId="2" r:id="rId11" name="Drop Down 1">
          <controlPr defaultSize="0" autoLine="0" autoPict="0">
            <anchor moveWithCells="1">
              <from>
                <xdr:col>2</xdr:col>
                <xdr:colOff>0</xdr:colOff>
                <xdr:row>9</xdr:row>
                <xdr:rowOff>19050</xdr:rowOff>
              </from>
              <to>
                <xdr:col>3</xdr:col>
                <xdr:colOff>657225</xdr:colOff>
                <xdr:row>10</xdr:row>
                <xdr:rowOff>0</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ul2">
    <tabColor theme="0" tint="-0.34998626667073579"/>
  </sheetPr>
  <dimension ref="A1:ALY46"/>
  <sheetViews>
    <sheetView showGridLines="0" topLeftCell="A20" zoomScale="90" zoomScaleNormal="90" zoomScaleSheetLayoutView="50" workbookViewId="0">
      <pane xSplit="1" topLeftCell="ALG1" activePane="topRight" state="frozen"/>
      <selection pane="topRight" activeCell="ALS14" sqref="ALS14"/>
    </sheetView>
  </sheetViews>
  <sheetFormatPr defaultRowHeight="18" customHeight="1" outlineLevelRow="1"/>
  <cols>
    <col min="1" max="1" width="20.7109375" style="1284" customWidth="1"/>
    <col min="2" max="4" width="15.7109375" style="1285" customWidth="1"/>
    <col min="5" max="385" width="15.7109375" style="74" customWidth="1"/>
    <col min="386" max="1013" width="15.7109375" style="1258" customWidth="1"/>
    <col min="1014" max="16384" width="9.140625" style="1258"/>
  </cols>
  <sheetData>
    <row r="1" spans="1:1013" s="74" customFormat="1" ht="18" customHeight="1" thickBot="1">
      <c r="A1" s="1044"/>
      <c r="B1" s="1325">
        <v>1</v>
      </c>
      <c r="C1" s="1326">
        <v>2</v>
      </c>
      <c r="D1" s="1326">
        <v>3</v>
      </c>
      <c r="E1" s="1326">
        <v>4</v>
      </c>
      <c r="F1" s="1326">
        <v>5</v>
      </c>
      <c r="G1" s="1326">
        <v>6</v>
      </c>
      <c r="H1" s="1326">
        <v>7</v>
      </c>
      <c r="I1" s="1326">
        <v>8</v>
      </c>
      <c r="J1" s="1326">
        <v>9</v>
      </c>
      <c r="K1" s="1326">
        <v>10</v>
      </c>
      <c r="L1" s="1326">
        <v>11</v>
      </c>
      <c r="M1" s="1326">
        <v>12</v>
      </c>
      <c r="N1" s="1326">
        <v>13</v>
      </c>
      <c r="O1" s="1326">
        <v>14</v>
      </c>
      <c r="P1" s="1326">
        <v>15</v>
      </c>
      <c r="Q1" s="1326">
        <v>16</v>
      </c>
      <c r="R1" s="1326">
        <v>17</v>
      </c>
      <c r="S1" s="1326">
        <v>18</v>
      </c>
      <c r="T1" s="1326">
        <v>19</v>
      </c>
      <c r="U1" s="1326">
        <v>20</v>
      </c>
      <c r="V1" s="1326">
        <v>21</v>
      </c>
      <c r="W1" s="1326">
        <v>22</v>
      </c>
      <c r="X1" s="1326">
        <v>23</v>
      </c>
      <c r="Y1" s="1326">
        <v>24</v>
      </c>
      <c r="Z1" s="1326">
        <v>25</v>
      </c>
      <c r="AA1" s="1326">
        <v>26</v>
      </c>
      <c r="AB1" s="1326">
        <v>27</v>
      </c>
      <c r="AC1" s="1326">
        <v>28</v>
      </c>
      <c r="AD1" s="1326">
        <v>29</v>
      </c>
      <c r="AE1" s="1326">
        <v>30</v>
      </c>
      <c r="AF1" s="1326">
        <v>31</v>
      </c>
      <c r="AG1" s="1326">
        <v>32</v>
      </c>
      <c r="AH1" s="1326">
        <v>33</v>
      </c>
      <c r="AI1" s="1326">
        <v>34</v>
      </c>
      <c r="AJ1" s="1326">
        <v>35</v>
      </c>
      <c r="AK1" s="1326">
        <v>36</v>
      </c>
      <c r="AL1" s="1326">
        <v>37</v>
      </c>
      <c r="AM1" s="1326">
        <v>38</v>
      </c>
      <c r="AN1" s="1326">
        <v>39</v>
      </c>
      <c r="AO1" s="1326">
        <v>40</v>
      </c>
      <c r="AP1" s="1326">
        <v>41</v>
      </c>
      <c r="AQ1" s="1326">
        <v>42</v>
      </c>
      <c r="AR1" s="1326">
        <v>43</v>
      </c>
      <c r="AS1" s="1326">
        <v>44</v>
      </c>
      <c r="AT1" s="1326">
        <v>45</v>
      </c>
      <c r="AU1" s="1326">
        <v>46</v>
      </c>
      <c r="AV1" s="1326">
        <v>47</v>
      </c>
      <c r="AW1" s="1326">
        <v>48</v>
      </c>
      <c r="AX1" s="1326">
        <v>49</v>
      </c>
      <c r="AY1" s="1326">
        <v>50</v>
      </c>
      <c r="AZ1" s="1326">
        <v>51</v>
      </c>
      <c r="BA1" s="1326">
        <v>52</v>
      </c>
      <c r="BB1" s="1326">
        <v>53</v>
      </c>
      <c r="BC1" s="1326">
        <v>54</v>
      </c>
      <c r="BD1" s="1326">
        <v>55</v>
      </c>
      <c r="BE1" s="1326">
        <v>56</v>
      </c>
      <c r="BF1" s="1326">
        <v>57</v>
      </c>
      <c r="BG1" s="1326">
        <v>58</v>
      </c>
      <c r="BH1" s="1326">
        <v>59</v>
      </c>
      <c r="BI1" s="1326">
        <v>60</v>
      </c>
      <c r="BJ1" s="1326">
        <v>61</v>
      </c>
      <c r="BK1" s="1326">
        <v>62</v>
      </c>
      <c r="BL1" s="1326">
        <v>63</v>
      </c>
      <c r="BM1" s="1326">
        <v>64</v>
      </c>
      <c r="BN1" s="1326">
        <v>65</v>
      </c>
      <c r="BO1" s="1326">
        <v>66</v>
      </c>
      <c r="BP1" s="1326">
        <v>67</v>
      </c>
      <c r="BQ1" s="1326">
        <v>68</v>
      </c>
      <c r="BR1" s="1326">
        <v>69</v>
      </c>
      <c r="BS1" s="1326">
        <v>70</v>
      </c>
      <c r="BT1" s="1326">
        <v>71</v>
      </c>
      <c r="BU1" s="1326">
        <v>72</v>
      </c>
      <c r="BV1" s="1326">
        <v>73</v>
      </c>
      <c r="BW1" s="1326">
        <v>74</v>
      </c>
      <c r="BX1" s="1326">
        <v>75</v>
      </c>
      <c r="BY1" s="1326">
        <v>76</v>
      </c>
      <c r="BZ1" s="1326">
        <v>77</v>
      </c>
      <c r="CA1" s="1326">
        <v>78</v>
      </c>
      <c r="CB1" s="1326">
        <v>79</v>
      </c>
      <c r="CC1" s="1326">
        <v>80</v>
      </c>
      <c r="CD1" s="1326">
        <v>81</v>
      </c>
      <c r="CE1" s="1326">
        <v>82</v>
      </c>
      <c r="CF1" s="1326">
        <v>83</v>
      </c>
      <c r="CG1" s="1326">
        <v>84</v>
      </c>
      <c r="CH1" s="1326">
        <v>85</v>
      </c>
      <c r="CI1" s="1326">
        <v>86</v>
      </c>
      <c r="CJ1" s="1326">
        <v>87</v>
      </c>
      <c r="CK1" s="1326">
        <v>88</v>
      </c>
      <c r="CL1" s="1326">
        <v>89</v>
      </c>
      <c r="CM1" s="1326">
        <v>90</v>
      </c>
      <c r="CN1" s="1326">
        <v>91</v>
      </c>
      <c r="CO1" s="1326">
        <v>92</v>
      </c>
      <c r="CP1" s="1326">
        <v>93</v>
      </c>
      <c r="CQ1" s="1326">
        <v>94</v>
      </c>
      <c r="CR1" s="1326">
        <v>95</v>
      </c>
      <c r="CS1" s="1326">
        <v>96</v>
      </c>
      <c r="CT1" s="1326">
        <v>97</v>
      </c>
      <c r="CU1" s="1326">
        <v>98</v>
      </c>
      <c r="CV1" s="1326">
        <v>99</v>
      </c>
      <c r="CW1" s="1326">
        <v>100</v>
      </c>
      <c r="CX1" s="1326">
        <v>101</v>
      </c>
      <c r="CY1" s="1326">
        <v>102</v>
      </c>
      <c r="CZ1" s="1326">
        <v>103</v>
      </c>
      <c r="DA1" s="1326">
        <v>104</v>
      </c>
      <c r="DB1" s="1326">
        <v>105</v>
      </c>
      <c r="DC1" s="1326">
        <v>106</v>
      </c>
      <c r="DD1" s="1326">
        <v>107</v>
      </c>
      <c r="DE1" s="1326">
        <v>108</v>
      </c>
      <c r="DF1" s="1326">
        <v>109</v>
      </c>
      <c r="DG1" s="1326">
        <v>110</v>
      </c>
      <c r="DH1" s="1326">
        <v>111</v>
      </c>
      <c r="DI1" s="1326">
        <v>112</v>
      </c>
      <c r="DJ1" s="1326">
        <v>113</v>
      </c>
      <c r="DK1" s="1326">
        <v>114</v>
      </c>
      <c r="DL1" s="1326">
        <v>115</v>
      </c>
      <c r="DM1" s="1326">
        <v>116</v>
      </c>
      <c r="DN1" s="1326">
        <v>117</v>
      </c>
      <c r="DO1" s="1326">
        <v>118</v>
      </c>
      <c r="DP1" s="1326">
        <v>119</v>
      </c>
      <c r="DQ1" s="1326">
        <v>120</v>
      </c>
      <c r="DR1" s="1326">
        <v>121</v>
      </c>
      <c r="DS1" s="1326">
        <v>122</v>
      </c>
      <c r="DT1" s="1326">
        <v>123</v>
      </c>
      <c r="DU1" s="1326">
        <v>124</v>
      </c>
      <c r="DV1" s="1326">
        <v>125</v>
      </c>
      <c r="DW1" s="1326">
        <v>126</v>
      </c>
      <c r="DX1" s="1326">
        <v>127</v>
      </c>
      <c r="DY1" s="1326">
        <v>128</v>
      </c>
      <c r="DZ1" s="1326">
        <v>129</v>
      </c>
      <c r="EA1" s="1326">
        <v>130</v>
      </c>
      <c r="EB1" s="1326">
        <v>131</v>
      </c>
      <c r="EC1" s="1326">
        <v>132</v>
      </c>
      <c r="ED1" s="1326">
        <v>133</v>
      </c>
      <c r="EE1" s="1326">
        <v>134</v>
      </c>
      <c r="EF1" s="1326">
        <v>135</v>
      </c>
      <c r="EG1" s="1326">
        <v>136</v>
      </c>
      <c r="EH1" s="1326">
        <v>137</v>
      </c>
      <c r="EI1" s="1326">
        <v>138</v>
      </c>
      <c r="EJ1" s="1326">
        <v>139</v>
      </c>
      <c r="EK1" s="1326">
        <v>140</v>
      </c>
      <c r="EL1" s="1326">
        <v>141</v>
      </c>
      <c r="EM1" s="1326">
        <v>142</v>
      </c>
      <c r="EN1" s="1326">
        <v>143</v>
      </c>
      <c r="EO1" s="1326">
        <v>144</v>
      </c>
      <c r="EP1" s="1326">
        <v>145</v>
      </c>
      <c r="EQ1" s="1326">
        <v>146</v>
      </c>
      <c r="ER1" s="1326">
        <v>147</v>
      </c>
      <c r="ES1" s="1326">
        <v>148</v>
      </c>
      <c r="ET1" s="1326">
        <v>149</v>
      </c>
      <c r="EU1" s="1326">
        <v>150</v>
      </c>
      <c r="EV1" s="1326">
        <v>151</v>
      </c>
      <c r="EW1" s="1326">
        <v>152</v>
      </c>
      <c r="EX1" s="1326">
        <v>153</v>
      </c>
      <c r="EY1" s="1326">
        <v>154</v>
      </c>
      <c r="EZ1" s="1326">
        <v>155</v>
      </c>
      <c r="FA1" s="1326">
        <v>156</v>
      </c>
      <c r="FB1" s="1326">
        <v>157</v>
      </c>
      <c r="FC1" s="1326">
        <v>158</v>
      </c>
      <c r="FD1" s="1326">
        <v>159</v>
      </c>
      <c r="FE1" s="1326">
        <v>160</v>
      </c>
      <c r="FF1" s="1326">
        <v>161</v>
      </c>
      <c r="FG1" s="1326">
        <v>162</v>
      </c>
      <c r="FH1" s="1326">
        <v>163</v>
      </c>
      <c r="FI1" s="1326">
        <v>164</v>
      </c>
      <c r="FJ1" s="1326">
        <v>165</v>
      </c>
      <c r="FK1" s="1326">
        <v>166</v>
      </c>
      <c r="FL1" s="1326">
        <v>167</v>
      </c>
      <c r="FM1" s="1326">
        <v>168</v>
      </c>
      <c r="FN1" s="1326">
        <v>169</v>
      </c>
      <c r="FO1" s="1326">
        <v>170</v>
      </c>
      <c r="FP1" s="1326">
        <v>171</v>
      </c>
      <c r="FQ1" s="1326">
        <v>172</v>
      </c>
      <c r="FR1" s="1326">
        <v>173</v>
      </c>
      <c r="FS1" s="1326">
        <v>174</v>
      </c>
      <c r="FT1" s="1326">
        <v>175</v>
      </c>
      <c r="FU1" s="1326">
        <v>176</v>
      </c>
      <c r="FV1" s="1326">
        <v>177</v>
      </c>
      <c r="FW1" s="1326">
        <v>178</v>
      </c>
      <c r="FX1" s="1326">
        <v>179</v>
      </c>
      <c r="FY1" s="1326">
        <v>180</v>
      </c>
      <c r="FZ1" s="1326">
        <v>181</v>
      </c>
      <c r="GA1" s="1326">
        <v>182</v>
      </c>
      <c r="GB1" s="1326">
        <v>183</v>
      </c>
      <c r="GC1" s="1326">
        <v>184</v>
      </c>
      <c r="GD1" s="1326">
        <v>185</v>
      </c>
      <c r="GE1" s="1326">
        <v>186</v>
      </c>
      <c r="GF1" s="1326">
        <v>187</v>
      </c>
      <c r="GG1" s="1326">
        <v>188</v>
      </c>
      <c r="GH1" s="1326">
        <v>189</v>
      </c>
      <c r="GI1" s="1326">
        <v>190</v>
      </c>
      <c r="GJ1" s="1326">
        <v>191</v>
      </c>
      <c r="GK1" s="1326">
        <v>192</v>
      </c>
      <c r="GL1" s="1326">
        <v>193</v>
      </c>
      <c r="GM1" s="1326">
        <v>194</v>
      </c>
      <c r="GN1" s="1326">
        <v>195</v>
      </c>
      <c r="GO1" s="1326">
        <v>196</v>
      </c>
      <c r="GP1" s="1326">
        <v>197</v>
      </c>
      <c r="GQ1" s="1326">
        <v>198</v>
      </c>
      <c r="GR1" s="1326">
        <v>199</v>
      </c>
      <c r="GS1" s="1326">
        <v>200</v>
      </c>
      <c r="GT1" s="1326">
        <v>201</v>
      </c>
      <c r="GU1" s="1326">
        <v>202</v>
      </c>
      <c r="GV1" s="1326">
        <v>203</v>
      </c>
      <c r="GW1" s="1326">
        <v>204</v>
      </c>
      <c r="GX1" s="1326">
        <v>205</v>
      </c>
      <c r="GY1" s="1326">
        <v>206</v>
      </c>
      <c r="GZ1" s="1326">
        <v>207</v>
      </c>
      <c r="HA1" s="1326">
        <v>208</v>
      </c>
      <c r="HB1" s="1326">
        <v>209</v>
      </c>
      <c r="HC1" s="1326">
        <v>210</v>
      </c>
      <c r="HD1" s="1326">
        <v>211</v>
      </c>
      <c r="HE1" s="1326">
        <v>212</v>
      </c>
      <c r="HF1" s="1326">
        <v>213</v>
      </c>
      <c r="HG1" s="1326">
        <v>214</v>
      </c>
      <c r="HH1" s="1326">
        <v>215</v>
      </c>
      <c r="HI1" s="1326">
        <v>216</v>
      </c>
      <c r="HJ1" s="1326">
        <v>217</v>
      </c>
      <c r="HK1" s="1326">
        <v>218</v>
      </c>
      <c r="HL1" s="1326">
        <v>219</v>
      </c>
      <c r="HM1" s="1326">
        <v>220</v>
      </c>
      <c r="HN1" s="1326">
        <v>221</v>
      </c>
      <c r="HO1" s="1326">
        <v>222</v>
      </c>
      <c r="HP1" s="1326">
        <v>223</v>
      </c>
      <c r="HQ1" s="1326">
        <v>224</v>
      </c>
      <c r="HR1" s="1326">
        <v>225</v>
      </c>
      <c r="HS1" s="1326">
        <v>226</v>
      </c>
      <c r="HT1" s="1326">
        <v>227</v>
      </c>
      <c r="HU1" s="1326">
        <v>228</v>
      </c>
      <c r="HV1" s="1326">
        <v>229</v>
      </c>
      <c r="HW1" s="1326">
        <v>230</v>
      </c>
      <c r="HX1" s="1326">
        <v>231</v>
      </c>
      <c r="HY1" s="1326">
        <v>232</v>
      </c>
      <c r="HZ1" s="1326">
        <v>233</v>
      </c>
      <c r="IA1" s="1326">
        <v>234</v>
      </c>
      <c r="IB1" s="1326">
        <v>235</v>
      </c>
      <c r="IC1" s="1326">
        <v>236</v>
      </c>
      <c r="ID1" s="1326">
        <v>237</v>
      </c>
      <c r="IE1" s="1326">
        <v>238</v>
      </c>
      <c r="IF1" s="1326">
        <v>239</v>
      </c>
      <c r="IG1" s="1326">
        <v>240</v>
      </c>
      <c r="IH1" s="1326">
        <v>241</v>
      </c>
      <c r="II1" s="1326">
        <v>242</v>
      </c>
      <c r="IJ1" s="1326">
        <v>243</v>
      </c>
      <c r="IK1" s="1326">
        <v>244</v>
      </c>
      <c r="IL1" s="1326">
        <v>245</v>
      </c>
      <c r="IM1" s="1326">
        <v>246</v>
      </c>
      <c r="IN1" s="1326">
        <v>247</v>
      </c>
      <c r="IO1" s="1326">
        <v>248</v>
      </c>
      <c r="IP1" s="1326">
        <v>249</v>
      </c>
      <c r="IQ1" s="1326">
        <v>250</v>
      </c>
      <c r="IR1" s="1326">
        <v>251</v>
      </c>
      <c r="IS1" s="1326">
        <v>252</v>
      </c>
      <c r="IT1" s="1326">
        <v>253</v>
      </c>
      <c r="IU1" s="1326">
        <v>254</v>
      </c>
      <c r="IV1" s="1326">
        <v>255</v>
      </c>
      <c r="IW1" s="1326">
        <v>256</v>
      </c>
      <c r="IX1" s="1326">
        <v>257</v>
      </c>
      <c r="IY1" s="1326">
        <v>258</v>
      </c>
      <c r="IZ1" s="1326">
        <v>259</v>
      </c>
      <c r="JA1" s="1326">
        <v>260</v>
      </c>
      <c r="JB1" s="1326">
        <v>261</v>
      </c>
      <c r="JC1" s="1326">
        <v>262</v>
      </c>
      <c r="JD1" s="1326">
        <v>263</v>
      </c>
      <c r="JE1" s="1326">
        <v>264</v>
      </c>
      <c r="JF1" s="1326">
        <v>265</v>
      </c>
      <c r="JG1" s="1326">
        <v>266</v>
      </c>
      <c r="JH1" s="1326">
        <v>267</v>
      </c>
      <c r="JI1" s="1326">
        <v>268</v>
      </c>
      <c r="JJ1" s="1326">
        <v>269</v>
      </c>
      <c r="JK1" s="1326">
        <v>270</v>
      </c>
      <c r="JL1" s="1326">
        <v>271</v>
      </c>
      <c r="JM1" s="1326">
        <v>272</v>
      </c>
      <c r="JN1" s="1326">
        <v>273</v>
      </c>
      <c r="JO1" s="1326">
        <v>274</v>
      </c>
      <c r="JP1" s="1326">
        <v>275</v>
      </c>
      <c r="JQ1" s="1326">
        <v>276</v>
      </c>
      <c r="JR1" s="1326">
        <v>277</v>
      </c>
      <c r="JS1" s="1326">
        <v>278</v>
      </c>
      <c r="JT1" s="1326">
        <v>279</v>
      </c>
      <c r="JU1" s="1326">
        <v>280</v>
      </c>
      <c r="JV1" s="1326">
        <v>281</v>
      </c>
      <c r="JW1" s="1326">
        <v>282</v>
      </c>
      <c r="JX1" s="1326">
        <v>283</v>
      </c>
      <c r="JY1" s="1326">
        <v>284</v>
      </c>
      <c r="JZ1" s="1326">
        <v>285</v>
      </c>
      <c r="KA1" s="1326">
        <v>286</v>
      </c>
      <c r="KB1" s="1326">
        <v>287</v>
      </c>
      <c r="KC1" s="1326">
        <v>288</v>
      </c>
      <c r="KD1" s="1326">
        <v>289</v>
      </c>
      <c r="KE1" s="1326">
        <v>290</v>
      </c>
      <c r="KF1" s="1326">
        <v>291</v>
      </c>
      <c r="KG1" s="1326">
        <v>292</v>
      </c>
      <c r="KH1" s="1326">
        <v>293</v>
      </c>
      <c r="KI1" s="1326">
        <v>294</v>
      </c>
      <c r="KJ1" s="1326">
        <v>295</v>
      </c>
      <c r="KK1" s="1326">
        <v>296</v>
      </c>
      <c r="KL1" s="1326">
        <v>297</v>
      </c>
      <c r="KM1" s="1326">
        <v>298</v>
      </c>
      <c r="KN1" s="1326">
        <v>299</v>
      </c>
      <c r="KO1" s="1326">
        <v>300</v>
      </c>
      <c r="KP1" s="1326">
        <v>301</v>
      </c>
      <c r="KQ1" s="1326">
        <v>302</v>
      </c>
      <c r="KR1" s="1326">
        <v>303</v>
      </c>
      <c r="KS1" s="1326">
        <v>304</v>
      </c>
      <c r="KT1" s="1326">
        <v>305</v>
      </c>
      <c r="KU1" s="1326">
        <v>306</v>
      </c>
      <c r="KV1" s="1326">
        <v>307</v>
      </c>
      <c r="KW1" s="1326">
        <v>308</v>
      </c>
      <c r="KX1" s="1326">
        <v>309</v>
      </c>
      <c r="KY1" s="1326">
        <v>310</v>
      </c>
      <c r="KZ1" s="1326">
        <v>311</v>
      </c>
      <c r="LA1" s="1326">
        <v>312</v>
      </c>
      <c r="LB1" s="1326">
        <v>313</v>
      </c>
      <c r="LC1" s="1326">
        <v>314</v>
      </c>
      <c r="LD1" s="1326">
        <v>315</v>
      </c>
      <c r="LE1" s="1326">
        <v>316</v>
      </c>
      <c r="LF1" s="1326">
        <v>317</v>
      </c>
      <c r="LG1" s="1326">
        <v>318</v>
      </c>
      <c r="LH1" s="1326">
        <v>319</v>
      </c>
      <c r="LI1" s="1326">
        <v>320</v>
      </c>
      <c r="LJ1" s="1326">
        <v>321</v>
      </c>
      <c r="LK1" s="1326">
        <v>322</v>
      </c>
      <c r="LL1" s="1326">
        <v>323</v>
      </c>
      <c r="LM1" s="1326">
        <v>324</v>
      </c>
      <c r="LN1" s="1326">
        <v>325</v>
      </c>
      <c r="LO1" s="1326">
        <v>326</v>
      </c>
      <c r="LP1" s="1326">
        <v>327</v>
      </c>
      <c r="LQ1" s="1326">
        <v>328</v>
      </c>
      <c r="LR1" s="1326">
        <v>329</v>
      </c>
      <c r="LS1" s="1326">
        <v>330</v>
      </c>
      <c r="LT1" s="1326">
        <v>331</v>
      </c>
      <c r="LU1" s="1326">
        <v>332</v>
      </c>
      <c r="LV1" s="1326">
        <v>333</v>
      </c>
      <c r="LW1" s="1326">
        <v>334</v>
      </c>
      <c r="LX1" s="1326">
        <v>335</v>
      </c>
      <c r="LY1" s="1326">
        <v>336</v>
      </c>
      <c r="LZ1" s="1326">
        <v>337</v>
      </c>
      <c r="MA1" s="1326">
        <v>338</v>
      </c>
      <c r="MB1" s="1326">
        <v>339</v>
      </c>
      <c r="MC1" s="1326">
        <v>340</v>
      </c>
      <c r="MD1" s="1326">
        <v>341</v>
      </c>
      <c r="ME1" s="1326">
        <v>342</v>
      </c>
      <c r="MF1" s="1326">
        <v>343</v>
      </c>
      <c r="MG1" s="1326">
        <v>344</v>
      </c>
      <c r="MH1" s="1326">
        <v>345</v>
      </c>
      <c r="MI1" s="1326">
        <v>346</v>
      </c>
      <c r="MJ1" s="1326">
        <v>347</v>
      </c>
      <c r="MK1" s="1326">
        <v>348</v>
      </c>
      <c r="ML1" s="1326">
        <v>349</v>
      </c>
      <c r="MM1" s="1326">
        <v>350</v>
      </c>
      <c r="MN1" s="1326">
        <v>351</v>
      </c>
      <c r="MO1" s="1326">
        <v>352</v>
      </c>
      <c r="MP1" s="1326">
        <v>353</v>
      </c>
      <c r="MQ1" s="1326">
        <v>354</v>
      </c>
      <c r="MR1" s="1326">
        <v>355</v>
      </c>
      <c r="MS1" s="1326">
        <v>356</v>
      </c>
      <c r="MT1" s="1326">
        <v>357</v>
      </c>
      <c r="MU1" s="1326">
        <v>358</v>
      </c>
      <c r="MV1" s="1326">
        <v>359</v>
      </c>
      <c r="MW1" s="1326">
        <v>360</v>
      </c>
      <c r="MX1" s="1326">
        <v>361</v>
      </c>
      <c r="MY1" s="1326">
        <v>362</v>
      </c>
      <c r="MZ1" s="1326">
        <v>363</v>
      </c>
      <c r="NA1" s="1326">
        <v>364</v>
      </c>
      <c r="NB1" s="1326">
        <v>365</v>
      </c>
      <c r="NC1" s="1326">
        <v>366</v>
      </c>
      <c r="ND1" s="1326">
        <v>367</v>
      </c>
      <c r="NE1" s="1326">
        <v>368</v>
      </c>
      <c r="NF1" s="1326">
        <v>369</v>
      </c>
      <c r="NG1" s="1326">
        <v>370</v>
      </c>
      <c r="NH1" s="1326">
        <v>371</v>
      </c>
      <c r="NI1" s="1326">
        <v>372</v>
      </c>
      <c r="NJ1" s="1326">
        <v>373</v>
      </c>
      <c r="NK1" s="1326">
        <v>374</v>
      </c>
      <c r="NL1" s="1326">
        <v>375</v>
      </c>
      <c r="NM1" s="1326">
        <v>376</v>
      </c>
      <c r="NN1" s="1326">
        <v>377</v>
      </c>
      <c r="NO1" s="1326">
        <v>378</v>
      </c>
      <c r="NP1" s="1326">
        <v>379</v>
      </c>
      <c r="NQ1" s="1326">
        <v>380</v>
      </c>
      <c r="NR1" s="1326">
        <v>381</v>
      </c>
      <c r="NS1" s="1326">
        <v>382</v>
      </c>
      <c r="NT1" s="1326">
        <v>383</v>
      </c>
      <c r="NU1" s="1326">
        <v>384</v>
      </c>
      <c r="NV1" s="1326">
        <v>385</v>
      </c>
      <c r="NW1" s="1326">
        <v>386</v>
      </c>
      <c r="NX1" s="1326">
        <v>387</v>
      </c>
      <c r="NY1" s="1326">
        <v>388</v>
      </c>
      <c r="NZ1" s="1326">
        <v>389</v>
      </c>
      <c r="OA1" s="1326">
        <v>390</v>
      </c>
      <c r="OB1" s="1326">
        <v>391</v>
      </c>
      <c r="OC1" s="1326">
        <v>392</v>
      </c>
      <c r="OD1" s="1326">
        <v>393</v>
      </c>
      <c r="OE1" s="1326">
        <v>394</v>
      </c>
      <c r="OF1" s="1326">
        <v>395</v>
      </c>
      <c r="OG1" s="1326">
        <v>396</v>
      </c>
      <c r="OH1" s="1326">
        <v>397</v>
      </c>
      <c r="OI1" s="1326">
        <v>398</v>
      </c>
      <c r="OJ1" s="1326">
        <v>399</v>
      </c>
      <c r="OK1" s="1326">
        <v>400</v>
      </c>
      <c r="OL1" s="1326">
        <v>401</v>
      </c>
      <c r="OM1" s="1326">
        <v>402</v>
      </c>
      <c r="ON1" s="1326">
        <v>403</v>
      </c>
      <c r="OO1" s="1326">
        <v>404</v>
      </c>
      <c r="OP1" s="1326">
        <v>405</v>
      </c>
      <c r="OQ1" s="1326">
        <v>406</v>
      </c>
      <c r="OR1" s="1326">
        <v>407</v>
      </c>
      <c r="OS1" s="1326">
        <v>408</v>
      </c>
      <c r="OT1" s="1326">
        <v>409</v>
      </c>
      <c r="OU1" s="1326">
        <v>410</v>
      </c>
      <c r="OV1" s="1326">
        <v>411</v>
      </c>
      <c r="OW1" s="1326">
        <v>412</v>
      </c>
      <c r="OX1" s="1326">
        <v>413</v>
      </c>
      <c r="OY1" s="1326">
        <v>414</v>
      </c>
      <c r="OZ1" s="1326">
        <v>415</v>
      </c>
      <c r="PA1" s="1326">
        <v>416</v>
      </c>
      <c r="PB1" s="1326">
        <v>417</v>
      </c>
      <c r="PC1" s="1326">
        <v>418</v>
      </c>
      <c r="PD1" s="1326">
        <v>419</v>
      </c>
      <c r="PE1" s="1326">
        <v>420</v>
      </c>
      <c r="PF1" s="1326">
        <v>421</v>
      </c>
      <c r="PG1" s="1326">
        <v>422</v>
      </c>
      <c r="PH1" s="1326">
        <v>423</v>
      </c>
      <c r="PI1" s="1326">
        <v>424</v>
      </c>
      <c r="PJ1" s="1326">
        <v>425</v>
      </c>
      <c r="PK1" s="1326">
        <v>426</v>
      </c>
      <c r="PL1" s="1326">
        <v>427</v>
      </c>
      <c r="PM1" s="1326">
        <v>428</v>
      </c>
      <c r="PN1" s="1326">
        <v>429</v>
      </c>
      <c r="PO1" s="1326">
        <v>430</v>
      </c>
      <c r="PP1" s="1326">
        <v>431</v>
      </c>
      <c r="PQ1" s="1326">
        <v>432</v>
      </c>
      <c r="PR1" s="1326">
        <v>433</v>
      </c>
      <c r="PS1" s="1326">
        <v>434</v>
      </c>
      <c r="PT1" s="1326">
        <v>435</v>
      </c>
      <c r="PU1" s="1326">
        <v>436</v>
      </c>
      <c r="PV1" s="1326">
        <v>437</v>
      </c>
      <c r="PW1" s="1326">
        <v>438</v>
      </c>
      <c r="PX1" s="1326">
        <v>439</v>
      </c>
      <c r="PY1" s="1326">
        <v>440</v>
      </c>
      <c r="PZ1" s="1326">
        <v>441</v>
      </c>
      <c r="QA1" s="1326">
        <v>442</v>
      </c>
      <c r="QB1" s="1326">
        <v>443</v>
      </c>
      <c r="QC1" s="1326">
        <v>444</v>
      </c>
      <c r="QD1" s="1326">
        <v>445</v>
      </c>
      <c r="QE1" s="1326">
        <v>446</v>
      </c>
      <c r="QF1" s="1326">
        <v>447</v>
      </c>
      <c r="QG1" s="1326">
        <v>448</v>
      </c>
      <c r="QH1" s="1326">
        <v>449</v>
      </c>
      <c r="QI1" s="1326">
        <v>450</v>
      </c>
      <c r="QJ1" s="1326">
        <v>451</v>
      </c>
      <c r="QK1" s="1326">
        <v>452</v>
      </c>
      <c r="QL1" s="1326">
        <v>453</v>
      </c>
      <c r="QM1" s="1326">
        <v>454</v>
      </c>
      <c r="QN1" s="1326">
        <v>455</v>
      </c>
      <c r="QO1" s="1326">
        <v>456</v>
      </c>
      <c r="QP1" s="1326">
        <v>457</v>
      </c>
      <c r="QQ1" s="1326">
        <v>458</v>
      </c>
      <c r="QR1" s="1326">
        <v>459</v>
      </c>
      <c r="QS1" s="1326">
        <v>460</v>
      </c>
      <c r="QT1" s="1326">
        <v>461</v>
      </c>
      <c r="QU1" s="1326">
        <v>462</v>
      </c>
      <c r="QV1" s="1326">
        <v>463</v>
      </c>
      <c r="QW1" s="1326">
        <v>464</v>
      </c>
      <c r="QX1" s="1326">
        <v>465</v>
      </c>
      <c r="QY1" s="1326">
        <v>466</v>
      </c>
      <c r="QZ1" s="1326">
        <v>467</v>
      </c>
      <c r="RA1" s="1326">
        <v>468</v>
      </c>
      <c r="RB1" s="1326">
        <v>469</v>
      </c>
      <c r="RC1" s="1326">
        <v>470</v>
      </c>
      <c r="RD1" s="1326">
        <v>471</v>
      </c>
      <c r="RE1" s="1326">
        <v>472</v>
      </c>
      <c r="RF1" s="1326">
        <v>473</v>
      </c>
      <c r="RG1" s="1326">
        <v>474</v>
      </c>
      <c r="RH1" s="1326">
        <v>475</v>
      </c>
      <c r="RI1" s="1326">
        <v>476</v>
      </c>
      <c r="RJ1" s="1326">
        <v>477</v>
      </c>
      <c r="RK1" s="1326">
        <v>478</v>
      </c>
      <c r="RL1" s="1326">
        <v>479</v>
      </c>
      <c r="RM1" s="1326">
        <v>480</v>
      </c>
      <c r="RN1" s="1326">
        <v>481</v>
      </c>
      <c r="RO1" s="1326">
        <v>482</v>
      </c>
      <c r="RP1" s="1326">
        <v>483</v>
      </c>
      <c r="RQ1" s="1326">
        <v>484</v>
      </c>
      <c r="RR1" s="1326">
        <v>485</v>
      </c>
      <c r="RS1" s="1326">
        <v>486</v>
      </c>
      <c r="RT1" s="1326">
        <v>487</v>
      </c>
      <c r="RU1" s="1326">
        <v>488</v>
      </c>
      <c r="RV1" s="1326">
        <v>489</v>
      </c>
      <c r="RW1" s="1326">
        <v>490</v>
      </c>
      <c r="RX1" s="1326">
        <v>491</v>
      </c>
      <c r="RY1" s="1326">
        <v>492</v>
      </c>
      <c r="RZ1" s="1326">
        <v>493</v>
      </c>
      <c r="SA1" s="1326">
        <v>494</v>
      </c>
      <c r="SB1" s="1326">
        <v>495</v>
      </c>
      <c r="SC1" s="1326">
        <v>496</v>
      </c>
      <c r="SD1" s="1326">
        <v>497</v>
      </c>
      <c r="SE1" s="1326">
        <v>498</v>
      </c>
      <c r="SF1" s="1326">
        <v>499</v>
      </c>
      <c r="SG1" s="1326">
        <v>500</v>
      </c>
      <c r="SH1" s="1326">
        <v>501</v>
      </c>
      <c r="SI1" s="1326">
        <v>502</v>
      </c>
      <c r="SJ1" s="1326">
        <v>503</v>
      </c>
      <c r="SK1" s="1326">
        <v>504</v>
      </c>
      <c r="SL1" s="1326">
        <v>505</v>
      </c>
      <c r="SM1" s="1326">
        <v>506</v>
      </c>
      <c r="SN1" s="1326">
        <v>507</v>
      </c>
      <c r="SO1" s="1326">
        <v>508</v>
      </c>
      <c r="SP1" s="1326">
        <v>509</v>
      </c>
      <c r="SQ1" s="1326">
        <v>510</v>
      </c>
      <c r="SR1" s="1326">
        <v>511</v>
      </c>
      <c r="SS1" s="1326">
        <v>512</v>
      </c>
      <c r="ST1" s="1326">
        <v>513</v>
      </c>
      <c r="SU1" s="1326">
        <v>514</v>
      </c>
      <c r="SV1" s="1326">
        <v>515</v>
      </c>
      <c r="SW1" s="1326">
        <v>516</v>
      </c>
      <c r="SX1" s="1326">
        <v>517</v>
      </c>
      <c r="SY1" s="1326">
        <v>518</v>
      </c>
      <c r="SZ1" s="1326">
        <v>519</v>
      </c>
      <c r="TA1" s="1326">
        <v>520</v>
      </c>
      <c r="TB1" s="1326">
        <v>521</v>
      </c>
      <c r="TC1" s="1326">
        <v>522</v>
      </c>
      <c r="TD1" s="1326">
        <v>523</v>
      </c>
      <c r="TE1" s="1326">
        <v>524</v>
      </c>
      <c r="TF1" s="1326">
        <v>525</v>
      </c>
      <c r="TG1" s="1326">
        <v>526</v>
      </c>
      <c r="TH1" s="1326">
        <v>527</v>
      </c>
      <c r="TI1" s="1326">
        <v>528</v>
      </c>
      <c r="TJ1" s="1326">
        <v>529</v>
      </c>
      <c r="TK1" s="1326">
        <v>530</v>
      </c>
      <c r="TL1" s="1326">
        <v>531</v>
      </c>
      <c r="TM1" s="1326">
        <v>532</v>
      </c>
      <c r="TN1" s="1326">
        <v>533</v>
      </c>
      <c r="TO1" s="1326">
        <v>534</v>
      </c>
      <c r="TP1" s="1326">
        <v>535</v>
      </c>
      <c r="TQ1" s="1326">
        <v>536</v>
      </c>
      <c r="TR1" s="1326">
        <v>537</v>
      </c>
      <c r="TS1" s="1326">
        <v>538</v>
      </c>
      <c r="TT1" s="1326">
        <v>539</v>
      </c>
      <c r="TU1" s="1326">
        <v>540</v>
      </c>
      <c r="TV1" s="1326">
        <v>541</v>
      </c>
      <c r="TW1" s="1326">
        <v>542</v>
      </c>
      <c r="TX1" s="1326">
        <v>543</v>
      </c>
      <c r="TY1" s="1326">
        <v>544</v>
      </c>
      <c r="TZ1" s="1326">
        <v>545</v>
      </c>
      <c r="UA1" s="1326">
        <v>546</v>
      </c>
      <c r="UB1" s="1326">
        <v>547</v>
      </c>
      <c r="UC1" s="1326">
        <v>548</v>
      </c>
      <c r="UD1" s="1326">
        <v>549</v>
      </c>
      <c r="UE1" s="1326">
        <v>550</v>
      </c>
      <c r="UF1" s="1326">
        <v>551</v>
      </c>
      <c r="UG1" s="1326">
        <v>552</v>
      </c>
      <c r="UH1" s="1326">
        <v>553</v>
      </c>
      <c r="UI1" s="1326">
        <v>554</v>
      </c>
      <c r="UJ1" s="1326">
        <v>555</v>
      </c>
      <c r="UK1" s="1326">
        <v>556</v>
      </c>
      <c r="UL1" s="1326">
        <v>557</v>
      </c>
      <c r="UM1" s="1326">
        <v>558</v>
      </c>
      <c r="UN1" s="1326">
        <v>559</v>
      </c>
      <c r="UO1" s="1326">
        <v>560</v>
      </c>
      <c r="UP1" s="1326">
        <v>561</v>
      </c>
      <c r="UQ1" s="1326">
        <v>562</v>
      </c>
      <c r="UR1" s="1326">
        <v>563</v>
      </c>
      <c r="US1" s="1326">
        <v>564</v>
      </c>
      <c r="UT1" s="1326">
        <v>565</v>
      </c>
      <c r="UU1" s="1326">
        <v>566</v>
      </c>
      <c r="UV1" s="1326">
        <v>567</v>
      </c>
      <c r="UW1" s="1326">
        <v>568</v>
      </c>
      <c r="UX1" s="1326">
        <v>569</v>
      </c>
      <c r="UY1" s="1326">
        <v>570</v>
      </c>
      <c r="UZ1" s="1326">
        <v>571</v>
      </c>
      <c r="VA1" s="1326">
        <v>572</v>
      </c>
      <c r="VB1" s="1326">
        <v>573</v>
      </c>
      <c r="VC1" s="1326">
        <v>574</v>
      </c>
      <c r="VD1" s="1326">
        <v>575</v>
      </c>
      <c r="VE1" s="1326">
        <v>576</v>
      </c>
      <c r="VF1" s="1326">
        <v>577</v>
      </c>
      <c r="VG1" s="1326">
        <v>578</v>
      </c>
      <c r="VH1" s="1326">
        <v>579</v>
      </c>
      <c r="VI1" s="1326">
        <v>580</v>
      </c>
      <c r="VJ1" s="1326">
        <v>581</v>
      </c>
      <c r="VK1" s="1326">
        <v>582</v>
      </c>
      <c r="VL1" s="1326">
        <v>583</v>
      </c>
      <c r="VM1" s="1326">
        <v>584</v>
      </c>
      <c r="VN1" s="1326">
        <v>585</v>
      </c>
      <c r="VO1" s="1326">
        <v>586</v>
      </c>
      <c r="VP1" s="1326">
        <v>587</v>
      </c>
      <c r="VQ1" s="1326">
        <v>588</v>
      </c>
      <c r="VR1" s="1326">
        <v>589</v>
      </c>
      <c r="VS1" s="1326">
        <v>590</v>
      </c>
      <c r="VT1" s="1326">
        <v>591</v>
      </c>
      <c r="VU1" s="1326">
        <v>592</v>
      </c>
      <c r="VV1" s="1326">
        <v>593</v>
      </c>
      <c r="VW1" s="1326">
        <v>594</v>
      </c>
      <c r="VX1" s="1326">
        <v>595</v>
      </c>
      <c r="VY1" s="1326">
        <v>596</v>
      </c>
      <c r="VZ1" s="1326">
        <v>597</v>
      </c>
      <c r="WA1" s="1326">
        <v>598</v>
      </c>
      <c r="WB1" s="1326">
        <v>599</v>
      </c>
      <c r="WC1" s="1326">
        <v>600</v>
      </c>
      <c r="WD1" s="1326">
        <v>601</v>
      </c>
      <c r="WE1" s="1326">
        <v>602</v>
      </c>
      <c r="WF1" s="1326">
        <v>603</v>
      </c>
      <c r="WG1" s="1326">
        <v>604</v>
      </c>
      <c r="WH1" s="1326">
        <v>605</v>
      </c>
      <c r="WI1" s="1326">
        <v>606</v>
      </c>
      <c r="WJ1" s="1326">
        <v>607</v>
      </c>
      <c r="WK1" s="1326">
        <v>608</v>
      </c>
      <c r="WL1" s="1326">
        <v>609</v>
      </c>
      <c r="WM1" s="1326">
        <v>610</v>
      </c>
      <c r="WN1" s="1326">
        <v>611</v>
      </c>
      <c r="WO1" s="1326">
        <v>612</v>
      </c>
      <c r="WP1" s="1326">
        <v>613</v>
      </c>
      <c r="WQ1" s="1326">
        <v>614</v>
      </c>
      <c r="WR1" s="1326">
        <v>615</v>
      </c>
      <c r="WS1" s="1326">
        <v>616</v>
      </c>
      <c r="WT1" s="1326">
        <v>617</v>
      </c>
      <c r="WU1" s="1326">
        <v>618</v>
      </c>
      <c r="WV1" s="1326">
        <v>619</v>
      </c>
      <c r="WW1" s="1326">
        <v>620</v>
      </c>
      <c r="WX1" s="1326">
        <v>621</v>
      </c>
      <c r="WY1" s="1326">
        <v>622</v>
      </c>
      <c r="WZ1" s="1326">
        <v>623</v>
      </c>
      <c r="XA1" s="1326">
        <v>624</v>
      </c>
      <c r="XB1" s="1326">
        <v>625</v>
      </c>
      <c r="XC1" s="1326">
        <v>626</v>
      </c>
      <c r="XD1" s="1326">
        <v>627</v>
      </c>
      <c r="XE1" s="1326">
        <v>628</v>
      </c>
      <c r="XF1" s="1326">
        <v>629</v>
      </c>
      <c r="XG1" s="1326">
        <v>630</v>
      </c>
      <c r="XH1" s="1326">
        <v>631</v>
      </c>
      <c r="XI1" s="1326">
        <v>632</v>
      </c>
      <c r="XJ1" s="1326">
        <v>633</v>
      </c>
      <c r="XK1" s="1326">
        <v>634</v>
      </c>
      <c r="XL1" s="1326">
        <v>635</v>
      </c>
      <c r="XM1" s="1326">
        <v>636</v>
      </c>
      <c r="XN1" s="1326">
        <v>637</v>
      </c>
      <c r="XO1" s="1326">
        <v>638</v>
      </c>
      <c r="XP1" s="1326">
        <v>639</v>
      </c>
      <c r="XQ1" s="1326">
        <v>640</v>
      </c>
      <c r="XR1" s="1326">
        <v>641</v>
      </c>
      <c r="XS1" s="1326">
        <v>642</v>
      </c>
      <c r="XT1" s="1326">
        <v>643</v>
      </c>
      <c r="XU1" s="1326">
        <v>644</v>
      </c>
      <c r="XV1" s="1326">
        <v>645</v>
      </c>
      <c r="XW1" s="1326">
        <v>646</v>
      </c>
      <c r="XX1" s="1326">
        <v>647</v>
      </c>
      <c r="XY1" s="1326">
        <v>648</v>
      </c>
      <c r="XZ1" s="1326">
        <v>649</v>
      </c>
      <c r="YA1" s="1326">
        <v>650</v>
      </c>
      <c r="YB1" s="1326">
        <v>651</v>
      </c>
      <c r="YC1" s="1326">
        <v>652</v>
      </c>
      <c r="YD1" s="1326">
        <v>653</v>
      </c>
      <c r="YE1" s="1326">
        <v>654</v>
      </c>
      <c r="YF1" s="1326">
        <v>655</v>
      </c>
      <c r="YG1" s="1326">
        <v>656</v>
      </c>
      <c r="YH1" s="1326">
        <v>657</v>
      </c>
      <c r="YI1" s="1326">
        <v>658</v>
      </c>
      <c r="YJ1" s="1326">
        <v>659</v>
      </c>
      <c r="YK1" s="1326">
        <v>660</v>
      </c>
      <c r="YL1" s="1326">
        <v>661</v>
      </c>
      <c r="YM1" s="1326">
        <v>662</v>
      </c>
      <c r="YN1" s="1326">
        <v>663</v>
      </c>
      <c r="YO1" s="1326">
        <v>664</v>
      </c>
      <c r="YP1" s="1326">
        <v>665</v>
      </c>
      <c r="YQ1" s="1326">
        <v>666</v>
      </c>
      <c r="YR1" s="1326">
        <v>667</v>
      </c>
      <c r="YS1" s="1326">
        <v>668</v>
      </c>
      <c r="YT1" s="1326">
        <v>669</v>
      </c>
      <c r="YU1" s="1326">
        <v>670</v>
      </c>
      <c r="YV1" s="1326">
        <v>671</v>
      </c>
      <c r="YW1" s="1326">
        <v>672</v>
      </c>
      <c r="YX1" s="1326">
        <v>673</v>
      </c>
      <c r="YY1" s="1326">
        <v>674</v>
      </c>
      <c r="YZ1" s="1326">
        <v>675</v>
      </c>
      <c r="ZA1" s="1326">
        <v>676</v>
      </c>
      <c r="ZB1" s="1326">
        <v>677</v>
      </c>
      <c r="ZC1" s="1326">
        <v>678</v>
      </c>
      <c r="ZD1" s="1326">
        <v>679</v>
      </c>
      <c r="ZE1" s="1326">
        <v>680</v>
      </c>
      <c r="ZF1" s="1326">
        <v>681</v>
      </c>
      <c r="ZG1" s="1326">
        <v>682</v>
      </c>
      <c r="ZH1" s="1326">
        <v>683</v>
      </c>
      <c r="ZI1" s="1326">
        <v>684</v>
      </c>
      <c r="ZJ1" s="1326">
        <v>685</v>
      </c>
      <c r="ZK1" s="1326">
        <v>686</v>
      </c>
      <c r="ZL1" s="1326">
        <v>687</v>
      </c>
      <c r="ZM1" s="1326">
        <v>688</v>
      </c>
      <c r="ZN1" s="1326">
        <v>689</v>
      </c>
      <c r="ZO1" s="1326">
        <v>690</v>
      </c>
      <c r="ZP1" s="1326">
        <v>691</v>
      </c>
      <c r="ZQ1" s="1326">
        <v>692</v>
      </c>
      <c r="ZR1" s="1326">
        <v>693</v>
      </c>
      <c r="ZS1" s="1326">
        <v>694</v>
      </c>
      <c r="ZT1" s="1326">
        <v>695</v>
      </c>
      <c r="ZU1" s="1326">
        <v>696</v>
      </c>
      <c r="ZV1" s="1326">
        <v>697</v>
      </c>
      <c r="ZW1" s="1326">
        <v>698</v>
      </c>
      <c r="ZX1" s="1326">
        <v>699</v>
      </c>
      <c r="ZY1" s="1326">
        <v>700</v>
      </c>
      <c r="ZZ1" s="1326">
        <v>701</v>
      </c>
      <c r="AAA1" s="1326">
        <v>702</v>
      </c>
      <c r="AAB1" s="1326">
        <v>703</v>
      </c>
      <c r="AAC1" s="1326">
        <v>704</v>
      </c>
      <c r="AAD1" s="1326">
        <v>705</v>
      </c>
      <c r="AAE1" s="1326">
        <v>706</v>
      </c>
      <c r="AAF1" s="1326">
        <v>707</v>
      </c>
      <c r="AAG1" s="1326">
        <v>708</v>
      </c>
      <c r="AAH1" s="1326">
        <v>709</v>
      </c>
      <c r="AAI1" s="1326">
        <v>710</v>
      </c>
      <c r="AAJ1" s="1326">
        <v>711</v>
      </c>
      <c r="AAK1" s="1326">
        <v>712</v>
      </c>
      <c r="AAL1" s="1326">
        <v>713</v>
      </c>
      <c r="AAM1" s="1326">
        <v>714</v>
      </c>
      <c r="AAN1" s="1326">
        <v>715</v>
      </c>
      <c r="AAO1" s="1326">
        <v>716</v>
      </c>
      <c r="AAP1" s="1326">
        <v>717</v>
      </c>
      <c r="AAQ1" s="1326">
        <v>718</v>
      </c>
      <c r="AAR1" s="1326">
        <v>719</v>
      </c>
      <c r="AAS1" s="1326">
        <v>720</v>
      </c>
      <c r="AAT1" s="1326">
        <v>721</v>
      </c>
      <c r="AAU1" s="1326">
        <v>722</v>
      </c>
      <c r="AAV1" s="1326">
        <v>723</v>
      </c>
      <c r="AAW1" s="1326">
        <v>724</v>
      </c>
      <c r="AAX1" s="1326">
        <v>725</v>
      </c>
      <c r="AAY1" s="1326">
        <v>726</v>
      </c>
      <c r="AAZ1" s="1326">
        <v>727</v>
      </c>
      <c r="ABA1" s="1326">
        <v>728</v>
      </c>
      <c r="ABB1" s="1326">
        <v>729</v>
      </c>
      <c r="ABC1" s="1326">
        <v>730</v>
      </c>
      <c r="ABD1" s="1326">
        <v>731</v>
      </c>
      <c r="ABE1" s="1326">
        <v>732</v>
      </c>
      <c r="ABF1" s="1326">
        <v>733</v>
      </c>
      <c r="ABG1" s="1326">
        <v>734</v>
      </c>
      <c r="ABH1" s="1326">
        <v>735</v>
      </c>
      <c r="ABI1" s="1326">
        <v>736</v>
      </c>
      <c r="ABJ1" s="1326">
        <v>737</v>
      </c>
      <c r="ABK1" s="1326">
        <v>738</v>
      </c>
      <c r="ABL1" s="1326">
        <v>739</v>
      </c>
      <c r="ABM1" s="1326">
        <v>740</v>
      </c>
      <c r="ABN1" s="1326">
        <v>741</v>
      </c>
      <c r="ABO1" s="1326">
        <v>742</v>
      </c>
      <c r="ABP1" s="1326">
        <v>743</v>
      </c>
      <c r="ABQ1" s="1326">
        <v>744</v>
      </c>
      <c r="ABR1" s="1326">
        <v>745</v>
      </c>
      <c r="ABS1" s="1326">
        <v>746</v>
      </c>
      <c r="ABT1" s="1326">
        <v>747</v>
      </c>
      <c r="ABU1" s="1326">
        <v>748</v>
      </c>
      <c r="ABV1" s="1326">
        <v>749</v>
      </c>
      <c r="ABW1" s="1326">
        <v>750</v>
      </c>
      <c r="ABX1" s="1326">
        <v>751</v>
      </c>
      <c r="ABY1" s="1326">
        <v>752</v>
      </c>
      <c r="ABZ1" s="1326">
        <v>753</v>
      </c>
      <c r="ACA1" s="1326">
        <v>754</v>
      </c>
      <c r="ACB1" s="1326">
        <v>755</v>
      </c>
      <c r="ACC1" s="1326">
        <v>756</v>
      </c>
      <c r="ACD1" s="1326">
        <v>757</v>
      </c>
      <c r="ACE1" s="1326">
        <v>758</v>
      </c>
      <c r="ACF1" s="1326">
        <v>759</v>
      </c>
      <c r="ACG1" s="1326">
        <v>760</v>
      </c>
      <c r="ACH1" s="1326">
        <v>761</v>
      </c>
      <c r="ACI1" s="1326">
        <v>762</v>
      </c>
      <c r="ACJ1" s="1326">
        <v>763</v>
      </c>
      <c r="ACK1" s="1326">
        <v>764</v>
      </c>
      <c r="ACL1" s="1326">
        <v>765</v>
      </c>
      <c r="ACM1" s="1326">
        <v>766</v>
      </c>
      <c r="ACN1" s="1326">
        <v>767</v>
      </c>
      <c r="ACO1" s="1326">
        <v>768</v>
      </c>
      <c r="ACP1" s="1326">
        <v>769</v>
      </c>
      <c r="ACQ1" s="1326">
        <v>770</v>
      </c>
      <c r="ACR1" s="1326">
        <v>771</v>
      </c>
      <c r="ACS1" s="1326">
        <v>772</v>
      </c>
      <c r="ACT1" s="1326">
        <v>773</v>
      </c>
      <c r="ACU1" s="1326">
        <v>774</v>
      </c>
      <c r="ACV1" s="1326">
        <v>775</v>
      </c>
      <c r="ACW1" s="1326">
        <v>776</v>
      </c>
      <c r="ACX1" s="1326">
        <v>777</v>
      </c>
      <c r="ACY1" s="1326">
        <v>778</v>
      </c>
      <c r="ACZ1" s="1326">
        <v>779</v>
      </c>
      <c r="ADA1" s="1326">
        <v>780</v>
      </c>
      <c r="ADB1" s="1326">
        <v>781</v>
      </c>
      <c r="ADC1" s="1326">
        <v>782</v>
      </c>
      <c r="ADD1" s="1326">
        <v>783</v>
      </c>
      <c r="ADE1" s="1326">
        <v>784</v>
      </c>
      <c r="ADF1" s="1326">
        <v>785</v>
      </c>
      <c r="ADG1" s="1326">
        <v>786</v>
      </c>
      <c r="ADH1" s="1326">
        <v>787</v>
      </c>
      <c r="ADI1" s="1326">
        <v>788</v>
      </c>
      <c r="ADJ1" s="1326">
        <v>789</v>
      </c>
      <c r="ADK1" s="1326">
        <v>790</v>
      </c>
      <c r="ADL1" s="1326">
        <v>791</v>
      </c>
      <c r="ADM1" s="1326">
        <v>792</v>
      </c>
      <c r="ADN1" s="1326">
        <v>793</v>
      </c>
      <c r="ADO1" s="1326">
        <v>794</v>
      </c>
      <c r="ADP1" s="1326">
        <v>795</v>
      </c>
      <c r="ADQ1" s="1326">
        <v>796</v>
      </c>
      <c r="ADR1" s="1326">
        <v>797</v>
      </c>
      <c r="ADS1" s="1326">
        <v>798</v>
      </c>
      <c r="ADT1" s="1326">
        <v>799</v>
      </c>
      <c r="ADU1" s="1326">
        <v>800</v>
      </c>
      <c r="ADV1" s="1326">
        <v>801</v>
      </c>
      <c r="ADW1" s="1326">
        <v>802</v>
      </c>
      <c r="ADX1" s="1326">
        <v>803</v>
      </c>
      <c r="ADY1" s="1326">
        <v>804</v>
      </c>
      <c r="ADZ1" s="1326">
        <v>805</v>
      </c>
      <c r="AEA1" s="1326">
        <v>806</v>
      </c>
      <c r="AEB1" s="1326">
        <v>807</v>
      </c>
      <c r="AEC1" s="1326">
        <v>808</v>
      </c>
      <c r="AED1" s="1326">
        <v>809</v>
      </c>
      <c r="AEE1" s="1326">
        <v>810</v>
      </c>
      <c r="AEF1" s="1326">
        <v>811</v>
      </c>
      <c r="AEG1" s="1326">
        <v>812</v>
      </c>
      <c r="AEH1" s="1326">
        <v>813</v>
      </c>
      <c r="AEI1" s="1326">
        <v>814</v>
      </c>
      <c r="AEJ1" s="1326">
        <v>815</v>
      </c>
      <c r="AEK1" s="1326">
        <v>816</v>
      </c>
      <c r="AEL1" s="1326">
        <v>817</v>
      </c>
      <c r="AEM1" s="1326">
        <v>818</v>
      </c>
      <c r="AEN1" s="1326">
        <v>819</v>
      </c>
      <c r="AEO1" s="1326">
        <v>820</v>
      </c>
      <c r="AEP1" s="1326">
        <v>821</v>
      </c>
      <c r="AEQ1" s="1326">
        <v>822</v>
      </c>
      <c r="AER1" s="1326">
        <v>823</v>
      </c>
      <c r="AES1" s="1326">
        <v>824</v>
      </c>
      <c r="AET1" s="1326">
        <v>825</v>
      </c>
      <c r="AEU1" s="1326">
        <v>826</v>
      </c>
      <c r="AEV1" s="1326">
        <v>827</v>
      </c>
      <c r="AEW1" s="1326">
        <v>828</v>
      </c>
      <c r="AEX1" s="1326">
        <v>829</v>
      </c>
      <c r="AEY1" s="1326">
        <v>830</v>
      </c>
      <c r="AEZ1" s="1326">
        <v>831</v>
      </c>
      <c r="AFA1" s="1326">
        <v>832</v>
      </c>
      <c r="AFB1" s="1326">
        <v>833</v>
      </c>
      <c r="AFC1" s="1326">
        <v>834</v>
      </c>
      <c r="AFD1" s="1326">
        <v>835</v>
      </c>
      <c r="AFE1" s="1326">
        <v>836</v>
      </c>
      <c r="AFF1" s="1326">
        <v>837</v>
      </c>
      <c r="AFG1" s="1326">
        <v>838</v>
      </c>
      <c r="AFH1" s="1326">
        <v>839</v>
      </c>
      <c r="AFI1" s="1326">
        <v>840</v>
      </c>
      <c r="AFJ1" s="1326">
        <v>841</v>
      </c>
      <c r="AFK1" s="1326">
        <v>842</v>
      </c>
      <c r="AFL1" s="1326">
        <v>843</v>
      </c>
      <c r="AFM1" s="1326">
        <v>844</v>
      </c>
      <c r="AFN1" s="1326">
        <v>845</v>
      </c>
      <c r="AFO1" s="1326">
        <v>846</v>
      </c>
      <c r="AFP1" s="1326">
        <v>847</v>
      </c>
      <c r="AFQ1" s="1326">
        <v>848</v>
      </c>
      <c r="AFR1" s="1326">
        <v>849</v>
      </c>
      <c r="AFS1" s="1326">
        <v>850</v>
      </c>
      <c r="AFT1" s="1326">
        <v>851</v>
      </c>
      <c r="AFU1" s="1326">
        <v>852</v>
      </c>
      <c r="AFV1" s="1326">
        <v>853</v>
      </c>
      <c r="AFW1" s="1326">
        <v>854</v>
      </c>
      <c r="AFX1" s="1326">
        <v>855</v>
      </c>
      <c r="AFY1" s="1326">
        <v>856</v>
      </c>
      <c r="AFZ1" s="1326">
        <v>857</v>
      </c>
      <c r="AGA1" s="1326">
        <v>858</v>
      </c>
      <c r="AGB1" s="1326">
        <v>859</v>
      </c>
      <c r="AGC1" s="1326">
        <v>860</v>
      </c>
      <c r="AGD1" s="1326">
        <v>861</v>
      </c>
      <c r="AGE1" s="1326">
        <v>862</v>
      </c>
      <c r="AGF1" s="1326">
        <v>863</v>
      </c>
      <c r="AGG1" s="1326">
        <v>864</v>
      </c>
      <c r="AGH1" s="1326">
        <v>865</v>
      </c>
      <c r="AGI1" s="1326">
        <v>866</v>
      </c>
      <c r="AGJ1" s="1326">
        <v>867</v>
      </c>
      <c r="AGK1" s="1326">
        <v>868</v>
      </c>
      <c r="AGL1" s="1326">
        <v>869</v>
      </c>
      <c r="AGM1" s="1326">
        <v>870</v>
      </c>
      <c r="AGN1" s="1326">
        <v>871</v>
      </c>
      <c r="AGO1" s="1326">
        <v>872</v>
      </c>
      <c r="AGP1" s="1326">
        <v>873</v>
      </c>
      <c r="AGQ1" s="1326">
        <v>874</v>
      </c>
      <c r="AGR1" s="1326">
        <v>875</v>
      </c>
      <c r="AGS1" s="1326">
        <v>876</v>
      </c>
      <c r="AGT1" s="1326">
        <v>877</v>
      </c>
      <c r="AGU1" s="1326">
        <v>878</v>
      </c>
      <c r="AGV1" s="1326">
        <v>879</v>
      </c>
      <c r="AGW1" s="1326">
        <v>880</v>
      </c>
      <c r="AGX1" s="1326">
        <v>881</v>
      </c>
      <c r="AGY1" s="1326">
        <v>882</v>
      </c>
      <c r="AGZ1" s="1326">
        <v>883</v>
      </c>
      <c r="AHA1" s="1326">
        <v>884</v>
      </c>
      <c r="AHB1" s="1326">
        <v>885</v>
      </c>
      <c r="AHC1" s="1326">
        <v>886</v>
      </c>
      <c r="AHD1" s="1326">
        <v>887</v>
      </c>
      <c r="AHE1" s="1326">
        <v>888</v>
      </c>
      <c r="AHF1" s="1326">
        <v>889</v>
      </c>
      <c r="AHG1" s="1326">
        <v>890</v>
      </c>
      <c r="AHH1" s="1326">
        <v>891</v>
      </c>
      <c r="AHI1" s="1326">
        <v>892</v>
      </c>
      <c r="AHJ1" s="1326">
        <v>893</v>
      </c>
      <c r="AHK1" s="1326">
        <v>894</v>
      </c>
      <c r="AHL1" s="1326">
        <v>895</v>
      </c>
      <c r="AHM1" s="1326">
        <v>896</v>
      </c>
      <c r="AHN1" s="1326">
        <v>897</v>
      </c>
      <c r="AHO1" s="1326">
        <v>898</v>
      </c>
      <c r="AHP1" s="1326">
        <v>899</v>
      </c>
      <c r="AHQ1" s="1326">
        <v>900</v>
      </c>
      <c r="AHR1" s="1326">
        <v>901</v>
      </c>
      <c r="AHS1" s="1326">
        <v>902</v>
      </c>
      <c r="AHT1" s="1326">
        <v>903</v>
      </c>
      <c r="AHU1" s="1326">
        <v>904</v>
      </c>
      <c r="AHV1" s="1326">
        <v>905</v>
      </c>
      <c r="AHW1" s="1326">
        <v>906</v>
      </c>
      <c r="AHX1" s="1326">
        <v>907</v>
      </c>
      <c r="AHY1" s="1326">
        <v>908</v>
      </c>
      <c r="AHZ1" s="1326">
        <v>909</v>
      </c>
      <c r="AIA1" s="1326">
        <v>910</v>
      </c>
      <c r="AIB1" s="1326">
        <v>911</v>
      </c>
      <c r="AIC1" s="1326">
        <v>912</v>
      </c>
      <c r="AID1" s="1326">
        <v>913</v>
      </c>
      <c r="AIE1" s="1326">
        <v>914</v>
      </c>
      <c r="AIF1" s="1326">
        <v>915</v>
      </c>
      <c r="AIG1" s="1326">
        <v>916</v>
      </c>
      <c r="AIH1" s="1326">
        <v>917</v>
      </c>
      <c r="AII1" s="1326">
        <v>918</v>
      </c>
      <c r="AIJ1" s="1326">
        <v>919</v>
      </c>
      <c r="AIK1" s="1326">
        <v>920</v>
      </c>
      <c r="AIL1" s="1326">
        <v>921</v>
      </c>
      <c r="AIM1" s="1326">
        <v>922</v>
      </c>
      <c r="AIN1" s="1326">
        <v>923</v>
      </c>
      <c r="AIO1" s="1326">
        <v>924</v>
      </c>
      <c r="AIP1" s="1326">
        <v>925</v>
      </c>
      <c r="AIQ1" s="1326">
        <v>926</v>
      </c>
      <c r="AIR1" s="1326">
        <v>927</v>
      </c>
      <c r="AIS1" s="1326">
        <v>928</v>
      </c>
      <c r="AIT1" s="1326">
        <v>929</v>
      </c>
      <c r="AIU1" s="1326">
        <v>930</v>
      </c>
      <c r="AIV1" s="1326">
        <v>931</v>
      </c>
      <c r="AIW1" s="1326">
        <v>932</v>
      </c>
      <c r="AIX1" s="1326">
        <v>933</v>
      </c>
      <c r="AIY1" s="1326">
        <v>934</v>
      </c>
      <c r="AIZ1" s="1326">
        <v>935</v>
      </c>
      <c r="AJA1" s="1326">
        <v>936</v>
      </c>
      <c r="AJB1" s="1326">
        <v>937</v>
      </c>
      <c r="AJC1" s="1326">
        <v>938</v>
      </c>
      <c r="AJD1" s="1326">
        <v>939</v>
      </c>
      <c r="AJE1" s="1326">
        <v>940</v>
      </c>
      <c r="AJF1" s="1326">
        <v>941</v>
      </c>
      <c r="AJG1" s="1326">
        <v>942</v>
      </c>
      <c r="AJH1" s="1326">
        <v>943</v>
      </c>
      <c r="AJI1" s="1326">
        <v>944</v>
      </c>
      <c r="AJJ1" s="1326">
        <v>945</v>
      </c>
      <c r="AJK1" s="1326">
        <v>946</v>
      </c>
      <c r="AJL1" s="1326">
        <v>947</v>
      </c>
      <c r="AJM1" s="1326">
        <v>948</v>
      </c>
      <c r="AJN1" s="1326">
        <v>949</v>
      </c>
      <c r="AJO1" s="1326">
        <v>950</v>
      </c>
      <c r="AJP1" s="1326">
        <v>951</v>
      </c>
      <c r="AJQ1" s="1326">
        <v>952</v>
      </c>
      <c r="AJR1" s="1326">
        <v>953</v>
      </c>
      <c r="AJS1" s="1326">
        <v>954</v>
      </c>
      <c r="AJT1" s="1326">
        <v>955</v>
      </c>
      <c r="AJU1" s="1326">
        <v>956</v>
      </c>
      <c r="AJV1" s="1326">
        <v>957</v>
      </c>
      <c r="AJW1" s="1326">
        <v>958</v>
      </c>
      <c r="AJX1" s="1326">
        <v>959</v>
      </c>
      <c r="AJY1" s="1326">
        <v>960</v>
      </c>
      <c r="AJZ1" s="1326">
        <v>961</v>
      </c>
      <c r="AKA1" s="1326">
        <v>962</v>
      </c>
      <c r="AKB1" s="1326">
        <v>963</v>
      </c>
      <c r="AKC1" s="1326">
        <v>964</v>
      </c>
      <c r="AKD1" s="1326">
        <v>965</v>
      </c>
      <c r="AKE1" s="1326">
        <v>966</v>
      </c>
      <c r="AKF1" s="1326">
        <v>967</v>
      </c>
      <c r="AKG1" s="1326">
        <v>968</v>
      </c>
      <c r="AKH1" s="1326">
        <v>969</v>
      </c>
      <c r="AKI1" s="1326">
        <v>970</v>
      </c>
      <c r="AKJ1" s="1326">
        <v>971</v>
      </c>
      <c r="AKK1" s="1326">
        <v>972</v>
      </c>
      <c r="AKL1" s="1326">
        <v>973</v>
      </c>
      <c r="AKM1" s="1326">
        <v>974</v>
      </c>
      <c r="AKN1" s="1326">
        <v>975</v>
      </c>
      <c r="AKO1" s="1326">
        <v>976</v>
      </c>
      <c r="AKP1" s="1326">
        <v>977</v>
      </c>
      <c r="AKQ1" s="1326">
        <v>978</v>
      </c>
      <c r="AKR1" s="1326">
        <v>979</v>
      </c>
      <c r="AKS1" s="1326">
        <v>980</v>
      </c>
      <c r="AKT1" s="1326">
        <v>981</v>
      </c>
      <c r="AKU1" s="1326">
        <v>982</v>
      </c>
      <c r="AKV1" s="1326">
        <v>983</v>
      </c>
      <c r="AKW1" s="1326">
        <v>984</v>
      </c>
      <c r="AKX1" s="1326">
        <v>985</v>
      </c>
      <c r="AKY1" s="1326">
        <v>986</v>
      </c>
      <c r="AKZ1" s="1326">
        <v>987</v>
      </c>
      <c r="ALA1" s="1326">
        <v>988</v>
      </c>
      <c r="ALB1" s="1326">
        <v>989</v>
      </c>
      <c r="ALC1" s="1326">
        <v>990</v>
      </c>
      <c r="ALD1" s="1326">
        <v>991</v>
      </c>
      <c r="ALE1" s="1326">
        <v>992</v>
      </c>
      <c r="ALF1" s="1326">
        <v>993</v>
      </c>
      <c r="ALG1" s="1326">
        <v>994</v>
      </c>
      <c r="ALH1" s="1326">
        <v>995</v>
      </c>
      <c r="ALI1" s="1326">
        <v>996</v>
      </c>
      <c r="ALJ1" s="1326">
        <v>997</v>
      </c>
      <c r="ALK1" s="1326">
        <v>998</v>
      </c>
      <c r="ALL1" s="1326">
        <v>999</v>
      </c>
      <c r="ALM1" s="1326">
        <v>1000</v>
      </c>
      <c r="ALN1" s="1326">
        <v>1001</v>
      </c>
      <c r="ALO1" s="1326">
        <v>1002</v>
      </c>
      <c r="ALP1" s="1326">
        <v>1003</v>
      </c>
      <c r="ALQ1" s="1326">
        <v>1004</v>
      </c>
      <c r="ALR1" s="1326">
        <v>1005</v>
      </c>
      <c r="ALS1" s="1326">
        <v>1006</v>
      </c>
      <c r="ALT1" s="1326">
        <v>1007</v>
      </c>
      <c r="ALU1" s="1326">
        <v>1008</v>
      </c>
      <c r="ALV1" s="1326">
        <v>1009</v>
      </c>
      <c r="ALW1" s="1326">
        <v>1010</v>
      </c>
      <c r="ALX1" s="1326">
        <v>1011</v>
      </c>
      <c r="ALY1" s="1331">
        <v>1012</v>
      </c>
    </row>
    <row r="2" spans="1:1013" s="1290" customFormat="1" ht="24.95" hidden="1" customHeight="1" outlineLevel="1" thickBot="1">
      <c r="A2" s="1286"/>
      <c r="B2" s="1691" t="s">
        <v>3057</v>
      </c>
      <c r="C2" s="1692"/>
      <c r="D2" s="1693"/>
      <c r="E2" s="1675" t="s">
        <v>214</v>
      </c>
      <c r="F2" s="1621"/>
      <c r="G2" s="1622"/>
      <c r="H2" s="1676" t="s">
        <v>604</v>
      </c>
      <c r="I2" s="1677"/>
      <c r="J2" s="1677"/>
      <c r="K2" s="1678"/>
      <c r="L2" s="1676" t="s">
        <v>1010</v>
      </c>
      <c r="M2" s="1677"/>
      <c r="N2" s="1677"/>
      <c r="O2" s="1678"/>
      <c r="P2" s="1679" t="s">
        <v>36</v>
      </c>
      <c r="Q2" s="1680"/>
      <c r="R2" s="1680"/>
      <c r="S2" s="1680"/>
      <c r="T2" s="1680"/>
      <c r="U2" s="1680"/>
      <c r="V2" s="1680"/>
      <c r="W2" s="1680"/>
      <c r="X2" s="1680"/>
      <c r="Y2" s="1680"/>
      <c r="Z2" s="1680"/>
      <c r="AA2" s="1680"/>
      <c r="AB2" s="1680"/>
      <c r="AC2" s="1680"/>
      <c r="AD2" s="1680"/>
      <c r="AE2" s="1680"/>
      <c r="AF2" s="1680"/>
      <c r="AG2" s="1680"/>
      <c r="AH2" s="1680"/>
      <c r="AI2" s="1680"/>
      <c r="AJ2" s="1680"/>
      <c r="AK2" s="1680"/>
      <c r="AL2" s="1680"/>
      <c r="AM2" s="1680"/>
      <c r="AN2" s="1680"/>
      <c r="AO2" s="1327"/>
      <c r="AP2" s="1327"/>
      <c r="AQ2" s="1327"/>
      <c r="AR2" s="1327"/>
      <c r="AS2" s="1327"/>
      <c r="AT2" s="1327"/>
      <c r="AU2" s="1327"/>
      <c r="AV2" s="1327"/>
      <c r="AW2" s="1327"/>
      <c r="AX2" s="1327"/>
      <c r="AY2" s="1327"/>
      <c r="AZ2" s="1327"/>
      <c r="BA2" s="1684" t="s">
        <v>605</v>
      </c>
      <c r="BB2" s="1685"/>
      <c r="BC2" s="1685"/>
      <c r="BD2" s="1685"/>
      <c r="BE2" s="1685"/>
      <c r="BF2" s="1685"/>
      <c r="BG2" s="1685"/>
      <c r="BH2" s="1685"/>
      <c r="BI2" s="1685"/>
      <c r="BJ2" s="1685"/>
      <c r="BK2" s="1685"/>
      <c r="BL2" s="1685"/>
      <c r="BM2" s="1685"/>
      <c r="BN2" s="1685"/>
      <c r="BO2" s="1685"/>
      <c r="BP2" s="1685"/>
      <c r="BQ2" s="1685"/>
      <c r="BR2" s="1685"/>
      <c r="BS2" s="1685"/>
      <c r="BT2" s="1685"/>
      <c r="BU2" s="1685"/>
      <c r="BV2" s="1685"/>
      <c r="BW2" s="1685"/>
      <c r="BX2" s="1685"/>
      <c r="BY2" s="1685"/>
      <c r="BZ2" s="1685"/>
      <c r="CA2" s="1685"/>
      <c r="CB2" s="1685"/>
      <c r="CC2" s="1685"/>
      <c r="CD2" s="1685"/>
      <c r="CE2" s="1685"/>
      <c r="CF2" s="1685"/>
      <c r="CG2" s="1685"/>
      <c r="CH2" s="1685"/>
      <c r="CI2" s="1685"/>
      <c r="CJ2" s="1685"/>
      <c r="CK2" s="1685"/>
      <c r="CL2" s="1685"/>
      <c r="CM2" s="1685"/>
      <c r="CN2" s="1685"/>
      <c r="CO2" s="1685"/>
      <c r="CP2" s="1685"/>
      <c r="CQ2" s="1685"/>
      <c r="CR2" s="1685"/>
      <c r="CS2" s="1685"/>
      <c r="CT2" s="1685"/>
      <c r="CU2" s="1685"/>
      <c r="CV2" s="1685"/>
      <c r="CW2" s="1685"/>
      <c r="CX2" s="1685"/>
      <c r="CY2" s="1685"/>
      <c r="CZ2" s="1685"/>
      <c r="DA2" s="1685"/>
      <c r="DB2" s="1685"/>
      <c r="DC2" s="1685"/>
      <c r="DD2" s="1685"/>
      <c r="DE2" s="1685"/>
      <c r="DF2" s="1685"/>
      <c r="DG2" s="1685"/>
      <c r="DH2" s="1685"/>
      <c r="DI2" s="1685"/>
      <c r="DJ2" s="1686"/>
      <c r="DK2" s="1681" t="s">
        <v>38</v>
      </c>
      <c r="DL2" s="1682"/>
      <c r="DM2" s="1682"/>
      <c r="DN2" s="1682"/>
      <c r="DO2" s="1682"/>
      <c r="DP2" s="1682"/>
      <c r="DQ2" s="1682"/>
      <c r="DR2" s="1682"/>
      <c r="DS2" s="1682"/>
      <c r="DT2" s="1682"/>
      <c r="DU2" s="1682"/>
      <c r="DV2" s="1682"/>
      <c r="DW2" s="1682"/>
      <c r="DX2" s="1682"/>
      <c r="DY2" s="1682"/>
      <c r="DZ2" s="1682"/>
      <c r="EA2" s="1682"/>
      <c r="EB2" s="1682"/>
      <c r="EC2" s="1682"/>
      <c r="ED2" s="1683"/>
      <c r="EE2" s="1684" t="s">
        <v>39</v>
      </c>
      <c r="EF2" s="1685"/>
      <c r="EG2" s="1685"/>
      <c r="EH2" s="1685"/>
      <c r="EI2" s="1685"/>
      <c r="EJ2" s="1685"/>
      <c r="EK2" s="1682"/>
      <c r="EL2" s="1682"/>
      <c r="EM2" s="1682"/>
      <c r="EN2" s="1682"/>
      <c r="EO2" s="1682"/>
      <c r="EP2" s="1682"/>
      <c r="EQ2" s="1682"/>
      <c r="ER2" s="1682"/>
      <c r="ES2" s="1682"/>
      <c r="ET2" s="1682"/>
      <c r="EU2" s="1682"/>
      <c r="EV2" s="1682"/>
      <c r="EW2" s="1682"/>
      <c r="EX2" s="1682"/>
      <c r="EY2" s="1682"/>
      <c r="EZ2" s="1682"/>
      <c r="FA2" s="1682"/>
      <c r="FB2" s="1682"/>
      <c r="FC2" s="1682"/>
      <c r="FD2" s="1682"/>
      <c r="FE2" s="1682"/>
      <c r="FF2" s="1682"/>
      <c r="FG2" s="1682"/>
      <c r="FH2" s="1682"/>
      <c r="FI2" s="1682"/>
      <c r="FJ2" s="1682"/>
      <c r="FK2" s="1682"/>
      <c r="FL2" s="1682"/>
      <c r="FM2" s="1682"/>
      <c r="FN2" s="1682"/>
      <c r="FO2" s="1682"/>
      <c r="FP2" s="1682"/>
      <c r="FQ2" s="1682"/>
      <c r="FR2" s="1682"/>
      <c r="FS2" s="1682"/>
      <c r="FT2" s="1682"/>
      <c r="FU2" s="1682"/>
      <c r="FV2" s="1682"/>
      <c r="FW2" s="1682"/>
      <c r="FX2" s="1682"/>
      <c r="FY2" s="1682"/>
      <c r="FZ2" s="1682"/>
      <c r="GA2" s="1682"/>
      <c r="GB2" s="1682"/>
      <c r="GC2" s="1682"/>
      <c r="GD2" s="1682"/>
      <c r="GE2" s="1682"/>
      <c r="GF2" s="1682"/>
      <c r="GG2" s="1682"/>
      <c r="GH2" s="1682"/>
      <c r="GI2" s="1682"/>
      <c r="GJ2" s="1682"/>
      <c r="GK2" s="1682"/>
      <c r="GL2" s="1682"/>
      <c r="GM2" s="1682"/>
      <c r="GN2" s="1682"/>
      <c r="GO2" s="1682"/>
      <c r="GP2" s="1682"/>
      <c r="GQ2" s="1682"/>
      <c r="GR2" s="1682"/>
      <c r="GS2" s="1682"/>
      <c r="GT2" s="1682"/>
      <c r="GU2" s="1682"/>
      <c r="GV2" s="1682"/>
      <c r="GW2" s="1682"/>
      <c r="GX2" s="1682"/>
      <c r="GY2" s="1682"/>
      <c r="GZ2" s="1682"/>
      <c r="HA2" s="1682"/>
      <c r="HB2" s="1682"/>
      <c r="HC2" s="1682"/>
      <c r="HD2" s="1682"/>
      <c r="HE2" s="1682"/>
      <c r="HF2" s="1682"/>
      <c r="HG2" s="1682"/>
      <c r="HH2" s="1682"/>
      <c r="HI2" s="1682"/>
      <c r="HJ2" s="1682"/>
      <c r="HK2" s="1682"/>
      <c r="HL2" s="1682"/>
      <c r="HM2" s="1682"/>
      <c r="HN2" s="1682"/>
      <c r="HO2" s="1682"/>
      <c r="HP2" s="1682"/>
      <c r="HQ2" s="1682"/>
      <c r="HR2" s="1682"/>
      <c r="HS2" s="1682"/>
      <c r="HT2" s="1682"/>
      <c r="HU2" s="1682"/>
      <c r="HV2" s="1682"/>
      <c r="HW2" s="1682"/>
      <c r="HX2" s="1682"/>
      <c r="HY2" s="1682"/>
      <c r="HZ2" s="1682"/>
      <c r="IA2" s="1682"/>
      <c r="IB2" s="1682"/>
      <c r="IC2" s="1682"/>
      <c r="ID2" s="1682"/>
      <c r="IE2" s="1682"/>
      <c r="IF2" s="1682"/>
      <c r="IG2" s="1682"/>
      <c r="IH2" s="1682"/>
      <c r="II2" s="1682"/>
      <c r="IJ2" s="1682"/>
      <c r="IK2" s="1682"/>
      <c r="IL2" s="1682"/>
      <c r="IM2" s="1682"/>
      <c r="IN2" s="1682"/>
      <c r="IO2" s="1682"/>
      <c r="IP2" s="1682"/>
      <c r="IQ2" s="1682"/>
      <c r="IR2" s="1682"/>
      <c r="IS2" s="1682"/>
      <c r="IT2" s="1682"/>
      <c r="IU2" s="1682"/>
      <c r="IV2" s="1682"/>
      <c r="IW2" s="1684" t="s">
        <v>55</v>
      </c>
      <c r="IX2" s="1685"/>
      <c r="IY2" s="1685"/>
      <c r="IZ2" s="1685"/>
      <c r="JA2" s="1685"/>
      <c r="JB2" s="1685"/>
      <c r="JC2" s="1685"/>
      <c r="JD2" s="1685"/>
      <c r="JE2" s="1685"/>
      <c r="JF2" s="1685"/>
      <c r="JG2" s="1685"/>
      <c r="JH2" s="1685"/>
      <c r="JI2" s="1685"/>
      <c r="JJ2" s="1684" t="s">
        <v>1788</v>
      </c>
      <c r="JK2" s="1685"/>
      <c r="JL2" s="1685"/>
      <c r="JM2" s="1685"/>
      <c r="JN2" s="1685"/>
      <c r="JO2" s="1685"/>
      <c r="JP2" s="1685"/>
      <c r="JQ2" s="1685"/>
      <c r="JR2" s="1685"/>
      <c r="JS2" s="1685"/>
      <c r="JT2" s="1685"/>
      <c r="JU2" s="1685"/>
      <c r="JV2" s="1686"/>
      <c r="JW2" s="1684" t="s">
        <v>1787</v>
      </c>
      <c r="JX2" s="1685"/>
      <c r="JY2" s="1685"/>
      <c r="JZ2" s="1685"/>
      <c r="KA2" s="1685"/>
      <c r="KB2" s="1685"/>
      <c r="KC2" s="1685"/>
      <c r="KD2" s="1685"/>
      <c r="KE2" s="1685"/>
      <c r="KF2" s="1685"/>
      <c r="KG2" s="1685"/>
      <c r="KH2" s="1685"/>
      <c r="KI2" s="1685"/>
      <c r="KJ2" s="1685"/>
      <c r="KK2" s="1685"/>
      <c r="KL2" s="1685"/>
      <c r="KM2" s="1685"/>
      <c r="KN2" s="1685"/>
      <c r="KO2" s="1685"/>
      <c r="KP2" s="1685"/>
      <c r="KQ2" s="1685"/>
      <c r="KR2" s="1685"/>
      <c r="KS2" s="1685"/>
      <c r="KT2" s="1685"/>
      <c r="KU2" s="1685"/>
      <c r="KV2" s="1685"/>
      <c r="KW2" s="1685"/>
      <c r="KX2" s="1685"/>
      <c r="KY2" s="1685"/>
      <c r="KZ2" s="1685"/>
      <c r="LA2" s="1685"/>
      <c r="LB2" s="1685"/>
      <c r="LC2" s="1685"/>
      <c r="LD2" s="1685"/>
      <c r="LE2" s="1685"/>
      <c r="LF2" s="1685"/>
      <c r="LG2" s="1685"/>
      <c r="LH2" s="1685"/>
      <c r="LI2" s="1685"/>
      <c r="LJ2" s="1685"/>
      <c r="LK2" s="1685"/>
      <c r="LL2" s="1685"/>
      <c r="LM2" s="1686"/>
      <c r="LN2" s="1684" t="s">
        <v>606</v>
      </c>
      <c r="LO2" s="1685"/>
      <c r="LP2" s="1685"/>
      <c r="LQ2" s="1685"/>
      <c r="LR2" s="1685"/>
      <c r="LS2" s="1685"/>
      <c r="LT2" s="1685"/>
      <c r="LU2" s="1685"/>
      <c r="LV2" s="1685"/>
      <c r="LW2" s="1685"/>
      <c r="LX2" s="1686"/>
      <c r="LY2" s="1210"/>
      <c r="LZ2" s="1210"/>
      <c r="MA2" s="1210"/>
      <c r="MB2" s="1328"/>
      <c r="MC2" s="1328"/>
      <c r="MD2" s="1210"/>
      <c r="ME2" s="1210"/>
      <c r="MF2" s="1210"/>
      <c r="MG2" s="1210"/>
      <c r="MH2" s="1210"/>
      <c r="MI2" s="1328"/>
      <c r="MJ2" s="1328"/>
      <c r="MK2" s="1328"/>
      <c r="ML2" s="1328"/>
      <c r="MM2" s="1328"/>
      <c r="MN2" s="1328"/>
      <c r="MO2" s="1328"/>
      <c r="MP2" s="1328"/>
      <c r="MQ2" s="1328"/>
      <c r="MR2" s="1328"/>
      <c r="MS2" s="1328"/>
      <c r="MT2" s="1329"/>
      <c r="MU2" s="1681" t="s">
        <v>1777</v>
      </c>
      <c r="MV2" s="1682"/>
      <c r="MW2" s="1683"/>
      <c r="MX2" s="1687" t="s">
        <v>607</v>
      </c>
      <c r="MY2" s="1688"/>
      <c r="MZ2" s="1688"/>
      <c r="NA2" s="1689"/>
      <c r="NB2" s="1687" t="s">
        <v>608</v>
      </c>
      <c r="NC2" s="1688"/>
      <c r="ND2" s="1688"/>
      <c r="NE2" s="1689"/>
      <c r="NF2" s="1687" t="s">
        <v>609</v>
      </c>
      <c r="NG2" s="1688"/>
      <c r="NH2" s="1688"/>
      <c r="NI2" s="1689"/>
      <c r="NJ2" s="1687" t="s">
        <v>610</v>
      </c>
      <c r="NK2" s="1688"/>
      <c r="NL2" s="1688"/>
      <c r="NM2" s="1689"/>
      <c r="NN2" s="1687" t="s">
        <v>611</v>
      </c>
      <c r="NO2" s="1688"/>
      <c r="NP2" s="1688"/>
      <c r="NQ2" s="1689"/>
      <c r="NR2" s="1687" t="s">
        <v>612</v>
      </c>
      <c r="NS2" s="1688"/>
      <c r="NT2" s="1688"/>
      <c r="NU2" s="1689"/>
      <c r="NV2" s="1687" t="s">
        <v>950</v>
      </c>
      <c r="NW2" s="1688"/>
      <c r="NX2" s="1688"/>
      <c r="NY2" s="1688"/>
      <c r="NZ2" s="1688"/>
      <c r="OA2" s="1688"/>
      <c r="OB2" s="1688"/>
      <c r="OC2" s="1688"/>
      <c r="OD2" s="1688"/>
      <c r="OE2" s="1688"/>
      <c r="OF2" s="1688"/>
      <c r="OG2" s="1688"/>
      <c r="OH2" s="1688"/>
      <c r="OI2" s="1688"/>
      <c r="OJ2" s="1688"/>
      <c r="OK2" s="1688"/>
      <c r="OL2" s="1688"/>
      <c r="OM2" s="1688"/>
      <c r="ON2" s="1688"/>
      <c r="OO2" s="1688"/>
      <c r="OP2" s="1688"/>
      <c r="OQ2" s="1688"/>
      <c r="OR2" s="1688"/>
      <c r="OS2" s="1688"/>
      <c r="OT2" s="1688"/>
      <c r="OU2" s="1688"/>
      <c r="OV2" s="1688"/>
      <c r="OW2" s="1688"/>
      <c r="OX2" s="1688"/>
      <c r="OY2" s="1688"/>
      <c r="OZ2" s="1688"/>
      <c r="PA2" s="1688"/>
      <c r="PB2" s="1688"/>
      <c r="PC2" s="1688"/>
      <c r="PD2" s="1688"/>
      <c r="PE2" s="1689"/>
      <c r="PF2" s="1687" t="s">
        <v>951</v>
      </c>
      <c r="PG2" s="1688"/>
      <c r="PH2" s="1688"/>
      <c r="PI2" s="1688"/>
      <c r="PJ2" s="1688"/>
      <c r="PK2" s="1688"/>
      <c r="PL2" s="1688"/>
      <c r="PM2" s="1688"/>
      <c r="PN2" s="1688"/>
      <c r="PO2" s="1688"/>
      <c r="PP2" s="1688"/>
      <c r="PQ2" s="1688"/>
      <c r="PR2" s="1688"/>
      <c r="PS2" s="1688"/>
      <c r="PT2" s="1688"/>
      <c r="PU2" s="1688"/>
      <c r="PV2" s="1688"/>
      <c r="PW2" s="1688"/>
      <c r="PX2" s="1688"/>
      <c r="PY2" s="1688"/>
      <c r="PZ2" s="1688"/>
      <c r="QA2" s="1688"/>
      <c r="QB2" s="1688"/>
      <c r="QC2" s="1689"/>
      <c r="QD2" s="1687" t="s">
        <v>952</v>
      </c>
      <c r="QE2" s="1688"/>
      <c r="QF2" s="1688"/>
      <c r="QG2" s="1688"/>
      <c r="QH2" s="1688"/>
      <c r="QI2" s="1688"/>
      <c r="QJ2" s="1688"/>
      <c r="QK2" s="1688"/>
      <c r="QL2" s="1688"/>
      <c r="QM2" s="1688"/>
      <c r="QN2" s="1688"/>
      <c r="QO2" s="1688"/>
      <c r="QP2" s="1688"/>
      <c r="QQ2" s="1688"/>
      <c r="QR2" s="1688"/>
      <c r="QS2" s="1688"/>
      <c r="QT2" s="1688"/>
      <c r="QU2" s="1688"/>
      <c r="QV2" s="1688"/>
      <c r="QW2" s="1688"/>
      <c r="QX2" s="1688"/>
      <c r="QY2" s="1688"/>
      <c r="QZ2" s="1688"/>
      <c r="RA2" s="1688"/>
      <c r="RB2" s="1688"/>
      <c r="RC2" s="1688"/>
      <c r="RD2" s="1688"/>
      <c r="RE2" s="1688"/>
      <c r="RF2" s="1688"/>
      <c r="RG2" s="1689"/>
      <c r="RH2" s="1687" t="s">
        <v>953</v>
      </c>
      <c r="RI2" s="1688"/>
      <c r="RJ2" s="1688"/>
      <c r="RK2" s="1688"/>
      <c r="RL2" s="1688"/>
      <c r="RM2" s="1688"/>
      <c r="RN2" s="1688"/>
      <c r="RO2" s="1688"/>
      <c r="RP2" s="1688"/>
      <c r="RQ2" s="1688"/>
      <c r="RR2" s="1688"/>
      <c r="RS2" s="1688"/>
      <c r="RT2" s="1688"/>
      <c r="RU2" s="1688"/>
      <c r="RV2" s="1688"/>
      <c r="RW2" s="1688"/>
      <c r="RX2" s="1688"/>
      <c r="RY2" s="1688"/>
      <c r="RZ2" s="1688"/>
      <c r="SA2" s="1688"/>
      <c r="SB2" s="1688"/>
      <c r="SC2" s="1688"/>
      <c r="SD2" s="1688"/>
      <c r="SE2" s="1688"/>
      <c r="SF2" s="1688"/>
      <c r="SG2" s="1688"/>
      <c r="SH2" s="1688"/>
      <c r="SI2" s="1688"/>
      <c r="SJ2" s="1688"/>
      <c r="SK2" s="1689"/>
      <c r="SL2" s="1687" t="s">
        <v>954</v>
      </c>
      <c r="SM2" s="1688"/>
      <c r="SN2" s="1688"/>
      <c r="SO2" s="1688"/>
      <c r="SP2" s="1688"/>
      <c r="SQ2" s="1688"/>
      <c r="SR2" s="1688"/>
      <c r="SS2" s="1688"/>
      <c r="ST2" s="1688"/>
      <c r="SU2" s="1688"/>
      <c r="SV2" s="1688"/>
      <c r="SW2" s="1688"/>
      <c r="SX2" s="1688"/>
      <c r="SY2" s="1688"/>
      <c r="SZ2" s="1688"/>
      <c r="TA2" s="1688"/>
      <c r="TB2" s="1688"/>
      <c r="TC2" s="1688"/>
      <c r="TD2" s="1688"/>
      <c r="TE2" s="1688"/>
      <c r="TF2" s="1688"/>
      <c r="TG2" s="1688"/>
      <c r="TH2" s="1688"/>
      <c r="TI2" s="1688"/>
      <c r="TJ2" s="1688"/>
      <c r="TK2" s="1688"/>
      <c r="TL2" s="1688"/>
      <c r="TM2" s="1688"/>
      <c r="TN2" s="1688"/>
      <c r="TO2" s="1689"/>
      <c r="TP2" s="1687" t="s">
        <v>955</v>
      </c>
      <c r="TQ2" s="1688"/>
      <c r="TR2" s="1688"/>
      <c r="TS2" s="1688"/>
      <c r="TT2" s="1688"/>
      <c r="TU2" s="1688"/>
      <c r="TV2" s="1688"/>
      <c r="TW2" s="1688"/>
      <c r="TX2" s="1688"/>
      <c r="TY2" s="1688"/>
      <c r="TZ2" s="1688"/>
      <c r="UA2" s="1688"/>
      <c r="UB2" s="1688"/>
      <c r="UC2" s="1688"/>
      <c r="UD2" s="1688"/>
      <c r="UE2" s="1688"/>
      <c r="UF2" s="1688"/>
      <c r="UG2" s="1688"/>
      <c r="UH2" s="1688"/>
      <c r="UI2" s="1688"/>
      <c r="UJ2" s="1688"/>
      <c r="UK2" s="1688"/>
      <c r="UL2" s="1688"/>
      <c r="UM2" s="1688"/>
      <c r="UN2" s="1688"/>
      <c r="UO2" s="1688"/>
      <c r="UP2" s="1688"/>
      <c r="UQ2" s="1688"/>
      <c r="UR2" s="1688"/>
      <c r="US2" s="1689"/>
      <c r="UT2" s="1687" t="s">
        <v>956</v>
      </c>
      <c r="UU2" s="1688"/>
      <c r="UV2" s="1688"/>
      <c r="UW2" s="1688"/>
      <c r="UX2" s="1688"/>
      <c r="UY2" s="1688"/>
      <c r="UZ2" s="1688"/>
      <c r="VA2" s="1688"/>
      <c r="VB2" s="1688"/>
      <c r="VC2" s="1688"/>
      <c r="VD2" s="1688"/>
      <c r="VE2" s="1688"/>
      <c r="VF2" s="1688"/>
      <c r="VG2" s="1688"/>
      <c r="VH2" s="1688"/>
      <c r="VI2" s="1688"/>
      <c r="VJ2" s="1688"/>
      <c r="VK2" s="1688"/>
      <c r="VL2" s="1688"/>
      <c r="VM2" s="1688"/>
      <c r="VN2" s="1688"/>
      <c r="VO2" s="1688"/>
      <c r="VP2" s="1688"/>
      <c r="VQ2" s="1688"/>
      <c r="VR2" s="1688"/>
      <c r="VS2" s="1688"/>
      <c r="VT2" s="1688"/>
      <c r="VU2" s="1688"/>
      <c r="VV2" s="1688"/>
      <c r="VW2" s="1688"/>
      <c r="VX2" s="1688"/>
      <c r="VY2" s="1688"/>
      <c r="VZ2" s="1688"/>
      <c r="WA2" s="1688"/>
      <c r="WB2" s="1688"/>
      <c r="WC2" s="1689"/>
      <c r="WD2" s="1690" t="s">
        <v>957</v>
      </c>
      <c r="WE2" s="1666"/>
      <c r="WF2" s="1666"/>
      <c r="WG2" s="1666"/>
      <c r="WH2" s="1666"/>
      <c r="WI2" s="1666"/>
      <c r="WJ2" s="1667"/>
      <c r="WK2" s="1690" t="s">
        <v>960</v>
      </c>
      <c r="WL2" s="1666"/>
      <c r="WM2" s="1666"/>
      <c r="WN2" s="1666"/>
      <c r="WO2" s="1666"/>
      <c r="WP2" s="1666"/>
      <c r="WQ2" s="1666"/>
      <c r="WR2" s="1666"/>
      <c r="WS2" s="1666"/>
      <c r="WT2" s="1666"/>
      <c r="WU2" s="1666"/>
      <c r="WV2" s="1666"/>
      <c r="WW2" s="1666"/>
      <c r="WX2" s="1666"/>
      <c r="WY2" s="1666"/>
      <c r="WZ2" s="1666"/>
      <c r="XA2" s="1666"/>
      <c r="XB2" s="1666"/>
      <c r="XC2" s="1666"/>
      <c r="XD2" s="1666"/>
      <c r="XE2" s="1666"/>
      <c r="XF2" s="1666"/>
      <c r="XG2" s="1666"/>
      <c r="XH2" s="1666"/>
      <c r="XI2" s="1666"/>
      <c r="XJ2" s="1666"/>
      <c r="XK2" s="1666"/>
      <c r="XL2" s="1666"/>
      <c r="XM2" s="1666"/>
      <c r="XN2" s="1666"/>
      <c r="XO2" s="1666"/>
      <c r="XP2" s="1666"/>
      <c r="XQ2" s="1667"/>
      <c r="XR2" s="1660" t="s">
        <v>1615</v>
      </c>
      <c r="XS2" s="1661"/>
      <c r="XT2" s="1661"/>
      <c r="XU2" s="1661"/>
      <c r="XV2" s="1661"/>
      <c r="XW2" s="1330"/>
      <c r="XX2" s="1690" t="s">
        <v>1792</v>
      </c>
      <c r="XY2" s="1666"/>
      <c r="XZ2" s="1666"/>
      <c r="YA2" s="1667"/>
      <c r="YB2" s="1671" t="s">
        <v>1793</v>
      </c>
      <c r="YC2" s="1671"/>
      <c r="YD2" s="1671"/>
      <c r="YE2" s="1671"/>
      <c r="YF2" s="1671"/>
      <c r="YG2" s="1671"/>
      <c r="YH2" s="1671"/>
      <c r="YI2" s="1671"/>
      <c r="YJ2" s="1672"/>
      <c r="YK2" s="1672"/>
      <c r="YL2" s="1672"/>
      <c r="YM2" s="1672"/>
      <c r="YN2" s="1672"/>
      <c r="YO2" s="1672"/>
      <c r="YP2" s="1672"/>
      <c r="YQ2" s="1672"/>
      <c r="YR2" s="1672"/>
      <c r="YS2" s="1672"/>
      <c r="YT2" s="1672"/>
      <c r="YU2" s="1672"/>
      <c r="YV2" s="1672"/>
      <c r="YW2" s="1672"/>
      <c r="YX2" s="1672"/>
      <c r="YY2" s="1672"/>
      <c r="YZ2" s="1671"/>
      <c r="ZA2" s="1671"/>
      <c r="ZB2" s="1671"/>
      <c r="ZC2" s="1671"/>
      <c r="ZD2" s="1671"/>
      <c r="ZE2" s="1671"/>
      <c r="ZF2" s="1671"/>
      <c r="ZG2" s="1673"/>
      <c r="ZH2" s="1672" t="s">
        <v>1794</v>
      </c>
      <c r="ZI2" s="1672"/>
      <c r="ZJ2" s="1672"/>
      <c r="ZK2" s="1672"/>
      <c r="ZL2" s="1672"/>
      <c r="ZM2" s="1672"/>
      <c r="ZN2" s="1672"/>
      <c r="ZO2" s="1672"/>
      <c r="ZP2" s="1672"/>
      <c r="ZQ2" s="1672"/>
      <c r="ZR2" s="1672"/>
      <c r="ZS2" s="1672"/>
      <c r="ZT2" s="1672"/>
      <c r="ZU2" s="1672"/>
      <c r="ZV2" s="1672"/>
      <c r="ZW2" s="1672"/>
      <c r="ZX2" s="1672"/>
      <c r="ZY2" s="1672"/>
      <c r="ZZ2" s="1672"/>
      <c r="AAA2" s="1672"/>
      <c r="AAB2" s="1672"/>
      <c r="AAC2" s="1672"/>
      <c r="AAD2" s="1672"/>
      <c r="AAE2" s="1672"/>
      <c r="AAF2" s="1672"/>
      <c r="AAG2" s="1672"/>
      <c r="AAH2" s="1672"/>
      <c r="AAI2" s="1672"/>
      <c r="AAJ2" s="1672"/>
      <c r="AAK2" s="1672"/>
      <c r="AAL2" s="1672"/>
      <c r="AAM2" s="1694"/>
      <c r="AAN2" s="1669" t="s">
        <v>1795</v>
      </c>
      <c r="AAO2" s="1669"/>
      <c r="AAP2" s="1669"/>
      <c r="AAQ2" s="1669"/>
      <c r="AAR2" s="1669"/>
      <c r="AAS2" s="1669"/>
      <c r="AAT2" s="1669"/>
      <c r="AAU2" s="1669"/>
      <c r="AAV2" s="1669"/>
      <c r="AAW2" s="1669"/>
      <c r="AAX2" s="1669"/>
      <c r="AAY2" s="1669"/>
      <c r="AAZ2" s="1669"/>
      <c r="ABA2" s="1669"/>
      <c r="ABB2" s="1669"/>
      <c r="ABC2" s="1669"/>
      <c r="ABD2" s="1668"/>
      <c r="ABE2" s="1668"/>
      <c r="ABF2" s="1668"/>
      <c r="ABG2" s="1668"/>
      <c r="ABH2" s="1668"/>
      <c r="ABI2" s="1668"/>
      <c r="ABJ2" s="1668"/>
      <c r="ABK2" s="1668"/>
      <c r="ABL2" s="1669"/>
      <c r="ABM2" s="1669"/>
      <c r="ABN2" s="1669"/>
      <c r="ABO2" s="1669"/>
      <c r="ABP2" s="1669"/>
      <c r="ABQ2" s="1669"/>
      <c r="ABR2" s="1669"/>
      <c r="ABS2" s="1670"/>
      <c r="ABT2" s="1668" t="s">
        <v>1796</v>
      </c>
      <c r="ABU2" s="1668"/>
      <c r="ABV2" s="1668"/>
      <c r="ABW2" s="1668"/>
      <c r="ABX2" s="1668"/>
      <c r="ABY2" s="1668"/>
      <c r="ABZ2" s="1668"/>
      <c r="ACA2" s="1668"/>
      <c r="ACB2" s="1668"/>
      <c r="ACC2" s="1668"/>
      <c r="ACD2" s="1668"/>
      <c r="ACE2" s="1668"/>
      <c r="ACF2" s="1668"/>
      <c r="ACG2" s="1668"/>
      <c r="ACH2" s="1668"/>
      <c r="ACI2" s="1668"/>
      <c r="ACJ2" s="1668"/>
      <c r="ACK2" s="1668"/>
      <c r="ACL2" s="1668"/>
      <c r="ACM2" s="1668"/>
      <c r="ACN2" s="1668"/>
      <c r="ACO2" s="1668"/>
      <c r="ACP2" s="1668"/>
      <c r="ACQ2" s="1668"/>
      <c r="ACR2" s="1668"/>
      <c r="ACS2" s="1668"/>
      <c r="ACT2" s="1668"/>
      <c r="ACU2" s="1668"/>
      <c r="ACV2" s="1668"/>
      <c r="ACW2" s="1668"/>
      <c r="ACX2" s="1668"/>
      <c r="ACY2" s="1674"/>
      <c r="ACZ2" s="1668" t="s">
        <v>1797</v>
      </c>
      <c r="ADA2" s="1668"/>
      <c r="ADB2" s="1668"/>
      <c r="ADC2" s="1668"/>
      <c r="ADD2" s="1668"/>
      <c r="ADE2" s="1668"/>
      <c r="ADF2" s="1668"/>
      <c r="ADG2" s="1668"/>
      <c r="ADH2" s="1668"/>
      <c r="ADI2" s="1668"/>
      <c r="ADJ2" s="1668"/>
      <c r="ADK2" s="1668"/>
      <c r="ADL2" s="1668"/>
      <c r="ADM2" s="1668"/>
      <c r="ADN2" s="1668"/>
      <c r="ADO2" s="1668"/>
      <c r="ADP2" s="1668"/>
      <c r="ADQ2" s="1668"/>
      <c r="ADR2" s="1668"/>
      <c r="ADS2" s="1668"/>
      <c r="ADT2" s="1668"/>
      <c r="ADU2" s="1668"/>
      <c r="ADV2" s="1668"/>
      <c r="ADW2" s="1668"/>
      <c r="ADX2" s="1668"/>
      <c r="ADY2" s="1668"/>
      <c r="ADZ2" s="1668"/>
      <c r="AEA2" s="1668"/>
      <c r="AEB2" s="1668"/>
      <c r="AEC2" s="1668"/>
      <c r="AED2" s="1668"/>
      <c r="AEE2" s="1674"/>
      <c r="AEF2" s="1668" t="s">
        <v>1798</v>
      </c>
      <c r="AEG2" s="1668"/>
      <c r="AEH2" s="1668"/>
      <c r="AEI2" s="1668"/>
      <c r="AEJ2" s="1668"/>
      <c r="AEK2" s="1668"/>
      <c r="AEL2" s="1668"/>
      <c r="AEM2" s="1668"/>
      <c r="AEN2" s="1668"/>
      <c r="AEO2" s="1668"/>
      <c r="AEP2" s="1668"/>
      <c r="AEQ2" s="1668"/>
      <c r="AER2" s="1668"/>
      <c r="AES2" s="1668"/>
      <c r="AET2" s="1668"/>
      <c r="AEU2" s="1668"/>
      <c r="AEV2" s="1668"/>
      <c r="AEW2" s="1668"/>
      <c r="AEX2" s="1668"/>
      <c r="AEY2" s="1668"/>
      <c r="AEZ2" s="1668"/>
      <c r="AFA2" s="1668"/>
      <c r="AFB2" s="1668"/>
      <c r="AFC2" s="1668"/>
      <c r="AFD2" s="1668"/>
      <c r="AFE2" s="1668"/>
      <c r="AFF2" s="1668"/>
      <c r="AFG2" s="1668"/>
      <c r="AFH2" s="1668"/>
      <c r="AFI2" s="1668"/>
      <c r="AFJ2" s="1668"/>
      <c r="AFK2" s="1674"/>
      <c r="AFL2" s="1668" t="s">
        <v>1799</v>
      </c>
      <c r="AFM2" s="1668"/>
      <c r="AFN2" s="1668"/>
      <c r="AFO2" s="1668"/>
      <c r="AFP2" s="1668"/>
      <c r="AFQ2" s="1668"/>
      <c r="AFR2" s="1668"/>
      <c r="AFS2" s="1668"/>
      <c r="AFT2" s="1668"/>
      <c r="AFU2" s="1668"/>
      <c r="AFV2" s="1668"/>
      <c r="AFW2" s="1668"/>
      <c r="AFX2" s="1668"/>
      <c r="AFY2" s="1668"/>
      <c r="AFZ2" s="1668"/>
      <c r="AGA2" s="1668"/>
      <c r="AGB2" s="1668"/>
      <c r="AGC2" s="1668"/>
      <c r="AGD2" s="1668"/>
      <c r="AGE2" s="1668"/>
      <c r="AGF2" s="1668"/>
      <c r="AGG2" s="1668"/>
      <c r="AGH2" s="1668"/>
      <c r="AGI2" s="1668"/>
      <c r="AGJ2" s="1669"/>
      <c r="AGK2" s="1669"/>
      <c r="AGL2" s="1669"/>
      <c r="AGM2" s="1669"/>
      <c r="AGN2" s="1669"/>
      <c r="AGO2" s="1669"/>
      <c r="AGP2" s="1669"/>
      <c r="AGQ2" s="1670"/>
      <c r="AGR2" s="1666" t="s">
        <v>1800</v>
      </c>
      <c r="AGS2" s="1666"/>
      <c r="AGT2" s="1666"/>
      <c r="AGU2" s="1666"/>
      <c r="AGV2" s="1666"/>
      <c r="AGW2" s="1666"/>
      <c r="AGX2" s="1666"/>
      <c r="AGY2" s="1667"/>
      <c r="AGZ2" s="1663" t="s">
        <v>1801</v>
      </c>
      <c r="AHA2" s="1664"/>
      <c r="AHB2" s="1664"/>
      <c r="AHC2" s="1664"/>
      <c r="AHD2" s="1664"/>
      <c r="AHE2" s="1664"/>
      <c r="AHF2" s="1664"/>
      <c r="AHG2" s="1665"/>
      <c r="AHH2" s="1660" t="s">
        <v>1803</v>
      </c>
      <c r="AHI2" s="1661"/>
      <c r="AHJ2" s="1661"/>
      <c r="AHK2" s="1661"/>
      <c r="AHL2" s="1661"/>
      <c r="AHM2" s="1661"/>
      <c r="AHN2" s="1661"/>
      <c r="AHO2" s="1662"/>
      <c r="AHP2" s="1660" t="s">
        <v>1802</v>
      </c>
      <c r="AHQ2" s="1661"/>
      <c r="AHR2" s="1661"/>
      <c r="AHS2" s="1661"/>
      <c r="AHT2" s="1661"/>
      <c r="AHU2" s="1661"/>
      <c r="AHV2" s="1661"/>
      <c r="AHW2" s="1662"/>
      <c r="AHX2" s="1661" t="s">
        <v>2951</v>
      </c>
      <c r="AHY2" s="1661"/>
      <c r="AHZ2" s="1661"/>
      <c r="AIA2" s="1661"/>
      <c r="AIB2" s="1661"/>
      <c r="AIC2" s="1661"/>
      <c r="AID2" s="1661"/>
      <c r="AIE2" s="1661"/>
      <c r="AIF2" s="1661"/>
      <c r="AIG2" s="1661"/>
      <c r="AIH2" s="1661"/>
      <c r="AII2" s="1661"/>
      <c r="AIJ2" s="1661"/>
      <c r="AIK2" s="1661"/>
      <c r="AIL2" s="1661"/>
      <c r="AIM2" s="1661"/>
      <c r="AIN2" s="1661"/>
      <c r="AIO2" s="1661"/>
      <c r="AIP2" s="1661"/>
      <c r="AIQ2" s="1661"/>
      <c r="AIR2" s="1661"/>
      <c r="AIS2" s="1661"/>
      <c r="AIT2" s="1661"/>
      <c r="AIU2" s="1661"/>
      <c r="AIV2" s="1661"/>
      <c r="AIW2" s="1661"/>
      <c r="AIX2" s="1661"/>
      <c r="AIY2" s="1661"/>
      <c r="AIZ2" s="1661"/>
      <c r="AJA2" s="1661"/>
      <c r="AJB2" s="1661"/>
      <c r="AJC2" s="1661"/>
      <c r="AJD2" s="1661"/>
      <c r="AJE2" s="1661"/>
      <c r="AJF2" s="1661"/>
      <c r="AJG2" s="1661"/>
      <c r="AJH2" s="1661"/>
      <c r="AJI2" s="1661"/>
      <c r="AJJ2" s="1661"/>
      <c r="AJK2" s="1661"/>
      <c r="AJL2" s="1661"/>
      <c r="AJM2" s="1661"/>
      <c r="AJN2" s="1661"/>
      <c r="AJO2" s="1661"/>
      <c r="AJP2" s="1661"/>
      <c r="AJQ2" s="1661"/>
      <c r="AJR2" s="1661"/>
      <c r="AJS2" s="1661"/>
      <c r="AJT2" s="1660" t="s">
        <v>1804</v>
      </c>
      <c r="AJU2" s="1661"/>
      <c r="AJV2" s="1661"/>
      <c r="AJW2" s="1661"/>
      <c r="AJX2" s="1661"/>
      <c r="AJY2" s="1661"/>
      <c r="AJZ2" s="1661"/>
      <c r="AKA2" s="1661"/>
      <c r="AKB2" s="1661"/>
      <c r="AKC2" s="1662"/>
      <c r="AKD2" s="1660" t="s">
        <v>3000</v>
      </c>
      <c r="AKE2" s="1661"/>
      <c r="AKF2" s="1661"/>
      <c r="AKG2" s="1661"/>
      <c r="AKH2" s="1661"/>
      <c r="AKI2" s="1661"/>
      <c r="AKJ2" s="1661"/>
      <c r="AKK2" s="1661"/>
      <c r="AKL2" s="1661"/>
      <c r="AKM2" s="1661"/>
      <c r="AKN2" s="1661"/>
      <c r="AKO2" s="1661"/>
      <c r="AKP2" s="1661"/>
      <c r="AKQ2" s="1661"/>
      <c r="AKR2" s="1661"/>
      <c r="AKS2" s="1661"/>
      <c r="AKT2" s="1661"/>
      <c r="AKU2" s="1661"/>
      <c r="AKV2" s="1661"/>
      <c r="AKW2" s="1661"/>
      <c r="AKX2" s="1661"/>
      <c r="AKY2" s="1661"/>
      <c r="AKZ2" s="1661"/>
      <c r="ALA2" s="1661"/>
      <c r="ALB2" s="1661"/>
      <c r="ALC2" s="1661"/>
      <c r="ALD2" s="1661"/>
      <c r="ALE2" s="1661"/>
      <c r="ALF2" s="1661"/>
      <c r="ALG2" s="1661"/>
      <c r="ALH2" s="1661"/>
      <c r="ALI2" s="1661"/>
      <c r="ALJ2" s="1661"/>
      <c r="ALK2" s="1661"/>
      <c r="ALL2" s="1661"/>
      <c r="ALM2" s="1661"/>
      <c r="ALN2" s="1661"/>
      <c r="ALO2" s="1661"/>
      <c r="ALP2" s="1661"/>
      <c r="ALQ2" s="1661"/>
      <c r="ALR2" s="1661"/>
      <c r="ALS2" s="1661"/>
      <c r="ALT2" s="1661"/>
      <c r="ALU2" s="1661"/>
      <c r="ALV2" s="1661"/>
      <c r="ALW2" s="1661"/>
      <c r="ALX2" s="1661"/>
      <c r="ALY2" s="1662"/>
    </row>
    <row r="3" spans="1:1013" s="1173" customFormat="1" ht="64.5" hidden="1" customHeight="1" outlineLevel="1" thickBot="1">
      <c r="A3" s="1317" t="s">
        <v>1616</v>
      </c>
      <c r="B3" s="1144" t="s">
        <v>3061</v>
      </c>
      <c r="C3" s="1145" t="s">
        <v>94</v>
      </c>
      <c r="D3" s="1146" t="s">
        <v>3062</v>
      </c>
      <c r="E3" s="1147" t="s">
        <v>1687</v>
      </c>
      <c r="F3" s="1148" t="s">
        <v>1687</v>
      </c>
      <c r="G3" s="1149" t="s">
        <v>1687</v>
      </c>
      <c r="H3" s="1150" t="s">
        <v>490</v>
      </c>
      <c r="I3" s="1151" t="s">
        <v>1688</v>
      </c>
      <c r="J3" s="1151" t="s">
        <v>1688</v>
      </c>
      <c r="K3" s="1151" t="s">
        <v>1688</v>
      </c>
      <c r="L3" s="1150" t="s">
        <v>1012</v>
      </c>
      <c r="M3" s="1151" t="s">
        <v>1689</v>
      </c>
      <c r="N3" s="1151" t="s">
        <v>1689</v>
      </c>
      <c r="O3" s="1152" t="s">
        <v>1689</v>
      </c>
      <c r="P3" s="1153" t="s">
        <v>1690</v>
      </c>
      <c r="Q3" s="1154" t="s">
        <v>1755</v>
      </c>
      <c r="R3" s="782" t="s">
        <v>1681</v>
      </c>
      <c r="S3" s="782" t="s">
        <v>1681</v>
      </c>
      <c r="T3" s="1154" t="s">
        <v>1681</v>
      </c>
      <c r="U3" s="782" t="s">
        <v>1695</v>
      </c>
      <c r="V3" s="782" t="s">
        <v>1695</v>
      </c>
      <c r="W3" s="782" t="s">
        <v>1695</v>
      </c>
      <c r="X3" s="782" t="s">
        <v>1695</v>
      </c>
      <c r="Y3" s="1154" t="s">
        <v>1695</v>
      </c>
      <c r="Z3" s="782" t="s">
        <v>1678</v>
      </c>
      <c r="AA3" s="782" t="s">
        <v>1678</v>
      </c>
      <c r="AB3" s="782" t="s">
        <v>1678</v>
      </c>
      <c r="AC3" s="782" t="s">
        <v>1678</v>
      </c>
      <c r="AD3" s="1154" t="s">
        <v>1678</v>
      </c>
      <c r="AE3" s="782" t="s">
        <v>1696</v>
      </c>
      <c r="AF3" s="782" t="s">
        <v>1696</v>
      </c>
      <c r="AG3" s="782" t="s">
        <v>1696</v>
      </c>
      <c r="AH3" s="782" t="s">
        <v>1696</v>
      </c>
      <c r="AI3" s="1154" t="s">
        <v>1709</v>
      </c>
      <c r="AJ3" s="782" t="s">
        <v>1707</v>
      </c>
      <c r="AK3" s="782" t="s">
        <v>1707</v>
      </c>
      <c r="AL3" s="782" t="s">
        <v>1707</v>
      </c>
      <c r="AM3" s="782" t="s">
        <v>1707</v>
      </c>
      <c r="AN3" s="1154" t="s">
        <v>1708</v>
      </c>
      <c r="AO3" s="782" t="s">
        <v>2276</v>
      </c>
      <c r="AP3" s="782" t="s">
        <v>2276</v>
      </c>
      <c r="AQ3" s="782" t="s">
        <v>2276</v>
      </c>
      <c r="AR3" s="782" t="s">
        <v>2276</v>
      </c>
      <c r="AS3" s="782" t="s">
        <v>2276</v>
      </c>
      <c r="AT3" s="782" t="s">
        <v>2276</v>
      </c>
      <c r="AU3" s="782" t="s">
        <v>2276</v>
      </c>
      <c r="AV3" s="783" t="s">
        <v>2539</v>
      </c>
      <c r="AW3" s="782" t="s">
        <v>2539</v>
      </c>
      <c r="AX3" s="782" t="s">
        <v>2539</v>
      </c>
      <c r="AY3" s="782" t="s">
        <v>2539</v>
      </c>
      <c r="AZ3" s="782" t="s">
        <v>2539</v>
      </c>
      <c r="BA3" s="1153" t="s">
        <v>1710</v>
      </c>
      <c r="BB3" s="782" t="s">
        <v>1754</v>
      </c>
      <c r="BC3" s="782" t="s">
        <v>1682</v>
      </c>
      <c r="BD3" s="782" t="s">
        <v>1682</v>
      </c>
      <c r="BE3" s="782" t="s">
        <v>1682</v>
      </c>
      <c r="BF3" s="782" t="s">
        <v>1791</v>
      </c>
      <c r="BG3" s="1154" t="s">
        <v>1713</v>
      </c>
      <c r="BH3" s="782" t="s">
        <v>1711</v>
      </c>
      <c r="BI3" s="782" t="s">
        <v>1711</v>
      </c>
      <c r="BJ3" s="782" t="s">
        <v>1711</v>
      </c>
      <c r="BK3" s="782" t="s">
        <v>1711</v>
      </c>
      <c r="BL3" s="782" t="s">
        <v>1711</v>
      </c>
      <c r="BM3" s="782" t="s">
        <v>1711</v>
      </c>
      <c r="BN3" s="782" t="s">
        <v>1711</v>
      </c>
      <c r="BO3" s="782" t="s">
        <v>1711</v>
      </c>
      <c r="BP3" s="782" t="s">
        <v>1711</v>
      </c>
      <c r="BQ3" s="782" t="s">
        <v>1711</v>
      </c>
      <c r="BR3" s="782" t="s">
        <v>1711</v>
      </c>
      <c r="BS3" s="782" t="s">
        <v>1711</v>
      </c>
      <c r="BT3" s="782" t="s">
        <v>1711</v>
      </c>
      <c r="BU3" s="782" t="s">
        <v>1711</v>
      </c>
      <c r="BV3" s="1154" t="s">
        <v>1711</v>
      </c>
      <c r="BW3" s="782" t="s">
        <v>1721</v>
      </c>
      <c r="BX3" s="782" t="s">
        <v>1721</v>
      </c>
      <c r="BY3" s="782" t="s">
        <v>1721</v>
      </c>
      <c r="BZ3" s="782" t="s">
        <v>1721</v>
      </c>
      <c r="CA3" s="782" t="s">
        <v>1721</v>
      </c>
      <c r="CB3" s="782" t="s">
        <v>1721</v>
      </c>
      <c r="CC3" s="782" t="s">
        <v>1721</v>
      </c>
      <c r="CD3" s="782" t="s">
        <v>1721</v>
      </c>
      <c r="CE3" s="782" t="s">
        <v>1721</v>
      </c>
      <c r="CF3" s="782" t="s">
        <v>1721</v>
      </c>
      <c r="CG3" s="782" t="s">
        <v>1721</v>
      </c>
      <c r="CH3" s="782" t="s">
        <v>1721</v>
      </c>
      <c r="CI3" s="782" t="s">
        <v>1721</v>
      </c>
      <c r="CJ3" s="782" t="s">
        <v>1721</v>
      </c>
      <c r="CK3" s="782" t="s">
        <v>1721</v>
      </c>
      <c r="CL3" s="783" t="s">
        <v>1722</v>
      </c>
      <c r="CM3" s="782" t="s">
        <v>1722</v>
      </c>
      <c r="CN3" s="782" t="s">
        <v>1722</v>
      </c>
      <c r="CO3" s="782" t="s">
        <v>1722</v>
      </c>
      <c r="CP3" s="782" t="s">
        <v>1722</v>
      </c>
      <c r="CQ3" s="782" t="s">
        <v>1722</v>
      </c>
      <c r="CR3" s="782" t="s">
        <v>1722</v>
      </c>
      <c r="CS3" s="782" t="s">
        <v>1722</v>
      </c>
      <c r="CT3" s="782" t="s">
        <v>1722</v>
      </c>
      <c r="CU3" s="782" t="s">
        <v>1722</v>
      </c>
      <c r="CV3" s="782" t="s">
        <v>1722</v>
      </c>
      <c r="CW3" s="782" t="s">
        <v>1722</v>
      </c>
      <c r="CX3" s="782" t="s">
        <v>1722</v>
      </c>
      <c r="CY3" s="782" t="s">
        <v>1722</v>
      </c>
      <c r="CZ3" s="782" t="s">
        <v>1722</v>
      </c>
      <c r="DA3" s="1155" t="s">
        <v>1679</v>
      </c>
      <c r="DB3" s="782" t="s">
        <v>1679</v>
      </c>
      <c r="DC3" s="782" t="s">
        <v>1679</v>
      </c>
      <c r="DD3" s="782" t="s">
        <v>1679</v>
      </c>
      <c r="DE3" s="782" t="s">
        <v>1679</v>
      </c>
      <c r="DF3" s="783" t="s">
        <v>2627</v>
      </c>
      <c r="DG3" s="782" t="s">
        <v>2627</v>
      </c>
      <c r="DH3" s="782" t="s">
        <v>2627</v>
      </c>
      <c r="DI3" s="782" t="s">
        <v>2627</v>
      </c>
      <c r="DJ3" s="782" t="s">
        <v>2627</v>
      </c>
      <c r="DK3" s="1156" t="s">
        <v>1756</v>
      </c>
      <c r="DL3" s="1157" t="s">
        <v>1758</v>
      </c>
      <c r="DM3" s="1157" t="s">
        <v>1759</v>
      </c>
      <c r="DN3" s="1157" t="s">
        <v>1757</v>
      </c>
      <c r="DO3" s="1157" t="s">
        <v>1757</v>
      </c>
      <c r="DP3" s="1157" t="s">
        <v>1757</v>
      </c>
      <c r="DQ3" s="1155" t="s">
        <v>2344</v>
      </c>
      <c r="DR3" s="1157" t="s">
        <v>2344</v>
      </c>
      <c r="DS3" s="1157" t="s">
        <v>2344</v>
      </c>
      <c r="DT3" s="1157" t="s">
        <v>2344</v>
      </c>
      <c r="DU3" s="1157" t="s">
        <v>2344</v>
      </c>
      <c r="DV3" s="1157" t="s">
        <v>2344</v>
      </c>
      <c r="DW3" s="1157" t="s">
        <v>2344</v>
      </c>
      <c r="DX3" s="1155" t="s">
        <v>2576</v>
      </c>
      <c r="DY3" s="1157" t="s">
        <v>2576</v>
      </c>
      <c r="DZ3" s="1157" t="s">
        <v>2576</v>
      </c>
      <c r="EA3" s="1157" t="s">
        <v>2576</v>
      </c>
      <c r="EB3" s="1157" t="s">
        <v>2576</v>
      </c>
      <c r="EC3" s="1157" t="s">
        <v>2576</v>
      </c>
      <c r="ED3" s="985" t="s">
        <v>2576</v>
      </c>
      <c r="EE3" s="1158" t="s">
        <v>1760</v>
      </c>
      <c r="EF3" s="782" t="s">
        <v>1761</v>
      </c>
      <c r="EG3" s="782" t="s">
        <v>1765</v>
      </c>
      <c r="EH3" s="782" t="s">
        <v>1766</v>
      </c>
      <c r="EI3" s="782" t="s">
        <v>1766</v>
      </c>
      <c r="EJ3" s="782" t="s">
        <v>1766</v>
      </c>
      <c r="EK3" s="984" t="s">
        <v>2480</v>
      </c>
      <c r="EL3" s="1157" t="s">
        <v>2480</v>
      </c>
      <c r="EM3" s="1157" t="s">
        <v>2480</v>
      </c>
      <c r="EN3" s="1157" t="s">
        <v>2480</v>
      </c>
      <c r="EO3" s="1157" t="s">
        <v>2480</v>
      </c>
      <c r="EP3" s="1157" t="s">
        <v>2480</v>
      </c>
      <c r="EQ3" s="1157" t="s">
        <v>2480</v>
      </c>
      <c r="ER3" s="1157" t="s">
        <v>2480</v>
      </c>
      <c r="ES3" s="1157" t="s">
        <v>2480</v>
      </c>
      <c r="ET3" s="1157" t="s">
        <v>2480</v>
      </c>
      <c r="EU3" s="1157" t="s">
        <v>2480</v>
      </c>
      <c r="EV3" s="1157" t="s">
        <v>2480</v>
      </c>
      <c r="EW3" s="1157" t="s">
        <v>2480</v>
      </c>
      <c r="EX3" s="1157" t="s">
        <v>2480</v>
      </c>
      <c r="EY3" s="1157" t="s">
        <v>2480</v>
      </c>
      <c r="EZ3" s="1157" t="s">
        <v>2480</v>
      </c>
      <c r="FA3" s="1157" t="s">
        <v>2480</v>
      </c>
      <c r="FB3" s="1157" t="s">
        <v>2480</v>
      </c>
      <c r="FC3" s="1157" t="s">
        <v>2480</v>
      </c>
      <c r="FD3" s="1157" t="s">
        <v>2480</v>
      </c>
      <c r="FE3" s="1157" t="s">
        <v>2480</v>
      </c>
      <c r="FF3" s="1157" t="s">
        <v>2480</v>
      </c>
      <c r="FG3" s="1157" t="s">
        <v>2480</v>
      </c>
      <c r="FH3" s="1157" t="s">
        <v>2480</v>
      </c>
      <c r="FI3" s="1157" t="s">
        <v>2480</v>
      </c>
      <c r="FJ3" s="1157" t="s">
        <v>2480</v>
      </c>
      <c r="FK3" s="1157" t="s">
        <v>2480</v>
      </c>
      <c r="FL3" s="1157" t="s">
        <v>2480</v>
      </c>
      <c r="FM3" s="1157" t="s">
        <v>2480</v>
      </c>
      <c r="FN3" s="1157" t="s">
        <v>2480</v>
      </c>
      <c r="FO3" s="1157" t="s">
        <v>2480</v>
      </c>
      <c r="FP3" s="1157" t="s">
        <v>2480</v>
      </c>
      <c r="FQ3" s="1157" t="s">
        <v>2480</v>
      </c>
      <c r="FR3" s="1157" t="s">
        <v>2480</v>
      </c>
      <c r="FS3" s="1157" t="s">
        <v>2480</v>
      </c>
      <c r="FT3" s="1157" t="s">
        <v>2480</v>
      </c>
      <c r="FU3" s="1157" t="s">
        <v>2480</v>
      </c>
      <c r="FV3" s="1157" t="s">
        <v>2480</v>
      </c>
      <c r="FW3" s="1157" t="s">
        <v>2480</v>
      </c>
      <c r="FX3" s="1157" t="s">
        <v>2480</v>
      </c>
      <c r="FY3" s="1157" t="s">
        <v>2480</v>
      </c>
      <c r="FZ3" s="1157" t="s">
        <v>2480</v>
      </c>
      <c r="GA3" s="1157" t="s">
        <v>2480</v>
      </c>
      <c r="GB3" s="1157" t="s">
        <v>2480</v>
      </c>
      <c r="GC3" s="1157" t="s">
        <v>2480</v>
      </c>
      <c r="GD3" s="1157" t="s">
        <v>2480</v>
      </c>
      <c r="GE3" s="1157" t="s">
        <v>2480</v>
      </c>
      <c r="GF3" s="1157" t="s">
        <v>2480</v>
      </c>
      <c r="GG3" s="1157" t="s">
        <v>2480</v>
      </c>
      <c r="GH3" s="1157" t="s">
        <v>2480</v>
      </c>
      <c r="GI3" s="1157" t="s">
        <v>2480</v>
      </c>
      <c r="GJ3" s="1157" t="s">
        <v>2480</v>
      </c>
      <c r="GK3" s="1157" t="s">
        <v>2480</v>
      </c>
      <c r="GL3" s="1157" t="s">
        <v>2480</v>
      </c>
      <c r="GM3" s="1157" t="s">
        <v>2480</v>
      </c>
      <c r="GN3" s="1157" t="s">
        <v>2480</v>
      </c>
      <c r="GO3" s="1157" t="s">
        <v>2480</v>
      </c>
      <c r="GP3" s="1157" t="s">
        <v>2480</v>
      </c>
      <c r="GQ3" s="1155" t="s">
        <v>2575</v>
      </c>
      <c r="GR3" s="1157" t="s">
        <v>2575</v>
      </c>
      <c r="GS3" s="1157" t="s">
        <v>2575</v>
      </c>
      <c r="GT3" s="1157" t="s">
        <v>2575</v>
      </c>
      <c r="GU3" s="1157" t="s">
        <v>2575</v>
      </c>
      <c r="GV3" s="1157" t="s">
        <v>2575</v>
      </c>
      <c r="GW3" s="1157" t="s">
        <v>2575</v>
      </c>
      <c r="GX3" s="1157" t="s">
        <v>2575</v>
      </c>
      <c r="GY3" s="1157" t="s">
        <v>2575</v>
      </c>
      <c r="GZ3" s="1157" t="s">
        <v>2575</v>
      </c>
      <c r="HA3" s="1157" t="s">
        <v>2575</v>
      </c>
      <c r="HB3" s="1157" t="s">
        <v>2575</v>
      </c>
      <c r="HC3" s="1157" t="s">
        <v>2575</v>
      </c>
      <c r="HD3" s="1157" t="s">
        <v>2575</v>
      </c>
      <c r="HE3" s="1157" t="s">
        <v>2575</v>
      </c>
      <c r="HF3" s="1157" t="s">
        <v>2575</v>
      </c>
      <c r="HG3" s="1157" t="s">
        <v>2575</v>
      </c>
      <c r="HH3" s="1157" t="s">
        <v>2575</v>
      </c>
      <c r="HI3" s="1157" t="s">
        <v>2575</v>
      </c>
      <c r="HJ3" s="1157" t="s">
        <v>2575</v>
      </c>
      <c r="HK3" s="1157" t="s">
        <v>2575</v>
      </c>
      <c r="HL3" s="1157" t="s">
        <v>2575</v>
      </c>
      <c r="HM3" s="1157" t="s">
        <v>2575</v>
      </c>
      <c r="HN3" s="1157" t="s">
        <v>2575</v>
      </c>
      <c r="HO3" s="1157" t="s">
        <v>2575</v>
      </c>
      <c r="HP3" s="1157" t="s">
        <v>2575</v>
      </c>
      <c r="HQ3" s="1157" t="s">
        <v>2575</v>
      </c>
      <c r="HR3" s="1157" t="s">
        <v>2575</v>
      </c>
      <c r="HS3" s="1157" t="s">
        <v>2575</v>
      </c>
      <c r="HT3" s="1157" t="s">
        <v>2575</v>
      </c>
      <c r="HU3" s="1157" t="s">
        <v>2575</v>
      </c>
      <c r="HV3" s="1157" t="s">
        <v>2575</v>
      </c>
      <c r="HW3" s="1157" t="s">
        <v>2575</v>
      </c>
      <c r="HX3" s="1157" t="s">
        <v>2575</v>
      </c>
      <c r="HY3" s="1157" t="s">
        <v>2575</v>
      </c>
      <c r="HZ3" s="1157" t="s">
        <v>2575</v>
      </c>
      <c r="IA3" s="1157" t="s">
        <v>2575</v>
      </c>
      <c r="IB3" s="1157" t="s">
        <v>2575</v>
      </c>
      <c r="IC3" s="1157" t="s">
        <v>2575</v>
      </c>
      <c r="ID3" s="1157" t="s">
        <v>2575</v>
      </c>
      <c r="IE3" s="1157" t="s">
        <v>2575</v>
      </c>
      <c r="IF3" s="1157" t="s">
        <v>2575</v>
      </c>
      <c r="IG3" s="1157" t="s">
        <v>2575</v>
      </c>
      <c r="IH3" s="1157" t="s">
        <v>2575</v>
      </c>
      <c r="II3" s="1157" t="s">
        <v>2575</v>
      </c>
      <c r="IJ3" s="1157" t="s">
        <v>2575</v>
      </c>
      <c r="IK3" s="1157" t="s">
        <v>2575</v>
      </c>
      <c r="IL3" s="1157" t="s">
        <v>2575</v>
      </c>
      <c r="IM3" s="1157" t="s">
        <v>2575</v>
      </c>
      <c r="IN3" s="1157" t="s">
        <v>2575</v>
      </c>
      <c r="IO3" s="1157" t="s">
        <v>2575</v>
      </c>
      <c r="IP3" s="1157" t="s">
        <v>2575</v>
      </c>
      <c r="IQ3" s="1157" t="s">
        <v>2575</v>
      </c>
      <c r="IR3" s="1157" t="s">
        <v>2575</v>
      </c>
      <c r="IS3" s="1157" t="s">
        <v>2575</v>
      </c>
      <c r="IT3" s="1157" t="s">
        <v>2575</v>
      </c>
      <c r="IU3" s="1157" t="s">
        <v>2575</v>
      </c>
      <c r="IV3" s="1157" t="s">
        <v>2575</v>
      </c>
      <c r="IW3" s="1156" t="s">
        <v>1767</v>
      </c>
      <c r="IX3" s="1157" t="s">
        <v>1768</v>
      </c>
      <c r="IY3" s="1157" t="s">
        <v>1769</v>
      </c>
      <c r="IZ3" s="1157" t="s">
        <v>1770</v>
      </c>
      <c r="JA3" s="1157" t="s">
        <v>1773</v>
      </c>
      <c r="JB3" s="1157" t="s">
        <v>1680</v>
      </c>
      <c r="JC3" s="1157" t="s">
        <v>1680</v>
      </c>
      <c r="JD3" s="1159" t="s">
        <v>1680</v>
      </c>
      <c r="JE3" s="1157" t="s">
        <v>1676</v>
      </c>
      <c r="JF3" s="1157" t="s">
        <v>1676</v>
      </c>
      <c r="JG3" s="1157" t="s">
        <v>1676</v>
      </c>
      <c r="JH3" s="1157" t="s">
        <v>1676</v>
      </c>
      <c r="JI3" s="985" t="s">
        <v>1676</v>
      </c>
      <c r="JJ3" s="984" t="s">
        <v>1772</v>
      </c>
      <c r="JK3" s="1157" t="s">
        <v>1769</v>
      </c>
      <c r="JL3" s="1157" t="s">
        <v>1770</v>
      </c>
      <c r="JM3" s="1157" t="s">
        <v>161</v>
      </c>
      <c r="JN3" s="1157" t="s">
        <v>1675</v>
      </c>
      <c r="JO3" s="1157" t="s">
        <v>1675</v>
      </c>
      <c r="JP3" s="1157" t="s">
        <v>1675</v>
      </c>
      <c r="JQ3" s="1155" t="s">
        <v>1683</v>
      </c>
      <c r="JR3" s="1157" t="s">
        <v>1683</v>
      </c>
      <c r="JS3" s="1157" t="s">
        <v>1683</v>
      </c>
      <c r="JT3" s="1157" t="s">
        <v>1683</v>
      </c>
      <c r="JU3" s="1157" t="s">
        <v>1683</v>
      </c>
      <c r="JV3" s="1160" t="s">
        <v>2675</v>
      </c>
      <c r="JW3" s="781" t="s">
        <v>1774</v>
      </c>
      <c r="JX3" s="782" t="s">
        <v>40</v>
      </c>
      <c r="JY3" s="782" t="s">
        <v>1684</v>
      </c>
      <c r="JZ3" s="782" t="s">
        <v>1684</v>
      </c>
      <c r="KA3" s="782" t="s">
        <v>1684</v>
      </c>
      <c r="KB3" s="783" t="s">
        <v>1677</v>
      </c>
      <c r="KC3" s="782" t="s">
        <v>1677</v>
      </c>
      <c r="KD3" s="782" t="s">
        <v>1677</v>
      </c>
      <c r="KE3" s="782" t="s">
        <v>1677</v>
      </c>
      <c r="KF3" s="782" t="s">
        <v>1677</v>
      </c>
      <c r="KG3" s="783" t="s">
        <v>2604</v>
      </c>
      <c r="KH3" s="782" t="s">
        <v>2604</v>
      </c>
      <c r="KI3" s="782" t="s">
        <v>2604</v>
      </c>
      <c r="KJ3" s="782" t="s">
        <v>2604</v>
      </c>
      <c r="KK3" s="782" t="s">
        <v>2604</v>
      </c>
      <c r="KL3" s="782" t="s">
        <v>2604</v>
      </c>
      <c r="KM3" s="782" t="s">
        <v>2604</v>
      </c>
      <c r="KN3" s="782" t="s">
        <v>2604</v>
      </c>
      <c r="KO3" s="782" t="s">
        <v>2604</v>
      </c>
      <c r="KP3" s="783" t="s">
        <v>2635</v>
      </c>
      <c r="KQ3" s="782" t="s">
        <v>2635</v>
      </c>
      <c r="KR3" s="782" t="s">
        <v>2635</v>
      </c>
      <c r="KS3" s="782" t="s">
        <v>2635</v>
      </c>
      <c r="KT3" s="782" t="s">
        <v>2635</v>
      </c>
      <c r="KU3" s="782" t="s">
        <v>2635</v>
      </c>
      <c r="KV3" s="782" t="s">
        <v>2635</v>
      </c>
      <c r="KW3" s="782" t="s">
        <v>2635</v>
      </c>
      <c r="KX3" s="782" t="s">
        <v>2635</v>
      </c>
      <c r="KY3" s="783" t="s">
        <v>2648</v>
      </c>
      <c r="KZ3" s="782" t="s">
        <v>2648</v>
      </c>
      <c r="LA3" s="782" t="s">
        <v>2648</v>
      </c>
      <c r="LB3" s="782" t="s">
        <v>2648</v>
      </c>
      <c r="LC3" s="782" t="s">
        <v>2648</v>
      </c>
      <c r="LD3" s="782" t="s">
        <v>2648</v>
      </c>
      <c r="LE3" s="782" t="s">
        <v>2648</v>
      </c>
      <c r="LF3" s="782" t="s">
        <v>2648</v>
      </c>
      <c r="LG3" s="782" t="s">
        <v>2648</v>
      </c>
      <c r="LH3" s="783" t="s">
        <v>2649</v>
      </c>
      <c r="LI3" s="782" t="s">
        <v>2649</v>
      </c>
      <c r="LJ3" s="782" t="s">
        <v>2649</v>
      </c>
      <c r="LK3" s="782" t="s">
        <v>2649</v>
      </c>
      <c r="LL3" s="782" t="s">
        <v>2649</v>
      </c>
      <c r="LM3" s="1160" t="s">
        <v>2677</v>
      </c>
      <c r="LN3" s="984" t="s">
        <v>1775</v>
      </c>
      <c r="LO3" s="1157" t="s">
        <v>1776</v>
      </c>
      <c r="LP3" s="1157" t="s">
        <v>1685</v>
      </c>
      <c r="LQ3" s="1157" t="s">
        <v>1685</v>
      </c>
      <c r="LR3" s="1157" t="s">
        <v>1685</v>
      </c>
      <c r="LS3" s="1155" t="s">
        <v>1686</v>
      </c>
      <c r="LT3" s="1157" t="s">
        <v>1686</v>
      </c>
      <c r="LU3" s="1157" t="s">
        <v>1686</v>
      </c>
      <c r="LV3" s="1157" t="s">
        <v>1686</v>
      </c>
      <c r="LW3" s="1157" t="s">
        <v>1686</v>
      </c>
      <c r="LX3" s="1155" t="s">
        <v>2677</v>
      </c>
      <c r="LY3" s="984" t="s">
        <v>2949</v>
      </c>
      <c r="LZ3" s="985" t="s">
        <v>2943</v>
      </c>
      <c r="MA3" s="1157" t="s">
        <v>2915</v>
      </c>
      <c r="MB3" s="782" t="s">
        <v>2915</v>
      </c>
      <c r="MC3" s="782" t="s">
        <v>2915</v>
      </c>
      <c r="MD3" s="1157" t="s">
        <v>2915</v>
      </c>
      <c r="ME3" s="1155" t="s">
        <v>2936</v>
      </c>
      <c r="MF3" s="1157" t="s">
        <v>2936</v>
      </c>
      <c r="MG3" s="1157" t="s">
        <v>2936</v>
      </c>
      <c r="MH3" s="1157" t="s">
        <v>2936</v>
      </c>
      <c r="MI3" s="983" t="s">
        <v>97</v>
      </c>
      <c r="MJ3" s="982" t="s">
        <v>97</v>
      </c>
      <c r="MK3" s="982" t="s">
        <v>97</v>
      </c>
      <c r="ML3" s="982" t="s">
        <v>97</v>
      </c>
      <c r="MM3" s="983" t="s">
        <v>98</v>
      </c>
      <c r="MN3" s="982" t="s">
        <v>98</v>
      </c>
      <c r="MO3" s="982" t="s">
        <v>98</v>
      </c>
      <c r="MP3" s="982" t="s">
        <v>98</v>
      </c>
      <c r="MQ3" s="983" t="s">
        <v>99</v>
      </c>
      <c r="MR3" s="982" t="s">
        <v>99</v>
      </c>
      <c r="MS3" s="982" t="s">
        <v>99</v>
      </c>
      <c r="MT3" s="981" t="s">
        <v>99</v>
      </c>
      <c r="MU3" s="984" t="s">
        <v>1778</v>
      </c>
      <c r="MV3" s="1157" t="s">
        <v>1778</v>
      </c>
      <c r="MW3" s="985" t="s">
        <v>1778</v>
      </c>
      <c r="MX3" s="1161" t="s">
        <v>480</v>
      </c>
      <c r="MY3" s="1162" t="s">
        <v>1806</v>
      </c>
      <c r="MZ3" s="1162" t="s">
        <v>1806</v>
      </c>
      <c r="NA3" s="1163" t="s">
        <v>1806</v>
      </c>
      <c r="NB3" s="1164" t="s">
        <v>477</v>
      </c>
      <c r="NC3" s="1164" t="s">
        <v>1807</v>
      </c>
      <c r="ND3" s="1164" t="s">
        <v>1807</v>
      </c>
      <c r="NE3" s="1164" t="s">
        <v>1807</v>
      </c>
      <c r="NF3" s="1161" t="s">
        <v>478</v>
      </c>
      <c r="NG3" s="1162" t="s">
        <v>1808</v>
      </c>
      <c r="NH3" s="1162" t="s">
        <v>1808</v>
      </c>
      <c r="NI3" s="1163" t="s">
        <v>1808</v>
      </c>
      <c r="NJ3" s="1164" t="s">
        <v>479</v>
      </c>
      <c r="NK3" s="1164" t="s">
        <v>1809</v>
      </c>
      <c r="NL3" s="1164" t="s">
        <v>1809</v>
      </c>
      <c r="NM3" s="1164" t="s">
        <v>1809</v>
      </c>
      <c r="NN3" s="1161" t="s">
        <v>481</v>
      </c>
      <c r="NO3" s="1162" t="s">
        <v>1810</v>
      </c>
      <c r="NP3" s="1162" t="s">
        <v>1810</v>
      </c>
      <c r="NQ3" s="1163" t="s">
        <v>1810</v>
      </c>
      <c r="NR3" s="1161" t="s">
        <v>482</v>
      </c>
      <c r="NS3" s="1162" t="s">
        <v>1811</v>
      </c>
      <c r="NT3" s="1162" t="s">
        <v>1811</v>
      </c>
      <c r="NU3" s="1163" t="s">
        <v>1811</v>
      </c>
      <c r="NV3" s="1165" t="s">
        <v>910</v>
      </c>
      <c r="NW3" s="1166" t="s">
        <v>910</v>
      </c>
      <c r="NX3" s="1166" t="s">
        <v>910</v>
      </c>
      <c r="NY3" s="1166" t="s">
        <v>910</v>
      </c>
      <c r="NZ3" s="1166" t="s">
        <v>910</v>
      </c>
      <c r="OA3" s="1167" t="s">
        <v>910</v>
      </c>
      <c r="OB3" s="1166" t="s">
        <v>911</v>
      </c>
      <c r="OC3" s="1166" t="s">
        <v>911</v>
      </c>
      <c r="OD3" s="1166" t="s">
        <v>911</v>
      </c>
      <c r="OE3" s="1166" t="s">
        <v>911</v>
      </c>
      <c r="OF3" s="1166" t="s">
        <v>911</v>
      </c>
      <c r="OG3" s="1167" t="s">
        <v>911</v>
      </c>
      <c r="OH3" s="1166" t="s">
        <v>912</v>
      </c>
      <c r="OI3" s="1166" t="s">
        <v>912</v>
      </c>
      <c r="OJ3" s="1166" t="s">
        <v>912</v>
      </c>
      <c r="OK3" s="1166" t="s">
        <v>912</v>
      </c>
      <c r="OL3" s="1166" t="s">
        <v>912</v>
      </c>
      <c r="OM3" s="1167" t="s">
        <v>912</v>
      </c>
      <c r="ON3" s="1166" t="s">
        <v>913</v>
      </c>
      <c r="OO3" s="1166" t="s">
        <v>913</v>
      </c>
      <c r="OP3" s="1166" t="s">
        <v>913</v>
      </c>
      <c r="OQ3" s="1166" t="s">
        <v>913</v>
      </c>
      <c r="OR3" s="1166" t="s">
        <v>913</v>
      </c>
      <c r="OS3" s="1167" t="s">
        <v>913</v>
      </c>
      <c r="OT3" s="1166" t="s">
        <v>914</v>
      </c>
      <c r="OU3" s="1166" t="s">
        <v>914</v>
      </c>
      <c r="OV3" s="1166" t="s">
        <v>914</v>
      </c>
      <c r="OW3" s="1166" t="s">
        <v>914</v>
      </c>
      <c r="OX3" s="1166" t="s">
        <v>914</v>
      </c>
      <c r="OY3" s="1167" t="s">
        <v>914</v>
      </c>
      <c r="OZ3" s="1166" t="s">
        <v>915</v>
      </c>
      <c r="PA3" s="1166" t="s">
        <v>915</v>
      </c>
      <c r="PB3" s="1166" t="s">
        <v>915</v>
      </c>
      <c r="PC3" s="1166" t="s">
        <v>915</v>
      </c>
      <c r="PD3" s="1166" t="s">
        <v>915</v>
      </c>
      <c r="PE3" s="1168" t="s">
        <v>915</v>
      </c>
      <c r="PF3" s="1165" t="s">
        <v>916</v>
      </c>
      <c r="PG3" s="1166" t="s">
        <v>916</v>
      </c>
      <c r="PH3" s="1166" t="s">
        <v>916</v>
      </c>
      <c r="PI3" s="1166" t="s">
        <v>916</v>
      </c>
      <c r="PJ3" s="1166" t="s">
        <v>916</v>
      </c>
      <c r="PK3" s="1167" t="s">
        <v>916</v>
      </c>
      <c r="PL3" s="1166" t="s">
        <v>917</v>
      </c>
      <c r="PM3" s="1166" t="s">
        <v>917</v>
      </c>
      <c r="PN3" s="1166" t="s">
        <v>917</v>
      </c>
      <c r="PO3" s="1166" t="s">
        <v>917</v>
      </c>
      <c r="PP3" s="1166" t="s">
        <v>917</v>
      </c>
      <c r="PQ3" s="1167" t="s">
        <v>917</v>
      </c>
      <c r="PR3" s="1166" t="s">
        <v>918</v>
      </c>
      <c r="PS3" s="1166" t="s">
        <v>918</v>
      </c>
      <c r="PT3" s="1166" t="s">
        <v>918</v>
      </c>
      <c r="PU3" s="1166" t="s">
        <v>918</v>
      </c>
      <c r="PV3" s="1166" t="s">
        <v>918</v>
      </c>
      <c r="PW3" s="1167" t="s">
        <v>918</v>
      </c>
      <c r="PX3" s="1166" t="s">
        <v>919</v>
      </c>
      <c r="PY3" s="1166" t="s">
        <v>919</v>
      </c>
      <c r="PZ3" s="1166" t="s">
        <v>919</v>
      </c>
      <c r="QA3" s="1166" t="s">
        <v>919</v>
      </c>
      <c r="QB3" s="1166" t="s">
        <v>919</v>
      </c>
      <c r="QC3" s="1168" t="s">
        <v>919</v>
      </c>
      <c r="QD3" s="1165" t="s">
        <v>920</v>
      </c>
      <c r="QE3" s="1166" t="s">
        <v>920</v>
      </c>
      <c r="QF3" s="1166" t="s">
        <v>920</v>
      </c>
      <c r="QG3" s="1166" t="s">
        <v>920</v>
      </c>
      <c r="QH3" s="1166" t="s">
        <v>920</v>
      </c>
      <c r="QI3" s="1167" t="s">
        <v>920</v>
      </c>
      <c r="QJ3" s="1166" t="s">
        <v>921</v>
      </c>
      <c r="QK3" s="1166" t="s">
        <v>921</v>
      </c>
      <c r="QL3" s="1166" t="s">
        <v>921</v>
      </c>
      <c r="QM3" s="1166" t="s">
        <v>921</v>
      </c>
      <c r="QN3" s="1166" t="s">
        <v>921</v>
      </c>
      <c r="QO3" s="1167" t="s">
        <v>921</v>
      </c>
      <c r="QP3" s="1166" t="s">
        <v>922</v>
      </c>
      <c r="QQ3" s="1166" t="s">
        <v>922</v>
      </c>
      <c r="QR3" s="1166" t="s">
        <v>922</v>
      </c>
      <c r="QS3" s="1166" t="s">
        <v>922</v>
      </c>
      <c r="QT3" s="1166" t="s">
        <v>922</v>
      </c>
      <c r="QU3" s="1167" t="s">
        <v>922</v>
      </c>
      <c r="QV3" s="1166" t="s">
        <v>923</v>
      </c>
      <c r="QW3" s="1166" t="s">
        <v>923</v>
      </c>
      <c r="QX3" s="1166" t="s">
        <v>923</v>
      </c>
      <c r="QY3" s="1166" t="s">
        <v>923</v>
      </c>
      <c r="QZ3" s="1166" t="s">
        <v>923</v>
      </c>
      <c r="RA3" s="1167" t="s">
        <v>923</v>
      </c>
      <c r="RB3" s="1166" t="s">
        <v>924</v>
      </c>
      <c r="RC3" s="1166" t="s">
        <v>924</v>
      </c>
      <c r="RD3" s="1166" t="s">
        <v>924</v>
      </c>
      <c r="RE3" s="1166" t="s">
        <v>924</v>
      </c>
      <c r="RF3" s="1166" t="s">
        <v>924</v>
      </c>
      <c r="RG3" s="1168" t="s">
        <v>924</v>
      </c>
      <c r="RH3" s="1165" t="s">
        <v>925</v>
      </c>
      <c r="RI3" s="1166" t="s">
        <v>925</v>
      </c>
      <c r="RJ3" s="1166" t="s">
        <v>925</v>
      </c>
      <c r="RK3" s="1166" t="s">
        <v>925</v>
      </c>
      <c r="RL3" s="1166" t="s">
        <v>925</v>
      </c>
      <c r="RM3" s="1167" t="s">
        <v>925</v>
      </c>
      <c r="RN3" s="1166" t="s">
        <v>909</v>
      </c>
      <c r="RO3" s="1166" t="s">
        <v>909</v>
      </c>
      <c r="RP3" s="1166" t="s">
        <v>909</v>
      </c>
      <c r="RQ3" s="1166" t="s">
        <v>909</v>
      </c>
      <c r="RR3" s="1166" t="s">
        <v>909</v>
      </c>
      <c r="RS3" s="1167" t="s">
        <v>909</v>
      </c>
      <c r="RT3" s="1166" t="s">
        <v>926</v>
      </c>
      <c r="RU3" s="1166" t="s">
        <v>926</v>
      </c>
      <c r="RV3" s="1166" t="s">
        <v>926</v>
      </c>
      <c r="RW3" s="1166" t="s">
        <v>926</v>
      </c>
      <c r="RX3" s="1166" t="s">
        <v>926</v>
      </c>
      <c r="RY3" s="1167" t="s">
        <v>926</v>
      </c>
      <c r="RZ3" s="1166" t="s">
        <v>927</v>
      </c>
      <c r="SA3" s="1166" t="s">
        <v>927</v>
      </c>
      <c r="SB3" s="1166" t="s">
        <v>927</v>
      </c>
      <c r="SC3" s="1166" t="s">
        <v>927</v>
      </c>
      <c r="SD3" s="1166" t="s">
        <v>927</v>
      </c>
      <c r="SE3" s="1167" t="s">
        <v>927</v>
      </c>
      <c r="SF3" s="1166" t="s">
        <v>928</v>
      </c>
      <c r="SG3" s="1166" t="s">
        <v>928</v>
      </c>
      <c r="SH3" s="1166" t="s">
        <v>928</v>
      </c>
      <c r="SI3" s="1166" t="s">
        <v>928</v>
      </c>
      <c r="SJ3" s="1166" t="s">
        <v>928</v>
      </c>
      <c r="SK3" s="1168" t="s">
        <v>928</v>
      </c>
      <c r="SL3" s="1165" t="s">
        <v>929</v>
      </c>
      <c r="SM3" s="1166" t="s">
        <v>929</v>
      </c>
      <c r="SN3" s="1166" t="s">
        <v>929</v>
      </c>
      <c r="SO3" s="1166" t="s">
        <v>929</v>
      </c>
      <c r="SP3" s="1166" t="s">
        <v>929</v>
      </c>
      <c r="SQ3" s="1167" t="s">
        <v>929</v>
      </c>
      <c r="SR3" s="1166" t="s">
        <v>930</v>
      </c>
      <c r="SS3" s="1166" t="s">
        <v>930</v>
      </c>
      <c r="ST3" s="1166" t="s">
        <v>930</v>
      </c>
      <c r="SU3" s="1166" t="s">
        <v>930</v>
      </c>
      <c r="SV3" s="1166" t="s">
        <v>930</v>
      </c>
      <c r="SW3" s="1166" t="s">
        <v>930</v>
      </c>
      <c r="SX3" s="1169" t="s">
        <v>931</v>
      </c>
      <c r="SY3" s="1166" t="s">
        <v>931</v>
      </c>
      <c r="SZ3" s="1166" t="s">
        <v>931</v>
      </c>
      <c r="TA3" s="1166" t="s">
        <v>931</v>
      </c>
      <c r="TB3" s="1166" t="s">
        <v>931</v>
      </c>
      <c r="TC3" s="1166" t="s">
        <v>931</v>
      </c>
      <c r="TD3" s="1169" t="s">
        <v>932</v>
      </c>
      <c r="TE3" s="1166" t="s">
        <v>932</v>
      </c>
      <c r="TF3" s="1166" t="s">
        <v>932</v>
      </c>
      <c r="TG3" s="1166" t="s">
        <v>932</v>
      </c>
      <c r="TH3" s="1166" t="s">
        <v>932</v>
      </c>
      <c r="TI3" s="1166" t="s">
        <v>932</v>
      </c>
      <c r="TJ3" s="1169" t="s">
        <v>933</v>
      </c>
      <c r="TK3" s="1166" t="s">
        <v>933</v>
      </c>
      <c r="TL3" s="1166" t="s">
        <v>933</v>
      </c>
      <c r="TM3" s="1166" t="s">
        <v>933</v>
      </c>
      <c r="TN3" s="1166" t="s">
        <v>933</v>
      </c>
      <c r="TO3" s="1168" t="s">
        <v>933</v>
      </c>
      <c r="TP3" s="1165" t="s">
        <v>934</v>
      </c>
      <c r="TQ3" s="1166" t="s">
        <v>934</v>
      </c>
      <c r="TR3" s="1166" t="s">
        <v>934</v>
      </c>
      <c r="TS3" s="1166" t="s">
        <v>934</v>
      </c>
      <c r="TT3" s="1166" t="s">
        <v>934</v>
      </c>
      <c r="TU3" s="1166" t="s">
        <v>934</v>
      </c>
      <c r="TV3" s="1169" t="s">
        <v>935</v>
      </c>
      <c r="TW3" s="1166" t="s">
        <v>935</v>
      </c>
      <c r="TX3" s="1166" t="s">
        <v>935</v>
      </c>
      <c r="TY3" s="1166" t="s">
        <v>935</v>
      </c>
      <c r="TZ3" s="1166" t="s">
        <v>935</v>
      </c>
      <c r="UA3" s="1166" t="s">
        <v>935</v>
      </c>
      <c r="UB3" s="1169" t="s">
        <v>936</v>
      </c>
      <c r="UC3" s="1166" t="s">
        <v>936</v>
      </c>
      <c r="UD3" s="1166" t="s">
        <v>936</v>
      </c>
      <c r="UE3" s="1166" t="s">
        <v>936</v>
      </c>
      <c r="UF3" s="1166" t="s">
        <v>936</v>
      </c>
      <c r="UG3" s="1166" t="s">
        <v>936</v>
      </c>
      <c r="UH3" s="1169" t="s">
        <v>937</v>
      </c>
      <c r="UI3" s="1166" t="s">
        <v>937</v>
      </c>
      <c r="UJ3" s="1166" t="s">
        <v>937</v>
      </c>
      <c r="UK3" s="1166" t="s">
        <v>937</v>
      </c>
      <c r="UL3" s="1166" t="s">
        <v>937</v>
      </c>
      <c r="UM3" s="1166" t="s">
        <v>937</v>
      </c>
      <c r="UN3" s="1169" t="s">
        <v>938</v>
      </c>
      <c r="UO3" s="1166" t="s">
        <v>938</v>
      </c>
      <c r="UP3" s="1166" t="s">
        <v>938</v>
      </c>
      <c r="UQ3" s="1166" t="s">
        <v>938</v>
      </c>
      <c r="UR3" s="1166" t="s">
        <v>938</v>
      </c>
      <c r="US3" s="1168" t="s">
        <v>938</v>
      </c>
      <c r="UT3" s="1165" t="s">
        <v>939</v>
      </c>
      <c r="UU3" s="1166" t="s">
        <v>939</v>
      </c>
      <c r="UV3" s="1166" t="s">
        <v>939</v>
      </c>
      <c r="UW3" s="1166" t="s">
        <v>939</v>
      </c>
      <c r="UX3" s="1166" t="s">
        <v>939</v>
      </c>
      <c r="UY3" s="1166" t="s">
        <v>939</v>
      </c>
      <c r="UZ3" s="1169" t="s">
        <v>940</v>
      </c>
      <c r="VA3" s="1166" t="s">
        <v>940</v>
      </c>
      <c r="VB3" s="1166" t="s">
        <v>940</v>
      </c>
      <c r="VC3" s="1166" t="s">
        <v>940</v>
      </c>
      <c r="VD3" s="1166" t="s">
        <v>940</v>
      </c>
      <c r="VE3" s="1166" t="s">
        <v>940</v>
      </c>
      <c r="VF3" s="1169" t="s">
        <v>941</v>
      </c>
      <c r="VG3" s="1166" t="s">
        <v>941</v>
      </c>
      <c r="VH3" s="1166" t="s">
        <v>941</v>
      </c>
      <c r="VI3" s="1166" t="s">
        <v>941</v>
      </c>
      <c r="VJ3" s="1166" t="s">
        <v>941</v>
      </c>
      <c r="VK3" s="1166" t="s">
        <v>941</v>
      </c>
      <c r="VL3" s="1169" t="s">
        <v>942</v>
      </c>
      <c r="VM3" s="1166" t="s">
        <v>942</v>
      </c>
      <c r="VN3" s="1166" t="s">
        <v>942</v>
      </c>
      <c r="VO3" s="1166" t="s">
        <v>942</v>
      </c>
      <c r="VP3" s="1166" t="s">
        <v>942</v>
      </c>
      <c r="VQ3" s="1167" t="s">
        <v>942</v>
      </c>
      <c r="VR3" s="1166" t="s">
        <v>943</v>
      </c>
      <c r="VS3" s="1166" t="s">
        <v>943</v>
      </c>
      <c r="VT3" s="1166" t="s">
        <v>943</v>
      </c>
      <c r="VU3" s="1166" t="s">
        <v>943</v>
      </c>
      <c r="VV3" s="1166" t="s">
        <v>943</v>
      </c>
      <c r="VW3" s="1166" t="s">
        <v>943</v>
      </c>
      <c r="VX3" s="1169" t="s">
        <v>944</v>
      </c>
      <c r="VY3" s="1166" t="s">
        <v>944</v>
      </c>
      <c r="VZ3" s="1166" t="s">
        <v>944</v>
      </c>
      <c r="WA3" s="1166" t="s">
        <v>944</v>
      </c>
      <c r="WB3" s="1166" t="s">
        <v>944</v>
      </c>
      <c r="WC3" s="1168" t="s">
        <v>944</v>
      </c>
      <c r="WD3" s="441" t="s">
        <v>964</v>
      </c>
      <c r="WE3" s="439" t="s">
        <v>964</v>
      </c>
      <c r="WF3" s="439" t="s">
        <v>964</v>
      </c>
      <c r="WG3" s="439" t="s">
        <v>964</v>
      </c>
      <c r="WH3" s="439" t="s">
        <v>964</v>
      </c>
      <c r="WI3" s="439" t="s">
        <v>964</v>
      </c>
      <c r="WJ3" s="442" t="s">
        <v>964</v>
      </c>
      <c r="WK3" s="436" t="s">
        <v>1618</v>
      </c>
      <c r="WL3" s="436" t="s">
        <v>1618</v>
      </c>
      <c r="WM3" s="437" t="s">
        <v>1618</v>
      </c>
      <c r="WN3" s="438" t="s">
        <v>1619</v>
      </c>
      <c r="WO3" s="436" t="s">
        <v>1619</v>
      </c>
      <c r="WP3" s="437" t="s">
        <v>1619</v>
      </c>
      <c r="WQ3" s="438" t="s">
        <v>1620</v>
      </c>
      <c r="WR3" s="436" t="s">
        <v>1620</v>
      </c>
      <c r="WS3" s="437" t="s">
        <v>1620</v>
      </c>
      <c r="WT3" s="438" t="s">
        <v>1621</v>
      </c>
      <c r="WU3" s="436" t="s">
        <v>1621</v>
      </c>
      <c r="WV3" s="437" t="s">
        <v>1621</v>
      </c>
      <c r="WW3" s="438" t="s">
        <v>1622</v>
      </c>
      <c r="WX3" s="436" t="s">
        <v>1622</v>
      </c>
      <c r="WY3" s="437" t="s">
        <v>1622</v>
      </c>
      <c r="WZ3" s="438" t="s">
        <v>1623</v>
      </c>
      <c r="XA3" s="436" t="s">
        <v>1623</v>
      </c>
      <c r="XB3" s="437" t="s">
        <v>1623</v>
      </c>
      <c r="XC3" s="438" t="s">
        <v>1624</v>
      </c>
      <c r="XD3" s="436" t="s">
        <v>1624</v>
      </c>
      <c r="XE3" s="437" t="s">
        <v>1624</v>
      </c>
      <c r="XF3" s="438" t="s">
        <v>1625</v>
      </c>
      <c r="XG3" s="436" t="s">
        <v>1625</v>
      </c>
      <c r="XH3" s="437" t="s">
        <v>1625</v>
      </c>
      <c r="XI3" s="438" t="s">
        <v>1626</v>
      </c>
      <c r="XJ3" s="436" t="s">
        <v>1626</v>
      </c>
      <c r="XK3" s="437" t="s">
        <v>1626</v>
      </c>
      <c r="XL3" s="438" t="s">
        <v>1627</v>
      </c>
      <c r="XM3" s="436" t="s">
        <v>1627</v>
      </c>
      <c r="XN3" s="437" t="s">
        <v>1627</v>
      </c>
      <c r="XO3" s="438" t="s">
        <v>1628</v>
      </c>
      <c r="XP3" s="436" t="s">
        <v>1628</v>
      </c>
      <c r="XQ3" s="436" t="s">
        <v>1628</v>
      </c>
      <c r="XR3" s="441" t="s">
        <v>1629</v>
      </c>
      <c r="XS3" s="439" t="s">
        <v>1629</v>
      </c>
      <c r="XT3" s="439" t="s">
        <v>1629</v>
      </c>
      <c r="XU3" s="439" t="s">
        <v>1629</v>
      </c>
      <c r="XV3" s="442" t="s">
        <v>1629</v>
      </c>
      <c r="XW3" s="1291" t="s">
        <v>1637</v>
      </c>
      <c r="XX3" s="1292" t="s">
        <v>1635</v>
      </c>
      <c r="XY3" s="1293" t="s">
        <v>1635</v>
      </c>
      <c r="XZ3" s="1293" t="s">
        <v>1635</v>
      </c>
      <c r="YA3" s="1294" t="s">
        <v>1635</v>
      </c>
      <c r="YB3" s="1293" t="s">
        <v>1634</v>
      </c>
      <c r="YC3" s="1293" t="s">
        <v>1634</v>
      </c>
      <c r="YD3" s="1293" t="s">
        <v>1634</v>
      </c>
      <c r="YE3" s="1293" t="s">
        <v>1634</v>
      </c>
      <c r="YF3" s="1293" t="s">
        <v>1634</v>
      </c>
      <c r="YG3" s="1293" t="s">
        <v>1634</v>
      </c>
      <c r="YH3" s="1293" t="s">
        <v>1634</v>
      </c>
      <c r="YI3" s="1293" t="s">
        <v>1634</v>
      </c>
      <c r="YJ3" s="1292" t="s">
        <v>1633</v>
      </c>
      <c r="YK3" s="1293" t="s">
        <v>1633</v>
      </c>
      <c r="YL3" s="1293" t="s">
        <v>1633</v>
      </c>
      <c r="YM3" s="1293" t="s">
        <v>1633</v>
      </c>
      <c r="YN3" s="1293" t="s">
        <v>1633</v>
      </c>
      <c r="YO3" s="1293" t="s">
        <v>1633</v>
      </c>
      <c r="YP3" s="1293" t="s">
        <v>1633</v>
      </c>
      <c r="YQ3" s="1293" t="s">
        <v>1633</v>
      </c>
      <c r="YR3" s="1292" t="s">
        <v>1631</v>
      </c>
      <c r="YS3" s="1293" t="s">
        <v>1631</v>
      </c>
      <c r="YT3" s="1293" t="s">
        <v>1631</v>
      </c>
      <c r="YU3" s="1293" t="s">
        <v>1631</v>
      </c>
      <c r="YV3" s="1293" t="s">
        <v>1631</v>
      </c>
      <c r="YW3" s="1293" t="s">
        <v>1631</v>
      </c>
      <c r="YX3" s="1293" t="s">
        <v>1631</v>
      </c>
      <c r="YY3" s="1294" t="s">
        <v>1631</v>
      </c>
      <c r="YZ3" s="1293" t="s">
        <v>1632</v>
      </c>
      <c r="ZA3" s="1293" t="s">
        <v>1632</v>
      </c>
      <c r="ZB3" s="1293" t="s">
        <v>1632</v>
      </c>
      <c r="ZC3" s="1293" t="s">
        <v>1632</v>
      </c>
      <c r="ZD3" s="1293" t="s">
        <v>1632</v>
      </c>
      <c r="ZE3" s="1293" t="s">
        <v>1632</v>
      </c>
      <c r="ZF3" s="1293" t="s">
        <v>1632</v>
      </c>
      <c r="ZG3" s="1293" t="s">
        <v>1632</v>
      </c>
      <c r="ZH3" s="1292" t="s">
        <v>1638</v>
      </c>
      <c r="ZI3" s="1293" t="s">
        <v>1638</v>
      </c>
      <c r="ZJ3" s="1293" t="s">
        <v>1638</v>
      </c>
      <c r="ZK3" s="1293" t="s">
        <v>1638</v>
      </c>
      <c r="ZL3" s="1293" t="s">
        <v>1638</v>
      </c>
      <c r="ZM3" s="1293" t="s">
        <v>1638</v>
      </c>
      <c r="ZN3" s="1293" t="s">
        <v>1638</v>
      </c>
      <c r="ZO3" s="1293" t="s">
        <v>1638</v>
      </c>
      <c r="ZP3" s="1292" t="s">
        <v>1639</v>
      </c>
      <c r="ZQ3" s="1293" t="s">
        <v>1639</v>
      </c>
      <c r="ZR3" s="1293" t="s">
        <v>1639</v>
      </c>
      <c r="ZS3" s="1293" t="s">
        <v>1639</v>
      </c>
      <c r="ZT3" s="1293" t="s">
        <v>1639</v>
      </c>
      <c r="ZU3" s="1293" t="s">
        <v>1639</v>
      </c>
      <c r="ZV3" s="1293" t="s">
        <v>1639</v>
      </c>
      <c r="ZW3" s="1293" t="s">
        <v>1639</v>
      </c>
      <c r="ZX3" s="1292" t="s">
        <v>1640</v>
      </c>
      <c r="ZY3" s="1293" t="s">
        <v>1640</v>
      </c>
      <c r="ZZ3" s="1293" t="s">
        <v>1640</v>
      </c>
      <c r="AAA3" s="1293" t="s">
        <v>1640</v>
      </c>
      <c r="AAB3" s="1293" t="s">
        <v>1640</v>
      </c>
      <c r="AAC3" s="1293" t="s">
        <v>1640</v>
      </c>
      <c r="AAD3" s="1293" t="s">
        <v>1640</v>
      </c>
      <c r="AAE3" s="1293" t="s">
        <v>1640</v>
      </c>
      <c r="AAF3" s="1295" t="s">
        <v>1641</v>
      </c>
      <c r="AAG3" s="1296" t="s">
        <v>1641</v>
      </c>
      <c r="AAH3" s="1296" t="s">
        <v>1641</v>
      </c>
      <c r="AAI3" s="1296" t="s">
        <v>1641</v>
      </c>
      <c r="AAJ3" s="1296" t="s">
        <v>1641</v>
      </c>
      <c r="AAK3" s="1296" t="s">
        <v>1641</v>
      </c>
      <c r="AAL3" s="1296" t="s">
        <v>1641</v>
      </c>
      <c r="AAM3" s="1296" t="s">
        <v>1641</v>
      </c>
      <c r="AAN3" s="1292" t="s">
        <v>1642</v>
      </c>
      <c r="AAO3" s="1293" t="s">
        <v>1642</v>
      </c>
      <c r="AAP3" s="1293" t="s">
        <v>1642</v>
      </c>
      <c r="AAQ3" s="1293" t="s">
        <v>1642</v>
      </c>
      <c r="AAR3" s="1293" t="s">
        <v>1642</v>
      </c>
      <c r="AAS3" s="1293" t="s">
        <v>1642</v>
      </c>
      <c r="AAT3" s="1293" t="s">
        <v>1642</v>
      </c>
      <c r="AAU3" s="1293" t="s">
        <v>1642</v>
      </c>
      <c r="AAV3" s="1292" t="s">
        <v>1643</v>
      </c>
      <c r="AAW3" s="1293" t="s">
        <v>1643</v>
      </c>
      <c r="AAX3" s="1293" t="s">
        <v>1643</v>
      </c>
      <c r="AAY3" s="1293" t="s">
        <v>1643</v>
      </c>
      <c r="AAZ3" s="1293" t="s">
        <v>1643</v>
      </c>
      <c r="ABA3" s="1293" t="s">
        <v>1643</v>
      </c>
      <c r="ABB3" s="1293" t="s">
        <v>1643</v>
      </c>
      <c r="ABC3" s="1294" t="s">
        <v>1643</v>
      </c>
      <c r="ABD3" s="1292" t="s">
        <v>1644</v>
      </c>
      <c r="ABE3" s="1293" t="s">
        <v>1644</v>
      </c>
      <c r="ABF3" s="1293" t="s">
        <v>1644</v>
      </c>
      <c r="ABG3" s="1293" t="s">
        <v>1644</v>
      </c>
      <c r="ABH3" s="1293" t="s">
        <v>1644</v>
      </c>
      <c r="ABI3" s="1293" t="s">
        <v>1644</v>
      </c>
      <c r="ABJ3" s="1293" t="s">
        <v>1644</v>
      </c>
      <c r="ABK3" s="1293" t="s">
        <v>1644</v>
      </c>
      <c r="ABL3" s="1292" t="s">
        <v>1645</v>
      </c>
      <c r="ABM3" s="1293" t="s">
        <v>1645</v>
      </c>
      <c r="ABN3" s="1293" t="s">
        <v>1645</v>
      </c>
      <c r="ABO3" s="1293" t="s">
        <v>1645</v>
      </c>
      <c r="ABP3" s="1293" t="s">
        <v>1645</v>
      </c>
      <c r="ABQ3" s="1293" t="s">
        <v>1645</v>
      </c>
      <c r="ABR3" s="1293" t="s">
        <v>1645</v>
      </c>
      <c r="ABS3" s="1294" t="s">
        <v>1645</v>
      </c>
      <c r="ABT3" s="1292" t="s">
        <v>1646</v>
      </c>
      <c r="ABU3" s="1293" t="s">
        <v>1646</v>
      </c>
      <c r="ABV3" s="1293" t="s">
        <v>1646</v>
      </c>
      <c r="ABW3" s="1293" t="s">
        <v>1646</v>
      </c>
      <c r="ABX3" s="1293" t="s">
        <v>1646</v>
      </c>
      <c r="ABY3" s="1293" t="s">
        <v>1646</v>
      </c>
      <c r="ABZ3" s="1293" t="s">
        <v>1646</v>
      </c>
      <c r="ACA3" s="1294" t="s">
        <v>1646</v>
      </c>
      <c r="ACB3" s="1292" t="s">
        <v>1659</v>
      </c>
      <c r="ACC3" s="1293" t="s">
        <v>1659</v>
      </c>
      <c r="ACD3" s="1293" t="s">
        <v>1659</v>
      </c>
      <c r="ACE3" s="1293" t="s">
        <v>1659</v>
      </c>
      <c r="ACF3" s="1293" t="s">
        <v>1659</v>
      </c>
      <c r="ACG3" s="1293" t="s">
        <v>1659</v>
      </c>
      <c r="ACH3" s="1293" t="s">
        <v>1659</v>
      </c>
      <c r="ACI3" s="1294" t="s">
        <v>1659</v>
      </c>
      <c r="ACJ3" s="1292" t="s">
        <v>1660</v>
      </c>
      <c r="ACK3" s="1293" t="s">
        <v>1660</v>
      </c>
      <c r="ACL3" s="1293" t="s">
        <v>1660</v>
      </c>
      <c r="ACM3" s="1293" t="s">
        <v>1660</v>
      </c>
      <c r="ACN3" s="1293" t="s">
        <v>1660</v>
      </c>
      <c r="ACO3" s="1293" t="s">
        <v>1660</v>
      </c>
      <c r="ACP3" s="1293" t="s">
        <v>1660</v>
      </c>
      <c r="ACQ3" s="1294" t="s">
        <v>1660</v>
      </c>
      <c r="ACR3" s="1292" t="s">
        <v>1661</v>
      </c>
      <c r="ACS3" s="1293" t="s">
        <v>1661</v>
      </c>
      <c r="ACT3" s="1293" t="s">
        <v>1661</v>
      </c>
      <c r="ACU3" s="1293" t="s">
        <v>1661</v>
      </c>
      <c r="ACV3" s="1293" t="s">
        <v>1661</v>
      </c>
      <c r="ACW3" s="1293" t="s">
        <v>1661</v>
      </c>
      <c r="ACX3" s="1293" t="s">
        <v>1661</v>
      </c>
      <c r="ACY3" s="1294" t="s">
        <v>1661</v>
      </c>
      <c r="ACZ3" s="1292" t="s">
        <v>1662</v>
      </c>
      <c r="ADA3" s="1293" t="s">
        <v>1662</v>
      </c>
      <c r="ADB3" s="1293" t="s">
        <v>1662</v>
      </c>
      <c r="ADC3" s="1293" t="s">
        <v>1662</v>
      </c>
      <c r="ADD3" s="1293" t="s">
        <v>1662</v>
      </c>
      <c r="ADE3" s="1293" t="s">
        <v>1662</v>
      </c>
      <c r="ADF3" s="1293" t="s">
        <v>1662</v>
      </c>
      <c r="ADG3" s="1294" t="s">
        <v>1662</v>
      </c>
      <c r="ADH3" s="1292" t="s">
        <v>1663</v>
      </c>
      <c r="ADI3" s="1293" t="s">
        <v>1663</v>
      </c>
      <c r="ADJ3" s="1293" t="s">
        <v>1663</v>
      </c>
      <c r="ADK3" s="1293" t="s">
        <v>1663</v>
      </c>
      <c r="ADL3" s="1293" t="s">
        <v>1663</v>
      </c>
      <c r="ADM3" s="1293" t="s">
        <v>1663</v>
      </c>
      <c r="ADN3" s="1293" t="s">
        <v>1663</v>
      </c>
      <c r="ADO3" s="1294" t="s">
        <v>1663</v>
      </c>
      <c r="ADP3" s="1292" t="s">
        <v>1664</v>
      </c>
      <c r="ADQ3" s="1293" t="s">
        <v>1664</v>
      </c>
      <c r="ADR3" s="1293" t="s">
        <v>1664</v>
      </c>
      <c r="ADS3" s="1293" t="s">
        <v>1664</v>
      </c>
      <c r="ADT3" s="1293" t="s">
        <v>1664</v>
      </c>
      <c r="ADU3" s="1293" t="s">
        <v>1664</v>
      </c>
      <c r="ADV3" s="1293" t="s">
        <v>1664</v>
      </c>
      <c r="ADW3" s="1294" t="s">
        <v>1664</v>
      </c>
      <c r="ADX3" s="1292" t="s">
        <v>1665</v>
      </c>
      <c r="ADY3" s="1293" t="s">
        <v>1665</v>
      </c>
      <c r="ADZ3" s="1293" t="s">
        <v>1665</v>
      </c>
      <c r="AEA3" s="1293" t="s">
        <v>1665</v>
      </c>
      <c r="AEB3" s="1293" t="s">
        <v>1665</v>
      </c>
      <c r="AEC3" s="1293" t="s">
        <v>1665</v>
      </c>
      <c r="AED3" s="1293" t="s">
        <v>1665</v>
      </c>
      <c r="AEE3" s="1294" t="s">
        <v>1665</v>
      </c>
      <c r="AEF3" s="1292" t="s">
        <v>1666</v>
      </c>
      <c r="AEG3" s="1293" t="s">
        <v>1666</v>
      </c>
      <c r="AEH3" s="1293" t="s">
        <v>1666</v>
      </c>
      <c r="AEI3" s="1293" t="s">
        <v>1666</v>
      </c>
      <c r="AEJ3" s="1293" t="s">
        <v>1666</v>
      </c>
      <c r="AEK3" s="1293" t="s">
        <v>1666</v>
      </c>
      <c r="AEL3" s="1293" t="s">
        <v>1666</v>
      </c>
      <c r="AEM3" s="1294" t="s">
        <v>1666</v>
      </c>
      <c r="AEN3" s="1292" t="s">
        <v>1667</v>
      </c>
      <c r="AEO3" s="1293" t="s">
        <v>1667</v>
      </c>
      <c r="AEP3" s="1293" t="s">
        <v>1667</v>
      </c>
      <c r="AEQ3" s="1293" t="s">
        <v>1667</v>
      </c>
      <c r="AER3" s="1293" t="s">
        <v>1667</v>
      </c>
      <c r="AES3" s="1293" t="s">
        <v>1667</v>
      </c>
      <c r="AET3" s="1293" t="s">
        <v>1667</v>
      </c>
      <c r="AEU3" s="1294" t="s">
        <v>1667</v>
      </c>
      <c r="AEV3" s="1292" t="s">
        <v>1668</v>
      </c>
      <c r="AEW3" s="1293" t="s">
        <v>1668</v>
      </c>
      <c r="AEX3" s="1293" t="s">
        <v>1668</v>
      </c>
      <c r="AEY3" s="1293" t="s">
        <v>1668</v>
      </c>
      <c r="AEZ3" s="1293" t="s">
        <v>1668</v>
      </c>
      <c r="AFA3" s="1293" t="s">
        <v>1668</v>
      </c>
      <c r="AFB3" s="1293" t="s">
        <v>1668</v>
      </c>
      <c r="AFC3" s="1294" t="s">
        <v>1668</v>
      </c>
      <c r="AFD3" s="1292" t="s">
        <v>1669</v>
      </c>
      <c r="AFE3" s="1293" t="s">
        <v>1669</v>
      </c>
      <c r="AFF3" s="1293" t="s">
        <v>1669</v>
      </c>
      <c r="AFG3" s="1293" t="s">
        <v>1669</v>
      </c>
      <c r="AFH3" s="1293" t="s">
        <v>1669</v>
      </c>
      <c r="AFI3" s="1293" t="s">
        <v>1669</v>
      </c>
      <c r="AFJ3" s="1293" t="s">
        <v>1669</v>
      </c>
      <c r="AFK3" s="1294" t="s">
        <v>1669</v>
      </c>
      <c r="AFL3" s="1292" t="s">
        <v>1670</v>
      </c>
      <c r="AFM3" s="1293" t="s">
        <v>1670</v>
      </c>
      <c r="AFN3" s="1293" t="s">
        <v>1670</v>
      </c>
      <c r="AFO3" s="1293" t="s">
        <v>1670</v>
      </c>
      <c r="AFP3" s="1293" t="s">
        <v>1670</v>
      </c>
      <c r="AFQ3" s="1293" t="s">
        <v>1670</v>
      </c>
      <c r="AFR3" s="1293" t="s">
        <v>1670</v>
      </c>
      <c r="AFS3" s="1294" t="s">
        <v>1670</v>
      </c>
      <c r="AFT3" s="1292" t="s">
        <v>1671</v>
      </c>
      <c r="AFU3" s="1293" t="s">
        <v>1671</v>
      </c>
      <c r="AFV3" s="1293" t="s">
        <v>1671</v>
      </c>
      <c r="AFW3" s="1293" t="s">
        <v>1671</v>
      </c>
      <c r="AFX3" s="1293" t="s">
        <v>1671</v>
      </c>
      <c r="AFY3" s="1293" t="s">
        <v>1671</v>
      </c>
      <c r="AFZ3" s="1293" t="s">
        <v>1671</v>
      </c>
      <c r="AGA3" s="1294" t="s">
        <v>1671</v>
      </c>
      <c r="AGB3" s="1292" t="s">
        <v>1672</v>
      </c>
      <c r="AGC3" s="1293" t="s">
        <v>1672</v>
      </c>
      <c r="AGD3" s="1293" t="s">
        <v>1672</v>
      </c>
      <c r="AGE3" s="1293" t="s">
        <v>1672</v>
      </c>
      <c r="AGF3" s="1293" t="s">
        <v>1672</v>
      </c>
      <c r="AGG3" s="1293" t="s">
        <v>1672</v>
      </c>
      <c r="AGH3" s="1293" t="s">
        <v>1672</v>
      </c>
      <c r="AGI3" s="1293" t="s">
        <v>1672</v>
      </c>
      <c r="AGJ3" s="1292" t="s">
        <v>1673</v>
      </c>
      <c r="AGK3" s="1293" t="s">
        <v>1673</v>
      </c>
      <c r="AGL3" s="1293" t="s">
        <v>1673</v>
      </c>
      <c r="AGM3" s="1293" t="s">
        <v>1673</v>
      </c>
      <c r="AGN3" s="1293" t="s">
        <v>1673</v>
      </c>
      <c r="AGO3" s="1293" t="s">
        <v>1673</v>
      </c>
      <c r="AGP3" s="1293" t="s">
        <v>1673</v>
      </c>
      <c r="AGQ3" s="1294" t="s">
        <v>1673</v>
      </c>
      <c r="AGR3" s="436" t="s">
        <v>986</v>
      </c>
      <c r="AGS3" s="436" t="s">
        <v>986</v>
      </c>
      <c r="AGT3" s="436" t="s">
        <v>986</v>
      </c>
      <c r="AGU3" s="436" t="s">
        <v>986</v>
      </c>
      <c r="AGV3" s="436" t="s">
        <v>986</v>
      </c>
      <c r="AGW3" s="436" t="s">
        <v>986</v>
      </c>
      <c r="AGX3" s="436" t="s">
        <v>986</v>
      </c>
      <c r="AGY3" s="1297" t="s">
        <v>986</v>
      </c>
      <c r="AGZ3" s="1298" t="s">
        <v>987</v>
      </c>
      <c r="AHA3" s="1299" t="s">
        <v>987</v>
      </c>
      <c r="AHB3" s="1299" t="s">
        <v>987</v>
      </c>
      <c r="AHC3" s="1299" t="s">
        <v>987</v>
      </c>
      <c r="AHD3" s="1299" t="s">
        <v>987</v>
      </c>
      <c r="AHE3" s="1299" t="s">
        <v>987</v>
      </c>
      <c r="AHF3" s="1299" t="s">
        <v>987</v>
      </c>
      <c r="AHG3" s="1300" t="s">
        <v>987</v>
      </c>
      <c r="AHH3" s="1299" t="s">
        <v>988</v>
      </c>
      <c r="AHI3" s="1299" t="s">
        <v>988</v>
      </c>
      <c r="AHJ3" s="1299" t="s">
        <v>988</v>
      </c>
      <c r="AHK3" s="1299" t="s">
        <v>988</v>
      </c>
      <c r="AHL3" s="1299" t="s">
        <v>988</v>
      </c>
      <c r="AHM3" s="1299" t="s">
        <v>988</v>
      </c>
      <c r="AHN3" s="1299" t="s">
        <v>988</v>
      </c>
      <c r="AHO3" s="1299" t="s">
        <v>988</v>
      </c>
      <c r="AHP3" s="1301" t="s">
        <v>989</v>
      </c>
      <c r="AHQ3" s="436" t="s">
        <v>989</v>
      </c>
      <c r="AHR3" s="436" t="s">
        <v>989</v>
      </c>
      <c r="AHS3" s="436" t="s">
        <v>989</v>
      </c>
      <c r="AHT3" s="436" t="s">
        <v>989</v>
      </c>
      <c r="AHU3" s="436" t="s">
        <v>989</v>
      </c>
      <c r="AHV3" s="436" t="s">
        <v>989</v>
      </c>
      <c r="AHW3" s="1297" t="s">
        <v>989</v>
      </c>
      <c r="AHX3" s="436" t="s">
        <v>870</v>
      </c>
      <c r="AHY3" s="436" t="s">
        <v>870</v>
      </c>
      <c r="AHZ3" s="436" t="s">
        <v>870</v>
      </c>
      <c r="AIA3" s="436" t="s">
        <v>870</v>
      </c>
      <c r="AIB3" s="436" t="s">
        <v>870</v>
      </c>
      <c r="AIC3" s="436" t="s">
        <v>870</v>
      </c>
      <c r="AID3" s="436" t="s">
        <v>870</v>
      </c>
      <c r="AIE3" s="436" t="s">
        <v>870</v>
      </c>
      <c r="AIF3" s="1301" t="s">
        <v>871</v>
      </c>
      <c r="AIG3" s="436" t="s">
        <v>871</v>
      </c>
      <c r="AIH3" s="436" t="s">
        <v>871</v>
      </c>
      <c r="AII3" s="436" t="s">
        <v>871</v>
      </c>
      <c r="AIJ3" s="436" t="s">
        <v>871</v>
      </c>
      <c r="AIK3" s="436" t="s">
        <v>871</v>
      </c>
      <c r="AIL3" s="436" t="s">
        <v>871</v>
      </c>
      <c r="AIM3" s="1297" t="s">
        <v>871</v>
      </c>
      <c r="AIN3" s="1301" t="s">
        <v>872</v>
      </c>
      <c r="AIO3" s="436" t="s">
        <v>872</v>
      </c>
      <c r="AIP3" s="436" t="s">
        <v>872</v>
      </c>
      <c r="AIQ3" s="436" t="s">
        <v>872</v>
      </c>
      <c r="AIR3" s="436" t="s">
        <v>872</v>
      </c>
      <c r="AIS3" s="436" t="s">
        <v>872</v>
      </c>
      <c r="AIT3" s="436" t="s">
        <v>872</v>
      </c>
      <c r="AIU3" s="1297" t="s">
        <v>872</v>
      </c>
      <c r="AIV3" s="1301" t="s">
        <v>873</v>
      </c>
      <c r="AIW3" s="436" t="s">
        <v>873</v>
      </c>
      <c r="AIX3" s="436" t="s">
        <v>873</v>
      </c>
      <c r="AIY3" s="436" t="s">
        <v>873</v>
      </c>
      <c r="AIZ3" s="436" t="s">
        <v>873</v>
      </c>
      <c r="AJA3" s="436" t="s">
        <v>873</v>
      </c>
      <c r="AJB3" s="436" t="s">
        <v>873</v>
      </c>
      <c r="AJC3" s="1297" t="s">
        <v>873</v>
      </c>
      <c r="AJD3" s="1301" t="s">
        <v>874</v>
      </c>
      <c r="AJE3" s="436" t="s">
        <v>874</v>
      </c>
      <c r="AJF3" s="436" t="s">
        <v>874</v>
      </c>
      <c r="AJG3" s="436" t="s">
        <v>874</v>
      </c>
      <c r="AJH3" s="436" t="s">
        <v>874</v>
      </c>
      <c r="AJI3" s="436" t="s">
        <v>874</v>
      </c>
      <c r="AJJ3" s="436" t="s">
        <v>874</v>
      </c>
      <c r="AJK3" s="1297" t="s">
        <v>874</v>
      </c>
      <c r="AJL3" s="1301" t="s">
        <v>875</v>
      </c>
      <c r="AJM3" s="436" t="s">
        <v>875</v>
      </c>
      <c r="AJN3" s="436" t="s">
        <v>875</v>
      </c>
      <c r="AJO3" s="436" t="s">
        <v>875</v>
      </c>
      <c r="AJP3" s="436" t="s">
        <v>875</v>
      </c>
      <c r="AJQ3" s="436" t="s">
        <v>875</v>
      </c>
      <c r="AJR3" s="436" t="s">
        <v>875</v>
      </c>
      <c r="AJS3" s="436" t="s">
        <v>875</v>
      </c>
      <c r="AJT3" s="1170" t="s">
        <v>1647</v>
      </c>
      <c r="AJU3" s="1171" t="s">
        <v>1647</v>
      </c>
      <c r="AJV3" s="1171" t="s">
        <v>1647</v>
      </c>
      <c r="AJW3" s="1171" t="s">
        <v>1647</v>
      </c>
      <c r="AJX3" s="1171" t="s">
        <v>1647</v>
      </c>
      <c r="AJY3" s="1171" t="s">
        <v>1647</v>
      </c>
      <c r="AJZ3" s="1171" t="s">
        <v>1647</v>
      </c>
      <c r="AKA3" s="1171" t="s">
        <v>1647</v>
      </c>
      <c r="AKB3" s="1171" t="s">
        <v>1647</v>
      </c>
      <c r="AKC3" s="1172" t="s">
        <v>1647</v>
      </c>
      <c r="AKD3" s="436" t="s">
        <v>870</v>
      </c>
      <c r="AKE3" s="436" t="s">
        <v>870</v>
      </c>
      <c r="AKF3" s="436" t="s">
        <v>870</v>
      </c>
      <c r="AKG3" s="436" t="s">
        <v>870</v>
      </c>
      <c r="AKH3" s="436" t="s">
        <v>870</v>
      </c>
      <c r="AKI3" s="436" t="s">
        <v>870</v>
      </c>
      <c r="AKJ3" s="436" t="s">
        <v>870</v>
      </c>
      <c r="AKK3" s="436" t="s">
        <v>870</v>
      </c>
      <c r="AKL3" s="1301" t="s">
        <v>871</v>
      </c>
      <c r="AKM3" s="436" t="s">
        <v>871</v>
      </c>
      <c r="AKN3" s="436" t="s">
        <v>871</v>
      </c>
      <c r="AKO3" s="436" t="s">
        <v>871</v>
      </c>
      <c r="AKP3" s="436" t="s">
        <v>871</v>
      </c>
      <c r="AKQ3" s="436" t="s">
        <v>871</v>
      </c>
      <c r="AKR3" s="436" t="s">
        <v>871</v>
      </c>
      <c r="AKS3" s="1297" t="s">
        <v>871</v>
      </c>
      <c r="AKT3" s="1301" t="s">
        <v>872</v>
      </c>
      <c r="AKU3" s="436" t="s">
        <v>872</v>
      </c>
      <c r="AKV3" s="436" t="s">
        <v>872</v>
      </c>
      <c r="AKW3" s="436" t="s">
        <v>872</v>
      </c>
      <c r="AKX3" s="436" t="s">
        <v>872</v>
      </c>
      <c r="AKY3" s="436" t="s">
        <v>872</v>
      </c>
      <c r="AKZ3" s="436" t="s">
        <v>872</v>
      </c>
      <c r="ALA3" s="1297" t="s">
        <v>872</v>
      </c>
      <c r="ALB3" s="1301" t="s">
        <v>873</v>
      </c>
      <c r="ALC3" s="436" t="s">
        <v>873</v>
      </c>
      <c r="ALD3" s="436" t="s">
        <v>873</v>
      </c>
      <c r="ALE3" s="436" t="s">
        <v>873</v>
      </c>
      <c r="ALF3" s="436" t="s">
        <v>873</v>
      </c>
      <c r="ALG3" s="436" t="s">
        <v>873</v>
      </c>
      <c r="ALH3" s="436" t="s">
        <v>873</v>
      </c>
      <c r="ALI3" s="1297" t="s">
        <v>873</v>
      </c>
      <c r="ALJ3" s="1301" t="s">
        <v>874</v>
      </c>
      <c r="ALK3" s="436" t="s">
        <v>874</v>
      </c>
      <c r="ALL3" s="436" t="s">
        <v>874</v>
      </c>
      <c r="ALM3" s="436" t="s">
        <v>874</v>
      </c>
      <c r="ALN3" s="436" t="s">
        <v>874</v>
      </c>
      <c r="ALO3" s="436" t="s">
        <v>874</v>
      </c>
      <c r="ALP3" s="436" t="s">
        <v>874</v>
      </c>
      <c r="ALQ3" s="1297" t="s">
        <v>874</v>
      </c>
      <c r="ALR3" s="1292" t="s">
        <v>875</v>
      </c>
      <c r="ALS3" s="1293" t="s">
        <v>875</v>
      </c>
      <c r="ALT3" s="1293" t="s">
        <v>875</v>
      </c>
      <c r="ALU3" s="1293" t="s">
        <v>875</v>
      </c>
      <c r="ALV3" s="1293" t="s">
        <v>875</v>
      </c>
      <c r="ALW3" s="1293" t="s">
        <v>875</v>
      </c>
      <c r="ALX3" s="1293" t="s">
        <v>875</v>
      </c>
      <c r="ALY3" s="1294" t="s">
        <v>875</v>
      </c>
    </row>
    <row r="4" spans="1:1013" s="74" customFormat="1" ht="45" hidden="1" outlineLevel="1">
      <c r="A4" s="1237" t="s">
        <v>1617</v>
      </c>
      <c r="B4" s="1174"/>
      <c r="C4" s="1175"/>
      <c r="D4" s="1176"/>
      <c r="E4" s="1177" t="s">
        <v>962</v>
      </c>
      <c r="F4" s="1178" t="s">
        <v>963</v>
      </c>
      <c r="G4" s="1179" t="s">
        <v>961</v>
      </c>
      <c r="H4" s="1180"/>
      <c r="I4" s="1181" t="s">
        <v>962</v>
      </c>
      <c r="J4" s="1181" t="s">
        <v>963</v>
      </c>
      <c r="K4" s="1181" t="s">
        <v>961</v>
      </c>
      <c r="L4" s="1180"/>
      <c r="M4" s="1181" t="s">
        <v>962</v>
      </c>
      <c r="N4" s="1181" t="s">
        <v>963</v>
      </c>
      <c r="O4" s="1182" t="s">
        <v>961</v>
      </c>
      <c r="P4" s="1183"/>
      <c r="Q4" s="1184"/>
      <c r="R4" s="1185" t="s">
        <v>230</v>
      </c>
      <c r="S4" s="1185" t="s">
        <v>231</v>
      </c>
      <c r="T4" s="1186" t="s">
        <v>232</v>
      </c>
      <c r="U4" s="770" t="s">
        <v>623</v>
      </c>
      <c r="V4" s="770" t="s">
        <v>1693</v>
      </c>
      <c r="W4" s="770" t="s">
        <v>577</v>
      </c>
      <c r="X4" s="770" t="s">
        <v>1694</v>
      </c>
      <c r="Y4" s="1184" t="s">
        <v>578</v>
      </c>
      <c r="Z4" s="770" t="s">
        <v>233</v>
      </c>
      <c r="AA4" s="770" t="s">
        <v>234</v>
      </c>
      <c r="AB4" s="770" t="s">
        <v>235</v>
      </c>
      <c r="AC4" s="770" t="s">
        <v>236</v>
      </c>
      <c r="AD4" s="1184" t="s">
        <v>237</v>
      </c>
      <c r="AE4" s="770" t="s">
        <v>623</v>
      </c>
      <c r="AF4" s="770" t="s">
        <v>1693</v>
      </c>
      <c r="AG4" s="770" t="s">
        <v>577</v>
      </c>
      <c r="AH4" s="770" t="s">
        <v>1694</v>
      </c>
      <c r="AI4" s="1184" t="s">
        <v>578</v>
      </c>
      <c r="AJ4" s="770" t="s">
        <v>623</v>
      </c>
      <c r="AK4" s="770" t="s">
        <v>1693</v>
      </c>
      <c r="AL4" s="770" t="s">
        <v>577</v>
      </c>
      <c r="AM4" s="770" t="s">
        <v>1694</v>
      </c>
      <c r="AN4" s="770" t="s">
        <v>578</v>
      </c>
      <c r="AO4" s="771">
        <v>2020</v>
      </c>
      <c r="AP4" s="770">
        <v>2025</v>
      </c>
      <c r="AQ4" s="770">
        <v>2030</v>
      </c>
      <c r="AR4" s="770">
        <v>2035</v>
      </c>
      <c r="AS4" s="770">
        <v>2040</v>
      </c>
      <c r="AT4" s="770">
        <v>2045</v>
      </c>
      <c r="AU4" s="770">
        <v>2050</v>
      </c>
      <c r="AV4" s="771" t="s">
        <v>2305</v>
      </c>
      <c r="AW4" s="770" t="s">
        <v>61</v>
      </c>
      <c r="AX4" s="770" t="s">
        <v>62</v>
      </c>
      <c r="AY4" s="770" t="s">
        <v>63</v>
      </c>
      <c r="AZ4" s="770" t="s">
        <v>64</v>
      </c>
      <c r="BA4" s="1183"/>
      <c r="BB4" s="770"/>
      <c r="BC4" s="1185" t="s">
        <v>962</v>
      </c>
      <c r="BD4" s="1185" t="s">
        <v>963</v>
      </c>
      <c r="BE4" s="1185" t="s">
        <v>961</v>
      </c>
      <c r="BF4" s="770"/>
      <c r="BG4" s="1184"/>
      <c r="BH4" s="770" t="s">
        <v>1693</v>
      </c>
      <c r="BI4" s="770" t="s">
        <v>1694</v>
      </c>
      <c r="BJ4" s="770" t="s">
        <v>1712</v>
      </c>
      <c r="BK4" s="770" t="s">
        <v>623</v>
      </c>
      <c r="BL4" s="770" t="s">
        <v>1714</v>
      </c>
      <c r="BM4" s="770" t="s">
        <v>1715</v>
      </c>
      <c r="BN4" s="770" t="s">
        <v>577</v>
      </c>
      <c r="BO4" s="770" t="s">
        <v>1716</v>
      </c>
      <c r="BP4" s="770" t="s">
        <v>1717</v>
      </c>
      <c r="BQ4" s="770" t="s">
        <v>1718</v>
      </c>
      <c r="BR4" s="770" t="s">
        <v>629</v>
      </c>
      <c r="BS4" s="770" t="s">
        <v>630</v>
      </c>
      <c r="BT4" s="770" t="s">
        <v>1719</v>
      </c>
      <c r="BU4" s="770" t="s">
        <v>486</v>
      </c>
      <c r="BV4" s="1184" t="s">
        <v>1720</v>
      </c>
      <c r="BW4" s="770" t="s">
        <v>1693</v>
      </c>
      <c r="BX4" s="770" t="s">
        <v>1694</v>
      </c>
      <c r="BY4" s="770" t="s">
        <v>1712</v>
      </c>
      <c r="BZ4" s="770" t="s">
        <v>623</v>
      </c>
      <c r="CA4" s="770" t="s">
        <v>1714</v>
      </c>
      <c r="CB4" s="770" t="s">
        <v>1715</v>
      </c>
      <c r="CC4" s="770" t="s">
        <v>577</v>
      </c>
      <c r="CD4" s="770" t="s">
        <v>1716</v>
      </c>
      <c r="CE4" s="770" t="s">
        <v>1717</v>
      </c>
      <c r="CF4" s="770" t="s">
        <v>1718</v>
      </c>
      <c r="CG4" s="770" t="s">
        <v>629</v>
      </c>
      <c r="CH4" s="770" t="s">
        <v>630</v>
      </c>
      <c r="CI4" s="770" t="s">
        <v>1719</v>
      </c>
      <c r="CJ4" s="770" t="s">
        <v>486</v>
      </c>
      <c r="CK4" s="770" t="s">
        <v>1720</v>
      </c>
      <c r="CL4" s="771" t="s">
        <v>1693</v>
      </c>
      <c r="CM4" s="770" t="s">
        <v>1694</v>
      </c>
      <c r="CN4" s="770" t="s">
        <v>1712</v>
      </c>
      <c r="CO4" s="770" t="s">
        <v>623</v>
      </c>
      <c r="CP4" s="770" t="s">
        <v>1714</v>
      </c>
      <c r="CQ4" s="770" t="s">
        <v>1715</v>
      </c>
      <c r="CR4" s="770" t="s">
        <v>577</v>
      </c>
      <c r="CS4" s="770" t="s">
        <v>1716</v>
      </c>
      <c r="CT4" s="770" t="s">
        <v>1717</v>
      </c>
      <c r="CU4" s="770" t="s">
        <v>1718</v>
      </c>
      <c r="CV4" s="770" t="s">
        <v>629</v>
      </c>
      <c r="CW4" s="770" t="s">
        <v>630</v>
      </c>
      <c r="CX4" s="770" t="s">
        <v>1719</v>
      </c>
      <c r="CY4" s="770" t="s">
        <v>486</v>
      </c>
      <c r="CZ4" s="770" t="s">
        <v>1720</v>
      </c>
      <c r="DA4" s="771" t="s">
        <v>233</v>
      </c>
      <c r="DB4" s="770" t="s">
        <v>234</v>
      </c>
      <c r="DC4" s="770" t="s">
        <v>235</v>
      </c>
      <c r="DD4" s="770" t="s">
        <v>236</v>
      </c>
      <c r="DE4" s="770" t="s">
        <v>237</v>
      </c>
      <c r="DF4" s="771" t="s">
        <v>2305</v>
      </c>
      <c r="DG4" s="770" t="s">
        <v>61</v>
      </c>
      <c r="DH4" s="770" t="s">
        <v>62</v>
      </c>
      <c r="DI4" s="770" t="s">
        <v>63</v>
      </c>
      <c r="DJ4" s="770" t="s">
        <v>64</v>
      </c>
      <c r="DK4" s="1187"/>
      <c r="DL4" s="770"/>
      <c r="DM4" s="770"/>
      <c r="DN4" s="1185" t="s">
        <v>962</v>
      </c>
      <c r="DO4" s="1185" t="s">
        <v>963</v>
      </c>
      <c r="DP4" s="1185" t="s">
        <v>961</v>
      </c>
      <c r="DQ4" s="1188">
        <v>1</v>
      </c>
      <c r="DR4" s="1185">
        <v>2</v>
      </c>
      <c r="DS4" s="1185">
        <v>3</v>
      </c>
      <c r="DT4" s="1185">
        <v>4</v>
      </c>
      <c r="DU4" s="1185">
        <v>5</v>
      </c>
      <c r="DV4" s="1185">
        <v>6</v>
      </c>
      <c r="DW4" s="1185">
        <v>7</v>
      </c>
      <c r="DX4" s="1188" t="s">
        <v>219</v>
      </c>
      <c r="DY4" s="1185" t="s">
        <v>2345</v>
      </c>
      <c r="DZ4" s="1185" t="s">
        <v>2346</v>
      </c>
      <c r="EA4" s="1185" t="s">
        <v>2347</v>
      </c>
      <c r="EB4" s="1185" t="s">
        <v>2348</v>
      </c>
      <c r="EC4" s="1185" t="s">
        <v>2349</v>
      </c>
      <c r="ED4" s="1189" t="s">
        <v>2350</v>
      </c>
      <c r="EE4" s="1190"/>
      <c r="EF4" s="770"/>
      <c r="EG4" s="770"/>
      <c r="EH4" s="1185" t="s">
        <v>962</v>
      </c>
      <c r="EI4" s="1185" t="s">
        <v>963</v>
      </c>
      <c r="EJ4" s="1185" t="s">
        <v>961</v>
      </c>
      <c r="EK4" s="1183">
        <v>1</v>
      </c>
      <c r="EL4" s="1185">
        <f>EK4+1</f>
        <v>2</v>
      </c>
      <c r="EM4" s="1185">
        <f t="shared" ref="EM4:GP4" si="0">EL4+1</f>
        <v>3</v>
      </c>
      <c r="EN4" s="1185">
        <f t="shared" si="0"/>
        <v>4</v>
      </c>
      <c r="EO4" s="1185">
        <f t="shared" si="0"/>
        <v>5</v>
      </c>
      <c r="EP4" s="1185">
        <f t="shared" si="0"/>
        <v>6</v>
      </c>
      <c r="EQ4" s="1185">
        <f t="shared" si="0"/>
        <v>7</v>
      </c>
      <c r="ER4" s="1185">
        <f t="shared" si="0"/>
        <v>8</v>
      </c>
      <c r="ES4" s="1185">
        <f t="shared" si="0"/>
        <v>9</v>
      </c>
      <c r="ET4" s="1185">
        <f t="shared" si="0"/>
        <v>10</v>
      </c>
      <c r="EU4" s="1185">
        <f t="shared" si="0"/>
        <v>11</v>
      </c>
      <c r="EV4" s="1185">
        <f t="shared" si="0"/>
        <v>12</v>
      </c>
      <c r="EW4" s="1185">
        <f t="shared" si="0"/>
        <v>13</v>
      </c>
      <c r="EX4" s="1185">
        <f t="shared" si="0"/>
        <v>14</v>
      </c>
      <c r="EY4" s="1185">
        <f t="shared" si="0"/>
        <v>15</v>
      </c>
      <c r="EZ4" s="1185">
        <f t="shared" si="0"/>
        <v>16</v>
      </c>
      <c r="FA4" s="1185">
        <f t="shared" si="0"/>
        <v>17</v>
      </c>
      <c r="FB4" s="1185">
        <f t="shared" si="0"/>
        <v>18</v>
      </c>
      <c r="FC4" s="1185">
        <f t="shared" si="0"/>
        <v>19</v>
      </c>
      <c r="FD4" s="1185">
        <f t="shared" si="0"/>
        <v>20</v>
      </c>
      <c r="FE4" s="1185">
        <f t="shared" si="0"/>
        <v>21</v>
      </c>
      <c r="FF4" s="1185">
        <f t="shared" si="0"/>
        <v>22</v>
      </c>
      <c r="FG4" s="1185">
        <f t="shared" si="0"/>
        <v>23</v>
      </c>
      <c r="FH4" s="1185">
        <f t="shared" si="0"/>
        <v>24</v>
      </c>
      <c r="FI4" s="1185">
        <f t="shared" si="0"/>
        <v>25</v>
      </c>
      <c r="FJ4" s="1185">
        <f t="shared" si="0"/>
        <v>26</v>
      </c>
      <c r="FK4" s="1185">
        <f t="shared" si="0"/>
        <v>27</v>
      </c>
      <c r="FL4" s="1185">
        <f t="shared" si="0"/>
        <v>28</v>
      </c>
      <c r="FM4" s="1185">
        <f t="shared" si="0"/>
        <v>29</v>
      </c>
      <c r="FN4" s="1185">
        <f t="shared" si="0"/>
        <v>30</v>
      </c>
      <c r="FO4" s="1185">
        <f t="shared" si="0"/>
        <v>31</v>
      </c>
      <c r="FP4" s="1185">
        <f t="shared" si="0"/>
        <v>32</v>
      </c>
      <c r="FQ4" s="1185">
        <f t="shared" si="0"/>
        <v>33</v>
      </c>
      <c r="FR4" s="1185">
        <f t="shared" si="0"/>
        <v>34</v>
      </c>
      <c r="FS4" s="1185">
        <f t="shared" si="0"/>
        <v>35</v>
      </c>
      <c r="FT4" s="1185">
        <f t="shared" si="0"/>
        <v>36</v>
      </c>
      <c r="FU4" s="1185">
        <f t="shared" si="0"/>
        <v>37</v>
      </c>
      <c r="FV4" s="1185">
        <f t="shared" si="0"/>
        <v>38</v>
      </c>
      <c r="FW4" s="1185">
        <f t="shared" si="0"/>
        <v>39</v>
      </c>
      <c r="FX4" s="1185">
        <f t="shared" si="0"/>
        <v>40</v>
      </c>
      <c r="FY4" s="1185">
        <f t="shared" si="0"/>
        <v>41</v>
      </c>
      <c r="FZ4" s="1185">
        <f t="shared" si="0"/>
        <v>42</v>
      </c>
      <c r="GA4" s="1185">
        <f t="shared" si="0"/>
        <v>43</v>
      </c>
      <c r="GB4" s="1185">
        <f t="shared" si="0"/>
        <v>44</v>
      </c>
      <c r="GC4" s="1185">
        <f t="shared" si="0"/>
        <v>45</v>
      </c>
      <c r="GD4" s="1185">
        <f t="shared" si="0"/>
        <v>46</v>
      </c>
      <c r="GE4" s="1185">
        <f t="shared" si="0"/>
        <v>47</v>
      </c>
      <c r="GF4" s="1185">
        <f t="shared" si="0"/>
        <v>48</v>
      </c>
      <c r="GG4" s="1185">
        <f t="shared" si="0"/>
        <v>49</v>
      </c>
      <c r="GH4" s="1185">
        <f t="shared" si="0"/>
        <v>50</v>
      </c>
      <c r="GI4" s="1185">
        <f t="shared" si="0"/>
        <v>51</v>
      </c>
      <c r="GJ4" s="1185">
        <f t="shared" si="0"/>
        <v>52</v>
      </c>
      <c r="GK4" s="1185">
        <f t="shared" si="0"/>
        <v>53</v>
      </c>
      <c r="GL4" s="1185">
        <f t="shared" si="0"/>
        <v>54</v>
      </c>
      <c r="GM4" s="1185">
        <f t="shared" si="0"/>
        <v>55</v>
      </c>
      <c r="GN4" s="1185">
        <f t="shared" si="0"/>
        <v>56</v>
      </c>
      <c r="GO4" s="1185">
        <f t="shared" si="0"/>
        <v>57</v>
      </c>
      <c r="GP4" s="1185">
        <f t="shared" si="0"/>
        <v>58</v>
      </c>
      <c r="GQ4" s="1188" t="s">
        <v>2481</v>
      </c>
      <c r="GR4" s="1185" t="s">
        <v>2482</v>
      </c>
      <c r="GS4" s="1185" t="s">
        <v>2483</v>
      </c>
      <c r="GT4" s="1185" t="s">
        <v>2484</v>
      </c>
      <c r="GU4" s="1185" t="s">
        <v>2485</v>
      </c>
      <c r="GV4" s="1185" t="s">
        <v>2486</v>
      </c>
      <c r="GW4" s="1185" t="s">
        <v>2487</v>
      </c>
      <c r="GX4" s="1185" t="s">
        <v>2488</v>
      </c>
      <c r="GY4" s="1185" t="s">
        <v>2489</v>
      </c>
      <c r="GZ4" s="1185" t="s">
        <v>2490</v>
      </c>
      <c r="HA4" s="1185" t="s">
        <v>2491</v>
      </c>
      <c r="HB4" s="1185" t="s">
        <v>2492</v>
      </c>
      <c r="HC4" s="1185" t="s">
        <v>2493</v>
      </c>
      <c r="HD4" s="1185" t="s">
        <v>2494</v>
      </c>
      <c r="HE4" s="1185" t="s">
        <v>2495</v>
      </c>
      <c r="HF4" s="1185" t="s">
        <v>2496</v>
      </c>
      <c r="HG4" s="1185" t="s">
        <v>2497</v>
      </c>
      <c r="HH4" s="1185" t="s">
        <v>2498</v>
      </c>
      <c r="HI4" s="1185" t="s">
        <v>2499</v>
      </c>
      <c r="HJ4" s="1185" t="s">
        <v>2500</v>
      </c>
      <c r="HK4" s="1185" t="s">
        <v>2501</v>
      </c>
      <c r="HL4" s="1185" t="s">
        <v>2502</v>
      </c>
      <c r="HM4" s="1185" t="s">
        <v>2503</v>
      </c>
      <c r="HN4" s="1185" t="s">
        <v>2504</v>
      </c>
      <c r="HO4" s="1185" t="s">
        <v>2505</v>
      </c>
      <c r="HP4" s="1185" t="s">
        <v>2506</v>
      </c>
      <c r="HQ4" s="1185" t="s">
        <v>2507</v>
      </c>
      <c r="HR4" s="1185" t="s">
        <v>2508</v>
      </c>
      <c r="HS4" s="1185" t="s">
        <v>2509</v>
      </c>
      <c r="HT4" s="1185" t="s">
        <v>2510</v>
      </c>
      <c r="HU4" s="1185" t="s">
        <v>2511</v>
      </c>
      <c r="HV4" s="1185" t="s">
        <v>2512</v>
      </c>
      <c r="HW4" s="1185" t="s">
        <v>2513</v>
      </c>
      <c r="HX4" s="1185" t="s">
        <v>2514</v>
      </c>
      <c r="HY4" s="1185" t="s">
        <v>2515</v>
      </c>
      <c r="HZ4" s="1185" t="s">
        <v>2516</v>
      </c>
      <c r="IA4" s="1185" t="s">
        <v>2517</v>
      </c>
      <c r="IB4" s="1185" t="s">
        <v>2518</v>
      </c>
      <c r="IC4" s="1185" t="s">
        <v>2519</v>
      </c>
      <c r="ID4" s="1185" t="s">
        <v>2520</v>
      </c>
      <c r="IE4" s="1185" t="s">
        <v>2521</v>
      </c>
      <c r="IF4" s="1185" t="s">
        <v>2522</v>
      </c>
      <c r="IG4" s="1185" t="s">
        <v>2523</v>
      </c>
      <c r="IH4" s="1185" t="s">
        <v>2524</v>
      </c>
      <c r="II4" s="1185" t="s">
        <v>2525</v>
      </c>
      <c r="IJ4" s="1185" t="s">
        <v>2526</v>
      </c>
      <c r="IK4" s="1185" t="s">
        <v>2527</v>
      </c>
      <c r="IL4" s="1185" t="s">
        <v>2528</v>
      </c>
      <c r="IM4" s="1185" t="s">
        <v>2529</v>
      </c>
      <c r="IN4" s="1185" t="s">
        <v>2530</v>
      </c>
      <c r="IO4" s="1185" t="s">
        <v>2531</v>
      </c>
      <c r="IP4" s="1185" t="s">
        <v>2532</v>
      </c>
      <c r="IQ4" s="1185" t="s">
        <v>2533</v>
      </c>
      <c r="IR4" s="1185" t="s">
        <v>2534</v>
      </c>
      <c r="IS4" s="1185" t="s">
        <v>2535</v>
      </c>
      <c r="IT4" s="1185" t="s">
        <v>2536</v>
      </c>
      <c r="IU4" s="1185" t="s">
        <v>2537</v>
      </c>
      <c r="IV4" s="1185" t="s">
        <v>2538</v>
      </c>
      <c r="IW4" s="769"/>
      <c r="IX4" s="770"/>
      <c r="IY4" s="770"/>
      <c r="IZ4" s="770"/>
      <c r="JA4" s="770"/>
      <c r="JB4" s="770" t="s">
        <v>962</v>
      </c>
      <c r="JC4" s="770" t="s">
        <v>963</v>
      </c>
      <c r="JD4" s="1184" t="s">
        <v>961</v>
      </c>
      <c r="JE4" s="770"/>
      <c r="JF4" s="770"/>
      <c r="JG4" s="770"/>
      <c r="JH4" s="770"/>
      <c r="JI4" s="1191"/>
      <c r="JJ4" s="769"/>
      <c r="JK4" s="770"/>
      <c r="JL4" s="770"/>
      <c r="JM4" s="770"/>
      <c r="JN4" s="770" t="s">
        <v>962</v>
      </c>
      <c r="JO4" s="770" t="s">
        <v>963</v>
      </c>
      <c r="JP4" s="770" t="s">
        <v>961</v>
      </c>
      <c r="JQ4" s="771" t="s">
        <v>233</v>
      </c>
      <c r="JR4" s="770" t="s">
        <v>234</v>
      </c>
      <c r="JS4" s="770" t="s">
        <v>235</v>
      </c>
      <c r="JT4" s="770" t="s">
        <v>236</v>
      </c>
      <c r="JU4" s="770" t="s">
        <v>237</v>
      </c>
      <c r="JV4" s="1192"/>
      <c r="JW4" s="769"/>
      <c r="JX4" s="770"/>
      <c r="JY4" s="770" t="s">
        <v>962</v>
      </c>
      <c r="JZ4" s="770" t="s">
        <v>963</v>
      </c>
      <c r="KA4" s="770" t="s">
        <v>961</v>
      </c>
      <c r="KB4" s="771" t="s">
        <v>233</v>
      </c>
      <c r="KC4" s="770" t="s">
        <v>234</v>
      </c>
      <c r="KD4" s="770" t="s">
        <v>235</v>
      </c>
      <c r="KE4" s="770" t="s">
        <v>236</v>
      </c>
      <c r="KF4" s="770" t="s">
        <v>237</v>
      </c>
      <c r="KG4" s="784" t="s">
        <v>2633</v>
      </c>
      <c r="KH4" s="785" t="s">
        <v>2596</v>
      </c>
      <c r="KI4" s="785" t="s">
        <v>2634</v>
      </c>
      <c r="KJ4" s="785" t="s">
        <v>2597</v>
      </c>
      <c r="KK4" s="785" t="s">
        <v>578</v>
      </c>
      <c r="KL4" s="785" t="s">
        <v>2598</v>
      </c>
      <c r="KM4" s="785" t="s">
        <v>629</v>
      </c>
      <c r="KN4" s="785" t="s">
        <v>630</v>
      </c>
      <c r="KO4" s="785" t="s">
        <v>2599</v>
      </c>
      <c r="KP4" s="784" t="s">
        <v>2633</v>
      </c>
      <c r="KQ4" s="785" t="s">
        <v>2596</v>
      </c>
      <c r="KR4" s="785" t="s">
        <v>2634</v>
      </c>
      <c r="KS4" s="785" t="s">
        <v>2597</v>
      </c>
      <c r="KT4" s="785" t="s">
        <v>578</v>
      </c>
      <c r="KU4" s="785" t="s">
        <v>2598</v>
      </c>
      <c r="KV4" s="785" t="s">
        <v>629</v>
      </c>
      <c r="KW4" s="785" t="s">
        <v>630</v>
      </c>
      <c r="KX4" s="785" t="s">
        <v>2599</v>
      </c>
      <c r="KY4" s="784" t="s">
        <v>2633</v>
      </c>
      <c r="KZ4" s="785" t="s">
        <v>2596</v>
      </c>
      <c r="LA4" s="785" t="s">
        <v>2634</v>
      </c>
      <c r="LB4" s="785" t="s">
        <v>2597</v>
      </c>
      <c r="LC4" s="785" t="s">
        <v>578</v>
      </c>
      <c r="LD4" s="785" t="s">
        <v>2598</v>
      </c>
      <c r="LE4" s="785" t="s">
        <v>629</v>
      </c>
      <c r="LF4" s="785" t="s">
        <v>630</v>
      </c>
      <c r="LG4" s="785" t="s">
        <v>2599</v>
      </c>
      <c r="LH4" s="771" t="s">
        <v>2305</v>
      </c>
      <c r="LI4" s="770" t="s">
        <v>61</v>
      </c>
      <c r="LJ4" s="770" t="s">
        <v>62</v>
      </c>
      <c r="LK4" s="770" t="s">
        <v>63</v>
      </c>
      <c r="LL4" s="770" t="s">
        <v>64</v>
      </c>
      <c r="LM4" s="1192"/>
      <c r="LN4" s="769"/>
      <c r="LO4" s="770"/>
      <c r="LP4" s="770" t="s">
        <v>962</v>
      </c>
      <c r="LQ4" s="770" t="s">
        <v>963</v>
      </c>
      <c r="LR4" s="770" t="s">
        <v>961</v>
      </c>
      <c r="LS4" s="771" t="s">
        <v>233</v>
      </c>
      <c r="LT4" s="770" t="s">
        <v>234</v>
      </c>
      <c r="LU4" s="770" t="s">
        <v>235</v>
      </c>
      <c r="LV4" s="770" t="s">
        <v>236</v>
      </c>
      <c r="LW4" s="770" t="s">
        <v>237</v>
      </c>
      <c r="LX4" s="771"/>
      <c r="LY4" s="769"/>
      <c r="LZ4" s="1191"/>
      <c r="MA4" s="770"/>
      <c r="MB4" s="770"/>
      <c r="MC4" s="770"/>
      <c r="MD4" s="770"/>
      <c r="ME4" s="771" t="s">
        <v>2914</v>
      </c>
      <c r="MF4" s="770" t="s">
        <v>905</v>
      </c>
      <c r="MG4" s="770" t="s">
        <v>2932</v>
      </c>
      <c r="MH4" s="770" t="s">
        <v>906</v>
      </c>
      <c r="MI4" s="771" t="s">
        <v>2914</v>
      </c>
      <c r="MJ4" s="770" t="s">
        <v>905</v>
      </c>
      <c r="MK4" s="770" t="s">
        <v>2932</v>
      </c>
      <c r="ML4" s="770" t="s">
        <v>906</v>
      </c>
      <c r="MM4" s="771" t="s">
        <v>2914</v>
      </c>
      <c r="MN4" s="770" t="s">
        <v>905</v>
      </c>
      <c r="MO4" s="770" t="s">
        <v>2932</v>
      </c>
      <c r="MP4" s="770" t="s">
        <v>906</v>
      </c>
      <c r="MQ4" s="771" t="s">
        <v>2914</v>
      </c>
      <c r="MR4" s="770" t="s">
        <v>905</v>
      </c>
      <c r="MS4" s="770" t="s">
        <v>2932</v>
      </c>
      <c r="MT4" s="770" t="s">
        <v>906</v>
      </c>
      <c r="MU4" s="769" t="s">
        <v>962</v>
      </c>
      <c r="MV4" s="770" t="s">
        <v>963</v>
      </c>
      <c r="MW4" s="1191" t="s">
        <v>961</v>
      </c>
      <c r="MX4" s="1193"/>
      <c r="MY4" s="1194" t="s">
        <v>962</v>
      </c>
      <c r="MZ4" s="1194" t="s">
        <v>963</v>
      </c>
      <c r="NA4" s="1195" t="s">
        <v>961</v>
      </c>
      <c r="NB4" s="1194"/>
      <c r="NC4" s="1194" t="s">
        <v>962</v>
      </c>
      <c r="ND4" s="1194" t="s">
        <v>963</v>
      </c>
      <c r="NE4" s="1195" t="s">
        <v>961</v>
      </c>
      <c r="NF4" s="1193"/>
      <c r="NG4" s="1194" t="s">
        <v>962</v>
      </c>
      <c r="NH4" s="1194" t="s">
        <v>963</v>
      </c>
      <c r="NI4" s="1195" t="s">
        <v>961</v>
      </c>
      <c r="NJ4" s="1194"/>
      <c r="NK4" s="1194" t="s">
        <v>962</v>
      </c>
      <c r="NL4" s="1194" t="s">
        <v>963</v>
      </c>
      <c r="NM4" s="1195" t="s">
        <v>961</v>
      </c>
      <c r="NN4" s="1193"/>
      <c r="NO4" s="1194" t="s">
        <v>962</v>
      </c>
      <c r="NP4" s="1194" t="s">
        <v>963</v>
      </c>
      <c r="NQ4" s="1195" t="s">
        <v>961</v>
      </c>
      <c r="NR4" s="1193"/>
      <c r="NS4" s="1194" t="s">
        <v>962</v>
      </c>
      <c r="NT4" s="1194" t="s">
        <v>963</v>
      </c>
      <c r="NU4" s="1195" t="s">
        <v>961</v>
      </c>
      <c r="NV4" s="1196" t="s">
        <v>945</v>
      </c>
      <c r="NW4" s="1197" t="s">
        <v>946</v>
      </c>
      <c r="NX4" s="1197" t="s">
        <v>947</v>
      </c>
      <c r="NY4" s="1197" t="s">
        <v>534</v>
      </c>
      <c r="NZ4" s="1197" t="s">
        <v>948</v>
      </c>
      <c r="OA4" s="1198" t="s">
        <v>949</v>
      </c>
      <c r="OB4" s="1197" t="s">
        <v>945</v>
      </c>
      <c r="OC4" s="1197" t="s">
        <v>946</v>
      </c>
      <c r="OD4" s="1197" t="s">
        <v>947</v>
      </c>
      <c r="OE4" s="1197" t="s">
        <v>534</v>
      </c>
      <c r="OF4" s="1197" t="s">
        <v>948</v>
      </c>
      <c r="OG4" s="1198" t="s">
        <v>949</v>
      </c>
      <c r="OH4" s="1199" t="s">
        <v>945</v>
      </c>
      <c r="OI4" s="1199" t="s">
        <v>946</v>
      </c>
      <c r="OJ4" s="1199" t="s">
        <v>947</v>
      </c>
      <c r="OK4" s="1199" t="s">
        <v>534</v>
      </c>
      <c r="OL4" s="1199" t="s">
        <v>948</v>
      </c>
      <c r="OM4" s="1200" t="s">
        <v>949</v>
      </c>
      <c r="ON4" s="1197" t="s">
        <v>945</v>
      </c>
      <c r="OO4" s="1197" t="s">
        <v>946</v>
      </c>
      <c r="OP4" s="1197" t="s">
        <v>947</v>
      </c>
      <c r="OQ4" s="1197" t="s">
        <v>534</v>
      </c>
      <c r="OR4" s="1197" t="s">
        <v>948</v>
      </c>
      <c r="OS4" s="1198" t="s">
        <v>949</v>
      </c>
      <c r="OT4" s="1199" t="s">
        <v>945</v>
      </c>
      <c r="OU4" s="1199" t="s">
        <v>946</v>
      </c>
      <c r="OV4" s="1199" t="s">
        <v>947</v>
      </c>
      <c r="OW4" s="1199" t="s">
        <v>534</v>
      </c>
      <c r="OX4" s="1199" t="s">
        <v>948</v>
      </c>
      <c r="OY4" s="1200" t="s">
        <v>949</v>
      </c>
      <c r="OZ4" s="1199" t="s">
        <v>945</v>
      </c>
      <c r="PA4" s="1199" t="s">
        <v>946</v>
      </c>
      <c r="PB4" s="1199" t="s">
        <v>947</v>
      </c>
      <c r="PC4" s="1199" t="s">
        <v>534</v>
      </c>
      <c r="PD4" s="1199" t="s">
        <v>948</v>
      </c>
      <c r="PE4" s="1201" t="s">
        <v>949</v>
      </c>
      <c r="PF4" s="1202" t="s">
        <v>945</v>
      </c>
      <c r="PG4" s="1199" t="s">
        <v>946</v>
      </c>
      <c r="PH4" s="1199" t="s">
        <v>947</v>
      </c>
      <c r="PI4" s="1199" t="s">
        <v>534</v>
      </c>
      <c r="PJ4" s="1199" t="s">
        <v>948</v>
      </c>
      <c r="PK4" s="1200" t="s">
        <v>949</v>
      </c>
      <c r="PL4" s="1199" t="s">
        <v>945</v>
      </c>
      <c r="PM4" s="1199" t="s">
        <v>946</v>
      </c>
      <c r="PN4" s="1199" t="s">
        <v>947</v>
      </c>
      <c r="PO4" s="1199" t="s">
        <v>534</v>
      </c>
      <c r="PP4" s="1199" t="s">
        <v>948</v>
      </c>
      <c r="PQ4" s="1200" t="s">
        <v>949</v>
      </c>
      <c r="PR4" s="1199" t="s">
        <v>945</v>
      </c>
      <c r="PS4" s="1199" t="s">
        <v>946</v>
      </c>
      <c r="PT4" s="1199" t="s">
        <v>947</v>
      </c>
      <c r="PU4" s="1199" t="s">
        <v>534</v>
      </c>
      <c r="PV4" s="1199" t="s">
        <v>948</v>
      </c>
      <c r="PW4" s="1200" t="s">
        <v>949</v>
      </c>
      <c r="PX4" s="1199" t="s">
        <v>945</v>
      </c>
      <c r="PY4" s="1199" t="s">
        <v>946</v>
      </c>
      <c r="PZ4" s="1199" t="s">
        <v>947</v>
      </c>
      <c r="QA4" s="1199" t="s">
        <v>534</v>
      </c>
      <c r="QB4" s="1199" t="s">
        <v>948</v>
      </c>
      <c r="QC4" s="1201" t="s">
        <v>949</v>
      </c>
      <c r="QD4" s="1202" t="s">
        <v>945</v>
      </c>
      <c r="QE4" s="1199" t="s">
        <v>946</v>
      </c>
      <c r="QF4" s="1199" t="s">
        <v>947</v>
      </c>
      <c r="QG4" s="1199" t="s">
        <v>534</v>
      </c>
      <c r="QH4" s="1199" t="s">
        <v>948</v>
      </c>
      <c r="QI4" s="1200" t="s">
        <v>949</v>
      </c>
      <c r="QJ4" s="1199" t="s">
        <v>945</v>
      </c>
      <c r="QK4" s="1199" t="s">
        <v>946</v>
      </c>
      <c r="QL4" s="1199" t="s">
        <v>947</v>
      </c>
      <c r="QM4" s="1199" t="s">
        <v>534</v>
      </c>
      <c r="QN4" s="1199" t="s">
        <v>948</v>
      </c>
      <c r="QO4" s="1200" t="s">
        <v>949</v>
      </c>
      <c r="QP4" s="1197" t="s">
        <v>945</v>
      </c>
      <c r="QQ4" s="1197" t="s">
        <v>946</v>
      </c>
      <c r="QR4" s="1197" t="s">
        <v>947</v>
      </c>
      <c r="QS4" s="1197" t="s">
        <v>534</v>
      </c>
      <c r="QT4" s="1197" t="s">
        <v>948</v>
      </c>
      <c r="QU4" s="1198" t="s">
        <v>949</v>
      </c>
      <c r="QV4" s="1199" t="s">
        <v>945</v>
      </c>
      <c r="QW4" s="1199" t="s">
        <v>946</v>
      </c>
      <c r="QX4" s="1199" t="s">
        <v>947</v>
      </c>
      <c r="QY4" s="1199" t="s">
        <v>534</v>
      </c>
      <c r="QZ4" s="1199" t="s">
        <v>948</v>
      </c>
      <c r="RA4" s="1200" t="s">
        <v>949</v>
      </c>
      <c r="RB4" s="1197" t="s">
        <v>945</v>
      </c>
      <c r="RC4" s="1197" t="s">
        <v>946</v>
      </c>
      <c r="RD4" s="1197" t="s">
        <v>947</v>
      </c>
      <c r="RE4" s="1197" t="s">
        <v>534</v>
      </c>
      <c r="RF4" s="1197" t="s">
        <v>948</v>
      </c>
      <c r="RG4" s="1203" t="s">
        <v>949</v>
      </c>
      <c r="RH4" s="1196" t="s">
        <v>945</v>
      </c>
      <c r="RI4" s="1197" t="s">
        <v>946</v>
      </c>
      <c r="RJ4" s="1197" t="s">
        <v>947</v>
      </c>
      <c r="RK4" s="1197" t="s">
        <v>534</v>
      </c>
      <c r="RL4" s="1197" t="s">
        <v>948</v>
      </c>
      <c r="RM4" s="1198" t="s">
        <v>949</v>
      </c>
      <c r="RN4" s="1197" t="s">
        <v>945</v>
      </c>
      <c r="RO4" s="1197" t="s">
        <v>946</v>
      </c>
      <c r="RP4" s="1197" t="s">
        <v>947</v>
      </c>
      <c r="RQ4" s="1197" t="s">
        <v>534</v>
      </c>
      <c r="RR4" s="1197" t="s">
        <v>948</v>
      </c>
      <c r="RS4" s="1198" t="s">
        <v>949</v>
      </c>
      <c r="RT4" s="1197" t="s">
        <v>945</v>
      </c>
      <c r="RU4" s="1197" t="s">
        <v>946</v>
      </c>
      <c r="RV4" s="1197" t="s">
        <v>947</v>
      </c>
      <c r="RW4" s="1197" t="s">
        <v>534</v>
      </c>
      <c r="RX4" s="1197" t="s">
        <v>948</v>
      </c>
      <c r="RY4" s="1198" t="s">
        <v>949</v>
      </c>
      <c r="RZ4" s="1197" t="s">
        <v>945</v>
      </c>
      <c r="SA4" s="1197" t="s">
        <v>946</v>
      </c>
      <c r="SB4" s="1197" t="s">
        <v>947</v>
      </c>
      <c r="SC4" s="1197" t="s">
        <v>534</v>
      </c>
      <c r="SD4" s="1197" t="s">
        <v>948</v>
      </c>
      <c r="SE4" s="1198" t="s">
        <v>949</v>
      </c>
      <c r="SF4" s="1197" t="s">
        <v>945</v>
      </c>
      <c r="SG4" s="1197" t="s">
        <v>946</v>
      </c>
      <c r="SH4" s="1197" t="s">
        <v>947</v>
      </c>
      <c r="SI4" s="1197" t="s">
        <v>534</v>
      </c>
      <c r="SJ4" s="1197" t="s">
        <v>948</v>
      </c>
      <c r="SK4" s="1203" t="s">
        <v>949</v>
      </c>
      <c r="SL4" s="1196" t="s">
        <v>945</v>
      </c>
      <c r="SM4" s="1197" t="s">
        <v>946</v>
      </c>
      <c r="SN4" s="1197" t="s">
        <v>947</v>
      </c>
      <c r="SO4" s="1197" t="s">
        <v>534</v>
      </c>
      <c r="SP4" s="1197" t="s">
        <v>948</v>
      </c>
      <c r="SQ4" s="1198" t="s">
        <v>949</v>
      </c>
      <c r="SR4" s="1197" t="s">
        <v>945</v>
      </c>
      <c r="SS4" s="1197" t="s">
        <v>946</v>
      </c>
      <c r="ST4" s="1197" t="s">
        <v>947</v>
      </c>
      <c r="SU4" s="1197" t="s">
        <v>534</v>
      </c>
      <c r="SV4" s="1197" t="s">
        <v>948</v>
      </c>
      <c r="SW4" s="1198" t="s">
        <v>949</v>
      </c>
      <c r="SX4" s="1197" t="s">
        <v>945</v>
      </c>
      <c r="SY4" s="1197" t="s">
        <v>946</v>
      </c>
      <c r="SZ4" s="1197" t="s">
        <v>947</v>
      </c>
      <c r="TA4" s="1197" t="s">
        <v>534</v>
      </c>
      <c r="TB4" s="1197" t="s">
        <v>948</v>
      </c>
      <c r="TC4" s="1198" t="s">
        <v>949</v>
      </c>
      <c r="TD4" s="1197" t="s">
        <v>945</v>
      </c>
      <c r="TE4" s="1197" t="s">
        <v>946</v>
      </c>
      <c r="TF4" s="1197" t="s">
        <v>947</v>
      </c>
      <c r="TG4" s="1197" t="s">
        <v>534</v>
      </c>
      <c r="TH4" s="1197" t="s">
        <v>948</v>
      </c>
      <c r="TI4" s="1198" t="s">
        <v>949</v>
      </c>
      <c r="TJ4" s="1197" t="s">
        <v>945</v>
      </c>
      <c r="TK4" s="1197" t="s">
        <v>946</v>
      </c>
      <c r="TL4" s="1197" t="s">
        <v>947</v>
      </c>
      <c r="TM4" s="1197" t="s">
        <v>534</v>
      </c>
      <c r="TN4" s="1197" t="s">
        <v>948</v>
      </c>
      <c r="TO4" s="1203" t="s">
        <v>949</v>
      </c>
      <c r="TP4" s="1196" t="s">
        <v>945</v>
      </c>
      <c r="TQ4" s="1197" t="s">
        <v>946</v>
      </c>
      <c r="TR4" s="1197" t="s">
        <v>947</v>
      </c>
      <c r="TS4" s="1197" t="s">
        <v>534</v>
      </c>
      <c r="TT4" s="1197" t="s">
        <v>948</v>
      </c>
      <c r="TU4" s="1198" t="s">
        <v>949</v>
      </c>
      <c r="TV4" s="1197" t="s">
        <v>945</v>
      </c>
      <c r="TW4" s="1197" t="s">
        <v>946</v>
      </c>
      <c r="TX4" s="1197" t="s">
        <v>947</v>
      </c>
      <c r="TY4" s="1197" t="s">
        <v>534</v>
      </c>
      <c r="TZ4" s="1197" t="s">
        <v>948</v>
      </c>
      <c r="UA4" s="1198" t="s">
        <v>949</v>
      </c>
      <c r="UB4" s="1197" t="s">
        <v>945</v>
      </c>
      <c r="UC4" s="1197" t="s">
        <v>946</v>
      </c>
      <c r="UD4" s="1197" t="s">
        <v>947</v>
      </c>
      <c r="UE4" s="1197" t="s">
        <v>534</v>
      </c>
      <c r="UF4" s="1197" t="s">
        <v>948</v>
      </c>
      <c r="UG4" s="1198" t="s">
        <v>949</v>
      </c>
      <c r="UH4" s="1197" t="s">
        <v>945</v>
      </c>
      <c r="UI4" s="1197" t="s">
        <v>946</v>
      </c>
      <c r="UJ4" s="1197" t="s">
        <v>947</v>
      </c>
      <c r="UK4" s="1197" t="s">
        <v>534</v>
      </c>
      <c r="UL4" s="1197" t="s">
        <v>948</v>
      </c>
      <c r="UM4" s="1198" t="s">
        <v>949</v>
      </c>
      <c r="UN4" s="1197" t="s">
        <v>945</v>
      </c>
      <c r="UO4" s="1197" t="s">
        <v>946</v>
      </c>
      <c r="UP4" s="1197" t="s">
        <v>947</v>
      </c>
      <c r="UQ4" s="1197" t="s">
        <v>534</v>
      </c>
      <c r="UR4" s="1197" t="s">
        <v>948</v>
      </c>
      <c r="US4" s="1203" t="s">
        <v>949</v>
      </c>
      <c r="UT4" s="1196" t="s">
        <v>945</v>
      </c>
      <c r="UU4" s="1197" t="s">
        <v>946</v>
      </c>
      <c r="UV4" s="1197" t="s">
        <v>947</v>
      </c>
      <c r="UW4" s="1197" t="s">
        <v>534</v>
      </c>
      <c r="UX4" s="1197" t="s">
        <v>948</v>
      </c>
      <c r="UY4" s="1198" t="s">
        <v>949</v>
      </c>
      <c r="UZ4" s="1197" t="s">
        <v>945</v>
      </c>
      <c r="VA4" s="1197" t="s">
        <v>946</v>
      </c>
      <c r="VB4" s="1197" t="s">
        <v>947</v>
      </c>
      <c r="VC4" s="1197" t="s">
        <v>534</v>
      </c>
      <c r="VD4" s="1197" t="s">
        <v>948</v>
      </c>
      <c r="VE4" s="1198" t="s">
        <v>949</v>
      </c>
      <c r="VF4" s="1197" t="s">
        <v>945</v>
      </c>
      <c r="VG4" s="1197" t="s">
        <v>946</v>
      </c>
      <c r="VH4" s="1197" t="s">
        <v>947</v>
      </c>
      <c r="VI4" s="1197" t="s">
        <v>534</v>
      </c>
      <c r="VJ4" s="1197" t="s">
        <v>948</v>
      </c>
      <c r="VK4" s="1198" t="s">
        <v>949</v>
      </c>
      <c r="VL4" s="1197" t="s">
        <v>945</v>
      </c>
      <c r="VM4" s="1197" t="s">
        <v>946</v>
      </c>
      <c r="VN4" s="1197" t="s">
        <v>947</v>
      </c>
      <c r="VO4" s="1197" t="s">
        <v>534</v>
      </c>
      <c r="VP4" s="1197" t="s">
        <v>948</v>
      </c>
      <c r="VQ4" s="1198" t="s">
        <v>949</v>
      </c>
      <c r="VR4" s="1197" t="s">
        <v>945</v>
      </c>
      <c r="VS4" s="1197" t="s">
        <v>946</v>
      </c>
      <c r="VT4" s="1197" t="s">
        <v>947</v>
      </c>
      <c r="VU4" s="1197" t="s">
        <v>534</v>
      </c>
      <c r="VV4" s="1197" t="s">
        <v>948</v>
      </c>
      <c r="VW4" s="1198" t="s">
        <v>949</v>
      </c>
      <c r="VX4" s="1197" t="s">
        <v>945</v>
      </c>
      <c r="VY4" s="1197" t="s">
        <v>946</v>
      </c>
      <c r="VZ4" s="1197" t="s">
        <v>947</v>
      </c>
      <c r="WA4" s="1197" t="s">
        <v>534</v>
      </c>
      <c r="WB4" s="1197" t="s">
        <v>948</v>
      </c>
      <c r="WC4" s="1203" t="s">
        <v>949</v>
      </c>
      <c r="WD4" s="443" t="s">
        <v>862</v>
      </c>
      <c r="WE4" s="440" t="s">
        <v>863</v>
      </c>
      <c r="WF4" s="440" t="s">
        <v>864</v>
      </c>
      <c r="WG4" s="440" t="s">
        <v>884</v>
      </c>
      <c r="WH4" s="440" t="s">
        <v>866</v>
      </c>
      <c r="WI4" s="440" t="s">
        <v>867</v>
      </c>
      <c r="WJ4" s="1302" t="s">
        <v>958</v>
      </c>
      <c r="WK4" s="397" t="s">
        <v>962</v>
      </c>
      <c r="WL4" s="397" t="s">
        <v>963</v>
      </c>
      <c r="WM4" s="398" t="s">
        <v>961</v>
      </c>
      <c r="WN4" s="399" t="s">
        <v>962</v>
      </c>
      <c r="WO4" s="397" t="s">
        <v>963</v>
      </c>
      <c r="WP4" s="398" t="s">
        <v>961</v>
      </c>
      <c r="WQ4" s="399" t="s">
        <v>962</v>
      </c>
      <c r="WR4" s="397" t="s">
        <v>963</v>
      </c>
      <c r="WS4" s="398" t="s">
        <v>961</v>
      </c>
      <c r="WT4" s="399" t="s">
        <v>962</v>
      </c>
      <c r="WU4" s="397" t="s">
        <v>963</v>
      </c>
      <c r="WV4" s="398" t="s">
        <v>961</v>
      </c>
      <c r="WW4" s="399" t="s">
        <v>962</v>
      </c>
      <c r="WX4" s="397" t="s">
        <v>963</v>
      </c>
      <c r="WY4" s="398" t="s">
        <v>961</v>
      </c>
      <c r="WZ4" s="399" t="s">
        <v>962</v>
      </c>
      <c r="XA4" s="397" t="s">
        <v>963</v>
      </c>
      <c r="XB4" s="398" t="s">
        <v>961</v>
      </c>
      <c r="XC4" s="399" t="s">
        <v>962</v>
      </c>
      <c r="XD4" s="397" t="s">
        <v>963</v>
      </c>
      <c r="XE4" s="398" t="s">
        <v>961</v>
      </c>
      <c r="XF4" s="399" t="s">
        <v>962</v>
      </c>
      <c r="XG4" s="397" t="s">
        <v>963</v>
      </c>
      <c r="XH4" s="398" t="s">
        <v>961</v>
      </c>
      <c r="XI4" s="399" t="s">
        <v>962</v>
      </c>
      <c r="XJ4" s="397" t="s">
        <v>963</v>
      </c>
      <c r="XK4" s="398" t="s">
        <v>961</v>
      </c>
      <c r="XL4" s="399" t="s">
        <v>962</v>
      </c>
      <c r="XM4" s="397" t="s">
        <v>963</v>
      </c>
      <c r="XN4" s="398" t="s">
        <v>961</v>
      </c>
      <c r="XO4" s="399" t="s">
        <v>962</v>
      </c>
      <c r="XP4" s="397" t="s">
        <v>963</v>
      </c>
      <c r="XQ4" s="397" t="s">
        <v>961</v>
      </c>
      <c r="XR4" s="443" t="s">
        <v>891</v>
      </c>
      <c r="XS4" s="440" t="s">
        <v>858</v>
      </c>
      <c r="XT4" s="440" t="s">
        <v>861</v>
      </c>
      <c r="XU4" s="440" t="s">
        <v>883</v>
      </c>
      <c r="XV4" s="444" t="s">
        <v>859</v>
      </c>
      <c r="XW4" s="1303" t="s">
        <v>1636</v>
      </c>
      <c r="XX4" s="1304" t="s">
        <v>887</v>
      </c>
      <c r="XY4" s="1305" t="s">
        <v>888</v>
      </c>
      <c r="XZ4" s="1305" t="s">
        <v>889</v>
      </c>
      <c r="YA4" s="1306" t="s">
        <v>890</v>
      </c>
      <c r="YB4" s="1304" t="s">
        <v>578</v>
      </c>
      <c r="YC4" s="1307" t="s">
        <v>862</v>
      </c>
      <c r="YD4" s="1307" t="s">
        <v>863</v>
      </c>
      <c r="YE4" s="1307" t="s">
        <v>864</v>
      </c>
      <c r="YF4" s="1307" t="s">
        <v>884</v>
      </c>
      <c r="YG4" s="1307" t="s">
        <v>866</v>
      </c>
      <c r="YH4" s="1307" t="s">
        <v>867</v>
      </c>
      <c r="YI4" s="1308" t="s">
        <v>990</v>
      </c>
      <c r="YJ4" s="1304" t="s">
        <v>578</v>
      </c>
      <c r="YK4" s="1307" t="s">
        <v>862</v>
      </c>
      <c r="YL4" s="1307" t="s">
        <v>863</v>
      </c>
      <c r="YM4" s="1307" t="s">
        <v>864</v>
      </c>
      <c r="YN4" s="1307" t="s">
        <v>884</v>
      </c>
      <c r="YO4" s="1307" t="s">
        <v>866</v>
      </c>
      <c r="YP4" s="1307" t="s">
        <v>867</v>
      </c>
      <c r="YQ4" s="1308" t="s">
        <v>990</v>
      </c>
      <c r="YR4" s="1304" t="s">
        <v>578</v>
      </c>
      <c r="YS4" s="1307" t="s">
        <v>862</v>
      </c>
      <c r="YT4" s="1307" t="s">
        <v>863</v>
      </c>
      <c r="YU4" s="1307" t="s">
        <v>864</v>
      </c>
      <c r="YV4" s="1307" t="s">
        <v>884</v>
      </c>
      <c r="YW4" s="1307" t="s">
        <v>866</v>
      </c>
      <c r="YX4" s="1307" t="s">
        <v>867</v>
      </c>
      <c r="YY4" s="1308" t="s">
        <v>990</v>
      </c>
      <c r="YZ4" s="1304" t="s">
        <v>578</v>
      </c>
      <c r="ZA4" s="1307" t="s">
        <v>862</v>
      </c>
      <c r="ZB4" s="1307" t="s">
        <v>863</v>
      </c>
      <c r="ZC4" s="1307" t="s">
        <v>864</v>
      </c>
      <c r="ZD4" s="1307" t="s">
        <v>884</v>
      </c>
      <c r="ZE4" s="1307" t="s">
        <v>866</v>
      </c>
      <c r="ZF4" s="1307" t="s">
        <v>867</v>
      </c>
      <c r="ZG4" s="1308" t="s">
        <v>990</v>
      </c>
      <c r="ZH4" s="1304" t="s">
        <v>578</v>
      </c>
      <c r="ZI4" s="1307" t="s">
        <v>862</v>
      </c>
      <c r="ZJ4" s="1307" t="s">
        <v>863</v>
      </c>
      <c r="ZK4" s="1307" t="s">
        <v>864</v>
      </c>
      <c r="ZL4" s="1307" t="s">
        <v>884</v>
      </c>
      <c r="ZM4" s="1307" t="s">
        <v>866</v>
      </c>
      <c r="ZN4" s="1307" t="s">
        <v>867</v>
      </c>
      <c r="ZO4" s="1308" t="s">
        <v>990</v>
      </c>
      <c r="ZP4" s="1304" t="s">
        <v>578</v>
      </c>
      <c r="ZQ4" s="1307" t="s">
        <v>862</v>
      </c>
      <c r="ZR4" s="1307" t="s">
        <v>863</v>
      </c>
      <c r="ZS4" s="1307" t="s">
        <v>864</v>
      </c>
      <c r="ZT4" s="1307" t="s">
        <v>884</v>
      </c>
      <c r="ZU4" s="1307" t="s">
        <v>866</v>
      </c>
      <c r="ZV4" s="1307" t="s">
        <v>867</v>
      </c>
      <c r="ZW4" s="1308" t="s">
        <v>990</v>
      </c>
      <c r="ZX4" s="1304" t="s">
        <v>578</v>
      </c>
      <c r="ZY4" s="1307" t="s">
        <v>862</v>
      </c>
      <c r="ZZ4" s="1307" t="s">
        <v>863</v>
      </c>
      <c r="AAA4" s="1307" t="s">
        <v>864</v>
      </c>
      <c r="AAB4" s="1307" t="s">
        <v>884</v>
      </c>
      <c r="AAC4" s="1307" t="s">
        <v>866</v>
      </c>
      <c r="AAD4" s="1307" t="s">
        <v>867</v>
      </c>
      <c r="AAE4" s="1308" t="s">
        <v>990</v>
      </c>
      <c r="AAF4" s="1304" t="s">
        <v>578</v>
      </c>
      <c r="AAG4" s="1307" t="s">
        <v>862</v>
      </c>
      <c r="AAH4" s="1307" t="s">
        <v>863</v>
      </c>
      <c r="AAI4" s="1307" t="s">
        <v>864</v>
      </c>
      <c r="AAJ4" s="1307" t="s">
        <v>884</v>
      </c>
      <c r="AAK4" s="1307" t="s">
        <v>866</v>
      </c>
      <c r="AAL4" s="1307" t="s">
        <v>867</v>
      </c>
      <c r="AAM4" s="1308" t="s">
        <v>990</v>
      </c>
      <c r="AAN4" s="1304" t="s">
        <v>578</v>
      </c>
      <c r="AAO4" s="1307" t="s">
        <v>862</v>
      </c>
      <c r="AAP4" s="1307" t="s">
        <v>863</v>
      </c>
      <c r="AAQ4" s="1307" t="s">
        <v>864</v>
      </c>
      <c r="AAR4" s="1307" t="s">
        <v>884</v>
      </c>
      <c r="AAS4" s="1307" t="s">
        <v>866</v>
      </c>
      <c r="AAT4" s="1307" t="s">
        <v>867</v>
      </c>
      <c r="AAU4" s="1308" t="s">
        <v>990</v>
      </c>
      <c r="AAV4" s="1304" t="s">
        <v>578</v>
      </c>
      <c r="AAW4" s="1307" t="s">
        <v>862</v>
      </c>
      <c r="AAX4" s="1307" t="s">
        <v>863</v>
      </c>
      <c r="AAY4" s="1307" t="s">
        <v>864</v>
      </c>
      <c r="AAZ4" s="1307" t="s">
        <v>884</v>
      </c>
      <c r="ABA4" s="1307" t="s">
        <v>866</v>
      </c>
      <c r="ABB4" s="1307" t="s">
        <v>867</v>
      </c>
      <c r="ABC4" s="1308" t="s">
        <v>990</v>
      </c>
      <c r="ABD4" s="1304" t="s">
        <v>578</v>
      </c>
      <c r="ABE4" s="1307" t="s">
        <v>862</v>
      </c>
      <c r="ABF4" s="1307" t="s">
        <v>863</v>
      </c>
      <c r="ABG4" s="1307" t="s">
        <v>864</v>
      </c>
      <c r="ABH4" s="1307" t="s">
        <v>884</v>
      </c>
      <c r="ABI4" s="1307" t="s">
        <v>866</v>
      </c>
      <c r="ABJ4" s="1307" t="s">
        <v>867</v>
      </c>
      <c r="ABK4" s="1308" t="s">
        <v>990</v>
      </c>
      <c r="ABL4" s="1304" t="s">
        <v>578</v>
      </c>
      <c r="ABM4" s="1307" t="s">
        <v>862</v>
      </c>
      <c r="ABN4" s="1307" t="s">
        <v>863</v>
      </c>
      <c r="ABO4" s="1307" t="s">
        <v>864</v>
      </c>
      <c r="ABP4" s="1307" t="s">
        <v>884</v>
      </c>
      <c r="ABQ4" s="1307" t="s">
        <v>866</v>
      </c>
      <c r="ABR4" s="1307" t="s">
        <v>867</v>
      </c>
      <c r="ABS4" s="1308" t="s">
        <v>990</v>
      </c>
      <c r="ABT4" s="1304" t="s">
        <v>578</v>
      </c>
      <c r="ABU4" s="1307" t="s">
        <v>862</v>
      </c>
      <c r="ABV4" s="1307" t="s">
        <v>863</v>
      </c>
      <c r="ABW4" s="1307" t="s">
        <v>864</v>
      </c>
      <c r="ABX4" s="1307" t="s">
        <v>884</v>
      </c>
      <c r="ABY4" s="1307" t="s">
        <v>866</v>
      </c>
      <c r="ABZ4" s="1307" t="s">
        <v>867</v>
      </c>
      <c r="ACA4" s="1308" t="s">
        <v>990</v>
      </c>
      <c r="ACB4" s="1304" t="s">
        <v>578</v>
      </c>
      <c r="ACC4" s="1307" t="s">
        <v>862</v>
      </c>
      <c r="ACD4" s="1307" t="s">
        <v>863</v>
      </c>
      <c r="ACE4" s="1307" t="s">
        <v>864</v>
      </c>
      <c r="ACF4" s="1307" t="s">
        <v>884</v>
      </c>
      <c r="ACG4" s="1307" t="s">
        <v>866</v>
      </c>
      <c r="ACH4" s="1307" t="s">
        <v>867</v>
      </c>
      <c r="ACI4" s="1308" t="s">
        <v>990</v>
      </c>
      <c r="ACJ4" s="1304" t="s">
        <v>578</v>
      </c>
      <c r="ACK4" s="1307" t="s">
        <v>862</v>
      </c>
      <c r="ACL4" s="1307" t="s">
        <v>863</v>
      </c>
      <c r="ACM4" s="1307" t="s">
        <v>864</v>
      </c>
      <c r="ACN4" s="1307" t="s">
        <v>884</v>
      </c>
      <c r="ACO4" s="1307" t="s">
        <v>866</v>
      </c>
      <c r="ACP4" s="1307" t="s">
        <v>867</v>
      </c>
      <c r="ACQ4" s="1308" t="s">
        <v>990</v>
      </c>
      <c r="ACR4" s="1304" t="s">
        <v>578</v>
      </c>
      <c r="ACS4" s="1307" t="s">
        <v>862</v>
      </c>
      <c r="ACT4" s="1307" t="s">
        <v>863</v>
      </c>
      <c r="ACU4" s="1307" t="s">
        <v>864</v>
      </c>
      <c r="ACV4" s="1307" t="s">
        <v>884</v>
      </c>
      <c r="ACW4" s="1307" t="s">
        <v>866</v>
      </c>
      <c r="ACX4" s="1307" t="s">
        <v>867</v>
      </c>
      <c r="ACY4" s="1308" t="s">
        <v>990</v>
      </c>
      <c r="ACZ4" s="1304" t="s">
        <v>578</v>
      </c>
      <c r="ADA4" s="1307" t="s">
        <v>862</v>
      </c>
      <c r="ADB4" s="1307" t="s">
        <v>863</v>
      </c>
      <c r="ADC4" s="1307" t="s">
        <v>864</v>
      </c>
      <c r="ADD4" s="1307" t="s">
        <v>884</v>
      </c>
      <c r="ADE4" s="1307" t="s">
        <v>866</v>
      </c>
      <c r="ADF4" s="1307" t="s">
        <v>867</v>
      </c>
      <c r="ADG4" s="1308" t="s">
        <v>990</v>
      </c>
      <c r="ADH4" s="1304" t="s">
        <v>578</v>
      </c>
      <c r="ADI4" s="1307" t="s">
        <v>862</v>
      </c>
      <c r="ADJ4" s="1307" t="s">
        <v>863</v>
      </c>
      <c r="ADK4" s="1307" t="s">
        <v>864</v>
      </c>
      <c r="ADL4" s="1307" t="s">
        <v>884</v>
      </c>
      <c r="ADM4" s="1307" t="s">
        <v>866</v>
      </c>
      <c r="ADN4" s="1307" t="s">
        <v>867</v>
      </c>
      <c r="ADO4" s="1308" t="s">
        <v>990</v>
      </c>
      <c r="ADP4" s="1304" t="s">
        <v>578</v>
      </c>
      <c r="ADQ4" s="1307" t="s">
        <v>862</v>
      </c>
      <c r="ADR4" s="1307" t="s">
        <v>863</v>
      </c>
      <c r="ADS4" s="1307" t="s">
        <v>864</v>
      </c>
      <c r="ADT4" s="1307" t="s">
        <v>884</v>
      </c>
      <c r="ADU4" s="1307" t="s">
        <v>866</v>
      </c>
      <c r="ADV4" s="1307" t="s">
        <v>867</v>
      </c>
      <c r="ADW4" s="1308" t="s">
        <v>990</v>
      </c>
      <c r="ADX4" s="1304" t="s">
        <v>578</v>
      </c>
      <c r="ADY4" s="1307" t="s">
        <v>862</v>
      </c>
      <c r="ADZ4" s="1307" t="s">
        <v>863</v>
      </c>
      <c r="AEA4" s="1307" t="s">
        <v>864</v>
      </c>
      <c r="AEB4" s="1307" t="s">
        <v>884</v>
      </c>
      <c r="AEC4" s="1307" t="s">
        <v>866</v>
      </c>
      <c r="AED4" s="1307" t="s">
        <v>867</v>
      </c>
      <c r="AEE4" s="1308" t="s">
        <v>990</v>
      </c>
      <c r="AEF4" s="1304" t="s">
        <v>578</v>
      </c>
      <c r="AEG4" s="1307" t="s">
        <v>862</v>
      </c>
      <c r="AEH4" s="1307" t="s">
        <v>863</v>
      </c>
      <c r="AEI4" s="1307" t="s">
        <v>864</v>
      </c>
      <c r="AEJ4" s="1307" t="s">
        <v>884</v>
      </c>
      <c r="AEK4" s="1307" t="s">
        <v>866</v>
      </c>
      <c r="AEL4" s="1307" t="s">
        <v>867</v>
      </c>
      <c r="AEM4" s="1308" t="s">
        <v>990</v>
      </c>
      <c r="AEN4" s="1304" t="s">
        <v>578</v>
      </c>
      <c r="AEO4" s="1307" t="s">
        <v>862</v>
      </c>
      <c r="AEP4" s="1307" t="s">
        <v>863</v>
      </c>
      <c r="AEQ4" s="1307" t="s">
        <v>864</v>
      </c>
      <c r="AER4" s="1307" t="s">
        <v>884</v>
      </c>
      <c r="AES4" s="1307" t="s">
        <v>866</v>
      </c>
      <c r="AET4" s="1307" t="s">
        <v>867</v>
      </c>
      <c r="AEU4" s="1308" t="s">
        <v>990</v>
      </c>
      <c r="AEV4" s="1304" t="s">
        <v>578</v>
      </c>
      <c r="AEW4" s="1307" t="s">
        <v>862</v>
      </c>
      <c r="AEX4" s="1307" t="s">
        <v>863</v>
      </c>
      <c r="AEY4" s="1307" t="s">
        <v>864</v>
      </c>
      <c r="AEZ4" s="1307" t="s">
        <v>884</v>
      </c>
      <c r="AFA4" s="1307" t="s">
        <v>866</v>
      </c>
      <c r="AFB4" s="1307" t="s">
        <v>867</v>
      </c>
      <c r="AFC4" s="1308" t="s">
        <v>990</v>
      </c>
      <c r="AFD4" s="1304" t="s">
        <v>578</v>
      </c>
      <c r="AFE4" s="1307" t="s">
        <v>862</v>
      </c>
      <c r="AFF4" s="1307" t="s">
        <v>863</v>
      </c>
      <c r="AFG4" s="1307" t="s">
        <v>864</v>
      </c>
      <c r="AFH4" s="1307" t="s">
        <v>884</v>
      </c>
      <c r="AFI4" s="1307" t="s">
        <v>866</v>
      </c>
      <c r="AFJ4" s="1307" t="s">
        <v>867</v>
      </c>
      <c r="AFK4" s="1308" t="s">
        <v>990</v>
      </c>
      <c r="AFL4" s="1305" t="s">
        <v>578</v>
      </c>
      <c r="AFM4" s="1307" t="s">
        <v>862</v>
      </c>
      <c r="AFN4" s="1307" t="s">
        <v>863</v>
      </c>
      <c r="AFO4" s="1307" t="s">
        <v>864</v>
      </c>
      <c r="AFP4" s="1307" t="s">
        <v>884</v>
      </c>
      <c r="AFQ4" s="1307" t="s">
        <v>866</v>
      </c>
      <c r="AFR4" s="1307" t="s">
        <v>867</v>
      </c>
      <c r="AFS4" s="1307" t="s">
        <v>990</v>
      </c>
      <c r="AFT4" s="1304" t="s">
        <v>578</v>
      </c>
      <c r="AFU4" s="1307" t="s">
        <v>862</v>
      </c>
      <c r="AFV4" s="1307" t="s">
        <v>863</v>
      </c>
      <c r="AFW4" s="1307" t="s">
        <v>864</v>
      </c>
      <c r="AFX4" s="1307" t="s">
        <v>884</v>
      </c>
      <c r="AFY4" s="1307" t="s">
        <v>866</v>
      </c>
      <c r="AFZ4" s="1307" t="s">
        <v>867</v>
      </c>
      <c r="AGA4" s="1308" t="s">
        <v>990</v>
      </c>
      <c r="AGB4" s="1305" t="s">
        <v>578</v>
      </c>
      <c r="AGC4" s="1307" t="s">
        <v>862</v>
      </c>
      <c r="AGD4" s="1307" t="s">
        <v>863</v>
      </c>
      <c r="AGE4" s="1307" t="s">
        <v>864</v>
      </c>
      <c r="AGF4" s="1307" t="s">
        <v>884</v>
      </c>
      <c r="AGG4" s="1307" t="s">
        <v>866</v>
      </c>
      <c r="AGH4" s="1307" t="s">
        <v>867</v>
      </c>
      <c r="AGI4" s="1307" t="s">
        <v>990</v>
      </c>
      <c r="AGJ4" s="1304" t="s">
        <v>578</v>
      </c>
      <c r="AGK4" s="1307" t="s">
        <v>862</v>
      </c>
      <c r="AGL4" s="1307" t="s">
        <v>863</v>
      </c>
      <c r="AGM4" s="1307" t="s">
        <v>864</v>
      </c>
      <c r="AGN4" s="1307" t="s">
        <v>884</v>
      </c>
      <c r="AGO4" s="1307" t="s">
        <v>866</v>
      </c>
      <c r="AGP4" s="1307" t="s">
        <v>867</v>
      </c>
      <c r="AGQ4" s="1308" t="s">
        <v>990</v>
      </c>
      <c r="AGR4" s="1304" t="s">
        <v>578</v>
      </c>
      <c r="AGS4" s="1307" t="s">
        <v>862</v>
      </c>
      <c r="AGT4" s="1307" t="s">
        <v>863</v>
      </c>
      <c r="AGU4" s="1307" t="s">
        <v>864</v>
      </c>
      <c r="AGV4" s="1307" t="s">
        <v>884</v>
      </c>
      <c r="AGW4" s="1307" t="s">
        <v>866</v>
      </c>
      <c r="AGX4" s="1307" t="s">
        <v>867</v>
      </c>
      <c r="AGY4" s="1308" t="s">
        <v>990</v>
      </c>
      <c r="AGZ4" s="1304" t="s">
        <v>578</v>
      </c>
      <c r="AHA4" s="1307" t="s">
        <v>862</v>
      </c>
      <c r="AHB4" s="1307" t="s">
        <v>863</v>
      </c>
      <c r="AHC4" s="1307" t="s">
        <v>864</v>
      </c>
      <c r="AHD4" s="1307" t="s">
        <v>884</v>
      </c>
      <c r="AHE4" s="1307" t="s">
        <v>866</v>
      </c>
      <c r="AHF4" s="1307" t="s">
        <v>867</v>
      </c>
      <c r="AHG4" s="1308" t="s">
        <v>990</v>
      </c>
      <c r="AHH4" s="1304" t="s">
        <v>578</v>
      </c>
      <c r="AHI4" s="1307" t="s">
        <v>862</v>
      </c>
      <c r="AHJ4" s="1307" t="s">
        <v>863</v>
      </c>
      <c r="AHK4" s="1307" t="s">
        <v>864</v>
      </c>
      <c r="AHL4" s="1307" t="s">
        <v>884</v>
      </c>
      <c r="AHM4" s="1307" t="s">
        <v>866</v>
      </c>
      <c r="AHN4" s="1307" t="s">
        <v>867</v>
      </c>
      <c r="AHO4" s="1308" t="s">
        <v>990</v>
      </c>
      <c r="AHP4" s="1304" t="s">
        <v>578</v>
      </c>
      <c r="AHQ4" s="1307" t="s">
        <v>862</v>
      </c>
      <c r="AHR4" s="1307" t="s">
        <v>863</v>
      </c>
      <c r="AHS4" s="1307" t="s">
        <v>864</v>
      </c>
      <c r="AHT4" s="1307" t="s">
        <v>884</v>
      </c>
      <c r="AHU4" s="1307" t="s">
        <v>866</v>
      </c>
      <c r="AHV4" s="1307" t="s">
        <v>867</v>
      </c>
      <c r="AHW4" s="1308" t="s">
        <v>990</v>
      </c>
      <c r="AHX4" s="1304" t="s">
        <v>578</v>
      </c>
      <c r="AHY4" s="1307" t="s">
        <v>862</v>
      </c>
      <c r="AHZ4" s="1307" t="s">
        <v>863</v>
      </c>
      <c r="AIA4" s="1307" t="s">
        <v>864</v>
      </c>
      <c r="AIB4" s="1307" t="s">
        <v>884</v>
      </c>
      <c r="AIC4" s="1307" t="s">
        <v>866</v>
      </c>
      <c r="AID4" s="1307" t="s">
        <v>867</v>
      </c>
      <c r="AIE4" s="1308" t="s">
        <v>990</v>
      </c>
      <c r="AIF4" s="1304" t="s">
        <v>578</v>
      </c>
      <c r="AIG4" s="1307" t="s">
        <v>862</v>
      </c>
      <c r="AIH4" s="1307" t="s">
        <v>863</v>
      </c>
      <c r="AII4" s="1307" t="s">
        <v>864</v>
      </c>
      <c r="AIJ4" s="1307" t="s">
        <v>884</v>
      </c>
      <c r="AIK4" s="1307" t="s">
        <v>866</v>
      </c>
      <c r="AIL4" s="1307" t="s">
        <v>867</v>
      </c>
      <c r="AIM4" s="1308" t="s">
        <v>990</v>
      </c>
      <c r="AIN4" s="1304" t="s">
        <v>578</v>
      </c>
      <c r="AIO4" s="1307" t="s">
        <v>862</v>
      </c>
      <c r="AIP4" s="1307" t="s">
        <v>863</v>
      </c>
      <c r="AIQ4" s="1307" t="s">
        <v>864</v>
      </c>
      <c r="AIR4" s="1307" t="s">
        <v>884</v>
      </c>
      <c r="AIS4" s="1307" t="s">
        <v>866</v>
      </c>
      <c r="AIT4" s="1307" t="s">
        <v>867</v>
      </c>
      <c r="AIU4" s="1308" t="s">
        <v>990</v>
      </c>
      <c r="AIV4" s="1304" t="s">
        <v>578</v>
      </c>
      <c r="AIW4" s="1307" t="s">
        <v>862</v>
      </c>
      <c r="AIX4" s="1307" t="s">
        <v>863</v>
      </c>
      <c r="AIY4" s="1307" t="s">
        <v>864</v>
      </c>
      <c r="AIZ4" s="1307" t="s">
        <v>884</v>
      </c>
      <c r="AJA4" s="1307" t="s">
        <v>866</v>
      </c>
      <c r="AJB4" s="1307" t="s">
        <v>867</v>
      </c>
      <c r="AJC4" s="1308" t="s">
        <v>990</v>
      </c>
      <c r="AJD4" s="1304" t="s">
        <v>578</v>
      </c>
      <c r="AJE4" s="1307" t="s">
        <v>862</v>
      </c>
      <c r="AJF4" s="1307" t="s">
        <v>863</v>
      </c>
      <c r="AJG4" s="1307" t="s">
        <v>864</v>
      </c>
      <c r="AJH4" s="1307" t="s">
        <v>884</v>
      </c>
      <c r="AJI4" s="1307" t="s">
        <v>866</v>
      </c>
      <c r="AJJ4" s="1307" t="s">
        <v>867</v>
      </c>
      <c r="AJK4" s="1308" t="s">
        <v>990</v>
      </c>
      <c r="AJL4" s="1304" t="s">
        <v>578</v>
      </c>
      <c r="AJM4" s="1307" t="s">
        <v>862</v>
      </c>
      <c r="AJN4" s="1307" t="s">
        <v>863</v>
      </c>
      <c r="AJO4" s="1307" t="s">
        <v>864</v>
      </c>
      <c r="AJP4" s="1307" t="s">
        <v>884</v>
      </c>
      <c r="AJQ4" s="1307" t="s">
        <v>866</v>
      </c>
      <c r="AJR4" s="1307" t="s">
        <v>867</v>
      </c>
      <c r="AJS4" s="1308" t="s">
        <v>990</v>
      </c>
      <c r="AJT4" s="1204" t="s">
        <v>1649</v>
      </c>
      <c r="AJU4" s="1142" t="s">
        <v>1650</v>
      </c>
      <c r="AJV4" s="1142" t="s">
        <v>1651</v>
      </c>
      <c r="AJW4" s="1205" t="s">
        <v>1652</v>
      </c>
      <c r="AJX4" s="1204" t="s">
        <v>1648</v>
      </c>
      <c r="AJY4" s="1142" t="s">
        <v>1653</v>
      </c>
      <c r="AJZ4" s="1142" t="s">
        <v>1654</v>
      </c>
      <c r="AKA4" s="1142" t="s">
        <v>1655</v>
      </c>
      <c r="AKB4" s="1142" t="s">
        <v>1656</v>
      </c>
      <c r="AKC4" s="1205" t="s">
        <v>1657</v>
      </c>
      <c r="AKD4" s="1304" t="s">
        <v>578</v>
      </c>
      <c r="AKE4" s="1307" t="s">
        <v>862</v>
      </c>
      <c r="AKF4" s="1307" t="s">
        <v>863</v>
      </c>
      <c r="AKG4" s="1307" t="s">
        <v>864</v>
      </c>
      <c r="AKH4" s="1307" t="s">
        <v>884</v>
      </c>
      <c r="AKI4" s="1307" t="s">
        <v>866</v>
      </c>
      <c r="AKJ4" s="1307" t="s">
        <v>867</v>
      </c>
      <c r="AKK4" s="1307" t="s">
        <v>990</v>
      </c>
      <c r="AKL4" s="1304" t="s">
        <v>578</v>
      </c>
      <c r="AKM4" s="1307" t="s">
        <v>862</v>
      </c>
      <c r="AKN4" s="1307" t="s">
        <v>863</v>
      </c>
      <c r="AKO4" s="1307" t="s">
        <v>864</v>
      </c>
      <c r="AKP4" s="1307" t="s">
        <v>884</v>
      </c>
      <c r="AKQ4" s="1307" t="s">
        <v>866</v>
      </c>
      <c r="AKR4" s="1307" t="s">
        <v>867</v>
      </c>
      <c r="AKS4" s="1308" t="s">
        <v>990</v>
      </c>
      <c r="AKT4" s="1304" t="s">
        <v>578</v>
      </c>
      <c r="AKU4" s="1307" t="s">
        <v>862</v>
      </c>
      <c r="AKV4" s="1307" t="s">
        <v>863</v>
      </c>
      <c r="AKW4" s="1307" t="s">
        <v>864</v>
      </c>
      <c r="AKX4" s="1307" t="s">
        <v>884</v>
      </c>
      <c r="AKY4" s="1307" t="s">
        <v>866</v>
      </c>
      <c r="AKZ4" s="1307" t="s">
        <v>867</v>
      </c>
      <c r="ALA4" s="1308" t="s">
        <v>990</v>
      </c>
      <c r="ALB4" s="1304" t="s">
        <v>578</v>
      </c>
      <c r="ALC4" s="1307" t="s">
        <v>862</v>
      </c>
      <c r="ALD4" s="1307" t="s">
        <v>863</v>
      </c>
      <c r="ALE4" s="1307" t="s">
        <v>864</v>
      </c>
      <c r="ALF4" s="1307" t="s">
        <v>884</v>
      </c>
      <c r="ALG4" s="1307" t="s">
        <v>866</v>
      </c>
      <c r="ALH4" s="1307" t="s">
        <v>867</v>
      </c>
      <c r="ALI4" s="1308" t="s">
        <v>990</v>
      </c>
      <c r="ALJ4" s="1304" t="s">
        <v>578</v>
      </c>
      <c r="ALK4" s="1307" t="s">
        <v>862</v>
      </c>
      <c r="ALL4" s="1307" t="s">
        <v>863</v>
      </c>
      <c r="ALM4" s="1307" t="s">
        <v>864</v>
      </c>
      <c r="ALN4" s="1307" t="s">
        <v>884</v>
      </c>
      <c r="ALO4" s="1307" t="s">
        <v>866</v>
      </c>
      <c r="ALP4" s="1307" t="s">
        <v>867</v>
      </c>
      <c r="ALQ4" s="1308" t="s">
        <v>990</v>
      </c>
      <c r="ALR4" s="1304" t="s">
        <v>578</v>
      </c>
      <c r="ALS4" s="1307" t="s">
        <v>862</v>
      </c>
      <c r="ALT4" s="1307" t="s">
        <v>863</v>
      </c>
      <c r="ALU4" s="1307" t="s">
        <v>864</v>
      </c>
      <c r="ALV4" s="1307" t="s">
        <v>884</v>
      </c>
      <c r="ALW4" s="1307" t="s">
        <v>866</v>
      </c>
      <c r="ALX4" s="1307" t="s">
        <v>867</v>
      </c>
      <c r="ALY4" s="1308" t="s">
        <v>990</v>
      </c>
    </row>
    <row r="5" spans="1:1013" s="74" customFormat="1" ht="30" hidden="1" outlineLevel="1">
      <c r="A5" s="1237" t="s">
        <v>991</v>
      </c>
      <c r="B5" s="1174" t="s">
        <v>640</v>
      </c>
      <c r="C5" s="1175" t="s">
        <v>640</v>
      </c>
      <c r="D5" s="1176" t="s">
        <v>640</v>
      </c>
      <c r="E5" s="1206" t="s">
        <v>65</v>
      </c>
      <c r="F5" s="1207" t="s">
        <v>65</v>
      </c>
      <c r="G5" s="1208" t="s">
        <v>65</v>
      </c>
      <c r="H5" s="1209" t="s">
        <v>1017</v>
      </c>
      <c r="I5" s="1181" t="s">
        <v>65</v>
      </c>
      <c r="J5" s="1181" t="s">
        <v>65</v>
      </c>
      <c r="K5" s="1181" t="s">
        <v>65</v>
      </c>
      <c r="L5" s="1209" t="s">
        <v>1017</v>
      </c>
      <c r="M5" s="1181" t="s">
        <v>65</v>
      </c>
      <c r="N5" s="1181" t="s">
        <v>65</v>
      </c>
      <c r="O5" s="1182" t="s">
        <v>65</v>
      </c>
      <c r="P5" s="1183" t="s">
        <v>1753</v>
      </c>
      <c r="Q5" s="1184" t="s">
        <v>1692</v>
      </c>
      <c r="R5" s="1210" t="s">
        <v>65</v>
      </c>
      <c r="S5" s="1210" t="s">
        <v>65</v>
      </c>
      <c r="T5" s="1211" t="s">
        <v>65</v>
      </c>
      <c r="U5" s="1210" t="s">
        <v>65</v>
      </c>
      <c r="V5" s="1210" t="s">
        <v>65</v>
      </c>
      <c r="W5" s="1210" t="s">
        <v>65</v>
      </c>
      <c r="X5" s="1210" t="s">
        <v>65</v>
      </c>
      <c r="Y5" s="1211" t="s">
        <v>65</v>
      </c>
      <c r="Z5" s="1210" t="s">
        <v>640</v>
      </c>
      <c r="AA5" s="1210" t="s">
        <v>640</v>
      </c>
      <c r="AB5" s="1210" t="s">
        <v>640</v>
      </c>
      <c r="AC5" s="1210" t="s">
        <v>640</v>
      </c>
      <c r="AD5" s="1211" t="s">
        <v>640</v>
      </c>
      <c r="AE5" s="770" t="s">
        <v>845</v>
      </c>
      <c r="AF5" s="770" t="s">
        <v>845</v>
      </c>
      <c r="AG5" s="770" t="s">
        <v>845</v>
      </c>
      <c r="AH5" s="770" t="s">
        <v>845</v>
      </c>
      <c r="AI5" s="1184" t="s">
        <v>1697</v>
      </c>
      <c r="AJ5" s="770" t="s">
        <v>845</v>
      </c>
      <c r="AK5" s="770" t="s">
        <v>845</v>
      </c>
      <c r="AL5" s="770" t="s">
        <v>845</v>
      </c>
      <c r="AM5" s="770" t="s">
        <v>845</v>
      </c>
      <c r="AN5" s="770" t="s">
        <v>1697</v>
      </c>
      <c r="AO5" s="771" t="s">
        <v>65</v>
      </c>
      <c r="AP5" s="770" t="s">
        <v>65</v>
      </c>
      <c r="AQ5" s="770" t="s">
        <v>65</v>
      </c>
      <c r="AR5" s="770" t="s">
        <v>65</v>
      </c>
      <c r="AS5" s="770" t="s">
        <v>65</v>
      </c>
      <c r="AT5" s="770" t="s">
        <v>65</v>
      </c>
      <c r="AU5" s="770" t="s">
        <v>65</v>
      </c>
      <c r="AV5" s="771" t="s">
        <v>65</v>
      </c>
      <c r="AW5" s="770" t="s">
        <v>65</v>
      </c>
      <c r="AX5" s="770" t="s">
        <v>65</v>
      </c>
      <c r="AY5" s="770" t="s">
        <v>65</v>
      </c>
      <c r="AZ5" s="770" t="s">
        <v>65</v>
      </c>
      <c r="BA5" s="1183" t="s">
        <v>1753</v>
      </c>
      <c r="BB5" s="770"/>
      <c r="BC5" s="1190" t="s">
        <v>65</v>
      </c>
      <c r="BD5" s="1190" t="s">
        <v>65</v>
      </c>
      <c r="BE5" s="1190" t="s">
        <v>65</v>
      </c>
      <c r="BF5" s="770" t="s">
        <v>2647</v>
      </c>
      <c r="BG5" s="1184" t="s">
        <v>2647</v>
      </c>
      <c r="BH5" s="770" t="s">
        <v>65</v>
      </c>
      <c r="BI5" s="770" t="s">
        <v>65</v>
      </c>
      <c r="BJ5" s="770" t="s">
        <v>65</v>
      </c>
      <c r="BK5" s="770" t="s">
        <v>65</v>
      </c>
      <c r="BL5" s="770" t="s">
        <v>65</v>
      </c>
      <c r="BM5" s="770" t="s">
        <v>65</v>
      </c>
      <c r="BN5" s="770" t="s">
        <v>65</v>
      </c>
      <c r="BO5" s="770" t="s">
        <v>65</v>
      </c>
      <c r="BP5" s="770" t="s">
        <v>65</v>
      </c>
      <c r="BQ5" s="770" t="s">
        <v>65</v>
      </c>
      <c r="BR5" s="770" t="s">
        <v>65</v>
      </c>
      <c r="BS5" s="770" t="s">
        <v>65</v>
      </c>
      <c r="BT5" s="770" t="s">
        <v>65</v>
      </c>
      <c r="BU5" s="770" t="s">
        <v>65</v>
      </c>
      <c r="BV5" s="1184" t="s">
        <v>65</v>
      </c>
      <c r="BW5" s="770" t="s">
        <v>2647</v>
      </c>
      <c r="BX5" s="770" t="s">
        <v>2647</v>
      </c>
      <c r="BY5" s="770" t="s">
        <v>2647</v>
      </c>
      <c r="BZ5" s="770" t="s">
        <v>2647</v>
      </c>
      <c r="CA5" s="770" t="s">
        <v>2647</v>
      </c>
      <c r="CB5" s="770" t="s">
        <v>2647</v>
      </c>
      <c r="CC5" s="770" t="s">
        <v>2647</v>
      </c>
      <c r="CD5" s="770" t="s">
        <v>2647</v>
      </c>
      <c r="CE5" s="770" t="s">
        <v>2647</v>
      </c>
      <c r="CF5" s="770" t="s">
        <v>2647</v>
      </c>
      <c r="CG5" s="770" t="s">
        <v>2647</v>
      </c>
      <c r="CH5" s="770" t="s">
        <v>2647</v>
      </c>
      <c r="CI5" s="770" t="s">
        <v>2647</v>
      </c>
      <c r="CJ5" s="770" t="s">
        <v>2647</v>
      </c>
      <c r="CK5" s="770" t="s">
        <v>2043</v>
      </c>
      <c r="CL5" s="771" t="s">
        <v>2647</v>
      </c>
      <c r="CM5" s="770" t="s">
        <v>2647</v>
      </c>
      <c r="CN5" s="770" t="s">
        <v>2647</v>
      </c>
      <c r="CO5" s="770" t="s">
        <v>2647</v>
      </c>
      <c r="CP5" s="770" t="s">
        <v>2647</v>
      </c>
      <c r="CQ5" s="770" t="s">
        <v>2647</v>
      </c>
      <c r="CR5" s="770" t="s">
        <v>2647</v>
      </c>
      <c r="CS5" s="770" t="s">
        <v>2647</v>
      </c>
      <c r="CT5" s="770" t="s">
        <v>2647</v>
      </c>
      <c r="CU5" s="770" t="s">
        <v>2647</v>
      </c>
      <c r="CV5" s="770" t="s">
        <v>2647</v>
      </c>
      <c r="CW5" s="770" t="s">
        <v>2647</v>
      </c>
      <c r="CX5" s="770" t="s">
        <v>2647</v>
      </c>
      <c r="CY5" s="770" t="s">
        <v>2647</v>
      </c>
      <c r="CZ5" s="770" t="s">
        <v>2043</v>
      </c>
      <c r="DA5" s="1212" t="s">
        <v>640</v>
      </c>
      <c r="DB5" s="1190" t="s">
        <v>640</v>
      </c>
      <c r="DC5" s="1190" t="s">
        <v>640</v>
      </c>
      <c r="DD5" s="1190" t="s">
        <v>640</v>
      </c>
      <c r="DE5" s="1190" t="s">
        <v>640</v>
      </c>
      <c r="DF5" s="771" t="s">
        <v>65</v>
      </c>
      <c r="DG5" s="770" t="s">
        <v>65</v>
      </c>
      <c r="DH5" s="770" t="s">
        <v>65</v>
      </c>
      <c r="DI5" s="770" t="s">
        <v>65</v>
      </c>
      <c r="DJ5" s="770" t="s">
        <v>65</v>
      </c>
      <c r="DK5" s="769" t="s">
        <v>1753</v>
      </c>
      <c r="DL5" s="770" t="s">
        <v>1692</v>
      </c>
      <c r="DM5" s="770" t="s">
        <v>1697</v>
      </c>
      <c r="DN5" s="1190" t="s">
        <v>65</v>
      </c>
      <c r="DO5" s="1190" t="s">
        <v>65</v>
      </c>
      <c r="DP5" s="1190" t="s">
        <v>65</v>
      </c>
      <c r="DQ5" s="1212"/>
      <c r="DR5" s="1190"/>
      <c r="DS5" s="1190"/>
      <c r="DT5" s="1190"/>
      <c r="DU5" s="1190"/>
      <c r="DV5" s="1190"/>
      <c r="DW5" s="1190"/>
      <c r="DX5" s="1212" t="s">
        <v>2544</v>
      </c>
      <c r="DY5" s="1190" t="s">
        <v>2544</v>
      </c>
      <c r="DZ5" s="1190" t="s">
        <v>2544</v>
      </c>
      <c r="EA5" s="1190" t="s">
        <v>2544</v>
      </c>
      <c r="EB5" s="1190" t="s">
        <v>2544</v>
      </c>
      <c r="EC5" s="1190" t="s">
        <v>2544</v>
      </c>
      <c r="ED5" s="1213" t="s">
        <v>2544</v>
      </c>
      <c r="EE5" s="770" t="s">
        <v>1753</v>
      </c>
      <c r="EF5" s="770" t="s">
        <v>1692</v>
      </c>
      <c r="EG5" s="770" t="s">
        <v>1697</v>
      </c>
      <c r="EH5" s="1190" t="s">
        <v>65</v>
      </c>
      <c r="EI5" s="1190" t="s">
        <v>65</v>
      </c>
      <c r="EJ5" s="1190" t="s">
        <v>65</v>
      </c>
      <c r="EK5" s="1187"/>
      <c r="EL5" s="1190"/>
      <c r="EM5" s="1190"/>
      <c r="EN5" s="1190"/>
      <c r="EO5" s="1190"/>
      <c r="EP5" s="1190"/>
      <c r="EQ5" s="1190"/>
      <c r="ER5" s="1190"/>
      <c r="ES5" s="1190"/>
      <c r="ET5" s="1190"/>
      <c r="EU5" s="1190"/>
      <c r="EV5" s="1190"/>
      <c r="EW5" s="1190"/>
      <c r="EX5" s="1190"/>
      <c r="EY5" s="1190"/>
      <c r="EZ5" s="1190"/>
      <c r="FA5" s="1190"/>
      <c r="FB5" s="1190"/>
      <c r="FC5" s="1190"/>
      <c r="FD5" s="1190"/>
      <c r="FE5" s="1190"/>
      <c r="FF5" s="1190"/>
      <c r="FG5" s="1190"/>
      <c r="FH5" s="1190"/>
      <c r="FI5" s="1190"/>
      <c r="FJ5" s="1190"/>
      <c r="FK5" s="1190"/>
      <c r="FL5" s="1190"/>
      <c r="FM5" s="1190"/>
      <c r="FN5" s="1190"/>
      <c r="FO5" s="1190"/>
      <c r="FP5" s="1190"/>
      <c r="FQ5" s="1190"/>
      <c r="FR5" s="1190"/>
      <c r="FS5" s="1190"/>
      <c r="FT5" s="1190"/>
      <c r="FU5" s="1190"/>
      <c r="FV5" s="1190"/>
      <c r="FW5" s="1190"/>
      <c r="FX5" s="1190"/>
      <c r="FY5" s="1190"/>
      <c r="FZ5" s="1190"/>
      <c r="GA5" s="1190"/>
      <c r="GB5" s="1190"/>
      <c r="GC5" s="1190"/>
      <c r="GD5" s="1190"/>
      <c r="GE5" s="1190"/>
      <c r="GF5" s="1190"/>
      <c r="GG5" s="1190"/>
      <c r="GH5" s="1190"/>
      <c r="GI5" s="1190"/>
      <c r="GJ5" s="1190"/>
      <c r="GK5" s="1190"/>
      <c r="GL5" s="1190"/>
      <c r="GM5" s="1190"/>
      <c r="GN5" s="1190"/>
      <c r="GO5" s="1190"/>
      <c r="GP5" s="1190"/>
      <c r="GQ5" s="1212" t="s">
        <v>2544</v>
      </c>
      <c r="GR5" s="1190" t="s">
        <v>2544</v>
      </c>
      <c r="GS5" s="1190" t="s">
        <v>2544</v>
      </c>
      <c r="GT5" s="1190" t="s">
        <v>2544</v>
      </c>
      <c r="GU5" s="1190" t="s">
        <v>2544</v>
      </c>
      <c r="GV5" s="1190" t="s">
        <v>2544</v>
      </c>
      <c r="GW5" s="1190" t="s">
        <v>2544</v>
      </c>
      <c r="GX5" s="1190" t="s">
        <v>2544</v>
      </c>
      <c r="GY5" s="1190" t="s">
        <v>2544</v>
      </c>
      <c r="GZ5" s="1190" t="s">
        <v>2544</v>
      </c>
      <c r="HA5" s="1190" t="s">
        <v>2544</v>
      </c>
      <c r="HB5" s="1190" t="s">
        <v>2544</v>
      </c>
      <c r="HC5" s="1190" t="s">
        <v>2544</v>
      </c>
      <c r="HD5" s="1190" t="s">
        <v>2544</v>
      </c>
      <c r="HE5" s="1190" t="s">
        <v>2544</v>
      </c>
      <c r="HF5" s="1190" t="s">
        <v>2544</v>
      </c>
      <c r="HG5" s="1190" t="s">
        <v>2544</v>
      </c>
      <c r="HH5" s="1190" t="s">
        <v>2544</v>
      </c>
      <c r="HI5" s="1190" t="s">
        <v>2544</v>
      </c>
      <c r="HJ5" s="1190" t="s">
        <v>2544</v>
      </c>
      <c r="HK5" s="1190" t="s">
        <v>2544</v>
      </c>
      <c r="HL5" s="1190" t="s">
        <v>2544</v>
      </c>
      <c r="HM5" s="1190" t="s">
        <v>2544</v>
      </c>
      <c r="HN5" s="1190" t="s">
        <v>2544</v>
      </c>
      <c r="HO5" s="1190" t="s">
        <v>2544</v>
      </c>
      <c r="HP5" s="1190" t="s">
        <v>2544</v>
      </c>
      <c r="HQ5" s="1190" t="s">
        <v>2544</v>
      </c>
      <c r="HR5" s="1190" t="s">
        <v>2544</v>
      </c>
      <c r="HS5" s="1190" t="s">
        <v>2544</v>
      </c>
      <c r="HT5" s="1190" t="s">
        <v>2544</v>
      </c>
      <c r="HU5" s="1190" t="s">
        <v>2544</v>
      </c>
      <c r="HV5" s="1190" t="s">
        <v>2544</v>
      </c>
      <c r="HW5" s="1190" t="s">
        <v>2544</v>
      </c>
      <c r="HX5" s="1190" t="s">
        <v>2544</v>
      </c>
      <c r="HY5" s="1190" t="s">
        <v>2544</v>
      </c>
      <c r="HZ5" s="1190" t="s">
        <v>2544</v>
      </c>
      <c r="IA5" s="1190" t="s">
        <v>2544</v>
      </c>
      <c r="IB5" s="1190" t="s">
        <v>2544</v>
      </c>
      <c r="IC5" s="1190" t="s">
        <v>2544</v>
      </c>
      <c r="ID5" s="1190" t="s">
        <v>2544</v>
      </c>
      <c r="IE5" s="1190" t="s">
        <v>2544</v>
      </c>
      <c r="IF5" s="1190" t="s">
        <v>2544</v>
      </c>
      <c r="IG5" s="1190" t="s">
        <v>2544</v>
      </c>
      <c r="IH5" s="1190" t="s">
        <v>2544</v>
      </c>
      <c r="II5" s="1190" t="s">
        <v>2544</v>
      </c>
      <c r="IJ5" s="1190" t="s">
        <v>2544</v>
      </c>
      <c r="IK5" s="1190" t="s">
        <v>2544</v>
      </c>
      <c r="IL5" s="1190" t="s">
        <v>2544</v>
      </c>
      <c r="IM5" s="1190" t="s">
        <v>2544</v>
      </c>
      <c r="IN5" s="1190" t="s">
        <v>2544</v>
      </c>
      <c r="IO5" s="1190" t="s">
        <v>2544</v>
      </c>
      <c r="IP5" s="1190" t="s">
        <v>2544</v>
      </c>
      <c r="IQ5" s="1190" t="s">
        <v>2544</v>
      </c>
      <c r="IR5" s="1190" t="s">
        <v>2544</v>
      </c>
      <c r="IS5" s="1190" t="s">
        <v>2544</v>
      </c>
      <c r="IT5" s="1190" t="s">
        <v>2544</v>
      </c>
      <c r="IU5" s="1190" t="s">
        <v>2544</v>
      </c>
      <c r="IV5" s="1190" t="s">
        <v>2544</v>
      </c>
      <c r="IW5" s="769" t="s">
        <v>1753</v>
      </c>
      <c r="IX5" s="770" t="s">
        <v>1692</v>
      </c>
      <c r="IY5" s="770" t="s">
        <v>3068</v>
      </c>
      <c r="IZ5" s="770" t="s">
        <v>2591</v>
      </c>
      <c r="JA5" s="770" t="s">
        <v>65</v>
      </c>
      <c r="JB5" s="773" t="s">
        <v>65</v>
      </c>
      <c r="JC5" s="773" t="s">
        <v>65</v>
      </c>
      <c r="JD5" s="1309" t="s">
        <v>65</v>
      </c>
      <c r="JE5" s="770" t="s">
        <v>233</v>
      </c>
      <c r="JF5" s="770" t="s">
        <v>234</v>
      </c>
      <c r="JG5" s="770" t="s">
        <v>235</v>
      </c>
      <c r="JH5" s="770" t="s">
        <v>236</v>
      </c>
      <c r="JI5" s="1191" t="s">
        <v>237</v>
      </c>
      <c r="JJ5" s="769" t="s">
        <v>1674</v>
      </c>
      <c r="JK5" s="770" t="s">
        <v>2647</v>
      </c>
      <c r="JL5" s="770" t="s">
        <v>1697</v>
      </c>
      <c r="JM5" s="773" t="s">
        <v>65</v>
      </c>
      <c r="JN5" s="773" t="s">
        <v>65</v>
      </c>
      <c r="JO5" s="773" t="s">
        <v>65</v>
      </c>
      <c r="JP5" s="773" t="s">
        <v>65</v>
      </c>
      <c r="JQ5" s="1214" t="s">
        <v>640</v>
      </c>
      <c r="JR5" s="1210" t="s">
        <v>640</v>
      </c>
      <c r="JS5" s="1210" t="s">
        <v>640</v>
      </c>
      <c r="JT5" s="1210" t="s">
        <v>640</v>
      </c>
      <c r="JU5" s="1210" t="s">
        <v>640</v>
      </c>
      <c r="JV5" s="1215"/>
      <c r="JW5" s="769" t="s">
        <v>1674</v>
      </c>
      <c r="JX5" s="770" t="s">
        <v>2621</v>
      </c>
      <c r="JY5" s="773" t="s">
        <v>65</v>
      </c>
      <c r="JZ5" s="773" t="s">
        <v>65</v>
      </c>
      <c r="KA5" s="773" t="s">
        <v>65</v>
      </c>
      <c r="KB5" s="774" t="s">
        <v>640</v>
      </c>
      <c r="KC5" s="775" t="s">
        <v>640</v>
      </c>
      <c r="KD5" s="775" t="s">
        <v>640</v>
      </c>
      <c r="KE5" s="775" t="s">
        <v>640</v>
      </c>
      <c r="KF5" s="775" t="s">
        <v>640</v>
      </c>
      <c r="KG5" s="774" t="s">
        <v>65</v>
      </c>
      <c r="KH5" s="775" t="s">
        <v>65</v>
      </c>
      <c r="KI5" s="775" t="s">
        <v>65</v>
      </c>
      <c r="KJ5" s="775" t="s">
        <v>65</v>
      </c>
      <c r="KK5" s="775" t="s">
        <v>65</v>
      </c>
      <c r="KL5" s="775" t="s">
        <v>65</v>
      </c>
      <c r="KM5" s="775" t="s">
        <v>65</v>
      </c>
      <c r="KN5" s="775" t="s">
        <v>65</v>
      </c>
      <c r="KO5" s="775" t="s">
        <v>65</v>
      </c>
      <c r="KP5" s="771" t="s">
        <v>2647</v>
      </c>
      <c r="KQ5" s="770" t="s">
        <v>2647</v>
      </c>
      <c r="KR5" s="770" t="s">
        <v>2647</v>
      </c>
      <c r="KS5" s="770" t="s">
        <v>2647</v>
      </c>
      <c r="KT5" s="770"/>
      <c r="KU5" s="770" t="s">
        <v>2647</v>
      </c>
      <c r="KV5" s="770" t="s">
        <v>2647</v>
      </c>
      <c r="KW5" s="770" t="s">
        <v>2647</v>
      </c>
      <c r="KX5" s="770" t="s">
        <v>2647</v>
      </c>
      <c r="KY5" s="771" t="s">
        <v>2647</v>
      </c>
      <c r="KZ5" s="770" t="s">
        <v>2647</v>
      </c>
      <c r="LA5" s="770" t="s">
        <v>2647</v>
      </c>
      <c r="LB5" s="770" t="s">
        <v>2647</v>
      </c>
      <c r="LC5" s="770"/>
      <c r="LD5" s="770" t="s">
        <v>2647</v>
      </c>
      <c r="LE5" s="770" t="s">
        <v>2647</v>
      </c>
      <c r="LF5" s="770" t="s">
        <v>2647</v>
      </c>
      <c r="LG5" s="770" t="s">
        <v>2647</v>
      </c>
      <c r="LH5" s="771" t="s">
        <v>65</v>
      </c>
      <c r="LI5" s="770" t="s">
        <v>65</v>
      </c>
      <c r="LJ5" s="770" t="s">
        <v>65</v>
      </c>
      <c r="LK5" s="770" t="s">
        <v>65</v>
      </c>
      <c r="LL5" s="770" t="s">
        <v>65</v>
      </c>
      <c r="LM5" s="1192" t="s">
        <v>2676</v>
      </c>
      <c r="LN5" s="769" t="s">
        <v>1674</v>
      </c>
      <c r="LO5" s="770" t="s">
        <v>2621</v>
      </c>
      <c r="LP5" s="782" t="s">
        <v>65</v>
      </c>
      <c r="LQ5" s="782" t="s">
        <v>65</v>
      </c>
      <c r="LR5" s="782" t="s">
        <v>65</v>
      </c>
      <c r="LS5" s="1214" t="s">
        <v>640</v>
      </c>
      <c r="LT5" s="1210" t="s">
        <v>640</v>
      </c>
      <c r="LU5" s="1210" t="s">
        <v>640</v>
      </c>
      <c r="LV5" s="1210" t="s">
        <v>640</v>
      </c>
      <c r="LW5" s="1210" t="s">
        <v>640</v>
      </c>
      <c r="LX5" s="1214" t="s">
        <v>2676</v>
      </c>
      <c r="LY5" s="1216"/>
      <c r="LZ5" s="1217"/>
      <c r="MA5" s="1210"/>
      <c r="MB5" s="1210"/>
      <c r="MC5" s="1210"/>
      <c r="MD5" s="1210"/>
      <c r="ME5" s="1214"/>
      <c r="MF5" s="1210"/>
      <c r="MG5" s="1210"/>
      <c r="MH5" s="1210"/>
      <c r="MI5" s="1214"/>
      <c r="MJ5" s="1210"/>
      <c r="MK5" s="1210"/>
      <c r="ML5" s="1210"/>
      <c r="MM5" s="1214"/>
      <c r="MN5" s="1210"/>
      <c r="MO5" s="1210"/>
      <c r="MP5" s="1210"/>
      <c r="MQ5" s="1214"/>
      <c r="MR5" s="1210"/>
      <c r="MS5" s="1210"/>
      <c r="MT5" s="1210"/>
      <c r="MU5" s="781" t="s">
        <v>65</v>
      </c>
      <c r="MV5" s="782" t="s">
        <v>65</v>
      </c>
      <c r="MW5" s="1218" t="s">
        <v>65</v>
      </c>
      <c r="MX5" s="1193"/>
      <c r="MY5" s="1194"/>
      <c r="MZ5" s="1194"/>
      <c r="NA5" s="1195"/>
      <c r="NB5" s="1194"/>
      <c r="NC5" s="1194"/>
      <c r="ND5" s="1194"/>
      <c r="NE5" s="1194"/>
      <c r="NF5" s="1193"/>
      <c r="NG5" s="1194"/>
      <c r="NH5" s="1194"/>
      <c r="NI5" s="1195"/>
      <c r="NJ5" s="1194"/>
      <c r="NK5" s="1194"/>
      <c r="NL5" s="1194"/>
      <c r="NM5" s="1194"/>
      <c r="NN5" s="1193"/>
      <c r="NO5" s="1194"/>
      <c r="NP5" s="1194"/>
      <c r="NQ5" s="1195"/>
      <c r="NR5" s="1193"/>
      <c r="NS5" s="1194"/>
      <c r="NT5" s="1194"/>
      <c r="NU5" s="1195"/>
      <c r="NV5" s="1219"/>
      <c r="NW5" s="1220"/>
      <c r="NX5" s="1220"/>
      <c r="NY5" s="1220"/>
      <c r="NZ5" s="1220"/>
      <c r="OA5" s="1221"/>
      <c r="OB5" s="1220"/>
      <c r="OC5" s="1220"/>
      <c r="OD5" s="1220"/>
      <c r="OE5" s="1220"/>
      <c r="OF5" s="1220"/>
      <c r="OG5" s="1221"/>
      <c r="OH5" s="1222"/>
      <c r="OI5" s="1222"/>
      <c r="OJ5" s="1222"/>
      <c r="OK5" s="1222"/>
      <c r="OL5" s="1222"/>
      <c r="OM5" s="1223"/>
      <c r="ON5" s="1220"/>
      <c r="OO5" s="1220"/>
      <c r="OP5" s="1220"/>
      <c r="OQ5" s="1220"/>
      <c r="OR5" s="1220"/>
      <c r="OS5" s="1221"/>
      <c r="OT5" s="1220"/>
      <c r="OU5" s="1220"/>
      <c r="OV5" s="1220"/>
      <c r="OW5" s="1220"/>
      <c r="OX5" s="1220"/>
      <c r="OY5" s="1221"/>
      <c r="OZ5" s="1220"/>
      <c r="PA5" s="1220"/>
      <c r="PB5" s="1220"/>
      <c r="PC5" s="1220"/>
      <c r="PD5" s="1220"/>
      <c r="PE5" s="1224"/>
      <c r="PF5" s="1219"/>
      <c r="PG5" s="1220"/>
      <c r="PH5" s="1220"/>
      <c r="PI5" s="1220"/>
      <c r="PJ5" s="1220"/>
      <c r="PK5" s="1221"/>
      <c r="PL5" s="1220"/>
      <c r="PM5" s="1220"/>
      <c r="PN5" s="1220"/>
      <c r="PO5" s="1220"/>
      <c r="PP5" s="1220"/>
      <c r="PQ5" s="1221"/>
      <c r="PR5" s="1220"/>
      <c r="PS5" s="1220"/>
      <c r="PT5" s="1220"/>
      <c r="PU5" s="1220"/>
      <c r="PV5" s="1220"/>
      <c r="PW5" s="1221"/>
      <c r="PX5" s="1225"/>
      <c r="PY5" s="1220"/>
      <c r="PZ5" s="1220"/>
      <c r="QA5" s="1220"/>
      <c r="QB5" s="1220"/>
      <c r="QC5" s="1224"/>
      <c r="QD5" s="1219"/>
      <c r="QE5" s="1220"/>
      <c r="QF5" s="1220"/>
      <c r="QG5" s="1220"/>
      <c r="QH5" s="1220"/>
      <c r="QI5" s="1221"/>
      <c r="QJ5" s="1220"/>
      <c r="QK5" s="1220"/>
      <c r="QL5" s="1220"/>
      <c r="QM5" s="1220"/>
      <c r="QN5" s="1220"/>
      <c r="QO5" s="1221"/>
      <c r="QP5" s="1220"/>
      <c r="QQ5" s="1220"/>
      <c r="QR5" s="1220"/>
      <c r="QS5" s="1220"/>
      <c r="QT5" s="1220"/>
      <c r="QU5" s="1221"/>
      <c r="QV5" s="1220"/>
      <c r="QW5" s="1220"/>
      <c r="QX5" s="1220"/>
      <c r="QY5" s="1220"/>
      <c r="QZ5" s="1220"/>
      <c r="RA5" s="1221"/>
      <c r="RB5" s="1220"/>
      <c r="RC5" s="1220"/>
      <c r="RD5" s="1220"/>
      <c r="RE5" s="1220"/>
      <c r="RF5" s="1220"/>
      <c r="RG5" s="1224"/>
      <c r="RH5" s="1219"/>
      <c r="RI5" s="1220"/>
      <c r="RJ5" s="1220"/>
      <c r="RK5" s="1220"/>
      <c r="RL5" s="1220"/>
      <c r="RM5" s="1221"/>
      <c r="RN5" s="1220"/>
      <c r="RO5" s="1220"/>
      <c r="RP5" s="1220"/>
      <c r="RQ5" s="1220"/>
      <c r="RR5" s="1220"/>
      <c r="RS5" s="1221"/>
      <c r="RT5" s="1220"/>
      <c r="RU5" s="1220"/>
      <c r="RV5" s="1220"/>
      <c r="RW5" s="1220"/>
      <c r="RX5" s="1220"/>
      <c r="RY5" s="1221"/>
      <c r="RZ5" s="1220"/>
      <c r="SA5" s="1220"/>
      <c r="SB5" s="1220"/>
      <c r="SC5" s="1220"/>
      <c r="SD5" s="1220"/>
      <c r="SE5" s="1221"/>
      <c r="SF5" s="1220"/>
      <c r="SG5" s="1220"/>
      <c r="SH5" s="1220"/>
      <c r="SI5" s="1220"/>
      <c r="SJ5" s="1220"/>
      <c r="SK5" s="1224"/>
      <c r="SL5" s="1219"/>
      <c r="SM5" s="1220"/>
      <c r="SN5" s="1220"/>
      <c r="SO5" s="1220"/>
      <c r="SP5" s="1220"/>
      <c r="SQ5" s="1221"/>
      <c r="SR5" s="1220"/>
      <c r="SS5" s="1220"/>
      <c r="ST5" s="1220"/>
      <c r="SU5" s="1220"/>
      <c r="SV5" s="1220"/>
      <c r="SW5" s="1221"/>
      <c r="SX5" s="1220"/>
      <c r="SY5" s="1220"/>
      <c r="SZ5" s="1220"/>
      <c r="TA5" s="1220"/>
      <c r="TB5" s="1220"/>
      <c r="TC5" s="1221"/>
      <c r="TD5" s="1220"/>
      <c r="TE5" s="1220"/>
      <c r="TF5" s="1220"/>
      <c r="TG5" s="1220"/>
      <c r="TH5" s="1220"/>
      <c r="TI5" s="1221"/>
      <c r="TJ5" s="1220"/>
      <c r="TK5" s="1220"/>
      <c r="TL5" s="1220"/>
      <c r="TM5" s="1220"/>
      <c r="TN5" s="1220"/>
      <c r="TO5" s="1224"/>
      <c r="TP5" s="1219"/>
      <c r="TQ5" s="1220"/>
      <c r="TR5" s="1220"/>
      <c r="TS5" s="1220"/>
      <c r="TT5" s="1220"/>
      <c r="TU5" s="1221"/>
      <c r="TV5" s="1220"/>
      <c r="TW5" s="1220"/>
      <c r="TX5" s="1220"/>
      <c r="TY5" s="1220"/>
      <c r="TZ5" s="1220"/>
      <c r="UA5" s="1221"/>
      <c r="UB5" s="1220"/>
      <c r="UC5" s="1220"/>
      <c r="UD5" s="1220"/>
      <c r="UE5" s="1220"/>
      <c r="UF5" s="1220"/>
      <c r="UG5" s="1221"/>
      <c r="UH5" s="1220"/>
      <c r="UI5" s="1220"/>
      <c r="UJ5" s="1220"/>
      <c r="UK5" s="1220"/>
      <c r="UL5" s="1220"/>
      <c r="UM5" s="1221"/>
      <c r="UN5" s="1220"/>
      <c r="UO5" s="1220"/>
      <c r="UP5" s="1220"/>
      <c r="UQ5" s="1220"/>
      <c r="UR5" s="1220"/>
      <c r="US5" s="1224"/>
      <c r="UT5" s="1219"/>
      <c r="UU5" s="1220"/>
      <c r="UV5" s="1220"/>
      <c r="UW5" s="1220"/>
      <c r="UX5" s="1220"/>
      <c r="UY5" s="1221"/>
      <c r="UZ5" s="1220"/>
      <c r="VA5" s="1220"/>
      <c r="VB5" s="1220"/>
      <c r="VC5" s="1220"/>
      <c r="VD5" s="1220"/>
      <c r="VE5" s="1221"/>
      <c r="VF5" s="1220"/>
      <c r="VG5" s="1220"/>
      <c r="VH5" s="1220"/>
      <c r="VI5" s="1220"/>
      <c r="VJ5" s="1220"/>
      <c r="VK5" s="1221"/>
      <c r="VL5" s="1220"/>
      <c r="VM5" s="1220"/>
      <c r="VN5" s="1220"/>
      <c r="VO5" s="1220"/>
      <c r="VP5" s="1220"/>
      <c r="VQ5" s="1221"/>
      <c r="VR5" s="1220"/>
      <c r="VS5" s="1220"/>
      <c r="VT5" s="1220"/>
      <c r="VU5" s="1220"/>
      <c r="VV5" s="1220"/>
      <c r="VW5" s="1221"/>
      <c r="VX5" s="1220"/>
      <c r="VY5" s="1220"/>
      <c r="VZ5" s="1220"/>
      <c r="WA5" s="1220"/>
      <c r="WB5" s="1220"/>
      <c r="WC5" s="1224"/>
      <c r="WD5" s="1226" t="s">
        <v>1017</v>
      </c>
      <c r="WE5" s="1227" t="s">
        <v>1017</v>
      </c>
      <c r="WF5" s="1227" t="s">
        <v>1017</v>
      </c>
      <c r="WG5" s="1227" t="s">
        <v>1017</v>
      </c>
      <c r="WH5" s="1227" t="s">
        <v>1017</v>
      </c>
      <c r="WI5" s="1227" t="s">
        <v>1017</v>
      </c>
      <c r="WJ5" s="1228" t="s">
        <v>1017</v>
      </c>
      <c r="WK5" s="1143" t="s">
        <v>65</v>
      </c>
      <c r="WL5" s="1143" t="s">
        <v>65</v>
      </c>
      <c r="WM5" s="1229" t="s">
        <v>65</v>
      </c>
      <c r="WN5" s="1230" t="s">
        <v>65</v>
      </c>
      <c r="WO5" s="1143" t="s">
        <v>65</v>
      </c>
      <c r="WP5" s="1229" t="s">
        <v>65</v>
      </c>
      <c r="WQ5" s="1230" t="s">
        <v>65</v>
      </c>
      <c r="WR5" s="1143" t="s">
        <v>65</v>
      </c>
      <c r="WS5" s="1229" t="s">
        <v>65</v>
      </c>
      <c r="WT5" s="1230" t="s">
        <v>65</v>
      </c>
      <c r="WU5" s="1143" t="s">
        <v>65</v>
      </c>
      <c r="WV5" s="1229" t="s">
        <v>65</v>
      </c>
      <c r="WW5" s="1230" t="s">
        <v>65</v>
      </c>
      <c r="WX5" s="1143" t="s">
        <v>65</v>
      </c>
      <c r="WY5" s="1229" t="s">
        <v>65</v>
      </c>
      <c r="WZ5" s="1230" t="s">
        <v>65</v>
      </c>
      <c r="XA5" s="1143" t="s">
        <v>65</v>
      </c>
      <c r="XB5" s="1229" t="s">
        <v>65</v>
      </c>
      <c r="XC5" s="1230" t="s">
        <v>65</v>
      </c>
      <c r="XD5" s="1143" t="s">
        <v>65</v>
      </c>
      <c r="XE5" s="1229" t="s">
        <v>65</v>
      </c>
      <c r="XF5" s="1230" t="s">
        <v>65</v>
      </c>
      <c r="XG5" s="1143" t="s">
        <v>65</v>
      </c>
      <c r="XH5" s="1229" t="s">
        <v>65</v>
      </c>
      <c r="XI5" s="1230" t="s">
        <v>65</v>
      </c>
      <c r="XJ5" s="1143" t="s">
        <v>65</v>
      </c>
      <c r="XK5" s="1229" t="s">
        <v>65</v>
      </c>
      <c r="XL5" s="1230" t="s">
        <v>65</v>
      </c>
      <c r="XM5" s="1143" t="s">
        <v>65</v>
      </c>
      <c r="XN5" s="1229" t="s">
        <v>65</v>
      </c>
      <c r="XO5" s="1230" t="s">
        <v>65</v>
      </c>
      <c r="XP5" s="1143" t="s">
        <v>65</v>
      </c>
      <c r="XQ5" s="1143" t="s">
        <v>65</v>
      </c>
      <c r="XR5" s="1231"/>
      <c r="XS5" s="1143"/>
      <c r="XT5" s="1143"/>
      <c r="XU5" s="1143"/>
      <c r="XV5" s="1232"/>
      <c r="XW5" s="1303" t="s">
        <v>885</v>
      </c>
      <c r="XX5" s="1231" t="s">
        <v>65</v>
      </c>
      <c r="XY5" s="1143" t="s">
        <v>65</v>
      </c>
      <c r="XZ5" s="1143" t="s">
        <v>65</v>
      </c>
      <c r="YA5" s="1232" t="s">
        <v>65</v>
      </c>
      <c r="YB5" s="443" t="s">
        <v>885</v>
      </c>
      <c r="YC5" s="440" t="s">
        <v>885</v>
      </c>
      <c r="YD5" s="440" t="s">
        <v>885</v>
      </c>
      <c r="YE5" s="440" t="s">
        <v>885</v>
      </c>
      <c r="YF5" s="440" t="s">
        <v>885</v>
      </c>
      <c r="YG5" s="440" t="s">
        <v>885</v>
      </c>
      <c r="YH5" s="440" t="s">
        <v>885</v>
      </c>
      <c r="YI5" s="444" t="s">
        <v>885</v>
      </c>
      <c r="YJ5" s="443" t="s">
        <v>885</v>
      </c>
      <c r="YK5" s="440" t="s">
        <v>885</v>
      </c>
      <c r="YL5" s="440" t="s">
        <v>885</v>
      </c>
      <c r="YM5" s="440" t="s">
        <v>885</v>
      </c>
      <c r="YN5" s="440" t="s">
        <v>885</v>
      </c>
      <c r="YO5" s="440" t="s">
        <v>885</v>
      </c>
      <c r="YP5" s="440" t="s">
        <v>885</v>
      </c>
      <c r="YQ5" s="444" t="s">
        <v>885</v>
      </c>
      <c r="YR5" s="443" t="s">
        <v>885</v>
      </c>
      <c r="YS5" s="440" t="s">
        <v>885</v>
      </c>
      <c r="YT5" s="440" t="s">
        <v>885</v>
      </c>
      <c r="YU5" s="440" t="s">
        <v>885</v>
      </c>
      <c r="YV5" s="440" t="s">
        <v>885</v>
      </c>
      <c r="YW5" s="440" t="s">
        <v>885</v>
      </c>
      <c r="YX5" s="440" t="s">
        <v>885</v>
      </c>
      <c r="YY5" s="444" t="s">
        <v>885</v>
      </c>
      <c r="YZ5" s="443" t="s">
        <v>885</v>
      </c>
      <c r="ZA5" s="440" t="s">
        <v>885</v>
      </c>
      <c r="ZB5" s="440" t="s">
        <v>885</v>
      </c>
      <c r="ZC5" s="440" t="s">
        <v>885</v>
      </c>
      <c r="ZD5" s="440" t="s">
        <v>885</v>
      </c>
      <c r="ZE5" s="440" t="s">
        <v>885</v>
      </c>
      <c r="ZF5" s="440" t="s">
        <v>885</v>
      </c>
      <c r="ZG5" s="444" t="s">
        <v>885</v>
      </c>
      <c r="ZH5" s="443" t="s">
        <v>885</v>
      </c>
      <c r="ZI5" s="440" t="s">
        <v>885</v>
      </c>
      <c r="ZJ5" s="440" t="s">
        <v>885</v>
      </c>
      <c r="ZK5" s="440" t="s">
        <v>885</v>
      </c>
      <c r="ZL5" s="440" t="s">
        <v>885</v>
      </c>
      <c r="ZM5" s="440" t="s">
        <v>885</v>
      </c>
      <c r="ZN5" s="440" t="s">
        <v>885</v>
      </c>
      <c r="ZO5" s="444" t="s">
        <v>885</v>
      </c>
      <c r="ZP5" s="443" t="s">
        <v>885</v>
      </c>
      <c r="ZQ5" s="440" t="s">
        <v>885</v>
      </c>
      <c r="ZR5" s="440" t="s">
        <v>885</v>
      </c>
      <c r="ZS5" s="440" t="s">
        <v>885</v>
      </c>
      <c r="ZT5" s="440" t="s">
        <v>885</v>
      </c>
      <c r="ZU5" s="440" t="s">
        <v>885</v>
      </c>
      <c r="ZV5" s="440" t="s">
        <v>885</v>
      </c>
      <c r="ZW5" s="444" t="s">
        <v>885</v>
      </c>
      <c r="ZX5" s="443" t="s">
        <v>885</v>
      </c>
      <c r="ZY5" s="440" t="s">
        <v>885</v>
      </c>
      <c r="ZZ5" s="440" t="s">
        <v>885</v>
      </c>
      <c r="AAA5" s="440" t="s">
        <v>885</v>
      </c>
      <c r="AAB5" s="440" t="s">
        <v>885</v>
      </c>
      <c r="AAC5" s="440" t="s">
        <v>885</v>
      </c>
      <c r="AAD5" s="440" t="s">
        <v>885</v>
      </c>
      <c r="AAE5" s="444" t="s">
        <v>885</v>
      </c>
      <c r="AAF5" s="443" t="s">
        <v>885</v>
      </c>
      <c r="AAG5" s="440" t="s">
        <v>885</v>
      </c>
      <c r="AAH5" s="440" t="s">
        <v>885</v>
      </c>
      <c r="AAI5" s="440" t="s">
        <v>885</v>
      </c>
      <c r="AAJ5" s="440" t="s">
        <v>885</v>
      </c>
      <c r="AAK5" s="440" t="s">
        <v>885</v>
      </c>
      <c r="AAL5" s="440" t="s">
        <v>885</v>
      </c>
      <c r="AAM5" s="444" t="s">
        <v>885</v>
      </c>
      <c r="AAN5" s="443" t="s">
        <v>885</v>
      </c>
      <c r="AAO5" s="440" t="s">
        <v>885</v>
      </c>
      <c r="AAP5" s="440" t="s">
        <v>885</v>
      </c>
      <c r="AAQ5" s="440" t="s">
        <v>885</v>
      </c>
      <c r="AAR5" s="440" t="s">
        <v>885</v>
      </c>
      <c r="AAS5" s="440" t="s">
        <v>885</v>
      </c>
      <c r="AAT5" s="440" t="s">
        <v>885</v>
      </c>
      <c r="AAU5" s="444" t="s">
        <v>885</v>
      </c>
      <c r="AAV5" s="443" t="s">
        <v>885</v>
      </c>
      <c r="AAW5" s="440" t="s">
        <v>885</v>
      </c>
      <c r="AAX5" s="440" t="s">
        <v>885</v>
      </c>
      <c r="AAY5" s="440" t="s">
        <v>885</v>
      </c>
      <c r="AAZ5" s="440" t="s">
        <v>885</v>
      </c>
      <c r="ABA5" s="440" t="s">
        <v>885</v>
      </c>
      <c r="ABB5" s="440" t="s">
        <v>885</v>
      </c>
      <c r="ABC5" s="444" t="s">
        <v>885</v>
      </c>
      <c r="ABD5" s="443" t="s">
        <v>885</v>
      </c>
      <c r="ABE5" s="440" t="s">
        <v>885</v>
      </c>
      <c r="ABF5" s="440" t="s">
        <v>885</v>
      </c>
      <c r="ABG5" s="440" t="s">
        <v>885</v>
      </c>
      <c r="ABH5" s="440" t="s">
        <v>885</v>
      </c>
      <c r="ABI5" s="440" t="s">
        <v>885</v>
      </c>
      <c r="ABJ5" s="440" t="s">
        <v>885</v>
      </c>
      <c r="ABK5" s="444" t="s">
        <v>885</v>
      </c>
      <c r="ABL5" s="443" t="s">
        <v>885</v>
      </c>
      <c r="ABM5" s="440" t="s">
        <v>885</v>
      </c>
      <c r="ABN5" s="440" t="s">
        <v>885</v>
      </c>
      <c r="ABO5" s="440" t="s">
        <v>885</v>
      </c>
      <c r="ABP5" s="440" t="s">
        <v>885</v>
      </c>
      <c r="ABQ5" s="440" t="s">
        <v>885</v>
      </c>
      <c r="ABR5" s="440" t="s">
        <v>885</v>
      </c>
      <c r="ABS5" s="444" t="s">
        <v>885</v>
      </c>
      <c r="ABT5" s="443" t="s">
        <v>885</v>
      </c>
      <c r="ABU5" s="440" t="s">
        <v>885</v>
      </c>
      <c r="ABV5" s="440" t="s">
        <v>885</v>
      </c>
      <c r="ABW5" s="440" t="s">
        <v>885</v>
      </c>
      <c r="ABX5" s="440" t="s">
        <v>885</v>
      </c>
      <c r="ABY5" s="440" t="s">
        <v>885</v>
      </c>
      <c r="ABZ5" s="440" t="s">
        <v>885</v>
      </c>
      <c r="ACA5" s="444" t="s">
        <v>885</v>
      </c>
      <c r="ACB5" s="443" t="s">
        <v>885</v>
      </c>
      <c r="ACC5" s="440" t="s">
        <v>885</v>
      </c>
      <c r="ACD5" s="440" t="s">
        <v>885</v>
      </c>
      <c r="ACE5" s="440" t="s">
        <v>885</v>
      </c>
      <c r="ACF5" s="440" t="s">
        <v>885</v>
      </c>
      <c r="ACG5" s="440" t="s">
        <v>885</v>
      </c>
      <c r="ACH5" s="440" t="s">
        <v>885</v>
      </c>
      <c r="ACI5" s="444" t="s">
        <v>885</v>
      </c>
      <c r="ACJ5" s="443" t="s">
        <v>885</v>
      </c>
      <c r="ACK5" s="440" t="s">
        <v>885</v>
      </c>
      <c r="ACL5" s="440" t="s">
        <v>885</v>
      </c>
      <c r="ACM5" s="440" t="s">
        <v>885</v>
      </c>
      <c r="ACN5" s="440" t="s">
        <v>885</v>
      </c>
      <c r="ACO5" s="440" t="s">
        <v>885</v>
      </c>
      <c r="ACP5" s="440" t="s">
        <v>885</v>
      </c>
      <c r="ACQ5" s="444" t="s">
        <v>885</v>
      </c>
      <c r="ACR5" s="443" t="s">
        <v>885</v>
      </c>
      <c r="ACS5" s="440" t="s">
        <v>885</v>
      </c>
      <c r="ACT5" s="440" t="s">
        <v>885</v>
      </c>
      <c r="ACU5" s="440" t="s">
        <v>885</v>
      </c>
      <c r="ACV5" s="440" t="s">
        <v>885</v>
      </c>
      <c r="ACW5" s="440" t="s">
        <v>885</v>
      </c>
      <c r="ACX5" s="440" t="s">
        <v>885</v>
      </c>
      <c r="ACY5" s="444" t="s">
        <v>885</v>
      </c>
      <c r="ACZ5" s="443" t="s">
        <v>885</v>
      </c>
      <c r="ADA5" s="440" t="s">
        <v>885</v>
      </c>
      <c r="ADB5" s="440" t="s">
        <v>885</v>
      </c>
      <c r="ADC5" s="440" t="s">
        <v>885</v>
      </c>
      <c r="ADD5" s="440" t="s">
        <v>885</v>
      </c>
      <c r="ADE5" s="440" t="s">
        <v>885</v>
      </c>
      <c r="ADF5" s="440" t="s">
        <v>885</v>
      </c>
      <c r="ADG5" s="444" t="s">
        <v>885</v>
      </c>
      <c r="ADH5" s="443" t="s">
        <v>885</v>
      </c>
      <c r="ADI5" s="440" t="s">
        <v>885</v>
      </c>
      <c r="ADJ5" s="440" t="s">
        <v>885</v>
      </c>
      <c r="ADK5" s="440" t="s">
        <v>885</v>
      </c>
      <c r="ADL5" s="440" t="s">
        <v>885</v>
      </c>
      <c r="ADM5" s="440" t="s">
        <v>885</v>
      </c>
      <c r="ADN5" s="440" t="s">
        <v>885</v>
      </c>
      <c r="ADO5" s="444" t="s">
        <v>885</v>
      </c>
      <c r="ADP5" s="443" t="s">
        <v>885</v>
      </c>
      <c r="ADQ5" s="440" t="s">
        <v>885</v>
      </c>
      <c r="ADR5" s="440" t="s">
        <v>885</v>
      </c>
      <c r="ADS5" s="440" t="s">
        <v>885</v>
      </c>
      <c r="ADT5" s="440" t="s">
        <v>885</v>
      </c>
      <c r="ADU5" s="440" t="s">
        <v>885</v>
      </c>
      <c r="ADV5" s="440" t="s">
        <v>885</v>
      </c>
      <c r="ADW5" s="444" t="s">
        <v>885</v>
      </c>
      <c r="ADX5" s="443" t="s">
        <v>885</v>
      </c>
      <c r="ADY5" s="440" t="s">
        <v>885</v>
      </c>
      <c r="ADZ5" s="440" t="s">
        <v>885</v>
      </c>
      <c r="AEA5" s="440" t="s">
        <v>885</v>
      </c>
      <c r="AEB5" s="440" t="s">
        <v>885</v>
      </c>
      <c r="AEC5" s="440" t="s">
        <v>885</v>
      </c>
      <c r="AED5" s="440" t="s">
        <v>885</v>
      </c>
      <c r="AEE5" s="444" t="s">
        <v>885</v>
      </c>
      <c r="AEF5" s="443" t="s">
        <v>885</v>
      </c>
      <c r="AEG5" s="440" t="s">
        <v>885</v>
      </c>
      <c r="AEH5" s="440" t="s">
        <v>885</v>
      </c>
      <c r="AEI5" s="440" t="s">
        <v>885</v>
      </c>
      <c r="AEJ5" s="440" t="s">
        <v>885</v>
      </c>
      <c r="AEK5" s="440" t="s">
        <v>885</v>
      </c>
      <c r="AEL5" s="440" t="s">
        <v>885</v>
      </c>
      <c r="AEM5" s="444" t="s">
        <v>885</v>
      </c>
      <c r="AEN5" s="443" t="s">
        <v>885</v>
      </c>
      <c r="AEO5" s="440" t="s">
        <v>885</v>
      </c>
      <c r="AEP5" s="440" t="s">
        <v>885</v>
      </c>
      <c r="AEQ5" s="440" t="s">
        <v>885</v>
      </c>
      <c r="AER5" s="440" t="s">
        <v>885</v>
      </c>
      <c r="AES5" s="440" t="s">
        <v>885</v>
      </c>
      <c r="AET5" s="440" t="s">
        <v>885</v>
      </c>
      <c r="AEU5" s="444" t="s">
        <v>885</v>
      </c>
      <c r="AEV5" s="443" t="s">
        <v>885</v>
      </c>
      <c r="AEW5" s="440" t="s">
        <v>885</v>
      </c>
      <c r="AEX5" s="440" t="s">
        <v>885</v>
      </c>
      <c r="AEY5" s="440" t="s">
        <v>885</v>
      </c>
      <c r="AEZ5" s="440" t="s">
        <v>885</v>
      </c>
      <c r="AFA5" s="440" t="s">
        <v>885</v>
      </c>
      <c r="AFB5" s="440" t="s">
        <v>885</v>
      </c>
      <c r="AFC5" s="444" t="s">
        <v>885</v>
      </c>
      <c r="AFD5" s="443" t="s">
        <v>885</v>
      </c>
      <c r="AFE5" s="440" t="s">
        <v>885</v>
      </c>
      <c r="AFF5" s="440" t="s">
        <v>885</v>
      </c>
      <c r="AFG5" s="440" t="s">
        <v>885</v>
      </c>
      <c r="AFH5" s="440" t="s">
        <v>885</v>
      </c>
      <c r="AFI5" s="440" t="s">
        <v>885</v>
      </c>
      <c r="AFJ5" s="440" t="s">
        <v>885</v>
      </c>
      <c r="AFK5" s="444" t="s">
        <v>885</v>
      </c>
      <c r="AFL5" s="440" t="s">
        <v>885</v>
      </c>
      <c r="AFM5" s="440" t="s">
        <v>885</v>
      </c>
      <c r="AFN5" s="440" t="s">
        <v>885</v>
      </c>
      <c r="AFO5" s="440" t="s">
        <v>885</v>
      </c>
      <c r="AFP5" s="440" t="s">
        <v>885</v>
      </c>
      <c r="AFQ5" s="440" t="s">
        <v>885</v>
      </c>
      <c r="AFR5" s="440" t="s">
        <v>885</v>
      </c>
      <c r="AFS5" s="440" t="s">
        <v>885</v>
      </c>
      <c r="AFT5" s="443" t="s">
        <v>885</v>
      </c>
      <c r="AFU5" s="440" t="s">
        <v>885</v>
      </c>
      <c r="AFV5" s="440" t="s">
        <v>885</v>
      </c>
      <c r="AFW5" s="440" t="s">
        <v>885</v>
      </c>
      <c r="AFX5" s="440" t="s">
        <v>885</v>
      </c>
      <c r="AFY5" s="440" t="s">
        <v>885</v>
      </c>
      <c r="AFZ5" s="440" t="s">
        <v>885</v>
      </c>
      <c r="AGA5" s="444" t="s">
        <v>885</v>
      </c>
      <c r="AGB5" s="440" t="s">
        <v>885</v>
      </c>
      <c r="AGC5" s="440" t="s">
        <v>885</v>
      </c>
      <c r="AGD5" s="440" t="s">
        <v>885</v>
      </c>
      <c r="AGE5" s="440" t="s">
        <v>885</v>
      </c>
      <c r="AGF5" s="440" t="s">
        <v>885</v>
      </c>
      <c r="AGG5" s="440" t="s">
        <v>885</v>
      </c>
      <c r="AGH5" s="440" t="s">
        <v>885</v>
      </c>
      <c r="AGI5" s="440" t="s">
        <v>885</v>
      </c>
      <c r="AGJ5" s="443" t="s">
        <v>885</v>
      </c>
      <c r="AGK5" s="440" t="s">
        <v>885</v>
      </c>
      <c r="AGL5" s="440" t="s">
        <v>885</v>
      </c>
      <c r="AGM5" s="440" t="s">
        <v>885</v>
      </c>
      <c r="AGN5" s="440" t="s">
        <v>885</v>
      </c>
      <c r="AGO5" s="440" t="s">
        <v>885</v>
      </c>
      <c r="AGP5" s="440" t="s">
        <v>885</v>
      </c>
      <c r="AGQ5" s="444" t="s">
        <v>885</v>
      </c>
      <c r="AGR5" s="443" t="s">
        <v>885</v>
      </c>
      <c r="AGS5" s="440" t="s">
        <v>885</v>
      </c>
      <c r="AGT5" s="440" t="s">
        <v>885</v>
      </c>
      <c r="AGU5" s="440" t="s">
        <v>885</v>
      </c>
      <c r="AGV5" s="440" t="s">
        <v>885</v>
      </c>
      <c r="AGW5" s="440" t="s">
        <v>885</v>
      </c>
      <c r="AGX5" s="440" t="s">
        <v>885</v>
      </c>
      <c r="AGY5" s="444" t="s">
        <v>885</v>
      </c>
      <c r="AGZ5" s="443" t="s">
        <v>885</v>
      </c>
      <c r="AHA5" s="440" t="s">
        <v>885</v>
      </c>
      <c r="AHB5" s="440" t="s">
        <v>885</v>
      </c>
      <c r="AHC5" s="440" t="s">
        <v>885</v>
      </c>
      <c r="AHD5" s="440" t="s">
        <v>885</v>
      </c>
      <c r="AHE5" s="440" t="s">
        <v>885</v>
      </c>
      <c r="AHF5" s="440" t="s">
        <v>885</v>
      </c>
      <c r="AHG5" s="444" t="s">
        <v>885</v>
      </c>
      <c r="AHH5" s="443" t="s">
        <v>885</v>
      </c>
      <c r="AHI5" s="440" t="s">
        <v>885</v>
      </c>
      <c r="AHJ5" s="440" t="s">
        <v>885</v>
      </c>
      <c r="AHK5" s="440" t="s">
        <v>885</v>
      </c>
      <c r="AHL5" s="440" t="s">
        <v>885</v>
      </c>
      <c r="AHM5" s="440" t="s">
        <v>885</v>
      </c>
      <c r="AHN5" s="440" t="s">
        <v>885</v>
      </c>
      <c r="AHO5" s="444" t="s">
        <v>885</v>
      </c>
      <c r="AHP5" s="443" t="s">
        <v>885</v>
      </c>
      <c r="AHQ5" s="440" t="s">
        <v>885</v>
      </c>
      <c r="AHR5" s="440" t="s">
        <v>885</v>
      </c>
      <c r="AHS5" s="440" t="s">
        <v>885</v>
      </c>
      <c r="AHT5" s="440" t="s">
        <v>885</v>
      </c>
      <c r="AHU5" s="440" t="s">
        <v>885</v>
      </c>
      <c r="AHV5" s="440" t="s">
        <v>885</v>
      </c>
      <c r="AHW5" s="444" t="s">
        <v>885</v>
      </c>
      <c r="AHX5" s="443" t="s">
        <v>1658</v>
      </c>
      <c r="AHY5" s="440" t="s">
        <v>1658</v>
      </c>
      <c r="AHZ5" s="440" t="s">
        <v>1658</v>
      </c>
      <c r="AIA5" s="440" t="s">
        <v>1658</v>
      </c>
      <c r="AIB5" s="440" t="s">
        <v>1658</v>
      </c>
      <c r="AIC5" s="440" t="s">
        <v>1658</v>
      </c>
      <c r="AID5" s="440" t="s">
        <v>1658</v>
      </c>
      <c r="AIE5" s="444" t="s">
        <v>1658</v>
      </c>
      <c r="AIF5" s="443" t="s">
        <v>1658</v>
      </c>
      <c r="AIG5" s="440" t="s">
        <v>1658</v>
      </c>
      <c r="AIH5" s="440" t="s">
        <v>1658</v>
      </c>
      <c r="AII5" s="440" t="s">
        <v>1658</v>
      </c>
      <c r="AIJ5" s="440" t="s">
        <v>1658</v>
      </c>
      <c r="AIK5" s="440" t="s">
        <v>1658</v>
      </c>
      <c r="AIL5" s="440" t="s">
        <v>1658</v>
      </c>
      <c r="AIM5" s="444" t="s">
        <v>1658</v>
      </c>
      <c r="AIN5" s="443" t="s">
        <v>1658</v>
      </c>
      <c r="AIO5" s="440" t="s">
        <v>1658</v>
      </c>
      <c r="AIP5" s="440" t="s">
        <v>1658</v>
      </c>
      <c r="AIQ5" s="440" t="s">
        <v>1658</v>
      </c>
      <c r="AIR5" s="440" t="s">
        <v>1658</v>
      </c>
      <c r="AIS5" s="440" t="s">
        <v>1658</v>
      </c>
      <c r="AIT5" s="440" t="s">
        <v>1658</v>
      </c>
      <c r="AIU5" s="444" t="s">
        <v>1658</v>
      </c>
      <c r="AIV5" s="443" t="s">
        <v>1658</v>
      </c>
      <c r="AIW5" s="440" t="s">
        <v>1658</v>
      </c>
      <c r="AIX5" s="440" t="s">
        <v>1658</v>
      </c>
      <c r="AIY5" s="440" t="s">
        <v>1658</v>
      </c>
      <c r="AIZ5" s="440" t="s">
        <v>1658</v>
      </c>
      <c r="AJA5" s="440" t="s">
        <v>1658</v>
      </c>
      <c r="AJB5" s="440" t="s">
        <v>1658</v>
      </c>
      <c r="AJC5" s="444" t="s">
        <v>1658</v>
      </c>
      <c r="AJD5" s="443" t="s">
        <v>1658</v>
      </c>
      <c r="AJE5" s="440" t="s">
        <v>1658</v>
      </c>
      <c r="AJF5" s="440" t="s">
        <v>1658</v>
      </c>
      <c r="AJG5" s="440" t="s">
        <v>1658</v>
      </c>
      <c r="AJH5" s="440" t="s">
        <v>1658</v>
      </c>
      <c r="AJI5" s="440" t="s">
        <v>1658</v>
      </c>
      <c r="AJJ5" s="440" t="s">
        <v>1658</v>
      </c>
      <c r="AJK5" s="444" t="s">
        <v>1658</v>
      </c>
      <c r="AJL5" s="443" t="s">
        <v>1658</v>
      </c>
      <c r="AJM5" s="440" t="s">
        <v>1658</v>
      </c>
      <c r="AJN5" s="440" t="s">
        <v>1658</v>
      </c>
      <c r="AJO5" s="440" t="s">
        <v>1658</v>
      </c>
      <c r="AJP5" s="440" t="s">
        <v>1658</v>
      </c>
      <c r="AJQ5" s="440" t="s">
        <v>1658</v>
      </c>
      <c r="AJR5" s="440" t="s">
        <v>1658</v>
      </c>
      <c r="AJS5" s="444" t="s">
        <v>1658</v>
      </c>
      <c r="AJT5" s="1231"/>
      <c r="AJU5" s="1143"/>
      <c r="AJV5" s="1143"/>
      <c r="AJW5" s="1232"/>
      <c r="AJX5" s="1231"/>
      <c r="AJY5" s="1143"/>
      <c r="AJZ5" s="1143"/>
      <c r="AKA5" s="1143"/>
      <c r="AKB5" s="1143"/>
      <c r="AKC5" s="1232"/>
      <c r="AKD5" s="443" t="s">
        <v>1658</v>
      </c>
      <c r="AKE5" s="440" t="s">
        <v>1658</v>
      </c>
      <c r="AKF5" s="440" t="s">
        <v>1658</v>
      </c>
      <c r="AKG5" s="440" t="s">
        <v>1658</v>
      </c>
      <c r="AKH5" s="440" t="s">
        <v>1658</v>
      </c>
      <c r="AKI5" s="440" t="s">
        <v>1658</v>
      </c>
      <c r="AKJ5" s="440" t="s">
        <v>1658</v>
      </c>
      <c r="AKK5" s="440" t="s">
        <v>1658</v>
      </c>
      <c r="AKL5" s="443" t="s">
        <v>1658</v>
      </c>
      <c r="AKM5" s="440" t="s">
        <v>1658</v>
      </c>
      <c r="AKN5" s="440" t="s">
        <v>1658</v>
      </c>
      <c r="AKO5" s="440" t="s">
        <v>1658</v>
      </c>
      <c r="AKP5" s="440" t="s">
        <v>1658</v>
      </c>
      <c r="AKQ5" s="440" t="s">
        <v>1658</v>
      </c>
      <c r="AKR5" s="440" t="s">
        <v>1658</v>
      </c>
      <c r="AKS5" s="444" t="s">
        <v>1658</v>
      </c>
      <c r="AKT5" s="443" t="s">
        <v>1658</v>
      </c>
      <c r="AKU5" s="440" t="s">
        <v>1658</v>
      </c>
      <c r="AKV5" s="440" t="s">
        <v>1658</v>
      </c>
      <c r="AKW5" s="440" t="s">
        <v>1658</v>
      </c>
      <c r="AKX5" s="440" t="s">
        <v>1658</v>
      </c>
      <c r="AKY5" s="440" t="s">
        <v>1658</v>
      </c>
      <c r="AKZ5" s="440" t="s">
        <v>1658</v>
      </c>
      <c r="ALA5" s="444" t="s">
        <v>1658</v>
      </c>
      <c r="ALB5" s="443" t="s">
        <v>1658</v>
      </c>
      <c r="ALC5" s="440" t="s">
        <v>1658</v>
      </c>
      <c r="ALD5" s="440" t="s">
        <v>1658</v>
      </c>
      <c r="ALE5" s="440" t="s">
        <v>1658</v>
      </c>
      <c r="ALF5" s="440" t="s">
        <v>1658</v>
      </c>
      <c r="ALG5" s="440" t="s">
        <v>1658</v>
      </c>
      <c r="ALH5" s="440" t="s">
        <v>1658</v>
      </c>
      <c r="ALI5" s="444" t="s">
        <v>1658</v>
      </c>
      <c r="ALJ5" s="443" t="s">
        <v>1658</v>
      </c>
      <c r="ALK5" s="440" t="s">
        <v>1658</v>
      </c>
      <c r="ALL5" s="440" t="s">
        <v>1658</v>
      </c>
      <c r="ALM5" s="440" t="s">
        <v>1658</v>
      </c>
      <c r="ALN5" s="440" t="s">
        <v>1658</v>
      </c>
      <c r="ALO5" s="440" t="s">
        <v>1658</v>
      </c>
      <c r="ALP5" s="440" t="s">
        <v>1658</v>
      </c>
      <c r="ALQ5" s="444" t="s">
        <v>1658</v>
      </c>
      <c r="ALR5" s="443" t="s">
        <v>1658</v>
      </c>
      <c r="ALS5" s="440" t="s">
        <v>1658</v>
      </c>
      <c r="ALT5" s="440" t="s">
        <v>1658</v>
      </c>
      <c r="ALU5" s="440" t="s">
        <v>1658</v>
      </c>
      <c r="ALV5" s="440" t="s">
        <v>1658</v>
      </c>
      <c r="ALW5" s="440" t="s">
        <v>1658</v>
      </c>
      <c r="ALX5" s="440" t="s">
        <v>1658</v>
      </c>
      <c r="ALY5" s="444" t="s">
        <v>1658</v>
      </c>
    </row>
    <row r="6" spans="1:1013" s="74" customFormat="1" ht="15" hidden="1" outlineLevel="1">
      <c r="A6" s="1237" t="s">
        <v>100</v>
      </c>
      <c r="B6" s="1174"/>
      <c r="C6" s="1175"/>
      <c r="D6" s="1176"/>
      <c r="E6" s="1177">
        <v>2016</v>
      </c>
      <c r="F6" s="1178">
        <v>2016</v>
      </c>
      <c r="G6" s="1179">
        <v>2016</v>
      </c>
      <c r="H6" s="1209">
        <v>2013</v>
      </c>
      <c r="I6" s="1181">
        <v>2016</v>
      </c>
      <c r="J6" s="1181">
        <v>2016</v>
      </c>
      <c r="K6" s="1181">
        <v>2016</v>
      </c>
      <c r="L6" s="1209"/>
      <c r="M6" s="1181"/>
      <c r="N6" s="1181"/>
      <c r="O6" s="1182"/>
      <c r="P6" s="1183"/>
      <c r="Q6" s="1184"/>
      <c r="R6" s="770">
        <v>2016</v>
      </c>
      <c r="S6" s="770">
        <v>2016</v>
      </c>
      <c r="T6" s="1184">
        <v>2016</v>
      </c>
      <c r="U6" s="770"/>
      <c r="V6" s="770"/>
      <c r="W6" s="770"/>
      <c r="X6" s="770"/>
      <c r="Y6" s="1184"/>
      <c r="Z6" s="770"/>
      <c r="AA6" s="770"/>
      <c r="AB6" s="770"/>
      <c r="AC6" s="770"/>
      <c r="AD6" s="1184"/>
      <c r="AE6" s="770"/>
      <c r="AF6" s="770"/>
      <c r="AG6" s="770"/>
      <c r="AH6" s="770"/>
      <c r="AI6" s="1184"/>
      <c r="AJ6" s="770"/>
      <c r="AK6" s="770"/>
      <c r="AL6" s="770"/>
      <c r="AM6" s="770"/>
      <c r="AN6" s="770"/>
      <c r="AO6" s="771"/>
      <c r="AP6" s="770"/>
      <c r="AQ6" s="770"/>
      <c r="AR6" s="770"/>
      <c r="AS6" s="770"/>
      <c r="AT6" s="770"/>
      <c r="AU6" s="770"/>
      <c r="AV6" s="771"/>
      <c r="AW6" s="770"/>
      <c r="AX6" s="770"/>
      <c r="AY6" s="770"/>
      <c r="AZ6" s="770"/>
      <c r="BA6" s="1183"/>
      <c r="BB6" s="770">
        <v>2011</v>
      </c>
      <c r="BC6" s="770">
        <v>2016</v>
      </c>
      <c r="BD6" s="770">
        <v>2016</v>
      </c>
      <c r="BE6" s="770">
        <v>2016</v>
      </c>
      <c r="BF6" s="770"/>
      <c r="BG6" s="1184"/>
      <c r="BH6" s="770"/>
      <c r="BI6" s="770"/>
      <c r="BJ6" s="770"/>
      <c r="BK6" s="770"/>
      <c r="BL6" s="770"/>
      <c r="BM6" s="770"/>
      <c r="BN6" s="770"/>
      <c r="BO6" s="770"/>
      <c r="BP6" s="770"/>
      <c r="BQ6" s="770"/>
      <c r="BR6" s="770"/>
      <c r="BS6" s="770"/>
      <c r="BT6" s="770"/>
      <c r="BU6" s="770"/>
      <c r="BV6" s="1184"/>
      <c r="BW6" s="770"/>
      <c r="BX6" s="770"/>
      <c r="BY6" s="770"/>
      <c r="BZ6" s="770"/>
      <c r="CA6" s="770"/>
      <c r="CB6" s="770"/>
      <c r="CC6" s="770"/>
      <c r="CD6" s="770"/>
      <c r="CE6" s="770"/>
      <c r="CF6" s="770"/>
      <c r="CG6" s="770"/>
      <c r="CH6" s="770"/>
      <c r="CI6" s="770"/>
      <c r="CJ6" s="770"/>
      <c r="CK6" s="770"/>
      <c r="CL6" s="771"/>
      <c r="CM6" s="770"/>
      <c r="CN6" s="770"/>
      <c r="CO6" s="770"/>
      <c r="CP6" s="770"/>
      <c r="CQ6" s="770"/>
      <c r="CR6" s="770"/>
      <c r="CS6" s="770"/>
      <c r="CT6" s="770"/>
      <c r="CU6" s="770"/>
      <c r="CV6" s="770"/>
      <c r="CW6" s="770"/>
      <c r="CX6" s="770"/>
      <c r="CY6" s="770"/>
      <c r="CZ6" s="770"/>
      <c r="DA6" s="771"/>
      <c r="DB6" s="770"/>
      <c r="DC6" s="770"/>
      <c r="DD6" s="770"/>
      <c r="DE6" s="770"/>
      <c r="DF6" s="771"/>
      <c r="DG6" s="770"/>
      <c r="DH6" s="770"/>
      <c r="DI6" s="770"/>
      <c r="DJ6" s="770"/>
      <c r="DK6" s="1183" t="s">
        <v>113</v>
      </c>
      <c r="DL6" s="770"/>
      <c r="DM6" s="770"/>
      <c r="DN6" s="770">
        <v>2016</v>
      </c>
      <c r="DO6" s="770">
        <v>2016</v>
      </c>
      <c r="DP6" s="770">
        <v>2016</v>
      </c>
      <c r="DQ6" s="771"/>
      <c r="DR6" s="770"/>
      <c r="DS6" s="770"/>
      <c r="DT6" s="770"/>
      <c r="DU6" s="770"/>
      <c r="DV6" s="770"/>
      <c r="DW6" s="770"/>
      <c r="DX6" s="771"/>
      <c r="DY6" s="770"/>
      <c r="DZ6" s="770"/>
      <c r="EA6" s="770"/>
      <c r="EB6" s="770"/>
      <c r="EC6" s="770"/>
      <c r="ED6" s="1191"/>
      <c r="EE6" s="1185" t="s">
        <v>113</v>
      </c>
      <c r="EF6" s="770"/>
      <c r="EG6" s="770"/>
      <c r="EH6" s="770">
        <v>2016</v>
      </c>
      <c r="EI6" s="770">
        <v>2016</v>
      </c>
      <c r="EJ6" s="770">
        <v>2016</v>
      </c>
      <c r="EK6" s="769"/>
      <c r="EL6" s="770"/>
      <c r="EM6" s="770"/>
      <c r="EN6" s="770"/>
      <c r="EO6" s="770"/>
      <c r="EP6" s="770"/>
      <c r="EQ6" s="770"/>
      <c r="ER6" s="770"/>
      <c r="ES6" s="770"/>
      <c r="ET6" s="770"/>
      <c r="EU6" s="770"/>
      <c r="EV6" s="770"/>
      <c r="EW6" s="770"/>
      <c r="EX6" s="770"/>
      <c r="EY6" s="770"/>
      <c r="EZ6" s="770"/>
      <c r="FA6" s="770"/>
      <c r="FB6" s="770"/>
      <c r="FC6" s="770"/>
      <c r="FD6" s="770"/>
      <c r="FE6" s="770"/>
      <c r="FF6" s="770"/>
      <c r="FG6" s="770"/>
      <c r="FH6" s="770"/>
      <c r="FI6" s="770"/>
      <c r="FJ6" s="770"/>
      <c r="FK6" s="770"/>
      <c r="FL6" s="770"/>
      <c r="FM6" s="770"/>
      <c r="FN6" s="770"/>
      <c r="FO6" s="770"/>
      <c r="FP6" s="770"/>
      <c r="FQ6" s="770"/>
      <c r="FR6" s="770"/>
      <c r="FS6" s="770"/>
      <c r="FT6" s="770"/>
      <c r="FU6" s="770"/>
      <c r="FV6" s="770"/>
      <c r="FW6" s="770"/>
      <c r="FX6" s="770"/>
      <c r="FY6" s="770"/>
      <c r="FZ6" s="770"/>
      <c r="GA6" s="770"/>
      <c r="GB6" s="770"/>
      <c r="GC6" s="770"/>
      <c r="GD6" s="770"/>
      <c r="GE6" s="770"/>
      <c r="GF6" s="770"/>
      <c r="GG6" s="770"/>
      <c r="GH6" s="770"/>
      <c r="GI6" s="770"/>
      <c r="GJ6" s="770"/>
      <c r="GK6" s="770"/>
      <c r="GL6" s="770"/>
      <c r="GM6" s="770"/>
      <c r="GN6" s="770"/>
      <c r="GO6" s="770"/>
      <c r="GP6" s="770"/>
      <c r="GQ6" s="771"/>
      <c r="GR6" s="770"/>
      <c r="GS6" s="770"/>
      <c r="GT6" s="770"/>
      <c r="GU6" s="770"/>
      <c r="GV6" s="770"/>
      <c r="GW6" s="770"/>
      <c r="GX6" s="770"/>
      <c r="GY6" s="770"/>
      <c r="GZ6" s="770"/>
      <c r="HA6" s="770"/>
      <c r="HB6" s="770"/>
      <c r="HC6" s="770"/>
      <c r="HD6" s="770"/>
      <c r="HE6" s="770"/>
      <c r="HF6" s="770"/>
      <c r="HG6" s="770"/>
      <c r="HH6" s="770"/>
      <c r="HI6" s="770"/>
      <c r="HJ6" s="770"/>
      <c r="HK6" s="770"/>
      <c r="HL6" s="770"/>
      <c r="HM6" s="770"/>
      <c r="HN6" s="770"/>
      <c r="HO6" s="770"/>
      <c r="HP6" s="770"/>
      <c r="HQ6" s="770"/>
      <c r="HR6" s="770"/>
      <c r="HS6" s="770"/>
      <c r="HT6" s="770"/>
      <c r="HU6" s="770"/>
      <c r="HV6" s="770"/>
      <c r="HW6" s="770"/>
      <c r="HX6" s="770"/>
      <c r="HY6" s="770"/>
      <c r="HZ6" s="770"/>
      <c r="IA6" s="770"/>
      <c r="IB6" s="770"/>
      <c r="IC6" s="770"/>
      <c r="ID6" s="770"/>
      <c r="IE6" s="770"/>
      <c r="IF6" s="770"/>
      <c r="IG6" s="770"/>
      <c r="IH6" s="770"/>
      <c r="II6" s="770"/>
      <c r="IJ6" s="770"/>
      <c r="IK6" s="770"/>
      <c r="IL6" s="770"/>
      <c r="IM6" s="770"/>
      <c r="IN6" s="770"/>
      <c r="IO6" s="770"/>
      <c r="IP6" s="770"/>
      <c r="IQ6" s="770"/>
      <c r="IR6" s="770"/>
      <c r="IS6" s="770"/>
      <c r="IT6" s="770"/>
      <c r="IU6" s="770"/>
      <c r="IV6" s="770"/>
      <c r="IW6" s="769"/>
      <c r="IX6" s="770"/>
      <c r="IY6" s="770"/>
      <c r="IZ6" s="770"/>
      <c r="JA6" s="770"/>
      <c r="JB6" s="770">
        <v>2016</v>
      </c>
      <c r="JC6" s="770">
        <v>2016</v>
      </c>
      <c r="JD6" s="1184">
        <v>2016</v>
      </c>
      <c r="JE6" s="770"/>
      <c r="JF6" s="770"/>
      <c r="JG6" s="770"/>
      <c r="JH6" s="770"/>
      <c r="JI6" s="1191"/>
      <c r="JJ6" s="769"/>
      <c r="JK6" s="770"/>
      <c r="JL6" s="770"/>
      <c r="JM6" s="770"/>
      <c r="JN6" s="770">
        <v>2016</v>
      </c>
      <c r="JO6" s="770">
        <v>2016</v>
      </c>
      <c r="JP6" s="770">
        <v>2016</v>
      </c>
      <c r="JQ6" s="771"/>
      <c r="JR6" s="770"/>
      <c r="JS6" s="770"/>
      <c r="JT6" s="770"/>
      <c r="JU6" s="770"/>
      <c r="JV6" s="1192" t="s">
        <v>2676</v>
      </c>
      <c r="JW6" s="769"/>
      <c r="JX6" s="770"/>
      <c r="JY6" s="770">
        <v>2016</v>
      </c>
      <c r="JZ6" s="770">
        <v>2016</v>
      </c>
      <c r="KA6" s="770">
        <v>2016</v>
      </c>
      <c r="KB6" s="776"/>
      <c r="KC6" s="773"/>
      <c r="KD6" s="773"/>
      <c r="KE6" s="773"/>
      <c r="KF6" s="773"/>
      <c r="KG6" s="776"/>
      <c r="KH6" s="773"/>
      <c r="KI6" s="773"/>
      <c r="KJ6" s="773"/>
      <c r="KK6" s="773"/>
      <c r="KL6" s="773"/>
      <c r="KM6" s="773"/>
      <c r="KN6" s="773"/>
      <c r="KO6" s="773"/>
      <c r="KP6" s="776"/>
      <c r="KQ6" s="773"/>
      <c r="KR6" s="773"/>
      <c r="KS6" s="773"/>
      <c r="KT6" s="773"/>
      <c r="KU6" s="773"/>
      <c r="KV6" s="773"/>
      <c r="KW6" s="773"/>
      <c r="KX6" s="773"/>
      <c r="KY6" s="776"/>
      <c r="KZ6" s="773"/>
      <c r="LA6" s="773"/>
      <c r="LB6" s="773"/>
      <c r="LC6" s="773"/>
      <c r="LD6" s="773"/>
      <c r="LE6" s="773"/>
      <c r="LF6" s="773"/>
      <c r="LG6" s="773"/>
      <c r="LH6" s="771"/>
      <c r="LI6" s="770"/>
      <c r="LJ6" s="770"/>
      <c r="LK6" s="770"/>
      <c r="LL6" s="770"/>
      <c r="LM6" s="1192"/>
      <c r="LN6" s="769"/>
      <c r="LO6" s="770"/>
      <c r="LP6" s="770">
        <v>2016</v>
      </c>
      <c r="LQ6" s="770">
        <v>2016</v>
      </c>
      <c r="LR6" s="770">
        <v>2016</v>
      </c>
      <c r="LS6" s="776"/>
      <c r="LT6" s="773"/>
      <c r="LU6" s="773"/>
      <c r="LV6" s="773"/>
      <c r="LW6" s="773"/>
      <c r="LX6" s="776"/>
      <c r="LY6" s="1310"/>
      <c r="LZ6" s="1311"/>
      <c r="MA6" s="773"/>
      <c r="MB6" s="773"/>
      <c r="MC6" s="773"/>
      <c r="MD6" s="773"/>
      <c r="ME6" s="776"/>
      <c r="MF6" s="773"/>
      <c r="MG6" s="773"/>
      <c r="MH6" s="773"/>
      <c r="MI6" s="776"/>
      <c r="MJ6" s="773"/>
      <c r="MK6" s="773"/>
      <c r="ML6" s="773"/>
      <c r="MM6" s="776"/>
      <c r="MN6" s="773"/>
      <c r="MO6" s="773"/>
      <c r="MP6" s="773"/>
      <c r="MQ6" s="776"/>
      <c r="MR6" s="773"/>
      <c r="MS6" s="773"/>
      <c r="MT6" s="773"/>
      <c r="MU6" s="1310"/>
      <c r="MV6" s="773"/>
      <c r="MW6" s="1311"/>
      <c r="MX6" s="1312"/>
      <c r="MY6" s="1313"/>
      <c r="MZ6" s="1313"/>
      <c r="NA6" s="1314"/>
      <c r="NB6" s="1313"/>
      <c r="NC6" s="1313"/>
      <c r="ND6" s="1313"/>
      <c r="NE6" s="1313"/>
      <c r="NF6" s="1312"/>
      <c r="NG6" s="1313"/>
      <c r="NH6" s="1313"/>
      <c r="NI6" s="1314"/>
      <c r="NJ6" s="1313"/>
      <c r="NK6" s="1313"/>
      <c r="NL6" s="1313"/>
      <c r="NM6" s="1313"/>
      <c r="NN6" s="1312"/>
      <c r="NO6" s="1313"/>
      <c r="NP6" s="1313"/>
      <c r="NQ6" s="1314"/>
      <c r="NR6" s="1312"/>
      <c r="NS6" s="1313"/>
      <c r="NT6" s="1313"/>
      <c r="NU6" s="1314"/>
      <c r="NV6" s="1219">
        <v>2019</v>
      </c>
      <c r="NW6" s="1220">
        <v>2019</v>
      </c>
      <c r="NX6" s="1220">
        <v>2019</v>
      </c>
      <c r="NY6" s="1220">
        <v>2019</v>
      </c>
      <c r="NZ6" s="1220">
        <v>2019</v>
      </c>
      <c r="OA6" s="1221">
        <v>2019</v>
      </c>
      <c r="OB6" s="1220">
        <v>2019</v>
      </c>
      <c r="OC6" s="1220">
        <v>2019</v>
      </c>
      <c r="OD6" s="1220">
        <v>2019</v>
      </c>
      <c r="OE6" s="1220">
        <v>2019</v>
      </c>
      <c r="OF6" s="1220">
        <v>2019</v>
      </c>
      <c r="OG6" s="1221">
        <v>2019</v>
      </c>
      <c r="OH6" s="1220">
        <v>2019</v>
      </c>
      <c r="OI6" s="1220">
        <v>2019</v>
      </c>
      <c r="OJ6" s="1220">
        <v>2019</v>
      </c>
      <c r="OK6" s="1220">
        <v>2019</v>
      </c>
      <c r="OL6" s="1220">
        <v>2019</v>
      </c>
      <c r="OM6" s="1221">
        <v>2019</v>
      </c>
      <c r="ON6" s="1220">
        <v>2019</v>
      </c>
      <c r="OO6" s="1220">
        <v>2019</v>
      </c>
      <c r="OP6" s="1220">
        <v>2019</v>
      </c>
      <c r="OQ6" s="1220">
        <v>2019</v>
      </c>
      <c r="OR6" s="1220">
        <v>2019</v>
      </c>
      <c r="OS6" s="1221">
        <v>2019</v>
      </c>
      <c r="OT6" s="1220">
        <v>2019</v>
      </c>
      <c r="OU6" s="1220">
        <v>2019</v>
      </c>
      <c r="OV6" s="1220">
        <v>2019</v>
      </c>
      <c r="OW6" s="1220">
        <v>2019</v>
      </c>
      <c r="OX6" s="1220">
        <v>2019</v>
      </c>
      <c r="OY6" s="1221">
        <v>2019</v>
      </c>
      <c r="OZ6" s="1220">
        <v>2020</v>
      </c>
      <c r="PA6" s="1220">
        <v>2020</v>
      </c>
      <c r="PB6" s="1220">
        <v>2019</v>
      </c>
      <c r="PC6" s="1220">
        <v>2019</v>
      </c>
      <c r="PD6" s="1220">
        <v>2019</v>
      </c>
      <c r="PE6" s="1224">
        <v>2019</v>
      </c>
      <c r="PF6" s="1219">
        <v>2019</v>
      </c>
      <c r="PG6" s="1220">
        <v>2019</v>
      </c>
      <c r="PH6" s="1220">
        <v>2019</v>
      </c>
      <c r="PI6" s="1220">
        <v>2019</v>
      </c>
      <c r="PJ6" s="1220">
        <v>2019</v>
      </c>
      <c r="PK6" s="1221">
        <v>2019</v>
      </c>
      <c r="PL6" s="1220">
        <v>2019</v>
      </c>
      <c r="PM6" s="1220">
        <v>2019</v>
      </c>
      <c r="PN6" s="1220">
        <v>2019</v>
      </c>
      <c r="PO6" s="1220">
        <v>2019</v>
      </c>
      <c r="PP6" s="1220">
        <v>2019</v>
      </c>
      <c r="PQ6" s="1221">
        <v>2019</v>
      </c>
      <c r="PR6" s="1220">
        <v>2019</v>
      </c>
      <c r="PS6" s="1220">
        <v>2019</v>
      </c>
      <c r="PT6" s="1220">
        <v>2019</v>
      </c>
      <c r="PU6" s="1220">
        <v>2019</v>
      </c>
      <c r="PV6" s="1220">
        <v>2019</v>
      </c>
      <c r="PW6" s="1221">
        <v>2019</v>
      </c>
      <c r="PX6" s="1220">
        <v>2019</v>
      </c>
      <c r="PY6" s="1220">
        <v>2019</v>
      </c>
      <c r="PZ6" s="1220">
        <v>2019</v>
      </c>
      <c r="QA6" s="1220">
        <v>2019</v>
      </c>
      <c r="QB6" s="1220">
        <v>2019</v>
      </c>
      <c r="QC6" s="1224">
        <v>2019</v>
      </c>
      <c r="QD6" s="1219">
        <v>2020</v>
      </c>
      <c r="QE6" s="1220">
        <v>2020</v>
      </c>
      <c r="QF6" s="1220">
        <v>2019</v>
      </c>
      <c r="QG6" s="1220">
        <v>2019</v>
      </c>
      <c r="QH6" s="1220">
        <v>2019</v>
      </c>
      <c r="QI6" s="1221">
        <v>2019</v>
      </c>
      <c r="QJ6" s="1220">
        <v>2019</v>
      </c>
      <c r="QK6" s="1220">
        <v>2019</v>
      </c>
      <c r="QL6" s="1220">
        <v>2019</v>
      </c>
      <c r="QM6" s="1220">
        <v>2019</v>
      </c>
      <c r="QN6" s="1220">
        <v>2019</v>
      </c>
      <c r="QO6" s="1221">
        <v>2019</v>
      </c>
      <c r="QP6" s="1220">
        <v>2019</v>
      </c>
      <c r="QQ6" s="1220">
        <v>2019</v>
      </c>
      <c r="QR6" s="1220">
        <v>2019</v>
      </c>
      <c r="QS6" s="1220">
        <v>2019</v>
      </c>
      <c r="QT6" s="1220">
        <v>2019</v>
      </c>
      <c r="QU6" s="1221">
        <v>2019</v>
      </c>
      <c r="QV6" s="1220">
        <v>2019</v>
      </c>
      <c r="QW6" s="1220">
        <v>2019</v>
      </c>
      <c r="QX6" s="1220">
        <v>2019</v>
      </c>
      <c r="QY6" s="1220">
        <v>2019</v>
      </c>
      <c r="QZ6" s="1220">
        <v>2019</v>
      </c>
      <c r="RA6" s="1221">
        <v>2019</v>
      </c>
      <c r="RB6" s="1220">
        <v>2019</v>
      </c>
      <c r="RC6" s="1220">
        <v>2019</v>
      </c>
      <c r="RD6" s="1220">
        <v>2019</v>
      </c>
      <c r="RE6" s="1220">
        <v>2019</v>
      </c>
      <c r="RF6" s="1220">
        <v>2019</v>
      </c>
      <c r="RG6" s="1224">
        <v>2019</v>
      </c>
      <c r="RH6" s="1219">
        <v>2019</v>
      </c>
      <c r="RI6" s="1220">
        <v>2019</v>
      </c>
      <c r="RJ6" s="1220">
        <v>2019</v>
      </c>
      <c r="RK6" s="1220">
        <v>2019</v>
      </c>
      <c r="RL6" s="1220">
        <v>2019</v>
      </c>
      <c r="RM6" s="1221">
        <v>2019</v>
      </c>
      <c r="RN6" s="1220">
        <v>2019</v>
      </c>
      <c r="RO6" s="1220">
        <v>2019</v>
      </c>
      <c r="RP6" s="1220">
        <v>2019</v>
      </c>
      <c r="RQ6" s="1220">
        <v>2019</v>
      </c>
      <c r="RR6" s="1220">
        <v>2019</v>
      </c>
      <c r="RS6" s="1221">
        <v>2019</v>
      </c>
      <c r="RT6" s="1220">
        <v>2019</v>
      </c>
      <c r="RU6" s="1220">
        <v>2019</v>
      </c>
      <c r="RV6" s="1220">
        <v>2019</v>
      </c>
      <c r="RW6" s="1220">
        <v>2019</v>
      </c>
      <c r="RX6" s="1220">
        <v>2019</v>
      </c>
      <c r="RY6" s="1221">
        <v>2019</v>
      </c>
      <c r="RZ6" s="1220">
        <v>2019</v>
      </c>
      <c r="SA6" s="1220">
        <v>2019</v>
      </c>
      <c r="SB6" s="1220">
        <v>2019</v>
      </c>
      <c r="SC6" s="1220">
        <v>2019</v>
      </c>
      <c r="SD6" s="1220">
        <v>2019</v>
      </c>
      <c r="SE6" s="1221">
        <v>2019</v>
      </c>
      <c r="SF6" s="1220">
        <v>2019</v>
      </c>
      <c r="SG6" s="1220">
        <v>2019</v>
      </c>
      <c r="SH6" s="1220">
        <v>2019</v>
      </c>
      <c r="SI6" s="1220">
        <v>2019</v>
      </c>
      <c r="SJ6" s="1220">
        <v>2019</v>
      </c>
      <c r="SK6" s="1224">
        <v>2019</v>
      </c>
      <c r="SL6" s="1219">
        <v>2020</v>
      </c>
      <c r="SM6" s="1220">
        <v>2020</v>
      </c>
      <c r="SN6" s="1220">
        <v>2019</v>
      </c>
      <c r="SO6" s="1220">
        <v>2019</v>
      </c>
      <c r="SP6" s="1220">
        <v>2019</v>
      </c>
      <c r="SQ6" s="1221">
        <v>2019</v>
      </c>
      <c r="SR6" s="1220">
        <v>2019</v>
      </c>
      <c r="SS6" s="1220">
        <v>2019</v>
      </c>
      <c r="ST6" s="1220">
        <v>2019</v>
      </c>
      <c r="SU6" s="1220">
        <v>2019</v>
      </c>
      <c r="SV6" s="1220">
        <v>2019</v>
      </c>
      <c r="SW6" s="1221">
        <v>2019</v>
      </c>
      <c r="SX6" s="1220">
        <v>2019</v>
      </c>
      <c r="SY6" s="1220">
        <v>2019</v>
      </c>
      <c r="SZ6" s="1220">
        <v>2019</v>
      </c>
      <c r="TA6" s="1220">
        <v>2019</v>
      </c>
      <c r="TB6" s="1220">
        <v>2019</v>
      </c>
      <c r="TC6" s="1221">
        <v>2019</v>
      </c>
      <c r="TD6" s="1220">
        <v>2019</v>
      </c>
      <c r="TE6" s="1220">
        <v>2019</v>
      </c>
      <c r="TF6" s="1220">
        <v>2019</v>
      </c>
      <c r="TG6" s="1220">
        <v>2019</v>
      </c>
      <c r="TH6" s="1220">
        <v>2019</v>
      </c>
      <c r="TI6" s="1221">
        <v>2019</v>
      </c>
      <c r="TJ6" s="1220">
        <v>2019</v>
      </c>
      <c r="TK6" s="1220">
        <v>2019</v>
      </c>
      <c r="TL6" s="1220">
        <v>2019</v>
      </c>
      <c r="TM6" s="1220">
        <v>2019</v>
      </c>
      <c r="TN6" s="1220">
        <v>2019</v>
      </c>
      <c r="TO6" s="1224">
        <v>2019</v>
      </c>
      <c r="TP6" s="1219">
        <v>2020</v>
      </c>
      <c r="TQ6" s="1220">
        <v>2020</v>
      </c>
      <c r="TR6" s="1220">
        <v>2019</v>
      </c>
      <c r="TS6" s="1220">
        <v>2019</v>
      </c>
      <c r="TT6" s="1220">
        <v>2019</v>
      </c>
      <c r="TU6" s="1221">
        <v>2019</v>
      </c>
      <c r="TV6" s="1220">
        <v>2019</v>
      </c>
      <c r="TW6" s="1220">
        <v>2019</v>
      </c>
      <c r="TX6" s="1220">
        <v>2019</v>
      </c>
      <c r="TY6" s="1220">
        <v>2019</v>
      </c>
      <c r="TZ6" s="1220">
        <v>2019</v>
      </c>
      <c r="UA6" s="1221">
        <v>2019</v>
      </c>
      <c r="UB6" s="1220">
        <v>2019</v>
      </c>
      <c r="UC6" s="1220">
        <v>2019</v>
      </c>
      <c r="UD6" s="1220">
        <v>2019</v>
      </c>
      <c r="UE6" s="1220">
        <v>2019</v>
      </c>
      <c r="UF6" s="1220">
        <v>2019</v>
      </c>
      <c r="UG6" s="1221">
        <v>2019</v>
      </c>
      <c r="UH6" s="1220">
        <v>2019</v>
      </c>
      <c r="UI6" s="1220">
        <v>2019</v>
      </c>
      <c r="UJ6" s="1220">
        <v>2019</v>
      </c>
      <c r="UK6" s="1220">
        <v>2019</v>
      </c>
      <c r="UL6" s="1220">
        <v>2019</v>
      </c>
      <c r="UM6" s="1221">
        <v>2019</v>
      </c>
      <c r="UN6" s="1220">
        <v>2019</v>
      </c>
      <c r="UO6" s="1220">
        <v>2019</v>
      </c>
      <c r="UP6" s="1220">
        <v>2019</v>
      </c>
      <c r="UQ6" s="1220">
        <v>2019</v>
      </c>
      <c r="UR6" s="1220">
        <v>2019</v>
      </c>
      <c r="US6" s="1224">
        <v>2019</v>
      </c>
      <c r="UT6" s="1219">
        <v>2019</v>
      </c>
      <c r="UU6" s="1220">
        <v>2019</v>
      </c>
      <c r="UV6" s="1220">
        <v>2019</v>
      </c>
      <c r="UW6" s="1220">
        <v>2019</v>
      </c>
      <c r="UX6" s="1220">
        <v>2019</v>
      </c>
      <c r="UY6" s="1221">
        <v>2019</v>
      </c>
      <c r="UZ6" s="1220">
        <v>2019</v>
      </c>
      <c r="VA6" s="1220">
        <v>2019</v>
      </c>
      <c r="VB6" s="1220">
        <v>2019</v>
      </c>
      <c r="VC6" s="1220">
        <v>2019</v>
      </c>
      <c r="VD6" s="1220">
        <v>2019</v>
      </c>
      <c r="VE6" s="1221">
        <v>2019</v>
      </c>
      <c r="VF6" s="1220">
        <v>2019</v>
      </c>
      <c r="VG6" s="1220">
        <v>2019</v>
      </c>
      <c r="VH6" s="1220">
        <v>2019</v>
      </c>
      <c r="VI6" s="1220">
        <v>2019</v>
      </c>
      <c r="VJ6" s="1220">
        <v>2019</v>
      </c>
      <c r="VK6" s="1221">
        <v>2019</v>
      </c>
      <c r="VL6" s="1220">
        <v>2019</v>
      </c>
      <c r="VM6" s="1220">
        <v>2019</v>
      </c>
      <c r="VN6" s="1220">
        <v>2019</v>
      </c>
      <c r="VO6" s="1220">
        <v>2019</v>
      </c>
      <c r="VP6" s="1220">
        <v>2019</v>
      </c>
      <c r="VQ6" s="1221">
        <v>2019</v>
      </c>
      <c r="VR6" s="1220">
        <v>2019</v>
      </c>
      <c r="VS6" s="1220">
        <v>2019</v>
      </c>
      <c r="VT6" s="1220">
        <v>2019</v>
      </c>
      <c r="VU6" s="1220">
        <v>2019</v>
      </c>
      <c r="VV6" s="1220">
        <v>2019</v>
      </c>
      <c r="VW6" s="1221">
        <v>2019</v>
      </c>
      <c r="VX6" s="1220">
        <v>2019</v>
      </c>
      <c r="VY6" s="1220">
        <v>2019</v>
      </c>
      <c r="VZ6" s="1220">
        <v>2019</v>
      </c>
      <c r="WA6" s="1220">
        <v>2019</v>
      </c>
      <c r="WB6" s="1220">
        <v>2019</v>
      </c>
      <c r="WC6" s="1224">
        <v>2019</v>
      </c>
      <c r="WD6" s="1231"/>
      <c r="WE6" s="1143"/>
      <c r="WF6" s="1143"/>
      <c r="WG6" s="1143"/>
      <c r="WH6" s="1143"/>
      <c r="WI6" s="1143"/>
      <c r="WJ6" s="1232"/>
      <c r="WK6" s="1143"/>
      <c r="WL6" s="1143"/>
      <c r="WM6" s="1229"/>
      <c r="WN6" s="1230"/>
      <c r="WO6" s="1143"/>
      <c r="WP6" s="1229"/>
      <c r="WQ6" s="1230"/>
      <c r="WR6" s="1143"/>
      <c r="WS6" s="1229"/>
      <c r="WT6" s="1230"/>
      <c r="WU6" s="1143"/>
      <c r="WV6" s="1229"/>
      <c r="WW6" s="1230"/>
      <c r="WX6" s="1143"/>
      <c r="WY6" s="1229"/>
      <c r="WZ6" s="1230"/>
      <c r="XA6" s="1143"/>
      <c r="XB6" s="1229"/>
      <c r="XC6" s="1230"/>
      <c r="XD6" s="1143"/>
      <c r="XE6" s="1229"/>
      <c r="XF6" s="1230"/>
      <c r="XG6" s="1143"/>
      <c r="XH6" s="1229"/>
      <c r="XI6" s="1230"/>
      <c r="XJ6" s="1143"/>
      <c r="XK6" s="1229"/>
      <c r="XL6" s="1230"/>
      <c r="XM6" s="1143"/>
      <c r="XN6" s="1229"/>
      <c r="XO6" s="1230"/>
      <c r="XP6" s="1143"/>
      <c r="XQ6" s="1143"/>
      <c r="XR6" s="1231"/>
      <c r="XS6" s="1143"/>
      <c r="XT6" s="1143"/>
      <c r="XU6" s="1143"/>
      <c r="XV6" s="1232"/>
      <c r="XW6" s="1233"/>
      <c r="XX6" s="1231"/>
      <c r="XY6" s="1143"/>
      <c r="XZ6" s="1143"/>
      <c r="YA6" s="1232"/>
      <c r="YB6" s="443"/>
      <c r="YC6" s="440"/>
      <c r="YD6" s="440"/>
      <c r="YE6" s="440"/>
      <c r="YF6" s="440"/>
      <c r="YG6" s="440"/>
      <c r="YH6" s="440"/>
      <c r="YI6" s="444"/>
      <c r="YJ6" s="443"/>
      <c r="YK6" s="440"/>
      <c r="YL6" s="440"/>
      <c r="YM6" s="440"/>
      <c r="YN6" s="440"/>
      <c r="YO6" s="440"/>
      <c r="YP6" s="440"/>
      <c r="YQ6" s="444"/>
      <c r="YR6" s="443"/>
      <c r="YS6" s="440"/>
      <c r="YT6" s="440"/>
      <c r="YU6" s="440"/>
      <c r="YV6" s="440"/>
      <c r="YW6" s="440"/>
      <c r="YX6" s="440"/>
      <c r="YY6" s="444"/>
      <c r="YZ6" s="443"/>
      <c r="ZA6" s="440"/>
      <c r="ZB6" s="440"/>
      <c r="ZC6" s="440"/>
      <c r="ZD6" s="440"/>
      <c r="ZE6" s="440"/>
      <c r="ZF6" s="440"/>
      <c r="ZG6" s="444"/>
      <c r="ZH6" s="443"/>
      <c r="ZI6" s="440"/>
      <c r="ZJ6" s="440"/>
      <c r="ZK6" s="440"/>
      <c r="ZL6" s="440"/>
      <c r="ZM6" s="440"/>
      <c r="ZN6" s="440"/>
      <c r="ZO6" s="444"/>
      <c r="ZP6" s="443"/>
      <c r="ZQ6" s="440"/>
      <c r="ZR6" s="440"/>
      <c r="ZS6" s="440"/>
      <c r="ZT6" s="440"/>
      <c r="ZU6" s="440"/>
      <c r="ZV6" s="440"/>
      <c r="ZW6" s="444"/>
      <c r="ZX6" s="443"/>
      <c r="ZY6" s="440"/>
      <c r="ZZ6" s="440"/>
      <c r="AAA6" s="440"/>
      <c r="AAB6" s="440"/>
      <c r="AAC6" s="440"/>
      <c r="AAD6" s="440"/>
      <c r="AAE6" s="444"/>
      <c r="AAF6" s="443"/>
      <c r="AAG6" s="440"/>
      <c r="AAH6" s="440"/>
      <c r="AAI6" s="440"/>
      <c r="AAJ6" s="440"/>
      <c r="AAK6" s="440"/>
      <c r="AAL6" s="440"/>
      <c r="AAM6" s="444"/>
      <c r="AAN6" s="443"/>
      <c r="AAO6" s="440"/>
      <c r="AAP6" s="440"/>
      <c r="AAQ6" s="440"/>
      <c r="AAR6" s="440"/>
      <c r="AAS6" s="440"/>
      <c r="AAT6" s="440"/>
      <c r="AAU6" s="444"/>
      <c r="AAV6" s="443"/>
      <c r="AAW6" s="440"/>
      <c r="AAX6" s="440"/>
      <c r="AAY6" s="440"/>
      <c r="AAZ6" s="440"/>
      <c r="ABA6" s="440"/>
      <c r="ABB6" s="440"/>
      <c r="ABC6" s="444"/>
      <c r="ABD6" s="443"/>
      <c r="ABE6" s="440"/>
      <c r="ABF6" s="440"/>
      <c r="ABG6" s="440"/>
      <c r="ABH6" s="440"/>
      <c r="ABI6" s="440"/>
      <c r="ABJ6" s="440"/>
      <c r="ABK6" s="444"/>
      <c r="ABL6" s="443"/>
      <c r="ABM6" s="440"/>
      <c r="ABN6" s="440"/>
      <c r="ABO6" s="440"/>
      <c r="ABP6" s="440"/>
      <c r="ABQ6" s="440"/>
      <c r="ABR6" s="440"/>
      <c r="ABS6" s="444"/>
      <c r="ABT6" s="443"/>
      <c r="ABU6" s="440"/>
      <c r="ABV6" s="440"/>
      <c r="ABW6" s="440"/>
      <c r="ABX6" s="440"/>
      <c r="ABY6" s="440"/>
      <c r="ABZ6" s="440"/>
      <c r="ACA6" s="444"/>
      <c r="ACB6" s="443"/>
      <c r="ACC6" s="440"/>
      <c r="ACD6" s="440"/>
      <c r="ACE6" s="440"/>
      <c r="ACF6" s="440"/>
      <c r="ACG6" s="440"/>
      <c r="ACH6" s="440"/>
      <c r="ACI6" s="444"/>
      <c r="ACJ6" s="443"/>
      <c r="ACK6" s="440"/>
      <c r="ACL6" s="440"/>
      <c r="ACM6" s="440"/>
      <c r="ACN6" s="440"/>
      <c r="ACO6" s="440"/>
      <c r="ACP6" s="440"/>
      <c r="ACQ6" s="444"/>
      <c r="ACR6" s="443"/>
      <c r="ACS6" s="440"/>
      <c r="ACT6" s="440"/>
      <c r="ACU6" s="440"/>
      <c r="ACV6" s="440"/>
      <c r="ACW6" s="440"/>
      <c r="ACX6" s="440"/>
      <c r="ACY6" s="444"/>
      <c r="ACZ6" s="443"/>
      <c r="ADA6" s="440"/>
      <c r="ADB6" s="440"/>
      <c r="ADC6" s="440"/>
      <c r="ADD6" s="440"/>
      <c r="ADE6" s="440"/>
      <c r="ADF6" s="440"/>
      <c r="ADG6" s="444"/>
      <c r="ADH6" s="443"/>
      <c r="ADI6" s="440"/>
      <c r="ADJ6" s="440"/>
      <c r="ADK6" s="440"/>
      <c r="ADL6" s="440"/>
      <c r="ADM6" s="440"/>
      <c r="ADN6" s="440"/>
      <c r="ADO6" s="444"/>
      <c r="ADP6" s="443"/>
      <c r="ADQ6" s="440"/>
      <c r="ADR6" s="440"/>
      <c r="ADS6" s="440"/>
      <c r="ADT6" s="440"/>
      <c r="ADU6" s="440"/>
      <c r="ADV6" s="440"/>
      <c r="ADW6" s="444"/>
      <c r="ADX6" s="443"/>
      <c r="ADY6" s="440"/>
      <c r="ADZ6" s="440"/>
      <c r="AEA6" s="440"/>
      <c r="AEB6" s="440"/>
      <c r="AEC6" s="440"/>
      <c r="AED6" s="440"/>
      <c r="AEE6" s="444"/>
      <c r="AEF6" s="443"/>
      <c r="AEG6" s="440"/>
      <c r="AEH6" s="440"/>
      <c r="AEI6" s="440"/>
      <c r="AEJ6" s="440"/>
      <c r="AEK6" s="440"/>
      <c r="AEL6" s="440"/>
      <c r="AEM6" s="444"/>
      <c r="AEN6" s="443"/>
      <c r="AEO6" s="440"/>
      <c r="AEP6" s="440"/>
      <c r="AEQ6" s="440"/>
      <c r="AER6" s="440"/>
      <c r="AES6" s="440"/>
      <c r="AET6" s="440"/>
      <c r="AEU6" s="444"/>
      <c r="AEV6" s="443"/>
      <c r="AEW6" s="440"/>
      <c r="AEX6" s="440"/>
      <c r="AEY6" s="440"/>
      <c r="AEZ6" s="440"/>
      <c r="AFA6" s="440"/>
      <c r="AFB6" s="440"/>
      <c r="AFC6" s="444"/>
      <c r="AFD6" s="443"/>
      <c r="AFE6" s="440"/>
      <c r="AFF6" s="440"/>
      <c r="AFG6" s="440"/>
      <c r="AFH6" s="440"/>
      <c r="AFI6" s="440"/>
      <c r="AFJ6" s="440"/>
      <c r="AFK6" s="444"/>
      <c r="AFL6" s="440"/>
      <c r="AFM6" s="440"/>
      <c r="AFN6" s="440"/>
      <c r="AFO6" s="440"/>
      <c r="AFP6" s="440"/>
      <c r="AFQ6" s="440"/>
      <c r="AFR6" s="440"/>
      <c r="AFS6" s="440"/>
      <c r="AFT6" s="443"/>
      <c r="AFU6" s="440"/>
      <c r="AFV6" s="440"/>
      <c r="AFW6" s="440"/>
      <c r="AFX6" s="440"/>
      <c r="AFY6" s="440"/>
      <c r="AFZ6" s="440"/>
      <c r="AGA6" s="444"/>
      <c r="AGB6" s="440"/>
      <c r="AGC6" s="440"/>
      <c r="AGD6" s="440"/>
      <c r="AGE6" s="440"/>
      <c r="AGF6" s="440"/>
      <c r="AGG6" s="440"/>
      <c r="AGH6" s="440"/>
      <c r="AGI6" s="440"/>
      <c r="AGJ6" s="443"/>
      <c r="AGK6" s="440"/>
      <c r="AGL6" s="440"/>
      <c r="AGM6" s="440"/>
      <c r="AGN6" s="440"/>
      <c r="AGO6" s="440"/>
      <c r="AGP6" s="440"/>
      <c r="AGQ6" s="444"/>
      <c r="AGR6" s="443"/>
      <c r="AGS6" s="440"/>
      <c r="AGT6" s="440"/>
      <c r="AGU6" s="440"/>
      <c r="AGV6" s="440"/>
      <c r="AGW6" s="440"/>
      <c r="AGX6" s="440"/>
      <c r="AGY6" s="444"/>
      <c r="AGZ6" s="443"/>
      <c r="AHA6" s="440"/>
      <c r="AHB6" s="440"/>
      <c r="AHC6" s="440"/>
      <c r="AHD6" s="440"/>
      <c r="AHE6" s="440"/>
      <c r="AHF6" s="440"/>
      <c r="AHG6" s="444"/>
      <c r="AHH6" s="443"/>
      <c r="AHI6" s="440"/>
      <c r="AHJ6" s="440"/>
      <c r="AHK6" s="440"/>
      <c r="AHL6" s="440"/>
      <c r="AHM6" s="440"/>
      <c r="AHN6" s="440"/>
      <c r="AHO6" s="444"/>
      <c r="AHP6" s="443"/>
      <c r="AHQ6" s="440"/>
      <c r="AHR6" s="440"/>
      <c r="AHS6" s="440"/>
      <c r="AHT6" s="440"/>
      <c r="AHU6" s="440"/>
      <c r="AHV6" s="440"/>
      <c r="AHW6" s="444"/>
      <c r="AHX6" s="443"/>
      <c r="AHY6" s="440"/>
      <c r="AHZ6" s="440"/>
      <c r="AIA6" s="440"/>
      <c r="AIB6" s="440"/>
      <c r="AIC6" s="440"/>
      <c r="AID6" s="440"/>
      <c r="AIE6" s="444"/>
      <c r="AIF6" s="443"/>
      <c r="AIG6" s="440"/>
      <c r="AIH6" s="440"/>
      <c r="AII6" s="440"/>
      <c r="AIJ6" s="440"/>
      <c r="AIK6" s="440"/>
      <c r="AIL6" s="440"/>
      <c r="AIM6" s="444"/>
      <c r="AIN6" s="443"/>
      <c r="AIO6" s="440"/>
      <c r="AIP6" s="440"/>
      <c r="AIQ6" s="440"/>
      <c r="AIR6" s="440"/>
      <c r="AIS6" s="440"/>
      <c r="AIT6" s="440"/>
      <c r="AIU6" s="444"/>
      <c r="AIV6" s="443"/>
      <c r="AIW6" s="440"/>
      <c r="AIX6" s="440"/>
      <c r="AIY6" s="440"/>
      <c r="AIZ6" s="440"/>
      <c r="AJA6" s="440"/>
      <c r="AJB6" s="440"/>
      <c r="AJC6" s="444"/>
      <c r="AJD6" s="443"/>
      <c r="AJE6" s="440"/>
      <c r="AJF6" s="440"/>
      <c r="AJG6" s="440"/>
      <c r="AJH6" s="440"/>
      <c r="AJI6" s="440"/>
      <c r="AJJ6" s="440"/>
      <c r="AJK6" s="444"/>
      <c r="AJL6" s="443"/>
      <c r="AJM6" s="440"/>
      <c r="AJN6" s="440"/>
      <c r="AJO6" s="440"/>
      <c r="AJP6" s="440"/>
      <c r="AJQ6" s="440"/>
      <c r="AJR6" s="440"/>
      <c r="AJS6" s="444"/>
      <c r="AJT6" s="1231"/>
      <c r="AJU6" s="1143"/>
      <c r="AJV6" s="1143"/>
      <c r="AJW6" s="1232"/>
      <c r="AJX6" s="1231"/>
      <c r="AJY6" s="1143"/>
      <c r="AJZ6" s="1143"/>
      <c r="AKA6" s="1143"/>
      <c r="AKB6" s="1143"/>
      <c r="AKC6" s="1232"/>
      <c r="AKD6" s="443"/>
      <c r="AKE6" s="440"/>
      <c r="AKF6" s="440"/>
      <c r="AKG6" s="440"/>
      <c r="AKH6" s="440"/>
      <c r="AKI6" s="440"/>
      <c r="AKJ6" s="440"/>
      <c r="AKK6" s="440"/>
      <c r="AKL6" s="443"/>
      <c r="AKM6" s="440"/>
      <c r="AKN6" s="440"/>
      <c r="AKO6" s="440"/>
      <c r="AKP6" s="440"/>
      <c r="AKQ6" s="440"/>
      <c r="AKR6" s="440"/>
      <c r="AKS6" s="444"/>
      <c r="AKT6" s="443"/>
      <c r="AKU6" s="440"/>
      <c r="AKV6" s="440"/>
      <c r="AKW6" s="440"/>
      <c r="AKX6" s="440"/>
      <c r="AKY6" s="440"/>
      <c r="AKZ6" s="440"/>
      <c r="ALA6" s="444"/>
      <c r="ALB6" s="443"/>
      <c r="ALC6" s="440"/>
      <c r="ALD6" s="440"/>
      <c r="ALE6" s="440"/>
      <c r="ALF6" s="440"/>
      <c r="ALG6" s="440"/>
      <c r="ALH6" s="440"/>
      <c r="ALI6" s="444"/>
      <c r="ALJ6" s="443"/>
      <c r="ALK6" s="440"/>
      <c r="ALL6" s="440"/>
      <c r="ALM6" s="440"/>
      <c r="ALN6" s="440"/>
      <c r="ALO6" s="440"/>
      <c r="ALP6" s="440"/>
      <c r="ALQ6" s="444"/>
      <c r="ALR6" s="443"/>
      <c r="ALS6" s="440"/>
      <c r="ALT6" s="440"/>
      <c r="ALU6" s="440"/>
      <c r="ALV6" s="440"/>
      <c r="ALW6" s="440"/>
      <c r="ALX6" s="440"/>
      <c r="ALY6" s="444"/>
    </row>
    <row r="7" spans="1:1013" s="74" customFormat="1" ht="30" hidden="1" outlineLevel="1">
      <c r="A7" s="1237" t="s">
        <v>101</v>
      </c>
      <c r="B7" s="1174"/>
      <c r="C7" s="1175"/>
      <c r="D7" s="1176"/>
      <c r="E7" s="1177" t="s">
        <v>1762</v>
      </c>
      <c r="F7" s="1178" t="s">
        <v>1762</v>
      </c>
      <c r="G7" s="1179" t="s">
        <v>1762</v>
      </c>
      <c r="H7" s="1209"/>
      <c r="I7" s="1181" t="s">
        <v>1762</v>
      </c>
      <c r="J7" s="1181" t="s">
        <v>1762</v>
      </c>
      <c r="K7" s="1181" t="s">
        <v>1762</v>
      </c>
      <c r="L7" s="1209" t="s">
        <v>959</v>
      </c>
      <c r="M7" s="1181"/>
      <c r="N7" s="1181"/>
      <c r="O7" s="1182"/>
      <c r="P7" s="1183" t="s">
        <v>1691</v>
      </c>
      <c r="Q7" s="1184"/>
      <c r="R7" s="770" t="s">
        <v>1762</v>
      </c>
      <c r="S7" s="770" t="s">
        <v>1763</v>
      </c>
      <c r="T7" s="1184" t="s">
        <v>1764</v>
      </c>
      <c r="U7" s="770" t="s">
        <v>1691</v>
      </c>
      <c r="V7" s="770" t="s">
        <v>1691</v>
      </c>
      <c r="W7" s="770" t="s">
        <v>1691</v>
      </c>
      <c r="X7" s="770" t="s">
        <v>1691</v>
      </c>
      <c r="Y7" s="1184" t="s">
        <v>1691</v>
      </c>
      <c r="Z7" s="770"/>
      <c r="AA7" s="770"/>
      <c r="AB7" s="770"/>
      <c r="AC7" s="770"/>
      <c r="AD7" s="1184"/>
      <c r="AE7" s="770"/>
      <c r="AF7" s="770"/>
      <c r="AG7" s="770"/>
      <c r="AH7" s="770"/>
      <c r="AI7" s="1184"/>
      <c r="AJ7" s="770"/>
      <c r="AK7" s="770"/>
      <c r="AL7" s="770"/>
      <c r="AM7" s="770"/>
      <c r="AN7" s="770"/>
      <c r="AO7" s="771"/>
      <c r="AP7" s="770"/>
      <c r="AQ7" s="770"/>
      <c r="AR7" s="770"/>
      <c r="AS7" s="770"/>
      <c r="AT7" s="770"/>
      <c r="AU7" s="770"/>
      <c r="AV7" s="771"/>
      <c r="AW7" s="770"/>
      <c r="AX7" s="770"/>
      <c r="AY7" s="770"/>
      <c r="AZ7" s="770"/>
      <c r="BA7" s="1183"/>
      <c r="BB7" s="770" t="s">
        <v>1790</v>
      </c>
      <c r="BC7" s="770" t="s">
        <v>1762</v>
      </c>
      <c r="BD7" s="770" t="s">
        <v>1762</v>
      </c>
      <c r="BE7" s="770" t="s">
        <v>1762</v>
      </c>
      <c r="BF7" s="770"/>
      <c r="BG7" s="1184"/>
      <c r="BH7" s="770" t="s">
        <v>1691</v>
      </c>
      <c r="BI7" s="770" t="s">
        <v>1691</v>
      </c>
      <c r="BJ7" s="770" t="s">
        <v>1691</v>
      </c>
      <c r="BK7" s="770" t="s">
        <v>1691</v>
      </c>
      <c r="BL7" s="770" t="s">
        <v>1691</v>
      </c>
      <c r="BM7" s="770" t="s">
        <v>1691</v>
      </c>
      <c r="BN7" s="770" t="s">
        <v>1691</v>
      </c>
      <c r="BO7" s="770" t="s">
        <v>1691</v>
      </c>
      <c r="BP7" s="770" t="s">
        <v>1691</v>
      </c>
      <c r="BQ7" s="770" t="s">
        <v>1691</v>
      </c>
      <c r="BR7" s="770" t="s">
        <v>1691</v>
      </c>
      <c r="BS7" s="770" t="s">
        <v>1691</v>
      </c>
      <c r="BT7" s="770" t="s">
        <v>1691</v>
      </c>
      <c r="BU7" s="770" t="s">
        <v>1691</v>
      </c>
      <c r="BV7" s="1184" t="s">
        <v>1691</v>
      </c>
      <c r="BW7" s="770"/>
      <c r="BX7" s="770"/>
      <c r="BY7" s="770"/>
      <c r="BZ7" s="770"/>
      <c r="CA7" s="770"/>
      <c r="CB7" s="770"/>
      <c r="CC7" s="770"/>
      <c r="CD7" s="770"/>
      <c r="CE7" s="770"/>
      <c r="CF7" s="770"/>
      <c r="CG7" s="770"/>
      <c r="CH7" s="770"/>
      <c r="CI7" s="770"/>
      <c r="CJ7" s="770"/>
      <c r="CK7" s="770"/>
      <c r="CL7" s="771"/>
      <c r="CM7" s="770"/>
      <c r="CN7" s="770"/>
      <c r="CO7" s="770"/>
      <c r="CP7" s="770"/>
      <c r="CQ7" s="770"/>
      <c r="CR7" s="770"/>
      <c r="CS7" s="770"/>
      <c r="CT7" s="770"/>
      <c r="CU7" s="770"/>
      <c r="CV7" s="770"/>
      <c r="CW7" s="770"/>
      <c r="CX7" s="770"/>
      <c r="CY7" s="770"/>
      <c r="CZ7" s="770"/>
      <c r="DA7" s="771"/>
      <c r="DB7" s="770"/>
      <c r="DC7" s="770"/>
      <c r="DD7" s="770"/>
      <c r="DE7" s="770"/>
      <c r="DF7" s="771"/>
      <c r="DG7" s="770"/>
      <c r="DH7" s="770"/>
      <c r="DI7" s="770"/>
      <c r="DJ7" s="770"/>
      <c r="DK7" s="769"/>
      <c r="DL7" s="770"/>
      <c r="DM7" s="770"/>
      <c r="DN7" s="770" t="s">
        <v>1762</v>
      </c>
      <c r="DO7" s="770" t="s">
        <v>1762</v>
      </c>
      <c r="DP7" s="770" t="s">
        <v>1762</v>
      </c>
      <c r="DQ7" s="771"/>
      <c r="DR7" s="770"/>
      <c r="DS7" s="770"/>
      <c r="DT7" s="770"/>
      <c r="DU7" s="770"/>
      <c r="DV7" s="770"/>
      <c r="DW7" s="770"/>
      <c r="DX7" s="771"/>
      <c r="DY7" s="770"/>
      <c r="DZ7" s="770"/>
      <c r="EA7" s="770"/>
      <c r="EB7" s="770"/>
      <c r="EC7" s="770"/>
      <c r="ED7" s="1191"/>
      <c r="EE7" s="770"/>
      <c r="EF7" s="770"/>
      <c r="EG7" s="770"/>
      <c r="EH7" s="770" t="s">
        <v>1762</v>
      </c>
      <c r="EI7" s="770" t="s">
        <v>1762</v>
      </c>
      <c r="EJ7" s="770" t="s">
        <v>1762</v>
      </c>
      <c r="EK7" s="769"/>
      <c r="EL7" s="770"/>
      <c r="EM7" s="770"/>
      <c r="EN7" s="770"/>
      <c r="EO7" s="770"/>
      <c r="EP7" s="770"/>
      <c r="EQ7" s="770"/>
      <c r="ER7" s="770"/>
      <c r="ES7" s="770"/>
      <c r="ET7" s="770"/>
      <c r="EU7" s="770"/>
      <c r="EV7" s="770"/>
      <c r="EW7" s="770"/>
      <c r="EX7" s="770"/>
      <c r="EY7" s="770"/>
      <c r="EZ7" s="770"/>
      <c r="FA7" s="770"/>
      <c r="FB7" s="770"/>
      <c r="FC7" s="770"/>
      <c r="FD7" s="770"/>
      <c r="FE7" s="770"/>
      <c r="FF7" s="770"/>
      <c r="FG7" s="770"/>
      <c r="FH7" s="770"/>
      <c r="FI7" s="770"/>
      <c r="FJ7" s="770"/>
      <c r="FK7" s="770"/>
      <c r="FL7" s="770"/>
      <c r="FM7" s="770"/>
      <c r="FN7" s="770"/>
      <c r="FO7" s="770"/>
      <c r="FP7" s="770"/>
      <c r="FQ7" s="770"/>
      <c r="FR7" s="770"/>
      <c r="FS7" s="770"/>
      <c r="FT7" s="770"/>
      <c r="FU7" s="770"/>
      <c r="FV7" s="770"/>
      <c r="FW7" s="770"/>
      <c r="FX7" s="770"/>
      <c r="FY7" s="770"/>
      <c r="FZ7" s="770"/>
      <c r="GA7" s="770"/>
      <c r="GB7" s="770"/>
      <c r="GC7" s="770"/>
      <c r="GD7" s="770"/>
      <c r="GE7" s="770"/>
      <c r="GF7" s="770"/>
      <c r="GG7" s="770"/>
      <c r="GH7" s="770"/>
      <c r="GI7" s="770"/>
      <c r="GJ7" s="770"/>
      <c r="GK7" s="770"/>
      <c r="GL7" s="770"/>
      <c r="GM7" s="770"/>
      <c r="GN7" s="770"/>
      <c r="GO7" s="770"/>
      <c r="GP7" s="770"/>
      <c r="GQ7" s="771"/>
      <c r="GR7" s="770"/>
      <c r="GS7" s="770"/>
      <c r="GT7" s="770"/>
      <c r="GU7" s="770"/>
      <c r="GV7" s="770"/>
      <c r="GW7" s="770"/>
      <c r="GX7" s="770"/>
      <c r="GY7" s="770"/>
      <c r="GZ7" s="770"/>
      <c r="HA7" s="770"/>
      <c r="HB7" s="770"/>
      <c r="HC7" s="770"/>
      <c r="HD7" s="770"/>
      <c r="HE7" s="770"/>
      <c r="HF7" s="770"/>
      <c r="HG7" s="770"/>
      <c r="HH7" s="770"/>
      <c r="HI7" s="770"/>
      <c r="HJ7" s="770"/>
      <c r="HK7" s="770"/>
      <c r="HL7" s="770"/>
      <c r="HM7" s="770"/>
      <c r="HN7" s="770"/>
      <c r="HO7" s="770"/>
      <c r="HP7" s="770"/>
      <c r="HQ7" s="770"/>
      <c r="HR7" s="770"/>
      <c r="HS7" s="770"/>
      <c r="HT7" s="770"/>
      <c r="HU7" s="770"/>
      <c r="HV7" s="770"/>
      <c r="HW7" s="770"/>
      <c r="HX7" s="770"/>
      <c r="HY7" s="770"/>
      <c r="HZ7" s="770"/>
      <c r="IA7" s="770"/>
      <c r="IB7" s="770"/>
      <c r="IC7" s="770"/>
      <c r="ID7" s="770"/>
      <c r="IE7" s="770"/>
      <c r="IF7" s="770"/>
      <c r="IG7" s="770"/>
      <c r="IH7" s="770"/>
      <c r="II7" s="770"/>
      <c r="IJ7" s="770"/>
      <c r="IK7" s="770"/>
      <c r="IL7" s="770"/>
      <c r="IM7" s="770"/>
      <c r="IN7" s="770"/>
      <c r="IO7" s="770"/>
      <c r="IP7" s="770"/>
      <c r="IQ7" s="770"/>
      <c r="IR7" s="770"/>
      <c r="IS7" s="770"/>
      <c r="IT7" s="770"/>
      <c r="IU7" s="770"/>
      <c r="IV7" s="770"/>
      <c r="IW7" s="769"/>
      <c r="IX7" s="770"/>
      <c r="IY7" s="770"/>
      <c r="IZ7" s="770"/>
      <c r="JA7" s="770"/>
      <c r="JB7" s="770" t="s">
        <v>2590</v>
      </c>
      <c r="JC7" s="770" t="s">
        <v>2590</v>
      </c>
      <c r="JD7" s="1184" t="s">
        <v>2590</v>
      </c>
      <c r="JE7" s="770"/>
      <c r="JF7" s="770"/>
      <c r="JG7" s="770"/>
      <c r="JH7" s="770"/>
      <c r="JI7" s="1191"/>
      <c r="JJ7" s="769" t="s">
        <v>1691</v>
      </c>
      <c r="JK7" s="770"/>
      <c r="JL7" s="770"/>
      <c r="JM7" s="770" t="s">
        <v>1691</v>
      </c>
      <c r="JN7" s="770" t="s">
        <v>1762</v>
      </c>
      <c r="JO7" s="770" t="s">
        <v>1762</v>
      </c>
      <c r="JP7" s="770" t="s">
        <v>1762</v>
      </c>
      <c r="JQ7" s="771"/>
      <c r="JR7" s="770"/>
      <c r="JS7" s="770"/>
      <c r="JT7" s="770"/>
      <c r="JU7" s="770"/>
      <c r="JV7" s="1192"/>
      <c r="JW7" s="769" t="s">
        <v>1691</v>
      </c>
      <c r="JX7" s="770" t="s">
        <v>1691</v>
      </c>
      <c r="JY7" s="770" t="s">
        <v>1762</v>
      </c>
      <c r="JZ7" s="770" t="s">
        <v>1762</v>
      </c>
      <c r="KA7" s="770" t="s">
        <v>1762</v>
      </c>
      <c r="KB7" s="771"/>
      <c r="KC7" s="770"/>
      <c r="KD7" s="770"/>
      <c r="KE7" s="770"/>
      <c r="KF7" s="770"/>
      <c r="KG7" s="771"/>
      <c r="KH7" s="770"/>
      <c r="KI7" s="770"/>
      <c r="KJ7" s="770"/>
      <c r="KK7" s="770"/>
      <c r="KL7" s="770"/>
      <c r="KM7" s="770"/>
      <c r="KN7" s="770"/>
      <c r="KO7" s="770"/>
      <c r="KP7" s="771"/>
      <c r="KQ7" s="770"/>
      <c r="KR7" s="770"/>
      <c r="KS7" s="770"/>
      <c r="KT7" s="770"/>
      <c r="KU7" s="770"/>
      <c r="KV7" s="770"/>
      <c r="KW7" s="770"/>
      <c r="KX7" s="770"/>
      <c r="KY7" s="771"/>
      <c r="KZ7" s="770"/>
      <c r="LA7" s="770"/>
      <c r="LB7" s="770"/>
      <c r="LC7" s="770"/>
      <c r="LD7" s="770"/>
      <c r="LE7" s="770"/>
      <c r="LF7" s="770"/>
      <c r="LG7" s="770"/>
      <c r="LH7" s="771"/>
      <c r="LI7" s="770"/>
      <c r="LJ7" s="770"/>
      <c r="LK7" s="770"/>
      <c r="LL7" s="770"/>
      <c r="LM7" s="1192"/>
      <c r="LN7" s="769" t="s">
        <v>1691</v>
      </c>
      <c r="LO7" s="770" t="s">
        <v>1691</v>
      </c>
      <c r="LP7" s="770" t="s">
        <v>1762</v>
      </c>
      <c r="LQ7" s="770" t="s">
        <v>1762</v>
      </c>
      <c r="LR7" s="770" t="s">
        <v>1762</v>
      </c>
      <c r="LS7" s="771"/>
      <c r="LT7" s="770"/>
      <c r="LU7" s="770"/>
      <c r="LV7" s="770"/>
      <c r="LW7" s="770"/>
      <c r="LX7" s="771"/>
      <c r="LY7" s="769"/>
      <c r="LZ7" s="1191"/>
      <c r="MA7" s="770"/>
      <c r="MB7" s="770"/>
      <c r="MC7" s="770"/>
      <c r="MD7" s="770"/>
      <c r="ME7" s="771"/>
      <c r="MF7" s="770"/>
      <c r="MG7" s="770"/>
      <c r="MH7" s="770"/>
      <c r="MI7" s="771"/>
      <c r="MJ7" s="770"/>
      <c r="MK7" s="770"/>
      <c r="ML7" s="770"/>
      <c r="MM7" s="771"/>
      <c r="MN7" s="770"/>
      <c r="MO7" s="770"/>
      <c r="MP7" s="770"/>
      <c r="MQ7" s="771"/>
      <c r="MR7" s="770"/>
      <c r="MS7" s="770"/>
      <c r="MT7" s="770"/>
      <c r="MU7" s="769"/>
      <c r="MV7" s="770"/>
      <c r="MW7" s="1191"/>
      <c r="MX7" s="1193" t="s">
        <v>476</v>
      </c>
      <c r="MY7" s="1194" t="s">
        <v>476</v>
      </c>
      <c r="MZ7" s="1194" t="s">
        <v>476</v>
      </c>
      <c r="NA7" s="1195" t="s">
        <v>476</v>
      </c>
      <c r="NB7" s="1194" t="s">
        <v>476</v>
      </c>
      <c r="NC7" s="1194" t="s">
        <v>476</v>
      </c>
      <c r="ND7" s="1194" t="s">
        <v>476</v>
      </c>
      <c r="NE7" s="1194" t="s">
        <v>476</v>
      </c>
      <c r="NF7" s="1193" t="s">
        <v>476</v>
      </c>
      <c r="NG7" s="1194" t="s">
        <v>476</v>
      </c>
      <c r="NH7" s="1194" t="s">
        <v>476</v>
      </c>
      <c r="NI7" s="1195" t="s">
        <v>476</v>
      </c>
      <c r="NJ7" s="1194" t="s">
        <v>476</v>
      </c>
      <c r="NK7" s="1194" t="s">
        <v>476</v>
      </c>
      <c r="NL7" s="1194" t="s">
        <v>476</v>
      </c>
      <c r="NM7" s="1194" t="s">
        <v>476</v>
      </c>
      <c r="NN7" s="1193" t="s">
        <v>476</v>
      </c>
      <c r="NO7" s="1194" t="s">
        <v>476</v>
      </c>
      <c r="NP7" s="1194" t="s">
        <v>476</v>
      </c>
      <c r="NQ7" s="1195" t="s">
        <v>476</v>
      </c>
      <c r="NR7" s="1193" t="s">
        <v>476</v>
      </c>
      <c r="NS7" s="1194" t="s">
        <v>476</v>
      </c>
      <c r="NT7" s="1194" t="s">
        <v>476</v>
      </c>
      <c r="NU7" s="1195" t="s">
        <v>476</v>
      </c>
      <c r="NV7" s="1193" t="s">
        <v>1805</v>
      </c>
      <c r="NW7" s="1194" t="s">
        <v>1805</v>
      </c>
      <c r="NX7" s="1194" t="s">
        <v>1805</v>
      </c>
      <c r="NY7" s="1194" t="s">
        <v>1805</v>
      </c>
      <c r="NZ7" s="1194" t="s">
        <v>1805</v>
      </c>
      <c r="OA7" s="1234" t="s">
        <v>1805</v>
      </c>
      <c r="OB7" s="1194" t="s">
        <v>1805</v>
      </c>
      <c r="OC7" s="1194" t="s">
        <v>1805</v>
      </c>
      <c r="OD7" s="1194" t="s">
        <v>1805</v>
      </c>
      <c r="OE7" s="1194" t="s">
        <v>1805</v>
      </c>
      <c r="OF7" s="1194" t="s">
        <v>1805</v>
      </c>
      <c r="OG7" s="1234" t="s">
        <v>1805</v>
      </c>
      <c r="OH7" s="1194" t="s">
        <v>1805</v>
      </c>
      <c r="OI7" s="1194" t="s">
        <v>1805</v>
      </c>
      <c r="OJ7" s="1194" t="s">
        <v>1805</v>
      </c>
      <c r="OK7" s="1194" t="s">
        <v>1805</v>
      </c>
      <c r="OL7" s="1194" t="s">
        <v>1805</v>
      </c>
      <c r="OM7" s="1234" t="s">
        <v>1805</v>
      </c>
      <c r="ON7" s="1194" t="s">
        <v>1805</v>
      </c>
      <c r="OO7" s="1194" t="s">
        <v>1805</v>
      </c>
      <c r="OP7" s="1194" t="s">
        <v>1805</v>
      </c>
      <c r="OQ7" s="1194" t="s">
        <v>1805</v>
      </c>
      <c r="OR7" s="1194" t="s">
        <v>1805</v>
      </c>
      <c r="OS7" s="1234" t="s">
        <v>1805</v>
      </c>
      <c r="OT7" s="1194" t="s">
        <v>1805</v>
      </c>
      <c r="OU7" s="1194" t="s">
        <v>1805</v>
      </c>
      <c r="OV7" s="1194" t="s">
        <v>1805</v>
      </c>
      <c r="OW7" s="1194" t="s">
        <v>1805</v>
      </c>
      <c r="OX7" s="1194" t="s">
        <v>1805</v>
      </c>
      <c r="OY7" s="1234" t="s">
        <v>1805</v>
      </c>
      <c r="OZ7" s="1194" t="s">
        <v>1812</v>
      </c>
      <c r="PA7" s="1194" t="s">
        <v>1812</v>
      </c>
      <c r="PB7" s="1194" t="s">
        <v>1805</v>
      </c>
      <c r="PC7" s="1194" t="s">
        <v>1805</v>
      </c>
      <c r="PD7" s="1194" t="s">
        <v>1805</v>
      </c>
      <c r="PE7" s="1195" t="s">
        <v>1805</v>
      </c>
      <c r="PF7" s="1193" t="s">
        <v>1805</v>
      </c>
      <c r="PG7" s="1194" t="s">
        <v>1805</v>
      </c>
      <c r="PH7" s="1194" t="s">
        <v>1805</v>
      </c>
      <c r="PI7" s="1194" t="s">
        <v>1805</v>
      </c>
      <c r="PJ7" s="1194" t="s">
        <v>1805</v>
      </c>
      <c r="PK7" s="1234" t="s">
        <v>1805</v>
      </c>
      <c r="PL7" s="1194" t="s">
        <v>1805</v>
      </c>
      <c r="PM7" s="1194" t="s">
        <v>1805</v>
      </c>
      <c r="PN7" s="1194" t="s">
        <v>1805</v>
      </c>
      <c r="PO7" s="1194" t="s">
        <v>1805</v>
      </c>
      <c r="PP7" s="1194" t="s">
        <v>1805</v>
      </c>
      <c r="PQ7" s="1234" t="s">
        <v>1805</v>
      </c>
      <c r="PR7" s="1194" t="s">
        <v>1805</v>
      </c>
      <c r="PS7" s="1194" t="s">
        <v>1805</v>
      </c>
      <c r="PT7" s="1194" t="s">
        <v>1805</v>
      </c>
      <c r="PU7" s="1194" t="s">
        <v>1805</v>
      </c>
      <c r="PV7" s="1194" t="s">
        <v>1805</v>
      </c>
      <c r="PW7" s="1234" t="s">
        <v>1805</v>
      </c>
      <c r="PX7" s="1194" t="s">
        <v>1805</v>
      </c>
      <c r="PY7" s="1194" t="s">
        <v>1805</v>
      </c>
      <c r="PZ7" s="1194" t="s">
        <v>1805</v>
      </c>
      <c r="QA7" s="1194" t="s">
        <v>1805</v>
      </c>
      <c r="QB7" s="1194" t="s">
        <v>1805</v>
      </c>
      <c r="QC7" s="1195" t="s">
        <v>1805</v>
      </c>
      <c r="QD7" s="1193" t="s">
        <v>1812</v>
      </c>
      <c r="QE7" s="1194" t="s">
        <v>1812</v>
      </c>
      <c r="QF7" s="1194" t="s">
        <v>1805</v>
      </c>
      <c r="QG7" s="1194" t="s">
        <v>1805</v>
      </c>
      <c r="QH7" s="1194" t="s">
        <v>1805</v>
      </c>
      <c r="QI7" s="1234" t="s">
        <v>1805</v>
      </c>
      <c r="QJ7" s="1194" t="s">
        <v>1805</v>
      </c>
      <c r="QK7" s="1194" t="s">
        <v>1805</v>
      </c>
      <c r="QL7" s="1194" t="s">
        <v>1805</v>
      </c>
      <c r="QM7" s="1194" t="s">
        <v>1805</v>
      </c>
      <c r="QN7" s="1194" t="s">
        <v>1805</v>
      </c>
      <c r="QO7" s="1234" t="s">
        <v>1805</v>
      </c>
      <c r="QP7" s="1194" t="s">
        <v>1805</v>
      </c>
      <c r="QQ7" s="1194" t="s">
        <v>1805</v>
      </c>
      <c r="QR7" s="1194" t="s">
        <v>1805</v>
      </c>
      <c r="QS7" s="1194" t="s">
        <v>1805</v>
      </c>
      <c r="QT7" s="1194" t="s">
        <v>1805</v>
      </c>
      <c r="QU7" s="1234" t="s">
        <v>1805</v>
      </c>
      <c r="QV7" s="1194" t="s">
        <v>1805</v>
      </c>
      <c r="QW7" s="1194" t="s">
        <v>1805</v>
      </c>
      <c r="QX7" s="1194" t="s">
        <v>1805</v>
      </c>
      <c r="QY7" s="1194" t="s">
        <v>1805</v>
      </c>
      <c r="QZ7" s="1194" t="s">
        <v>1805</v>
      </c>
      <c r="RA7" s="1234" t="s">
        <v>1805</v>
      </c>
      <c r="RB7" s="1194" t="s">
        <v>1805</v>
      </c>
      <c r="RC7" s="1194" t="s">
        <v>1805</v>
      </c>
      <c r="RD7" s="1194" t="s">
        <v>1805</v>
      </c>
      <c r="RE7" s="1194" t="s">
        <v>1805</v>
      </c>
      <c r="RF7" s="1194" t="s">
        <v>1805</v>
      </c>
      <c r="RG7" s="1195" t="s">
        <v>1805</v>
      </c>
      <c r="RH7" s="1193" t="s">
        <v>1805</v>
      </c>
      <c r="RI7" s="1194" t="s">
        <v>1805</v>
      </c>
      <c r="RJ7" s="1194" t="s">
        <v>1805</v>
      </c>
      <c r="RK7" s="1194" t="s">
        <v>1805</v>
      </c>
      <c r="RL7" s="1194" t="s">
        <v>1805</v>
      </c>
      <c r="RM7" s="1234" t="s">
        <v>1805</v>
      </c>
      <c r="RN7" s="1194" t="s">
        <v>1805</v>
      </c>
      <c r="RO7" s="1194" t="s">
        <v>1805</v>
      </c>
      <c r="RP7" s="1194" t="s">
        <v>1805</v>
      </c>
      <c r="RQ7" s="1194" t="s">
        <v>1805</v>
      </c>
      <c r="RR7" s="1194" t="s">
        <v>1805</v>
      </c>
      <c r="RS7" s="1234" t="s">
        <v>1805</v>
      </c>
      <c r="RT7" s="1194" t="s">
        <v>1805</v>
      </c>
      <c r="RU7" s="1194" t="s">
        <v>1805</v>
      </c>
      <c r="RV7" s="1194" t="s">
        <v>1805</v>
      </c>
      <c r="RW7" s="1194" t="s">
        <v>1805</v>
      </c>
      <c r="RX7" s="1194" t="s">
        <v>1805</v>
      </c>
      <c r="RY7" s="1234" t="s">
        <v>1805</v>
      </c>
      <c r="RZ7" s="1194" t="s">
        <v>1805</v>
      </c>
      <c r="SA7" s="1194" t="s">
        <v>1805</v>
      </c>
      <c r="SB7" s="1194" t="s">
        <v>1805</v>
      </c>
      <c r="SC7" s="1194" t="s">
        <v>1805</v>
      </c>
      <c r="SD7" s="1194" t="s">
        <v>1805</v>
      </c>
      <c r="SE7" s="1234" t="s">
        <v>1805</v>
      </c>
      <c r="SF7" s="1194" t="s">
        <v>1805</v>
      </c>
      <c r="SG7" s="1194" t="s">
        <v>1805</v>
      </c>
      <c r="SH7" s="1194" t="s">
        <v>1805</v>
      </c>
      <c r="SI7" s="1194" t="s">
        <v>1805</v>
      </c>
      <c r="SJ7" s="1194" t="s">
        <v>1805</v>
      </c>
      <c r="SK7" s="1195" t="s">
        <v>1805</v>
      </c>
      <c r="SL7" s="1193" t="s">
        <v>1812</v>
      </c>
      <c r="SM7" s="1194" t="s">
        <v>1812</v>
      </c>
      <c r="SN7" s="1194" t="s">
        <v>1805</v>
      </c>
      <c r="SO7" s="1194" t="s">
        <v>1805</v>
      </c>
      <c r="SP7" s="1194" t="s">
        <v>1805</v>
      </c>
      <c r="SQ7" s="1234" t="s">
        <v>1805</v>
      </c>
      <c r="SR7" s="1194" t="s">
        <v>1805</v>
      </c>
      <c r="SS7" s="1194" t="s">
        <v>1805</v>
      </c>
      <c r="ST7" s="1194" t="s">
        <v>1805</v>
      </c>
      <c r="SU7" s="1194" t="s">
        <v>1805</v>
      </c>
      <c r="SV7" s="1194" t="s">
        <v>1805</v>
      </c>
      <c r="SW7" s="1234" t="s">
        <v>1805</v>
      </c>
      <c r="SX7" s="1194" t="s">
        <v>1805</v>
      </c>
      <c r="SY7" s="1194" t="s">
        <v>1805</v>
      </c>
      <c r="SZ7" s="1194" t="s">
        <v>1805</v>
      </c>
      <c r="TA7" s="1194" t="s">
        <v>1805</v>
      </c>
      <c r="TB7" s="1194" t="s">
        <v>1805</v>
      </c>
      <c r="TC7" s="1234" t="s">
        <v>1805</v>
      </c>
      <c r="TD7" s="1194" t="s">
        <v>1805</v>
      </c>
      <c r="TE7" s="1194" t="s">
        <v>1805</v>
      </c>
      <c r="TF7" s="1194" t="s">
        <v>1805</v>
      </c>
      <c r="TG7" s="1194" t="s">
        <v>1805</v>
      </c>
      <c r="TH7" s="1194" t="s">
        <v>1805</v>
      </c>
      <c r="TI7" s="1234" t="s">
        <v>1805</v>
      </c>
      <c r="TJ7" s="1194" t="s">
        <v>1805</v>
      </c>
      <c r="TK7" s="1194" t="s">
        <v>1805</v>
      </c>
      <c r="TL7" s="1194" t="s">
        <v>1805</v>
      </c>
      <c r="TM7" s="1194" t="s">
        <v>1805</v>
      </c>
      <c r="TN7" s="1194" t="s">
        <v>1805</v>
      </c>
      <c r="TO7" s="1195" t="s">
        <v>1805</v>
      </c>
      <c r="TP7" s="1193" t="s">
        <v>1812</v>
      </c>
      <c r="TQ7" s="1194" t="s">
        <v>1812</v>
      </c>
      <c r="TR7" s="1194" t="s">
        <v>1805</v>
      </c>
      <c r="TS7" s="1194" t="s">
        <v>1805</v>
      </c>
      <c r="TT7" s="1194" t="s">
        <v>1805</v>
      </c>
      <c r="TU7" s="1234" t="s">
        <v>1805</v>
      </c>
      <c r="TV7" s="1194" t="s">
        <v>1805</v>
      </c>
      <c r="TW7" s="1194" t="s">
        <v>1805</v>
      </c>
      <c r="TX7" s="1194" t="s">
        <v>1805</v>
      </c>
      <c r="TY7" s="1194" t="s">
        <v>1805</v>
      </c>
      <c r="TZ7" s="1194" t="s">
        <v>1805</v>
      </c>
      <c r="UA7" s="1234" t="s">
        <v>1805</v>
      </c>
      <c r="UB7" s="1194" t="s">
        <v>1805</v>
      </c>
      <c r="UC7" s="1194" t="s">
        <v>1805</v>
      </c>
      <c r="UD7" s="1194" t="s">
        <v>1805</v>
      </c>
      <c r="UE7" s="1194" t="s">
        <v>1805</v>
      </c>
      <c r="UF7" s="1194" t="s">
        <v>1805</v>
      </c>
      <c r="UG7" s="1234" t="s">
        <v>1805</v>
      </c>
      <c r="UH7" s="1194" t="s">
        <v>1805</v>
      </c>
      <c r="UI7" s="1194" t="s">
        <v>1805</v>
      </c>
      <c r="UJ7" s="1194" t="s">
        <v>1805</v>
      </c>
      <c r="UK7" s="1194" t="s">
        <v>1805</v>
      </c>
      <c r="UL7" s="1194" t="s">
        <v>1805</v>
      </c>
      <c r="UM7" s="1234" t="s">
        <v>1805</v>
      </c>
      <c r="UN7" s="1194" t="s">
        <v>1805</v>
      </c>
      <c r="UO7" s="1194" t="s">
        <v>1805</v>
      </c>
      <c r="UP7" s="1194" t="s">
        <v>1805</v>
      </c>
      <c r="UQ7" s="1194" t="s">
        <v>1805</v>
      </c>
      <c r="UR7" s="1194" t="s">
        <v>1805</v>
      </c>
      <c r="US7" s="1195" t="s">
        <v>1805</v>
      </c>
      <c r="UT7" s="1193" t="s">
        <v>1805</v>
      </c>
      <c r="UU7" s="1194" t="s">
        <v>1805</v>
      </c>
      <c r="UV7" s="1194" t="s">
        <v>1805</v>
      </c>
      <c r="UW7" s="1194" t="s">
        <v>1805</v>
      </c>
      <c r="UX7" s="1194" t="s">
        <v>1805</v>
      </c>
      <c r="UY7" s="1234" t="s">
        <v>1805</v>
      </c>
      <c r="UZ7" s="1194" t="s">
        <v>1805</v>
      </c>
      <c r="VA7" s="1194" t="s">
        <v>1805</v>
      </c>
      <c r="VB7" s="1194" t="s">
        <v>1805</v>
      </c>
      <c r="VC7" s="1194" t="s">
        <v>1805</v>
      </c>
      <c r="VD7" s="1194" t="s">
        <v>1805</v>
      </c>
      <c r="VE7" s="1234" t="s">
        <v>1805</v>
      </c>
      <c r="VF7" s="1194" t="s">
        <v>1805</v>
      </c>
      <c r="VG7" s="1194" t="s">
        <v>1805</v>
      </c>
      <c r="VH7" s="1194" t="s">
        <v>1805</v>
      </c>
      <c r="VI7" s="1194" t="s">
        <v>1805</v>
      </c>
      <c r="VJ7" s="1194" t="s">
        <v>1805</v>
      </c>
      <c r="VK7" s="1234" t="s">
        <v>1805</v>
      </c>
      <c r="VL7" s="1194" t="s">
        <v>1805</v>
      </c>
      <c r="VM7" s="1194" t="s">
        <v>1805</v>
      </c>
      <c r="VN7" s="1194" t="s">
        <v>1805</v>
      </c>
      <c r="VO7" s="1194" t="s">
        <v>1805</v>
      </c>
      <c r="VP7" s="1194" t="s">
        <v>1805</v>
      </c>
      <c r="VQ7" s="1234" t="s">
        <v>1805</v>
      </c>
      <c r="VR7" s="1194" t="s">
        <v>1805</v>
      </c>
      <c r="VS7" s="1194" t="s">
        <v>1805</v>
      </c>
      <c r="VT7" s="1194" t="s">
        <v>1805</v>
      </c>
      <c r="VU7" s="1194" t="s">
        <v>1805</v>
      </c>
      <c r="VV7" s="1194" t="s">
        <v>1805</v>
      </c>
      <c r="VW7" s="1234" t="s">
        <v>1805</v>
      </c>
      <c r="VX7" s="1194" t="s">
        <v>1805</v>
      </c>
      <c r="VY7" s="1194" t="s">
        <v>1805</v>
      </c>
      <c r="VZ7" s="1194" t="s">
        <v>1805</v>
      </c>
      <c r="WA7" s="1194" t="s">
        <v>1805</v>
      </c>
      <c r="WB7" s="1194" t="s">
        <v>1805</v>
      </c>
      <c r="WC7" s="1195" t="s">
        <v>1805</v>
      </c>
      <c r="WD7" s="1226" t="s">
        <v>959</v>
      </c>
      <c r="WE7" s="1227" t="s">
        <v>959</v>
      </c>
      <c r="WF7" s="1227" t="s">
        <v>959</v>
      </c>
      <c r="WG7" s="1227" t="s">
        <v>959</v>
      </c>
      <c r="WH7" s="1227" t="s">
        <v>959</v>
      </c>
      <c r="WI7" s="1227" t="s">
        <v>959</v>
      </c>
      <c r="WJ7" s="1228" t="s">
        <v>959</v>
      </c>
      <c r="WK7" s="1227"/>
      <c r="WL7" s="1227"/>
      <c r="WM7" s="1235"/>
      <c r="WN7" s="1236"/>
      <c r="WO7" s="1227"/>
      <c r="WP7" s="1235"/>
      <c r="WQ7" s="1236"/>
      <c r="WR7" s="1227"/>
      <c r="WS7" s="1235"/>
      <c r="WT7" s="1230"/>
      <c r="WU7" s="1227"/>
      <c r="WV7" s="1235"/>
      <c r="WW7" s="1236"/>
      <c r="WX7" s="1227"/>
      <c r="WY7" s="1235"/>
      <c r="WZ7" s="1236"/>
      <c r="XA7" s="1227"/>
      <c r="XB7" s="1235"/>
      <c r="XC7" s="1236"/>
      <c r="XD7" s="1227"/>
      <c r="XE7" s="1235"/>
      <c r="XF7" s="1236"/>
      <c r="XG7" s="1227"/>
      <c r="XH7" s="1235"/>
      <c r="XI7" s="1236"/>
      <c r="XJ7" s="1227"/>
      <c r="XK7" s="1235"/>
      <c r="XL7" s="1236"/>
      <c r="XM7" s="1227"/>
      <c r="XN7" s="1235"/>
      <c r="XO7" s="1236"/>
      <c r="XP7" s="1227"/>
      <c r="XQ7" s="1227"/>
      <c r="XR7" s="1231"/>
      <c r="XS7" s="1143"/>
      <c r="XT7" s="1143"/>
      <c r="XU7" s="1143"/>
      <c r="XV7" s="1232"/>
      <c r="XW7" s="1233"/>
      <c r="XX7" s="1231"/>
      <c r="XY7" s="1143"/>
      <c r="XZ7" s="1143"/>
      <c r="YA7" s="1232"/>
      <c r="YB7" s="1315" t="s">
        <v>1630</v>
      </c>
      <c r="YC7" s="1316" t="s">
        <v>1630</v>
      </c>
      <c r="YD7" s="1316" t="s">
        <v>1630</v>
      </c>
      <c r="YE7" s="1316" t="s">
        <v>1630</v>
      </c>
      <c r="YF7" s="1316" t="s">
        <v>1630</v>
      </c>
      <c r="YG7" s="1316" t="s">
        <v>1630</v>
      </c>
      <c r="YH7" s="1316" t="s">
        <v>1630</v>
      </c>
      <c r="YI7" s="1302" t="s">
        <v>1630</v>
      </c>
      <c r="YJ7" s="1315" t="s">
        <v>1630</v>
      </c>
      <c r="YK7" s="1316" t="s">
        <v>1630</v>
      </c>
      <c r="YL7" s="1316" t="s">
        <v>1630</v>
      </c>
      <c r="YM7" s="1316" t="s">
        <v>1630</v>
      </c>
      <c r="YN7" s="1316" t="s">
        <v>1630</v>
      </c>
      <c r="YO7" s="1316" t="s">
        <v>1630</v>
      </c>
      <c r="YP7" s="1316" t="s">
        <v>1630</v>
      </c>
      <c r="YQ7" s="1302" t="s">
        <v>1630</v>
      </c>
      <c r="YR7" s="1315" t="s">
        <v>1630</v>
      </c>
      <c r="YS7" s="1316" t="s">
        <v>1630</v>
      </c>
      <c r="YT7" s="1316" t="s">
        <v>1630</v>
      </c>
      <c r="YU7" s="1316" t="s">
        <v>1630</v>
      </c>
      <c r="YV7" s="1316" t="s">
        <v>1630</v>
      </c>
      <c r="YW7" s="1316" t="s">
        <v>1630</v>
      </c>
      <c r="YX7" s="1316" t="s">
        <v>1630</v>
      </c>
      <c r="YY7" s="1302" t="s">
        <v>1630</v>
      </c>
      <c r="YZ7" s="1315" t="s">
        <v>1630</v>
      </c>
      <c r="ZA7" s="1316" t="s">
        <v>1630</v>
      </c>
      <c r="ZB7" s="1316" t="s">
        <v>1630</v>
      </c>
      <c r="ZC7" s="1316" t="s">
        <v>1630</v>
      </c>
      <c r="ZD7" s="1316" t="s">
        <v>1630</v>
      </c>
      <c r="ZE7" s="1316" t="s">
        <v>1630</v>
      </c>
      <c r="ZF7" s="1316" t="s">
        <v>1630</v>
      </c>
      <c r="ZG7" s="1302" t="s">
        <v>1630</v>
      </c>
      <c r="ZH7" s="1315" t="s">
        <v>1630</v>
      </c>
      <c r="ZI7" s="1316" t="s">
        <v>1630</v>
      </c>
      <c r="ZJ7" s="1316" t="s">
        <v>1630</v>
      </c>
      <c r="ZK7" s="1316" t="s">
        <v>1630</v>
      </c>
      <c r="ZL7" s="1316" t="s">
        <v>1630</v>
      </c>
      <c r="ZM7" s="1316" t="s">
        <v>1630</v>
      </c>
      <c r="ZN7" s="1316" t="s">
        <v>1630</v>
      </c>
      <c r="ZO7" s="1302" t="s">
        <v>1630</v>
      </c>
      <c r="ZP7" s="1315" t="s">
        <v>1630</v>
      </c>
      <c r="ZQ7" s="1316" t="s">
        <v>1630</v>
      </c>
      <c r="ZR7" s="1316" t="s">
        <v>1630</v>
      </c>
      <c r="ZS7" s="1316" t="s">
        <v>1630</v>
      </c>
      <c r="ZT7" s="1316" t="s">
        <v>1630</v>
      </c>
      <c r="ZU7" s="1316" t="s">
        <v>1630</v>
      </c>
      <c r="ZV7" s="1316" t="s">
        <v>1630</v>
      </c>
      <c r="ZW7" s="1302" t="s">
        <v>1630</v>
      </c>
      <c r="ZX7" s="1315" t="s">
        <v>1630</v>
      </c>
      <c r="ZY7" s="1316" t="s">
        <v>1630</v>
      </c>
      <c r="ZZ7" s="1316" t="s">
        <v>1630</v>
      </c>
      <c r="AAA7" s="1316" t="s">
        <v>1630</v>
      </c>
      <c r="AAB7" s="1316" t="s">
        <v>1630</v>
      </c>
      <c r="AAC7" s="1316" t="s">
        <v>1630</v>
      </c>
      <c r="AAD7" s="1316" t="s">
        <v>1630</v>
      </c>
      <c r="AAE7" s="1302" t="s">
        <v>1630</v>
      </c>
      <c r="AAF7" s="1315" t="s">
        <v>1630</v>
      </c>
      <c r="AAG7" s="1316" t="s">
        <v>1630</v>
      </c>
      <c r="AAH7" s="1316" t="s">
        <v>1630</v>
      </c>
      <c r="AAI7" s="1316" t="s">
        <v>1630</v>
      </c>
      <c r="AAJ7" s="1316" t="s">
        <v>1630</v>
      </c>
      <c r="AAK7" s="1316" t="s">
        <v>1630</v>
      </c>
      <c r="AAL7" s="1316" t="s">
        <v>1630</v>
      </c>
      <c r="AAM7" s="1302" t="s">
        <v>1630</v>
      </c>
      <c r="AAN7" s="1315" t="s">
        <v>1630</v>
      </c>
      <c r="AAO7" s="1316" t="s">
        <v>1630</v>
      </c>
      <c r="AAP7" s="1316" t="s">
        <v>1630</v>
      </c>
      <c r="AAQ7" s="1316" t="s">
        <v>1630</v>
      </c>
      <c r="AAR7" s="1316" t="s">
        <v>1630</v>
      </c>
      <c r="AAS7" s="1316" t="s">
        <v>1630</v>
      </c>
      <c r="AAT7" s="1316" t="s">
        <v>1630</v>
      </c>
      <c r="AAU7" s="1302" t="s">
        <v>1630</v>
      </c>
      <c r="AAV7" s="1315" t="s">
        <v>1630</v>
      </c>
      <c r="AAW7" s="1316" t="s">
        <v>1630</v>
      </c>
      <c r="AAX7" s="1316" t="s">
        <v>1630</v>
      </c>
      <c r="AAY7" s="1316" t="s">
        <v>1630</v>
      </c>
      <c r="AAZ7" s="1316" t="s">
        <v>1630</v>
      </c>
      <c r="ABA7" s="1316" t="s">
        <v>1630</v>
      </c>
      <c r="ABB7" s="1316" t="s">
        <v>1630</v>
      </c>
      <c r="ABC7" s="1302" t="s">
        <v>1630</v>
      </c>
      <c r="ABD7" s="1315" t="s">
        <v>1630</v>
      </c>
      <c r="ABE7" s="1316" t="s">
        <v>1630</v>
      </c>
      <c r="ABF7" s="1316" t="s">
        <v>1630</v>
      </c>
      <c r="ABG7" s="1316" t="s">
        <v>1630</v>
      </c>
      <c r="ABH7" s="1316" t="s">
        <v>1630</v>
      </c>
      <c r="ABI7" s="1316" t="s">
        <v>1630</v>
      </c>
      <c r="ABJ7" s="1316" t="s">
        <v>1630</v>
      </c>
      <c r="ABK7" s="1302" t="s">
        <v>1630</v>
      </c>
      <c r="ABL7" s="1315" t="s">
        <v>1630</v>
      </c>
      <c r="ABM7" s="1316" t="s">
        <v>1630</v>
      </c>
      <c r="ABN7" s="1316" t="s">
        <v>1630</v>
      </c>
      <c r="ABO7" s="1316" t="s">
        <v>1630</v>
      </c>
      <c r="ABP7" s="1316" t="s">
        <v>1630</v>
      </c>
      <c r="ABQ7" s="1316" t="s">
        <v>1630</v>
      </c>
      <c r="ABR7" s="1316" t="s">
        <v>1630</v>
      </c>
      <c r="ABS7" s="1302" t="s">
        <v>1630</v>
      </c>
      <c r="ABT7" s="1315" t="s">
        <v>1630</v>
      </c>
      <c r="ABU7" s="1316" t="s">
        <v>1630</v>
      </c>
      <c r="ABV7" s="1316" t="s">
        <v>1630</v>
      </c>
      <c r="ABW7" s="1316" t="s">
        <v>1630</v>
      </c>
      <c r="ABX7" s="1316" t="s">
        <v>1630</v>
      </c>
      <c r="ABY7" s="1316" t="s">
        <v>1630</v>
      </c>
      <c r="ABZ7" s="1316" t="s">
        <v>1630</v>
      </c>
      <c r="ACA7" s="1302" t="s">
        <v>1630</v>
      </c>
      <c r="ACB7" s="1315" t="s">
        <v>1630</v>
      </c>
      <c r="ACC7" s="1316" t="s">
        <v>1630</v>
      </c>
      <c r="ACD7" s="1316" t="s">
        <v>1630</v>
      </c>
      <c r="ACE7" s="1316" t="s">
        <v>1630</v>
      </c>
      <c r="ACF7" s="1316" t="s">
        <v>1630</v>
      </c>
      <c r="ACG7" s="1316" t="s">
        <v>1630</v>
      </c>
      <c r="ACH7" s="1316" t="s">
        <v>1630</v>
      </c>
      <c r="ACI7" s="1302" t="s">
        <v>1630</v>
      </c>
      <c r="ACJ7" s="1315" t="s">
        <v>1630</v>
      </c>
      <c r="ACK7" s="1316" t="s">
        <v>1630</v>
      </c>
      <c r="ACL7" s="1316" t="s">
        <v>1630</v>
      </c>
      <c r="ACM7" s="1316" t="s">
        <v>1630</v>
      </c>
      <c r="ACN7" s="1316" t="s">
        <v>1630</v>
      </c>
      <c r="ACO7" s="1316" t="s">
        <v>1630</v>
      </c>
      <c r="ACP7" s="1316" t="s">
        <v>1630</v>
      </c>
      <c r="ACQ7" s="1302" t="s">
        <v>1630</v>
      </c>
      <c r="ACR7" s="1315" t="s">
        <v>1630</v>
      </c>
      <c r="ACS7" s="1316" t="s">
        <v>1630</v>
      </c>
      <c r="ACT7" s="1316" t="s">
        <v>1630</v>
      </c>
      <c r="ACU7" s="1316" t="s">
        <v>1630</v>
      </c>
      <c r="ACV7" s="1316" t="s">
        <v>1630</v>
      </c>
      <c r="ACW7" s="1316" t="s">
        <v>1630</v>
      </c>
      <c r="ACX7" s="1316" t="s">
        <v>1630</v>
      </c>
      <c r="ACY7" s="1302" t="s">
        <v>1630</v>
      </c>
      <c r="ACZ7" s="1315" t="s">
        <v>1630</v>
      </c>
      <c r="ADA7" s="1316" t="s">
        <v>1630</v>
      </c>
      <c r="ADB7" s="1316" t="s">
        <v>1630</v>
      </c>
      <c r="ADC7" s="1316" t="s">
        <v>1630</v>
      </c>
      <c r="ADD7" s="1316" t="s">
        <v>1630</v>
      </c>
      <c r="ADE7" s="1316" t="s">
        <v>1630</v>
      </c>
      <c r="ADF7" s="1316" t="s">
        <v>1630</v>
      </c>
      <c r="ADG7" s="1302" t="s">
        <v>1630</v>
      </c>
      <c r="ADH7" s="1315" t="s">
        <v>1630</v>
      </c>
      <c r="ADI7" s="1316" t="s">
        <v>1630</v>
      </c>
      <c r="ADJ7" s="1316" t="s">
        <v>1630</v>
      </c>
      <c r="ADK7" s="1316" t="s">
        <v>1630</v>
      </c>
      <c r="ADL7" s="1316" t="s">
        <v>1630</v>
      </c>
      <c r="ADM7" s="1316" t="s">
        <v>1630</v>
      </c>
      <c r="ADN7" s="1316" t="s">
        <v>1630</v>
      </c>
      <c r="ADO7" s="1302" t="s">
        <v>1630</v>
      </c>
      <c r="ADP7" s="1315" t="s">
        <v>1630</v>
      </c>
      <c r="ADQ7" s="1316" t="s">
        <v>1630</v>
      </c>
      <c r="ADR7" s="1316" t="s">
        <v>1630</v>
      </c>
      <c r="ADS7" s="1316" t="s">
        <v>1630</v>
      </c>
      <c r="ADT7" s="1316" t="s">
        <v>1630</v>
      </c>
      <c r="ADU7" s="1316" t="s">
        <v>1630</v>
      </c>
      <c r="ADV7" s="1316" t="s">
        <v>1630</v>
      </c>
      <c r="ADW7" s="1302" t="s">
        <v>1630</v>
      </c>
      <c r="ADX7" s="1315" t="s">
        <v>1630</v>
      </c>
      <c r="ADY7" s="1316" t="s">
        <v>1630</v>
      </c>
      <c r="ADZ7" s="1316" t="s">
        <v>1630</v>
      </c>
      <c r="AEA7" s="1316" t="s">
        <v>1630</v>
      </c>
      <c r="AEB7" s="1316" t="s">
        <v>1630</v>
      </c>
      <c r="AEC7" s="1316" t="s">
        <v>1630</v>
      </c>
      <c r="AED7" s="1316" t="s">
        <v>1630</v>
      </c>
      <c r="AEE7" s="1302" t="s">
        <v>1630</v>
      </c>
      <c r="AEF7" s="1315" t="s">
        <v>1630</v>
      </c>
      <c r="AEG7" s="1316" t="s">
        <v>1630</v>
      </c>
      <c r="AEH7" s="1316" t="s">
        <v>1630</v>
      </c>
      <c r="AEI7" s="1316" t="s">
        <v>1630</v>
      </c>
      <c r="AEJ7" s="1316" t="s">
        <v>1630</v>
      </c>
      <c r="AEK7" s="1316" t="s">
        <v>1630</v>
      </c>
      <c r="AEL7" s="1316" t="s">
        <v>1630</v>
      </c>
      <c r="AEM7" s="1302" t="s">
        <v>1630</v>
      </c>
      <c r="AEN7" s="1315" t="s">
        <v>1630</v>
      </c>
      <c r="AEO7" s="1316" t="s">
        <v>1630</v>
      </c>
      <c r="AEP7" s="1316" t="s">
        <v>1630</v>
      </c>
      <c r="AEQ7" s="1316" t="s">
        <v>1630</v>
      </c>
      <c r="AER7" s="1316" t="s">
        <v>1630</v>
      </c>
      <c r="AES7" s="1316" t="s">
        <v>1630</v>
      </c>
      <c r="AET7" s="1316" t="s">
        <v>1630</v>
      </c>
      <c r="AEU7" s="1302" t="s">
        <v>1630</v>
      </c>
      <c r="AEV7" s="1315" t="s">
        <v>1630</v>
      </c>
      <c r="AEW7" s="1316" t="s">
        <v>1630</v>
      </c>
      <c r="AEX7" s="1316" t="s">
        <v>1630</v>
      </c>
      <c r="AEY7" s="1316" t="s">
        <v>1630</v>
      </c>
      <c r="AEZ7" s="1316" t="s">
        <v>1630</v>
      </c>
      <c r="AFA7" s="1316" t="s">
        <v>1630</v>
      </c>
      <c r="AFB7" s="1316" t="s">
        <v>1630</v>
      </c>
      <c r="AFC7" s="1302" t="s">
        <v>1630</v>
      </c>
      <c r="AFD7" s="1315" t="s">
        <v>1630</v>
      </c>
      <c r="AFE7" s="1316" t="s">
        <v>1630</v>
      </c>
      <c r="AFF7" s="1316" t="s">
        <v>1630</v>
      </c>
      <c r="AFG7" s="1316" t="s">
        <v>1630</v>
      </c>
      <c r="AFH7" s="1316" t="s">
        <v>1630</v>
      </c>
      <c r="AFI7" s="1316" t="s">
        <v>1630</v>
      </c>
      <c r="AFJ7" s="1316" t="s">
        <v>1630</v>
      </c>
      <c r="AFK7" s="1302" t="s">
        <v>1630</v>
      </c>
      <c r="AFL7" s="1316" t="s">
        <v>1630</v>
      </c>
      <c r="AFM7" s="1316" t="s">
        <v>1630</v>
      </c>
      <c r="AFN7" s="1316" t="s">
        <v>1630</v>
      </c>
      <c r="AFO7" s="1316" t="s">
        <v>1630</v>
      </c>
      <c r="AFP7" s="1316" t="s">
        <v>1630</v>
      </c>
      <c r="AFQ7" s="1316" t="s">
        <v>1630</v>
      </c>
      <c r="AFR7" s="1316" t="s">
        <v>1630</v>
      </c>
      <c r="AFS7" s="1316" t="s">
        <v>1630</v>
      </c>
      <c r="AFT7" s="1315" t="s">
        <v>1630</v>
      </c>
      <c r="AFU7" s="1316" t="s">
        <v>1630</v>
      </c>
      <c r="AFV7" s="1316" t="s">
        <v>1630</v>
      </c>
      <c r="AFW7" s="1316" t="s">
        <v>1630</v>
      </c>
      <c r="AFX7" s="1316" t="s">
        <v>1630</v>
      </c>
      <c r="AFY7" s="1316" t="s">
        <v>1630</v>
      </c>
      <c r="AFZ7" s="1316" t="s">
        <v>1630</v>
      </c>
      <c r="AGA7" s="1302" t="s">
        <v>1630</v>
      </c>
      <c r="AGB7" s="1316" t="s">
        <v>1630</v>
      </c>
      <c r="AGC7" s="1316" t="s">
        <v>1630</v>
      </c>
      <c r="AGD7" s="1316" t="s">
        <v>1630</v>
      </c>
      <c r="AGE7" s="1316" t="s">
        <v>1630</v>
      </c>
      <c r="AGF7" s="1316" t="s">
        <v>1630</v>
      </c>
      <c r="AGG7" s="1316" t="s">
        <v>1630</v>
      </c>
      <c r="AGH7" s="1316" t="s">
        <v>1630</v>
      </c>
      <c r="AGI7" s="1316" t="s">
        <v>1630</v>
      </c>
      <c r="AGJ7" s="1315" t="s">
        <v>1630</v>
      </c>
      <c r="AGK7" s="1316" t="s">
        <v>1630</v>
      </c>
      <c r="AGL7" s="1316" t="s">
        <v>1630</v>
      </c>
      <c r="AGM7" s="1316" t="s">
        <v>1630</v>
      </c>
      <c r="AGN7" s="1316" t="s">
        <v>1630</v>
      </c>
      <c r="AGO7" s="1316" t="s">
        <v>1630</v>
      </c>
      <c r="AGP7" s="1316" t="s">
        <v>1630</v>
      </c>
      <c r="AGQ7" s="1302" t="s">
        <v>1630</v>
      </c>
      <c r="AGR7" s="1315" t="s">
        <v>1630</v>
      </c>
      <c r="AGS7" s="1316" t="s">
        <v>1630</v>
      </c>
      <c r="AGT7" s="1316" t="s">
        <v>1630</v>
      </c>
      <c r="AGU7" s="1316" t="s">
        <v>1630</v>
      </c>
      <c r="AGV7" s="1316" t="s">
        <v>1630</v>
      </c>
      <c r="AGW7" s="1316" t="s">
        <v>1630</v>
      </c>
      <c r="AGX7" s="1316" t="s">
        <v>1630</v>
      </c>
      <c r="AGY7" s="1302" t="s">
        <v>1630</v>
      </c>
      <c r="AGZ7" s="1315" t="s">
        <v>1630</v>
      </c>
      <c r="AHA7" s="1316" t="s">
        <v>1630</v>
      </c>
      <c r="AHB7" s="1316" t="s">
        <v>1630</v>
      </c>
      <c r="AHC7" s="1316" t="s">
        <v>1630</v>
      </c>
      <c r="AHD7" s="1316" t="s">
        <v>1630</v>
      </c>
      <c r="AHE7" s="1316" t="s">
        <v>1630</v>
      </c>
      <c r="AHF7" s="1316" t="s">
        <v>1630</v>
      </c>
      <c r="AHG7" s="1302" t="s">
        <v>1630</v>
      </c>
      <c r="AHH7" s="1315" t="s">
        <v>1630</v>
      </c>
      <c r="AHI7" s="1316" t="s">
        <v>1630</v>
      </c>
      <c r="AHJ7" s="1316" t="s">
        <v>1630</v>
      </c>
      <c r="AHK7" s="1316" t="s">
        <v>1630</v>
      </c>
      <c r="AHL7" s="1316" t="s">
        <v>1630</v>
      </c>
      <c r="AHM7" s="1316" t="s">
        <v>1630</v>
      </c>
      <c r="AHN7" s="1316" t="s">
        <v>1630</v>
      </c>
      <c r="AHO7" s="1302" t="s">
        <v>1630</v>
      </c>
      <c r="AHP7" s="1315" t="s">
        <v>1630</v>
      </c>
      <c r="AHQ7" s="1316" t="s">
        <v>1630</v>
      </c>
      <c r="AHR7" s="1316" t="s">
        <v>1630</v>
      </c>
      <c r="AHS7" s="1316" t="s">
        <v>1630</v>
      </c>
      <c r="AHT7" s="1316" t="s">
        <v>1630</v>
      </c>
      <c r="AHU7" s="1316" t="s">
        <v>1630</v>
      </c>
      <c r="AHV7" s="1316" t="s">
        <v>1630</v>
      </c>
      <c r="AHW7" s="1302" t="s">
        <v>1630</v>
      </c>
      <c r="AHX7" s="1315" t="s">
        <v>1630</v>
      </c>
      <c r="AHY7" s="1316" t="s">
        <v>1630</v>
      </c>
      <c r="AHZ7" s="1316" t="s">
        <v>1630</v>
      </c>
      <c r="AIA7" s="1316" t="s">
        <v>1630</v>
      </c>
      <c r="AIB7" s="1316" t="s">
        <v>1630</v>
      </c>
      <c r="AIC7" s="1316" t="s">
        <v>1630</v>
      </c>
      <c r="AID7" s="1316" t="s">
        <v>1630</v>
      </c>
      <c r="AIE7" s="1302" t="s">
        <v>1630</v>
      </c>
      <c r="AIF7" s="1315" t="s">
        <v>1630</v>
      </c>
      <c r="AIG7" s="1316" t="s">
        <v>1630</v>
      </c>
      <c r="AIH7" s="1316" t="s">
        <v>1630</v>
      </c>
      <c r="AII7" s="1316" t="s">
        <v>1630</v>
      </c>
      <c r="AIJ7" s="1316" t="s">
        <v>1630</v>
      </c>
      <c r="AIK7" s="1316" t="s">
        <v>1630</v>
      </c>
      <c r="AIL7" s="1316" t="s">
        <v>1630</v>
      </c>
      <c r="AIM7" s="1302" t="s">
        <v>1630</v>
      </c>
      <c r="AIN7" s="1315" t="s">
        <v>1630</v>
      </c>
      <c r="AIO7" s="1316" t="s">
        <v>1630</v>
      </c>
      <c r="AIP7" s="1316" t="s">
        <v>1630</v>
      </c>
      <c r="AIQ7" s="1316" t="s">
        <v>1630</v>
      </c>
      <c r="AIR7" s="1316" t="s">
        <v>1630</v>
      </c>
      <c r="AIS7" s="1316" t="s">
        <v>1630</v>
      </c>
      <c r="AIT7" s="1316" t="s">
        <v>1630</v>
      </c>
      <c r="AIU7" s="1302" t="s">
        <v>1630</v>
      </c>
      <c r="AIV7" s="1315" t="s">
        <v>1630</v>
      </c>
      <c r="AIW7" s="1316" t="s">
        <v>1630</v>
      </c>
      <c r="AIX7" s="1316" t="s">
        <v>1630</v>
      </c>
      <c r="AIY7" s="1316" t="s">
        <v>1630</v>
      </c>
      <c r="AIZ7" s="1316" t="s">
        <v>1630</v>
      </c>
      <c r="AJA7" s="1316" t="s">
        <v>1630</v>
      </c>
      <c r="AJB7" s="1316" t="s">
        <v>1630</v>
      </c>
      <c r="AJC7" s="1302" t="s">
        <v>1630</v>
      </c>
      <c r="AJD7" s="1315" t="s">
        <v>1630</v>
      </c>
      <c r="AJE7" s="1316" t="s">
        <v>1630</v>
      </c>
      <c r="AJF7" s="1316" t="s">
        <v>1630</v>
      </c>
      <c r="AJG7" s="1316" t="s">
        <v>1630</v>
      </c>
      <c r="AJH7" s="1316" t="s">
        <v>1630</v>
      </c>
      <c r="AJI7" s="1316" t="s">
        <v>1630</v>
      </c>
      <c r="AJJ7" s="1316" t="s">
        <v>1630</v>
      </c>
      <c r="AJK7" s="1302" t="s">
        <v>1630</v>
      </c>
      <c r="AJL7" s="1315" t="s">
        <v>1630</v>
      </c>
      <c r="AJM7" s="1316" t="s">
        <v>1630</v>
      </c>
      <c r="AJN7" s="1316" t="s">
        <v>1630</v>
      </c>
      <c r="AJO7" s="1316" t="s">
        <v>1630</v>
      </c>
      <c r="AJP7" s="1316" t="s">
        <v>1630</v>
      </c>
      <c r="AJQ7" s="1316" t="s">
        <v>1630</v>
      </c>
      <c r="AJR7" s="1316" t="s">
        <v>1630</v>
      </c>
      <c r="AJS7" s="1302" t="s">
        <v>1630</v>
      </c>
      <c r="AJT7" s="1231"/>
      <c r="AJU7" s="1143"/>
      <c r="AJV7" s="1143"/>
      <c r="AJW7" s="1232"/>
      <c r="AJX7" s="1231"/>
      <c r="AJY7" s="1143"/>
      <c r="AJZ7" s="1143"/>
      <c r="AKA7" s="1143"/>
      <c r="AKB7" s="1143"/>
      <c r="AKC7" s="1232"/>
      <c r="AKD7" s="1315" t="s">
        <v>1630</v>
      </c>
      <c r="AKE7" s="1316" t="s">
        <v>1630</v>
      </c>
      <c r="AKF7" s="1316" t="s">
        <v>1630</v>
      </c>
      <c r="AKG7" s="1316" t="s">
        <v>1630</v>
      </c>
      <c r="AKH7" s="1316" t="s">
        <v>1630</v>
      </c>
      <c r="AKI7" s="1316" t="s">
        <v>1630</v>
      </c>
      <c r="AKJ7" s="1316" t="s">
        <v>1630</v>
      </c>
      <c r="AKK7" s="1316" t="s">
        <v>1630</v>
      </c>
      <c r="AKL7" s="1315" t="s">
        <v>1630</v>
      </c>
      <c r="AKM7" s="1316" t="s">
        <v>1630</v>
      </c>
      <c r="AKN7" s="1316" t="s">
        <v>1630</v>
      </c>
      <c r="AKO7" s="1316" t="s">
        <v>1630</v>
      </c>
      <c r="AKP7" s="1316" t="s">
        <v>1630</v>
      </c>
      <c r="AKQ7" s="1316" t="s">
        <v>1630</v>
      </c>
      <c r="AKR7" s="1316" t="s">
        <v>1630</v>
      </c>
      <c r="AKS7" s="1302" t="s">
        <v>1630</v>
      </c>
      <c r="AKT7" s="1315" t="s">
        <v>1630</v>
      </c>
      <c r="AKU7" s="1316" t="s">
        <v>1630</v>
      </c>
      <c r="AKV7" s="1316" t="s">
        <v>1630</v>
      </c>
      <c r="AKW7" s="1316" t="s">
        <v>1630</v>
      </c>
      <c r="AKX7" s="1316" t="s">
        <v>1630</v>
      </c>
      <c r="AKY7" s="1316" t="s">
        <v>1630</v>
      </c>
      <c r="AKZ7" s="1316" t="s">
        <v>1630</v>
      </c>
      <c r="ALA7" s="1302" t="s">
        <v>1630</v>
      </c>
      <c r="ALB7" s="1315" t="s">
        <v>1630</v>
      </c>
      <c r="ALC7" s="1316" t="s">
        <v>1630</v>
      </c>
      <c r="ALD7" s="1316" t="s">
        <v>1630</v>
      </c>
      <c r="ALE7" s="1316" t="s">
        <v>1630</v>
      </c>
      <c r="ALF7" s="1316" t="s">
        <v>1630</v>
      </c>
      <c r="ALG7" s="1316" t="s">
        <v>1630</v>
      </c>
      <c r="ALH7" s="1316" t="s">
        <v>1630</v>
      </c>
      <c r="ALI7" s="1302" t="s">
        <v>1630</v>
      </c>
      <c r="ALJ7" s="1315" t="s">
        <v>1630</v>
      </c>
      <c r="ALK7" s="1316" t="s">
        <v>1630</v>
      </c>
      <c r="ALL7" s="1316" t="s">
        <v>1630</v>
      </c>
      <c r="ALM7" s="1316" t="s">
        <v>1630</v>
      </c>
      <c r="ALN7" s="1316" t="s">
        <v>1630</v>
      </c>
      <c r="ALO7" s="1316" t="s">
        <v>1630</v>
      </c>
      <c r="ALP7" s="1316" t="s">
        <v>1630</v>
      </c>
      <c r="ALQ7" s="1302" t="s">
        <v>1630</v>
      </c>
      <c r="ALR7" s="1315" t="s">
        <v>1630</v>
      </c>
      <c r="ALS7" s="1316" t="s">
        <v>1630</v>
      </c>
      <c r="ALT7" s="1316" t="s">
        <v>1630</v>
      </c>
      <c r="ALU7" s="1316" t="s">
        <v>1630</v>
      </c>
      <c r="ALV7" s="1316" t="s">
        <v>1630</v>
      </c>
      <c r="ALW7" s="1316" t="s">
        <v>1630</v>
      </c>
      <c r="ALX7" s="1316" t="s">
        <v>1630</v>
      </c>
      <c r="ALY7" s="1302" t="s">
        <v>1630</v>
      </c>
    </row>
    <row r="8" spans="1:1013" ht="18" customHeight="1" collapsed="1" thickBot="1">
      <c r="A8" s="1237" t="s">
        <v>603</v>
      </c>
      <c r="B8" s="1238" t="s">
        <v>3058</v>
      </c>
      <c r="C8" s="1239" t="s">
        <v>3059</v>
      </c>
      <c r="D8" s="1240" t="s">
        <v>3060</v>
      </c>
      <c r="E8" s="1241" t="s">
        <v>75</v>
      </c>
      <c r="F8" s="1242" t="s">
        <v>81</v>
      </c>
      <c r="G8" s="1243" t="s">
        <v>82</v>
      </c>
      <c r="H8" s="1244" t="s">
        <v>139</v>
      </c>
      <c r="I8" s="1245" t="s">
        <v>140</v>
      </c>
      <c r="J8" s="1245" t="s">
        <v>141</v>
      </c>
      <c r="K8" s="1245" t="s">
        <v>142</v>
      </c>
      <c r="L8" s="1244" t="s">
        <v>1013</v>
      </c>
      <c r="M8" s="1245" t="s">
        <v>1014</v>
      </c>
      <c r="N8" s="1245" t="s">
        <v>1015</v>
      </c>
      <c r="O8" s="1246" t="s">
        <v>1016</v>
      </c>
      <c r="P8" s="1247" t="s">
        <v>41</v>
      </c>
      <c r="Q8" s="1248" t="s">
        <v>42</v>
      </c>
      <c r="R8" s="1249" t="s">
        <v>43</v>
      </c>
      <c r="S8" s="1249" t="s">
        <v>80</v>
      </c>
      <c r="T8" s="1248" t="s">
        <v>83</v>
      </c>
      <c r="U8" s="1249" t="s">
        <v>84</v>
      </c>
      <c r="V8" s="1249" t="s">
        <v>143</v>
      </c>
      <c r="W8" s="1249" t="s">
        <v>144</v>
      </c>
      <c r="X8" s="1249" t="s">
        <v>145</v>
      </c>
      <c r="Y8" s="1248" t="s">
        <v>146</v>
      </c>
      <c r="Z8" s="1249" t="s">
        <v>147</v>
      </c>
      <c r="AA8" s="1249" t="s">
        <v>195</v>
      </c>
      <c r="AB8" s="1249" t="s">
        <v>196</v>
      </c>
      <c r="AC8" s="1249" t="s">
        <v>197</v>
      </c>
      <c r="AD8" s="1248" t="s">
        <v>198</v>
      </c>
      <c r="AE8" s="1249" t="s">
        <v>199</v>
      </c>
      <c r="AF8" s="1249" t="s">
        <v>1698</v>
      </c>
      <c r="AG8" s="1249" t="s">
        <v>1699</v>
      </c>
      <c r="AH8" s="1249" t="s">
        <v>1700</v>
      </c>
      <c r="AI8" s="1248" t="s">
        <v>1701</v>
      </c>
      <c r="AJ8" s="1249" t="s">
        <v>1702</v>
      </c>
      <c r="AK8" s="1249" t="s">
        <v>1703</v>
      </c>
      <c r="AL8" s="1249" t="s">
        <v>1704</v>
      </c>
      <c r="AM8" s="1249" t="s">
        <v>1705</v>
      </c>
      <c r="AN8" s="1249" t="s">
        <v>1706</v>
      </c>
      <c r="AO8" s="1250" t="s">
        <v>2277</v>
      </c>
      <c r="AP8" s="1249" t="s">
        <v>2278</v>
      </c>
      <c r="AQ8" s="1249" t="s">
        <v>2279</v>
      </c>
      <c r="AR8" s="1249" t="s">
        <v>2280</v>
      </c>
      <c r="AS8" s="1249" t="s">
        <v>2281</v>
      </c>
      <c r="AT8" s="1249" t="s">
        <v>2282</v>
      </c>
      <c r="AU8" s="1249" t="s">
        <v>2283</v>
      </c>
      <c r="AV8" s="1250" t="s">
        <v>2301</v>
      </c>
      <c r="AW8" s="1249" t="s">
        <v>2302</v>
      </c>
      <c r="AX8" s="1249" t="s">
        <v>2303</v>
      </c>
      <c r="AY8" s="1249" t="s">
        <v>2304</v>
      </c>
      <c r="AZ8" s="1249" t="s">
        <v>2306</v>
      </c>
      <c r="BA8" s="1247" t="s">
        <v>44</v>
      </c>
      <c r="BB8" s="1249" t="s">
        <v>45</v>
      </c>
      <c r="BC8" s="1249" t="s">
        <v>79</v>
      </c>
      <c r="BD8" s="1249" t="s">
        <v>85</v>
      </c>
      <c r="BE8" s="1249" t="s">
        <v>86</v>
      </c>
      <c r="BF8" s="1249" t="s">
        <v>170</v>
      </c>
      <c r="BG8" s="1248" t="s">
        <v>171</v>
      </c>
      <c r="BH8" s="1249" t="s">
        <v>172</v>
      </c>
      <c r="BI8" s="1249" t="s">
        <v>173</v>
      </c>
      <c r="BJ8" s="1249" t="s">
        <v>174</v>
      </c>
      <c r="BK8" s="1249" t="s">
        <v>175</v>
      </c>
      <c r="BL8" s="1249" t="s">
        <v>176</v>
      </c>
      <c r="BM8" s="1249" t="s">
        <v>177</v>
      </c>
      <c r="BN8" s="1249" t="s">
        <v>178</v>
      </c>
      <c r="BO8" s="1249" t="s">
        <v>179</v>
      </c>
      <c r="BP8" s="1249" t="s">
        <v>180</v>
      </c>
      <c r="BQ8" s="1249" t="s">
        <v>181</v>
      </c>
      <c r="BR8" s="1249" t="s">
        <v>182</v>
      </c>
      <c r="BS8" s="1249" t="s">
        <v>183</v>
      </c>
      <c r="BT8" s="1249" t="s">
        <v>184</v>
      </c>
      <c r="BU8" s="1249" t="s">
        <v>185</v>
      </c>
      <c r="BV8" s="1248" t="s">
        <v>186</v>
      </c>
      <c r="BW8" s="1249" t="s">
        <v>200</v>
      </c>
      <c r="BX8" s="1249" t="s">
        <v>201</v>
      </c>
      <c r="BY8" s="1249" t="s">
        <v>202</v>
      </c>
      <c r="BZ8" s="1249" t="s">
        <v>203</v>
      </c>
      <c r="CA8" s="1249" t="s">
        <v>204</v>
      </c>
      <c r="CB8" s="1249" t="s">
        <v>1723</v>
      </c>
      <c r="CC8" s="1249" t="s">
        <v>1724</v>
      </c>
      <c r="CD8" s="1249" t="s">
        <v>1725</v>
      </c>
      <c r="CE8" s="1249" t="s">
        <v>1726</v>
      </c>
      <c r="CF8" s="1249" t="s">
        <v>1727</v>
      </c>
      <c r="CG8" s="1249" t="s">
        <v>1728</v>
      </c>
      <c r="CH8" s="1249" t="s">
        <v>1729</v>
      </c>
      <c r="CI8" s="1249" t="s">
        <v>1730</v>
      </c>
      <c r="CJ8" s="1249" t="s">
        <v>1731</v>
      </c>
      <c r="CK8" s="1249" t="s">
        <v>1732</v>
      </c>
      <c r="CL8" s="1250" t="s">
        <v>1733</v>
      </c>
      <c r="CM8" s="1249" t="s">
        <v>1734</v>
      </c>
      <c r="CN8" s="1249" t="s">
        <v>1735</v>
      </c>
      <c r="CO8" s="1249" t="s">
        <v>1736</v>
      </c>
      <c r="CP8" s="1249" t="s">
        <v>1737</v>
      </c>
      <c r="CQ8" s="1249" t="s">
        <v>1738</v>
      </c>
      <c r="CR8" s="1249" t="s">
        <v>1739</v>
      </c>
      <c r="CS8" s="1249" t="s">
        <v>1740</v>
      </c>
      <c r="CT8" s="1249" t="s">
        <v>1741</v>
      </c>
      <c r="CU8" s="1249" t="s">
        <v>1742</v>
      </c>
      <c r="CV8" s="1249" t="s">
        <v>1743</v>
      </c>
      <c r="CW8" s="1249" t="s">
        <v>1744</v>
      </c>
      <c r="CX8" s="1249" t="s">
        <v>1745</v>
      </c>
      <c r="CY8" s="1249" t="s">
        <v>1746</v>
      </c>
      <c r="CZ8" s="1249" t="s">
        <v>1747</v>
      </c>
      <c r="DA8" s="1250" t="s">
        <v>1748</v>
      </c>
      <c r="DB8" s="1249" t="s">
        <v>1749</v>
      </c>
      <c r="DC8" s="1249" t="s">
        <v>1750</v>
      </c>
      <c r="DD8" s="1249" t="s">
        <v>1751</v>
      </c>
      <c r="DE8" s="1249" t="s">
        <v>1752</v>
      </c>
      <c r="DF8" s="1250" t="s">
        <v>2622</v>
      </c>
      <c r="DG8" s="1249" t="s">
        <v>2623</v>
      </c>
      <c r="DH8" s="1249" t="s">
        <v>2624</v>
      </c>
      <c r="DI8" s="1249" t="s">
        <v>2625</v>
      </c>
      <c r="DJ8" s="1249" t="s">
        <v>2626</v>
      </c>
      <c r="DK8" s="1247" t="s">
        <v>46</v>
      </c>
      <c r="DL8" s="1249" t="s">
        <v>47</v>
      </c>
      <c r="DM8" s="1249" t="s">
        <v>48</v>
      </c>
      <c r="DN8" s="1249" t="s">
        <v>78</v>
      </c>
      <c r="DO8" s="1249" t="s">
        <v>87</v>
      </c>
      <c r="DP8" s="1249" t="s">
        <v>88</v>
      </c>
      <c r="DQ8" s="1250" t="s">
        <v>2351</v>
      </c>
      <c r="DR8" s="1249" t="s">
        <v>2352</v>
      </c>
      <c r="DS8" s="1249" t="s">
        <v>2353</v>
      </c>
      <c r="DT8" s="1249" t="s">
        <v>2354</v>
      </c>
      <c r="DU8" s="1249" t="s">
        <v>2355</v>
      </c>
      <c r="DV8" s="1249" t="s">
        <v>2356</v>
      </c>
      <c r="DW8" s="1249" t="s">
        <v>2357</v>
      </c>
      <c r="DX8" s="1250" t="s">
        <v>2358</v>
      </c>
      <c r="DY8" s="1249" t="s">
        <v>2359</v>
      </c>
      <c r="DZ8" s="1249" t="s">
        <v>2360</v>
      </c>
      <c r="EA8" s="1249" t="s">
        <v>2361</v>
      </c>
      <c r="EB8" s="1249" t="s">
        <v>2362</v>
      </c>
      <c r="EC8" s="1249" t="s">
        <v>2363</v>
      </c>
      <c r="ED8" s="1251" t="s">
        <v>2364</v>
      </c>
      <c r="EE8" s="1249" t="s">
        <v>49</v>
      </c>
      <c r="EF8" s="1249" t="s">
        <v>50</v>
      </c>
      <c r="EG8" s="1249" t="s">
        <v>51</v>
      </c>
      <c r="EH8" s="1249" t="s">
        <v>77</v>
      </c>
      <c r="EI8" s="1249" t="s">
        <v>89</v>
      </c>
      <c r="EJ8" s="1249" t="s">
        <v>90</v>
      </c>
      <c r="EK8" s="1247" t="s">
        <v>2365</v>
      </c>
      <c r="EL8" s="1249" t="s">
        <v>2366</v>
      </c>
      <c r="EM8" s="1249" t="s">
        <v>2367</v>
      </c>
      <c r="EN8" s="1249" t="s">
        <v>2368</v>
      </c>
      <c r="EO8" s="1249" t="s">
        <v>2369</v>
      </c>
      <c r="EP8" s="1249" t="s">
        <v>2370</v>
      </c>
      <c r="EQ8" s="1249" t="s">
        <v>2371</v>
      </c>
      <c r="ER8" s="1249" t="s">
        <v>2372</v>
      </c>
      <c r="ES8" s="1249" t="s">
        <v>2373</v>
      </c>
      <c r="ET8" s="1249" t="s">
        <v>2374</v>
      </c>
      <c r="EU8" s="1249" t="s">
        <v>2375</v>
      </c>
      <c r="EV8" s="1249" t="s">
        <v>2376</v>
      </c>
      <c r="EW8" s="1249" t="s">
        <v>2377</v>
      </c>
      <c r="EX8" s="1249" t="s">
        <v>2378</v>
      </c>
      <c r="EY8" s="1249" t="s">
        <v>2379</v>
      </c>
      <c r="EZ8" s="1249" t="s">
        <v>2380</v>
      </c>
      <c r="FA8" s="1249" t="s">
        <v>2381</v>
      </c>
      <c r="FB8" s="1249" t="s">
        <v>2382</v>
      </c>
      <c r="FC8" s="1249" t="s">
        <v>2383</v>
      </c>
      <c r="FD8" s="1249" t="s">
        <v>2384</v>
      </c>
      <c r="FE8" s="1249" t="s">
        <v>2385</v>
      </c>
      <c r="FF8" s="1249" t="s">
        <v>2386</v>
      </c>
      <c r="FG8" s="1249" t="s">
        <v>2387</v>
      </c>
      <c r="FH8" s="1249" t="s">
        <v>2388</v>
      </c>
      <c r="FI8" s="1249" t="s">
        <v>2389</v>
      </c>
      <c r="FJ8" s="1249" t="s">
        <v>2390</v>
      </c>
      <c r="FK8" s="1249" t="s">
        <v>2391</v>
      </c>
      <c r="FL8" s="1249" t="s">
        <v>2392</v>
      </c>
      <c r="FM8" s="1249" t="s">
        <v>2393</v>
      </c>
      <c r="FN8" s="1249" t="s">
        <v>2394</v>
      </c>
      <c r="FO8" s="1249" t="s">
        <v>2395</v>
      </c>
      <c r="FP8" s="1249" t="s">
        <v>2396</v>
      </c>
      <c r="FQ8" s="1249" t="s">
        <v>2397</v>
      </c>
      <c r="FR8" s="1249" t="s">
        <v>2398</v>
      </c>
      <c r="FS8" s="1249" t="s">
        <v>2399</v>
      </c>
      <c r="FT8" s="1249" t="s">
        <v>2400</v>
      </c>
      <c r="FU8" s="1249" t="s">
        <v>2401</v>
      </c>
      <c r="FV8" s="1249" t="s">
        <v>2402</v>
      </c>
      <c r="FW8" s="1249" t="s">
        <v>2403</v>
      </c>
      <c r="FX8" s="1249" t="s">
        <v>2404</v>
      </c>
      <c r="FY8" s="1249" t="s">
        <v>2405</v>
      </c>
      <c r="FZ8" s="1249" t="s">
        <v>2406</v>
      </c>
      <c r="GA8" s="1249" t="s">
        <v>2407</v>
      </c>
      <c r="GB8" s="1249" t="s">
        <v>2408</v>
      </c>
      <c r="GC8" s="1249" t="s">
        <v>2409</v>
      </c>
      <c r="GD8" s="1249" t="s">
        <v>2410</v>
      </c>
      <c r="GE8" s="1249" t="s">
        <v>2411</v>
      </c>
      <c r="GF8" s="1249" t="s">
        <v>2412</v>
      </c>
      <c r="GG8" s="1249" t="s">
        <v>2413</v>
      </c>
      <c r="GH8" s="1249" t="s">
        <v>2414</v>
      </c>
      <c r="GI8" s="1249" t="s">
        <v>2415</v>
      </c>
      <c r="GJ8" s="1249" t="s">
        <v>2416</v>
      </c>
      <c r="GK8" s="1249" t="s">
        <v>2417</v>
      </c>
      <c r="GL8" s="1249" t="s">
        <v>2418</v>
      </c>
      <c r="GM8" s="1249" t="s">
        <v>2419</v>
      </c>
      <c r="GN8" s="1249" t="s">
        <v>2420</v>
      </c>
      <c r="GO8" s="1249" t="s">
        <v>2421</v>
      </c>
      <c r="GP8" s="1249" t="s">
        <v>2422</v>
      </c>
      <c r="GQ8" s="1250" t="s">
        <v>2657</v>
      </c>
      <c r="GR8" s="1249" t="s">
        <v>2423</v>
      </c>
      <c r="GS8" s="1249" t="s">
        <v>2424</v>
      </c>
      <c r="GT8" s="1249" t="s">
        <v>2425</v>
      </c>
      <c r="GU8" s="1249" t="s">
        <v>2426</v>
      </c>
      <c r="GV8" s="1249" t="s">
        <v>2427</v>
      </c>
      <c r="GW8" s="1249" t="s">
        <v>2428</v>
      </c>
      <c r="GX8" s="1249" t="s">
        <v>2429</v>
      </c>
      <c r="GY8" s="1249" t="s">
        <v>2430</v>
      </c>
      <c r="GZ8" s="1249" t="s">
        <v>2431</v>
      </c>
      <c r="HA8" s="1249" t="s">
        <v>2432</v>
      </c>
      <c r="HB8" s="1249" t="s">
        <v>2433</v>
      </c>
      <c r="HC8" s="1249" t="s">
        <v>2434</v>
      </c>
      <c r="HD8" s="1249" t="s">
        <v>2435</v>
      </c>
      <c r="HE8" s="1249" t="s">
        <v>2436</v>
      </c>
      <c r="HF8" s="1249" t="s">
        <v>2437</v>
      </c>
      <c r="HG8" s="1249" t="s">
        <v>2438</v>
      </c>
      <c r="HH8" s="1249" t="s">
        <v>2439</v>
      </c>
      <c r="HI8" s="1249" t="s">
        <v>2440</v>
      </c>
      <c r="HJ8" s="1249" t="s">
        <v>2441</v>
      </c>
      <c r="HK8" s="1249" t="s">
        <v>2442</v>
      </c>
      <c r="HL8" s="1249" t="s">
        <v>2443</v>
      </c>
      <c r="HM8" s="1249" t="s">
        <v>2444</v>
      </c>
      <c r="HN8" s="1249" t="s">
        <v>2445</v>
      </c>
      <c r="HO8" s="1249" t="s">
        <v>2446</v>
      </c>
      <c r="HP8" s="1249" t="s">
        <v>2447</v>
      </c>
      <c r="HQ8" s="1249" t="s">
        <v>2448</v>
      </c>
      <c r="HR8" s="1249" t="s">
        <v>2449</v>
      </c>
      <c r="HS8" s="1249" t="s">
        <v>2450</v>
      </c>
      <c r="HT8" s="1249" t="s">
        <v>2451</v>
      </c>
      <c r="HU8" s="1249" t="s">
        <v>2452</v>
      </c>
      <c r="HV8" s="1249" t="s">
        <v>2453</v>
      </c>
      <c r="HW8" s="1249" t="s">
        <v>2454</v>
      </c>
      <c r="HX8" s="1249" t="s">
        <v>2455</v>
      </c>
      <c r="HY8" s="1249" t="s">
        <v>2456</v>
      </c>
      <c r="HZ8" s="1249" t="s">
        <v>2457</v>
      </c>
      <c r="IA8" s="1249" t="s">
        <v>2458</v>
      </c>
      <c r="IB8" s="1249" t="s">
        <v>2459</v>
      </c>
      <c r="IC8" s="1249" t="s">
        <v>2460</v>
      </c>
      <c r="ID8" s="1249" t="s">
        <v>2461</v>
      </c>
      <c r="IE8" s="1249" t="s">
        <v>2462</v>
      </c>
      <c r="IF8" s="1249" t="s">
        <v>2463</v>
      </c>
      <c r="IG8" s="1249" t="s">
        <v>2464</v>
      </c>
      <c r="IH8" s="1249" t="s">
        <v>2465</v>
      </c>
      <c r="II8" s="1249" t="s">
        <v>2466</v>
      </c>
      <c r="IJ8" s="1249" t="s">
        <v>2467</v>
      </c>
      <c r="IK8" s="1249" t="s">
        <v>2468</v>
      </c>
      <c r="IL8" s="1249" t="s">
        <v>2469</v>
      </c>
      <c r="IM8" s="1249" t="s">
        <v>2470</v>
      </c>
      <c r="IN8" s="1249" t="s">
        <v>2471</v>
      </c>
      <c r="IO8" s="1249" t="s">
        <v>2472</v>
      </c>
      <c r="IP8" s="1249" t="s">
        <v>2473</v>
      </c>
      <c r="IQ8" s="1249" t="s">
        <v>2474</v>
      </c>
      <c r="IR8" s="1249" t="s">
        <v>2475</v>
      </c>
      <c r="IS8" s="1249" t="s">
        <v>2476</v>
      </c>
      <c r="IT8" s="1249" t="s">
        <v>2477</v>
      </c>
      <c r="IU8" s="1249" t="s">
        <v>2478</v>
      </c>
      <c r="IV8" s="1249" t="s">
        <v>2479</v>
      </c>
      <c r="IW8" s="1247" t="s">
        <v>52</v>
      </c>
      <c r="IX8" s="1249" t="s">
        <v>53</v>
      </c>
      <c r="IY8" s="1249" t="s">
        <v>54</v>
      </c>
      <c r="IZ8" s="1249" t="s">
        <v>76</v>
      </c>
      <c r="JA8" s="1249" t="s">
        <v>91</v>
      </c>
      <c r="JB8" s="1249" t="s">
        <v>92</v>
      </c>
      <c r="JC8" s="1249" t="s">
        <v>205</v>
      </c>
      <c r="JD8" s="1248" t="s">
        <v>206</v>
      </c>
      <c r="JE8" s="1249" t="s">
        <v>207</v>
      </c>
      <c r="JF8" s="1249" t="s">
        <v>208</v>
      </c>
      <c r="JG8" s="1249" t="s">
        <v>209</v>
      </c>
      <c r="JH8" s="1249" t="s">
        <v>856</v>
      </c>
      <c r="JI8" s="1251" t="s">
        <v>1771</v>
      </c>
      <c r="JJ8" s="1247" t="s">
        <v>2815</v>
      </c>
      <c r="JK8" s="1249" t="s">
        <v>2816</v>
      </c>
      <c r="JL8" s="1249" t="s">
        <v>2817</v>
      </c>
      <c r="JM8" s="1249" t="s">
        <v>2818</v>
      </c>
      <c r="JN8" s="1249" t="s">
        <v>2819</v>
      </c>
      <c r="JO8" s="1249" t="s">
        <v>2820</v>
      </c>
      <c r="JP8" s="1249" t="s">
        <v>2821</v>
      </c>
      <c r="JQ8" s="1250" t="s">
        <v>2822</v>
      </c>
      <c r="JR8" s="1249" t="s">
        <v>2823</v>
      </c>
      <c r="JS8" s="1249" t="s">
        <v>2824</v>
      </c>
      <c r="JT8" s="1249" t="s">
        <v>2825</v>
      </c>
      <c r="JU8" s="1249" t="s">
        <v>2826</v>
      </c>
      <c r="JV8" s="1252" t="s">
        <v>2827</v>
      </c>
      <c r="JW8" s="1247" t="s">
        <v>2322</v>
      </c>
      <c r="JX8" s="1249" t="s">
        <v>2318</v>
      </c>
      <c r="JY8" s="1249" t="s">
        <v>2319</v>
      </c>
      <c r="JZ8" s="1249" t="s">
        <v>2320</v>
      </c>
      <c r="KA8" s="1249" t="s">
        <v>2321</v>
      </c>
      <c r="KB8" s="1250" t="s">
        <v>2323</v>
      </c>
      <c r="KC8" s="1249" t="s">
        <v>2324</v>
      </c>
      <c r="KD8" s="1249" t="s">
        <v>2325</v>
      </c>
      <c r="KE8" s="1249" t="s">
        <v>2326</v>
      </c>
      <c r="KF8" s="1249" t="s">
        <v>2327</v>
      </c>
      <c r="KG8" s="1250" t="s">
        <v>2605</v>
      </c>
      <c r="KH8" s="1249" t="s">
        <v>2606</v>
      </c>
      <c r="KI8" s="1249" t="s">
        <v>2607</v>
      </c>
      <c r="KJ8" s="1249" t="s">
        <v>2608</v>
      </c>
      <c r="KK8" s="1249" t="s">
        <v>2609</v>
      </c>
      <c r="KL8" s="1249" t="s">
        <v>2610</v>
      </c>
      <c r="KM8" s="1249" t="s">
        <v>2611</v>
      </c>
      <c r="KN8" s="1249" t="s">
        <v>2612</v>
      </c>
      <c r="KO8" s="1249" t="s">
        <v>2613</v>
      </c>
      <c r="KP8" s="1250" t="s">
        <v>2614</v>
      </c>
      <c r="KQ8" s="1249" t="s">
        <v>2615</v>
      </c>
      <c r="KR8" s="1249" t="s">
        <v>2616</v>
      </c>
      <c r="KS8" s="1249" t="s">
        <v>2617</v>
      </c>
      <c r="KT8" s="1249" t="s">
        <v>2618</v>
      </c>
      <c r="KU8" s="1249" t="s">
        <v>2619</v>
      </c>
      <c r="KV8" s="1249" t="s">
        <v>2620</v>
      </c>
      <c r="KW8" s="1249" t="s">
        <v>2636</v>
      </c>
      <c r="KX8" s="1249" t="s">
        <v>2637</v>
      </c>
      <c r="KY8" s="1250" t="s">
        <v>2638</v>
      </c>
      <c r="KZ8" s="1249" t="s">
        <v>2639</v>
      </c>
      <c r="LA8" s="1249" t="s">
        <v>2640</v>
      </c>
      <c r="LB8" s="1249" t="s">
        <v>2641</v>
      </c>
      <c r="LC8" s="1249" t="s">
        <v>2642</v>
      </c>
      <c r="LD8" s="1249" t="s">
        <v>2643</v>
      </c>
      <c r="LE8" s="1249" t="s">
        <v>2644</v>
      </c>
      <c r="LF8" s="1249" t="s">
        <v>2645</v>
      </c>
      <c r="LG8" s="1249" t="s">
        <v>2646</v>
      </c>
      <c r="LH8" s="1250" t="s">
        <v>2650</v>
      </c>
      <c r="LI8" s="1249" t="s">
        <v>2651</v>
      </c>
      <c r="LJ8" s="1249" t="s">
        <v>2652</v>
      </c>
      <c r="LK8" s="1249" t="s">
        <v>2653</v>
      </c>
      <c r="LL8" s="1249" t="s">
        <v>2654</v>
      </c>
      <c r="LM8" s="1249" t="s">
        <v>2678</v>
      </c>
      <c r="LN8" s="1247" t="s">
        <v>2328</v>
      </c>
      <c r="LO8" s="1249" t="s">
        <v>2329</v>
      </c>
      <c r="LP8" s="1249" t="s">
        <v>2330</v>
      </c>
      <c r="LQ8" s="1249" t="s">
        <v>2331</v>
      </c>
      <c r="LR8" s="1249" t="s">
        <v>2332</v>
      </c>
      <c r="LS8" s="1250" t="s">
        <v>2333</v>
      </c>
      <c r="LT8" s="1249" t="s">
        <v>2334</v>
      </c>
      <c r="LU8" s="1249" t="s">
        <v>2335</v>
      </c>
      <c r="LV8" s="1249" t="s">
        <v>2336</v>
      </c>
      <c r="LW8" s="1249" t="s">
        <v>2337</v>
      </c>
      <c r="LX8" s="1250" t="s">
        <v>2679</v>
      </c>
      <c r="LY8" s="1247" t="s">
        <v>2916</v>
      </c>
      <c r="LZ8" s="1251" t="s">
        <v>2917</v>
      </c>
      <c r="MA8" s="1249" t="s">
        <v>2918</v>
      </c>
      <c r="MB8" s="1249" t="s">
        <v>2919</v>
      </c>
      <c r="MC8" s="1249" t="s">
        <v>2920</v>
      </c>
      <c r="MD8" s="1249" t="s">
        <v>2921</v>
      </c>
      <c r="ME8" s="1250" t="s">
        <v>2922</v>
      </c>
      <c r="MF8" s="1249" t="s">
        <v>2923</v>
      </c>
      <c r="MG8" s="1249" t="s">
        <v>2924</v>
      </c>
      <c r="MH8" s="1249" t="s">
        <v>2925</v>
      </c>
      <c r="MI8" s="1250" t="s">
        <v>2926</v>
      </c>
      <c r="MJ8" s="1249" t="s">
        <v>2927</v>
      </c>
      <c r="MK8" s="1249" t="s">
        <v>2928</v>
      </c>
      <c r="ML8" s="1249" t="s">
        <v>2929</v>
      </c>
      <c r="MM8" s="1250" t="s">
        <v>2930</v>
      </c>
      <c r="MN8" s="1249" t="s">
        <v>2931</v>
      </c>
      <c r="MO8" s="1249" t="s">
        <v>2937</v>
      </c>
      <c r="MP8" s="1249" t="s">
        <v>2938</v>
      </c>
      <c r="MQ8" s="1250" t="s">
        <v>2939</v>
      </c>
      <c r="MR8" s="1249" t="s">
        <v>2940</v>
      </c>
      <c r="MS8" s="1249" t="s">
        <v>2941</v>
      </c>
      <c r="MT8" s="1249" t="s">
        <v>2942</v>
      </c>
      <c r="MU8" s="1247" t="s">
        <v>1813</v>
      </c>
      <c r="MV8" s="1249" t="s">
        <v>1814</v>
      </c>
      <c r="MW8" s="1251" t="s">
        <v>1815</v>
      </c>
      <c r="MX8" s="1067" t="s">
        <v>224</v>
      </c>
      <c r="MY8" s="1068" t="s">
        <v>225</v>
      </c>
      <c r="MZ8" s="1068" t="s">
        <v>226</v>
      </c>
      <c r="NA8" s="1069" t="s">
        <v>227</v>
      </c>
      <c r="NB8" s="1068" t="s">
        <v>228</v>
      </c>
      <c r="NC8" s="1068" t="s">
        <v>229</v>
      </c>
      <c r="ND8" s="1068" t="s">
        <v>238</v>
      </c>
      <c r="NE8" s="1068" t="s">
        <v>239</v>
      </c>
      <c r="NF8" s="1067" t="s">
        <v>240</v>
      </c>
      <c r="NG8" s="1068" t="s">
        <v>241</v>
      </c>
      <c r="NH8" s="1068" t="s">
        <v>242</v>
      </c>
      <c r="NI8" s="1069" t="s">
        <v>243</v>
      </c>
      <c r="NJ8" s="1068" t="s">
        <v>244</v>
      </c>
      <c r="NK8" s="1068" t="s">
        <v>245</v>
      </c>
      <c r="NL8" s="1068" t="s">
        <v>246</v>
      </c>
      <c r="NM8" s="1068" t="s">
        <v>247</v>
      </c>
      <c r="NN8" s="1067" t="s">
        <v>248</v>
      </c>
      <c r="NO8" s="1068" t="s">
        <v>249</v>
      </c>
      <c r="NP8" s="1068" t="s">
        <v>250</v>
      </c>
      <c r="NQ8" s="1069" t="s">
        <v>251</v>
      </c>
      <c r="NR8" s="1067" t="s">
        <v>252</v>
      </c>
      <c r="NS8" s="1068" t="s">
        <v>253</v>
      </c>
      <c r="NT8" s="1068" t="s">
        <v>254</v>
      </c>
      <c r="NU8" s="1069" t="s">
        <v>255</v>
      </c>
      <c r="NV8" s="1067" t="s">
        <v>256</v>
      </c>
      <c r="NW8" s="1068" t="s">
        <v>257</v>
      </c>
      <c r="NX8" s="1068" t="s">
        <v>258</v>
      </c>
      <c r="NY8" s="1068" t="s">
        <v>259</v>
      </c>
      <c r="NZ8" s="1068" t="s">
        <v>260</v>
      </c>
      <c r="OA8" s="1070" t="s">
        <v>261</v>
      </c>
      <c r="OB8" s="1068" t="s">
        <v>262</v>
      </c>
      <c r="OC8" s="1068" t="s">
        <v>263</v>
      </c>
      <c r="OD8" s="1068" t="s">
        <v>264</v>
      </c>
      <c r="OE8" s="1068" t="s">
        <v>265</v>
      </c>
      <c r="OF8" s="1068" t="s">
        <v>266</v>
      </c>
      <c r="OG8" s="1070" t="s">
        <v>267</v>
      </c>
      <c r="OH8" s="1068" t="s">
        <v>272</v>
      </c>
      <c r="OI8" s="1068" t="s">
        <v>273</v>
      </c>
      <c r="OJ8" s="1068" t="s">
        <v>274</v>
      </c>
      <c r="OK8" s="1068" t="s">
        <v>275</v>
      </c>
      <c r="OL8" s="1068" t="s">
        <v>276</v>
      </c>
      <c r="OM8" s="1070" t="s">
        <v>277</v>
      </c>
      <c r="ON8" s="1068" t="s">
        <v>278</v>
      </c>
      <c r="OO8" s="1068" t="s">
        <v>279</v>
      </c>
      <c r="OP8" s="1068" t="s">
        <v>280</v>
      </c>
      <c r="OQ8" s="1068" t="s">
        <v>281</v>
      </c>
      <c r="OR8" s="1068" t="s">
        <v>282</v>
      </c>
      <c r="OS8" s="1070" t="s">
        <v>283</v>
      </c>
      <c r="OT8" s="1068" t="s">
        <v>284</v>
      </c>
      <c r="OU8" s="1068" t="s">
        <v>285</v>
      </c>
      <c r="OV8" s="1068" t="s">
        <v>286</v>
      </c>
      <c r="OW8" s="1068" t="s">
        <v>287</v>
      </c>
      <c r="OX8" s="1068" t="s">
        <v>288</v>
      </c>
      <c r="OY8" s="1070" t="s">
        <v>289</v>
      </c>
      <c r="OZ8" s="1068" t="s">
        <v>290</v>
      </c>
      <c r="PA8" s="1068" t="s">
        <v>291</v>
      </c>
      <c r="PB8" s="1068" t="s">
        <v>292</v>
      </c>
      <c r="PC8" s="1068" t="s">
        <v>293</v>
      </c>
      <c r="PD8" s="1068" t="s">
        <v>294</v>
      </c>
      <c r="PE8" s="1069" t="s">
        <v>295</v>
      </c>
      <c r="PF8" s="1067" t="s">
        <v>296</v>
      </c>
      <c r="PG8" s="1068" t="s">
        <v>297</v>
      </c>
      <c r="PH8" s="1068" t="s">
        <v>298</v>
      </c>
      <c r="PI8" s="1068" t="s">
        <v>299</v>
      </c>
      <c r="PJ8" s="1068" t="s">
        <v>300</v>
      </c>
      <c r="PK8" s="1070" t="s">
        <v>301</v>
      </c>
      <c r="PL8" s="1068" t="s">
        <v>302</v>
      </c>
      <c r="PM8" s="1068" t="s">
        <v>303</v>
      </c>
      <c r="PN8" s="1068" t="s">
        <v>304</v>
      </c>
      <c r="PO8" s="1068" t="s">
        <v>305</v>
      </c>
      <c r="PP8" s="1068" t="s">
        <v>306</v>
      </c>
      <c r="PQ8" s="1070" t="s">
        <v>307</v>
      </c>
      <c r="PR8" s="1068" t="s">
        <v>308</v>
      </c>
      <c r="PS8" s="1068" t="s">
        <v>309</v>
      </c>
      <c r="PT8" s="1068" t="s">
        <v>310</v>
      </c>
      <c r="PU8" s="1068" t="s">
        <v>311</v>
      </c>
      <c r="PV8" s="1068" t="s">
        <v>312</v>
      </c>
      <c r="PW8" s="1070" t="s">
        <v>313</v>
      </c>
      <c r="PX8" s="1068" t="s">
        <v>314</v>
      </c>
      <c r="PY8" s="1068" t="s">
        <v>315</v>
      </c>
      <c r="PZ8" s="1068" t="s">
        <v>316</v>
      </c>
      <c r="QA8" s="1068" t="s">
        <v>317</v>
      </c>
      <c r="QB8" s="1068" t="s">
        <v>318</v>
      </c>
      <c r="QC8" s="1069" t="s">
        <v>319</v>
      </c>
      <c r="QD8" s="1067" t="s">
        <v>320</v>
      </c>
      <c r="QE8" s="1068" t="s">
        <v>321</v>
      </c>
      <c r="QF8" s="1068" t="s">
        <v>322</v>
      </c>
      <c r="QG8" s="1068" t="s">
        <v>323</v>
      </c>
      <c r="QH8" s="1068" t="s">
        <v>324</v>
      </c>
      <c r="QI8" s="1070" t="s">
        <v>325</v>
      </c>
      <c r="QJ8" s="1068" t="s">
        <v>326</v>
      </c>
      <c r="QK8" s="1068" t="s">
        <v>327</v>
      </c>
      <c r="QL8" s="1068" t="s">
        <v>328</v>
      </c>
      <c r="QM8" s="1068" t="s">
        <v>329</v>
      </c>
      <c r="QN8" s="1068" t="s">
        <v>330</v>
      </c>
      <c r="QO8" s="1070" t="s">
        <v>331</v>
      </c>
      <c r="QP8" s="1068" t="s">
        <v>332</v>
      </c>
      <c r="QQ8" s="1068" t="s">
        <v>333</v>
      </c>
      <c r="QR8" s="1068" t="s">
        <v>334</v>
      </c>
      <c r="QS8" s="1068" t="s">
        <v>335</v>
      </c>
      <c r="QT8" s="1068" t="s">
        <v>336</v>
      </c>
      <c r="QU8" s="1070" t="s">
        <v>337</v>
      </c>
      <c r="QV8" s="1068" t="s">
        <v>338</v>
      </c>
      <c r="QW8" s="1068" t="s">
        <v>339</v>
      </c>
      <c r="QX8" s="1068" t="s">
        <v>340</v>
      </c>
      <c r="QY8" s="1068" t="s">
        <v>341</v>
      </c>
      <c r="QZ8" s="1068" t="s">
        <v>342</v>
      </c>
      <c r="RA8" s="1070" t="s">
        <v>343</v>
      </c>
      <c r="RB8" s="1068" t="s">
        <v>344</v>
      </c>
      <c r="RC8" s="1068" t="s">
        <v>345</v>
      </c>
      <c r="RD8" s="1068" t="s">
        <v>346</v>
      </c>
      <c r="RE8" s="1068" t="s">
        <v>347</v>
      </c>
      <c r="RF8" s="1068" t="s">
        <v>348</v>
      </c>
      <c r="RG8" s="1069" t="s">
        <v>349</v>
      </c>
      <c r="RH8" s="1067" t="s">
        <v>350</v>
      </c>
      <c r="RI8" s="1068" t="s">
        <v>351</v>
      </c>
      <c r="RJ8" s="1068" t="s">
        <v>352</v>
      </c>
      <c r="RK8" s="1068" t="s">
        <v>353</v>
      </c>
      <c r="RL8" s="1068" t="s">
        <v>354</v>
      </c>
      <c r="RM8" s="1070" t="s">
        <v>355</v>
      </c>
      <c r="RN8" s="1068" t="s">
        <v>356</v>
      </c>
      <c r="RO8" s="1068" t="s">
        <v>357</v>
      </c>
      <c r="RP8" s="1068" t="s">
        <v>358</v>
      </c>
      <c r="RQ8" s="1068" t="s">
        <v>359</v>
      </c>
      <c r="RR8" s="1068" t="s">
        <v>360</v>
      </c>
      <c r="RS8" s="1070" t="s">
        <v>361</v>
      </c>
      <c r="RT8" s="1068" t="s">
        <v>362</v>
      </c>
      <c r="RU8" s="1068" t="s">
        <v>363</v>
      </c>
      <c r="RV8" s="1068" t="s">
        <v>364</v>
      </c>
      <c r="RW8" s="1068" t="s">
        <v>365</v>
      </c>
      <c r="RX8" s="1068" t="s">
        <v>366</v>
      </c>
      <c r="RY8" s="1070" t="s">
        <v>367</v>
      </c>
      <c r="RZ8" s="1068" t="s">
        <v>368</v>
      </c>
      <c r="SA8" s="1068" t="s">
        <v>369</v>
      </c>
      <c r="SB8" s="1068" t="s">
        <v>370</v>
      </c>
      <c r="SC8" s="1068" t="s">
        <v>371</v>
      </c>
      <c r="SD8" s="1068" t="s">
        <v>372</v>
      </c>
      <c r="SE8" s="1070" t="s">
        <v>373</v>
      </c>
      <c r="SF8" s="1068" t="s">
        <v>374</v>
      </c>
      <c r="SG8" s="1068" t="s">
        <v>375</v>
      </c>
      <c r="SH8" s="1068" t="s">
        <v>376</v>
      </c>
      <c r="SI8" s="1068" t="s">
        <v>377</v>
      </c>
      <c r="SJ8" s="1068" t="s">
        <v>378</v>
      </c>
      <c r="SK8" s="1069" t="s">
        <v>379</v>
      </c>
      <c r="SL8" s="1067" t="s">
        <v>380</v>
      </c>
      <c r="SM8" s="1068" t="s">
        <v>381</v>
      </c>
      <c r="SN8" s="1068" t="s">
        <v>382</v>
      </c>
      <c r="SO8" s="1068" t="s">
        <v>383</v>
      </c>
      <c r="SP8" s="1068" t="s">
        <v>384</v>
      </c>
      <c r="SQ8" s="1070" t="s">
        <v>385</v>
      </c>
      <c r="SR8" s="1068" t="s">
        <v>386</v>
      </c>
      <c r="SS8" s="1068" t="s">
        <v>387</v>
      </c>
      <c r="ST8" s="1068" t="s">
        <v>388</v>
      </c>
      <c r="SU8" s="1068" t="s">
        <v>389</v>
      </c>
      <c r="SV8" s="1068" t="s">
        <v>390</v>
      </c>
      <c r="SW8" s="1070" t="s">
        <v>391</v>
      </c>
      <c r="SX8" s="1068" t="s">
        <v>392</v>
      </c>
      <c r="SY8" s="1068" t="s">
        <v>393</v>
      </c>
      <c r="SZ8" s="1068" t="s">
        <v>394</v>
      </c>
      <c r="TA8" s="1068" t="s">
        <v>395</v>
      </c>
      <c r="TB8" s="1068" t="s">
        <v>396</v>
      </c>
      <c r="TC8" s="1070" t="s">
        <v>397</v>
      </c>
      <c r="TD8" s="1068" t="s">
        <v>398</v>
      </c>
      <c r="TE8" s="1068" t="s">
        <v>399</v>
      </c>
      <c r="TF8" s="1068" t="s">
        <v>400</v>
      </c>
      <c r="TG8" s="1068" t="s">
        <v>401</v>
      </c>
      <c r="TH8" s="1068" t="s">
        <v>402</v>
      </c>
      <c r="TI8" s="1070" t="s">
        <v>403</v>
      </c>
      <c r="TJ8" s="1068" t="s">
        <v>404</v>
      </c>
      <c r="TK8" s="1068" t="s">
        <v>405</v>
      </c>
      <c r="TL8" s="1068" t="s">
        <v>406</v>
      </c>
      <c r="TM8" s="1068" t="s">
        <v>407</v>
      </c>
      <c r="TN8" s="1068" t="s">
        <v>408</v>
      </c>
      <c r="TO8" s="1069" t="s">
        <v>409</v>
      </c>
      <c r="TP8" s="1067" t="s">
        <v>410</v>
      </c>
      <c r="TQ8" s="1068" t="s">
        <v>411</v>
      </c>
      <c r="TR8" s="1068" t="s">
        <v>412</v>
      </c>
      <c r="TS8" s="1068" t="s">
        <v>413</v>
      </c>
      <c r="TT8" s="1068" t="s">
        <v>414</v>
      </c>
      <c r="TU8" s="1070" t="s">
        <v>415</v>
      </c>
      <c r="TV8" s="1068" t="s">
        <v>416</v>
      </c>
      <c r="TW8" s="1068" t="s">
        <v>417</v>
      </c>
      <c r="TX8" s="1068" t="s">
        <v>418</v>
      </c>
      <c r="TY8" s="1068" t="s">
        <v>419</v>
      </c>
      <c r="TZ8" s="1068" t="s">
        <v>420</v>
      </c>
      <c r="UA8" s="1070" t="s">
        <v>421</v>
      </c>
      <c r="UB8" s="1068" t="s">
        <v>422</v>
      </c>
      <c r="UC8" s="1068" t="s">
        <v>423</v>
      </c>
      <c r="UD8" s="1068" t="s">
        <v>424</v>
      </c>
      <c r="UE8" s="1068" t="s">
        <v>425</v>
      </c>
      <c r="UF8" s="1068" t="s">
        <v>426</v>
      </c>
      <c r="UG8" s="1070" t="s">
        <v>427</v>
      </c>
      <c r="UH8" s="1068" t="s">
        <v>428</v>
      </c>
      <c r="UI8" s="1068" t="s">
        <v>429</v>
      </c>
      <c r="UJ8" s="1068" t="s">
        <v>430</v>
      </c>
      <c r="UK8" s="1068" t="s">
        <v>431</v>
      </c>
      <c r="UL8" s="1068" t="s">
        <v>432</v>
      </c>
      <c r="UM8" s="1070" t="s">
        <v>433</v>
      </c>
      <c r="UN8" s="1068" t="s">
        <v>434</v>
      </c>
      <c r="UO8" s="1068" t="s">
        <v>435</v>
      </c>
      <c r="UP8" s="1068" t="s">
        <v>436</v>
      </c>
      <c r="UQ8" s="1068" t="s">
        <v>437</v>
      </c>
      <c r="UR8" s="1068" t="s">
        <v>438</v>
      </c>
      <c r="US8" s="1069" t="s">
        <v>439</v>
      </c>
      <c r="UT8" s="1067" t="s">
        <v>440</v>
      </c>
      <c r="UU8" s="1068" t="s">
        <v>441</v>
      </c>
      <c r="UV8" s="1068" t="s">
        <v>442</v>
      </c>
      <c r="UW8" s="1068" t="s">
        <v>443</v>
      </c>
      <c r="UX8" s="1068" t="s">
        <v>444</v>
      </c>
      <c r="UY8" s="1070" t="s">
        <v>445</v>
      </c>
      <c r="UZ8" s="1068" t="s">
        <v>446</v>
      </c>
      <c r="VA8" s="1068" t="s">
        <v>447</v>
      </c>
      <c r="VB8" s="1068" t="s">
        <v>448</v>
      </c>
      <c r="VC8" s="1068" t="s">
        <v>449</v>
      </c>
      <c r="VD8" s="1068" t="s">
        <v>450</v>
      </c>
      <c r="VE8" s="1070" t="s">
        <v>451</v>
      </c>
      <c r="VF8" s="1068" t="s">
        <v>452</v>
      </c>
      <c r="VG8" s="1068" t="s">
        <v>453</v>
      </c>
      <c r="VH8" s="1068" t="s">
        <v>454</v>
      </c>
      <c r="VI8" s="1068" t="s">
        <v>455</v>
      </c>
      <c r="VJ8" s="1068" t="s">
        <v>456</v>
      </c>
      <c r="VK8" s="1070" t="s">
        <v>457</v>
      </c>
      <c r="VL8" s="1068" t="s">
        <v>458</v>
      </c>
      <c r="VM8" s="1068" t="s">
        <v>459</v>
      </c>
      <c r="VN8" s="1068" t="s">
        <v>460</v>
      </c>
      <c r="VO8" s="1068" t="s">
        <v>461</v>
      </c>
      <c r="VP8" s="1068" t="s">
        <v>462</v>
      </c>
      <c r="VQ8" s="1070" t="s">
        <v>463</v>
      </c>
      <c r="VR8" s="1068" t="s">
        <v>464</v>
      </c>
      <c r="VS8" s="1068" t="s">
        <v>465</v>
      </c>
      <c r="VT8" s="1068" t="s">
        <v>466</v>
      </c>
      <c r="VU8" s="1068" t="s">
        <v>467</v>
      </c>
      <c r="VV8" s="1068" t="s">
        <v>468</v>
      </c>
      <c r="VW8" s="1070" t="s">
        <v>469</v>
      </c>
      <c r="VX8" s="1068" t="s">
        <v>470</v>
      </c>
      <c r="VY8" s="1068" t="s">
        <v>471</v>
      </c>
      <c r="VZ8" s="1068" t="s">
        <v>472</v>
      </c>
      <c r="WA8" s="1068" t="s">
        <v>473</v>
      </c>
      <c r="WB8" s="1068" t="s">
        <v>474</v>
      </c>
      <c r="WC8" s="1069" t="s">
        <v>475</v>
      </c>
      <c r="WD8" s="1253" t="s">
        <v>886</v>
      </c>
      <c r="WE8" s="1254" t="s">
        <v>1247</v>
      </c>
      <c r="WF8" s="1254" t="s">
        <v>1248</v>
      </c>
      <c r="WG8" s="1254" t="s">
        <v>1249</v>
      </c>
      <c r="WH8" s="1254" t="s">
        <v>1250</v>
      </c>
      <c r="WI8" s="1254" t="s">
        <v>1251</v>
      </c>
      <c r="WJ8" s="1255" t="s">
        <v>1816</v>
      </c>
      <c r="WK8" s="1254" t="s">
        <v>1817</v>
      </c>
      <c r="WL8" s="1254" t="s">
        <v>1818</v>
      </c>
      <c r="WM8" s="1256" t="s">
        <v>1819</v>
      </c>
      <c r="WN8" s="1254" t="s">
        <v>1820</v>
      </c>
      <c r="WO8" s="1254" t="s">
        <v>1821</v>
      </c>
      <c r="WP8" s="1256" t="s">
        <v>1822</v>
      </c>
      <c r="WQ8" s="1254" t="s">
        <v>1823</v>
      </c>
      <c r="WR8" s="1254" t="s">
        <v>1824</v>
      </c>
      <c r="WS8" s="1256" t="s">
        <v>1825</v>
      </c>
      <c r="WT8" s="1254" t="s">
        <v>1826</v>
      </c>
      <c r="WU8" s="1254" t="s">
        <v>1827</v>
      </c>
      <c r="WV8" s="1256" t="s">
        <v>1828</v>
      </c>
      <c r="WW8" s="1254" t="s">
        <v>1829</v>
      </c>
      <c r="WX8" s="1254" t="s">
        <v>1830</v>
      </c>
      <c r="WY8" s="1256" t="s">
        <v>1831</v>
      </c>
      <c r="WZ8" s="1254" t="s">
        <v>1832</v>
      </c>
      <c r="XA8" s="1254" t="s">
        <v>1833</v>
      </c>
      <c r="XB8" s="1256" t="s">
        <v>1834</v>
      </c>
      <c r="XC8" s="1254" t="s">
        <v>1835</v>
      </c>
      <c r="XD8" s="1254" t="s">
        <v>1836</v>
      </c>
      <c r="XE8" s="1256" t="s">
        <v>1837</v>
      </c>
      <c r="XF8" s="1254" t="s">
        <v>1838</v>
      </c>
      <c r="XG8" s="1254" t="s">
        <v>1839</v>
      </c>
      <c r="XH8" s="1256" t="s">
        <v>1840</v>
      </c>
      <c r="XI8" s="1254" t="s">
        <v>1841</v>
      </c>
      <c r="XJ8" s="1254" t="s">
        <v>1842</v>
      </c>
      <c r="XK8" s="1256" t="s">
        <v>1843</v>
      </c>
      <c r="XL8" s="1254" t="s">
        <v>1844</v>
      </c>
      <c r="XM8" s="1254" t="s">
        <v>1845</v>
      </c>
      <c r="XN8" s="1256" t="s">
        <v>1846</v>
      </c>
      <c r="XO8" s="1254" t="s">
        <v>1847</v>
      </c>
      <c r="XP8" s="1254" t="s">
        <v>1848</v>
      </c>
      <c r="XQ8" s="1254" t="s">
        <v>1849</v>
      </c>
      <c r="XR8" s="1253" t="s">
        <v>1850</v>
      </c>
      <c r="XS8" s="1254" t="s">
        <v>1851</v>
      </c>
      <c r="XT8" s="1254" t="s">
        <v>1852</v>
      </c>
      <c r="XU8" s="1254" t="s">
        <v>1853</v>
      </c>
      <c r="XV8" s="1255" t="s">
        <v>1854</v>
      </c>
      <c r="XW8" s="1257" t="s">
        <v>1855</v>
      </c>
      <c r="XX8" s="1253" t="s">
        <v>1856</v>
      </c>
      <c r="XY8" s="1254" t="s">
        <v>1857</v>
      </c>
      <c r="XZ8" s="1254" t="s">
        <v>1858</v>
      </c>
      <c r="YA8" s="1255" t="s">
        <v>1859</v>
      </c>
      <c r="YB8" s="1253" t="s">
        <v>1222</v>
      </c>
      <c r="YC8" s="1254" t="s">
        <v>1233</v>
      </c>
      <c r="YD8" s="1254" t="s">
        <v>1234</v>
      </c>
      <c r="YE8" s="1254" t="s">
        <v>1235</v>
      </c>
      <c r="YF8" s="1254" t="s">
        <v>1236</v>
      </c>
      <c r="YG8" s="1254" t="s">
        <v>1237</v>
      </c>
      <c r="YH8" s="1254" t="s">
        <v>1238</v>
      </c>
      <c r="YI8" s="1255" t="s">
        <v>1239</v>
      </c>
      <c r="YJ8" s="1253" t="s">
        <v>1265</v>
      </c>
      <c r="YK8" s="1254" t="s">
        <v>1266</v>
      </c>
      <c r="YL8" s="1254" t="s">
        <v>1267</v>
      </c>
      <c r="YM8" s="1254" t="s">
        <v>1268</v>
      </c>
      <c r="YN8" s="1254" t="s">
        <v>1269</v>
      </c>
      <c r="YO8" s="1254" t="s">
        <v>1270</v>
      </c>
      <c r="YP8" s="1254" t="s">
        <v>1271</v>
      </c>
      <c r="YQ8" s="1255" t="s">
        <v>1272</v>
      </c>
      <c r="YR8" s="1253" t="s">
        <v>1293</v>
      </c>
      <c r="YS8" s="1254" t="s">
        <v>1294</v>
      </c>
      <c r="YT8" s="1254" t="s">
        <v>1295</v>
      </c>
      <c r="YU8" s="1254" t="s">
        <v>1296</v>
      </c>
      <c r="YV8" s="1254" t="s">
        <v>1297</v>
      </c>
      <c r="YW8" s="1254" t="s">
        <v>1298</v>
      </c>
      <c r="YX8" s="1254" t="s">
        <v>1299</v>
      </c>
      <c r="YY8" s="1255" t="s">
        <v>1300</v>
      </c>
      <c r="YZ8" s="1253" t="s">
        <v>1311</v>
      </c>
      <c r="ZA8" s="1254" t="s">
        <v>1320</v>
      </c>
      <c r="ZB8" s="1254" t="s">
        <v>1321</v>
      </c>
      <c r="ZC8" s="1254" t="s">
        <v>1322</v>
      </c>
      <c r="ZD8" s="1254" t="s">
        <v>1323</v>
      </c>
      <c r="ZE8" s="1254" t="s">
        <v>1324</v>
      </c>
      <c r="ZF8" s="1254" t="s">
        <v>1325</v>
      </c>
      <c r="ZG8" s="1255" t="s">
        <v>1326</v>
      </c>
      <c r="ZH8" s="1253" t="s">
        <v>1223</v>
      </c>
      <c r="ZI8" s="1254" t="s">
        <v>1240</v>
      </c>
      <c r="ZJ8" s="1254" t="s">
        <v>1241</v>
      </c>
      <c r="ZK8" s="1254" t="s">
        <v>1242</v>
      </c>
      <c r="ZL8" s="1254" t="s">
        <v>1243</v>
      </c>
      <c r="ZM8" s="1254" t="s">
        <v>1244</v>
      </c>
      <c r="ZN8" s="1254" t="s">
        <v>1245</v>
      </c>
      <c r="ZO8" s="1255" t="s">
        <v>1246</v>
      </c>
      <c r="ZP8" s="1253" t="s">
        <v>1273</v>
      </c>
      <c r="ZQ8" s="1254" t="s">
        <v>1274</v>
      </c>
      <c r="ZR8" s="1254" t="s">
        <v>1275</v>
      </c>
      <c r="ZS8" s="1254" t="s">
        <v>1276</v>
      </c>
      <c r="ZT8" s="1254" t="s">
        <v>1277</v>
      </c>
      <c r="ZU8" s="1254" t="s">
        <v>1278</v>
      </c>
      <c r="ZV8" s="1254" t="s">
        <v>1279</v>
      </c>
      <c r="ZW8" s="1255" t="s">
        <v>1280</v>
      </c>
      <c r="ZX8" s="1253" t="s">
        <v>1301</v>
      </c>
      <c r="ZY8" s="1254" t="s">
        <v>1302</v>
      </c>
      <c r="ZZ8" s="1254" t="s">
        <v>1303</v>
      </c>
      <c r="AAA8" s="1254" t="s">
        <v>1304</v>
      </c>
      <c r="AAB8" s="1254" t="s">
        <v>1305</v>
      </c>
      <c r="AAC8" s="1254" t="s">
        <v>1306</v>
      </c>
      <c r="AAD8" s="1254" t="s">
        <v>1307</v>
      </c>
      <c r="AAE8" s="1255" t="s">
        <v>1308</v>
      </c>
      <c r="AAF8" s="1253" t="s">
        <v>1312</v>
      </c>
      <c r="AAG8" s="1254" t="s">
        <v>1327</v>
      </c>
      <c r="AAH8" s="1254" t="s">
        <v>1328</v>
      </c>
      <c r="AAI8" s="1254" t="s">
        <v>1329</v>
      </c>
      <c r="AAJ8" s="1254" t="s">
        <v>1330</v>
      </c>
      <c r="AAK8" s="1254" t="s">
        <v>1331</v>
      </c>
      <c r="AAL8" s="1254" t="s">
        <v>1332</v>
      </c>
      <c r="AAM8" s="1255" t="s">
        <v>1333</v>
      </c>
      <c r="AAN8" s="1253" t="s">
        <v>1860</v>
      </c>
      <c r="AAO8" s="1254" t="s">
        <v>1861</v>
      </c>
      <c r="AAP8" s="1254" t="s">
        <v>1862</v>
      </c>
      <c r="AAQ8" s="1254" t="s">
        <v>1863</v>
      </c>
      <c r="AAR8" s="1254" t="s">
        <v>1864</v>
      </c>
      <c r="AAS8" s="1254" t="s">
        <v>1865</v>
      </c>
      <c r="AAT8" s="1254" t="s">
        <v>1866</v>
      </c>
      <c r="AAU8" s="1255" t="s">
        <v>1867</v>
      </c>
      <c r="AAV8" s="1253" t="s">
        <v>1868</v>
      </c>
      <c r="AAW8" s="1254" t="s">
        <v>1869</v>
      </c>
      <c r="AAX8" s="1254" t="s">
        <v>1870</v>
      </c>
      <c r="AAY8" s="1254" t="s">
        <v>1871</v>
      </c>
      <c r="AAZ8" s="1254" t="s">
        <v>1872</v>
      </c>
      <c r="ABA8" s="1254" t="s">
        <v>1873</v>
      </c>
      <c r="ABB8" s="1254" t="s">
        <v>1874</v>
      </c>
      <c r="ABC8" s="1255" t="s">
        <v>1875</v>
      </c>
      <c r="ABD8" s="1253" t="s">
        <v>1876</v>
      </c>
      <c r="ABE8" s="1254" t="s">
        <v>1877</v>
      </c>
      <c r="ABF8" s="1254" t="s">
        <v>1878</v>
      </c>
      <c r="ABG8" s="1254" t="s">
        <v>1879</v>
      </c>
      <c r="ABH8" s="1254" t="s">
        <v>1880</v>
      </c>
      <c r="ABI8" s="1254" t="s">
        <v>1881</v>
      </c>
      <c r="ABJ8" s="1254" t="s">
        <v>1882</v>
      </c>
      <c r="ABK8" s="1255" t="s">
        <v>1883</v>
      </c>
      <c r="ABL8" s="1253" t="s">
        <v>1884</v>
      </c>
      <c r="ABM8" s="1254" t="s">
        <v>1885</v>
      </c>
      <c r="ABN8" s="1254" t="s">
        <v>1886</v>
      </c>
      <c r="ABO8" s="1254" t="s">
        <v>1887</v>
      </c>
      <c r="ABP8" s="1254" t="s">
        <v>1888</v>
      </c>
      <c r="ABQ8" s="1254" t="s">
        <v>1889</v>
      </c>
      <c r="ABR8" s="1254" t="s">
        <v>1890</v>
      </c>
      <c r="ABS8" s="1255" t="s">
        <v>1891</v>
      </c>
      <c r="ABT8" s="1253" t="s">
        <v>1892</v>
      </c>
      <c r="ABU8" s="1254" t="s">
        <v>1893</v>
      </c>
      <c r="ABV8" s="1254" t="s">
        <v>1894</v>
      </c>
      <c r="ABW8" s="1254" t="s">
        <v>1895</v>
      </c>
      <c r="ABX8" s="1254" t="s">
        <v>1896</v>
      </c>
      <c r="ABY8" s="1254" t="s">
        <v>1897</v>
      </c>
      <c r="ABZ8" s="1254" t="s">
        <v>1898</v>
      </c>
      <c r="ACA8" s="1255" t="s">
        <v>1899</v>
      </c>
      <c r="ACB8" s="1253" t="s">
        <v>1900</v>
      </c>
      <c r="ACC8" s="1254" t="s">
        <v>1901</v>
      </c>
      <c r="ACD8" s="1254" t="s">
        <v>1902</v>
      </c>
      <c r="ACE8" s="1254" t="s">
        <v>1903</v>
      </c>
      <c r="ACF8" s="1254" t="s">
        <v>1904</v>
      </c>
      <c r="ACG8" s="1254" t="s">
        <v>1905</v>
      </c>
      <c r="ACH8" s="1254" t="s">
        <v>1906</v>
      </c>
      <c r="ACI8" s="1255" t="s">
        <v>1907</v>
      </c>
      <c r="ACJ8" s="1253" t="s">
        <v>1908</v>
      </c>
      <c r="ACK8" s="1254" t="s">
        <v>1909</v>
      </c>
      <c r="ACL8" s="1254" t="s">
        <v>1910</v>
      </c>
      <c r="ACM8" s="1254" t="s">
        <v>1911</v>
      </c>
      <c r="ACN8" s="1254" t="s">
        <v>1912</v>
      </c>
      <c r="ACO8" s="1254" t="s">
        <v>1913</v>
      </c>
      <c r="ACP8" s="1254" t="s">
        <v>1914</v>
      </c>
      <c r="ACQ8" s="1255" t="s">
        <v>1915</v>
      </c>
      <c r="ACR8" s="1253" t="s">
        <v>1916</v>
      </c>
      <c r="ACS8" s="1254" t="s">
        <v>1917</v>
      </c>
      <c r="ACT8" s="1254" t="s">
        <v>1918</v>
      </c>
      <c r="ACU8" s="1254" t="s">
        <v>1919</v>
      </c>
      <c r="ACV8" s="1254" t="s">
        <v>1920</v>
      </c>
      <c r="ACW8" s="1254" t="s">
        <v>1921</v>
      </c>
      <c r="ACX8" s="1254" t="s">
        <v>1922</v>
      </c>
      <c r="ACY8" s="1255" t="s">
        <v>1923</v>
      </c>
      <c r="ACZ8" s="1253" t="s">
        <v>1924</v>
      </c>
      <c r="ADA8" s="1254" t="s">
        <v>1925</v>
      </c>
      <c r="ADB8" s="1254" t="s">
        <v>1926</v>
      </c>
      <c r="ADC8" s="1254" t="s">
        <v>1927</v>
      </c>
      <c r="ADD8" s="1254" t="s">
        <v>1928</v>
      </c>
      <c r="ADE8" s="1254" t="s">
        <v>1929</v>
      </c>
      <c r="ADF8" s="1254" t="s">
        <v>1930</v>
      </c>
      <c r="ADG8" s="1255" t="s">
        <v>1931</v>
      </c>
      <c r="ADH8" s="1253" t="s">
        <v>1932</v>
      </c>
      <c r="ADI8" s="1254" t="s">
        <v>1933</v>
      </c>
      <c r="ADJ8" s="1254" t="s">
        <v>1934</v>
      </c>
      <c r="ADK8" s="1254" t="s">
        <v>1935</v>
      </c>
      <c r="ADL8" s="1254" t="s">
        <v>1936</v>
      </c>
      <c r="ADM8" s="1254" t="s">
        <v>1937</v>
      </c>
      <c r="ADN8" s="1254" t="s">
        <v>1938</v>
      </c>
      <c r="ADO8" s="1255" t="s">
        <v>1939</v>
      </c>
      <c r="ADP8" s="1253" t="s">
        <v>1940</v>
      </c>
      <c r="ADQ8" s="1254" t="s">
        <v>1941</v>
      </c>
      <c r="ADR8" s="1254" t="s">
        <v>1942</v>
      </c>
      <c r="ADS8" s="1254" t="s">
        <v>1943</v>
      </c>
      <c r="ADT8" s="1254" t="s">
        <v>1944</v>
      </c>
      <c r="ADU8" s="1254" t="s">
        <v>1945</v>
      </c>
      <c r="ADV8" s="1254" t="s">
        <v>1946</v>
      </c>
      <c r="ADW8" s="1255" t="s">
        <v>1947</v>
      </c>
      <c r="ADX8" s="1253" t="s">
        <v>1948</v>
      </c>
      <c r="ADY8" s="1254" t="s">
        <v>1949</v>
      </c>
      <c r="ADZ8" s="1254" t="s">
        <v>1950</v>
      </c>
      <c r="AEA8" s="1254" t="s">
        <v>1951</v>
      </c>
      <c r="AEB8" s="1254" t="s">
        <v>1952</v>
      </c>
      <c r="AEC8" s="1254" t="s">
        <v>1953</v>
      </c>
      <c r="AED8" s="1254" t="s">
        <v>1954</v>
      </c>
      <c r="AEE8" s="1255" t="s">
        <v>1955</v>
      </c>
      <c r="AEF8" s="1253" t="s">
        <v>1956</v>
      </c>
      <c r="AEG8" s="1254" t="s">
        <v>1957</v>
      </c>
      <c r="AEH8" s="1254" t="s">
        <v>1958</v>
      </c>
      <c r="AEI8" s="1254" t="s">
        <v>1959</v>
      </c>
      <c r="AEJ8" s="1254" t="s">
        <v>1960</v>
      </c>
      <c r="AEK8" s="1254" t="s">
        <v>1961</v>
      </c>
      <c r="AEL8" s="1254" t="s">
        <v>1962</v>
      </c>
      <c r="AEM8" s="1255" t="s">
        <v>1963</v>
      </c>
      <c r="AEN8" s="1253" t="s">
        <v>1964</v>
      </c>
      <c r="AEO8" s="1254" t="s">
        <v>1965</v>
      </c>
      <c r="AEP8" s="1254" t="s">
        <v>1966</v>
      </c>
      <c r="AEQ8" s="1254" t="s">
        <v>1967</v>
      </c>
      <c r="AER8" s="1254" t="s">
        <v>1968</v>
      </c>
      <c r="AES8" s="1254" t="s">
        <v>1969</v>
      </c>
      <c r="AET8" s="1254" t="s">
        <v>1970</v>
      </c>
      <c r="AEU8" s="1255" t="s">
        <v>1971</v>
      </c>
      <c r="AEV8" s="1253" t="s">
        <v>1972</v>
      </c>
      <c r="AEW8" s="1254" t="s">
        <v>1973</v>
      </c>
      <c r="AEX8" s="1254" t="s">
        <v>1974</v>
      </c>
      <c r="AEY8" s="1254" t="s">
        <v>1975</v>
      </c>
      <c r="AEZ8" s="1254" t="s">
        <v>1976</v>
      </c>
      <c r="AFA8" s="1254" t="s">
        <v>1977</v>
      </c>
      <c r="AFB8" s="1254" t="s">
        <v>1978</v>
      </c>
      <c r="AFC8" s="1255" t="s">
        <v>1979</v>
      </c>
      <c r="AFD8" s="1253" t="s">
        <v>1980</v>
      </c>
      <c r="AFE8" s="1254" t="s">
        <v>1981</v>
      </c>
      <c r="AFF8" s="1254" t="s">
        <v>1982</v>
      </c>
      <c r="AFG8" s="1254" t="s">
        <v>1983</v>
      </c>
      <c r="AFH8" s="1254" t="s">
        <v>1984</v>
      </c>
      <c r="AFI8" s="1254" t="s">
        <v>1985</v>
      </c>
      <c r="AFJ8" s="1254" t="s">
        <v>1986</v>
      </c>
      <c r="AFK8" s="1255" t="s">
        <v>1987</v>
      </c>
      <c r="AFL8" s="1254" t="s">
        <v>1988</v>
      </c>
      <c r="AFM8" s="1254" t="s">
        <v>1989</v>
      </c>
      <c r="AFN8" s="1254" t="s">
        <v>1990</v>
      </c>
      <c r="AFO8" s="1254" t="s">
        <v>1991</v>
      </c>
      <c r="AFP8" s="1254" t="s">
        <v>1992</v>
      </c>
      <c r="AFQ8" s="1254" t="s">
        <v>1993</v>
      </c>
      <c r="AFR8" s="1254" t="s">
        <v>1994</v>
      </c>
      <c r="AFS8" s="1254" t="s">
        <v>1995</v>
      </c>
      <c r="AFT8" s="1253" t="s">
        <v>1996</v>
      </c>
      <c r="AFU8" s="1254" t="s">
        <v>1997</v>
      </c>
      <c r="AFV8" s="1254" t="s">
        <v>1998</v>
      </c>
      <c r="AFW8" s="1254" t="s">
        <v>1999</v>
      </c>
      <c r="AFX8" s="1254" t="s">
        <v>2000</v>
      </c>
      <c r="AFY8" s="1254" t="s">
        <v>2001</v>
      </c>
      <c r="AFZ8" s="1254" t="s">
        <v>2002</v>
      </c>
      <c r="AGA8" s="1255" t="s">
        <v>2003</v>
      </c>
      <c r="AGB8" s="1254" t="s">
        <v>2004</v>
      </c>
      <c r="AGC8" s="1254" t="s">
        <v>2005</v>
      </c>
      <c r="AGD8" s="1254" t="s">
        <v>2006</v>
      </c>
      <c r="AGE8" s="1254" t="s">
        <v>2007</v>
      </c>
      <c r="AGF8" s="1254" t="s">
        <v>2008</v>
      </c>
      <c r="AGG8" s="1254" t="s">
        <v>2009</v>
      </c>
      <c r="AGH8" s="1254" t="s">
        <v>2010</v>
      </c>
      <c r="AGI8" s="1254" t="s">
        <v>2011</v>
      </c>
      <c r="AGJ8" s="1253" t="s">
        <v>2012</v>
      </c>
      <c r="AGK8" s="1254" t="s">
        <v>2013</v>
      </c>
      <c r="AGL8" s="1254" t="s">
        <v>2014</v>
      </c>
      <c r="AGM8" s="1254" t="s">
        <v>2015</v>
      </c>
      <c r="AGN8" s="1254" t="s">
        <v>2016</v>
      </c>
      <c r="AGO8" s="1254" t="s">
        <v>2017</v>
      </c>
      <c r="AGP8" s="1254" t="s">
        <v>2018</v>
      </c>
      <c r="AGQ8" s="1255" t="s">
        <v>2019</v>
      </c>
      <c r="AGR8" s="1253" t="s">
        <v>1221</v>
      </c>
      <c r="AGS8" s="1254" t="s">
        <v>1226</v>
      </c>
      <c r="AGT8" s="1254" t="s">
        <v>1227</v>
      </c>
      <c r="AGU8" s="1254" t="s">
        <v>1228</v>
      </c>
      <c r="AGV8" s="1254" t="s">
        <v>1229</v>
      </c>
      <c r="AGW8" s="1254" t="s">
        <v>1230</v>
      </c>
      <c r="AGX8" s="1254" t="s">
        <v>1231</v>
      </c>
      <c r="AGY8" s="1255" t="s">
        <v>1232</v>
      </c>
      <c r="AGZ8" s="1253" t="s">
        <v>1257</v>
      </c>
      <c r="AHA8" s="1254" t="s">
        <v>1258</v>
      </c>
      <c r="AHB8" s="1254" t="s">
        <v>1259</v>
      </c>
      <c r="AHC8" s="1254" t="s">
        <v>1260</v>
      </c>
      <c r="AHD8" s="1254" t="s">
        <v>1261</v>
      </c>
      <c r="AHE8" s="1254" t="s">
        <v>1262</v>
      </c>
      <c r="AHF8" s="1254" t="s">
        <v>1263</v>
      </c>
      <c r="AHG8" s="1255" t="s">
        <v>1264</v>
      </c>
      <c r="AHH8" s="1253" t="s">
        <v>1285</v>
      </c>
      <c r="AHI8" s="1254" t="s">
        <v>1286</v>
      </c>
      <c r="AHJ8" s="1254" t="s">
        <v>1287</v>
      </c>
      <c r="AHK8" s="1254" t="s">
        <v>1288</v>
      </c>
      <c r="AHL8" s="1254" t="s">
        <v>1289</v>
      </c>
      <c r="AHM8" s="1254" t="s">
        <v>1290</v>
      </c>
      <c r="AHN8" s="1254" t="s">
        <v>1291</v>
      </c>
      <c r="AHO8" s="1255" t="s">
        <v>1292</v>
      </c>
      <c r="AHP8" s="1253" t="s">
        <v>1310</v>
      </c>
      <c r="AHQ8" s="1254" t="s">
        <v>1313</v>
      </c>
      <c r="AHR8" s="1254" t="s">
        <v>1314</v>
      </c>
      <c r="AHS8" s="1254" t="s">
        <v>1315</v>
      </c>
      <c r="AHT8" s="1254" t="s">
        <v>1316</v>
      </c>
      <c r="AHU8" s="1254" t="s">
        <v>1317</v>
      </c>
      <c r="AHV8" s="1254" t="s">
        <v>1318</v>
      </c>
      <c r="AHW8" s="1255" t="s">
        <v>1319</v>
      </c>
      <c r="AHX8" s="1231" t="s">
        <v>1396</v>
      </c>
      <c r="AHY8" s="1254" t="s">
        <v>1397</v>
      </c>
      <c r="AHZ8" s="1254" t="s">
        <v>1398</v>
      </c>
      <c r="AIA8" s="1254" t="s">
        <v>1399</v>
      </c>
      <c r="AIB8" s="1254" t="s">
        <v>1400</v>
      </c>
      <c r="AIC8" s="1254" t="s">
        <v>1401</v>
      </c>
      <c r="AID8" s="1254" t="s">
        <v>1402</v>
      </c>
      <c r="AIE8" s="1255" t="s">
        <v>1403</v>
      </c>
      <c r="AIF8" s="1253" t="s">
        <v>1409</v>
      </c>
      <c r="AIG8" s="1254" t="s">
        <v>1410</v>
      </c>
      <c r="AIH8" s="1254" t="s">
        <v>1411</v>
      </c>
      <c r="AII8" s="1254" t="s">
        <v>1412</v>
      </c>
      <c r="AIJ8" s="1254" t="s">
        <v>1413</v>
      </c>
      <c r="AIK8" s="1254" t="s">
        <v>1414</v>
      </c>
      <c r="AIL8" s="1254" t="s">
        <v>1415</v>
      </c>
      <c r="AIM8" s="1255" t="s">
        <v>1416</v>
      </c>
      <c r="AIN8" s="1253" t="s">
        <v>1417</v>
      </c>
      <c r="AIO8" s="1254" t="s">
        <v>1418</v>
      </c>
      <c r="AIP8" s="1254" t="s">
        <v>1419</v>
      </c>
      <c r="AIQ8" s="1254" t="s">
        <v>1420</v>
      </c>
      <c r="AIR8" s="1254" t="s">
        <v>1421</v>
      </c>
      <c r="AIS8" s="1254" t="s">
        <v>1422</v>
      </c>
      <c r="AIT8" s="1254" t="s">
        <v>1423</v>
      </c>
      <c r="AIU8" s="1255" t="s">
        <v>1424</v>
      </c>
      <c r="AIV8" s="1253" t="s">
        <v>1425</v>
      </c>
      <c r="AIW8" s="1254" t="s">
        <v>1426</v>
      </c>
      <c r="AIX8" s="1254" t="s">
        <v>1427</v>
      </c>
      <c r="AIY8" s="1254" t="s">
        <v>1428</v>
      </c>
      <c r="AIZ8" s="1254" t="s">
        <v>1429</v>
      </c>
      <c r="AJA8" s="1254" t="s">
        <v>1430</v>
      </c>
      <c r="AJB8" s="1254" t="s">
        <v>1431</v>
      </c>
      <c r="AJC8" s="1255" t="s">
        <v>1432</v>
      </c>
      <c r="AJD8" s="1253" t="s">
        <v>1433</v>
      </c>
      <c r="AJE8" s="1254" t="s">
        <v>1434</v>
      </c>
      <c r="AJF8" s="1254" t="s">
        <v>1435</v>
      </c>
      <c r="AJG8" s="1254" t="s">
        <v>1436</v>
      </c>
      <c r="AJH8" s="1254" t="s">
        <v>1437</v>
      </c>
      <c r="AJI8" s="1254" t="s">
        <v>1438</v>
      </c>
      <c r="AJJ8" s="1254" t="s">
        <v>1439</v>
      </c>
      <c r="AJK8" s="1255" t="s">
        <v>1440</v>
      </c>
      <c r="AJL8" s="1253" t="s">
        <v>1441</v>
      </c>
      <c r="AJM8" s="1254" t="s">
        <v>1442</v>
      </c>
      <c r="AJN8" s="1254" t="s">
        <v>1443</v>
      </c>
      <c r="AJO8" s="1254" t="s">
        <v>1444</v>
      </c>
      <c r="AJP8" s="1254" t="s">
        <v>1445</v>
      </c>
      <c r="AJQ8" s="1254" t="s">
        <v>1446</v>
      </c>
      <c r="AJR8" s="1254" t="s">
        <v>1447</v>
      </c>
      <c r="AJS8" s="1255" t="s">
        <v>1448</v>
      </c>
      <c r="AJT8" s="1253" t="s">
        <v>2020</v>
      </c>
      <c r="AJU8" s="1254" t="s">
        <v>2021</v>
      </c>
      <c r="AJV8" s="1254" t="s">
        <v>2022</v>
      </c>
      <c r="AJW8" s="1255" t="s">
        <v>2023</v>
      </c>
      <c r="AJX8" s="1253" t="s">
        <v>2024</v>
      </c>
      <c r="AJY8" s="1254" t="s">
        <v>2025</v>
      </c>
      <c r="AJZ8" s="1254" t="s">
        <v>2026</v>
      </c>
      <c r="AKA8" s="1254" t="s">
        <v>2027</v>
      </c>
      <c r="AKB8" s="1254" t="s">
        <v>2028</v>
      </c>
      <c r="AKC8" s="1255" t="s">
        <v>2029</v>
      </c>
      <c r="AKD8" s="1253" t="s">
        <v>2952</v>
      </c>
      <c r="AKE8" s="1254" t="s">
        <v>2953</v>
      </c>
      <c r="AKF8" s="1254" t="s">
        <v>2954</v>
      </c>
      <c r="AKG8" s="1254" t="s">
        <v>2955</v>
      </c>
      <c r="AKH8" s="1254" t="s">
        <v>2956</v>
      </c>
      <c r="AKI8" s="1254" t="s">
        <v>2957</v>
      </c>
      <c r="AKJ8" s="1254" t="s">
        <v>2958</v>
      </c>
      <c r="AKK8" s="1254" t="s">
        <v>2959</v>
      </c>
      <c r="AKL8" s="1253" t="s">
        <v>2960</v>
      </c>
      <c r="AKM8" s="1254" t="s">
        <v>2961</v>
      </c>
      <c r="AKN8" s="1254" t="s">
        <v>2962</v>
      </c>
      <c r="AKO8" s="1254" t="s">
        <v>2963</v>
      </c>
      <c r="AKP8" s="1254" t="s">
        <v>2964</v>
      </c>
      <c r="AKQ8" s="1254" t="s">
        <v>2965</v>
      </c>
      <c r="AKR8" s="1254" t="s">
        <v>2966</v>
      </c>
      <c r="AKS8" s="1255" t="s">
        <v>2967</v>
      </c>
      <c r="AKT8" s="1253" t="s">
        <v>2968</v>
      </c>
      <c r="AKU8" s="1254" t="s">
        <v>2969</v>
      </c>
      <c r="AKV8" s="1254" t="s">
        <v>2970</v>
      </c>
      <c r="AKW8" s="1254" t="s">
        <v>2971</v>
      </c>
      <c r="AKX8" s="1254" t="s">
        <v>2972</v>
      </c>
      <c r="AKY8" s="1254" t="s">
        <v>2973</v>
      </c>
      <c r="AKZ8" s="1254" t="s">
        <v>2974</v>
      </c>
      <c r="ALA8" s="1255" t="s">
        <v>2975</v>
      </c>
      <c r="ALB8" s="1253" t="s">
        <v>2976</v>
      </c>
      <c r="ALC8" s="1254" t="s">
        <v>2977</v>
      </c>
      <c r="ALD8" s="1254" t="s">
        <v>2978</v>
      </c>
      <c r="ALE8" s="1254" t="s">
        <v>2979</v>
      </c>
      <c r="ALF8" s="1254" t="s">
        <v>2980</v>
      </c>
      <c r="ALG8" s="1254" t="s">
        <v>2981</v>
      </c>
      <c r="ALH8" s="1254" t="s">
        <v>2982</v>
      </c>
      <c r="ALI8" s="1255" t="s">
        <v>2983</v>
      </c>
      <c r="ALJ8" s="1253" t="s">
        <v>2984</v>
      </c>
      <c r="ALK8" s="1254" t="s">
        <v>2985</v>
      </c>
      <c r="ALL8" s="1254" t="s">
        <v>2986</v>
      </c>
      <c r="ALM8" s="1254" t="s">
        <v>2987</v>
      </c>
      <c r="ALN8" s="1254" t="s">
        <v>2988</v>
      </c>
      <c r="ALO8" s="1254" t="s">
        <v>2989</v>
      </c>
      <c r="ALP8" s="1254" t="s">
        <v>2990</v>
      </c>
      <c r="ALQ8" s="1255" t="s">
        <v>2991</v>
      </c>
      <c r="ALR8" s="1253" t="s">
        <v>2992</v>
      </c>
      <c r="ALS8" s="1254" t="s">
        <v>2993</v>
      </c>
      <c r="ALT8" s="1254" t="s">
        <v>2994</v>
      </c>
      <c r="ALU8" s="1254" t="s">
        <v>2995</v>
      </c>
      <c r="ALV8" s="1254" t="s">
        <v>2996</v>
      </c>
      <c r="ALW8" s="1254" t="s">
        <v>2997</v>
      </c>
      <c r="ALX8" s="1254" t="s">
        <v>2998</v>
      </c>
      <c r="ALY8" s="1255" t="s">
        <v>2999</v>
      </c>
    </row>
    <row r="9" spans="1:1013" ht="18" customHeight="1">
      <c r="A9" s="1259" t="s">
        <v>1</v>
      </c>
      <c r="B9" s="1260" t="s">
        <v>3063</v>
      </c>
      <c r="C9" s="1260">
        <v>2022</v>
      </c>
      <c r="D9" s="1260"/>
      <c r="E9" s="1261">
        <v>0.5</v>
      </c>
      <c r="F9" s="1262">
        <v>0.2</v>
      </c>
      <c r="G9" s="1262">
        <v>0.2</v>
      </c>
      <c r="H9" s="1263">
        <v>263.02752293577981</v>
      </c>
      <c r="I9" s="1264">
        <v>-0.9</v>
      </c>
      <c r="J9" s="1262">
        <v>-2.5</v>
      </c>
      <c r="K9" s="1262">
        <v>-2.5</v>
      </c>
      <c r="L9" s="1265">
        <v>350</v>
      </c>
      <c r="M9" s="1262">
        <v>0</v>
      </c>
      <c r="N9" s="1262">
        <v>0</v>
      </c>
      <c r="O9" s="1262">
        <v>0</v>
      </c>
      <c r="P9" s="1263">
        <v>1176.4430275624979</v>
      </c>
      <c r="Q9" s="1266">
        <v>12</v>
      </c>
      <c r="R9" s="1264">
        <v>0.8</v>
      </c>
      <c r="S9" s="1264">
        <v>0.7</v>
      </c>
      <c r="T9" s="1264">
        <v>0.7</v>
      </c>
      <c r="U9" s="1262">
        <v>0.7</v>
      </c>
      <c r="V9" s="1262">
        <v>0</v>
      </c>
      <c r="W9" s="1262">
        <v>99.2</v>
      </c>
      <c r="X9" s="1262">
        <v>0.1</v>
      </c>
      <c r="Y9" s="1267">
        <v>0</v>
      </c>
      <c r="Z9" s="1266">
        <v>2</v>
      </c>
      <c r="AA9" s="1264">
        <v>1.5</v>
      </c>
      <c r="AB9" s="1266">
        <v>1</v>
      </c>
      <c r="AC9" s="1264">
        <v>0.8</v>
      </c>
      <c r="AD9" s="1264">
        <v>0.5</v>
      </c>
      <c r="AE9" s="390">
        <v>433.01922201480062</v>
      </c>
      <c r="AF9" s="390">
        <v>470.67306740739195</v>
      </c>
      <c r="AG9" s="390">
        <v>433.37222681535616</v>
      </c>
      <c r="AH9" s="390">
        <v>649.0581599547935</v>
      </c>
      <c r="AI9" s="400">
        <v>0.82209484106305364</v>
      </c>
      <c r="AJ9" s="390">
        <v>261.91600618637949</v>
      </c>
      <c r="AK9" s="390">
        <v>284.69131107215162</v>
      </c>
      <c r="AL9" s="390">
        <v>262.12952466968363</v>
      </c>
      <c r="AM9" s="390">
        <v>392.58931796849708</v>
      </c>
      <c r="AN9" s="400">
        <v>0.96717040125065135</v>
      </c>
      <c r="AO9" s="271">
        <v>0.1</v>
      </c>
      <c r="AP9" s="271">
        <v>0.2</v>
      </c>
      <c r="AQ9" s="271">
        <v>0.4</v>
      </c>
      <c r="AR9" s="271">
        <v>0.6</v>
      </c>
      <c r="AS9" s="271">
        <v>0.8</v>
      </c>
      <c r="AT9" s="271">
        <v>1</v>
      </c>
      <c r="AU9" s="271">
        <v>1.3</v>
      </c>
      <c r="AV9" s="1268">
        <v>0</v>
      </c>
      <c r="AW9" s="1268">
        <v>10</v>
      </c>
      <c r="AX9" s="1268">
        <v>20</v>
      </c>
      <c r="AY9" s="1268">
        <v>70</v>
      </c>
      <c r="AZ9" s="1268">
        <v>100</v>
      </c>
      <c r="BA9" s="989">
        <v>8970.0418125242413</v>
      </c>
      <c r="BB9" s="990">
        <v>1.18</v>
      </c>
      <c r="BC9" s="991">
        <v>0.6</v>
      </c>
      <c r="BD9" s="991">
        <v>0.6</v>
      </c>
      <c r="BE9" s="991">
        <v>0.6</v>
      </c>
      <c r="BF9" s="992">
        <v>0.16961937784730771</v>
      </c>
      <c r="BG9" s="992">
        <v>0.17629160201814098</v>
      </c>
      <c r="BH9" s="990">
        <v>3.9955377834034946E-5</v>
      </c>
      <c r="BI9" s="990">
        <v>4.7247234288746325E-2</v>
      </c>
      <c r="BJ9" s="990">
        <v>0.53404358012971109</v>
      </c>
      <c r="BK9" s="990">
        <v>42.737051261151549</v>
      </c>
      <c r="BL9" s="990">
        <v>0.57174147911612305</v>
      </c>
      <c r="BM9" s="990">
        <v>0.10921802530933454</v>
      </c>
      <c r="BN9" s="990">
        <v>55.464697026360966</v>
      </c>
      <c r="BO9" s="990">
        <v>4.4350469395778795E-2</v>
      </c>
      <c r="BP9" s="990">
        <v>4.8545784068352461E-3</v>
      </c>
      <c r="BQ9" s="990">
        <v>4.7946453400841938E-4</v>
      </c>
      <c r="BR9" s="990"/>
      <c r="BS9" s="990"/>
      <c r="BT9" s="990">
        <v>7.012168809873133E-2</v>
      </c>
      <c r="BU9" s="990"/>
      <c r="BV9" s="990">
        <v>0.41615523783039104</v>
      </c>
      <c r="BW9" s="993">
        <v>261.13475999999997</v>
      </c>
      <c r="BX9" s="993">
        <v>96.5</v>
      </c>
      <c r="BY9" s="993">
        <v>63.215999999999994</v>
      </c>
      <c r="BZ9" s="993">
        <v>233.35949490734063</v>
      </c>
      <c r="CA9" s="993">
        <v>157.40783999999999</v>
      </c>
      <c r="CB9" s="990"/>
      <c r="CC9" s="993">
        <v>256.20808011776955</v>
      </c>
      <c r="CD9" s="993">
        <v>165.17663999999999</v>
      </c>
      <c r="CE9" s="990"/>
      <c r="CF9" s="989">
        <v>0</v>
      </c>
      <c r="CG9" s="993">
        <v>6.585</v>
      </c>
      <c r="CH9" s="993">
        <v>1.3169999999999999</v>
      </c>
      <c r="CI9" s="993">
        <v>38</v>
      </c>
      <c r="CJ9" s="993">
        <v>225.83915999999996</v>
      </c>
      <c r="CK9" s="990">
        <v>0.2</v>
      </c>
      <c r="CL9" s="993">
        <v>175.08124000000001</v>
      </c>
      <c r="CM9" s="993">
        <v>60.4</v>
      </c>
      <c r="CN9" s="993">
        <v>42.384</v>
      </c>
      <c r="CO9" s="993">
        <v>156.45894761061641</v>
      </c>
      <c r="CP9" s="993">
        <v>105.53616</v>
      </c>
      <c r="CQ9" s="990"/>
      <c r="CR9" s="993">
        <v>159.24945066654416</v>
      </c>
      <c r="CS9" s="993">
        <v>102.66767999999999</v>
      </c>
      <c r="CT9" s="990"/>
      <c r="CU9" s="993">
        <v>0</v>
      </c>
      <c r="CV9" s="993">
        <v>4.415</v>
      </c>
      <c r="CW9" s="993">
        <v>0.88300000000000001</v>
      </c>
      <c r="CX9" s="993">
        <v>27</v>
      </c>
      <c r="CY9" s="993">
        <v>151.41683999999998</v>
      </c>
      <c r="CZ9" s="990">
        <v>0.2</v>
      </c>
      <c r="DA9" s="994">
        <v>0.3</v>
      </c>
      <c r="DB9" s="994">
        <v>0.7</v>
      </c>
      <c r="DC9" s="994">
        <v>1.2</v>
      </c>
      <c r="DD9" s="994">
        <v>1.2</v>
      </c>
      <c r="DE9" s="991">
        <v>3</v>
      </c>
      <c r="DF9" s="995">
        <v>0</v>
      </c>
      <c r="DG9" s="995">
        <v>10</v>
      </c>
      <c r="DH9" s="995">
        <v>20</v>
      </c>
      <c r="DI9" s="995">
        <v>70</v>
      </c>
      <c r="DJ9" s="995">
        <v>100</v>
      </c>
      <c r="DK9" s="996">
        <v>402.56491759055717</v>
      </c>
      <c r="DL9" s="991">
        <v>18</v>
      </c>
      <c r="DM9" s="989">
        <v>12</v>
      </c>
      <c r="DN9" s="991">
        <v>1.4</v>
      </c>
      <c r="DO9" s="991">
        <v>0.8</v>
      </c>
      <c r="DP9" s="991">
        <v>0.8</v>
      </c>
      <c r="DQ9" s="994" t="s">
        <v>639</v>
      </c>
      <c r="DR9" s="994" t="s">
        <v>640</v>
      </c>
      <c r="DS9" s="994" t="s">
        <v>640</v>
      </c>
      <c r="DT9" s="994" t="s">
        <v>640</v>
      </c>
      <c r="DU9" s="994" t="s">
        <v>640</v>
      </c>
      <c r="DV9" s="994" t="s">
        <v>640</v>
      </c>
      <c r="DW9" s="994" t="s">
        <v>640</v>
      </c>
      <c r="DX9" s="997">
        <v>3595.9771470241367</v>
      </c>
      <c r="DY9" s="997">
        <v>0</v>
      </c>
      <c r="DZ9" s="997">
        <v>0</v>
      </c>
      <c r="EA9" s="997">
        <v>0</v>
      </c>
      <c r="EB9" s="997">
        <v>0</v>
      </c>
      <c r="EC9" s="997">
        <v>0</v>
      </c>
      <c r="ED9" s="997">
        <v>0</v>
      </c>
      <c r="EE9" s="991">
        <v>3.5959771470241368</v>
      </c>
      <c r="EF9" s="991">
        <v>18</v>
      </c>
      <c r="EG9" s="991">
        <v>5</v>
      </c>
      <c r="EH9" s="998">
        <v>1.4</v>
      </c>
      <c r="EI9" s="998">
        <v>0.8</v>
      </c>
      <c r="EJ9" s="998">
        <v>0.8</v>
      </c>
      <c r="EK9" s="988" t="s">
        <v>679</v>
      </c>
      <c r="EL9" s="988" t="s">
        <v>700</v>
      </c>
      <c r="EM9" s="988" t="s">
        <v>716</v>
      </c>
      <c r="EN9" s="988" t="s">
        <v>730</v>
      </c>
      <c r="EO9" s="988" t="s">
        <v>742</v>
      </c>
      <c r="EP9" s="988" t="s">
        <v>753</v>
      </c>
      <c r="EQ9" s="988" t="s">
        <v>640</v>
      </c>
      <c r="ER9" s="988" t="s">
        <v>640</v>
      </c>
      <c r="ES9" s="988" t="s">
        <v>640</v>
      </c>
      <c r="ET9" s="988" t="s">
        <v>640</v>
      </c>
      <c r="EU9" s="988" t="s">
        <v>640</v>
      </c>
      <c r="EV9" s="988" t="s">
        <v>640</v>
      </c>
      <c r="EW9" s="988" t="s">
        <v>640</v>
      </c>
      <c r="EX9" s="988" t="s">
        <v>640</v>
      </c>
      <c r="EY9" s="988" t="s">
        <v>640</v>
      </c>
      <c r="EZ9" s="988" t="s">
        <v>640</v>
      </c>
      <c r="FA9" s="988" t="s">
        <v>640</v>
      </c>
      <c r="FB9" s="988" t="s">
        <v>640</v>
      </c>
      <c r="FC9" s="988" t="s">
        <v>640</v>
      </c>
      <c r="FD9" s="988" t="s">
        <v>640</v>
      </c>
      <c r="FE9" s="988" t="s">
        <v>640</v>
      </c>
      <c r="FF9" s="988" t="s">
        <v>640</v>
      </c>
      <c r="FG9" s="988" t="s">
        <v>640</v>
      </c>
      <c r="FH9" s="988" t="s">
        <v>640</v>
      </c>
      <c r="FI9" s="988" t="s">
        <v>640</v>
      </c>
      <c r="FJ9" s="988" t="s">
        <v>640</v>
      </c>
      <c r="FK9" s="988" t="s">
        <v>640</v>
      </c>
      <c r="FL9" s="988" t="s">
        <v>640</v>
      </c>
      <c r="FM9" s="988" t="s">
        <v>640</v>
      </c>
      <c r="FN9" s="988" t="s">
        <v>640</v>
      </c>
      <c r="FO9" s="988" t="s">
        <v>640</v>
      </c>
      <c r="FP9" s="988" t="s">
        <v>640</v>
      </c>
      <c r="FQ9" s="988" t="s">
        <v>640</v>
      </c>
      <c r="FR9" s="988" t="s">
        <v>640</v>
      </c>
      <c r="FS9" s="988" t="s">
        <v>640</v>
      </c>
      <c r="FT9" s="988" t="s">
        <v>640</v>
      </c>
      <c r="FU9" s="988" t="s">
        <v>640</v>
      </c>
      <c r="FV9" s="988" t="s">
        <v>640</v>
      </c>
      <c r="FW9" s="988" t="s">
        <v>640</v>
      </c>
      <c r="FX9" s="988" t="s">
        <v>640</v>
      </c>
      <c r="FY9" s="988" t="s">
        <v>640</v>
      </c>
      <c r="FZ9" s="988" t="s">
        <v>640</v>
      </c>
      <c r="GA9" s="988" t="s">
        <v>640</v>
      </c>
      <c r="GB9" s="988" t="s">
        <v>640</v>
      </c>
      <c r="GC9" s="988" t="s">
        <v>640</v>
      </c>
      <c r="GD9" s="988" t="s">
        <v>640</v>
      </c>
      <c r="GE9" s="988" t="s">
        <v>640</v>
      </c>
      <c r="GF9" s="988" t="s">
        <v>640</v>
      </c>
      <c r="GG9" s="988" t="s">
        <v>640</v>
      </c>
      <c r="GH9" s="988" t="s">
        <v>640</v>
      </c>
      <c r="GI9" s="988" t="s">
        <v>640</v>
      </c>
      <c r="GJ9" s="988" t="s">
        <v>640</v>
      </c>
      <c r="GK9" s="988" t="s">
        <v>640</v>
      </c>
      <c r="GL9" s="988" t="s">
        <v>640</v>
      </c>
      <c r="GM9" s="988" t="s">
        <v>640</v>
      </c>
      <c r="GN9" s="988" t="s">
        <v>640</v>
      </c>
      <c r="GO9" s="988" t="s">
        <v>640</v>
      </c>
      <c r="GP9" s="988" t="s">
        <v>640</v>
      </c>
      <c r="GQ9" s="997">
        <v>26.198123022348792</v>
      </c>
      <c r="GR9" s="997">
        <v>681.15119858106868</v>
      </c>
      <c r="GS9" s="997">
        <v>222.11452127643543</v>
      </c>
      <c r="GT9" s="997">
        <v>305.26508565171645</v>
      </c>
      <c r="GU9" s="997">
        <v>2014.9773750667403</v>
      </c>
      <c r="GV9" s="997">
        <v>346.27084342582765</v>
      </c>
      <c r="GW9" s="997">
        <v>0</v>
      </c>
      <c r="GX9" s="997">
        <v>0</v>
      </c>
      <c r="GY9" s="997">
        <v>0</v>
      </c>
      <c r="GZ9" s="997">
        <v>0</v>
      </c>
      <c r="HA9" s="997">
        <v>0</v>
      </c>
      <c r="HB9" s="997">
        <v>0</v>
      </c>
      <c r="HC9" s="997">
        <v>0</v>
      </c>
      <c r="HD9" s="997">
        <v>0</v>
      </c>
      <c r="HE9" s="997">
        <v>0</v>
      </c>
      <c r="HF9" s="997">
        <v>0</v>
      </c>
      <c r="HG9" s="997">
        <v>0</v>
      </c>
      <c r="HH9" s="997">
        <v>0</v>
      </c>
      <c r="HI9" s="997">
        <v>0</v>
      </c>
      <c r="HJ9" s="997">
        <v>0</v>
      </c>
      <c r="HK9" s="997">
        <v>0</v>
      </c>
      <c r="HL9" s="997">
        <v>0</v>
      </c>
      <c r="HM9" s="997">
        <v>0</v>
      </c>
      <c r="HN9" s="997">
        <v>0</v>
      </c>
      <c r="HO9" s="997">
        <v>0</v>
      </c>
      <c r="HP9" s="997">
        <v>0</v>
      </c>
      <c r="HQ9" s="997">
        <v>0</v>
      </c>
      <c r="HR9" s="997">
        <v>0</v>
      </c>
      <c r="HS9" s="997">
        <v>0</v>
      </c>
      <c r="HT9" s="997">
        <v>0</v>
      </c>
      <c r="HU9" s="997">
        <v>0</v>
      </c>
      <c r="HV9" s="997">
        <v>0</v>
      </c>
      <c r="HW9" s="997">
        <v>0</v>
      </c>
      <c r="HX9" s="997">
        <v>0</v>
      </c>
      <c r="HY9" s="997">
        <v>0</v>
      </c>
      <c r="HZ9" s="997">
        <v>0</v>
      </c>
      <c r="IA9" s="997">
        <v>0</v>
      </c>
      <c r="IB9" s="997">
        <v>0</v>
      </c>
      <c r="IC9" s="997">
        <v>0</v>
      </c>
      <c r="ID9" s="997">
        <v>0</v>
      </c>
      <c r="IE9" s="997">
        <v>0</v>
      </c>
      <c r="IF9" s="997">
        <v>0</v>
      </c>
      <c r="IG9" s="997">
        <v>0</v>
      </c>
      <c r="IH9" s="997">
        <v>0</v>
      </c>
      <c r="II9" s="997">
        <v>0</v>
      </c>
      <c r="IJ9" s="997">
        <v>0</v>
      </c>
      <c r="IK9" s="997">
        <v>0</v>
      </c>
      <c r="IL9" s="997">
        <v>0</v>
      </c>
      <c r="IM9" s="997">
        <v>0</v>
      </c>
      <c r="IN9" s="997">
        <v>0</v>
      </c>
      <c r="IO9" s="997">
        <v>0</v>
      </c>
      <c r="IP9" s="997">
        <v>0</v>
      </c>
      <c r="IQ9" s="997">
        <v>0</v>
      </c>
      <c r="IR9" s="997">
        <v>0</v>
      </c>
      <c r="IS9" s="997">
        <v>0</v>
      </c>
      <c r="IT9" s="997">
        <v>0</v>
      </c>
      <c r="IU9" s="997">
        <v>0</v>
      </c>
      <c r="IV9" s="997">
        <v>0</v>
      </c>
      <c r="IW9" s="989">
        <v>1478.2824026516614</v>
      </c>
      <c r="IX9" s="991">
        <v>179.9</v>
      </c>
      <c r="IY9" s="999">
        <v>2647.0800000000199</v>
      </c>
      <c r="IZ9" s="1000">
        <v>12.64</v>
      </c>
      <c r="JA9" s="991">
        <v>85.472857772565845</v>
      </c>
      <c r="JB9" s="991">
        <v>1.4</v>
      </c>
      <c r="JC9" s="991">
        <v>0.8</v>
      </c>
      <c r="JD9" s="991">
        <v>0.8</v>
      </c>
      <c r="JE9" s="1001">
        <v>2</v>
      </c>
      <c r="JF9" s="1002">
        <v>1.5</v>
      </c>
      <c r="JG9" s="1002">
        <v>0.7</v>
      </c>
      <c r="JH9" s="1002">
        <v>0.7</v>
      </c>
      <c r="JI9" s="1002">
        <v>0.5</v>
      </c>
      <c r="JJ9" s="989">
        <v>95.708086423490244</v>
      </c>
      <c r="JK9" s="999">
        <v>2647.0800000000199</v>
      </c>
      <c r="JL9" s="1003">
        <v>12.64</v>
      </c>
      <c r="JM9" s="991">
        <v>85.472857772565845</v>
      </c>
      <c r="JN9" s="991">
        <v>1.4</v>
      </c>
      <c r="JO9" s="991">
        <v>1.1000000000000001</v>
      </c>
      <c r="JP9" s="991">
        <v>1.1000000000000001</v>
      </c>
      <c r="JQ9" s="1001">
        <v>2</v>
      </c>
      <c r="JR9" s="1001">
        <v>2</v>
      </c>
      <c r="JS9" s="1001">
        <v>1</v>
      </c>
      <c r="JT9" s="1001">
        <v>1</v>
      </c>
      <c r="JU9" s="1002">
        <v>0.5</v>
      </c>
      <c r="JV9" s="1004">
        <v>2000</v>
      </c>
      <c r="JW9" s="989">
        <v>208.29081384288048</v>
      </c>
      <c r="JX9" s="989">
        <v>500</v>
      </c>
      <c r="JY9" s="991">
        <v>1.3</v>
      </c>
      <c r="JZ9" s="991">
        <v>0.8</v>
      </c>
      <c r="KA9" s="991">
        <v>0.8</v>
      </c>
      <c r="KB9" s="1002">
        <v>2</v>
      </c>
      <c r="KC9" s="1002">
        <v>1.5</v>
      </c>
      <c r="KD9" s="1002">
        <v>0.5</v>
      </c>
      <c r="KE9" s="1002">
        <v>1</v>
      </c>
      <c r="KF9" s="1002">
        <v>0.5</v>
      </c>
      <c r="KG9" s="1005">
        <v>4.8724873191809133</v>
      </c>
      <c r="KH9" s="1005">
        <v>7.0448994927672373E-4</v>
      </c>
      <c r="KI9" s="1005">
        <v>93.452470411422127</v>
      </c>
      <c r="KJ9" s="1005">
        <v>0</v>
      </c>
      <c r="KK9" s="1005">
        <v>0.50277099380048851</v>
      </c>
      <c r="KL9" s="1005">
        <v>0.94824347172647006</v>
      </c>
      <c r="KM9" s="1005">
        <v>0</v>
      </c>
      <c r="KN9" s="1005">
        <v>0</v>
      </c>
      <c r="KO9" s="1005">
        <v>0.22332331392072141</v>
      </c>
      <c r="KP9" s="1006">
        <v>580</v>
      </c>
      <c r="KQ9" s="1006">
        <v>580</v>
      </c>
      <c r="KR9" s="1006">
        <v>580</v>
      </c>
      <c r="KS9" s="1006">
        <v>580</v>
      </c>
      <c r="KT9" s="1006"/>
      <c r="KU9" s="1006">
        <v>580</v>
      </c>
      <c r="KV9" s="1006">
        <v>580</v>
      </c>
      <c r="KW9" s="1006">
        <v>580</v>
      </c>
      <c r="KX9" s="1006">
        <v>580</v>
      </c>
      <c r="KY9" s="1007">
        <v>370</v>
      </c>
      <c r="KZ9" s="1007">
        <v>370</v>
      </c>
      <c r="LA9" s="1007">
        <v>370</v>
      </c>
      <c r="LB9" s="1007">
        <v>370</v>
      </c>
      <c r="LC9" s="1007"/>
      <c r="LD9" s="1007">
        <v>370</v>
      </c>
      <c r="LE9" s="1007">
        <v>370</v>
      </c>
      <c r="LF9" s="1007">
        <v>370</v>
      </c>
      <c r="LG9" s="1007">
        <v>370</v>
      </c>
      <c r="LH9" s="995">
        <v>0</v>
      </c>
      <c r="LI9" s="995">
        <v>10</v>
      </c>
      <c r="LJ9" s="995">
        <v>20</v>
      </c>
      <c r="LK9" s="995">
        <v>70</v>
      </c>
      <c r="LL9" s="995">
        <v>100</v>
      </c>
      <c r="LM9" s="1004">
        <v>1000</v>
      </c>
      <c r="LN9" s="989">
        <v>179.78959020511687</v>
      </c>
      <c r="LO9" s="994">
        <v>29</v>
      </c>
      <c r="LP9" s="991">
        <v>1</v>
      </c>
      <c r="LQ9" s="991">
        <v>0.9</v>
      </c>
      <c r="LR9" s="991">
        <v>0.9</v>
      </c>
      <c r="LS9" s="1002">
        <v>2</v>
      </c>
      <c r="LT9" s="1002">
        <v>1</v>
      </c>
      <c r="LU9" s="1002">
        <v>0.5</v>
      </c>
      <c r="LV9" s="1002">
        <v>0.7</v>
      </c>
      <c r="LW9" s="1002">
        <v>0.2</v>
      </c>
      <c r="LX9" s="1004">
        <v>1500</v>
      </c>
      <c r="LY9" s="1008">
        <v>500</v>
      </c>
      <c r="LZ9" s="1008">
        <v>1</v>
      </c>
      <c r="MA9" s="1005" t="s">
        <v>2914</v>
      </c>
      <c r="MB9" s="1002" t="s">
        <v>905</v>
      </c>
      <c r="MC9" s="1002" t="s">
        <v>2932</v>
      </c>
      <c r="MD9" s="1004" t="s">
        <v>906</v>
      </c>
      <c r="ME9" s="1009">
        <v>0.5</v>
      </c>
      <c r="MF9" s="1010">
        <v>0.75</v>
      </c>
      <c r="MG9" s="1010">
        <v>1</v>
      </c>
      <c r="MH9" s="1010">
        <v>2</v>
      </c>
      <c r="MI9" s="1010">
        <v>0.5</v>
      </c>
      <c r="MJ9" s="1010">
        <v>0.75</v>
      </c>
      <c r="MK9" s="1010">
        <v>1</v>
      </c>
      <c r="ML9" s="1010">
        <v>2</v>
      </c>
      <c r="MM9" s="1010">
        <v>0</v>
      </c>
      <c r="MN9" s="1010">
        <v>0.5</v>
      </c>
      <c r="MO9" s="1010">
        <v>1</v>
      </c>
      <c r="MP9" s="1010">
        <v>2</v>
      </c>
      <c r="MQ9" s="1010">
        <v>0</v>
      </c>
      <c r="MR9" s="1010">
        <v>0.5</v>
      </c>
      <c r="MS9" s="1010">
        <v>1</v>
      </c>
      <c r="MT9" s="1010">
        <v>2</v>
      </c>
      <c r="MU9" s="1001">
        <v>0</v>
      </c>
      <c r="MV9" s="1001">
        <v>0</v>
      </c>
      <c r="MW9" s="1001">
        <v>0</v>
      </c>
      <c r="MX9" s="1010">
        <v>0</v>
      </c>
      <c r="MY9" s="1010">
        <v>0</v>
      </c>
      <c r="MZ9" s="1010">
        <v>0</v>
      </c>
      <c r="NA9" s="1010">
        <v>0</v>
      </c>
      <c r="NB9" s="1010">
        <v>0</v>
      </c>
      <c r="NC9" s="1010">
        <v>0</v>
      </c>
      <c r="ND9" s="1010">
        <v>0</v>
      </c>
      <c r="NE9" s="1010">
        <v>0</v>
      </c>
      <c r="NF9" s="1010">
        <v>0</v>
      </c>
      <c r="NG9" s="1010">
        <v>0</v>
      </c>
      <c r="NH9" s="1010">
        <v>0</v>
      </c>
      <c r="NI9" s="1010">
        <v>0</v>
      </c>
      <c r="NJ9" s="1010">
        <v>0</v>
      </c>
      <c r="NK9" s="1010">
        <v>0</v>
      </c>
      <c r="NL9" s="1010">
        <v>0</v>
      </c>
      <c r="NM9" s="1010">
        <v>0</v>
      </c>
      <c r="NN9" s="1010">
        <v>0</v>
      </c>
      <c r="NO9" s="1010">
        <v>0</v>
      </c>
      <c r="NP9" s="1010">
        <v>0</v>
      </c>
      <c r="NQ9" s="1010">
        <v>0</v>
      </c>
      <c r="NR9" s="1010">
        <v>0</v>
      </c>
      <c r="NS9" s="1010">
        <v>0</v>
      </c>
      <c r="NT9" s="1010">
        <v>0</v>
      </c>
      <c r="NU9" s="1010">
        <v>0</v>
      </c>
      <c r="NV9" s="1010">
        <v>1.1994368837602201</v>
      </c>
      <c r="NW9" s="1010">
        <v>0</v>
      </c>
      <c r="NX9" s="1010">
        <v>1.590573193783E-2</v>
      </c>
      <c r="NY9" s="1010">
        <v>1.39019622519992</v>
      </c>
      <c r="NZ9" s="1010">
        <v>1.20307811413579</v>
      </c>
      <c r="OA9" s="1010">
        <v>0</v>
      </c>
      <c r="OB9" s="1010">
        <v>1.19122695973008</v>
      </c>
      <c r="OC9" s="1010">
        <v>0</v>
      </c>
      <c r="OD9" s="1010">
        <v>1.5896502918080001E-2</v>
      </c>
      <c r="OE9" s="1010">
        <v>1.24654470141774</v>
      </c>
      <c r="OF9" s="1010">
        <v>-0.87497128262168</v>
      </c>
      <c r="OG9" s="1010">
        <v>0</v>
      </c>
      <c r="OH9" s="1010">
        <v>1.21794953098327</v>
      </c>
      <c r="OI9" s="1010">
        <v>0</v>
      </c>
      <c r="OJ9" s="1010">
        <v>1.592654255509E-2</v>
      </c>
      <c r="OK9" s="1010">
        <v>0.78368899559021998</v>
      </c>
      <c r="OL9" s="1010">
        <v>0</v>
      </c>
      <c r="OM9" s="1010">
        <v>0</v>
      </c>
      <c r="ON9" s="1010">
        <v>1.22380304859531</v>
      </c>
      <c r="OO9" s="1010">
        <v>0</v>
      </c>
      <c r="OP9" s="1010">
        <v>1.5933122668309999E-2</v>
      </c>
      <c r="OQ9" s="1010">
        <v>1.21163033959177</v>
      </c>
      <c r="OR9" s="1010">
        <v>2.6448337320211599</v>
      </c>
      <c r="OS9" s="1010">
        <v>0</v>
      </c>
      <c r="OT9" s="1010">
        <v>1.17042130513878</v>
      </c>
      <c r="OU9" s="1010">
        <v>0</v>
      </c>
      <c r="OV9" s="1010">
        <v>1.5873114663039999E-2</v>
      </c>
      <c r="OW9" s="1010">
        <v>1.2114846270720501</v>
      </c>
      <c r="OX9" s="1010">
        <v>2.9057874945701099</v>
      </c>
      <c r="OY9" s="1010">
        <v>0</v>
      </c>
      <c r="OZ9" s="1010">
        <v>-83.84</v>
      </c>
      <c r="PA9" s="1010">
        <v>-20.91</v>
      </c>
      <c r="PB9" s="1010">
        <v>-0.68068444541436002</v>
      </c>
      <c r="PC9" s="1010">
        <v>0</v>
      </c>
      <c r="PD9" s="1010">
        <v>-0.79040969154990004</v>
      </c>
      <c r="PE9" s="1010">
        <v>0</v>
      </c>
      <c r="PF9" s="1010">
        <v>4.525483456835E-2</v>
      </c>
      <c r="PG9" s="1010">
        <v>0</v>
      </c>
      <c r="PH9" s="1010">
        <v>0</v>
      </c>
      <c r="PI9" s="1010">
        <v>0</v>
      </c>
      <c r="PJ9" s="1010">
        <v>-0.98885093288057002</v>
      </c>
      <c r="PK9" s="1010">
        <v>0</v>
      </c>
      <c r="PL9" s="1010">
        <v>0</v>
      </c>
      <c r="PM9" s="1010">
        <v>0</v>
      </c>
      <c r="PN9" s="1010">
        <v>0</v>
      </c>
      <c r="PO9" s="1010">
        <v>0</v>
      </c>
      <c r="PP9" s="1010">
        <v>0</v>
      </c>
      <c r="PQ9" s="1010">
        <v>0</v>
      </c>
      <c r="PR9" s="1010">
        <v>0</v>
      </c>
      <c r="PS9" s="1010">
        <v>0</v>
      </c>
      <c r="PT9" s="1010">
        <v>0</v>
      </c>
      <c r="PU9" s="1010">
        <v>0</v>
      </c>
      <c r="PV9" s="1010">
        <v>0</v>
      </c>
      <c r="PW9" s="1010">
        <v>0</v>
      </c>
      <c r="PX9" s="1010">
        <v>0</v>
      </c>
      <c r="PY9" s="1010">
        <v>0</v>
      </c>
      <c r="PZ9" s="1010">
        <v>0</v>
      </c>
      <c r="QA9" s="1010">
        <v>0</v>
      </c>
      <c r="QB9" s="1010">
        <v>0</v>
      </c>
      <c r="QC9" s="1010">
        <v>0</v>
      </c>
      <c r="QD9" s="1010">
        <v>-83.84</v>
      </c>
      <c r="QE9" s="1010">
        <v>-20.91</v>
      </c>
      <c r="QF9" s="1010">
        <v>-0.84867335076165995</v>
      </c>
      <c r="QG9" s="1010">
        <v>0</v>
      </c>
      <c r="QH9" s="1010">
        <v>0.81675197013917999</v>
      </c>
      <c r="QI9" s="1010">
        <v>0</v>
      </c>
      <c r="QJ9" s="1010">
        <v>-6.4304876859060001E-2</v>
      </c>
      <c r="QK9" s="1010">
        <v>0</v>
      </c>
      <c r="QL9" s="1010">
        <v>0</v>
      </c>
      <c r="QM9" s="1010">
        <v>0</v>
      </c>
      <c r="QN9" s="1010">
        <v>0.99763835416460001</v>
      </c>
      <c r="QO9" s="1010">
        <v>0</v>
      </c>
      <c r="QP9" s="1010">
        <v>0</v>
      </c>
      <c r="QQ9" s="1010">
        <v>0</v>
      </c>
      <c r="QR9" s="1010">
        <v>0</v>
      </c>
      <c r="QS9" s="1010">
        <v>0</v>
      </c>
      <c r="QT9" s="1010">
        <v>0</v>
      </c>
      <c r="QU9" s="1010">
        <v>0</v>
      </c>
      <c r="QV9" s="1010">
        <v>0</v>
      </c>
      <c r="QW9" s="1010">
        <v>0</v>
      </c>
      <c r="QX9" s="1010">
        <v>0</v>
      </c>
      <c r="QY9" s="1010">
        <v>0</v>
      </c>
      <c r="QZ9" s="1010">
        <v>0</v>
      </c>
      <c r="RA9" s="1010">
        <v>0</v>
      </c>
      <c r="RB9" s="1010">
        <v>0</v>
      </c>
      <c r="RC9" s="1010">
        <v>0</v>
      </c>
      <c r="RD9" s="1010">
        <v>0</v>
      </c>
      <c r="RE9" s="1010">
        <v>0</v>
      </c>
      <c r="RF9" s="1010">
        <v>0</v>
      </c>
      <c r="RG9" s="1010">
        <v>0</v>
      </c>
      <c r="RH9" s="1011">
        <v>0</v>
      </c>
      <c r="RI9" s="1011">
        <v>0</v>
      </c>
      <c r="RJ9" s="1011">
        <v>0</v>
      </c>
      <c r="RK9" s="1011">
        <v>0</v>
      </c>
      <c r="RL9" s="1011">
        <v>0</v>
      </c>
      <c r="RM9" s="1011">
        <v>0</v>
      </c>
      <c r="RN9" s="1011">
        <v>0</v>
      </c>
      <c r="RO9" s="1011">
        <v>0</v>
      </c>
      <c r="RP9" s="1011">
        <v>0</v>
      </c>
      <c r="RQ9" s="1011">
        <v>0</v>
      </c>
      <c r="RR9" s="1011">
        <v>0</v>
      </c>
      <c r="RS9" s="1011">
        <v>0</v>
      </c>
      <c r="RT9" s="1011">
        <v>-2.9013871802915401</v>
      </c>
      <c r="RU9" s="1011">
        <v>0</v>
      </c>
      <c r="RV9" s="1011">
        <v>-1.1778444223831599</v>
      </c>
      <c r="RW9" s="1011">
        <v>0</v>
      </c>
      <c r="RX9" s="1011">
        <v>0</v>
      </c>
      <c r="RY9" s="1011">
        <v>0</v>
      </c>
      <c r="RZ9" s="1011">
        <v>0</v>
      </c>
      <c r="SA9" s="1011">
        <v>0</v>
      </c>
      <c r="SB9" s="1011">
        <v>0</v>
      </c>
      <c r="SC9" s="1011">
        <v>0</v>
      </c>
      <c r="SD9" s="1011">
        <v>0</v>
      </c>
      <c r="SE9" s="1011">
        <v>0</v>
      </c>
      <c r="SF9" s="1011">
        <v>-0.13423548089743001</v>
      </c>
      <c r="SG9" s="1011">
        <v>0</v>
      </c>
      <c r="SH9" s="1011">
        <v>0</v>
      </c>
      <c r="SI9" s="1011">
        <v>0</v>
      </c>
      <c r="SJ9" s="1011">
        <v>0</v>
      </c>
      <c r="SK9" s="1011">
        <v>0</v>
      </c>
      <c r="SL9" s="1010">
        <v>-83.84</v>
      </c>
      <c r="SM9" s="1010">
        <v>-20.91</v>
      </c>
      <c r="SN9" s="1010">
        <v>-0.56982246497171996</v>
      </c>
      <c r="SO9" s="1010">
        <v>0</v>
      </c>
      <c r="SP9" s="1010">
        <v>-2.9308420505738901</v>
      </c>
      <c r="SQ9" s="1010">
        <v>0</v>
      </c>
      <c r="SR9" s="1010">
        <v>0.63885895146673999</v>
      </c>
      <c r="SS9" s="1010">
        <v>0</v>
      </c>
      <c r="ST9" s="1010">
        <v>0</v>
      </c>
      <c r="SU9" s="1010">
        <v>0</v>
      </c>
      <c r="SV9" s="1010">
        <v>-0.52223929300562</v>
      </c>
      <c r="SW9" s="1010">
        <v>0</v>
      </c>
      <c r="SX9" s="1010">
        <v>0.40128762273434998</v>
      </c>
      <c r="SY9" s="1010">
        <v>0</v>
      </c>
      <c r="SZ9" s="1010">
        <v>0</v>
      </c>
      <c r="TA9" s="1010">
        <v>0</v>
      </c>
      <c r="TB9" s="1010">
        <v>-1.5222392930056201</v>
      </c>
      <c r="TC9" s="1010">
        <v>0</v>
      </c>
      <c r="TD9" s="1010">
        <v>0</v>
      </c>
      <c r="TE9" s="1010">
        <v>0</v>
      </c>
      <c r="TF9" s="1010">
        <v>0</v>
      </c>
      <c r="TG9" s="1010">
        <v>0</v>
      </c>
      <c r="TH9" s="1010">
        <v>0</v>
      </c>
      <c r="TI9" s="1010">
        <v>0</v>
      </c>
      <c r="TJ9" s="1010">
        <v>0</v>
      </c>
      <c r="TK9" s="1010">
        <v>0</v>
      </c>
      <c r="TL9" s="1010">
        <v>0</v>
      </c>
      <c r="TM9" s="1010">
        <v>0</v>
      </c>
      <c r="TN9" s="1010">
        <v>0</v>
      </c>
      <c r="TO9" s="1010">
        <v>0</v>
      </c>
      <c r="TP9" s="1010">
        <v>-83.84</v>
      </c>
      <c r="TQ9" s="1010">
        <v>-20.91</v>
      </c>
      <c r="TR9" s="1010">
        <v>-0.72938873819543004</v>
      </c>
      <c r="TS9" s="1010">
        <v>0</v>
      </c>
      <c r="TT9" s="1010">
        <v>-3.4909544199188498</v>
      </c>
      <c r="TU9" s="1010">
        <v>0</v>
      </c>
      <c r="TV9" s="1010">
        <v>0</v>
      </c>
      <c r="TW9" s="1010">
        <v>0</v>
      </c>
      <c r="TX9" s="1010">
        <v>0</v>
      </c>
      <c r="TY9" s="1010">
        <v>0</v>
      </c>
      <c r="TZ9" s="1010">
        <v>0</v>
      </c>
      <c r="UA9" s="1010">
        <v>0</v>
      </c>
      <c r="UB9" s="1010">
        <v>-0.18310589566675001</v>
      </c>
      <c r="UC9" s="1010">
        <v>0</v>
      </c>
      <c r="UD9" s="1010">
        <v>0</v>
      </c>
      <c r="UE9" s="1010">
        <v>0</v>
      </c>
      <c r="UF9" s="1010">
        <v>6.2017072702859999E-2</v>
      </c>
      <c r="UG9" s="1010">
        <v>0</v>
      </c>
      <c r="UH9" s="1010">
        <v>0</v>
      </c>
      <c r="UI9" s="1010">
        <v>0</v>
      </c>
      <c r="UJ9" s="1010">
        <v>0</v>
      </c>
      <c r="UK9" s="1010">
        <v>0</v>
      </c>
      <c r="UL9" s="1010">
        <v>0</v>
      </c>
      <c r="UM9" s="1010">
        <v>0</v>
      </c>
      <c r="UN9" s="1010">
        <v>0</v>
      </c>
      <c r="UO9" s="1010">
        <v>0</v>
      </c>
      <c r="UP9" s="1010">
        <v>0</v>
      </c>
      <c r="UQ9" s="1010">
        <v>0</v>
      </c>
      <c r="UR9" s="1010">
        <v>0</v>
      </c>
      <c r="US9" s="1010">
        <v>0</v>
      </c>
      <c r="UT9" s="1010">
        <v>0.30472583080339</v>
      </c>
      <c r="UU9" s="1010">
        <v>0</v>
      </c>
      <c r="UV9" s="1010">
        <v>5.8437398040399997E-2</v>
      </c>
      <c r="UW9" s="1010">
        <v>0</v>
      </c>
      <c r="UX9" s="1010">
        <v>-0.18129232654728999</v>
      </c>
      <c r="UY9" s="1010">
        <v>0</v>
      </c>
      <c r="UZ9" s="1010">
        <v>5.7927564669999997E-5</v>
      </c>
      <c r="VA9" s="1010">
        <v>0</v>
      </c>
      <c r="VB9" s="1010">
        <v>0</v>
      </c>
      <c r="VC9" s="1010">
        <v>0</v>
      </c>
      <c r="VD9" s="1010">
        <v>2.1908577310910001E-2</v>
      </c>
      <c r="VE9" s="1010">
        <v>0</v>
      </c>
      <c r="VF9" s="1010">
        <v>0</v>
      </c>
      <c r="VG9" s="1010">
        <v>0</v>
      </c>
      <c r="VH9" s="1010">
        <v>0</v>
      </c>
      <c r="VI9" s="1010">
        <v>0</v>
      </c>
      <c r="VJ9" s="1010">
        <v>1.6199999999999999E-3</v>
      </c>
      <c r="VK9" s="1010">
        <v>-6.4024000000000001</v>
      </c>
      <c r="VL9" s="1010">
        <v>0</v>
      </c>
      <c r="VM9" s="1010">
        <v>0</v>
      </c>
      <c r="VN9" s="1010">
        <v>0</v>
      </c>
      <c r="VO9" s="1010">
        <v>0</v>
      </c>
      <c r="VP9" s="1010">
        <v>0</v>
      </c>
      <c r="VQ9" s="1010">
        <v>0</v>
      </c>
      <c r="VR9" s="1010">
        <v>0</v>
      </c>
      <c r="VS9" s="1010">
        <v>0</v>
      </c>
      <c r="VT9" s="1010">
        <v>0</v>
      </c>
      <c r="VU9" s="1010">
        <v>0</v>
      </c>
      <c r="VV9" s="1010">
        <v>0</v>
      </c>
      <c r="VW9" s="1010">
        <v>0</v>
      </c>
      <c r="VX9" s="1010">
        <v>0</v>
      </c>
      <c r="VY9" s="1010">
        <v>0</v>
      </c>
      <c r="VZ9" s="1010">
        <v>0</v>
      </c>
      <c r="WA9" s="1010">
        <v>0</v>
      </c>
      <c r="WB9" s="1010">
        <v>0</v>
      </c>
      <c r="WC9" s="1010">
        <v>0</v>
      </c>
      <c r="WD9" s="995">
        <v>202</v>
      </c>
      <c r="WE9" s="995">
        <v>267</v>
      </c>
      <c r="WF9" s="995">
        <v>354</v>
      </c>
      <c r="WG9" s="995">
        <v>382</v>
      </c>
      <c r="WH9" s="995">
        <v>403</v>
      </c>
      <c r="WI9" s="995">
        <v>0</v>
      </c>
      <c r="WJ9" s="995">
        <v>1300</v>
      </c>
      <c r="WK9" s="1001">
        <v>0</v>
      </c>
      <c r="WL9" s="1001">
        <v>0</v>
      </c>
      <c r="WM9" s="1001">
        <v>0</v>
      </c>
      <c r="WN9" s="1001">
        <v>0</v>
      </c>
      <c r="WO9" s="1001">
        <v>0</v>
      </c>
      <c r="WP9" s="1001">
        <v>0</v>
      </c>
      <c r="WQ9" s="1001">
        <v>0</v>
      </c>
      <c r="WR9" s="1001">
        <v>0</v>
      </c>
      <c r="WS9" s="1001">
        <v>0</v>
      </c>
      <c r="WT9" s="1001">
        <v>0</v>
      </c>
      <c r="WU9" s="1001">
        <v>0</v>
      </c>
      <c r="WV9" s="1001">
        <v>0</v>
      </c>
      <c r="WW9" s="1001">
        <v>0</v>
      </c>
      <c r="WX9" s="1001">
        <v>0</v>
      </c>
      <c r="WY9" s="1001">
        <v>0</v>
      </c>
      <c r="WZ9" s="1001">
        <v>0</v>
      </c>
      <c r="XA9" s="1001">
        <v>0</v>
      </c>
      <c r="XB9" s="1001">
        <v>0</v>
      </c>
      <c r="XC9" s="1001">
        <v>0</v>
      </c>
      <c r="XD9" s="1001">
        <v>0</v>
      </c>
      <c r="XE9" s="1001">
        <v>0</v>
      </c>
      <c r="XF9" s="1001">
        <v>0</v>
      </c>
      <c r="XG9" s="1001">
        <v>0</v>
      </c>
      <c r="XH9" s="1001">
        <v>0</v>
      </c>
      <c r="XI9" s="1001">
        <v>0</v>
      </c>
      <c r="XJ9" s="1001">
        <v>0</v>
      </c>
      <c r="XK9" s="1001">
        <v>0</v>
      </c>
      <c r="XL9" s="1001">
        <v>0</v>
      </c>
      <c r="XM9" s="1001">
        <v>0</v>
      </c>
      <c r="XN9" s="1001">
        <v>0</v>
      </c>
      <c r="XO9" s="1001">
        <v>0</v>
      </c>
      <c r="XP9" s="1001">
        <v>0</v>
      </c>
      <c r="XQ9" s="1001">
        <v>0</v>
      </c>
      <c r="XR9" s="1012">
        <v>99.6</v>
      </c>
      <c r="XS9" s="1018">
        <v>79.014613778705638</v>
      </c>
      <c r="XT9" s="1018">
        <v>87.331941544885169</v>
      </c>
      <c r="XU9" s="1018">
        <v>91.490605427974941</v>
      </c>
      <c r="XV9" s="1018">
        <v>140.56283924843424</v>
      </c>
      <c r="XW9" s="1014">
        <v>14318.32</v>
      </c>
      <c r="XX9" s="1018">
        <v>78</v>
      </c>
      <c r="XY9" s="1018">
        <v>15</v>
      </c>
      <c r="XZ9" s="1018">
        <v>7.0000000000000009</v>
      </c>
      <c r="YA9" s="1015">
        <v>0</v>
      </c>
      <c r="YB9" s="1018">
        <v>1130.9828087013891</v>
      </c>
      <c r="YC9" s="1018">
        <v>0</v>
      </c>
      <c r="YD9" s="1018">
        <v>0</v>
      </c>
      <c r="YE9" s="1018">
        <v>0</v>
      </c>
      <c r="YF9" s="1018">
        <v>0</v>
      </c>
      <c r="YG9" s="1018">
        <v>0</v>
      </c>
      <c r="YH9" s="1018">
        <v>1376.8486366799518</v>
      </c>
      <c r="YI9" s="1018">
        <v>590.07798714855073</v>
      </c>
      <c r="YJ9" s="1018">
        <v>1213.267935650252</v>
      </c>
      <c r="YK9" s="1018">
        <v>0</v>
      </c>
      <c r="YL9" s="1018">
        <v>0</v>
      </c>
      <c r="YM9" s="1018">
        <v>0</v>
      </c>
      <c r="YN9" s="1018">
        <v>0</v>
      </c>
      <c r="YO9" s="1018">
        <v>0</v>
      </c>
      <c r="YP9" s="1018">
        <v>1477.0218347046543</v>
      </c>
      <c r="YQ9" s="1018">
        <v>633.00935773056608</v>
      </c>
      <c r="YR9" s="1018">
        <v>1271.0425992526448</v>
      </c>
      <c r="YS9" s="1018">
        <v>0</v>
      </c>
      <c r="YT9" s="1018">
        <v>0</v>
      </c>
      <c r="YU9" s="1018">
        <v>0</v>
      </c>
      <c r="YV9" s="1018">
        <v>0</v>
      </c>
      <c r="YW9" s="1018">
        <v>0</v>
      </c>
      <c r="YX9" s="1018">
        <v>1547.3562077858285</v>
      </c>
      <c r="YY9" s="1018">
        <v>663.15266047964076</v>
      </c>
      <c r="YZ9" s="1018">
        <v>1952.7836297608815</v>
      </c>
      <c r="ZA9" s="1018">
        <v>0</v>
      </c>
      <c r="ZB9" s="1018">
        <v>0</v>
      </c>
      <c r="ZC9" s="1018">
        <v>0</v>
      </c>
      <c r="ZD9" s="1018">
        <v>0</v>
      </c>
      <c r="ZE9" s="1018">
        <v>0</v>
      </c>
      <c r="ZF9" s="1018">
        <v>2377.3018101436819</v>
      </c>
      <c r="ZG9" s="1018">
        <v>1018.8436329187207</v>
      </c>
      <c r="ZH9" s="1018">
        <v>981.69307795280577</v>
      </c>
      <c r="ZI9" s="1018">
        <v>939.01077021572723</v>
      </c>
      <c r="ZJ9" s="1018">
        <v>640.23461605617763</v>
      </c>
      <c r="ZK9" s="1018">
        <v>0</v>
      </c>
      <c r="ZL9" s="1018">
        <v>0</v>
      </c>
      <c r="ZM9" s="1018">
        <v>0</v>
      </c>
      <c r="ZN9" s="1018">
        <v>1195.1046166381984</v>
      </c>
      <c r="ZO9" s="1018">
        <v>512.18769284494203</v>
      </c>
      <c r="ZP9" s="1018">
        <v>1053.1165681444186</v>
      </c>
      <c r="ZQ9" s="1018">
        <v>1007.3288912685742</v>
      </c>
      <c r="ZR9" s="1018">
        <v>686.8151531376642</v>
      </c>
      <c r="ZS9" s="1018">
        <v>0</v>
      </c>
      <c r="ZT9" s="1018">
        <v>0</v>
      </c>
      <c r="ZU9" s="1018">
        <v>0</v>
      </c>
      <c r="ZV9" s="1018">
        <v>1282.0549525236399</v>
      </c>
      <c r="ZW9" s="1018">
        <v>549.4521225101314</v>
      </c>
      <c r="ZX9" s="1018">
        <v>1103.2649761512955</v>
      </c>
      <c r="ZY9" s="1018">
        <v>1055.2969337099348</v>
      </c>
      <c r="ZZ9" s="1018">
        <v>719.52063662041007</v>
      </c>
      <c r="AAA9" s="1018">
        <v>0</v>
      </c>
      <c r="AAB9" s="1018">
        <v>0</v>
      </c>
      <c r="AAC9" s="1018">
        <v>0</v>
      </c>
      <c r="AAD9" s="1018">
        <v>1343.105188358099</v>
      </c>
      <c r="AAE9" s="1018">
        <v>575.6165092963281</v>
      </c>
      <c r="AAF9" s="1018">
        <v>1695.0161906324449</v>
      </c>
      <c r="AAG9" s="1018">
        <v>1621.3198345179906</v>
      </c>
      <c r="AAH9" s="1018">
        <v>1105.4453417168118</v>
      </c>
      <c r="AAI9" s="1018">
        <v>0</v>
      </c>
      <c r="AAJ9" s="1018">
        <v>0</v>
      </c>
      <c r="AAK9" s="1018">
        <v>0</v>
      </c>
      <c r="AAL9" s="1018">
        <v>2063.4979712047157</v>
      </c>
      <c r="AAM9" s="1018">
        <v>884.35627337344943</v>
      </c>
      <c r="AAN9" s="1018">
        <v>2612.5702881002089</v>
      </c>
      <c r="AAO9" s="1018">
        <v>2498.980275574113</v>
      </c>
      <c r="AAP9" s="1018">
        <v>1703.8501878914406</v>
      </c>
      <c r="AAQ9" s="1018">
        <v>0</v>
      </c>
      <c r="AAR9" s="1018">
        <v>0</v>
      </c>
      <c r="AAS9" s="1018">
        <v>0</v>
      </c>
      <c r="AAT9" s="1018">
        <v>3180.5203507306892</v>
      </c>
      <c r="AAU9" s="1018">
        <v>1363.0801503131524</v>
      </c>
      <c r="AAV9" s="1018">
        <v>2887.5776868475991</v>
      </c>
      <c r="AAW9" s="1018">
        <v>2762.0308308977037</v>
      </c>
      <c r="AAX9" s="1018">
        <v>1883.2028392484342</v>
      </c>
      <c r="AAY9" s="1018">
        <v>0</v>
      </c>
      <c r="AAZ9" s="1018">
        <v>0</v>
      </c>
      <c r="ABA9" s="1018">
        <v>0</v>
      </c>
      <c r="ABB9" s="1018">
        <v>3515.3119665970776</v>
      </c>
      <c r="ABC9" s="1018">
        <v>1506.5622713987473</v>
      </c>
      <c r="ABD9" s="1018">
        <v>3025.0813862212945</v>
      </c>
      <c r="ABE9" s="1018">
        <v>2893.5561085594991</v>
      </c>
      <c r="ABF9" s="1018">
        <v>1972.879164926931</v>
      </c>
      <c r="ABG9" s="1018">
        <v>0</v>
      </c>
      <c r="ABH9" s="1018">
        <v>0</v>
      </c>
      <c r="ABI9" s="1018">
        <v>0</v>
      </c>
      <c r="ABJ9" s="1018">
        <v>3682.7077745302718</v>
      </c>
      <c r="ABK9" s="1018">
        <v>1578.3033319415449</v>
      </c>
      <c r="ABL9" s="1018">
        <v>4647.6250388308972</v>
      </c>
      <c r="ABM9" s="1018">
        <v>4445.5543849686846</v>
      </c>
      <c r="ABN9" s="1018">
        <v>3031.059807933194</v>
      </c>
      <c r="ABO9" s="1018">
        <v>0</v>
      </c>
      <c r="ABP9" s="1018">
        <v>0</v>
      </c>
      <c r="ABQ9" s="1018">
        <v>0</v>
      </c>
      <c r="ABR9" s="1018">
        <v>5657.9783081419628</v>
      </c>
      <c r="ABS9" s="1018">
        <v>2424.8478463465549</v>
      </c>
      <c r="ABT9" s="1018">
        <v>3594.2633660530146</v>
      </c>
      <c r="ABU9" s="1018">
        <v>3437.99104578984</v>
      </c>
      <c r="ABV9" s="1018">
        <v>2344.0848039476177</v>
      </c>
      <c r="ABW9" s="1018">
        <v>0</v>
      </c>
      <c r="ABX9" s="1018">
        <v>0</v>
      </c>
      <c r="ABY9" s="1018">
        <v>0</v>
      </c>
      <c r="ABZ9" s="1018">
        <v>4375.6249673688872</v>
      </c>
      <c r="ACA9" s="1018">
        <v>1875.2678431580944</v>
      </c>
      <c r="ACB9" s="1018">
        <v>3804.8082461991899</v>
      </c>
      <c r="ACC9" s="1018">
        <v>3639.3818007122686</v>
      </c>
      <c r="ACD9" s="1018">
        <v>2481.3966823038195</v>
      </c>
      <c r="ACE9" s="1018">
        <v>0</v>
      </c>
      <c r="ACF9" s="1018">
        <v>0</v>
      </c>
      <c r="ACG9" s="1018">
        <v>0</v>
      </c>
      <c r="ACH9" s="1018">
        <v>4631.9404736337965</v>
      </c>
      <c r="ACI9" s="1018">
        <v>1985.1173458430555</v>
      </c>
      <c r="ACJ9" s="1018">
        <v>3985.9895912562943</v>
      </c>
      <c r="ACK9" s="1018">
        <v>3812.6856959842812</v>
      </c>
      <c r="ACL9" s="1018">
        <v>2599.5584290801917</v>
      </c>
      <c r="ACM9" s="1018">
        <v>0</v>
      </c>
      <c r="ACN9" s="1018">
        <v>0</v>
      </c>
      <c r="ACO9" s="1018">
        <v>0</v>
      </c>
      <c r="ACP9" s="1018">
        <v>4852.5090676163582</v>
      </c>
      <c r="ACQ9" s="1018">
        <v>2079.6467432641534</v>
      </c>
      <c r="ACR9" s="1018">
        <v>6123.9294629301239</v>
      </c>
      <c r="ACS9" s="1018">
        <v>5857.6716601940316</v>
      </c>
      <c r="ACT9" s="1018">
        <v>3993.8670410413852</v>
      </c>
      <c r="ACU9" s="1018">
        <v>0</v>
      </c>
      <c r="ACV9" s="1018">
        <v>0</v>
      </c>
      <c r="ACW9" s="1018">
        <v>0</v>
      </c>
      <c r="ACX9" s="1018">
        <v>7455.2184766105865</v>
      </c>
      <c r="ACY9" s="1018">
        <v>3195.0936328331081</v>
      </c>
      <c r="ACZ9" s="1018">
        <v>4655.1252406149179</v>
      </c>
      <c r="ADA9" s="1018">
        <v>4452.7284910229646</v>
      </c>
      <c r="ADB9" s="1018">
        <v>3035.951243879294</v>
      </c>
      <c r="ADC9" s="1018">
        <v>0</v>
      </c>
      <c r="ADD9" s="1018">
        <v>0</v>
      </c>
      <c r="ADE9" s="1018">
        <v>0</v>
      </c>
      <c r="ADF9" s="1018">
        <v>5667.1089885746833</v>
      </c>
      <c r="ADG9" s="1018">
        <v>2428.7609951034351</v>
      </c>
      <c r="ADH9" s="1018">
        <v>4976.8250720373326</v>
      </c>
      <c r="ADI9" s="1018">
        <v>4760.4413732531011</v>
      </c>
      <c r="ADJ9" s="1018">
        <v>3245.7554817634777</v>
      </c>
      <c r="ADK9" s="1018">
        <v>0</v>
      </c>
      <c r="ADL9" s="1018">
        <v>0</v>
      </c>
      <c r="ADM9" s="1018">
        <v>0</v>
      </c>
      <c r="ADN9" s="1018">
        <v>6058.7435659584926</v>
      </c>
      <c r="ADO9" s="1018">
        <v>2596.604385410782</v>
      </c>
      <c r="ADP9" s="1018">
        <v>5213.8167421343487</v>
      </c>
      <c r="ADQ9" s="1018">
        <v>4987.1290576937245</v>
      </c>
      <c r="ADR9" s="1018">
        <v>3400.3152666093579</v>
      </c>
      <c r="ADS9" s="1018">
        <v>0</v>
      </c>
      <c r="ADT9" s="1018">
        <v>0</v>
      </c>
      <c r="ADU9" s="1018">
        <v>0</v>
      </c>
      <c r="ADV9" s="1018">
        <v>6347.2551643374682</v>
      </c>
      <c r="ADW9" s="1018">
        <v>2720.252213287486</v>
      </c>
      <c r="ADX9" s="1018">
        <v>8010.3184492791361</v>
      </c>
      <c r="ADY9" s="1018">
        <v>7662.0437340930857</v>
      </c>
      <c r="ADZ9" s="1018">
        <v>5224.1207277907406</v>
      </c>
      <c r="AEA9" s="1018">
        <v>0</v>
      </c>
      <c r="AEB9" s="1018">
        <v>0</v>
      </c>
      <c r="AEC9" s="1018">
        <v>0</v>
      </c>
      <c r="AED9" s="1018">
        <v>9751.6920252093823</v>
      </c>
      <c r="AEE9" s="1018">
        <v>4179.2965822325923</v>
      </c>
      <c r="AEF9" s="1018">
        <v>5684.3195965331815</v>
      </c>
      <c r="AEG9" s="1018">
        <v>5437.1752662491299</v>
      </c>
      <c r="AEH9" s="1018">
        <v>3707.1649542607702</v>
      </c>
      <c r="AEI9" s="1018">
        <v>0</v>
      </c>
      <c r="AEJ9" s="1018">
        <v>0</v>
      </c>
      <c r="AEK9" s="1018">
        <v>0</v>
      </c>
      <c r="AEL9" s="1018">
        <v>6920.0412479534389</v>
      </c>
      <c r="AEM9" s="1018">
        <v>2965.7319634086161</v>
      </c>
      <c r="AEN9" s="1018">
        <v>6114.8703956772688</v>
      </c>
      <c r="AEO9" s="1018">
        <v>5849.0064654304306</v>
      </c>
      <c r="AEP9" s="1018">
        <v>3987.9589537025663</v>
      </c>
      <c r="AEQ9" s="1018">
        <v>0</v>
      </c>
      <c r="AER9" s="1018">
        <v>0</v>
      </c>
      <c r="AES9" s="1018">
        <v>0</v>
      </c>
      <c r="AET9" s="1018">
        <v>7444.190046911458</v>
      </c>
      <c r="AEU9" s="1018">
        <v>3190.367162962053</v>
      </c>
      <c r="AEV9" s="1018">
        <v>6406.0547002333296</v>
      </c>
      <c r="AEW9" s="1018">
        <v>6127.5305828318806</v>
      </c>
      <c r="AEX9" s="1018">
        <v>4177.8617610217361</v>
      </c>
      <c r="AEY9" s="1018">
        <v>0</v>
      </c>
      <c r="AEZ9" s="1018">
        <v>0</v>
      </c>
      <c r="AFA9" s="1018">
        <v>0</v>
      </c>
      <c r="AFB9" s="1018">
        <v>7798.6752872405759</v>
      </c>
      <c r="AFC9" s="1018">
        <v>3342.2894088173894</v>
      </c>
      <c r="AFD9" s="1018">
        <v>9842.0294939948417</v>
      </c>
      <c r="AFE9" s="1018">
        <v>9414.1151681689789</v>
      </c>
      <c r="AFF9" s="1018">
        <v>6418.7148873879405</v>
      </c>
      <c r="AFG9" s="1018">
        <v>0</v>
      </c>
      <c r="AFH9" s="1018">
        <v>0</v>
      </c>
      <c r="AFI9" s="1018">
        <v>0</v>
      </c>
      <c r="AFJ9" s="1018">
        <v>11981.601123124157</v>
      </c>
      <c r="AFK9" s="1018">
        <v>5134.9719099103522</v>
      </c>
      <c r="AFL9" s="1002">
        <v>6555.1763592332518</v>
      </c>
      <c r="AFM9" s="1002">
        <v>6270.1686914405018</v>
      </c>
      <c r="AFN9" s="1002">
        <v>4275.1150168912509</v>
      </c>
      <c r="AFO9" s="1002">
        <v>0</v>
      </c>
      <c r="AFP9" s="1002">
        <v>0</v>
      </c>
      <c r="AFQ9" s="1002">
        <v>0</v>
      </c>
      <c r="AFR9" s="1002">
        <v>7980.2146981970027</v>
      </c>
      <c r="AFS9" s="1002">
        <v>3420.0920135130009</v>
      </c>
      <c r="AFT9" s="1002">
        <v>6964.1579506324451</v>
      </c>
      <c r="AFU9" s="1002">
        <v>6661.3684745179908</v>
      </c>
      <c r="AFV9" s="1002">
        <v>4541.842141716812</v>
      </c>
      <c r="AFW9" s="1002">
        <v>0</v>
      </c>
      <c r="AFX9" s="1002">
        <v>0</v>
      </c>
      <c r="AFY9" s="1002">
        <v>0</v>
      </c>
      <c r="AFZ9" s="1002">
        <v>8478.105331204717</v>
      </c>
      <c r="AGA9" s="1002">
        <v>3633.4737133734493</v>
      </c>
      <c r="AGB9" s="1002">
        <v>7295.7845197101806</v>
      </c>
      <c r="AGC9" s="1002">
        <v>6978.5764971140852</v>
      </c>
      <c r="AGD9" s="1002">
        <v>4758.1203389414213</v>
      </c>
      <c r="AGE9" s="1002">
        <v>0</v>
      </c>
      <c r="AGF9" s="1002">
        <v>0</v>
      </c>
      <c r="AGG9" s="1002">
        <v>0</v>
      </c>
      <c r="AGH9" s="1002">
        <v>8881.8246326906556</v>
      </c>
      <c r="AGI9" s="1002">
        <v>3806.4962711531371</v>
      </c>
      <c r="AGJ9" s="1002">
        <v>11208.97803482746</v>
      </c>
      <c r="AGK9" s="1002">
        <v>10721.631163748005</v>
      </c>
      <c r="AGL9" s="1002">
        <v>7310.2030661918207</v>
      </c>
      <c r="AGM9" s="1002">
        <v>0</v>
      </c>
      <c r="AGN9" s="1002">
        <v>0</v>
      </c>
      <c r="AGO9" s="1002">
        <v>0</v>
      </c>
      <c r="AGP9" s="1002">
        <v>13645.712390224733</v>
      </c>
      <c r="AGQ9" s="1002">
        <v>5848.1624529534565</v>
      </c>
      <c r="AGR9" s="995">
        <v>2612.5702881002089</v>
      </c>
      <c r="AGS9" s="995">
        <v>2498.980275574113</v>
      </c>
      <c r="AGT9" s="995">
        <v>1703.8501878914406</v>
      </c>
      <c r="AGU9" s="995">
        <v>0</v>
      </c>
      <c r="AGV9" s="995">
        <v>0</v>
      </c>
      <c r="AGW9" s="995">
        <v>0</v>
      </c>
      <c r="AGX9" s="995">
        <v>3180.5203507306892</v>
      </c>
      <c r="AGY9" s="995">
        <v>1363.0801503131524</v>
      </c>
      <c r="AGZ9" s="995">
        <v>2887.5776868475991</v>
      </c>
      <c r="AHA9" s="995">
        <v>2762.0308308977037</v>
      </c>
      <c r="AHB9" s="995">
        <v>1883.2028392484342</v>
      </c>
      <c r="AHC9" s="995">
        <v>0</v>
      </c>
      <c r="AHD9" s="995">
        <v>0</v>
      </c>
      <c r="AHE9" s="995">
        <v>0</v>
      </c>
      <c r="AHF9" s="995">
        <v>3515.3119665970776</v>
      </c>
      <c r="AHG9" s="995">
        <v>1506.5622713987473</v>
      </c>
      <c r="AHH9" s="995">
        <v>3025.0813862212945</v>
      </c>
      <c r="AHI9" s="995">
        <v>2893.5561085594991</v>
      </c>
      <c r="AHJ9" s="995">
        <v>1972.879164926931</v>
      </c>
      <c r="AHK9" s="995">
        <v>0</v>
      </c>
      <c r="AHL9" s="995">
        <v>0</v>
      </c>
      <c r="AHM9" s="995">
        <v>0</v>
      </c>
      <c r="AHN9" s="995">
        <v>3682.7077745302718</v>
      </c>
      <c r="AHO9" s="995">
        <v>1578.3033319415449</v>
      </c>
      <c r="AHP9" s="995">
        <v>4647.6250388308972</v>
      </c>
      <c r="AHQ9" s="995">
        <v>4445.5543849686846</v>
      </c>
      <c r="AHR9" s="995">
        <v>3031.059807933194</v>
      </c>
      <c r="AHS9" s="995">
        <v>0</v>
      </c>
      <c r="AHT9" s="995">
        <v>0</v>
      </c>
      <c r="AHU9" s="995">
        <v>0</v>
      </c>
      <c r="AHV9" s="995">
        <v>5657.9783081419628</v>
      </c>
      <c r="AHW9" s="995">
        <v>2424.8478463465549</v>
      </c>
      <c r="AHX9" s="1013">
        <v>165</v>
      </c>
      <c r="AHY9" s="1002">
        <v>0</v>
      </c>
      <c r="AHZ9" s="1002">
        <v>0</v>
      </c>
      <c r="AIA9" s="1002">
        <v>0</v>
      </c>
      <c r="AIB9" s="1002">
        <v>0</v>
      </c>
      <c r="AIC9" s="1002">
        <v>0</v>
      </c>
      <c r="AID9" s="1002">
        <v>0</v>
      </c>
      <c r="AIE9" s="1002">
        <v>0</v>
      </c>
      <c r="AIF9" s="1018">
        <v>420</v>
      </c>
      <c r="AIG9" s="1018">
        <v>32.409999999999997</v>
      </c>
      <c r="AIH9" s="1018">
        <v>27.01</v>
      </c>
      <c r="AII9" s="1018">
        <v>0</v>
      </c>
      <c r="AIJ9" s="1018">
        <v>2.52</v>
      </c>
      <c r="AIK9" s="1018">
        <v>3.06</v>
      </c>
      <c r="AIL9" s="1018">
        <v>0</v>
      </c>
      <c r="AIM9" s="1018">
        <v>9.1622374253290714E-2</v>
      </c>
      <c r="AIN9" s="1009">
        <v>350</v>
      </c>
      <c r="AIO9" s="1009">
        <v>64.819999999999993</v>
      </c>
      <c r="AIP9" s="996">
        <v>54.02</v>
      </c>
      <c r="AIQ9" s="996">
        <v>0</v>
      </c>
      <c r="AIR9" s="996">
        <v>5.04</v>
      </c>
      <c r="AIS9" s="996">
        <v>6.12</v>
      </c>
      <c r="AIT9" s="996">
        <v>0</v>
      </c>
      <c r="AIU9" s="996">
        <v>0.28055326507171857</v>
      </c>
      <c r="AIV9" s="1018">
        <v>120</v>
      </c>
      <c r="AIW9" s="1018">
        <v>47.37</v>
      </c>
      <c r="AIX9" s="1018">
        <v>39.47</v>
      </c>
      <c r="AIY9" s="1018">
        <v>0</v>
      </c>
      <c r="AIZ9" s="1018">
        <v>3.68</v>
      </c>
      <c r="AJA9" s="1018">
        <v>4.4800000000000004</v>
      </c>
      <c r="AJB9" s="1018">
        <v>0</v>
      </c>
      <c r="AJC9" s="1018">
        <v>0</v>
      </c>
      <c r="AJD9" s="1018">
        <v>129.6</v>
      </c>
      <c r="AJE9" s="1018">
        <v>96.93</v>
      </c>
      <c r="AJF9" s="1018">
        <v>80.78</v>
      </c>
      <c r="AJG9" s="1018">
        <v>0</v>
      </c>
      <c r="AJH9" s="1018">
        <v>7.54</v>
      </c>
      <c r="AJI9" s="1018">
        <v>9.15</v>
      </c>
      <c r="AJJ9" s="1018">
        <v>0</v>
      </c>
      <c r="AJK9" s="1018">
        <v>0</v>
      </c>
      <c r="AJL9" s="1018">
        <v>160</v>
      </c>
      <c r="AJM9" s="1018">
        <v>17.45</v>
      </c>
      <c r="AJN9" s="1018">
        <v>14.54</v>
      </c>
      <c r="AJO9" s="1018">
        <v>0</v>
      </c>
      <c r="AJP9" s="1018">
        <v>1.36</v>
      </c>
      <c r="AJQ9" s="1018">
        <v>1.65</v>
      </c>
      <c r="AJR9" s="1018">
        <v>0</v>
      </c>
      <c r="AJS9" s="1018">
        <v>0.13230407941908723</v>
      </c>
      <c r="AJT9" s="1015" t="s">
        <v>858</v>
      </c>
      <c r="AJU9" s="994" t="s">
        <v>861</v>
      </c>
      <c r="AJV9" s="994" t="s">
        <v>860</v>
      </c>
      <c r="AJW9" s="994" t="s">
        <v>859</v>
      </c>
      <c r="AJX9" s="994" t="s">
        <v>870</v>
      </c>
      <c r="AJY9" s="994" t="s">
        <v>871</v>
      </c>
      <c r="AJZ9" s="994" t="s">
        <v>872</v>
      </c>
      <c r="AKA9" s="994" t="s">
        <v>873</v>
      </c>
      <c r="AKB9" s="994" t="s">
        <v>874</v>
      </c>
      <c r="AKC9" s="994" t="s">
        <v>875</v>
      </c>
      <c r="AKD9" s="1018">
        <v>64.111445783132524</v>
      </c>
      <c r="AKE9" s="1018">
        <v>0</v>
      </c>
      <c r="AKF9" s="1018">
        <v>0</v>
      </c>
      <c r="AKG9" s="1018">
        <v>0</v>
      </c>
      <c r="AKH9" s="1018">
        <v>0</v>
      </c>
      <c r="AKI9" s="1018">
        <v>0</v>
      </c>
      <c r="AKJ9" s="1018">
        <v>7.4548192771084345</v>
      </c>
      <c r="AKK9" s="1018">
        <v>52.183734939759034</v>
      </c>
      <c r="AKL9" s="1018">
        <v>188.44879518072287</v>
      </c>
      <c r="AKM9" s="1018">
        <v>0</v>
      </c>
      <c r="AKN9" s="1018">
        <v>0</v>
      </c>
      <c r="AKO9" s="1018">
        <v>0</v>
      </c>
      <c r="AKP9" s="1018">
        <v>0</v>
      </c>
      <c r="AKQ9" s="1018">
        <v>0</v>
      </c>
      <c r="AKR9" s="1018">
        <v>21.912650602409638</v>
      </c>
      <c r="AKS9" s="1018">
        <v>153.38855421686745</v>
      </c>
      <c r="AKT9" s="1009">
        <v>186.50602409638554</v>
      </c>
      <c r="AKU9" s="1009">
        <v>0</v>
      </c>
      <c r="AKV9" s="996">
        <v>0</v>
      </c>
      <c r="AKW9" s="996">
        <v>0</v>
      </c>
      <c r="AKX9" s="996">
        <v>0</v>
      </c>
      <c r="AKY9" s="996">
        <v>0</v>
      </c>
      <c r="AKZ9" s="996">
        <v>21.68674698795181</v>
      </c>
      <c r="ALA9" s="996">
        <v>151.80722891566265</v>
      </c>
      <c r="ALB9" s="1018">
        <v>83.539156626506028</v>
      </c>
      <c r="ALC9" s="1018">
        <v>0</v>
      </c>
      <c r="ALD9" s="1018">
        <v>0</v>
      </c>
      <c r="ALE9" s="1018">
        <v>0</v>
      </c>
      <c r="ALF9" s="1018">
        <v>0</v>
      </c>
      <c r="ALG9" s="1018">
        <v>0</v>
      </c>
      <c r="ALH9" s="1018">
        <v>9.7138554216867483</v>
      </c>
      <c r="ALI9" s="1018">
        <v>67.996987951807228</v>
      </c>
      <c r="ALJ9" s="1018">
        <v>125.89156626506025</v>
      </c>
      <c r="ALK9" s="1018">
        <v>0</v>
      </c>
      <c r="ALL9" s="1018">
        <v>0</v>
      </c>
      <c r="ALM9" s="1018">
        <v>0</v>
      </c>
      <c r="ALN9" s="1018">
        <v>0</v>
      </c>
      <c r="ALO9" s="1018">
        <v>0</v>
      </c>
      <c r="ALP9" s="1018">
        <v>14.638554216867471</v>
      </c>
      <c r="ALQ9" s="1018">
        <v>102.46987951807228</v>
      </c>
      <c r="ALR9" s="1018">
        <v>75.768072289156621</v>
      </c>
      <c r="ALS9" s="1018">
        <v>0</v>
      </c>
      <c r="ALT9" s="1018">
        <v>0</v>
      </c>
      <c r="ALU9" s="1018">
        <v>0</v>
      </c>
      <c r="ALV9" s="1018">
        <v>0</v>
      </c>
      <c r="ALW9" s="1018">
        <v>0</v>
      </c>
      <c r="ALX9" s="1018">
        <v>8.8102409638554224</v>
      </c>
      <c r="ALY9" s="1018">
        <v>61.671686746987945</v>
      </c>
    </row>
    <row r="10" spans="1:1013" ht="15">
      <c r="A10" s="1259" t="s">
        <v>2</v>
      </c>
      <c r="B10" s="1260" t="s">
        <v>3063</v>
      </c>
      <c r="C10" s="1260">
        <v>2022</v>
      </c>
      <c r="D10" s="1269"/>
      <c r="E10" s="1270">
        <v>0.9</v>
      </c>
      <c r="F10" s="1271">
        <v>0.7</v>
      </c>
      <c r="G10" s="1271">
        <v>0.7</v>
      </c>
      <c r="H10" s="76">
        <v>204.06282722513089</v>
      </c>
      <c r="I10" s="72">
        <v>6.7</v>
      </c>
      <c r="J10" s="1271">
        <v>-0.5</v>
      </c>
      <c r="K10" s="1271">
        <v>-0.5</v>
      </c>
      <c r="L10" s="1265">
        <v>350</v>
      </c>
      <c r="M10" s="1262">
        <v>0</v>
      </c>
      <c r="N10" s="1262">
        <v>0</v>
      </c>
      <c r="O10" s="1262">
        <v>0</v>
      </c>
      <c r="P10" s="76">
        <v>1177.3412548632132</v>
      </c>
      <c r="Q10" s="75">
        <v>12</v>
      </c>
      <c r="R10" s="72">
        <v>0.1</v>
      </c>
      <c r="S10" s="72">
        <v>0.2</v>
      </c>
      <c r="T10" s="72">
        <v>0.2</v>
      </c>
      <c r="U10" s="1271">
        <v>0.7</v>
      </c>
      <c r="V10" s="1271">
        <v>0</v>
      </c>
      <c r="W10" s="1271">
        <v>99.2</v>
      </c>
      <c r="X10" s="1271">
        <v>0.1</v>
      </c>
      <c r="Y10" s="1272">
        <v>0</v>
      </c>
      <c r="Z10" s="75">
        <v>2</v>
      </c>
      <c r="AA10" s="72">
        <v>1.5</v>
      </c>
      <c r="AB10" s="75">
        <v>1</v>
      </c>
      <c r="AC10" s="72">
        <v>0.8</v>
      </c>
      <c r="AD10" s="72">
        <v>0.5</v>
      </c>
      <c r="AE10" s="390">
        <v>433.01922201480062</v>
      </c>
      <c r="AF10" s="390">
        <v>470.67306740739195</v>
      </c>
      <c r="AG10" s="390">
        <v>433.37222681535616</v>
      </c>
      <c r="AH10" s="390">
        <v>649.0581599547935</v>
      </c>
      <c r="AI10" s="400">
        <v>0.82209484106305364</v>
      </c>
      <c r="AJ10" s="390">
        <v>261.91600618637949</v>
      </c>
      <c r="AK10" s="390">
        <v>284.69131107215162</v>
      </c>
      <c r="AL10" s="390">
        <v>262.12952466968363</v>
      </c>
      <c r="AM10" s="390">
        <v>392.58931796849708</v>
      </c>
      <c r="AN10" s="400">
        <v>0.96717040125065135</v>
      </c>
      <c r="AO10" s="77">
        <v>0.3</v>
      </c>
      <c r="AP10" s="77">
        <v>0.4</v>
      </c>
      <c r="AQ10" s="77">
        <v>0.6</v>
      </c>
      <c r="AR10" s="77">
        <v>1</v>
      </c>
      <c r="AS10" s="77">
        <v>1.2</v>
      </c>
      <c r="AT10" s="77">
        <v>1.5</v>
      </c>
      <c r="AU10" s="77">
        <v>1.7</v>
      </c>
      <c r="AV10" s="1268">
        <v>0</v>
      </c>
      <c r="AW10" s="1268">
        <v>10</v>
      </c>
      <c r="AX10" s="1268">
        <v>20</v>
      </c>
      <c r="AY10" s="1268">
        <v>70</v>
      </c>
      <c r="AZ10" s="1268">
        <v>100</v>
      </c>
      <c r="BA10" s="1019">
        <v>9484.5160815676136</v>
      </c>
      <c r="BB10" s="1020">
        <v>1.51</v>
      </c>
      <c r="BC10" s="988">
        <v>0.8</v>
      </c>
      <c r="BD10" s="988">
        <v>0.6</v>
      </c>
      <c r="BE10" s="988">
        <v>0.6</v>
      </c>
      <c r="BF10" s="1021">
        <v>0.17222730834075076</v>
      </c>
      <c r="BG10" s="1021">
        <v>0.17334343976606054</v>
      </c>
      <c r="BH10" s="1020">
        <v>3.0242423264891367E-4</v>
      </c>
      <c r="BI10" s="1020">
        <v>8.876151228245617E-2</v>
      </c>
      <c r="BJ10" s="1020">
        <v>1.0533436023161664</v>
      </c>
      <c r="BK10" s="1020">
        <v>45.524995026801506</v>
      </c>
      <c r="BL10" s="1020">
        <v>1.721415533583875</v>
      </c>
      <c r="BM10" s="1020"/>
      <c r="BN10" s="1020">
        <v>50.503637155437985</v>
      </c>
      <c r="BO10" s="1020">
        <v>0.14326507954429371</v>
      </c>
      <c r="BP10" s="1020"/>
      <c r="BQ10" s="1020"/>
      <c r="BR10" s="1020">
        <v>1.831346742151755E-3</v>
      </c>
      <c r="BS10" s="1020"/>
      <c r="BT10" s="1020"/>
      <c r="BU10" s="1020">
        <v>0.7047492701495186</v>
      </c>
      <c r="BV10" s="1020">
        <v>0.25769904890939105</v>
      </c>
      <c r="BW10" s="993">
        <v>261.13475999999997</v>
      </c>
      <c r="BX10" s="993">
        <v>96.5</v>
      </c>
      <c r="BY10" s="993">
        <v>63.215999999999994</v>
      </c>
      <c r="BZ10" s="993">
        <v>233.35949490734063</v>
      </c>
      <c r="CA10" s="993">
        <v>157.40783999999999</v>
      </c>
      <c r="CB10" s="990"/>
      <c r="CC10" s="993">
        <v>256.20808011776955</v>
      </c>
      <c r="CD10" s="993">
        <v>165.17663999999999</v>
      </c>
      <c r="CE10" s="990"/>
      <c r="CF10" s="989">
        <v>0</v>
      </c>
      <c r="CG10" s="993">
        <v>6.585</v>
      </c>
      <c r="CH10" s="993">
        <v>1.3169999999999999</v>
      </c>
      <c r="CI10" s="993">
        <v>38</v>
      </c>
      <c r="CJ10" s="993">
        <v>225.83915999999996</v>
      </c>
      <c r="CK10" s="990">
        <v>0.2</v>
      </c>
      <c r="CL10" s="993">
        <v>175.08124000000001</v>
      </c>
      <c r="CM10" s="993">
        <v>60.4</v>
      </c>
      <c r="CN10" s="993">
        <v>42.384</v>
      </c>
      <c r="CO10" s="993">
        <v>156.45894761061641</v>
      </c>
      <c r="CP10" s="993">
        <v>105.53616</v>
      </c>
      <c r="CQ10" s="990"/>
      <c r="CR10" s="993">
        <v>159.24945066654416</v>
      </c>
      <c r="CS10" s="993">
        <v>102.66767999999999</v>
      </c>
      <c r="CT10" s="990"/>
      <c r="CU10" s="993">
        <v>0</v>
      </c>
      <c r="CV10" s="993">
        <v>4.415</v>
      </c>
      <c r="CW10" s="993">
        <v>0.88300000000000001</v>
      </c>
      <c r="CX10" s="993">
        <v>27</v>
      </c>
      <c r="CY10" s="993">
        <v>151.41683999999998</v>
      </c>
      <c r="CZ10" s="990">
        <v>0.2</v>
      </c>
      <c r="DA10" s="988">
        <v>0.3</v>
      </c>
      <c r="DB10" s="988">
        <v>0.7</v>
      </c>
      <c r="DC10" s="988">
        <v>1.2</v>
      </c>
      <c r="DD10" s="988">
        <v>1.2</v>
      </c>
      <c r="DE10" s="1022">
        <v>3</v>
      </c>
      <c r="DF10" s="995">
        <v>0</v>
      </c>
      <c r="DG10" s="995">
        <v>10</v>
      </c>
      <c r="DH10" s="995">
        <v>20</v>
      </c>
      <c r="DI10" s="995">
        <v>70</v>
      </c>
      <c r="DJ10" s="995">
        <v>100</v>
      </c>
      <c r="DK10" s="1017">
        <v>60.367965947306665</v>
      </c>
      <c r="DL10" s="1022">
        <v>18</v>
      </c>
      <c r="DM10" s="989">
        <v>12</v>
      </c>
      <c r="DN10" s="988">
        <v>1.7</v>
      </c>
      <c r="DO10" s="988">
        <v>1.7</v>
      </c>
      <c r="DP10" s="988">
        <v>1.7</v>
      </c>
      <c r="DQ10" s="988" t="s">
        <v>641</v>
      </c>
      <c r="DR10" s="988" t="s">
        <v>640</v>
      </c>
      <c r="DS10" s="988" t="s">
        <v>640</v>
      </c>
      <c r="DT10" s="988" t="s">
        <v>640</v>
      </c>
      <c r="DU10" s="988" t="s">
        <v>640</v>
      </c>
      <c r="DV10" s="988" t="s">
        <v>640</v>
      </c>
      <c r="DW10" s="988" t="s">
        <v>640</v>
      </c>
      <c r="DX10" s="997">
        <v>698.21836923315277</v>
      </c>
      <c r="DY10" s="997">
        <v>0</v>
      </c>
      <c r="DZ10" s="997">
        <v>0</v>
      </c>
      <c r="EA10" s="997">
        <v>0</v>
      </c>
      <c r="EB10" s="997">
        <v>0</v>
      </c>
      <c r="EC10" s="997">
        <v>0</v>
      </c>
      <c r="ED10" s="997">
        <v>0</v>
      </c>
      <c r="EE10" s="1022">
        <v>0.69821836923315272</v>
      </c>
      <c r="EF10" s="1022">
        <v>18</v>
      </c>
      <c r="EG10" s="991">
        <v>5</v>
      </c>
      <c r="EH10" s="1023">
        <v>1.7</v>
      </c>
      <c r="EI10" s="1023">
        <v>1.7</v>
      </c>
      <c r="EJ10" s="1023">
        <v>1.7</v>
      </c>
      <c r="EK10" s="988" t="s">
        <v>680</v>
      </c>
      <c r="EL10" s="988" t="s">
        <v>701</v>
      </c>
      <c r="EM10" s="988" t="s">
        <v>641</v>
      </c>
      <c r="EN10" s="988" t="s">
        <v>731</v>
      </c>
      <c r="EO10" s="988" t="s">
        <v>743</v>
      </c>
      <c r="EP10" s="988" t="s">
        <v>640</v>
      </c>
      <c r="EQ10" s="988" t="s">
        <v>640</v>
      </c>
      <c r="ER10" s="988" t="s">
        <v>640</v>
      </c>
      <c r="ES10" s="988" t="s">
        <v>640</v>
      </c>
      <c r="ET10" s="988" t="s">
        <v>640</v>
      </c>
      <c r="EU10" s="988" t="s">
        <v>640</v>
      </c>
      <c r="EV10" s="988" t="s">
        <v>640</v>
      </c>
      <c r="EW10" s="988" t="s">
        <v>640</v>
      </c>
      <c r="EX10" s="988" t="s">
        <v>640</v>
      </c>
      <c r="EY10" s="988" t="s">
        <v>640</v>
      </c>
      <c r="EZ10" s="988" t="s">
        <v>640</v>
      </c>
      <c r="FA10" s="988" t="s">
        <v>640</v>
      </c>
      <c r="FB10" s="988" t="s">
        <v>640</v>
      </c>
      <c r="FC10" s="988" t="s">
        <v>640</v>
      </c>
      <c r="FD10" s="988" t="s">
        <v>640</v>
      </c>
      <c r="FE10" s="988" t="s">
        <v>640</v>
      </c>
      <c r="FF10" s="988" t="s">
        <v>640</v>
      </c>
      <c r="FG10" s="988" t="s">
        <v>640</v>
      </c>
      <c r="FH10" s="988" t="s">
        <v>640</v>
      </c>
      <c r="FI10" s="988" t="s">
        <v>640</v>
      </c>
      <c r="FJ10" s="988" t="s">
        <v>640</v>
      </c>
      <c r="FK10" s="988" t="s">
        <v>640</v>
      </c>
      <c r="FL10" s="988" t="s">
        <v>640</v>
      </c>
      <c r="FM10" s="988" t="s">
        <v>640</v>
      </c>
      <c r="FN10" s="988" t="s">
        <v>640</v>
      </c>
      <c r="FO10" s="988" t="s">
        <v>640</v>
      </c>
      <c r="FP10" s="988" t="s">
        <v>640</v>
      </c>
      <c r="FQ10" s="988" t="s">
        <v>640</v>
      </c>
      <c r="FR10" s="988" t="s">
        <v>640</v>
      </c>
      <c r="FS10" s="988" t="s">
        <v>640</v>
      </c>
      <c r="FT10" s="988" t="s">
        <v>640</v>
      </c>
      <c r="FU10" s="988" t="s">
        <v>640</v>
      </c>
      <c r="FV10" s="988" t="s">
        <v>640</v>
      </c>
      <c r="FW10" s="988" t="s">
        <v>640</v>
      </c>
      <c r="FX10" s="988" t="s">
        <v>640</v>
      </c>
      <c r="FY10" s="988" t="s">
        <v>640</v>
      </c>
      <c r="FZ10" s="988" t="s">
        <v>640</v>
      </c>
      <c r="GA10" s="988" t="s">
        <v>640</v>
      </c>
      <c r="GB10" s="988" t="s">
        <v>640</v>
      </c>
      <c r="GC10" s="988" t="s">
        <v>640</v>
      </c>
      <c r="GD10" s="988" t="s">
        <v>640</v>
      </c>
      <c r="GE10" s="988" t="s">
        <v>640</v>
      </c>
      <c r="GF10" s="988" t="s">
        <v>640</v>
      </c>
      <c r="GG10" s="988" t="s">
        <v>640</v>
      </c>
      <c r="GH10" s="988" t="s">
        <v>640</v>
      </c>
      <c r="GI10" s="988" t="s">
        <v>640</v>
      </c>
      <c r="GJ10" s="988" t="s">
        <v>640</v>
      </c>
      <c r="GK10" s="988" t="s">
        <v>640</v>
      </c>
      <c r="GL10" s="988" t="s">
        <v>640</v>
      </c>
      <c r="GM10" s="988" t="s">
        <v>640</v>
      </c>
      <c r="GN10" s="988" t="s">
        <v>640</v>
      </c>
      <c r="GO10" s="988" t="s">
        <v>640</v>
      </c>
      <c r="GP10" s="988" t="s">
        <v>640</v>
      </c>
      <c r="GQ10" s="997">
        <v>147.0363339712986</v>
      </c>
      <c r="GR10" s="997">
        <v>138.86764875067092</v>
      </c>
      <c r="GS10" s="997">
        <v>283.65759428629696</v>
      </c>
      <c r="GT10" s="997">
        <v>67.391653070178521</v>
      </c>
      <c r="GU10" s="997">
        <v>61.265139154707754</v>
      </c>
      <c r="GV10" s="997">
        <v>0</v>
      </c>
      <c r="GW10" s="997">
        <v>0</v>
      </c>
      <c r="GX10" s="997">
        <v>0</v>
      </c>
      <c r="GY10" s="997">
        <v>0</v>
      </c>
      <c r="GZ10" s="997">
        <v>0</v>
      </c>
      <c r="HA10" s="997">
        <v>0</v>
      </c>
      <c r="HB10" s="997">
        <v>0</v>
      </c>
      <c r="HC10" s="997">
        <v>0</v>
      </c>
      <c r="HD10" s="997">
        <v>0</v>
      </c>
      <c r="HE10" s="997">
        <v>0</v>
      </c>
      <c r="HF10" s="997">
        <v>0</v>
      </c>
      <c r="HG10" s="997">
        <v>0</v>
      </c>
      <c r="HH10" s="997">
        <v>0</v>
      </c>
      <c r="HI10" s="997">
        <v>0</v>
      </c>
      <c r="HJ10" s="997">
        <v>0</v>
      </c>
      <c r="HK10" s="997">
        <v>0</v>
      </c>
      <c r="HL10" s="997">
        <v>0</v>
      </c>
      <c r="HM10" s="997">
        <v>0</v>
      </c>
      <c r="HN10" s="997">
        <v>0</v>
      </c>
      <c r="HO10" s="997">
        <v>0</v>
      </c>
      <c r="HP10" s="997">
        <v>0</v>
      </c>
      <c r="HQ10" s="997">
        <v>0</v>
      </c>
      <c r="HR10" s="997">
        <v>0</v>
      </c>
      <c r="HS10" s="997">
        <v>0</v>
      </c>
      <c r="HT10" s="997">
        <v>0</v>
      </c>
      <c r="HU10" s="997">
        <v>0</v>
      </c>
      <c r="HV10" s="997">
        <v>0</v>
      </c>
      <c r="HW10" s="997">
        <v>0</v>
      </c>
      <c r="HX10" s="997">
        <v>0</v>
      </c>
      <c r="HY10" s="997">
        <v>0</v>
      </c>
      <c r="HZ10" s="997">
        <v>0</v>
      </c>
      <c r="IA10" s="997">
        <v>0</v>
      </c>
      <c r="IB10" s="997">
        <v>0</v>
      </c>
      <c r="IC10" s="997">
        <v>0</v>
      </c>
      <c r="ID10" s="997">
        <v>0</v>
      </c>
      <c r="IE10" s="997">
        <v>0</v>
      </c>
      <c r="IF10" s="997">
        <v>0</v>
      </c>
      <c r="IG10" s="997">
        <v>0</v>
      </c>
      <c r="IH10" s="997">
        <v>0</v>
      </c>
      <c r="II10" s="997">
        <v>0</v>
      </c>
      <c r="IJ10" s="997">
        <v>0</v>
      </c>
      <c r="IK10" s="997">
        <v>0</v>
      </c>
      <c r="IL10" s="997">
        <v>0</v>
      </c>
      <c r="IM10" s="997">
        <v>0</v>
      </c>
      <c r="IN10" s="997">
        <v>0</v>
      </c>
      <c r="IO10" s="997">
        <v>0</v>
      </c>
      <c r="IP10" s="997">
        <v>0</v>
      </c>
      <c r="IQ10" s="997">
        <v>0</v>
      </c>
      <c r="IR10" s="997">
        <v>0</v>
      </c>
      <c r="IS10" s="997">
        <v>0</v>
      </c>
      <c r="IT10" s="997">
        <v>0</v>
      </c>
      <c r="IU10" s="997">
        <v>0</v>
      </c>
      <c r="IV10" s="997">
        <v>0</v>
      </c>
      <c r="IW10" s="1019">
        <v>925.98668809837352</v>
      </c>
      <c r="IX10" s="1022">
        <v>179.9</v>
      </c>
      <c r="IY10" s="998">
        <v>2647.0800000000199</v>
      </c>
      <c r="IZ10" s="429">
        <v>12.64</v>
      </c>
      <c r="JA10" s="1022">
        <v>50</v>
      </c>
      <c r="JB10" s="988">
        <v>1.7</v>
      </c>
      <c r="JC10" s="988">
        <v>1.7</v>
      </c>
      <c r="JD10" s="988">
        <v>1.7</v>
      </c>
      <c r="JE10" s="998">
        <v>2</v>
      </c>
      <c r="JF10" s="1023">
        <v>1.5</v>
      </c>
      <c r="JG10" s="1023">
        <v>0.7</v>
      </c>
      <c r="JH10" s="1023">
        <v>0.7</v>
      </c>
      <c r="JI10" s="1023">
        <v>0.5</v>
      </c>
      <c r="JJ10" s="1019">
        <v>30.686288979954334</v>
      </c>
      <c r="JK10" s="998">
        <v>2647.0800000000199</v>
      </c>
      <c r="JL10" s="429">
        <v>12.64</v>
      </c>
      <c r="JM10" s="1022">
        <v>50</v>
      </c>
      <c r="JN10" s="988">
        <v>3.2</v>
      </c>
      <c r="JO10" s="988">
        <v>1.7</v>
      </c>
      <c r="JP10" s="988">
        <v>1.7</v>
      </c>
      <c r="JQ10" s="998">
        <v>2</v>
      </c>
      <c r="JR10" s="998">
        <v>2</v>
      </c>
      <c r="JS10" s="998">
        <v>1</v>
      </c>
      <c r="JT10" s="998">
        <v>1</v>
      </c>
      <c r="JU10" s="1023">
        <v>0.5</v>
      </c>
      <c r="JV10" s="1004">
        <v>2000</v>
      </c>
      <c r="JW10" s="1019">
        <v>192.27726710081694</v>
      </c>
      <c r="JX10" s="1019">
        <v>500</v>
      </c>
      <c r="JY10" s="1022">
        <v>1.8</v>
      </c>
      <c r="JZ10" s="1022">
        <v>0.9</v>
      </c>
      <c r="KA10" s="1022">
        <v>0.9</v>
      </c>
      <c r="KB10" s="1023">
        <v>2</v>
      </c>
      <c r="KC10" s="1023">
        <v>1.5</v>
      </c>
      <c r="KD10" s="1023">
        <v>0.5</v>
      </c>
      <c r="KE10" s="1023">
        <v>1</v>
      </c>
      <c r="KF10" s="1023">
        <v>0.5</v>
      </c>
      <c r="KG10" s="997"/>
      <c r="KH10" s="997"/>
      <c r="KI10" s="997"/>
      <c r="KJ10" s="997"/>
      <c r="KK10" s="997"/>
      <c r="KL10" s="997"/>
      <c r="KM10" s="997"/>
      <c r="KN10" s="997"/>
      <c r="KO10" s="997"/>
      <c r="KP10" s="1006">
        <v>580</v>
      </c>
      <c r="KQ10" s="1006">
        <v>580</v>
      </c>
      <c r="KR10" s="1006">
        <v>580</v>
      </c>
      <c r="KS10" s="1006">
        <v>580</v>
      </c>
      <c r="KT10" s="1006"/>
      <c r="KU10" s="1006">
        <v>580</v>
      </c>
      <c r="KV10" s="1006">
        <v>580</v>
      </c>
      <c r="KW10" s="1006">
        <v>580</v>
      </c>
      <c r="KX10" s="1006">
        <v>580</v>
      </c>
      <c r="KY10" s="993">
        <v>370</v>
      </c>
      <c r="KZ10" s="993">
        <v>370</v>
      </c>
      <c r="LA10" s="993">
        <v>370</v>
      </c>
      <c r="LB10" s="993">
        <v>370</v>
      </c>
      <c r="LC10" s="993"/>
      <c r="LD10" s="993">
        <v>370</v>
      </c>
      <c r="LE10" s="993">
        <v>370</v>
      </c>
      <c r="LF10" s="993">
        <v>370</v>
      </c>
      <c r="LG10" s="993">
        <v>370</v>
      </c>
      <c r="LH10" s="995">
        <v>0</v>
      </c>
      <c r="LI10" s="995">
        <v>10</v>
      </c>
      <c r="LJ10" s="995">
        <v>20</v>
      </c>
      <c r="LK10" s="995">
        <v>70</v>
      </c>
      <c r="LL10" s="995">
        <v>100</v>
      </c>
      <c r="LM10" s="1004">
        <v>1000</v>
      </c>
      <c r="LN10" s="1019">
        <v>638.76654077224873</v>
      </c>
      <c r="LO10" s="988">
        <v>29</v>
      </c>
      <c r="LP10" s="988">
        <v>1.6</v>
      </c>
      <c r="LQ10" s="988">
        <v>1.4</v>
      </c>
      <c r="LR10" s="988">
        <v>1.4</v>
      </c>
      <c r="LS10" s="1023">
        <v>2</v>
      </c>
      <c r="LT10" s="1023">
        <v>1</v>
      </c>
      <c r="LU10" s="1023">
        <v>0.5</v>
      </c>
      <c r="LV10" s="1023">
        <v>0.7</v>
      </c>
      <c r="LW10" s="1023">
        <v>0.2</v>
      </c>
      <c r="LX10" s="1004">
        <v>1500</v>
      </c>
      <c r="LY10" s="1008">
        <v>500</v>
      </c>
      <c r="LZ10" s="1008">
        <v>1</v>
      </c>
      <c r="MA10" s="997" t="s">
        <v>2914</v>
      </c>
      <c r="MB10" s="1023" t="s">
        <v>905</v>
      </c>
      <c r="MC10" s="1023" t="s">
        <v>2932</v>
      </c>
      <c r="MD10" s="1024" t="s">
        <v>906</v>
      </c>
      <c r="ME10" s="1009">
        <v>0.5</v>
      </c>
      <c r="MF10" s="1010">
        <v>0.75</v>
      </c>
      <c r="MG10" s="1010">
        <v>1</v>
      </c>
      <c r="MH10" s="1010">
        <v>2</v>
      </c>
      <c r="MI10" s="1010">
        <v>0.5</v>
      </c>
      <c r="MJ10" s="1010">
        <v>0.75</v>
      </c>
      <c r="MK10" s="1010">
        <v>1</v>
      </c>
      <c r="ML10" s="1010">
        <v>2</v>
      </c>
      <c r="MM10" s="1010">
        <v>0</v>
      </c>
      <c r="MN10" s="1010">
        <v>0.5</v>
      </c>
      <c r="MO10" s="1010">
        <v>1</v>
      </c>
      <c r="MP10" s="1010">
        <v>2</v>
      </c>
      <c r="MQ10" s="1010">
        <v>0</v>
      </c>
      <c r="MR10" s="1010">
        <v>0.5</v>
      </c>
      <c r="MS10" s="1010">
        <v>1</v>
      </c>
      <c r="MT10" s="1010">
        <v>2</v>
      </c>
      <c r="MU10" s="1001">
        <v>0</v>
      </c>
      <c r="MV10" s="1001">
        <v>0</v>
      </c>
      <c r="MW10" s="1001">
        <v>0</v>
      </c>
      <c r="MX10" s="1025">
        <v>0</v>
      </c>
      <c r="MY10" s="1025">
        <v>0</v>
      </c>
      <c r="MZ10" s="1025">
        <v>0</v>
      </c>
      <c r="NA10" s="1025">
        <v>0</v>
      </c>
      <c r="NB10" s="1025">
        <v>0</v>
      </c>
      <c r="NC10" s="1025">
        <v>0</v>
      </c>
      <c r="ND10" s="1025">
        <v>0</v>
      </c>
      <c r="NE10" s="1025">
        <v>0</v>
      </c>
      <c r="NF10" s="1025">
        <v>0</v>
      </c>
      <c r="NG10" s="1025">
        <v>0</v>
      </c>
      <c r="NH10" s="1025">
        <v>0</v>
      </c>
      <c r="NI10" s="1025">
        <v>0</v>
      </c>
      <c r="NJ10" s="1025">
        <v>0</v>
      </c>
      <c r="NK10" s="1025">
        <v>0</v>
      </c>
      <c r="NL10" s="1025">
        <v>0</v>
      </c>
      <c r="NM10" s="1025">
        <v>0</v>
      </c>
      <c r="NN10" s="1025">
        <v>0</v>
      </c>
      <c r="NO10" s="1025">
        <v>0</v>
      </c>
      <c r="NP10" s="1025">
        <v>0</v>
      </c>
      <c r="NQ10" s="1025">
        <v>0</v>
      </c>
      <c r="NR10" s="1025">
        <v>0</v>
      </c>
      <c r="NS10" s="1025">
        <v>0</v>
      </c>
      <c r="NT10" s="1025">
        <v>0</v>
      </c>
      <c r="NU10" s="1025">
        <v>0</v>
      </c>
      <c r="NV10" s="1025">
        <v>1.84332100839552</v>
      </c>
      <c r="NW10" s="1025">
        <v>0</v>
      </c>
      <c r="NX10" s="1025">
        <v>2.1170067025229999E-2</v>
      </c>
      <c r="NY10" s="1025">
        <v>8.4234582479340001E-2</v>
      </c>
      <c r="NZ10" s="1025">
        <v>2.0931929390839601</v>
      </c>
      <c r="OA10" s="1025">
        <v>0</v>
      </c>
      <c r="OB10" s="1025">
        <v>1.69934338057171</v>
      </c>
      <c r="OC10" s="1025">
        <v>0</v>
      </c>
      <c r="OD10" s="1025">
        <v>2.5750155059380001E-2</v>
      </c>
      <c r="OE10" s="1025">
        <v>0.10245851170997</v>
      </c>
      <c r="OF10" s="1025">
        <v>0.66612596014501002</v>
      </c>
      <c r="OG10" s="1025">
        <v>0</v>
      </c>
      <c r="OH10" s="1025">
        <v>2.0723719201692798</v>
      </c>
      <c r="OI10" s="1025">
        <v>0</v>
      </c>
      <c r="OJ10" s="1025">
        <v>3.3787728138129997E-2</v>
      </c>
      <c r="OK10" s="1025">
        <v>0.13443959196016</v>
      </c>
      <c r="OL10" s="1025">
        <v>-0.15433920778737001</v>
      </c>
      <c r="OM10" s="1025">
        <v>0</v>
      </c>
      <c r="ON10" s="1025">
        <v>1.2538517168726799</v>
      </c>
      <c r="OO10" s="1025">
        <v>0</v>
      </c>
      <c r="OP10" s="1025">
        <v>2.4089263630859999E-2</v>
      </c>
      <c r="OQ10" s="1025">
        <v>9.5849912131200005E-2</v>
      </c>
      <c r="OR10" s="1025">
        <v>1.5255885220299299</v>
      </c>
      <c r="OS10" s="1025">
        <v>0</v>
      </c>
      <c r="OT10" s="1025">
        <v>0</v>
      </c>
      <c r="OU10" s="1025">
        <v>0</v>
      </c>
      <c r="OV10" s="1025">
        <v>0</v>
      </c>
      <c r="OW10" s="1025">
        <v>0</v>
      </c>
      <c r="OX10" s="1025">
        <v>0</v>
      </c>
      <c r="OY10" s="1025">
        <v>0</v>
      </c>
      <c r="OZ10" s="1025">
        <v>-86.4</v>
      </c>
      <c r="PA10" s="1025">
        <v>-17.8</v>
      </c>
      <c r="PB10" s="1025">
        <v>-8.5508252705750007E-2</v>
      </c>
      <c r="PC10" s="1025">
        <v>0</v>
      </c>
      <c r="PD10" s="1025">
        <v>-2.2555177857972302</v>
      </c>
      <c r="PE10" s="1025">
        <v>0</v>
      </c>
      <c r="PF10" s="1025">
        <v>0</v>
      </c>
      <c r="PG10" s="1025">
        <v>0</v>
      </c>
      <c r="PH10" s="1025">
        <v>0</v>
      </c>
      <c r="PI10" s="1025">
        <v>0</v>
      </c>
      <c r="PJ10" s="1025">
        <v>-1.51797929647699</v>
      </c>
      <c r="PK10" s="1025">
        <v>0</v>
      </c>
      <c r="PL10" s="1025">
        <v>0</v>
      </c>
      <c r="PM10" s="1025">
        <v>0</v>
      </c>
      <c r="PN10" s="1025">
        <v>0</v>
      </c>
      <c r="PO10" s="1025">
        <v>0</v>
      </c>
      <c r="PP10" s="1025">
        <v>-2.6280188679246099</v>
      </c>
      <c r="PQ10" s="1025">
        <v>0</v>
      </c>
      <c r="PR10" s="1025">
        <v>0</v>
      </c>
      <c r="PS10" s="1025">
        <v>0</v>
      </c>
      <c r="PT10" s="1025">
        <v>0</v>
      </c>
      <c r="PU10" s="1025">
        <v>0</v>
      </c>
      <c r="PV10" s="1025">
        <v>0</v>
      </c>
      <c r="PW10" s="1025">
        <v>0</v>
      </c>
      <c r="PX10" s="1025">
        <v>0</v>
      </c>
      <c r="PY10" s="1025">
        <v>0</v>
      </c>
      <c r="PZ10" s="1025">
        <v>0</v>
      </c>
      <c r="QA10" s="1025">
        <v>0</v>
      </c>
      <c r="QB10" s="1025">
        <v>0</v>
      </c>
      <c r="QC10" s="1025">
        <v>0</v>
      </c>
      <c r="QD10" s="1025">
        <v>-86.4</v>
      </c>
      <c r="QE10" s="1025">
        <v>-17.8</v>
      </c>
      <c r="QF10" s="1025">
        <v>-0.55726317014306004</v>
      </c>
      <c r="QG10" s="1025">
        <v>0</v>
      </c>
      <c r="QH10" s="1025">
        <v>-0.79480489522872</v>
      </c>
      <c r="QI10" s="1025">
        <v>0</v>
      </c>
      <c r="QJ10" s="1025">
        <v>0</v>
      </c>
      <c r="QK10" s="1025">
        <v>0</v>
      </c>
      <c r="QL10" s="1025">
        <v>0</v>
      </c>
      <c r="QM10" s="1025">
        <v>0</v>
      </c>
      <c r="QN10" s="1025">
        <v>2.0622121931109798</v>
      </c>
      <c r="QO10" s="1025">
        <v>0</v>
      </c>
      <c r="QP10" s="1025">
        <v>0</v>
      </c>
      <c r="QQ10" s="1025">
        <v>0</v>
      </c>
      <c r="QR10" s="1025">
        <v>0</v>
      </c>
      <c r="QS10" s="1025">
        <v>0</v>
      </c>
      <c r="QT10" s="1025">
        <v>-0.30681551923550998</v>
      </c>
      <c r="QU10" s="1025">
        <v>0</v>
      </c>
      <c r="QV10" s="1025">
        <v>0</v>
      </c>
      <c r="QW10" s="1025">
        <v>0</v>
      </c>
      <c r="QX10" s="1025">
        <v>0</v>
      </c>
      <c r="QY10" s="1025">
        <v>0</v>
      </c>
      <c r="QZ10" s="1025">
        <v>1.79917432829182</v>
      </c>
      <c r="RA10" s="1025">
        <v>0</v>
      </c>
      <c r="RB10" s="1025">
        <v>0</v>
      </c>
      <c r="RC10" s="1025">
        <v>0</v>
      </c>
      <c r="RD10" s="1025">
        <v>0</v>
      </c>
      <c r="RE10" s="1025">
        <v>0</v>
      </c>
      <c r="RF10" s="1025">
        <v>0</v>
      </c>
      <c r="RG10" s="1025">
        <v>0</v>
      </c>
      <c r="RH10" s="1011">
        <v>0</v>
      </c>
      <c r="RI10" s="1026">
        <v>0</v>
      </c>
      <c r="RJ10" s="1026">
        <v>0</v>
      </c>
      <c r="RK10" s="1026">
        <v>0</v>
      </c>
      <c r="RL10" s="1026">
        <v>0</v>
      </c>
      <c r="RM10" s="1011">
        <v>0</v>
      </c>
      <c r="RN10" s="1011">
        <v>0</v>
      </c>
      <c r="RO10" s="1011">
        <v>0</v>
      </c>
      <c r="RP10" s="1011">
        <v>0</v>
      </c>
      <c r="RQ10" s="1011">
        <v>0</v>
      </c>
      <c r="RR10" s="1011">
        <v>0</v>
      </c>
      <c r="RS10" s="1011">
        <v>0</v>
      </c>
      <c r="RT10" s="1011">
        <v>0</v>
      </c>
      <c r="RU10" s="1011">
        <v>0</v>
      </c>
      <c r="RV10" s="1011">
        <v>0</v>
      </c>
      <c r="RW10" s="1011">
        <v>0</v>
      </c>
      <c r="RX10" s="1011">
        <v>0</v>
      </c>
      <c r="RY10" s="1011">
        <v>0</v>
      </c>
      <c r="RZ10" s="1026">
        <v>0</v>
      </c>
      <c r="SA10" s="1026">
        <v>0</v>
      </c>
      <c r="SB10" s="1026">
        <v>0</v>
      </c>
      <c r="SC10" s="1026">
        <v>0</v>
      </c>
      <c r="SD10" s="1026">
        <v>0</v>
      </c>
      <c r="SE10" s="1026">
        <v>0</v>
      </c>
      <c r="SF10" s="1026">
        <v>0</v>
      </c>
      <c r="SG10" s="1026">
        <v>0</v>
      </c>
      <c r="SH10" s="1026">
        <v>0</v>
      </c>
      <c r="SI10" s="1026">
        <v>0</v>
      </c>
      <c r="SJ10" s="1026">
        <v>0</v>
      </c>
      <c r="SK10" s="1026">
        <v>0</v>
      </c>
      <c r="SL10" s="1025">
        <v>-86.4</v>
      </c>
      <c r="SM10" s="1025">
        <v>-17.8</v>
      </c>
      <c r="SN10" s="1025">
        <v>-0.14826889894609999</v>
      </c>
      <c r="SO10" s="1025">
        <v>0</v>
      </c>
      <c r="SP10" s="1025">
        <v>-2.2136670394671798</v>
      </c>
      <c r="SQ10" s="1025">
        <v>0</v>
      </c>
      <c r="SR10" s="1025">
        <v>0</v>
      </c>
      <c r="SS10" s="1025">
        <v>0</v>
      </c>
      <c r="ST10" s="1025">
        <v>0</v>
      </c>
      <c r="SU10" s="1025">
        <v>0</v>
      </c>
      <c r="SV10" s="1025">
        <v>0</v>
      </c>
      <c r="SW10" s="1025">
        <v>0</v>
      </c>
      <c r="SX10" s="1025">
        <v>0</v>
      </c>
      <c r="SY10" s="1025">
        <v>0</v>
      </c>
      <c r="SZ10" s="1025">
        <v>0</v>
      </c>
      <c r="TA10" s="1025">
        <v>0</v>
      </c>
      <c r="TB10" s="1025">
        <v>-1.6281710471519899</v>
      </c>
      <c r="TC10" s="1025">
        <v>0</v>
      </c>
      <c r="TD10" s="1025">
        <v>0</v>
      </c>
      <c r="TE10" s="1025">
        <v>0</v>
      </c>
      <c r="TF10" s="1025">
        <v>0</v>
      </c>
      <c r="TG10" s="1025">
        <v>0</v>
      </c>
      <c r="TH10" s="1025">
        <v>-2.3494858156843299</v>
      </c>
      <c r="TI10" s="1025">
        <v>0</v>
      </c>
      <c r="TJ10" s="1025">
        <v>0</v>
      </c>
      <c r="TK10" s="1025">
        <v>0</v>
      </c>
      <c r="TL10" s="1025">
        <v>0</v>
      </c>
      <c r="TM10" s="1025">
        <v>0</v>
      </c>
      <c r="TN10" s="1025">
        <v>0</v>
      </c>
      <c r="TO10" s="1025">
        <v>0</v>
      </c>
      <c r="TP10" s="1025">
        <v>-86.4</v>
      </c>
      <c r="TQ10" s="1025">
        <v>-17.8</v>
      </c>
      <c r="TR10" s="1025">
        <v>0</v>
      </c>
      <c r="TS10" s="1025">
        <v>0</v>
      </c>
      <c r="TT10" s="1025">
        <v>0</v>
      </c>
      <c r="TU10" s="1025">
        <v>0</v>
      </c>
      <c r="TV10" s="1025">
        <v>0</v>
      </c>
      <c r="TW10" s="1025">
        <v>0</v>
      </c>
      <c r="TX10" s="1025">
        <v>0</v>
      </c>
      <c r="TY10" s="1025">
        <v>0</v>
      </c>
      <c r="TZ10" s="1025">
        <v>0</v>
      </c>
      <c r="UA10" s="1025">
        <v>0</v>
      </c>
      <c r="UB10" s="1025">
        <v>0</v>
      </c>
      <c r="UC10" s="1025">
        <v>0</v>
      </c>
      <c r="UD10" s="1025">
        <v>0</v>
      </c>
      <c r="UE10" s="1025">
        <v>0</v>
      </c>
      <c r="UF10" s="1025">
        <v>0</v>
      </c>
      <c r="UG10" s="1025">
        <v>0</v>
      </c>
      <c r="UH10" s="1025">
        <v>0</v>
      </c>
      <c r="UI10" s="1025">
        <v>0</v>
      </c>
      <c r="UJ10" s="1025">
        <v>0</v>
      </c>
      <c r="UK10" s="1025">
        <v>0</v>
      </c>
      <c r="UL10" s="1025">
        <v>0</v>
      </c>
      <c r="UM10" s="1025">
        <v>0</v>
      </c>
      <c r="UN10" s="1025">
        <v>0</v>
      </c>
      <c r="UO10" s="1025">
        <v>0</v>
      </c>
      <c r="UP10" s="1025">
        <v>0</v>
      </c>
      <c r="UQ10" s="1025">
        <v>0</v>
      </c>
      <c r="UR10" s="1025">
        <v>0</v>
      </c>
      <c r="US10" s="1025">
        <v>0</v>
      </c>
      <c r="UT10" s="1025">
        <v>0.69011771495769003</v>
      </c>
      <c r="UU10" s="1025">
        <v>0</v>
      </c>
      <c r="UV10" s="1025">
        <v>0</v>
      </c>
      <c r="UW10" s="1025">
        <v>0</v>
      </c>
      <c r="UX10" s="1025">
        <v>0</v>
      </c>
      <c r="UY10" s="1025">
        <v>0</v>
      </c>
      <c r="UZ10" s="1025">
        <v>-1.5996357149999999E-4</v>
      </c>
      <c r="VA10" s="1025">
        <v>0</v>
      </c>
      <c r="VB10" s="1025">
        <v>0</v>
      </c>
      <c r="VC10" s="1025">
        <v>0</v>
      </c>
      <c r="VD10" s="1025">
        <v>-3.9389525902189998E-2</v>
      </c>
      <c r="VE10" s="1025">
        <v>-10</v>
      </c>
      <c r="VF10" s="1025">
        <v>0</v>
      </c>
      <c r="VG10" s="1025">
        <v>0</v>
      </c>
      <c r="VH10" s="1025">
        <v>0</v>
      </c>
      <c r="VI10" s="1025">
        <v>0</v>
      </c>
      <c r="VJ10" s="1025">
        <v>0.1822072712359</v>
      </c>
      <c r="VK10" s="1025">
        <v>-1.8909866017052399</v>
      </c>
      <c r="VL10" s="1025">
        <v>0</v>
      </c>
      <c r="VM10" s="1025">
        <v>0</v>
      </c>
      <c r="VN10" s="1025">
        <v>0</v>
      </c>
      <c r="VO10" s="1025">
        <v>0</v>
      </c>
      <c r="VP10" s="1025">
        <v>0</v>
      </c>
      <c r="VQ10" s="1025">
        <v>0</v>
      </c>
      <c r="VR10" s="1010">
        <v>0</v>
      </c>
      <c r="VS10" s="1010">
        <v>0</v>
      </c>
      <c r="VT10" s="1010">
        <v>0</v>
      </c>
      <c r="VU10" s="1010">
        <v>0</v>
      </c>
      <c r="VV10" s="1010">
        <v>0</v>
      </c>
      <c r="VW10" s="1010">
        <v>0</v>
      </c>
      <c r="VX10" s="1025">
        <v>0</v>
      </c>
      <c r="VY10" s="1025">
        <v>0</v>
      </c>
      <c r="VZ10" s="1025">
        <v>0</v>
      </c>
      <c r="WA10" s="1025">
        <v>0</v>
      </c>
      <c r="WB10" s="1025">
        <v>0</v>
      </c>
      <c r="WC10" s="1025">
        <v>0</v>
      </c>
      <c r="WD10" s="995">
        <v>202</v>
      </c>
      <c r="WE10" s="995">
        <v>267</v>
      </c>
      <c r="WF10" s="995">
        <v>354</v>
      </c>
      <c r="WG10" s="995">
        <v>382</v>
      </c>
      <c r="WH10" s="995">
        <v>403</v>
      </c>
      <c r="WI10" s="995">
        <v>0</v>
      </c>
      <c r="WJ10" s="995">
        <v>1300</v>
      </c>
      <c r="WK10" s="1001">
        <v>0</v>
      </c>
      <c r="WL10" s="1001">
        <v>0</v>
      </c>
      <c r="WM10" s="1001">
        <v>0</v>
      </c>
      <c r="WN10" s="1001">
        <v>0</v>
      </c>
      <c r="WO10" s="1001">
        <v>0</v>
      </c>
      <c r="WP10" s="1001">
        <v>0</v>
      </c>
      <c r="WQ10" s="1001">
        <v>0</v>
      </c>
      <c r="WR10" s="1001">
        <v>0</v>
      </c>
      <c r="WS10" s="1001">
        <v>0</v>
      </c>
      <c r="WT10" s="1001">
        <v>0</v>
      </c>
      <c r="WU10" s="1001">
        <v>0</v>
      </c>
      <c r="WV10" s="1001">
        <v>0</v>
      </c>
      <c r="WW10" s="1001">
        <v>0</v>
      </c>
      <c r="WX10" s="1001">
        <v>0</v>
      </c>
      <c r="WY10" s="1001">
        <v>0</v>
      </c>
      <c r="WZ10" s="1001">
        <v>0</v>
      </c>
      <c r="XA10" s="1001">
        <v>0</v>
      </c>
      <c r="XB10" s="1001">
        <v>0</v>
      </c>
      <c r="XC10" s="1001">
        <v>0</v>
      </c>
      <c r="XD10" s="1001">
        <v>0</v>
      </c>
      <c r="XE10" s="1001">
        <v>0</v>
      </c>
      <c r="XF10" s="1001">
        <v>0</v>
      </c>
      <c r="XG10" s="1001">
        <v>0</v>
      </c>
      <c r="XH10" s="1001">
        <v>0</v>
      </c>
      <c r="XI10" s="1001">
        <v>0</v>
      </c>
      <c r="XJ10" s="1001">
        <v>0</v>
      </c>
      <c r="XK10" s="1001">
        <v>0</v>
      </c>
      <c r="XL10" s="1001">
        <v>0</v>
      </c>
      <c r="XM10" s="1001">
        <v>0</v>
      </c>
      <c r="XN10" s="1001">
        <v>0</v>
      </c>
      <c r="XO10" s="1001">
        <v>0</v>
      </c>
      <c r="XP10" s="1001">
        <v>0</v>
      </c>
      <c r="XQ10" s="1001">
        <v>0</v>
      </c>
      <c r="XR10" s="1027">
        <v>81.260000000000005</v>
      </c>
      <c r="XS10" s="1013">
        <v>64.465135699373704</v>
      </c>
      <c r="XT10" s="1013">
        <v>71.250939457202506</v>
      </c>
      <c r="XU10" s="1013">
        <v>74.643841336116907</v>
      </c>
      <c r="XV10" s="1013">
        <v>114.6800835073069</v>
      </c>
      <c r="XW10" s="1028">
        <v>18148.91</v>
      </c>
      <c r="XX10" s="1013">
        <v>78</v>
      </c>
      <c r="XY10" s="1013">
        <v>15</v>
      </c>
      <c r="XZ10" s="1013">
        <v>7.0000000000000009</v>
      </c>
      <c r="YA10" s="1029">
        <v>0</v>
      </c>
      <c r="YB10" s="1013">
        <v>2763.23000780245</v>
      </c>
      <c r="YC10" s="1013">
        <v>0</v>
      </c>
      <c r="YD10" s="1013">
        <v>0</v>
      </c>
      <c r="YE10" s="1013">
        <v>0</v>
      </c>
      <c r="YF10" s="1013">
        <v>0</v>
      </c>
      <c r="YG10" s="1013">
        <v>0</v>
      </c>
      <c r="YH10" s="1013">
        <v>1163.4652664431369</v>
      </c>
      <c r="YI10" s="1013">
        <v>0</v>
      </c>
      <c r="YJ10" s="1013">
        <v>2964.2699619304926</v>
      </c>
      <c r="YK10" s="1013">
        <v>0</v>
      </c>
      <c r="YL10" s="1013">
        <v>0</v>
      </c>
      <c r="YM10" s="1013">
        <v>0</v>
      </c>
      <c r="YN10" s="1013">
        <v>0</v>
      </c>
      <c r="YO10" s="1013">
        <v>0</v>
      </c>
      <c r="YP10" s="1013">
        <v>1248.11366818126</v>
      </c>
      <c r="YQ10" s="1013">
        <v>0</v>
      </c>
      <c r="YR10" s="1013">
        <v>3105.4256744033728</v>
      </c>
      <c r="YS10" s="1013">
        <v>0</v>
      </c>
      <c r="YT10" s="1013">
        <v>0</v>
      </c>
      <c r="YU10" s="1013">
        <v>0</v>
      </c>
      <c r="YV10" s="1013">
        <v>0</v>
      </c>
      <c r="YW10" s="1013">
        <v>0</v>
      </c>
      <c r="YX10" s="1013">
        <v>1307.5476523803673</v>
      </c>
      <c r="YY10" s="1013">
        <v>0</v>
      </c>
      <c r="YZ10" s="1013">
        <v>4771.0630815833647</v>
      </c>
      <c r="ZA10" s="1013">
        <v>0</v>
      </c>
      <c r="ZB10" s="1013">
        <v>0</v>
      </c>
      <c r="ZC10" s="1013">
        <v>0</v>
      </c>
      <c r="ZD10" s="1013">
        <v>0</v>
      </c>
      <c r="ZE10" s="1013">
        <v>0</v>
      </c>
      <c r="ZF10" s="1013">
        <v>2008.8686659298376</v>
      </c>
      <c r="ZG10" s="1013">
        <v>0</v>
      </c>
      <c r="ZH10" s="1013">
        <v>1027.9215629025114</v>
      </c>
      <c r="ZI10" s="1013">
        <v>2218.1465304738404</v>
      </c>
      <c r="ZJ10" s="1013">
        <v>1677.1351815777819</v>
      </c>
      <c r="ZK10" s="1013">
        <v>54.101134889605866</v>
      </c>
      <c r="ZL10" s="1013">
        <v>0</v>
      </c>
      <c r="ZM10" s="1013">
        <v>0</v>
      </c>
      <c r="ZN10" s="1013">
        <v>432.80907911684693</v>
      </c>
      <c r="ZO10" s="1013">
        <v>0</v>
      </c>
      <c r="ZP10" s="1013">
        <v>1102.7084258381431</v>
      </c>
      <c r="ZQ10" s="1013">
        <v>2379.5287083875719</v>
      </c>
      <c r="ZR10" s="1013">
        <v>1799.1558526832862</v>
      </c>
      <c r="ZS10" s="1013">
        <v>58.037285570428587</v>
      </c>
      <c r="ZT10" s="1013">
        <v>0</v>
      </c>
      <c r="ZU10" s="1013">
        <v>0</v>
      </c>
      <c r="ZV10" s="1013">
        <v>464.29828456342869</v>
      </c>
      <c r="ZW10" s="1013">
        <v>0</v>
      </c>
      <c r="ZX10" s="1013">
        <v>1155.2183508780547</v>
      </c>
      <c r="ZY10" s="1013">
        <v>2492.8395992631704</v>
      </c>
      <c r="ZZ10" s="1013">
        <v>1884.8299409062995</v>
      </c>
      <c r="AAA10" s="1013">
        <v>60.800965835687087</v>
      </c>
      <c r="AAB10" s="1013">
        <v>0</v>
      </c>
      <c r="AAC10" s="1013">
        <v>0</v>
      </c>
      <c r="AAD10" s="1013">
        <v>486.4077266854967</v>
      </c>
      <c r="AAE10" s="1013">
        <v>0</v>
      </c>
      <c r="AAF10" s="1013">
        <v>1774.8354663490113</v>
      </c>
      <c r="AAG10" s="1013">
        <v>3829.9081115952345</v>
      </c>
      <c r="AAH10" s="1013">
        <v>2895.7841819378605</v>
      </c>
      <c r="AAI10" s="1013">
        <v>93.412392965737439</v>
      </c>
      <c r="AAJ10" s="1013">
        <v>0</v>
      </c>
      <c r="AAK10" s="1013">
        <v>0</v>
      </c>
      <c r="AAL10" s="1013">
        <v>747.29914372589951</v>
      </c>
      <c r="AAM10" s="1013">
        <v>0</v>
      </c>
      <c r="AAN10" s="1013">
        <v>2735.5977077244256</v>
      </c>
      <c r="AAO10" s="1013">
        <v>5903.1318956158657</v>
      </c>
      <c r="AAP10" s="1013">
        <v>4463.3436283924839</v>
      </c>
      <c r="AAQ10" s="1013">
        <v>143.9788267223382</v>
      </c>
      <c r="AAR10" s="1013">
        <v>0</v>
      </c>
      <c r="AAS10" s="1013">
        <v>0</v>
      </c>
      <c r="AAT10" s="1013">
        <v>1151.8306137787056</v>
      </c>
      <c r="AAU10" s="1013">
        <v>0</v>
      </c>
      <c r="AAV10" s="1013">
        <v>3023.5553611691021</v>
      </c>
      <c r="AAW10" s="1013">
        <v>6524.5142004175359</v>
      </c>
      <c r="AAX10" s="1013">
        <v>4933.16927348643</v>
      </c>
      <c r="AAY10" s="1013">
        <v>159.13449269311064</v>
      </c>
      <c r="AAZ10" s="1013">
        <v>0</v>
      </c>
      <c r="ABA10" s="1013">
        <v>0</v>
      </c>
      <c r="ABB10" s="1013">
        <v>1273.0759415448852</v>
      </c>
      <c r="ABC10" s="1013">
        <v>0</v>
      </c>
      <c r="ABD10" s="1013">
        <v>3167.5341878914401</v>
      </c>
      <c r="ABE10" s="1013">
        <v>6835.2053528183706</v>
      </c>
      <c r="ABF10" s="1013">
        <v>5168.0820960334022</v>
      </c>
      <c r="ABG10" s="1013">
        <v>166.71232567849685</v>
      </c>
      <c r="ABH10" s="1013">
        <v>0</v>
      </c>
      <c r="ABI10" s="1013">
        <v>0</v>
      </c>
      <c r="ABJ10" s="1013">
        <v>1333.6986054279748</v>
      </c>
      <c r="ABK10" s="1013">
        <v>0</v>
      </c>
      <c r="ABL10" s="1013">
        <v>4866.484343215031</v>
      </c>
      <c r="ABM10" s="1013">
        <v>10501.360951148225</v>
      </c>
      <c r="ABN10" s="1013">
        <v>7940.053402087683</v>
      </c>
      <c r="ABO10" s="1013">
        <v>256.13075490605428</v>
      </c>
      <c r="ABP10" s="1013">
        <v>0</v>
      </c>
      <c r="ABQ10" s="1013">
        <v>0</v>
      </c>
      <c r="ABR10" s="1013">
        <v>2049.0460392484342</v>
      </c>
      <c r="ABS10" s="1013">
        <v>0</v>
      </c>
      <c r="ABT10" s="1013">
        <v>3763.5192706269372</v>
      </c>
      <c r="ABU10" s="1013">
        <v>8121.278426089706</v>
      </c>
      <c r="ABV10" s="1013">
        <v>6140.4788099702655</v>
      </c>
      <c r="ABW10" s="1013">
        <v>198.07996161194407</v>
      </c>
      <c r="ABX10" s="1013">
        <v>0</v>
      </c>
      <c r="ABY10" s="1013">
        <v>0</v>
      </c>
      <c r="ABZ10" s="1013">
        <v>1584.6396928955526</v>
      </c>
      <c r="ACA10" s="1013">
        <v>0</v>
      </c>
      <c r="ACB10" s="1013">
        <v>3983.9788288345817</v>
      </c>
      <c r="ACC10" s="1013">
        <v>8597.006946432517</v>
      </c>
      <c r="ACD10" s="1013">
        <v>6500.1759838880016</v>
      </c>
      <c r="ACE10" s="1013">
        <v>209.68309625445167</v>
      </c>
      <c r="ACF10" s="1013">
        <v>0</v>
      </c>
      <c r="ACG10" s="1013">
        <v>0</v>
      </c>
      <c r="ACH10" s="1013">
        <v>1677.4647700356134</v>
      </c>
      <c r="ACI10" s="1013">
        <v>0</v>
      </c>
      <c r="ACJ10" s="1013">
        <v>4173.6921063981326</v>
      </c>
      <c r="ACK10" s="1013">
        <v>9006.3882295959702</v>
      </c>
      <c r="ACL10" s="1013">
        <v>6809.7081735969541</v>
      </c>
      <c r="ACM10" s="1013">
        <v>219.66800559990173</v>
      </c>
      <c r="ACN10" s="1013">
        <v>0</v>
      </c>
      <c r="ACO10" s="1013">
        <v>0</v>
      </c>
      <c r="ACP10" s="1013">
        <v>1757.3440447992139</v>
      </c>
      <c r="ACQ10" s="1013">
        <v>0</v>
      </c>
      <c r="ACR10" s="1013">
        <v>6412.3087816480411</v>
      </c>
      <c r="ACS10" s="1013">
        <v>13837.087370924719</v>
      </c>
      <c r="ACT10" s="1013">
        <v>10462.188012162593</v>
      </c>
      <c r="ACU10" s="1013">
        <v>337.48993587621271</v>
      </c>
      <c r="ACV10" s="1013">
        <v>0</v>
      </c>
      <c r="ACW10" s="1013">
        <v>0</v>
      </c>
      <c r="ACX10" s="1013">
        <v>2699.9194870097017</v>
      </c>
      <c r="ACY10" s="1013">
        <v>0</v>
      </c>
      <c r="ACZ10" s="1013">
        <v>4874.337733763522</v>
      </c>
      <c r="ADA10" s="1013">
        <v>10518.307741279179</v>
      </c>
      <c r="ADB10" s="1013">
        <v>7952.866828772062</v>
      </c>
      <c r="ADC10" s="1013">
        <v>256.54409125071169</v>
      </c>
      <c r="ADD10" s="1013">
        <v>0</v>
      </c>
      <c r="ADE10" s="1013">
        <v>0</v>
      </c>
      <c r="ADF10" s="1013">
        <v>2052.3527300056935</v>
      </c>
      <c r="ADG10" s="1013">
        <v>0</v>
      </c>
      <c r="ADH10" s="1013">
        <v>5211.1865930738059</v>
      </c>
      <c r="ADI10" s="1013">
        <v>11245.192121896107</v>
      </c>
      <c r="ADJ10" s="1013">
        <v>8502.4623360677888</v>
      </c>
      <c r="ADK10" s="1013">
        <v>274.27297858283191</v>
      </c>
      <c r="ADL10" s="1013">
        <v>0</v>
      </c>
      <c r="ADM10" s="1013">
        <v>0</v>
      </c>
      <c r="ADN10" s="1013">
        <v>2194.1838286626553</v>
      </c>
      <c r="ADO10" s="1013">
        <v>0</v>
      </c>
      <c r="ADP10" s="1013">
        <v>5459.33833560113</v>
      </c>
      <c r="ADQ10" s="1013">
        <v>11780.677461034016</v>
      </c>
      <c r="ADR10" s="1013">
        <v>8907.3414949281596</v>
      </c>
      <c r="ADS10" s="1013">
        <v>287.3335966105858</v>
      </c>
      <c r="ADT10" s="1013">
        <v>0</v>
      </c>
      <c r="ADU10" s="1013">
        <v>0</v>
      </c>
      <c r="ADV10" s="1013">
        <v>2298.6687728846864</v>
      </c>
      <c r="ADW10" s="1013">
        <v>0</v>
      </c>
      <c r="ADX10" s="1013">
        <v>8387.5288974235536</v>
      </c>
      <c r="ADY10" s="1013">
        <v>18099.404462861352</v>
      </c>
      <c r="ADZ10" s="1013">
        <v>13684.915569480536</v>
      </c>
      <c r="AEA10" s="1013">
        <v>441.44888933808181</v>
      </c>
      <c r="AEB10" s="1013">
        <v>0</v>
      </c>
      <c r="AEC10" s="1013">
        <v>0</v>
      </c>
      <c r="AED10" s="1013">
        <v>3531.5911147046545</v>
      </c>
      <c r="AEE10" s="1013">
        <v>0</v>
      </c>
      <c r="AEF10" s="1013">
        <v>5951.9974368064777</v>
      </c>
      <c r="AEG10" s="1013">
        <v>12843.783942582399</v>
      </c>
      <c r="AEH10" s="1013">
        <v>9711.1537126842541</v>
      </c>
      <c r="AEI10" s="1013">
        <v>313.26302298981466</v>
      </c>
      <c r="AEJ10" s="1013">
        <v>0</v>
      </c>
      <c r="AEK10" s="1013">
        <v>0</v>
      </c>
      <c r="AEL10" s="1013">
        <v>2506.1041839185173</v>
      </c>
      <c r="AEM10" s="1013">
        <v>0</v>
      </c>
      <c r="AEN10" s="1013">
        <v>6402.8231177698644</v>
      </c>
      <c r="AEO10" s="1013">
        <v>13816.618306766548</v>
      </c>
      <c r="AEP10" s="1013">
        <v>10446.711402677147</v>
      </c>
      <c r="AEQ10" s="1013">
        <v>336.99069040894022</v>
      </c>
      <c r="AER10" s="1013">
        <v>0</v>
      </c>
      <c r="AES10" s="1013">
        <v>0</v>
      </c>
      <c r="AET10" s="1013">
        <v>2695.9255232715218</v>
      </c>
      <c r="AEU10" s="1013">
        <v>0</v>
      </c>
      <c r="AEV10" s="1013">
        <v>6707.7194567112847</v>
      </c>
      <c r="AEW10" s="1013">
        <v>14474.552511850667</v>
      </c>
      <c r="AEX10" s="1013">
        <v>10944.173850423675</v>
      </c>
      <c r="AEY10" s="1013">
        <v>353.03786614269922</v>
      </c>
      <c r="AEZ10" s="1013">
        <v>0</v>
      </c>
      <c r="AFA10" s="1013">
        <v>0</v>
      </c>
      <c r="AFB10" s="1013">
        <v>2824.3029291415937</v>
      </c>
      <c r="AFC10" s="1013">
        <v>0</v>
      </c>
      <c r="AFD10" s="1013">
        <v>10305.496256220067</v>
      </c>
      <c r="AFE10" s="1013">
        <v>22238.176131843302</v>
      </c>
      <c r="AFF10" s="1013">
        <v>16814.230733832741</v>
      </c>
      <c r="AFG10" s="1013">
        <v>542.39453980105623</v>
      </c>
      <c r="AFH10" s="1013">
        <v>0</v>
      </c>
      <c r="AFI10" s="1013">
        <v>0</v>
      </c>
      <c r="AFJ10" s="1013">
        <v>4339.1563184084498</v>
      </c>
      <c r="AFK10" s="1013">
        <v>0</v>
      </c>
      <c r="AFL10" s="1023">
        <v>6863.8633393812879</v>
      </c>
      <c r="AFM10" s="1023">
        <v>14811.494574454357</v>
      </c>
      <c r="AFN10" s="1023">
        <v>11198.934922148417</v>
      </c>
      <c r="AFO10" s="1023">
        <v>361.25596523059409</v>
      </c>
      <c r="AFP10" s="1023">
        <v>0</v>
      </c>
      <c r="AFQ10" s="1023">
        <v>0</v>
      </c>
      <c r="AFR10" s="1023">
        <v>2890.0477218447527</v>
      </c>
      <c r="AFS10" s="1023">
        <v>0</v>
      </c>
      <c r="AFT10" s="1023">
        <v>7292.1041063490102</v>
      </c>
      <c r="AFU10" s="1023">
        <v>15735.593071595233</v>
      </c>
      <c r="AFV10" s="1023">
        <v>11897.643541937859</v>
      </c>
      <c r="AFW10" s="1023">
        <v>383.79495296573742</v>
      </c>
      <c r="AFX10" s="1023">
        <v>0</v>
      </c>
      <c r="AFY10" s="1023">
        <v>0</v>
      </c>
      <c r="AFZ10" s="1023">
        <v>3070.3596237258994</v>
      </c>
      <c r="AGA10" s="1023">
        <v>0</v>
      </c>
      <c r="AGB10" s="1023">
        <v>7639.347159032297</v>
      </c>
      <c r="AGC10" s="1023">
        <v>16484.907027385481</v>
      </c>
      <c r="AGD10" s="1023">
        <v>12464.197996315854</v>
      </c>
      <c r="AGE10" s="1023">
        <v>402.07090310696304</v>
      </c>
      <c r="AGF10" s="1023">
        <v>0</v>
      </c>
      <c r="AGG10" s="1023">
        <v>0</v>
      </c>
      <c r="AGH10" s="1023">
        <v>3216.5672248557044</v>
      </c>
      <c r="AGI10" s="1023">
        <v>0</v>
      </c>
      <c r="AGJ10" s="1023">
        <v>11736.815180695075</v>
      </c>
      <c r="AGK10" s="1023">
        <v>25326.811705710425</v>
      </c>
      <c r="AGL10" s="1023">
        <v>19149.540557976175</v>
      </c>
      <c r="AGM10" s="1023">
        <v>617.727114773425</v>
      </c>
      <c r="AGN10" s="1023">
        <v>0</v>
      </c>
      <c r="AGO10" s="1023">
        <v>0</v>
      </c>
      <c r="AGP10" s="1023">
        <v>4941.8169181874</v>
      </c>
      <c r="AGQ10" s="1023">
        <v>0</v>
      </c>
      <c r="AGR10" s="1030">
        <v>2735.5977077244256</v>
      </c>
      <c r="AGS10" s="1030">
        <v>5903.1318956158657</v>
      </c>
      <c r="AGT10" s="1030">
        <v>4463.3436283924839</v>
      </c>
      <c r="AGU10" s="1030">
        <v>143.9788267223382</v>
      </c>
      <c r="AGV10" s="1030">
        <v>0</v>
      </c>
      <c r="AGW10" s="1030">
        <v>0</v>
      </c>
      <c r="AGX10" s="1030">
        <v>1151.8306137787056</v>
      </c>
      <c r="AGY10" s="1030">
        <v>0</v>
      </c>
      <c r="AGZ10" s="1030">
        <v>3023.5553611691021</v>
      </c>
      <c r="AHA10" s="1030">
        <v>6524.5142004175359</v>
      </c>
      <c r="AHB10" s="1030">
        <v>4933.16927348643</v>
      </c>
      <c r="AHC10" s="1030">
        <v>159.13449269311064</v>
      </c>
      <c r="AHD10" s="1030">
        <v>0</v>
      </c>
      <c r="AHE10" s="1030">
        <v>0</v>
      </c>
      <c r="AHF10" s="1030">
        <v>1273.0759415448852</v>
      </c>
      <c r="AHG10" s="1030">
        <v>0</v>
      </c>
      <c r="AHH10" s="1030">
        <v>3167.5341878914401</v>
      </c>
      <c r="AHI10" s="1030">
        <v>6835.2053528183706</v>
      </c>
      <c r="AHJ10" s="1030">
        <v>5168.0820960334022</v>
      </c>
      <c r="AHK10" s="1030">
        <v>166.71232567849685</v>
      </c>
      <c r="AHL10" s="1030">
        <v>0</v>
      </c>
      <c r="AHM10" s="1030">
        <v>0</v>
      </c>
      <c r="AHN10" s="1030">
        <v>1333.6986054279748</v>
      </c>
      <c r="AHO10" s="1030">
        <v>0</v>
      </c>
      <c r="AHP10" s="1030">
        <v>4866.484343215031</v>
      </c>
      <c r="AHQ10" s="1030">
        <v>10501.360951148225</v>
      </c>
      <c r="AHR10" s="1030">
        <v>7940.053402087683</v>
      </c>
      <c r="AHS10" s="1030">
        <v>256.13075490605428</v>
      </c>
      <c r="AHT10" s="1030">
        <v>0</v>
      </c>
      <c r="AHU10" s="1030">
        <v>0</v>
      </c>
      <c r="AHV10" s="1030">
        <v>2049.0460392484342</v>
      </c>
      <c r="AHW10" s="1030">
        <v>0</v>
      </c>
      <c r="AHX10" s="1013">
        <v>165</v>
      </c>
      <c r="AHY10" s="1023">
        <v>0</v>
      </c>
      <c r="AHZ10" s="1023">
        <v>0</v>
      </c>
      <c r="AIA10" s="1023">
        <v>0</v>
      </c>
      <c r="AIB10" s="1023">
        <v>0</v>
      </c>
      <c r="AIC10" s="1023">
        <v>0</v>
      </c>
      <c r="AID10" s="1023">
        <v>0</v>
      </c>
      <c r="AIE10" s="1023">
        <v>0</v>
      </c>
      <c r="AIF10" s="1013">
        <v>420</v>
      </c>
      <c r="AIG10" s="1013">
        <v>32.409999999999997</v>
      </c>
      <c r="AIH10" s="1013">
        <v>27.01</v>
      </c>
      <c r="AII10" s="1013">
        <v>0</v>
      </c>
      <c r="AIJ10" s="1013">
        <v>2.52</v>
      </c>
      <c r="AIK10" s="1013">
        <v>3.06</v>
      </c>
      <c r="AIL10" s="1013">
        <v>0</v>
      </c>
      <c r="AIM10" s="1013">
        <v>0</v>
      </c>
      <c r="AIN10" s="1016">
        <v>350</v>
      </c>
      <c r="AIO10" s="1016">
        <v>64.819999999999993</v>
      </c>
      <c r="AIP10" s="1017">
        <v>54.02</v>
      </c>
      <c r="AIQ10" s="1017">
        <v>0</v>
      </c>
      <c r="AIR10" s="1017">
        <v>5.04</v>
      </c>
      <c r="AIS10" s="1017">
        <v>6.12</v>
      </c>
      <c r="AIT10" s="1017">
        <v>0</v>
      </c>
      <c r="AIU10" s="1017">
        <v>0</v>
      </c>
      <c r="AIV10" s="1013">
        <v>120</v>
      </c>
      <c r="AIW10" s="1013">
        <v>47.37</v>
      </c>
      <c r="AIX10" s="1013">
        <v>39.47</v>
      </c>
      <c r="AIY10" s="1013">
        <v>0</v>
      </c>
      <c r="AIZ10" s="1013">
        <v>3.68</v>
      </c>
      <c r="AJA10" s="1013">
        <v>4.4800000000000004</v>
      </c>
      <c r="AJB10" s="1013">
        <v>0</v>
      </c>
      <c r="AJC10" s="1013">
        <v>0</v>
      </c>
      <c r="AJD10" s="1013">
        <v>129.6</v>
      </c>
      <c r="AJE10" s="1013">
        <v>96.93</v>
      </c>
      <c r="AJF10" s="1013">
        <v>80.78</v>
      </c>
      <c r="AJG10" s="1013">
        <v>0</v>
      </c>
      <c r="AJH10" s="1013">
        <v>7.54</v>
      </c>
      <c r="AJI10" s="1013">
        <v>9.15</v>
      </c>
      <c r="AJJ10" s="1013">
        <v>0</v>
      </c>
      <c r="AJK10" s="1013">
        <v>0</v>
      </c>
      <c r="AJL10" s="1013">
        <v>160</v>
      </c>
      <c r="AJM10" s="1013">
        <v>17.45</v>
      </c>
      <c r="AJN10" s="1013">
        <v>14.54</v>
      </c>
      <c r="AJO10" s="1013">
        <v>0</v>
      </c>
      <c r="AJP10" s="1013">
        <v>1.36</v>
      </c>
      <c r="AJQ10" s="1013">
        <v>1.65</v>
      </c>
      <c r="AJR10" s="1013">
        <v>0</v>
      </c>
      <c r="AJS10" s="1013">
        <v>0</v>
      </c>
      <c r="AJT10" s="1029" t="s">
        <v>858</v>
      </c>
      <c r="AJU10" s="988" t="s">
        <v>861</v>
      </c>
      <c r="AJV10" s="988" t="s">
        <v>860</v>
      </c>
      <c r="AJW10" s="988" t="s">
        <v>859</v>
      </c>
      <c r="AJX10" s="988" t="s">
        <v>870</v>
      </c>
      <c r="AJY10" s="988" t="s">
        <v>871</v>
      </c>
      <c r="AJZ10" s="988" t="s">
        <v>872</v>
      </c>
      <c r="AKA10" s="988" t="s">
        <v>873</v>
      </c>
      <c r="AKB10" s="988" t="s">
        <v>874</v>
      </c>
      <c r="AKC10" s="988" t="s">
        <v>875</v>
      </c>
      <c r="AKD10" s="1013">
        <v>117.71341463414633</v>
      </c>
      <c r="AKE10" s="1013">
        <v>0</v>
      </c>
      <c r="AKF10" s="1013">
        <v>0</v>
      </c>
      <c r="AKG10" s="1013">
        <v>0</v>
      </c>
      <c r="AKH10" s="1013">
        <v>0</v>
      </c>
      <c r="AKI10" s="1013">
        <v>0</v>
      </c>
      <c r="AKJ10" s="1013">
        <v>3.0182926829268291</v>
      </c>
      <c r="AKK10" s="1013">
        <v>3.0182926829268291</v>
      </c>
      <c r="AKL10" s="1013">
        <v>346.00609756097555</v>
      </c>
      <c r="AKM10" s="1013">
        <v>0</v>
      </c>
      <c r="AKN10" s="1013">
        <v>0</v>
      </c>
      <c r="AKO10" s="1013">
        <v>0</v>
      </c>
      <c r="AKP10" s="1013">
        <v>0</v>
      </c>
      <c r="AKQ10" s="1013">
        <v>0</v>
      </c>
      <c r="AKR10" s="1013">
        <v>8.8719512195121926</v>
      </c>
      <c r="AKS10" s="1013">
        <v>8.8719512195121926</v>
      </c>
      <c r="AKT10" s="1016">
        <v>342.4390243902439</v>
      </c>
      <c r="AKU10" s="1016">
        <v>0</v>
      </c>
      <c r="AKV10" s="1017">
        <v>0</v>
      </c>
      <c r="AKW10" s="1017">
        <v>0</v>
      </c>
      <c r="AKX10" s="1017">
        <v>0</v>
      </c>
      <c r="AKY10" s="1017">
        <v>0</v>
      </c>
      <c r="AKZ10" s="1017">
        <v>8.7804878048780477</v>
      </c>
      <c r="ALA10" s="1017">
        <v>8.7804878048780477</v>
      </c>
      <c r="ALB10" s="1013">
        <v>153.38414634146341</v>
      </c>
      <c r="ALC10" s="1013">
        <v>0</v>
      </c>
      <c r="ALD10" s="1013">
        <v>0</v>
      </c>
      <c r="ALE10" s="1013">
        <v>0</v>
      </c>
      <c r="ALF10" s="1013">
        <v>0</v>
      </c>
      <c r="ALG10" s="1013">
        <v>0</v>
      </c>
      <c r="ALH10" s="1013">
        <v>3.9329268292682924</v>
      </c>
      <c r="ALI10" s="1013">
        <v>3.9329268292682924</v>
      </c>
      <c r="ALJ10" s="1013">
        <v>231.14634146341461</v>
      </c>
      <c r="ALK10" s="1013">
        <v>0</v>
      </c>
      <c r="ALL10" s="1013">
        <v>0</v>
      </c>
      <c r="ALM10" s="1013">
        <v>0</v>
      </c>
      <c r="ALN10" s="1013">
        <v>0</v>
      </c>
      <c r="ALO10" s="1013">
        <v>0</v>
      </c>
      <c r="ALP10" s="1013">
        <v>5.926829268292682</v>
      </c>
      <c r="ALQ10" s="1013">
        <v>5.926829268292682</v>
      </c>
      <c r="ALR10" s="1013">
        <v>139.11585365853657</v>
      </c>
      <c r="ALS10" s="1013">
        <v>0</v>
      </c>
      <c r="ALT10" s="1013">
        <v>0</v>
      </c>
      <c r="ALU10" s="1013">
        <v>0</v>
      </c>
      <c r="ALV10" s="1013">
        <v>0</v>
      </c>
      <c r="ALW10" s="1013">
        <v>0</v>
      </c>
      <c r="ALX10" s="1013">
        <v>3.5670731707317072</v>
      </c>
      <c r="ALY10" s="1013">
        <v>3.5670731707317072</v>
      </c>
    </row>
    <row r="11" spans="1:1013" ht="18" customHeight="1">
      <c r="A11" s="1259" t="s">
        <v>3</v>
      </c>
      <c r="B11" s="1260" t="s">
        <v>3063</v>
      </c>
      <c r="C11" s="1260">
        <v>2022</v>
      </c>
      <c r="D11" s="1269"/>
      <c r="E11" s="1270">
        <v>-0.7</v>
      </c>
      <c r="F11" s="1271">
        <v>-0.6</v>
      </c>
      <c r="G11" s="1271">
        <v>-0.6</v>
      </c>
      <c r="H11" s="76">
        <v>560.63201663201664</v>
      </c>
      <c r="I11" s="72">
        <v>-2.7</v>
      </c>
      <c r="J11" s="1271">
        <v>-7.7</v>
      </c>
      <c r="K11" s="1271">
        <v>-7.7</v>
      </c>
      <c r="L11" s="1265">
        <v>350</v>
      </c>
      <c r="M11" s="1262">
        <v>0</v>
      </c>
      <c r="N11" s="1262">
        <v>0</v>
      </c>
      <c r="O11" s="1262">
        <v>0</v>
      </c>
      <c r="P11" s="76">
        <v>1452.3152080465572</v>
      </c>
      <c r="Q11" s="75">
        <v>12</v>
      </c>
      <c r="R11" s="72">
        <v>0.4</v>
      </c>
      <c r="S11" s="72">
        <v>0.4</v>
      </c>
      <c r="T11" s="72">
        <v>0.4</v>
      </c>
      <c r="U11" s="1271">
        <v>0.2</v>
      </c>
      <c r="V11" s="1271">
        <v>0.1</v>
      </c>
      <c r="W11" s="1271">
        <v>99.6</v>
      </c>
      <c r="X11" s="1271">
        <v>0.1</v>
      </c>
      <c r="Y11" s="1272">
        <v>0</v>
      </c>
      <c r="Z11" s="75">
        <v>2</v>
      </c>
      <c r="AA11" s="72">
        <v>1.5</v>
      </c>
      <c r="AB11" s="75">
        <v>1</v>
      </c>
      <c r="AC11" s="72">
        <v>0.8</v>
      </c>
      <c r="AD11" s="72">
        <v>0.5</v>
      </c>
      <c r="AE11" s="390">
        <v>433.01922201480062</v>
      </c>
      <c r="AF11" s="390">
        <v>470.67306740739195</v>
      </c>
      <c r="AG11" s="390">
        <v>433.37222681535616</v>
      </c>
      <c r="AH11" s="390">
        <v>649.0581599547935</v>
      </c>
      <c r="AI11" s="400">
        <v>0.82209484106305364</v>
      </c>
      <c r="AJ11" s="390">
        <v>261.91600618637949</v>
      </c>
      <c r="AK11" s="390">
        <v>284.69131107215162</v>
      </c>
      <c r="AL11" s="390">
        <v>262.12952466968363</v>
      </c>
      <c r="AM11" s="390">
        <v>392.58931796849708</v>
      </c>
      <c r="AN11" s="400">
        <v>0.96717040125065135</v>
      </c>
      <c r="AO11" s="77">
        <v>0</v>
      </c>
      <c r="AP11" s="77">
        <v>0.1</v>
      </c>
      <c r="AQ11" s="77">
        <v>0.2</v>
      </c>
      <c r="AR11" s="77">
        <v>0.3</v>
      </c>
      <c r="AS11" s="77">
        <v>0.4</v>
      </c>
      <c r="AT11" s="77">
        <v>0.6</v>
      </c>
      <c r="AU11" s="77">
        <v>0.8</v>
      </c>
      <c r="AV11" s="1268">
        <v>0</v>
      </c>
      <c r="AW11" s="1268">
        <v>10</v>
      </c>
      <c r="AX11" s="1268">
        <v>20</v>
      </c>
      <c r="AY11" s="1268">
        <v>70</v>
      </c>
      <c r="AZ11" s="1268">
        <v>100</v>
      </c>
      <c r="BA11" s="1019">
        <v>8452.0349605494575</v>
      </c>
      <c r="BB11" s="1031">
        <v>1.56</v>
      </c>
      <c r="BC11" s="988">
        <v>0.7</v>
      </c>
      <c r="BD11" s="988">
        <v>0.4</v>
      </c>
      <c r="BE11" s="988">
        <v>0.4</v>
      </c>
      <c r="BF11" s="1021">
        <v>0.17007468960337721</v>
      </c>
      <c r="BG11" s="1021">
        <v>0.17500236602736474</v>
      </c>
      <c r="BH11" s="1020">
        <v>2.4466324694609898E-4</v>
      </c>
      <c r="BI11" s="1020">
        <v>3.065486564677593E-3</v>
      </c>
      <c r="BJ11" s="1020">
        <v>0.22152098217613855</v>
      </c>
      <c r="BK11" s="1020">
        <v>52.250412545410221</v>
      </c>
      <c r="BL11" s="1020">
        <v>0.33272762389099186</v>
      </c>
      <c r="BM11" s="1020"/>
      <c r="BN11" s="1020">
        <v>46.494896756427373</v>
      </c>
      <c r="BO11" s="1020">
        <v>0.47892110991913739</v>
      </c>
      <c r="BP11" s="1020"/>
      <c r="BQ11" s="1020"/>
      <c r="BR11" s="1020"/>
      <c r="BS11" s="1020"/>
      <c r="BT11" s="1020">
        <v>0.1778413966184085</v>
      </c>
      <c r="BU11" s="1020">
        <v>1.0074368991898192E-4</v>
      </c>
      <c r="BV11" s="1020">
        <v>4.0268692056187341E-2</v>
      </c>
      <c r="BW11" s="993">
        <v>261.13475999999997</v>
      </c>
      <c r="BX11" s="993">
        <v>96.5</v>
      </c>
      <c r="BY11" s="993">
        <v>63.215999999999994</v>
      </c>
      <c r="BZ11" s="993">
        <v>233.35949490734063</v>
      </c>
      <c r="CA11" s="993">
        <v>157.40783999999999</v>
      </c>
      <c r="CB11" s="990"/>
      <c r="CC11" s="993">
        <v>256.20808011776955</v>
      </c>
      <c r="CD11" s="993">
        <v>165.17663999999999</v>
      </c>
      <c r="CE11" s="990"/>
      <c r="CF11" s="989">
        <v>0</v>
      </c>
      <c r="CG11" s="993">
        <v>6.585</v>
      </c>
      <c r="CH11" s="993">
        <v>1.3169999999999999</v>
      </c>
      <c r="CI11" s="993">
        <v>38</v>
      </c>
      <c r="CJ11" s="993">
        <v>225.83915999999996</v>
      </c>
      <c r="CK11" s="990">
        <v>0.2</v>
      </c>
      <c r="CL11" s="993">
        <v>175.08124000000001</v>
      </c>
      <c r="CM11" s="993">
        <v>60.4</v>
      </c>
      <c r="CN11" s="993">
        <v>42.384</v>
      </c>
      <c r="CO11" s="993">
        <v>156.45894761061641</v>
      </c>
      <c r="CP11" s="993">
        <v>105.53616</v>
      </c>
      <c r="CQ11" s="990"/>
      <c r="CR11" s="993">
        <v>159.24945066654416</v>
      </c>
      <c r="CS11" s="993">
        <v>102.66767999999999</v>
      </c>
      <c r="CT11" s="990"/>
      <c r="CU11" s="993">
        <v>0</v>
      </c>
      <c r="CV11" s="993">
        <v>4.415</v>
      </c>
      <c r="CW11" s="993">
        <v>0.88300000000000001</v>
      </c>
      <c r="CX11" s="993">
        <v>27</v>
      </c>
      <c r="CY11" s="993">
        <v>151.41683999999998</v>
      </c>
      <c r="CZ11" s="990">
        <v>0.2</v>
      </c>
      <c r="DA11" s="988">
        <v>0.3</v>
      </c>
      <c r="DB11" s="988">
        <v>0.7</v>
      </c>
      <c r="DC11" s="988">
        <v>1.2</v>
      </c>
      <c r="DD11" s="988">
        <v>1.2</v>
      </c>
      <c r="DE11" s="1022">
        <v>3</v>
      </c>
      <c r="DF11" s="995">
        <v>0</v>
      </c>
      <c r="DG11" s="995">
        <v>10</v>
      </c>
      <c r="DH11" s="995">
        <v>20</v>
      </c>
      <c r="DI11" s="995">
        <v>70</v>
      </c>
      <c r="DJ11" s="995">
        <v>100</v>
      </c>
      <c r="DK11" s="1017">
        <v>78.43508062114222</v>
      </c>
      <c r="DL11" s="1022">
        <v>18</v>
      </c>
      <c r="DM11" s="989">
        <v>12</v>
      </c>
      <c r="DN11" s="988">
        <v>1.6</v>
      </c>
      <c r="DO11" s="988">
        <v>0.9</v>
      </c>
      <c r="DP11" s="988">
        <v>0.9</v>
      </c>
      <c r="DQ11" s="988" t="s">
        <v>642</v>
      </c>
      <c r="DR11" s="988" t="s">
        <v>640</v>
      </c>
      <c r="DS11" s="988" t="s">
        <v>640</v>
      </c>
      <c r="DT11" s="988" t="s">
        <v>640</v>
      </c>
      <c r="DU11" s="988" t="s">
        <v>640</v>
      </c>
      <c r="DV11" s="988" t="s">
        <v>640</v>
      </c>
      <c r="DW11" s="988" t="s">
        <v>640</v>
      </c>
      <c r="DX11" s="997">
        <v>542.5</v>
      </c>
      <c r="DY11" s="997">
        <v>0</v>
      </c>
      <c r="DZ11" s="997">
        <v>0</v>
      </c>
      <c r="EA11" s="997">
        <v>0</v>
      </c>
      <c r="EB11" s="997">
        <v>0</v>
      </c>
      <c r="EC11" s="997">
        <v>0</v>
      </c>
      <c r="ED11" s="997">
        <v>0</v>
      </c>
      <c r="EE11" s="1022">
        <v>0.54249999999999998</v>
      </c>
      <c r="EF11" s="1022">
        <v>18</v>
      </c>
      <c r="EG11" s="991">
        <v>5</v>
      </c>
      <c r="EH11" s="1023">
        <v>1.6</v>
      </c>
      <c r="EI11" s="1023">
        <v>0.9</v>
      </c>
      <c r="EJ11" s="1023">
        <v>0.9</v>
      </c>
      <c r="EK11" s="988" t="s">
        <v>642</v>
      </c>
      <c r="EL11" s="988" t="s">
        <v>640</v>
      </c>
      <c r="EM11" s="988" t="s">
        <v>640</v>
      </c>
      <c r="EN11" s="988" t="s">
        <v>640</v>
      </c>
      <c r="EO11" s="988" t="s">
        <v>640</v>
      </c>
      <c r="EP11" s="988" t="s">
        <v>640</v>
      </c>
      <c r="EQ11" s="988" t="s">
        <v>640</v>
      </c>
      <c r="ER11" s="988" t="s">
        <v>640</v>
      </c>
      <c r="ES11" s="988" t="s">
        <v>640</v>
      </c>
      <c r="ET11" s="988" t="s">
        <v>640</v>
      </c>
      <c r="EU11" s="988" t="s">
        <v>640</v>
      </c>
      <c r="EV11" s="988" t="s">
        <v>640</v>
      </c>
      <c r="EW11" s="988" t="s">
        <v>640</v>
      </c>
      <c r="EX11" s="988" t="s">
        <v>640</v>
      </c>
      <c r="EY11" s="988" t="s">
        <v>640</v>
      </c>
      <c r="EZ11" s="988" t="s">
        <v>640</v>
      </c>
      <c r="FA11" s="988" t="s">
        <v>640</v>
      </c>
      <c r="FB11" s="988" t="s">
        <v>640</v>
      </c>
      <c r="FC11" s="988" t="s">
        <v>640</v>
      </c>
      <c r="FD11" s="988" t="s">
        <v>640</v>
      </c>
      <c r="FE11" s="988" t="s">
        <v>640</v>
      </c>
      <c r="FF11" s="988" t="s">
        <v>640</v>
      </c>
      <c r="FG11" s="988" t="s">
        <v>640</v>
      </c>
      <c r="FH11" s="988" t="s">
        <v>640</v>
      </c>
      <c r="FI11" s="988" t="s">
        <v>640</v>
      </c>
      <c r="FJ11" s="988" t="s">
        <v>640</v>
      </c>
      <c r="FK11" s="988" t="s">
        <v>640</v>
      </c>
      <c r="FL11" s="988" t="s">
        <v>640</v>
      </c>
      <c r="FM11" s="988" t="s">
        <v>640</v>
      </c>
      <c r="FN11" s="988" t="s">
        <v>640</v>
      </c>
      <c r="FO11" s="988" t="s">
        <v>640</v>
      </c>
      <c r="FP11" s="988" t="s">
        <v>640</v>
      </c>
      <c r="FQ11" s="988" t="s">
        <v>640</v>
      </c>
      <c r="FR11" s="988" t="s">
        <v>640</v>
      </c>
      <c r="FS11" s="988" t="s">
        <v>640</v>
      </c>
      <c r="FT11" s="988" t="s">
        <v>640</v>
      </c>
      <c r="FU11" s="988" t="s">
        <v>640</v>
      </c>
      <c r="FV11" s="988" t="s">
        <v>640</v>
      </c>
      <c r="FW11" s="988" t="s">
        <v>640</v>
      </c>
      <c r="FX11" s="988" t="s">
        <v>640</v>
      </c>
      <c r="FY11" s="988" t="s">
        <v>640</v>
      </c>
      <c r="FZ11" s="988" t="s">
        <v>640</v>
      </c>
      <c r="GA11" s="988" t="s">
        <v>640</v>
      </c>
      <c r="GB11" s="988" t="s">
        <v>640</v>
      </c>
      <c r="GC11" s="988" t="s">
        <v>640</v>
      </c>
      <c r="GD11" s="988" t="s">
        <v>640</v>
      </c>
      <c r="GE11" s="988" t="s">
        <v>640</v>
      </c>
      <c r="GF11" s="988" t="s">
        <v>640</v>
      </c>
      <c r="GG11" s="988" t="s">
        <v>640</v>
      </c>
      <c r="GH11" s="988" t="s">
        <v>640</v>
      </c>
      <c r="GI11" s="988" t="s">
        <v>640</v>
      </c>
      <c r="GJ11" s="988" t="s">
        <v>640</v>
      </c>
      <c r="GK11" s="988" t="s">
        <v>640</v>
      </c>
      <c r="GL11" s="988" t="s">
        <v>640</v>
      </c>
      <c r="GM11" s="988" t="s">
        <v>640</v>
      </c>
      <c r="GN11" s="988" t="s">
        <v>640</v>
      </c>
      <c r="GO11" s="988" t="s">
        <v>640</v>
      </c>
      <c r="GP11" s="988" t="s">
        <v>640</v>
      </c>
      <c r="GQ11" s="997">
        <v>542.5</v>
      </c>
      <c r="GR11" s="997">
        <v>0</v>
      </c>
      <c r="GS11" s="997">
        <v>0</v>
      </c>
      <c r="GT11" s="997">
        <v>0</v>
      </c>
      <c r="GU11" s="997">
        <v>0</v>
      </c>
      <c r="GV11" s="997">
        <v>0</v>
      </c>
      <c r="GW11" s="997">
        <v>0</v>
      </c>
      <c r="GX11" s="997">
        <v>0</v>
      </c>
      <c r="GY11" s="997">
        <v>0</v>
      </c>
      <c r="GZ11" s="997">
        <v>0</v>
      </c>
      <c r="HA11" s="997">
        <v>0</v>
      </c>
      <c r="HB11" s="997">
        <v>0</v>
      </c>
      <c r="HC11" s="997">
        <v>0</v>
      </c>
      <c r="HD11" s="997">
        <v>0</v>
      </c>
      <c r="HE11" s="997">
        <v>0</v>
      </c>
      <c r="HF11" s="997">
        <v>0</v>
      </c>
      <c r="HG11" s="997">
        <v>0</v>
      </c>
      <c r="HH11" s="997">
        <v>0</v>
      </c>
      <c r="HI11" s="997">
        <v>0</v>
      </c>
      <c r="HJ11" s="997">
        <v>0</v>
      </c>
      <c r="HK11" s="997">
        <v>0</v>
      </c>
      <c r="HL11" s="997">
        <v>0</v>
      </c>
      <c r="HM11" s="997">
        <v>0</v>
      </c>
      <c r="HN11" s="997">
        <v>0</v>
      </c>
      <c r="HO11" s="997">
        <v>0</v>
      </c>
      <c r="HP11" s="997">
        <v>0</v>
      </c>
      <c r="HQ11" s="997">
        <v>0</v>
      </c>
      <c r="HR11" s="997">
        <v>0</v>
      </c>
      <c r="HS11" s="997">
        <v>0</v>
      </c>
      <c r="HT11" s="997">
        <v>0</v>
      </c>
      <c r="HU11" s="997">
        <v>0</v>
      </c>
      <c r="HV11" s="997">
        <v>0</v>
      </c>
      <c r="HW11" s="997">
        <v>0</v>
      </c>
      <c r="HX11" s="997">
        <v>0</v>
      </c>
      <c r="HY11" s="997">
        <v>0</v>
      </c>
      <c r="HZ11" s="997">
        <v>0</v>
      </c>
      <c r="IA11" s="997">
        <v>0</v>
      </c>
      <c r="IB11" s="997">
        <v>0</v>
      </c>
      <c r="IC11" s="997">
        <v>0</v>
      </c>
      <c r="ID11" s="997">
        <v>0</v>
      </c>
      <c r="IE11" s="997">
        <v>0</v>
      </c>
      <c r="IF11" s="997">
        <v>0</v>
      </c>
      <c r="IG11" s="997">
        <v>0</v>
      </c>
      <c r="IH11" s="997">
        <v>0</v>
      </c>
      <c r="II11" s="997">
        <v>0</v>
      </c>
      <c r="IJ11" s="997">
        <v>0</v>
      </c>
      <c r="IK11" s="997">
        <v>0</v>
      </c>
      <c r="IL11" s="997">
        <v>0</v>
      </c>
      <c r="IM11" s="997">
        <v>0</v>
      </c>
      <c r="IN11" s="997">
        <v>0</v>
      </c>
      <c r="IO11" s="997">
        <v>0</v>
      </c>
      <c r="IP11" s="997">
        <v>0</v>
      </c>
      <c r="IQ11" s="997">
        <v>0</v>
      </c>
      <c r="IR11" s="997">
        <v>0</v>
      </c>
      <c r="IS11" s="997">
        <v>0</v>
      </c>
      <c r="IT11" s="997">
        <v>0</v>
      </c>
      <c r="IU11" s="997">
        <v>0</v>
      </c>
      <c r="IV11" s="997">
        <v>0</v>
      </c>
      <c r="IW11" s="1019">
        <v>213.40125160701552</v>
      </c>
      <c r="IX11" s="1022">
        <v>179.9</v>
      </c>
      <c r="IY11" s="998">
        <v>2647.0800000000199</v>
      </c>
      <c r="IZ11" s="429">
        <v>12.64</v>
      </c>
      <c r="JA11" s="1022">
        <v>50</v>
      </c>
      <c r="JB11" s="988">
        <v>1.6</v>
      </c>
      <c r="JC11" s="988">
        <v>0.9</v>
      </c>
      <c r="JD11" s="988">
        <v>0.9</v>
      </c>
      <c r="JE11" s="998">
        <v>2</v>
      </c>
      <c r="JF11" s="1023">
        <v>1.5</v>
      </c>
      <c r="JG11" s="1023">
        <v>0.7</v>
      </c>
      <c r="JH11" s="1023">
        <v>0.7</v>
      </c>
      <c r="JI11" s="1023">
        <v>0.5</v>
      </c>
      <c r="JJ11" s="1019">
        <v>51.912290572117769</v>
      </c>
      <c r="JK11" s="998">
        <v>2647.0800000000199</v>
      </c>
      <c r="JL11" s="429">
        <v>12.64</v>
      </c>
      <c r="JM11" s="1022">
        <v>50</v>
      </c>
      <c r="JN11" s="988">
        <v>2.2000000000000002</v>
      </c>
      <c r="JO11" s="988">
        <v>1.5</v>
      </c>
      <c r="JP11" s="988">
        <v>1.5</v>
      </c>
      <c r="JQ11" s="998">
        <v>2</v>
      </c>
      <c r="JR11" s="998">
        <v>2</v>
      </c>
      <c r="JS11" s="998">
        <v>1</v>
      </c>
      <c r="JT11" s="998">
        <v>1</v>
      </c>
      <c r="JU11" s="1023">
        <v>0.5</v>
      </c>
      <c r="JV11" s="1004">
        <v>2000</v>
      </c>
      <c r="JW11" s="1019">
        <v>114.97228988217823</v>
      </c>
      <c r="JX11" s="1019">
        <v>500</v>
      </c>
      <c r="JY11" s="1022">
        <v>1.3</v>
      </c>
      <c r="JZ11" s="1022">
        <v>0.9</v>
      </c>
      <c r="KA11" s="1022">
        <v>0.9</v>
      </c>
      <c r="KB11" s="1023">
        <v>2</v>
      </c>
      <c r="KC11" s="1023">
        <v>1.5</v>
      </c>
      <c r="KD11" s="1023">
        <v>0.5</v>
      </c>
      <c r="KE11" s="1023">
        <v>1</v>
      </c>
      <c r="KF11" s="1023">
        <v>0.5</v>
      </c>
      <c r="KG11" s="997"/>
      <c r="KH11" s="997"/>
      <c r="KI11" s="997"/>
      <c r="KJ11" s="997"/>
      <c r="KK11" s="997"/>
      <c r="KL11" s="997"/>
      <c r="KM11" s="997"/>
      <c r="KN11" s="997"/>
      <c r="KO11" s="997"/>
      <c r="KP11" s="1006">
        <v>580</v>
      </c>
      <c r="KQ11" s="1006">
        <v>580</v>
      </c>
      <c r="KR11" s="1006">
        <v>580</v>
      </c>
      <c r="KS11" s="1006">
        <v>580</v>
      </c>
      <c r="KT11" s="1006"/>
      <c r="KU11" s="1006">
        <v>580</v>
      </c>
      <c r="KV11" s="1006">
        <v>580</v>
      </c>
      <c r="KW11" s="1006">
        <v>580</v>
      </c>
      <c r="KX11" s="1006">
        <v>580</v>
      </c>
      <c r="KY11" s="993">
        <v>370</v>
      </c>
      <c r="KZ11" s="993">
        <v>370</v>
      </c>
      <c r="LA11" s="993">
        <v>370</v>
      </c>
      <c r="LB11" s="993">
        <v>370</v>
      </c>
      <c r="LC11" s="993"/>
      <c r="LD11" s="993">
        <v>370</v>
      </c>
      <c r="LE11" s="993">
        <v>370</v>
      </c>
      <c r="LF11" s="993">
        <v>370</v>
      </c>
      <c r="LG11" s="993">
        <v>370</v>
      </c>
      <c r="LH11" s="995">
        <v>0</v>
      </c>
      <c r="LI11" s="995">
        <v>10</v>
      </c>
      <c r="LJ11" s="995">
        <v>20</v>
      </c>
      <c r="LK11" s="995">
        <v>70</v>
      </c>
      <c r="LL11" s="995">
        <v>100</v>
      </c>
      <c r="LM11" s="1004">
        <v>1000</v>
      </c>
      <c r="LN11" s="1019">
        <v>904.49744583569725</v>
      </c>
      <c r="LO11" s="988">
        <v>29</v>
      </c>
      <c r="LP11" s="988">
        <v>1.8</v>
      </c>
      <c r="LQ11" s="988">
        <v>1.1000000000000001</v>
      </c>
      <c r="LR11" s="988">
        <v>1.1000000000000001</v>
      </c>
      <c r="LS11" s="1023">
        <v>2</v>
      </c>
      <c r="LT11" s="1023">
        <v>1</v>
      </c>
      <c r="LU11" s="1023">
        <v>0.5</v>
      </c>
      <c r="LV11" s="1023">
        <v>0.7</v>
      </c>
      <c r="LW11" s="1023">
        <v>0.2</v>
      </c>
      <c r="LX11" s="1004">
        <v>1500</v>
      </c>
      <c r="LY11" s="1008">
        <v>500</v>
      </c>
      <c r="LZ11" s="1008">
        <v>1</v>
      </c>
      <c r="MA11" s="997" t="s">
        <v>2914</v>
      </c>
      <c r="MB11" s="1023" t="s">
        <v>905</v>
      </c>
      <c r="MC11" s="1023" t="s">
        <v>2932</v>
      </c>
      <c r="MD11" s="1024" t="s">
        <v>906</v>
      </c>
      <c r="ME11" s="1009">
        <v>0.5</v>
      </c>
      <c r="MF11" s="1010">
        <v>0.75</v>
      </c>
      <c r="MG11" s="1010">
        <v>1</v>
      </c>
      <c r="MH11" s="1010">
        <v>2</v>
      </c>
      <c r="MI11" s="1010">
        <v>0.5</v>
      </c>
      <c r="MJ11" s="1010">
        <v>0.75</v>
      </c>
      <c r="MK11" s="1010">
        <v>1</v>
      </c>
      <c r="ML11" s="1010">
        <v>2</v>
      </c>
      <c r="MM11" s="1010">
        <v>0</v>
      </c>
      <c r="MN11" s="1010">
        <v>0.5</v>
      </c>
      <c r="MO11" s="1010">
        <v>1</v>
      </c>
      <c r="MP11" s="1010">
        <v>2</v>
      </c>
      <c r="MQ11" s="1010">
        <v>0</v>
      </c>
      <c r="MR11" s="1010">
        <v>0.5</v>
      </c>
      <c r="MS11" s="1010">
        <v>1</v>
      </c>
      <c r="MT11" s="1010">
        <v>2</v>
      </c>
      <c r="MU11" s="1001">
        <v>0</v>
      </c>
      <c r="MV11" s="1001">
        <v>0</v>
      </c>
      <c r="MW11" s="1001">
        <v>0</v>
      </c>
      <c r="MX11" s="1025">
        <v>0</v>
      </c>
      <c r="MY11" s="1025">
        <v>0</v>
      </c>
      <c r="MZ11" s="1025">
        <v>0</v>
      </c>
      <c r="NA11" s="1025">
        <v>0</v>
      </c>
      <c r="NB11" s="1025">
        <v>0</v>
      </c>
      <c r="NC11" s="1025">
        <v>0</v>
      </c>
      <c r="ND11" s="1025">
        <v>0</v>
      </c>
      <c r="NE11" s="1025">
        <v>0</v>
      </c>
      <c r="NF11" s="1025">
        <v>0</v>
      </c>
      <c r="NG11" s="1025">
        <v>0</v>
      </c>
      <c r="NH11" s="1025">
        <v>0</v>
      </c>
      <c r="NI11" s="1025">
        <v>0</v>
      </c>
      <c r="NJ11" s="1025">
        <v>0</v>
      </c>
      <c r="NK11" s="1025">
        <v>0</v>
      </c>
      <c r="NL11" s="1025">
        <v>0</v>
      </c>
      <c r="NM11" s="1025">
        <v>0</v>
      </c>
      <c r="NN11" s="1025">
        <v>0</v>
      </c>
      <c r="NO11" s="1025">
        <v>0</v>
      </c>
      <c r="NP11" s="1025">
        <v>0</v>
      </c>
      <c r="NQ11" s="1025">
        <v>0</v>
      </c>
      <c r="NR11" s="1025">
        <v>0</v>
      </c>
      <c r="NS11" s="1025">
        <v>0</v>
      </c>
      <c r="NT11" s="1025">
        <v>0</v>
      </c>
      <c r="NU11" s="1025">
        <v>0</v>
      </c>
      <c r="NV11" s="1025">
        <v>2.2030230349314199</v>
      </c>
      <c r="NW11" s="1025">
        <v>0</v>
      </c>
      <c r="NX11" s="1025">
        <v>0</v>
      </c>
      <c r="NY11" s="1025">
        <v>0.51100000000000001</v>
      </c>
      <c r="NZ11" s="1025">
        <v>-0.29339782528688002</v>
      </c>
      <c r="OA11" s="1025">
        <v>0</v>
      </c>
      <c r="OB11" s="1025">
        <v>2.0759775675122101</v>
      </c>
      <c r="OC11" s="1025">
        <v>0</v>
      </c>
      <c r="OD11" s="1025">
        <v>0</v>
      </c>
      <c r="OE11" s="1025">
        <v>0.51100000000000001</v>
      </c>
      <c r="OF11" s="1025">
        <v>-0.85831741115769</v>
      </c>
      <c r="OG11" s="1025">
        <v>0</v>
      </c>
      <c r="OH11" s="1025">
        <v>0</v>
      </c>
      <c r="OI11" s="1025">
        <v>0</v>
      </c>
      <c r="OJ11" s="1025">
        <v>0</v>
      </c>
      <c r="OK11" s="1025">
        <v>0</v>
      </c>
      <c r="OL11" s="1025">
        <v>0</v>
      </c>
      <c r="OM11" s="1025">
        <v>0</v>
      </c>
      <c r="ON11" s="1025">
        <v>0</v>
      </c>
      <c r="OO11" s="1025">
        <v>0</v>
      </c>
      <c r="OP11" s="1025">
        <v>0</v>
      </c>
      <c r="OQ11" s="1025">
        <v>0</v>
      </c>
      <c r="OR11" s="1025">
        <v>0</v>
      </c>
      <c r="OS11" s="1025">
        <v>0</v>
      </c>
      <c r="OT11" s="1025">
        <v>2.3909822546716399</v>
      </c>
      <c r="OU11" s="1025">
        <v>0</v>
      </c>
      <c r="OV11" s="1025">
        <v>0</v>
      </c>
      <c r="OW11" s="1025">
        <v>0.51100000000000001</v>
      </c>
      <c r="OX11" s="1025">
        <v>0.503</v>
      </c>
      <c r="OY11" s="1025">
        <v>0</v>
      </c>
      <c r="OZ11" s="1025">
        <v>-84.83</v>
      </c>
      <c r="PA11" s="1025">
        <v>-20.2</v>
      </c>
      <c r="PB11" s="1025">
        <v>0</v>
      </c>
      <c r="PC11" s="1025">
        <v>0</v>
      </c>
      <c r="PD11" s="1025">
        <v>0</v>
      </c>
      <c r="PE11" s="1025">
        <v>0</v>
      </c>
      <c r="PF11" s="1025">
        <v>1.4618833757669999E-2</v>
      </c>
      <c r="PG11" s="1025">
        <v>0</v>
      </c>
      <c r="PH11" s="1025">
        <v>0</v>
      </c>
      <c r="PI11" s="1025">
        <v>0</v>
      </c>
      <c r="PJ11" s="1025">
        <v>-0.58089471820883998</v>
      </c>
      <c r="PK11" s="1025">
        <v>0</v>
      </c>
      <c r="PL11" s="1025">
        <v>0</v>
      </c>
      <c r="PM11" s="1025">
        <v>0</v>
      </c>
      <c r="PN11" s="1025">
        <v>0</v>
      </c>
      <c r="PO11" s="1025">
        <v>0</v>
      </c>
      <c r="PP11" s="1025">
        <v>0</v>
      </c>
      <c r="PQ11" s="1025">
        <v>0</v>
      </c>
      <c r="PR11" s="1025">
        <v>0</v>
      </c>
      <c r="PS11" s="1025">
        <v>0</v>
      </c>
      <c r="PT11" s="1025">
        <v>0</v>
      </c>
      <c r="PU11" s="1025">
        <v>0</v>
      </c>
      <c r="PV11" s="1025">
        <v>0</v>
      </c>
      <c r="PW11" s="1025">
        <v>0</v>
      </c>
      <c r="PX11" s="1025">
        <v>0</v>
      </c>
      <c r="PY11" s="1025">
        <v>0</v>
      </c>
      <c r="PZ11" s="1025">
        <v>0</v>
      </c>
      <c r="QA11" s="1025">
        <v>0</v>
      </c>
      <c r="QB11" s="1025">
        <v>0</v>
      </c>
      <c r="QC11" s="1025">
        <v>0</v>
      </c>
      <c r="QD11" s="1025">
        <v>-84.83</v>
      </c>
      <c r="QE11" s="1025">
        <v>-20.2</v>
      </c>
      <c r="QF11" s="1025">
        <v>0</v>
      </c>
      <c r="QG11" s="1025">
        <v>0</v>
      </c>
      <c r="QH11" s="1025">
        <v>0</v>
      </c>
      <c r="QI11" s="1025">
        <v>0</v>
      </c>
      <c r="QJ11" s="1025">
        <v>1.2083968344819999E-2</v>
      </c>
      <c r="QK11" s="1025">
        <v>0</v>
      </c>
      <c r="QL11" s="1025">
        <v>0</v>
      </c>
      <c r="QM11" s="1025">
        <v>0</v>
      </c>
      <c r="QN11" s="1025">
        <v>0.54533469762231002</v>
      </c>
      <c r="QO11" s="1025">
        <v>0</v>
      </c>
      <c r="QP11" s="1025">
        <v>0</v>
      </c>
      <c r="QQ11" s="1025">
        <v>0</v>
      </c>
      <c r="QR11" s="1025">
        <v>0</v>
      </c>
      <c r="QS11" s="1025">
        <v>0</v>
      </c>
      <c r="QT11" s="1025">
        <v>0</v>
      </c>
      <c r="QU11" s="1025">
        <v>0</v>
      </c>
      <c r="QV11" s="1025">
        <v>0</v>
      </c>
      <c r="QW11" s="1025">
        <v>0</v>
      </c>
      <c r="QX11" s="1025">
        <v>0</v>
      </c>
      <c r="QY11" s="1025">
        <v>0</v>
      </c>
      <c r="QZ11" s="1025">
        <v>0</v>
      </c>
      <c r="RA11" s="1025">
        <v>0</v>
      </c>
      <c r="RB11" s="1025">
        <v>1.3127329477682701</v>
      </c>
      <c r="RC11" s="1025">
        <v>0</v>
      </c>
      <c r="RD11" s="1025">
        <v>0</v>
      </c>
      <c r="RE11" s="1025">
        <v>0</v>
      </c>
      <c r="RF11" s="1025">
        <v>1.75824550855553</v>
      </c>
      <c r="RG11" s="1025">
        <v>0</v>
      </c>
      <c r="RH11" s="1011">
        <v>0</v>
      </c>
      <c r="RI11" s="1026">
        <v>0</v>
      </c>
      <c r="RJ11" s="1026">
        <v>0</v>
      </c>
      <c r="RK11" s="1026">
        <v>0</v>
      </c>
      <c r="RL11" s="1026">
        <v>0</v>
      </c>
      <c r="RM11" s="1011">
        <v>0</v>
      </c>
      <c r="RN11" s="1011">
        <v>0</v>
      </c>
      <c r="RO11" s="1011">
        <v>0</v>
      </c>
      <c r="RP11" s="1011">
        <v>0</v>
      </c>
      <c r="RQ11" s="1011">
        <v>0</v>
      </c>
      <c r="RR11" s="1011">
        <v>0</v>
      </c>
      <c r="RS11" s="1011">
        <v>0</v>
      </c>
      <c r="RT11" s="1011">
        <v>0</v>
      </c>
      <c r="RU11" s="1011">
        <v>0</v>
      </c>
      <c r="RV11" s="1011">
        <v>0</v>
      </c>
      <c r="RW11" s="1011">
        <v>0</v>
      </c>
      <c r="RX11" s="1011">
        <v>0</v>
      </c>
      <c r="RY11" s="1011">
        <v>0</v>
      </c>
      <c r="RZ11" s="1026">
        <v>0</v>
      </c>
      <c r="SA11" s="1026">
        <v>0</v>
      </c>
      <c r="SB11" s="1026">
        <v>0</v>
      </c>
      <c r="SC11" s="1026">
        <v>0</v>
      </c>
      <c r="SD11" s="1026">
        <v>0</v>
      </c>
      <c r="SE11" s="1026">
        <v>0</v>
      </c>
      <c r="SF11" s="1026">
        <v>-7.7334152355890001E-2</v>
      </c>
      <c r="SG11" s="1026">
        <v>0</v>
      </c>
      <c r="SH11" s="1026">
        <v>0</v>
      </c>
      <c r="SI11" s="1026">
        <v>0</v>
      </c>
      <c r="SJ11" s="1026">
        <v>-4.3482455085555296</v>
      </c>
      <c r="SK11" s="1026">
        <v>0</v>
      </c>
      <c r="SL11" s="1025">
        <v>-84.83</v>
      </c>
      <c r="SM11" s="1025">
        <v>-20.2</v>
      </c>
      <c r="SN11" s="1025">
        <v>-1.72719758473841</v>
      </c>
      <c r="SO11" s="1025">
        <v>0</v>
      </c>
      <c r="SP11" s="1025">
        <v>-2.3528593492484</v>
      </c>
      <c r="SQ11" s="1025">
        <v>0</v>
      </c>
      <c r="SR11" s="1025">
        <v>-8.9597207796080006E-2</v>
      </c>
      <c r="SS11" s="1025">
        <v>0</v>
      </c>
      <c r="ST11" s="1025">
        <v>0</v>
      </c>
      <c r="SU11" s="1025">
        <v>0</v>
      </c>
      <c r="SV11" s="1025">
        <v>-2.6462254099281499</v>
      </c>
      <c r="SW11" s="1025">
        <v>0</v>
      </c>
      <c r="SX11" s="1025">
        <v>-0.16239203916711001</v>
      </c>
      <c r="SY11" s="1025">
        <v>0</v>
      </c>
      <c r="SZ11" s="1025">
        <v>0</v>
      </c>
      <c r="TA11" s="1025">
        <v>0</v>
      </c>
      <c r="TB11" s="1025">
        <v>-3.1811617841392699</v>
      </c>
      <c r="TC11" s="1025">
        <v>0</v>
      </c>
      <c r="TD11" s="1025">
        <v>0</v>
      </c>
      <c r="TE11" s="1025">
        <v>0</v>
      </c>
      <c r="TF11" s="1025">
        <v>0</v>
      </c>
      <c r="TG11" s="1025">
        <v>0</v>
      </c>
      <c r="TH11" s="1025">
        <v>0</v>
      </c>
      <c r="TI11" s="1025">
        <v>0</v>
      </c>
      <c r="TJ11" s="1025">
        <v>2.3814695302979999E-2</v>
      </c>
      <c r="TK11" s="1025">
        <v>0</v>
      </c>
      <c r="TL11" s="1025">
        <v>0</v>
      </c>
      <c r="TM11" s="1025">
        <v>0</v>
      </c>
      <c r="TN11" s="1025">
        <v>-1.8498593492484099</v>
      </c>
      <c r="TO11" s="1025">
        <v>0</v>
      </c>
      <c r="TP11" s="1025">
        <v>-84.83</v>
      </c>
      <c r="TQ11" s="1025">
        <v>-20.2</v>
      </c>
      <c r="TR11" s="1025">
        <v>0</v>
      </c>
      <c r="TS11" s="1025">
        <v>0</v>
      </c>
      <c r="TT11" s="1025">
        <v>0</v>
      </c>
      <c r="TU11" s="1025">
        <v>0</v>
      </c>
      <c r="TV11" s="1025">
        <v>0</v>
      </c>
      <c r="TW11" s="1025">
        <v>0</v>
      </c>
      <c r="TX11" s="1025">
        <v>0</v>
      </c>
      <c r="TY11" s="1025">
        <v>0</v>
      </c>
      <c r="TZ11" s="1025">
        <v>0</v>
      </c>
      <c r="UA11" s="1025">
        <v>0</v>
      </c>
      <c r="UB11" s="1025">
        <v>0</v>
      </c>
      <c r="UC11" s="1025">
        <v>0</v>
      </c>
      <c r="UD11" s="1025">
        <v>0</v>
      </c>
      <c r="UE11" s="1025">
        <v>0</v>
      </c>
      <c r="UF11" s="1025">
        <v>0</v>
      </c>
      <c r="UG11" s="1025">
        <v>0</v>
      </c>
      <c r="UH11" s="1025">
        <v>0</v>
      </c>
      <c r="UI11" s="1025">
        <v>0</v>
      </c>
      <c r="UJ11" s="1025">
        <v>0</v>
      </c>
      <c r="UK11" s="1025">
        <v>0</v>
      </c>
      <c r="UL11" s="1025">
        <v>0</v>
      </c>
      <c r="UM11" s="1025">
        <v>0</v>
      </c>
      <c r="UN11" s="1025">
        <v>0</v>
      </c>
      <c r="UO11" s="1025">
        <v>0</v>
      </c>
      <c r="UP11" s="1025">
        <v>0</v>
      </c>
      <c r="UQ11" s="1025">
        <v>0</v>
      </c>
      <c r="UR11" s="1025">
        <v>0</v>
      </c>
      <c r="US11" s="1025">
        <v>0</v>
      </c>
      <c r="UT11" s="1025">
        <v>0.46256916564597</v>
      </c>
      <c r="UU11" s="1025">
        <v>0</v>
      </c>
      <c r="UV11" s="1025">
        <v>3.8695266936430002E-2</v>
      </c>
      <c r="UW11" s="1025">
        <v>0</v>
      </c>
      <c r="UX11" s="1025">
        <v>0</v>
      </c>
      <c r="UY11" s="1025">
        <v>0</v>
      </c>
      <c r="UZ11" s="1025">
        <v>-8.6197296875900001E-3</v>
      </c>
      <c r="VA11" s="1025">
        <v>0</v>
      </c>
      <c r="VB11" s="1025">
        <v>0</v>
      </c>
      <c r="VC11" s="1025">
        <v>0</v>
      </c>
      <c r="VD11" s="1025">
        <v>5.23938012557E-2</v>
      </c>
      <c r="VE11" s="1025">
        <v>0</v>
      </c>
      <c r="VF11" s="1025">
        <v>5.1491245931000005E-4</v>
      </c>
      <c r="VG11" s="1025">
        <v>0</v>
      </c>
      <c r="VH11" s="1025">
        <v>0</v>
      </c>
      <c r="VI11" s="1025">
        <v>0</v>
      </c>
      <c r="VJ11" s="1025">
        <v>-6.8496779180199996E-3</v>
      </c>
      <c r="VK11" s="1025">
        <v>0</v>
      </c>
      <c r="VL11" s="1025">
        <v>0</v>
      </c>
      <c r="VM11" s="1025">
        <v>0</v>
      </c>
      <c r="VN11" s="1025">
        <v>0</v>
      </c>
      <c r="VO11" s="1025">
        <v>0</v>
      </c>
      <c r="VP11" s="1025">
        <v>0</v>
      </c>
      <c r="VQ11" s="1025">
        <v>0</v>
      </c>
      <c r="VR11" s="1010">
        <v>0</v>
      </c>
      <c r="VS11" s="1010">
        <v>0</v>
      </c>
      <c r="VT11" s="1010">
        <v>0</v>
      </c>
      <c r="VU11" s="1010">
        <v>0</v>
      </c>
      <c r="VV11" s="1010">
        <v>0</v>
      </c>
      <c r="VW11" s="1010">
        <v>0</v>
      </c>
      <c r="VX11" s="1025">
        <v>0</v>
      </c>
      <c r="VY11" s="1025">
        <v>0</v>
      </c>
      <c r="VZ11" s="1025">
        <v>0</v>
      </c>
      <c r="WA11" s="1025">
        <v>0</v>
      </c>
      <c r="WB11" s="1025">
        <v>0</v>
      </c>
      <c r="WC11" s="1025">
        <v>0</v>
      </c>
      <c r="WD11" s="995">
        <v>202</v>
      </c>
      <c r="WE11" s="995">
        <v>267</v>
      </c>
      <c r="WF11" s="995">
        <v>354</v>
      </c>
      <c r="WG11" s="995">
        <v>382</v>
      </c>
      <c r="WH11" s="995">
        <v>403</v>
      </c>
      <c r="WI11" s="995">
        <v>0</v>
      </c>
      <c r="WJ11" s="995">
        <v>1300</v>
      </c>
      <c r="WK11" s="1001">
        <v>0</v>
      </c>
      <c r="WL11" s="1001">
        <v>0</v>
      </c>
      <c r="WM11" s="1001">
        <v>0</v>
      </c>
      <c r="WN11" s="1001">
        <v>0</v>
      </c>
      <c r="WO11" s="1001">
        <v>0</v>
      </c>
      <c r="WP11" s="1001">
        <v>0</v>
      </c>
      <c r="WQ11" s="1001">
        <v>0</v>
      </c>
      <c r="WR11" s="1001">
        <v>0</v>
      </c>
      <c r="WS11" s="1001">
        <v>0</v>
      </c>
      <c r="WT11" s="1001">
        <v>0</v>
      </c>
      <c r="WU11" s="1001">
        <v>0</v>
      </c>
      <c r="WV11" s="1001">
        <v>0</v>
      </c>
      <c r="WW11" s="1001">
        <v>0</v>
      </c>
      <c r="WX11" s="1001">
        <v>0</v>
      </c>
      <c r="WY11" s="1001">
        <v>0</v>
      </c>
      <c r="WZ11" s="1001">
        <v>0</v>
      </c>
      <c r="XA11" s="1001">
        <v>0</v>
      </c>
      <c r="XB11" s="1001">
        <v>0</v>
      </c>
      <c r="XC11" s="1001">
        <v>0</v>
      </c>
      <c r="XD11" s="1001">
        <v>0</v>
      </c>
      <c r="XE11" s="1001">
        <v>0</v>
      </c>
      <c r="XF11" s="1001">
        <v>0</v>
      </c>
      <c r="XG11" s="1001">
        <v>0</v>
      </c>
      <c r="XH11" s="1001">
        <v>0</v>
      </c>
      <c r="XI11" s="1001">
        <v>0</v>
      </c>
      <c r="XJ11" s="1001">
        <v>0</v>
      </c>
      <c r="XK11" s="1001">
        <v>0</v>
      </c>
      <c r="XL11" s="1001">
        <v>0</v>
      </c>
      <c r="XM11" s="1001">
        <v>0</v>
      </c>
      <c r="XN11" s="1001">
        <v>0</v>
      </c>
      <c r="XO11" s="1001">
        <v>0</v>
      </c>
      <c r="XP11" s="1001">
        <v>0</v>
      </c>
      <c r="XQ11" s="1001">
        <v>0</v>
      </c>
      <c r="XR11" s="1027">
        <v>73.070999999999998</v>
      </c>
      <c r="XS11" s="1013">
        <v>57.968643006263044</v>
      </c>
      <c r="XT11" s="1013">
        <v>64.07060542797494</v>
      </c>
      <c r="XU11" s="1013">
        <v>67.121586638830891</v>
      </c>
      <c r="XV11" s="1013">
        <v>103.12316492693111</v>
      </c>
      <c r="XW11" s="1028">
        <v>7938.2257200000004</v>
      </c>
      <c r="XX11" s="1013">
        <v>82</v>
      </c>
      <c r="XY11" s="1013">
        <v>9</v>
      </c>
      <c r="XZ11" s="1013">
        <v>9</v>
      </c>
      <c r="YA11" s="1029">
        <v>0</v>
      </c>
      <c r="YB11" s="1013">
        <v>791.21396967379678</v>
      </c>
      <c r="YC11" s="1013">
        <v>0</v>
      </c>
      <c r="YD11" s="1013">
        <v>0</v>
      </c>
      <c r="YE11" s="1013">
        <v>0</v>
      </c>
      <c r="YF11" s="1013">
        <v>0</v>
      </c>
      <c r="YG11" s="1013">
        <v>0</v>
      </c>
      <c r="YH11" s="1013">
        <v>636.83075607890976</v>
      </c>
      <c r="YI11" s="1013">
        <v>289.46852549041347</v>
      </c>
      <c r="YJ11" s="1013">
        <v>848.77907273055916</v>
      </c>
      <c r="YK11" s="1013">
        <v>0</v>
      </c>
      <c r="YL11" s="1013">
        <v>0</v>
      </c>
      <c r="YM11" s="1013">
        <v>0</v>
      </c>
      <c r="YN11" s="1013">
        <v>0</v>
      </c>
      <c r="YO11" s="1013">
        <v>0</v>
      </c>
      <c r="YP11" s="1013">
        <v>683.16364390508431</v>
      </c>
      <c r="YQ11" s="1013">
        <v>310.52892904776559</v>
      </c>
      <c r="YR11" s="1013">
        <v>889.19712381296677</v>
      </c>
      <c r="YS11" s="1013">
        <v>0</v>
      </c>
      <c r="YT11" s="1013">
        <v>0</v>
      </c>
      <c r="YU11" s="1013">
        <v>0</v>
      </c>
      <c r="YV11" s="1013">
        <v>0</v>
      </c>
      <c r="YW11" s="1013">
        <v>0</v>
      </c>
      <c r="YX11" s="1013">
        <v>715.69524599580257</v>
      </c>
      <c r="YY11" s="1013">
        <v>325.31602090718297</v>
      </c>
      <c r="YZ11" s="1013">
        <v>1366.1301265853763</v>
      </c>
      <c r="ZA11" s="1013">
        <v>0</v>
      </c>
      <c r="ZB11" s="1013">
        <v>0</v>
      </c>
      <c r="ZC11" s="1013">
        <v>0</v>
      </c>
      <c r="ZD11" s="1013">
        <v>0</v>
      </c>
      <c r="ZE11" s="1013">
        <v>0</v>
      </c>
      <c r="ZF11" s="1013">
        <v>1099.5681506662786</v>
      </c>
      <c r="ZG11" s="1013">
        <v>499.80370484830837</v>
      </c>
      <c r="ZH11" s="1013">
        <v>970.204152146669</v>
      </c>
      <c r="ZI11" s="1013">
        <v>70.990547718048958</v>
      </c>
      <c r="ZJ11" s="1013">
        <v>23.663515906016318</v>
      </c>
      <c r="ZK11" s="1013">
        <v>165.64461134211425</v>
      </c>
      <c r="ZL11" s="1013">
        <v>0</v>
      </c>
      <c r="ZM11" s="1013">
        <v>0</v>
      </c>
      <c r="ZN11" s="1013">
        <v>780.8960248985386</v>
      </c>
      <c r="ZO11" s="1013">
        <v>354.95273859024479</v>
      </c>
      <c r="ZP11" s="1013">
        <v>1040.7917607393833</v>
      </c>
      <c r="ZQ11" s="1013">
        <v>76.155494688247572</v>
      </c>
      <c r="ZR11" s="1013">
        <v>25.385164896082525</v>
      </c>
      <c r="ZS11" s="1013">
        <v>177.69615427257767</v>
      </c>
      <c r="ZT11" s="1013">
        <v>0</v>
      </c>
      <c r="ZU11" s="1013">
        <v>0</v>
      </c>
      <c r="ZV11" s="1013">
        <v>837.71044157072333</v>
      </c>
      <c r="ZW11" s="1013">
        <v>380.77747344123787</v>
      </c>
      <c r="ZX11" s="1013">
        <v>1090.3532731555447</v>
      </c>
      <c r="ZY11" s="1013">
        <v>79.781946816259364</v>
      </c>
      <c r="ZZ11" s="1013">
        <v>26.593982272086457</v>
      </c>
      <c r="AAA11" s="1013">
        <v>186.15787590460519</v>
      </c>
      <c r="AAB11" s="1013">
        <v>0</v>
      </c>
      <c r="AAC11" s="1013">
        <v>0</v>
      </c>
      <c r="AAD11" s="1013">
        <v>877.60141497885309</v>
      </c>
      <c r="AAE11" s="1013">
        <v>398.90973408129679</v>
      </c>
      <c r="AAF11" s="1013">
        <v>1675.1791196662459</v>
      </c>
      <c r="AAG11" s="1013">
        <v>122.57408192679848</v>
      </c>
      <c r="AAH11" s="1013">
        <v>40.858027308932826</v>
      </c>
      <c r="AAI11" s="1013">
        <v>286.00619116252983</v>
      </c>
      <c r="AAJ11" s="1013">
        <v>0</v>
      </c>
      <c r="AAK11" s="1013">
        <v>0</v>
      </c>
      <c r="AAL11" s="1013">
        <v>1348.3149011947835</v>
      </c>
      <c r="AAM11" s="1013">
        <v>612.87040963399238</v>
      </c>
      <c r="AAN11" s="1013">
        <v>2581.9949210354903</v>
      </c>
      <c r="AAO11" s="1013">
        <v>188.92645763674321</v>
      </c>
      <c r="AAP11" s="1013">
        <v>62.975485878914405</v>
      </c>
      <c r="AAQ11" s="1013">
        <v>440.82840115240089</v>
      </c>
      <c r="AAR11" s="1013">
        <v>0</v>
      </c>
      <c r="AAS11" s="1013">
        <v>0</v>
      </c>
      <c r="AAT11" s="1013">
        <v>2078.1910340041754</v>
      </c>
      <c r="AAU11" s="1013">
        <v>944.63228818371601</v>
      </c>
      <c r="AAV11" s="1013">
        <v>2853.7838600918581</v>
      </c>
      <c r="AAW11" s="1013">
        <v>208.81345317745303</v>
      </c>
      <c r="AAX11" s="1013">
        <v>69.604484392484352</v>
      </c>
      <c r="AAY11" s="1013">
        <v>487.23139074739049</v>
      </c>
      <c r="AAZ11" s="1013">
        <v>0</v>
      </c>
      <c r="ABA11" s="1013">
        <v>0</v>
      </c>
      <c r="ABB11" s="1013">
        <v>2296.9479849519835</v>
      </c>
      <c r="ABC11" s="1013">
        <v>1044.0672658872652</v>
      </c>
      <c r="ABD11" s="1013">
        <v>2989.6783296200415</v>
      </c>
      <c r="ABE11" s="1013">
        <v>218.75695094780792</v>
      </c>
      <c r="ABF11" s="1013">
        <v>72.918983649269308</v>
      </c>
      <c r="ABG11" s="1013">
        <v>510.43288554488521</v>
      </c>
      <c r="ABH11" s="1013">
        <v>0</v>
      </c>
      <c r="ABI11" s="1013">
        <v>0</v>
      </c>
      <c r="ABJ11" s="1013">
        <v>2406.3264604258875</v>
      </c>
      <c r="ABK11" s="1013">
        <v>1093.7847547390397</v>
      </c>
      <c r="ABL11" s="1013">
        <v>4593.2330700526099</v>
      </c>
      <c r="ABM11" s="1013">
        <v>336.09022463799585</v>
      </c>
      <c r="ABN11" s="1013">
        <v>112.03007487933195</v>
      </c>
      <c r="ABO11" s="1013">
        <v>784.2105241553237</v>
      </c>
      <c r="ABP11" s="1013">
        <v>0</v>
      </c>
      <c r="ABQ11" s="1013">
        <v>0</v>
      </c>
      <c r="ABR11" s="1013">
        <v>3696.9924710179544</v>
      </c>
      <c r="ABS11" s="1013">
        <v>1680.4511231899792</v>
      </c>
      <c r="ABT11" s="1013">
        <v>3552.1990731821597</v>
      </c>
      <c r="ABU11" s="1013">
        <v>259.9170053547922</v>
      </c>
      <c r="ABV11" s="1013">
        <v>86.639001784930741</v>
      </c>
      <c r="ABW11" s="1013">
        <v>606.47301249451516</v>
      </c>
      <c r="ABX11" s="1013">
        <v>0</v>
      </c>
      <c r="ABY11" s="1013">
        <v>0</v>
      </c>
      <c r="ABZ11" s="1013">
        <v>2859.0870589027145</v>
      </c>
      <c r="ACA11" s="1013">
        <v>1299.5850267739609</v>
      </c>
      <c r="ACB11" s="1013">
        <v>3760.2799097680954</v>
      </c>
      <c r="ACC11" s="1013">
        <v>275.14243242205578</v>
      </c>
      <c r="ACD11" s="1013">
        <v>91.714144140685264</v>
      </c>
      <c r="ACE11" s="1013">
        <v>641.99900898479689</v>
      </c>
      <c r="ACF11" s="1013">
        <v>0</v>
      </c>
      <c r="ACG11" s="1013">
        <v>0</v>
      </c>
      <c r="ACH11" s="1013">
        <v>3026.5667566426137</v>
      </c>
      <c r="ACI11" s="1013">
        <v>1375.7121621102788</v>
      </c>
      <c r="ACJ11" s="1013">
        <v>3939.3408578522904</v>
      </c>
      <c r="ACK11" s="1013">
        <v>288.24445301358224</v>
      </c>
      <c r="ACL11" s="1013">
        <v>96.081484337860743</v>
      </c>
      <c r="ACM11" s="1013">
        <v>672.57039036502533</v>
      </c>
      <c r="ACN11" s="1013">
        <v>0</v>
      </c>
      <c r="ACO11" s="1013">
        <v>0</v>
      </c>
      <c r="ACP11" s="1013">
        <v>3170.688983149405</v>
      </c>
      <c r="ACQ11" s="1013">
        <v>1441.2222650679112</v>
      </c>
      <c r="ACR11" s="1013">
        <v>6052.2600452457918</v>
      </c>
      <c r="ACS11" s="1013">
        <v>442.84829599359449</v>
      </c>
      <c r="ACT11" s="1013">
        <v>147.61609866453151</v>
      </c>
      <c r="ACU11" s="1013">
        <v>1033.3126906517207</v>
      </c>
      <c r="ACV11" s="1013">
        <v>0</v>
      </c>
      <c r="ACW11" s="1013">
        <v>0</v>
      </c>
      <c r="ACX11" s="1013">
        <v>4871.33125592954</v>
      </c>
      <c r="ACY11" s="1013">
        <v>2214.2414799679727</v>
      </c>
      <c r="ACZ11" s="1013">
        <v>4600.6454956632379</v>
      </c>
      <c r="ADA11" s="1013">
        <v>336.63259724365156</v>
      </c>
      <c r="ADB11" s="1013">
        <v>112.21086574788386</v>
      </c>
      <c r="ADC11" s="1013">
        <v>785.47606023518711</v>
      </c>
      <c r="ADD11" s="1013">
        <v>0</v>
      </c>
      <c r="ADE11" s="1013">
        <v>0</v>
      </c>
      <c r="ADF11" s="1013">
        <v>3702.9585696801673</v>
      </c>
      <c r="ADG11" s="1013">
        <v>1683.1629862182579</v>
      </c>
      <c r="ADH11" s="1013">
        <v>4918.5804176877318</v>
      </c>
      <c r="ADI11" s="1013">
        <v>359.89612812349259</v>
      </c>
      <c r="ADJ11" s="1013">
        <v>119.96537604116421</v>
      </c>
      <c r="ADK11" s="1013">
        <v>839.75763228814947</v>
      </c>
      <c r="ADL11" s="1013">
        <v>0</v>
      </c>
      <c r="ADM11" s="1013">
        <v>0</v>
      </c>
      <c r="ADN11" s="1013">
        <v>3958.8574093584189</v>
      </c>
      <c r="ADO11" s="1013">
        <v>1799.480640617463</v>
      </c>
      <c r="ADP11" s="1013">
        <v>5152.7985328157183</v>
      </c>
      <c r="ADQ11" s="1013">
        <v>377.03403898651601</v>
      </c>
      <c r="ADR11" s="1013">
        <v>125.67801299550534</v>
      </c>
      <c r="ADS11" s="1013">
        <v>879.74609096853749</v>
      </c>
      <c r="ADT11" s="1013">
        <v>0</v>
      </c>
      <c r="ADU11" s="1013">
        <v>0</v>
      </c>
      <c r="ADV11" s="1013">
        <v>4147.3744288516764</v>
      </c>
      <c r="ADW11" s="1013">
        <v>1885.17019493258</v>
      </c>
      <c r="ADX11" s="1013">
        <v>7916.5722913259688</v>
      </c>
      <c r="ADY11" s="1013">
        <v>579.26138717019285</v>
      </c>
      <c r="ADZ11" s="1013">
        <v>193.08712905673096</v>
      </c>
      <c r="AEA11" s="1013">
        <v>1351.6099033971168</v>
      </c>
      <c r="AEB11" s="1013">
        <v>0</v>
      </c>
      <c r="AEC11" s="1013">
        <v>0</v>
      </c>
      <c r="AED11" s="1013">
        <v>6371.8752588721218</v>
      </c>
      <c r="AEE11" s="1013">
        <v>2896.3069358509642</v>
      </c>
      <c r="AEF11" s="1013">
        <v>5617.7950100105518</v>
      </c>
      <c r="AEG11" s="1013">
        <v>411.05817146418673</v>
      </c>
      <c r="AEH11" s="1013">
        <v>137.01939048806227</v>
      </c>
      <c r="AEI11" s="1013">
        <v>959.13573341643587</v>
      </c>
      <c r="AEJ11" s="1013">
        <v>0</v>
      </c>
      <c r="AEK11" s="1013">
        <v>0</v>
      </c>
      <c r="AEL11" s="1013">
        <v>4521.6398861060543</v>
      </c>
      <c r="AEM11" s="1013">
        <v>2055.2908573209338</v>
      </c>
      <c r="AEN11" s="1013">
        <v>6043.3069978415815</v>
      </c>
      <c r="AEO11" s="1013">
        <v>442.19319496401818</v>
      </c>
      <c r="AEP11" s="1013">
        <v>147.39773165467273</v>
      </c>
      <c r="AEQ11" s="1013">
        <v>1031.7841215827093</v>
      </c>
      <c r="AER11" s="1013">
        <v>0</v>
      </c>
      <c r="AES11" s="1013">
        <v>0</v>
      </c>
      <c r="AET11" s="1013">
        <v>4864.1251446042006</v>
      </c>
      <c r="AEU11" s="1013">
        <v>2210.9659748200911</v>
      </c>
      <c r="AEV11" s="1013">
        <v>6331.0835215483239</v>
      </c>
      <c r="AEW11" s="1013">
        <v>463.25001377182855</v>
      </c>
      <c r="AEX11" s="1013">
        <v>154.41667125727619</v>
      </c>
      <c r="AEY11" s="1013">
        <v>1080.9166988009335</v>
      </c>
      <c r="AEZ11" s="1013">
        <v>0</v>
      </c>
      <c r="AFA11" s="1013">
        <v>0</v>
      </c>
      <c r="AFB11" s="1013">
        <v>5095.7501514901151</v>
      </c>
      <c r="AFC11" s="1013">
        <v>2316.2500688591426</v>
      </c>
      <c r="AFD11" s="1013">
        <v>9726.8465012878787</v>
      </c>
      <c r="AFE11" s="1013">
        <v>711.72047570399116</v>
      </c>
      <c r="AFF11" s="1013">
        <v>237.24015856799707</v>
      </c>
      <c r="AFG11" s="1013">
        <v>1660.6811099759796</v>
      </c>
      <c r="AFH11" s="1013">
        <v>0</v>
      </c>
      <c r="AFI11" s="1013">
        <v>0</v>
      </c>
      <c r="AFJ11" s="1013">
        <v>7828.9252327439035</v>
      </c>
      <c r="AFK11" s="1013">
        <v>3558.6023785199559</v>
      </c>
      <c r="AFL11" s="1023">
        <v>6478.4599836890493</v>
      </c>
      <c r="AFM11" s="1023">
        <v>474.0336573431012</v>
      </c>
      <c r="AFN11" s="1023">
        <v>158.01121911436707</v>
      </c>
      <c r="AFO11" s="1023">
        <v>1106.0785338005696</v>
      </c>
      <c r="AFP11" s="1023">
        <v>0</v>
      </c>
      <c r="AFQ11" s="1023">
        <v>0</v>
      </c>
      <c r="AFR11" s="1023">
        <v>5214.3702307741132</v>
      </c>
      <c r="AFS11" s="1023">
        <v>2370.1682867155059</v>
      </c>
      <c r="AFT11" s="1023">
        <v>6882.6551919862459</v>
      </c>
      <c r="AFU11" s="1023">
        <v>503.60891648679848</v>
      </c>
      <c r="AFV11" s="1023">
        <v>167.86963882893284</v>
      </c>
      <c r="AFW11" s="1023">
        <v>1175.08747180253</v>
      </c>
      <c r="AFX11" s="1023">
        <v>0</v>
      </c>
      <c r="AFY11" s="1023">
        <v>0</v>
      </c>
      <c r="AFZ11" s="1023">
        <v>5539.6980813547843</v>
      </c>
      <c r="AGA11" s="1023">
        <v>2518.0445824339927</v>
      </c>
      <c r="AGB11" s="1023">
        <v>7210.400677318923</v>
      </c>
      <c r="AGC11" s="1023">
        <v>527.59029346236025</v>
      </c>
      <c r="AGD11" s="1023">
        <v>175.86343115412009</v>
      </c>
      <c r="AGE11" s="1023">
        <v>1231.0440180788407</v>
      </c>
      <c r="AGF11" s="1023">
        <v>0</v>
      </c>
      <c r="AGG11" s="1023">
        <v>0</v>
      </c>
      <c r="AGH11" s="1023">
        <v>5803.493228085963</v>
      </c>
      <c r="AGI11" s="1023">
        <v>2637.951467311801</v>
      </c>
      <c r="AGJ11" s="1023">
        <v>11077.797404244529</v>
      </c>
      <c r="AGK11" s="1023">
        <v>810.57054177398993</v>
      </c>
      <c r="AGL11" s="1023">
        <v>270.19018059132998</v>
      </c>
      <c r="AGM11" s="1023">
        <v>1891.3312641393102</v>
      </c>
      <c r="AGN11" s="1023">
        <v>0</v>
      </c>
      <c r="AGO11" s="1023">
        <v>0</v>
      </c>
      <c r="AGP11" s="1023">
        <v>8916.2759595138905</v>
      </c>
      <c r="AGQ11" s="1023">
        <v>4052.8527088699498</v>
      </c>
      <c r="AGR11" s="1030">
        <v>2581.9949210354903</v>
      </c>
      <c r="AGS11" s="1030">
        <v>188.92645763674321</v>
      </c>
      <c r="AGT11" s="1030">
        <v>62.975485878914405</v>
      </c>
      <c r="AGU11" s="1030">
        <v>440.82840115240089</v>
      </c>
      <c r="AGV11" s="1030">
        <v>0</v>
      </c>
      <c r="AGW11" s="1030">
        <v>0</v>
      </c>
      <c r="AGX11" s="1030">
        <v>2078.1910340041754</v>
      </c>
      <c r="AGY11" s="1030">
        <v>944.63228818371601</v>
      </c>
      <c r="AGZ11" s="1030">
        <v>2853.7838600918581</v>
      </c>
      <c r="AHA11" s="1030">
        <v>208.81345317745303</v>
      </c>
      <c r="AHB11" s="1030">
        <v>69.604484392484352</v>
      </c>
      <c r="AHC11" s="1030">
        <v>487.23139074739049</v>
      </c>
      <c r="AHD11" s="1030">
        <v>0</v>
      </c>
      <c r="AHE11" s="1030">
        <v>0</v>
      </c>
      <c r="AHF11" s="1030">
        <v>2296.9479849519835</v>
      </c>
      <c r="AHG11" s="1030">
        <v>1044.0672658872652</v>
      </c>
      <c r="AHH11" s="1030">
        <v>2989.6783296200415</v>
      </c>
      <c r="AHI11" s="1030">
        <v>218.75695094780792</v>
      </c>
      <c r="AHJ11" s="1030">
        <v>72.918983649269308</v>
      </c>
      <c r="AHK11" s="1030">
        <v>510.43288554488521</v>
      </c>
      <c r="AHL11" s="1030">
        <v>0</v>
      </c>
      <c r="AHM11" s="1030">
        <v>0</v>
      </c>
      <c r="AHN11" s="1030">
        <v>2406.3264604258875</v>
      </c>
      <c r="AHO11" s="1030">
        <v>1093.7847547390397</v>
      </c>
      <c r="AHP11" s="1030">
        <v>4593.2330700526099</v>
      </c>
      <c r="AHQ11" s="1030">
        <v>336.09022463799585</v>
      </c>
      <c r="AHR11" s="1030">
        <v>112.03007487933195</v>
      </c>
      <c r="AHS11" s="1030">
        <v>784.2105241553237</v>
      </c>
      <c r="AHT11" s="1030">
        <v>0</v>
      </c>
      <c r="AHU11" s="1030">
        <v>0</v>
      </c>
      <c r="AHV11" s="1030">
        <v>3696.9924710179544</v>
      </c>
      <c r="AHW11" s="1030">
        <v>1680.4511231899792</v>
      </c>
      <c r="AHX11" s="1013">
        <v>165</v>
      </c>
      <c r="AHY11" s="1023">
        <v>0</v>
      </c>
      <c r="AHZ11" s="1023">
        <v>0</v>
      </c>
      <c r="AIA11" s="1023">
        <v>0</v>
      </c>
      <c r="AIB11" s="1023">
        <v>0</v>
      </c>
      <c r="AIC11" s="1023">
        <v>0</v>
      </c>
      <c r="AID11" s="1023">
        <v>0</v>
      </c>
      <c r="AIE11" s="1023">
        <v>0</v>
      </c>
      <c r="AIF11" s="1013">
        <v>420</v>
      </c>
      <c r="AIG11" s="1013">
        <v>32.409999999999997</v>
      </c>
      <c r="AIH11" s="1013">
        <v>27.01</v>
      </c>
      <c r="AII11" s="1013">
        <v>0</v>
      </c>
      <c r="AIJ11" s="1013">
        <v>2.52</v>
      </c>
      <c r="AIK11" s="1013">
        <v>3.06</v>
      </c>
      <c r="AIL11" s="1013">
        <v>0</v>
      </c>
      <c r="AIM11" s="1013">
        <v>0</v>
      </c>
      <c r="AIN11" s="1016">
        <v>350</v>
      </c>
      <c r="AIO11" s="1016">
        <v>64.819999999999993</v>
      </c>
      <c r="AIP11" s="1017">
        <v>54.02</v>
      </c>
      <c r="AIQ11" s="1017">
        <v>0</v>
      </c>
      <c r="AIR11" s="1017">
        <v>5.04</v>
      </c>
      <c r="AIS11" s="1017">
        <v>6.12</v>
      </c>
      <c r="AIT11" s="1017">
        <v>0</v>
      </c>
      <c r="AIU11" s="1017">
        <v>0</v>
      </c>
      <c r="AIV11" s="1013">
        <v>120</v>
      </c>
      <c r="AIW11" s="1013">
        <v>47.37</v>
      </c>
      <c r="AIX11" s="1013">
        <v>39.47</v>
      </c>
      <c r="AIY11" s="1013">
        <v>0</v>
      </c>
      <c r="AIZ11" s="1013">
        <v>3.68</v>
      </c>
      <c r="AJA11" s="1013">
        <v>4.4800000000000004</v>
      </c>
      <c r="AJB11" s="1013">
        <v>0</v>
      </c>
      <c r="AJC11" s="1013">
        <v>0</v>
      </c>
      <c r="AJD11" s="1013">
        <v>129.6</v>
      </c>
      <c r="AJE11" s="1013">
        <v>96.93</v>
      </c>
      <c r="AJF11" s="1013">
        <v>80.78</v>
      </c>
      <c r="AJG11" s="1013">
        <v>0</v>
      </c>
      <c r="AJH11" s="1013">
        <v>7.54</v>
      </c>
      <c r="AJI11" s="1013">
        <v>9.15</v>
      </c>
      <c r="AJJ11" s="1013">
        <v>0</v>
      </c>
      <c r="AJK11" s="1013">
        <v>0</v>
      </c>
      <c r="AJL11" s="1013">
        <v>160</v>
      </c>
      <c r="AJM11" s="1013">
        <v>17.45</v>
      </c>
      <c r="AJN11" s="1013">
        <v>14.54</v>
      </c>
      <c r="AJO11" s="1013">
        <v>0</v>
      </c>
      <c r="AJP11" s="1013">
        <v>1.36</v>
      </c>
      <c r="AJQ11" s="1013">
        <v>1.65</v>
      </c>
      <c r="AJR11" s="1013">
        <v>0</v>
      </c>
      <c r="AJS11" s="1013">
        <v>0</v>
      </c>
      <c r="AJT11" s="1029" t="s">
        <v>858</v>
      </c>
      <c r="AJU11" s="988" t="s">
        <v>861</v>
      </c>
      <c r="AJV11" s="988" t="s">
        <v>860</v>
      </c>
      <c r="AJW11" s="988" t="s">
        <v>859</v>
      </c>
      <c r="AJX11" s="988" t="s">
        <v>870</v>
      </c>
      <c r="AJY11" s="988" t="s">
        <v>871</v>
      </c>
      <c r="AJZ11" s="988" t="s">
        <v>872</v>
      </c>
      <c r="AKA11" s="988" t="s">
        <v>873</v>
      </c>
      <c r="AKB11" s="988" t="s">
        <v>874</v>
      </c>
      <c r="AKC11" s="988" t="s">
        <v>875</v>
      </c>
      <c r="AKD11" s="1013">
        <v>98.721910112359538</v>
      </c>
      <c r="AKE11" s="1013">
        <v>0</v>
      </c>
      <c r="AKF11" s="1013">
        <v>0</v>
      </c>
      <c r="AKG11" s="1013">
        <v>0</v>
      </c>
      <c r="AKH11" s="1013">
        <v>0</v>
      </c>
      <c r="AKI11" s="1013">
        <v>0</v>
      </c>
      <c r="AKJ11" s="1013">
        <v>9.7331460674157313</v>
      </c>
      <c r="AKK11" s="1013">
        <v>15.294943820224718</v>
      </c>
      <c r="AKL11" s="1013">
        <v>290.18258426966287</v>
      </c>
      <c r="AKM11" s="1013">
        <v>0</v>
      </c>
      <c r="AKN11" s="1013">
        <v>0</v>
      </c>
      <c r="AKO11" s="1013">
        <v>0</v>
      </c>
      <c r="AKP11" s="1013">
        <v>0</v>
      </c>
      <c r="AKQ11" s="1013">
        <v>0</v>
      </c>
      <c r="AKR11" s="1013">
        <v>28.609550561797754</v>
      </c>
      <c r="AKS11" s="1013">
        <v>44.957865168539314</v>
      </c>
      <c r="AKT11" s="1016">
        <v>287.19101123595505</v>
      </c>
      <c r="AKU11" s="1016">
        <v>0</v>
      </c>
      <c r="AKV11" s="1017">
        <v>0</v>
      </c>
      <c r="AKW11" s="1017">
        <v>0</v>
      </c>
      <c r="AKX11" s="1017">
        <v>0</v>
      </c>
      <c r="AKY11" s="1017">
        <v>0</v>
      </c>
      <c r="AKZ11" s="1017">
        <v>28.314606741573037</v>
      </c>
      <c r="ALA11" s="1017">
        <v>44.49438202247191</v>
      </c>
      <c r="ALB11" s="1013">
        <v>128.63764044943818</v>
      </c>
      <c r="ALC11" s="1013">
        <v>0</v>
      </c>
      <c r="ALD11" s="1013">
        <v>0</v>
      </c>
      <c r="ALE11" s="1013">
        <v>0</v>
      </c>
      <c r="ALF11" s="1013">
        <v>0</v>
      </c>
      <c r="ALG11" s="1013">
        <v>0</v>
      </c>
      <c r="ALH11" s="1013">
        <v>12.682584269662923</v>
      </c>
      <c r="ALI11" s="1013">
        <v>19.929775280898877</v>
      </c>
      <c r="ALJ11" s="1013">
        <v>193.85393258426964</v>
      </c>
      <c r="ALK11" s="1013">
        <v>0</v>
      </c>
      <c r="ALL11" s="1013">
        <v>0</v>
      </c>
      <c r="ALM11" s="1013">
        <v>0</v>
      </c>
      <c r="ALN11" s="1013">
        <v>0</v>
      </c>
      <c r="ALO11" s="1013">
        <v>0</v>
      </c>
      <c r="ALP11" s="1013">
        <v>19.112359550561802</v>
      </c>
      <c r="ALQ11" s="1013">
        <v>30.033707865168537</v>
      </c>
      <c r="ALR11" s="1013">
        <v>116.67134831460673</v>
      </c>
      <c r="ALS11" s="1013">
        <v>0</v>
      </c>
      <c r="ALT11" s="1013">
        <v>0</v>
      </c>
      <c r="ALU11" s="1013">
        <v>0</v>
      </c>
      <c r="ALV11" s="1013">
        <v>0</v>
      </c>
      <c r="ALW11" s="1013">
        <v>0</v>
      </c>
      <c r="ALX11" s="1013">
        <v>11.502808988764047</v>
      </c>
      <c r="ALY11" s="1013">
        <v>18.075842696629213</v>
      </c>
    </row>
    <row r="12" spans="1:1013" ht="18" customHeight="1">
      <c r="A12" s="1259" t="s">
        <v>12</v>
      </c>
      <c r="B12" s="1260" t="s">
        <v>3063</v>
      </c>
      <c r="C12" s="1260">
        <v>2022</v>
      </c>
      <c r="D12" s="1269"/>
      <c r="E12" s="1270">
        <v>-0.3</v>
      </c>
      <c r="F12" s="1271">
        <v>-0.3</v>
      </c>
      <c r="G12" s="1271">
        <v>-0.3</v>
      </c>
      <c r="H12" s="76">
        <v>375.34466019417476</v>
      </c>
      <c r="I12" s="75">
        <v>-4</v>
      </c>
      <c r="J12" s="1273">
        <v>-3.1</v>
      </c>
      <c r="K12" s="1273">
        <v>-3.1</v>
      </c>
      <c r="L12" s="1265">
        <v>350</v>
      </c>
      <c r="M12" s="1262">
        <v>0</v>
      </c>
      <c r="N12" s="1262">
        <v>0</v>
      </c>
      <c r="O12" s="1262">
        <v>0</v>
      </c>
      <c r="P12" s="76">
        <v>979.97006705827403</v>
      </c>
      <c r="Q12" s="75">
        <v>12</v>
      </c>
      <c r="R12" s="72">
        <v>0.7</v>
      </c>
      <c r="S12" s="72">
        <v>0.7</v>
      </c>
      <c r="T12" s="72">
        <v>0.7</v>
      </c>
      <c r="U12" s="1271">
        <v>0.2</v>
      </c>
      <c r="V12" s="1271">
        <v>0</v>
      </c>
      <c r="W12" s="1271">
        <v>99.6</v>
      </c>
      <c r="X12" s="1271">
        <v>0.2</v>
      </c>
      <c r="Y12" s="1272">
        <v>0</v>
      </c>
      <c r="Z12" s="75">
        <v>2</v>
      </c>
      <c r="AA12" s="72">
        <v>1.5</v>
      </c>
      <c r="AB12" s="75">
        <v>1</v>
      </c>
      <c r="AC12" s="72">
        <v>0.8</v>
      </c>
      <c r="AD12" s="72">
        <v>0.5</v>
      </c>
      <c r="AE12" s="390">
        <v>433.01922201480062</v>
      </c>
      <c r="AF12" s="390">
        <v>470.67306740739195</v>
      </c>
      <c r="AG12" s="390">
        <v>433.37222681535616</v>
      </c>
      <c r="AH12" s="390">
        <v>649.0581599547935</v>
      </c>
      <c r="AI12" s="400">
        <v>0.82209484106305364</v>
      </c>
      <c r="AJ12" s="390">
        <v>261.91600618637949</v>
      </c>
      <c r="AK12" s="390">
        <v>284.69131107215162</v>
      </c>
      <c r="AL12" s="390">
        <v>262.12952466968363</v>
      </c>
      <c r="AM12" s="390">
        <v>392.58931796849708</v>
      </c>
      <c r="AN12" s="400">
        <v>0.96717040125065135</v>
      </c>
      <c r="AO12" s="77">
        <v>0.1</v>
      </c>
      <c r="AP12" s="77">
        <v>0.3</v>
      </c>
      <c r="AQ12" s="77">
        <v>0.8</v>
      </c>
      <c r="AR12" s="77">
        <v>1</v>
      </c>
      <c r="AS12" s="77">
        <v>1.2</v>
      </c>
      <c r="AT12" s="77">
        <v>1.6</v>
      </c>
      <c r="AU12" s="77">
        <v>1.8</v>
      </c>
      <c r="AV12" s="1268">
        <v>0</v>
      </c>
      <c r="AW12" s="1268">
        <v>10</v>
      </c>
      <c r="AX12" s="1268">
        <v>20</v>
      </c>
      <c r="AY12" s="1268">
        <v>70</v>
      </c>
      <c r="AZ12" s="1268">
        <v>100</v>
      </c>
      <c r="BA12" s="1019">
        <v>6487.8218682335937</v>
      </c>
      <c r="BB12" s="1031">
        <v>1.38</v>
      </c>
      <c r="BC12" s="988">
        <v>0.9</v>
      </c>
      <c r="BD12" s="988">
        <v>0.7</v>
      </c>
      <c r="BE12" s="988">
        <v>0.7</v>
      </c>
      <c r="BF12" s="1021">
        <v>0.16571636266118941</v>
      </c>
      <c r="BG12" s="1021">
        <v>0.17350690029559884</v>
      </c>
      <c r="BH12" s="1020">
        <v>3.1241683993713729E-3</v>
      </c>
      <c r="BI12" s="1020">
        <v>4.4630977133876753E-4</v>
      </c>
      <c r="BJ12" s="1020">
        <v>3.7700344272199864</v>
      </c>
      <c r="BK12" s="1020">
        <v>41.502513002956242</v>
      </c>
      <c r="BL12" s="1020"/>
      <c r="BM12" s="1020"/>
      <c r="BN12" s="1020">
        <v>50.957418142603785</v>
      </c>
      <c r="BO12" s="1020"/>
      <c r="BP12" s="1020"/>
      <c r="BQ12" s="1020">
        <v>5.5788721417345941E-5</v>
      </c>
      <c r="BR12" s="1020">
        <v>1.1157744283469188E-4</v>
      </c>
      <c r="BS12" s="1020">
        <v>5.5788721417345941E-5</v>
      </c>
      <c r="BT12" s="1020">
        <v>3.4303369025097674</v>
      </c>
      <c r="BU12" s="1020">
        <v>0.29545706862626409</v>
      </c>
      <c r="BV12" s="1020">
        <v>4.0446823027575803E-2</v>
      </c>
      <c r="BW12" s="993">
        <v>261.13475999999997</v>
      </c>
      <c r="BX12" s="993">
        <v>96.5</v>
      </c>
      <c r="BY12" s="993">
        <v>63.215999999999994</v>
      </c>
      <c r="BZ12" s="993">
        <v>233.35949490734063</v>
      </c>
      <c r="CA12" s="993">
        <v>157.40783999999999</v>
      </c>
      <c r="CB12" s="990"/>
      <c r="CC12" s="993">
        <v>256.20808011776955</v>
      </c>
      <c r="CD12" s="993">
        <v>165.17663999999999</v>
      </c>
      <c r="CE12" s="990"/>
      <c r="CF12" s="989">
        <v>0</v>
      </c>
      <c r="CG12" s="993">
        <v>6.585</v>
      </c>
      <c r="CH12" s="993">
        <v>1.3169999999999999</v>
      </c>
      <c r="CI12" s="993">
        <v>38</v>
      </c>
      <c r="CJ12" s="993">
        <v>225.83915999999996</v>
      </c>
      <c r="CK12" s="990">
        <v>0.2</v>
      </c>
      <c r="CL12" s="993">
        <v>175.08124000000001</v>
      </c>
      <c r="CM12" s="993">
        <v>60.4</v>
      </c>
      <c r="CN12" s="993">
        <v>42.384</v>
      </c>
      <c r="CO12" s="993">
        <v>156.45894761061641</v>
      </c>
      <c r="CP12" s="993">
        <v>105.53616</v>
      </c>
      <c r="CQ12" s="990"/>
      <c r="CR12" s="993">
        <v>159.24945066654416</v>
      </c>
      <c r="CS12" s="993">
        <v>102.66767999999999</v>
      </c>
      <c r="CT12" s="990"/>
      <c r="CU12" s="993">
        <v>0</v>
      </c>
      <c r="CV12" s="993">
        <v>4.415</v>
      </c>
      <c r="CW12" s="993">
        <v>0.88300000000000001</v>
      </c>
      <c r="CX12" s="993">
        <v>27</v>
      </c>
      <c r="CY12" s="993">
        <v>151.41683999999998</v>
      </c>
      <c r="CZ12" s="990">
        <v>0.2</v>
      </c>
      <c r="DA12" s="988">
        <v>0.3</v>
      </c>
      <c r="DB12" s="988">
        <v>0.7</v>
      </c>
      <c r="DC12" s="988">
        <v>1.2</v>
      </c>
      <c r="DD12" s="988">
        <v>1.2</v>
      </c>
      <c r="DE12" s="1022">
        <v>3</v>
      </c>
      <c r="DF12" s="995">
        <v>0</v>
      </c>
      <c r="DG12" s="995">
        <v>10</v>
      </c>
      <c r="DH12" s="995">
        <v>20</v>
      </c>
      <c r="DI12" s="995">
        <v>70</v>
      </c>
      <c r="DJ12" s="995">
        <v>100</v>
      </c>
      <c r="DK12" s="1017"/>
      <c r="DL12" s="1022">
        <v>18</v>
      </c>
      <c r="DM12" s="989">
        <v>12</v>
      </c>
      <c r="DN12" s="988">
        <v>0.6</v>
      </c>
      <c r="DO12" s="988">
        <v>0.6</v>
      </c>
      <c r="DP12" s="988">
        <v>0.6</v>
      </c>
      <c r="DQ12" s="1032" t="s">
        <v>643</v>
      </c>
      <c r="DR12" s="988" t="s">
        <v>640</v>
      </c>
      <c r="DS12" s="988" t="s">
        <v>640</v>
      </c>
      <c r="DT12" s="988" t="s">
        <v>640</v>
      </c>
      <c r="DU12" s="988" t="s">
        <v>640</v>
      </c>
      <c r="DV12" s="988" t="s">
        <v>640</v>
      </c>
      <c r="DW12" s="988" t="s">
        <v>640</v>
      </c>
      <c r="DX12" s="997">
        <v>0</v>
      </c>
      <c r="DY12" s="997">
        <v>0</v>
      </c>
      <c r="DZ12" s="997">
        <v>0</v>
      </c>
      <c r="EA12" s="997">
        <v>0</v>
      </c>
      <c r="EB12" s="997">
        <v>0</v>
      </c>
      <c r="EC12" s="997">
        <v>0</v>
      </c>
      <c r="ED12" s="997">
        <v>0</v>
      </c>
      <c r="EE12" s="1022">
        <v>0.28808250000000002</v>
      </c>
      <c r="EF12" s="1022">
        <v>18</v>
      </c>
      <c r="EG12" s="991">
        <v>5</v>
      </c>
      <c r="EH12" s="1023">
        <v>0.6</v>
      </c>
      <c r="EI12" s="1023">
        <v>0.6</v>
      </c>
      <c r="EJ12" s="1023">
        <v>0.6</v>
      </c>
      <c r="EK12" s="988" t="s">
        <v>681</v>
      </c>
      <c r="EL12" s="988" t="s">
        <v>702</v>
      </c>
      <c r="EM12" s="988" t="s">
        <v>640</v>
      </c>
      <c r="EN12" s="988" t="s">
        <v>640</v>
      </c>
      <c r="EO12" s="988" t="s">
        <v>640</v>
      </c>
      <c r="EP12" s="988" t="s">
        <v>640</v>
      </c>
      <c r="EQ12" s="988" t="s">
        <v>640</v>
      </c>
      <c r="ER12" s="988" t="s">
        <v>640</v>
      </c>
      <c r="ES12" s="988" t="s">
        <v>640</v>
      </c>
      <c r="ET12" s="988" t="s">
        <v>640</v>
      </c>
      <c r="EU12" s="988" t="s">
        <v>640</v>
      </c>
      <c r="EV12" s="988" t="s">
        <v>640</v>
      </c>
      <c r="EW12" s="988" t="s">
        <v>640</v>
      </c>
      <c r="EX12" s="988" t="s">
        <v>640</v>
      </c>
      <c r="EY12" s="988" t="s">
        <v>640</v>
      </c>
      <c r="EZ12" s="988" t="s">
        <v>640</v>
      </c>
      <c r="FA12" s="988" t="s">
        <v>640</v>
      </c>
      <c r="FB12" s="988" t="s">
        <v>640</v>
      </c>
      <c r="FC12" s="988" t="s">
        <v>640</v>
      </c>
      <c r="FD12" s="988" t="s">
        <v>640</v>
      </c>
      <c r="FE12" s="988" t="s">
        <v>640</v>
      </c>
      <c r="FF12" s="988" t="s">
        <v>640</v>
      </c>
      <c r="FG12" s="988" t="s">
        <v>640</v>
      </c>
      <c r="FH12" s="988" t="s">
        <v>640</v>
      </c>
      <c r="FI12" s="988" t="s">
        <v>640</v>
      </c>
      <c r="FJ12" s="988" t="s">
        <v>640</v>
      </c>
      <c r="FK12" s="988" t="s">
        <v>640</v>
      </c>
      <c r="FL12" s="988" t="s">
        <v>640</v>
      </c>
      <c r="FM12" s="988" t="s">
        <v>640</v>
      </c>
      <c r="FN12" s="988" t="s">
        <v>640</v>
      </c>
      <c r="FO12" s="988" t="s">
        <v>640</v>
      </c>
      <c r="FP12" s="988" t="s">
        <v>640</v>
      </c>
      <c r="FQ12" s="988" t="s">
        <v>640</v>
      </c>
      <c r="FR12" s="988" t="s">
        <v>640</v>
      </c>
      <c r="FS12" s="988" t="s">
        <v>640</v>
      </c>
      <c r="FT12" s="988" t="s">
        <v>640</v>
      </c>
      <c r="FU12" s="988" t="s">
        <v>640</v>
      </c>
      <c r="FV12" s="988" t="s">
        <v>640</v>
      </c>
      <c r="FW12" s="988" t="s">
        <v>640</v>
      </c>
      <c r="FX12" s="988" t="s">
        <v>640</v>
      </c>
      <c r="FY12" s="988" t="s">
        <v>640</v>
      </c>
      <c r="FZ12" s="988" t="s">
        <v>640</v>
      </c>
      <c r="GA12" s="988" t="s">
        <v>640</v>
      </c>
      <c r="GB12" s="988" t="s">
        <v>640</v>
      </c>
      <c r="GC12" s="988" t="s">
        <v>640</v>
      </c>
      <c r="GD12" s="988" t="s">
        <v>640</v>
      </c>
      <c r="GE12" s="988" t="s">
        <v>640</v>
      </c>
      <c r="GF12" s="988" t="s">
        <v>640</v>
      </c>
      <c r="GG12" s="988" t="s">
        <v>640</v>
      </c>
      <c r="GH12" s="988" t="s">
        <v>640</v>
      </c>
      <c r="GI12" s="988" t="s">
        <v>640</v>
      </c>
      <c r="GJ12" s="988" t="s">
        <v>640</v>
      </c>
      <c r="GK12" s="988" t="s">
        <v>640</v>
      </c>
      <c r="GL12" s="988" t="s">
        <v>640</v>
      </c>
      <c r="GM12" s="988" t="s">
        <v>640</v>
      </c>
      <c r="GN12" s="988" t="s">
        <v>640</v>
      </c>
      <c r="GO12" s="988" t="s">
        <v>640</v>
      </c>
      <c r="GP12" s="988" t="s">
        <v>640</v>
      </c>
      <c r="GQ12" s="997">
        <v>27.007734375000002</v>
      </c>
      <c r="GR12" s="997">
        <v>261.074765625</v>
      </c>
      <c r="GS12" s="997">
        <v>0</v>
      </c>
      <c r="GT12" s="997">
        <v>0</v>
      </c>
      <c r="GU12" s="997">
        <v>0</v>
      </c>
      <c r="GV12" s="997">
        <v>0</v>
      </c>
      <c r="GW12" s="997">
        <v>0</v>
      </c>
      <c r="GX12" s="997">
        <v>0</v>
      </c>
      <c r="GY12" s="997">
        <v>0</v>
      </c>
      <c r="GZ12" s="997">
        <v>0</v>
      </c>
      <c r="HA12" s="997">
        <v>0</v>
      </c>
      <c r="HB12" s="997">
        <v>0</v>
      </c>
      <c r="HC12" s="997">
        <v>0</v>
      </c>
      <c r="HD12" s="997">
        <v>0</v>
      </c>
      <c r="HE12" s="997">
        <v>0</v>
      </c>
      <c r="HF12" s="997">
        <v>0</v>
      </c>
      <c r="HG12" s="997">
        <v>0</v>
      </c>
      <c r="HH12" s="997">
        <v>0</v>
      </c>
      <c r="HI12" s="997">
        <v>0</v>
      </c>
      <c r="HJ12" s="997">
        <v>0</v>
      </c>
      <c r="HK12" s="997">
        <v>0</v>
      </c>
      <c r="HL12" s="997">
        <v>0</v>
      </c>
      <c r="HM12" s="997">
        <v>0</v>
      </c>
      <c r="HN12" s="997">
        <v>0</v>
      </c>
      <c r="HO12" s="997">
        <v>0</v>
      </c>
      <c r="HP12" s="997">
        <v>0</v>
      </c>
      <c r="HQ12" s="997">
        <v>0</v>
      </c>
      <c r="HR12" s="997">
        <v>0</v>
      </c>
      <c r="HS12" s="997">
        <v>0</v>
      </c>
      <c r="HT12" s="997">
        <v>0</v>
      </c>
      <c r="HU12" s="997">
        <v>0</v>
      </c>
      <c r="HV12" s="997">
        <v>0</v>
      </c>
      <c r="HW12" s="997">
        <v>0</v>
      </c>
      <c r="HX12" s="997">
        <v>0</v>
      </c>
      <c r="HY12" s="997">
        <v>0</v>
      </c>
      <c r="HZ12" s="997">
        <v>0</v>
      </c>
      <c r="IA12" s="997">
        <v>0</v>
      </c>
      <c r="IB12" s="997">
        <v>0</v>
      </c>
      <c r="IC12" s="997">
        <v>0</v>
      </c>
      <c r="ID12" s="997">
        <v>0</v>
      </c>
      <c r="IE12" s="997">
        <v>0</v>
      </c>
      <c r="IF12" s="997">
        <v>0</v>
      </c>
      <c r="IG12" s="997">
        <v>0</v>
      </c>
      <c r="IH12" s="997">
        <v>0</v>
      </c>
      <c r="II12" s="997">
        <v>0</v>
      </c>
      <c r="IJ12" s="997">
        <v>0</v>
      </c>
      <c r="IK12" s="997">
        <v>0</v>
      </c>
      <c r="IL12" s="997">
        <v>0</v>
      </c>
      <c r="IM12" s="997">
        <v>0</v>
      </c>
      <c r="IN12" s="997">
        <v>0</v>
      </c>
      <c r="IO12" s="997">
        <v>0</v>
      </c>
      <c r="IP12" s="997">
        <v>0</v>
      </c>
      <c r="IQ12" s="997">
        <v>0</v>
      </c>
      <c r="IR12" s="997">
        <v>0</v>
      </c>
      <c r="IS12" s="997">
        <v>0</v>
      </c>
      <c r="IT12" s="997">
        <v>0</v>
      </c>
      <c r="IU12" s="997">
        <v>0</v>
      </c>
      <c r="IV12" s="997">
        <v>0</v>
      </c>
      <c r="IW12" s="1019">
        <v>185.0679635463184</v>
      </c>
      <c r="IX12" s="1022">
        <v>179.9</v>
      </c>
      <c r="IY12" s="998">
        <v>2647.0800000000199</v>
      </c>
      <c r="IZ12" s="429">
        <v>12.64</v>
      </c>
      <c r="JA12" s="1022">
        <v>50</v>
      </c>
      <c r="JB12" s="988">
        <v>0.6</v>
      </c>
      <c r="JC12" s="988">
        <v>0.6</v>
      </c>
      <c r="JD12" s="988">
        <v>0.6</v>
      </c>
      <c r="JE12" s="998">
        <v>2</v>
      </c>
      <c r="JF12" s="1023">
        <v>1.5</v>
      </c>
      <c r="JG12" s="1023">
        <v>0.7</v>
      </c>
      <c r="JH12" s="1023">
        <v>0.7</v>
      </c>
      <c r="JI12" s="1023">
        <v>0.5</v>
      </c>
      <c r="JJ12" s="1019">
        <v>65.384236746272336</v>
      </c>
      <c r="JK12" s="998">
        <v>2647.0800000000199</v>
      </c>
      <c r="JL12" s="429">
        <v>12.64</v>
      </c>
      <c r="JM12" s="1022">
        <v>50</v>
      </c>
      <c r="JN12" s="988">
        <v>1.2</v>
      </c>
      <c r="JO12" s="988">
        <v>0.6</v>
      </c>
      <c r="JP12" s="988">
        <v>0.6</v>
      </c>
      <c r="JQ12" s="998">
        <v>2</v>
      </c>
      <c r="JR12" s="998">
        <v>2</v>
      </c>
      <c r="JS12" s="998">
        <v>1</v>
      </c>
      <c r="JT12" s="998">
        <v>1</v>
      </c>
      <c r="JU12" s="1023">
        <v>0.5</v>
      </c>
      <c r="JV12" s="1004">
        <v>2000</v>
      </c>
      <c r="JW12" s="1019">
        <v>203.95114737925681</v>
      </c>
      <c r="JX12" s="1019">
        <v>500</v>
      </c>
      <c r="JY12" s="1022">
        <v>1.7</v>
      </c>
      <c r="JZ12" s="1022">
        <v>1</v>
      </c>
      <c r="KA12" s="1022">
        <v>1</v>
      </c>
      <c r="KB12" s="1023">
        <v>2</v>
      </c>
      <c r="KC12" s="1023">
        <v>1.5</v>
      </c>
      <c r="KD12" s="1023">
        <v>0.5</v>
      </c>
      <c r="KE12" s="1023">
        <v>1</v>
      </c>
      <c r="KF12" s="1023">
        <v>0.5</v>
      </c>
      <c r="KG12" s="997">
        <v>3.3535635422734598</v>
      </c>
      <c r="KH12" s="997"/>
      <c r="KI12" s="997">
        <v>95.627023585352973</v>
      </c>
      <c r="KJ12" s="997"/>
      <c r="KK12" s="997">
        <v>9.008764918650175E-2</v>
      </c>
      <c r="KL12" s="997">
        <v>0.92932522318707067</v>
      </c>
      <c r="KM12" s="997"/>
      <c r="KN12" s="997"/>
      <c r="KO12" s="997"/>
      <c r="KP12" s="1006">
        <v>580</v>
      </c>
      <c r="KQ12" s="1006">
        <v>580</v>
      </c>
      <c r="KR12" s="1006">
        <v>580</v>
      </c>
      <c r="KS12" s="1006">
        <v>580</v>
      </c>
      <c r="KT12" s="1006"/>
      <c r="KU12" s="1006">
        <v>580</v>
      </c>
      <c r="KV12" s="1006">
        <v>580</v>
      </c>
      <c r="KW12" s="1006">
        <v>580</v>
      </c>
      <c r="KX12" s="1006">
        <v>580</v>
      </c>
      <c r="KY12" s="993">
        <v>370</v>
      </c>
      <c r="KZ12" s="993">
        <v>370</v>
      </c>
      <c r="LA12" s="993">
        <v>370</v>
      </c>
      <c r="LB12" s="993">
        <v>370</v>
      </c>
      <c r="LC12" s="993"/>
      <c r="LD12" s="993">
        <v>370</v>
      </c>
      <c r="LE12" s="993">
        <v>370</v>
      </c>
      <c r="LF12" s="993">
        <v>370</v>
      </c>
      <c r="LG12" s="993">
        <v>370</v>
      </c>
      <c r="LH12" s="995">
        <v>0</v>
      </c>
      <c r="LI12" s="995">
        <v>10</v>
      </c>
      <c r="LJ12" s="995">
        <v>20</v>
      </c>
      <c r="LK12" s="995">
        <v>70</v>
      </c>
      <c r="LL12" s="995">
        <v>100</v>
      </c>
      <c r="LM12" s="1004">
        <v>1000</v>
      </c>
      <c r="LN12" s="1019">
        <v>223.71669488932466</v>
      </c>
      <c r="LO12" s="988">
        <v>29</v>
      </c>
      <c r="LP12" s="988">
        <v>0.9</v>
      </c>
      <c r="LQ12" s="1022">
        <v>1.5</v>
      </c>
      <c r="LR12" s="1022">
        <v>1.5</v>
      </c>
      <c r="LS12" s="1023">
        <v>2</v>
      </c>
      <c r="LT12" s="1023">
        <v>1</v>
      </c>
      <c r="LU12" s="1023">
        <v>0.5</v>
      </c>
      <c r="LV12" s="1023">
        <v>0.7</v>
      </c>
      <c r="LW12" s="1023">
        <v>0.2</v>
      </c>
      <c r="LX12" s="1004">
        <v>1500</v>
      </c>
      <c r="LY12" s="1008">
        <v>500</v>
      </c>
      <c r="LZ12" s="1008">
        <v>1</v>
      </c>
      <c r="MA12" s="997" t="s">
        <v>2914</v>
      </c>
      <c r="MB12" s="1023" t="s">
        <v>905</v>
      </c>
      <c r="MC12" s="1023" t="s">
        <v>2932</v>
      </c>
      <c r="MD12" s="1024" t="s">
        <v>906</v>
      </c>
      <c r="ME12" s="1009">
        <v>0.5</v>
      </c>
      <c r="MF12" s="1010">
        <v>0.75</v>
      </c>
      <c r="MG12" s="1010">
        <v>1</v>
      </c>
      <c r="MH12" s="1010">
        <v>2</v>
      </c>
      <c r="MI12" s="1010">
        <v>0.5</v>
      </c>
      <c r="MJ12" s="1010">
        <v>0.75</v>
      </c>
      <c r="MK12" s="1010">
        <v>1</v>
      </c>
      <c r="ML12" s="1010">
        <v>2</v>
      </c>
      <c r="MM12" s="1010">
        <v>0</v>
      </c>
      <c r="MN12" s="1010">
        <v>0.5</v>
      </c>
      <c r="MO12" s="1010">
        <v>1</v>
      </c>
      <c r="MP12" s="1010">
        <v>2</v>
      </c>
      <c r="MQ12" s="1010">
        <v>0</v>
      </c>
      <c r="MR12" s="1010">
        <v>0.5</v>
      </c>
      <c r="MS12" s="1010">
        <v>1</v>
      </c>
      <c r="MT12" s="1010">
        <v>2</v>
      </c>
      <c r="MU12" s="1001">
        <v>0</v>
      </c>
      <c r="MV12" s="1001">
        <v>0</v>
      </c>
      <c r="MW12" s="1001">
        <v>0</v>
      </c>
      <c r="MX12" s="1025">
        <v>0</v>
      </c>
      <c r="MY12" s="1025">
        <v>0</v>
      </c>
      <c r="MZ12" s="1025">
        <v>0</v>
      </c>
      <c r="NA12" s="1025">
        <v>0</v>
      </c>
      <c r="NB12" s="1025">
        <v>0</v>
      </c>
      <c r="NC12" s="1025">
        <v>0</v>
      </c>
      <c r="ND12" s="1025">
        <v>0</v>
      </c>
      <c r="NE12" s="1025">
        <v>0</v>
      </c>
      <c r="NF12" s="1025">
        <v>0</v>
      </c>
      <c r="NG12" s="1025">
        <v>0</v>
      </c>
      <c r="NH12" s="1025">
        <v>0</v>
      </c>
      <c r="NI12" s="1025">
        <v>0</v>
      </c>
      <c r="NJ12" s="1025">
        <v>0</v>
      </c>
      <c r="NK12" s="1025">
        <v>0</v>
      </c>
      <c r="NL12" s="1025">
        <v>0</v>
      </c>
      <c r="NM12" s="1025">
        <v>0</v>
      </c>
      <c r="NN12" s="1025">
        <v>0</v>
      </c>
      <c r="NO12" s="1025">
        <v>0</v>
      </c>
      <c r="NP12" s="1025">
        <v>0</v>
      </c>
      <c r="NQ12" s="1025">
        <v>0</v>
      </c>
      <c r="NR12" s="1025">
        <v>0</v>
      </c>
      <c r="NS12" s="1025">
        <v>0</v>
      </c>
      <c r="NT12" s="1025">
        <v>0</v>
      </c>
      <c r="NU12" s="1025">
        <v>0</v>
      </c>
      <c r="NV12" s="1025">
        <v>1.1915668011957601</v>
      </c>
      <c r="NW12" s="1025">
        <v>0</v>
      </c>
      <c r="NX12" s="1025">
        <v>2.00785405309E-2</v>
      </c>
      <c r="NY12" s="1025">
        <v>0.22850000000175999</v>
      </c>
      <c r="NZ12" s="1025">
        <v>0.77571229145364995</v>
      </c>
      <c r="OA12" s="1025">
        <v>0</v>
      </c>
      <c r="OB12" s="1025">
        <v>1.1971650480566201</v>
      </c>
      <c r="OC12" s="1025">
        <v>0</v>
      </c>
      <c r="OD12" s="1025">
        <v>1.6500300959829999E-2</v>
      </c>
      <c r="OE12" s="1025">
        <v>0.22850000000003001</v>
      </c>
      <c r="OF12" s="1025">
        <v>-0.29450000000010002</v>
      </c>
      <c r="OG12" s="1025">
        <v>0</v>
      </c>
      <c r="OH12" s="1025">
        <v>0</v>
      </c>
      <c r="OI12" s="1025">
        <v>0</v>
      </c>
      <c r="OJ12" s="1025">
        <v>0</v>
      </c>
      <c r="OK12" s="1025">
        <v>0</v>
      </c>
      <c r="OL12" s="1025">
        <v>0</v>
      </c>
      <c r="OM12" s="1025">
        <v>0</v>
      </c>
      <c r="ON12" s="1025">
        <v>0</v>
      </c>
      <c r="OO12" s="1025">
        <v>0</v>
      </c>
      <c r="OP12" s="1025">
        <v>0</v>
      </c>
      <c r="OQ12" s="1025">
        <v>0</v>
      </c>
      <c r="OR12" s="1025">
        <v>0</v>
      </c>
      <c r="OS12" s="1025">
        <v>0</v>
      </c>
      <c r="OT12" s="1025">
        <v>0</v>
      </c>
      <c r="OU12" s="1025">
        <v>0</v>
      </c>
      <c r="OV12" s="1025">
        <v>0</v>
      </c>
      <c r="OW12" s="1025">
        <v>0</v>
      </c>
      <c r="OX12" s="1025">
        <v>0</v>
      </c>
      <c r="OY12" s="1025">
        <v>0</v>
      </c>
      <c r="OZ12" s="1025">
        <v>-81.790000000000006</v>
      </c>
      <c r="PA12" s="1025">
        <v>-19.37</v>
      </c>
      <c r="PB12" s="1025">
        <v>0</v>
      </c>
      <c r="PC12" s="1025">
        <v>0</v>
      </c>
      <c r="PD12" s="1025">
        <v>5.7500000000000002E-2</v>
      </c>
      <c r="PE12" s="1025">
        <v>0</v>
      </c>
      <c r="PF12" s="1025">
        <v>0.43472720816430999</v>
      </c>
      <c r="PG12" s="1025">
        <v>0</v>
      </c>
      <c r="PH12" s="1025">
        <v>0</v>
      </c>
      <c r="PI12" s="1025">
        <v>0</v>
      </c>
      <c r="PJ12" s="1025">
        <v>-0.95885325741642002</v>
      </c>
      <c r="PK12" s="1025">
        <v>0</v>
      </c>
      <c r="PL12" s="1025">
        <v>0</v>
      </c>
      <c r="PM12" s="1025">
        <v>0</v>
      </c>
      <c r="PN12" s="1025">
        <v>0</v>
      </c>
      <c r="PO12" s="1025">
        <v>0</v>
      </c>
      <c r="PP12" s="1025">
        <v>0</v>
      </c>
      <c r="PQ12" s="1025">
        <v>0</v>
      </c>
      <c r="PR12" s="1025">
        <v>0</v>
      </c>
      <c r="PS12" s="1025">
        <v>0</v>
      </c>
      <c r="PT12" s="1025">
        <v>0</v>
      </c>
      <c r="PU12" s="1025">
        <v>0</v>
      </c>
      <c r="PV12" s="1025">
        <v>0</v>
      </c>
      <c r="PW12" s="1025">
        <v>0</v>
      </c>
      <c r="PX12" s="1025">
        <v>0</v>
      </c>
      <c r="PY12" s="1025">
        <v>0</v>
      </c>
      <c r="PZ12" s="1025">
        <v>0</v>
      </c>
      <c r="QA12" s="1025">
        <v>0</v>
      </c>
      <c r="QB12" s="1025">
        <v>0</v>
      </c>
      <c r="QC12" s="1025">
        <v>0</v>
      </c>
      <c r="QD12" s="1025">
        <v>-81.790000000000006</v>
      </c>
      <c r="QE12" s="1025">
        <v>-19.37</v>
      </c>
      <c r="QF12" s="1025">
        <v>0</v>
      </c>
      <c r="QG12" s="1025">
        <v>0</v>
      </c>
      <c r="QH12" s="1025">
        <v>0</v>
      </c>
      <c r="QI12" s="1025">
        <v>0</v>
      </c>
      <c r="QJ12" s="1025">
        <v>-4.2676210883269998E-2</v>
      </c>
      <c r="QK12" s="1025">
        <v>0</v>
      </c>
      <c r="QL12" s="1025">
        <v>0</v>
      </c>
      <c r="QM12" s="1025">
        <v>0</v>
      </c>
      <c r="QN12" s="1025">
        <v>1.0465215330514901</v>
      </c>
      <c r="QO12" s="1025">
        <v>0</v>
      </c>
      <c r="QP12" s="1025">
        <v>0</v>
      </c>
      <c r="QQ12" s="1025">
        <v>0</v>
      </c>
      <c r="QR12" s="1025">
        <v>0</v>
      </c>
      <c r="QS12" s="1025">
        <v>0</v>
      </c>
      <c r="QT12" s="1025">
        <v>0</v>
      </c>
      <c r="QU12" s="1025">
        <v>0</v>
      </c>
      <c r="QV12" s="1025">
        <v>0</v>
      </c>
      <c r="QW12" s="1025">
        <v>0</v>
      </c>
      <c r="QX12" s="1025">
        <v>0</v>
      </c>
      <c r="QY12" s="1025">
        <v>0</v>
      </c>
      <c r="QZ12" s="1025">
        <v>0</v>
      </c>
      <c r="RA12" s="1025">
        <v>0</v>
      </c>
      <c r="RB12" s="1025">
        <v>0</v>
      </c>
      <c r="RC12" s="1025">
        <v>0</v>
      </c>
      <c r="RD12" s="1025">
        <v>0</v>
      </c>
      <c r="RE12" s="1025">
        <v>0</v>
      </c>
      <c r="RF12" s="1025">
        <v>0</v>
      </c>
      <c r="RG12" s="1025">
        <v>0</v>
      </c>
      <c r="RH12" s="1011">
        <v>0</v>
      </c>
      <c r="RI12" s="1026">
        <v>0</v>
      </c>
      <c r="RJ12" s="1026">
        <v>0</v>
      </c>
      <c r="RK12" s="1026">
        <v>0</v>
      </c>
      <c r="RL12" s="1026">
        <v>0</v>
      </c>
      <c r="RM12" s="1011">
        <v>0</v>
      </c>
      <c r="RN12" s="1011">
        <v>0</v>
      </c>
      <c r="RO12" s="1011">
        <v>0</v>
      </c>
      <c r="RP12" s="1011">
        <v>0</v>
      </c>
      <c r="RQ12" s="1011">
        <v>0</v>
      </c>
      <c r="RR12" s="1011">
        <v>0</v>
      </c>
      <c r="RS12" s="1011">
        <v>0</v>
      </c>
      <c r="RT12" s="1011">
        <v>-0.82203621730398002</v>
      </c>
      <c r="RU12" s="1011">
        <v>0</v>
      </c>
      <c r="RV12" s="1011">
        <v>0</v>
      </c>
      <c r="RW12" s="1011">
        <v>0</v>
      </c>
      <c r="RX12" s="1011">
        <v>-2.7178499999999999</v>
      </c>
      <c r="RY12" s="1011">
        <v>0</v>
      </c>
      <c r="RZ12" s="1026">
        <v>-0.82203621730398002</v>
      </c>
      <c r="SA12" s="1026">
        <v>0</v>
      </c>
      <c r="SB12" s="1026">
        <v>0</v>
      </c>
      <c r="SC12" s="1026">
        <v>0</v>
      </c>
      <c r="SD12" s="1026">
        <v>-1.7178500000000001</v>
      </c>
      <c r="SE12" s="1026">
        <v>0</v>
      </c>
      <c r="SF12" s="1026">
        <v>-0.82203621730398002</v>
      </c>
      <c r="SG12" s="1026">
        <v>0</v>
      </c>
      <c r="SH12" s="1026">
        <v>0</v>
      </c>
      <c r="SI12" s="1026">
        <v>0</v>
      </c>
      <c r="SJ12" s="1026">
        <v>-0.71784999999999999</v>
      </c>
      <c r="SK12" s="1026">
        <v>0</v>
      </c>
      <c r="SL12" s="1025">
        <v>-81.790000000000006</v>
      </c>
      <c r="SM12" s="1025">
        <v>-19.37</v>
      </c>
      <c r="SN12" s="1025">
        <v>-5.2372812923390001E-2</v>
      </c>
      <c r="SO12" s="1025">
        <v>0</v>
      </c>
      <c r="SP12" s="1025">
        <v>-2.60253229562821</v>
      </c>
      <c r="SQ12" s="1025">
        <v>0</v>
      </c>
      <c r="SR12" s="1025">
        <v>-9.5519047762769996E-2</v>
      </c>
      <c r="SS12" s="1025">
        <v>0</v>
      </c>
      <c r="ST12" s="1025">
        <v>0</v>
      </c>
      <c r="SU12" s="1025">
        <v>0</v>
      </c>
      <c r="SV12" s="1025">
        <v>-1.82738229562821</v>
      </c>
      <c r="SW12" s="1025">
        <v>0</v>
      </c>
      <c r="SX12" s="1025">
        <v>-2.1136701275229999E-2</v>
      </c>
      <c r="SY12" s="1025">
        <v>0</v>
      </c>
      <c r="SZ12" s="1025">
        <v>0</v>
      </c>
      <c r="TA12" s="1025">
        <v>0</v>
      </c>
      <c r="TB12" s="1025">
        <v>-2.8970322956282102</v>
      </c>
      <c r="TC12" s="1025">
        <v>0</v>
      </c>
      <c r="TD12" s="1025">
        <v>0</v>
      </c>
      <c r="TE12" s="1025">
        <v>0</v>
      </c>
      <c r="TF12" s="1025">
        <v>0</v>
      </c>
      <c r="TG12" s="1025">
        <v>0</v>
      </c>
      <c r="TH12" s="1025">
        <v>0</v>
      </c>
      <c r="TI12" s="1025">
        <v>0</v>
      </c>
      <c r="TJ12" s="1025">
        <v>0</v>
      </c>
      <c r="TK12" s="1025">
        <v>0</v>
      </c>
      <c r="TL12" s="1025">
        <v>0</v>
      </c>
      <c r="TM12" s="1025">
        <v>0</v>
      </c>
      <c r="TN12" s="1025">
        <v>0</v>
      </c>
      <c r="TO12" s="1025">
        <v>0</v>
      </c>
      <c r="TP12" s="1025">
        <v>-81.790000000000006</v>
      </c>
      <c r="TQ12" s="1025">
        <v>-19.37</v>
      </c>
      <c r="TR12" s="1025">
        <v>0</v>
      </c>
      <c r="TS12" s="1025">
        <v>0</v>
      </c>
      <c r="TT12" s="1025">
        <v>0</v>
      </c>
      <c r="TU12" s="1025">
        <v>0</v>
      </c>
      <c r="TV12" s="1025">
        <v>0</v>
      </c>
      <c r="TW12" s="1025">
        <v>0</v>
      </c>
      <c r="TX12" s="1025">
        <v>0</v>
      </c>
      <c r="TY12" s="1025">
        <v>0</v>
      </c>
      <c r="TZ12" s="1025">
        <v>0</v>
      </c>
      <c r="UA12" s="1025">
        <v>0</v>
      </c>
      <c r="UB12" s="1025">
        <v>0</v>
      </c>
      <c r="UC12" s="1025">
        <v>0</v>
      </c>
      <c r="UD12" s="1025">
        <v>0</v>
      </c>
      <c r="UE12" s="1025">
        <v>0</v>
      </c>
      <c r="UF12" s="1025">
        <v>0</v>
      </c>
      <c r="UG12" s="1025">
        <v>0</v>
      </c>
      <c r="UH12" s="1025">
        <v>0</v>
      </c>
      <c r="UI12" s="1025">
        <v>0</v>
      </c>
      <c r="UJ12" s="1025">
        <v>0</v>
      </c>
      <c r="UK12" s="1025">
        <v>0</v>
      </c>
      <c r="UL12" s="1025">
        <v>0</v>
      </c>
      <c r="UM12" s="1025">
        <v>0</v>
      </c>
      <c r="UN12" s="1025">
        <v>0</v>
      </c>
      <c r="UO12" s="1025">
        <v>0</v>
      </c>
      <c r="UP12" s="1025">
        <v>0</v>
      </c>
      <c r="UQ12" s="1025">
        <v>0</v>
      </c>
      <c r="UR12" s="1025">
        <v>0</v>
      </c>
      <c r="US12" s="1025">
        <v>0</v>
      </c>
      <c r="UT12" s="1025">
        <v>0.65215627945054999</v>
      </c>
      <c r="UU12" s="1025">
        <v>0</v>
      </c>
      <c r="UV12" s="1025">
        <v>0</v>
      </c>
      <c r="UW12" s="1025">
        <v>0</v>
      </c>
      <c r="UX12" s="1025">
        <v>0</v>
      </c>
      <c r="UY12" s="1025">
        <v>0</v>
      </c>
      <c r="UZ12" s="1025">
        <v>-4.2417674051300001E-2</v>
      </c>
      <c r="VA12" s="1025">
        <v>0</v>
      </c>
      <c r="VB12" s="1025">
        <v>0</v>
      </c>
      <c r="VC12" s="1025">
        <v>0</v>
      </c>
      <c r="VD12" s="1025">
        <v>-1.067061072834E-2</v>
      </c>
      <c r="VE12" s="1025">
        <v>-10.00000000001285</v>
      </c>
      <c r="VF12" s="1025">
        <v>0</v>
      </c>
      <c r="VG12" s="1025">
        <v>0</v>
      </c>
      <c r="VH12" s="1025">
        <v>0</v>
      </c>
      <c r="VI12" s="1025">
        <v>0</v>
      </c>
      <c r="VJ12" s="1025">
        <v>0</v>
      </c>
      <c r="VK12" s="1025">
        <v>-2.45391336104348</v>
      </c>
      <c r="VL12" s="1025">
        <v>0</v>
      </c>
      <c r="VM12" s="1025">
        <v>0</v>
      </c>
      <c r="VN12" s="1025">
        <v>0</v>
      </c>
      <c r="VO12" s="1025">
        <v>0</v>
      </c>
      <c r="VP12" s="1025">
        <v>0</v>
      </c>
      <c r="VQ12" s="1025">
        <v>0</v>
      </c>
      <c r="VR12" s="1010">
        <v>0</v>
      </c>
      <c r="VS12" s="1010">
        <v>0</v>
      </c>
      <c r="VT12" s="1010">
        <v>0</v>
      </c>
      <c r="VU12" s="1010">
        <v>0</v>
      </c>
      <c r="VV12" s="1010">
        <v>0</v>
      </c>
      <c r="VW12" s="1010">
        <v>0</v>
      </c>
      <c r="VX12" s="1025">
        <v>0</v>
      </c>
      <c r="VY12" s="1025">
        <v>0</v>
      </c>
      <c r="VZ12" s="1025">
        <v>0</v>
      </c>
      <c r="WA12" s="1025">
        <v>0</v>
      </c>
      <c r="WB12" s="1025">
        <v>0</v>
      </c>
      <c r="WC12" s="1025">
        <v>0</v>
      </c>
      <c r="WD12" s="995">
        <v>202</v>
      </c>
      <c r="WE12" s="995">
        <v>267</v>
      </c>
      <c r="WF12" s="995">
        <v>354</v>
      </c>
      <c r="WG12" s="995">
        <v>382</v>
      </c>
      <c r="WH12" s="995">
        <v>403</v>
      </c>
      <c r="WI12" s="995">
        <v>0</v>
      </c>
      <c r="WJ12" s="995">
        <v>1300</v>
      </c>
      <c r="WK12" s="1001">
        <v>0</v>
      </c>
      <c r="WL12" s="1001">
        <v>0</v>
      </c>
      <c r="WM12" s="1001">
        <v>0</v>
      </c>
      <c r="WN12" s="1001">
        <v>0</v>
      </c>
      <c r="WO12" s="1001">
        <v>0</v>
      </c>
      <c r="WP12" s="1001">
        <v>0</v>
      </c>
      <c r="WQ12" s="1001">
        <v>0</v>
      </c>
      <c r="WR12" s="1001">
        <v>0</v>
      </c>
      <c r="WS12" s="1001">
        <v>0</v>
      </c>
      <c r="WT12" s="1001">
        <v>0</v>
      </c>
      <c r="WU12" s="1001">
        <v>0</v>
      </c>
      <c r="WV12" s="1001">
        <v>0</v>
      </c>
      <c r="WW12" s="1001">
        <v>0</v>
      </c>
      <c r="WX12" s="1001">
        <v>0</v>
      </c>
      <c r="WY12" s="1001">
        <v>0</v>
      </c>
      <c r="WZ12" s="1001">
        <v>0</v>
      </c>
      <c r="XA12" s="1001">
        <v>0</v>
      </c>
      <c r="XB12" s="1001">
        <v>0</v>
      </c>
      <c r="XC12" s="1001">
        <v>0</v>
      </c>
      <c r="XD12" s="1001">
        <v>0</v>
      </c>
      <c r="XE12" s="1001">
        <v>0</v>
      </c>
      <c r="XF12" s="1001">
        <v>0</v>
      </c>
      <c r="XG12" s="1001">
        <v>0</v>
      </c>
      <c r="XH12" s="1001">
        <v>0</v>
      </c>
      <c r="XI12" s="1001">
        <v>0</v>
      </c>
      <c r="XJ12" s="1001">
        <v>0</v>
      </c>
      <c r="XK12" s="1001">
        <v>0</v>
      </c>
      <c r="XL12" s="1001">
        <v>0</v>
      </c>
      <c r="XM12" s="1001">
        <v>0</v>
      </c>
      <c r="XN12" s="1001">
        <v>0</v>
      </c>
      <c r="XO12" s="1001">
        <v>0</v>
      </c>
      <c r="XP12" s="1001">
        <v>0</v>
      </c>
      <c r="XQ12" s="1001">
        <v>0</v>
      </c>
      <c r="XR12" s="1027">
        <v>76</v>
      </c>
      <c r="XS12" s="1013">
        <v>60.292275574112736</v>
      </c>
      <c r="XT12" s="1013">
        <v>66.638830897703542</v>
      </c>
      <c r="XU12" s="1013">
        <v>69.812108559498952</v>
      </c>
      <c r="XV12" s="1013">
        <v>107.25678496868477</v>
      </c>
      <c r="XW12" s="1028">
        <v>16793.08858</v>
      </c>
      <c r="XX12" s="1013">
        <v>80</v>
      </c>
      <c r="XY12" s="1013">
        <v>8</v>
      </c>
      <c r="XZ12" s="1013">
        <v>12</v>
      </c>
      <c r="YA12" s="1029">
        <v>0</v>
      </c>
      <c r="YB12" s="1013">
        <v>1129.2844495021875</v>
      </c>
      <c r="YC12" s="1013">
        <v>0</v>
      </c>
      <c r="YD12" s="1013">
        <v>0</v>
      </c>
      <c r="YE12" s="1013">
        <v>0</v>
      </c>
      <c r="YF12" s="1013">
        <v>0</v>
      </c>
      <c r="YG12" s="1013">
        <v>0</v>
      </c>
      <c r="YH12" s="1013">
        <v>2258.568899004375</v>
      </c>
      <c r="YI12" s="1013">
        <v>245.49661945699728</v>
      </c>
      <c r="YJ12" s="1013">
        <v>1211.4460116176717</v>
      </c>
      <c r="YK12" s="1013">
        <v>0</v>
      </c>
      <c r="YL12" s="1013">
        <v>0</v>
      </c>
      <c r="YM12" s="1013">
        <v>0</v>
      </c>
      <c r="YN12" s="1013">
        <v>0</v>
      </c>
      <c r="YO12" s="1013">
        <v>0</v>
      </c>
      <c r="YP12" s="1013">
        <v>2422.8920232353435</v>
      </c>
      <c r="YQ12" s="1013">
        <v>263.35782861253733</v>
      </c>
      <c r="YR12" s="1013">
        <v>1269.1339169327991</v>
      </c>
      <c r="YS12" s="1013">
        <v>0</v>
      </c>
      <c r="YT12" s="1013">
        <v>0</v>
      </c>
      <c r="YU12" s="1013">
        <v>0</v>
      </c>
      <c r="YV12" s="1013">
        <v>0</v>
      </c>
      <c r="YW12" s="1013">
        <v>0</v>
      </c>
      <c r="YX12" s="1013">
        <v>2538.2678338655983</v>
      </c>
      <c r="YY12" s="1013">
        <v>275.89867759408673</v>
      </c>
      <c r="YZ12" s="1013">
        <v>1949.8511996513005</v>
      </c>
      <c r="ZA12" s="1013">
        <v>0</v>
      </c>
      <c r="ZB12" s="1013">
        <v>0</v>
      </c>
      <c r="ZC12" s="1013">
        <v>0</v>
      </c>
      <c r="ZD12" s="1013">
        <v>0</v>
      </c>
      <c r="ZE12" s="1013">
        <v>0</v>
      </c>
      <c r="ZF12" s="1013">
        <v>3899.702399302601</v>
      </c>
      <c r="ZG12" s="1013">
        <v>423.88069557636965</v>
      </c>
      <c r="ZH12" s="1013">
        <v>1151.3682342924528</v>
      </c>
      <c r="ZI12" s="1013">
        <v>1001.1897689499589</v>
      </c>
      <c r="ZJ12" s="1013">
        <v>300.35693068498762</v>
      </c>
      <c r="ZK12" s="1013">
        <v>0</v>
      </c>
      <c r="ZL12" s="1013">
        <v>0</v>
      </c>
      <c r="ZM12" s="1013">
        <v>0</v>
      </c>
      <c r="ZN12" s="1013">
        <v>2302.7364685849057</v>
      </c>
      <c r="ZO12" s="1013">
        <v>250.29744223748972</v>
      </c>
      <c r="ZP12" s="1013">
        <v>1235.1365114004175</v>
      </c>
      <c r="ZQ12" s="1013">
        <v>1074.0317490438413</v>
      </c>
      <c r="ZR12" s="1013">
        <v>322.20952471315235</v>
      </c>
      <c r="ZS12" s="1013">
        <v>0</v>
      </c>
      <c r="ZT12" s="1013">
        <v>0</v>
      </c>
      <c r="ZU12" s="1013">
        <v>0</v>
      </c>
      <c r="ZV12" s="1013">
        <v>2470.273022800835</v>
      </c>
      <c r="ZW12" s="1013">
        <v>268.50793726096032</v>
      </c>
      <c r="ZX12" s="1013">
        <v>1293.9525357528182</v>
      </c>
      <c r="ZY12" s="1013">
        <v>1125.1761180459289</v>
      </c>
      <c r="ZZ12" s="1013">
        <v>337.55283541377867</v>
      </c>
      <c r="AAA12" s="1013">
        <v>0</v>
      </c>
      <c r="AAB12" s="1013">
        <v>0</v>
      </c>
      <c r="AAC12" s="1013">
        <v>0</v>
      </c>
      <c r="AAD12" s="1013">
        <v>2587.9050715056364</v>
      </c>
      <c r="AAE12" s="1013">
        <v>281.29402951148222</v>
      </c>
      <c r="AAF12" s="1013">
        <v>1987.9816231111483</v>
      </c>
      <c r="AAG12" s="1013">
        <v>1728.6796722705637</v>
      </c>
      <c r="AAH12" s="1013">
        <v>518.60390168116908</v>
      </c>
      <c r="AAI12" s="1013">
        <v>0</v>
      </c>
      <c r="AAJ12" s="1013">
        <v>0</v>
      </c>
      <c r="AAK12" s="1013">
        <v>0</v>
      </c>
      <c r="AAL12" s="1013">
        <v>3975.9632462222967</v>
      </c>
      <c r="AAM12" s="1013">
        <v>432.16991806764094</v>
      </c>
      <c r="AAN12" s="1013">
        <v>3064.1251396492694</v>
      </c>
      <c r="AAO12" s="1013">
        <v>2664.4566431732778</v>
      </c>
      <c r="AAP12" s="1013">
        <v>799.33699295198323</v>
      </c>
      <c r="AAQ12" s="1013">
        <v>0</v>
      </c>
      <c r="AAR12" s="1013">
        <v>0</v>
      </c>
      <c r="AAS12" s="1013">
        <v>0</v>
      </c>
      <c r="AAT12" s="1013">
        <v>6128.2502792985388</v>
      </c>
      <c r="AAU12" s="1013">
        <v>666.11416079331946</v>
      </c>
      <c r="AAV12" s="1013">
        <v>3386.664628033403</v>
      </c>
      <c r="AAW12" s="1013">
        <v>2944.9257635073068</v>
      </c>
      <c r="AAX12" s="1013">
        <v>883.47772905219199</v>
      </c>
      <c r="AAY12" s="1013">
        <v>0</v>
      </c>
      <c r="AAZ12" s="1013">
        <v>0</v>
      </c>
      <c r="ABA12" s="1013">
        <v>0</v>
      </c>
      <c r="ABB12" s="1013">
        <v>6773.329256066806</v>
      </c>
      <c r="ABC12" s="1013">
        <v>736.2314408768267</v>
      </c>
      <c r="ABD12" s="1013">
        <v>3547.9343722254698</v>
      </c>
      <c r="ABE12" s="1013">
        <v>3085.1603236743213</v>
      </c>
      <c r="ABF12" s="1013">
        <v>925.54809710229631</v>
      </c>
      <c r="ABG12" s="1013">
        <v>0</v>
      </c>
      <c r="ABH12" s="1013">
        <v>0</v>
      </c>
      <c r="ABI12" s="1013">
        <v>0</v>
      </c>
      <c r="ABJ12" s="1013">
        <v>7095.8687444509396</v>
      </c>
      <c r="ABK12" s="1013">
        <v>771.29008091858032</v>
      </c>
      <c r="ABL12" s="1013">
        <v>5450.9173536918588</v>
      </c>
      <c r="ABM12" s="1013">
        <v>4739.928133645094</v>
      </c>
      <c r="ABN12" s="1013">
        <v>1421.9784400935282</v>
      </c>
      <c r="ABO12" s="1013">
        <v>0</v>
      </c>
      <c r="ABP12" s="1013">
        <v>0</v>
      </c>
      <c r="ABQ12" s="1013">
        <v>0</v>
      </c>
      <c r="ABR12" s="1013">
        <v>10901.834707383718</v>
      </c>
      <c r="ABS12" s="1013">
        <v>1184.9820334112735</v>
      </c>
      <c r="ABT12" s="1013">
        <v>4215.493373941722</v>
      </c>
      <c r="ABU12" s="1013">
        <v>3665.6464121232366</v>
      </c>
      <c r="ABV12" s="1013">
        <v>1099.6939236369708</v>
      </c>
      <c r="ABW12" s="1013">
        <v>0</v>
      </c>
      <c r="ABX12" s="1013">
        <v>0</v>
      </c>
      <c r="ABY12" s="1013">
        <v>0</v>
      </c>
      <c r="ABZ12" s="1013">
        <v>8430.986747883444</v>
      </c>
      <c r="ACA12" s="1013">
        <v>916.41160303080915</v>
      </c>
      <c r="ACB12" s="1013">
        <v>4462.4286863498955</v>
      </c>
      <c r="ACC12" s="1013">
        <v>3880.3727707390399</v>
      </c>
      <c r="ACD12" s="1013">
        <v>1164.1118312217118</v>
      </c>
      <c r="ACE12" s="1013">
        <v>0</v>
      </c>
      <c r="ACF12" s="1013">
        <v>0</v>
      </c>
      <c r="ACG12" s="1013">
        <v>0</v>
      </c>
      <c r="ACH12" s="1013">
        <v>8924.8573726997911</v>
      </c>
      <c r="ACI12" s="1013">
        <v>970.09319268475997</v>
      </c>
      <c r="ACJ12" s="1013">
        <v>4674.9252904617952</v>
      </c>
      <c r="ACK12" s="1013">
        <v>4065.1524264885174</v>
      </c>
      <c r="ACL12" s="1013">
        <v>1219.5457279465552</v>
      </c>
      <c r="ACM12" s="1013">
        <v>0</v>
      </c>
      <c r="ACN12" s="1013">
        <v>0</v>
      </c>
      <c r="ACO12" s="1013">
        <v>0</v>
      </c>
      <c r="ACP12" s="1013">
        <v>9349.8505809235903</v>
      </c>
      <c r="ACQ12" s="1013">
        <v>1016.2881066221294</v>
      </c>
      <c r="ACR12" s="1013">
        <v>7182.3852189822137</v>
      </c>
      <c r="ACS12" s="1013">
        <v>6245.5523643323595</v>
      </c>
      <c r="ACT12" s="1013">
        <v>1873.6657092997077</v>
      </c>
      <c r="ACU12" s="1013">
        <v>0</v>
      </c>
      <c r="ACV12" s="1013">
        <v>0</v>
      </c>
      <c r="ACW12" s="1013">
        <v>0</v>
      </c>
      <c r="ACX12" s="1013">
        <v>14364.770437964427</v>
      </c>
      <c r="ACY12" s="1013">
        <v>1561.3880910830899</v>
      </c>
      <c r="ACZ12" s="1013">
        <v>5459.7138851932432</v>
      </c>
      <c r="ADA12" s="1013">
        <v>4747.5772914723848</v>
      </c>
      <c r="ADB12" s="1013">
        <v>1424.2731874417154</v>
      </c>
      <c r="ADC12" s="1013">
        <v>0</v>
      </c>
      <c r="ADD12" s="1013">
        <v>0</v>
      </c>
      <c r="ADE12" s="1013">
        <v>0</v>
      </c>
      <c r="ADF12" s="1013">
        <v>10919.427770386486</v>
      </c>
      <c r="ADG12" s="1013">
        <v>1186.8943228680962</v>
      </c>
      <c r="ADH12" s="1013">
        <v>5837.0160941987479</v>
      </c>
      <c r="ADI12" s="1013">
        <v>5075.6661688684762</v>
      </c>
      <c r="ADJ12" s="1013">
        <v>1522.6998506605428</v>
      </c>
      <c r="ADK12" s="1013">
        <v>0</v>
      </c>
      <c r="ADL12" s="1013">
        <v>0</v>
      </c>
      <c r="ADM12" s="1013">
        <v>0</v>
      </c>
      <c r="ADN12" s="1013">
        <v>11674.032188397496</v>
      </c>
      <c r="ADO12" s="1013">
        <v>1268.9165422171191</v>
      </c>
      <c r="ADP12" s="1013">
        <v>6114.9692415415448</v>
      </c>
      <c r="ADQ12" s="1013">
        <v>5317.3645578622127</v>
      </c>
      <c r="ADR12" s="1013">
        <v>1595.2093673586637</v>
      </c>
      <c r="ADS12" s="1013">
        <v>0</v>
      </c>
      <c r="ADT12" s="1013">
        <v>0</v>
      </c>
      <c r="ADU12" s="1013">
        <v>0</v>
      </c>
      <c r="ADV12" s="1013">
        <v>12229.93848308309</v>
      </c>
      <c r="ADW12" s="1013">
        <v>1329.3411394655532</v>
      </c>
      <c r="ADX12" s="1013">
        <v>9394.8163801865576</v>
      </c>
      <c r="ADY12" s="1013">
        <v>8169.40554798831</v>
      </c>
      <c r="ADZ12" s="1013">
        <v>2450.8216643964929</v>
      </c>
      <c r="AEA12" s="1013">
        <v>0</v>
      </c>
      <c r="AEB12" s="1013">
        <v>0</v>
      </c>
      <c r="AEC12" s="1013">
        <v>0</v>
      </c>
      <c r="AED12" s="1013">
        <v>18789.632760373115</v>
      </c>
      <c r="AEE12" s="1013">
        <v>2042.3513869970775</v>
      </c>
      <c r="AEF12" s="1013">
        <v>6666.7934856611382</v>
      </c>
      <c r="AEG12" s="1013">
        <v>5797.2117266618588</v>
      </c>
      <c r="AEH12" s="1013">
        <v>1739.1635179985576</v>
      </c>
      <c r="AEI12" s="1013">
        <v>0</v>
      </c>
      <c r="AEJ12" s="1013">
        <v>0</v>
      </c>
      <c r="AEK12" s="1013">
        <v>0</v>
      </c>
      <c r="AEL12" s="1013">
        <v>13333.586971322276</v>
      </c>
      <c r="AEM12" s="1013">
        <v>1449.3029316654647</v>
      </c>
      <c r="AEN12" s="1013">
        <v>7171.7603887766181</v>
      </c>
      <c r="AEO12" s="1013">
        <v>6236.3133815448855</v>
      </c>
      <c r="AEP12" s="1013">
        <v>1870.8940144634653</v>
      </c>
      <c r="AEQ12" s="1013">
        <v>0</v>
      </c>
      <c r="AER12" s="1013">
        <v>0</v>
      </c>
      <c r="AES12" s="1013">
        <v>0</v>
      </c>
      <c r="AET12" s="1013">
        <v>14343.520777553236</v>
      </c>
      <c r="AEU12" s="1013">
        <v>1559.0783453862214</v>
      </c>
      <c r="AEV12" s="1013">
        <v>7513.2727882421714</v>
      </c>
      <c r="AEW12" s="1013">
        <v>6533.2806854279752</v>
      </c>
      <c r="AEX12" s="1013">
        <v>1959.9842056283924</v>
      </c>
      <c r="AEY12" s="1013">
        <v>0</v>
      </c>
      <c r="AEZ12" s="1013">
        <v>0</v>
      </c>
      <c r="AFA12" s="1013">
        <v>0</v>
      </c>
      <c r="AFB12" s="1013">
        <v>15026.545576484343</v>
      </c>
      <c r="AFC12" s="1013">
        <v>1633.3201713569938</v>
      </c>
      <c r="AFD12" s="1013">
        <v>11543.119101935699</v>
      </c>
      <c r="AFE12" s="1013">
        <v>10037.494871248435</v>
      </c>
      <c r="AFF12" s="1013">
        <v>3011.2484613745301</v>
      </c>
      <c r="AFG12" s="1013">
        <v>0</v>
      </c>
      <c r="AFH12" s="1013">
        <v>0</v>
      </c>
      <c r="AFI12" s="1013">
        <v>0</v>
      </c>
      <c r="AFJ12" s="1013">
        <v>23086.238203871399</v>
      </c>
      <c r="AFK12" s="1013">
        <v>2509.3737178121087</v>
      </c>
      <c r="AFL12" s="1023">
        <v>7688.1685322108951</v>
      </c>
      <c r="AFM12" s="1023">
        <v>6685.3639410529522</v>
      </c>
      <c r="AFN12" s="1023">
        <v>2005.6091823158854</v>
      </c>
      <c r="AFO12" s="1023">
        <v>0</v>
      </c>
      <c r="AFP12" s="1023">
        <v>0</v>
      </c>
      <c r="AFQ12" s="1023">
        <v>0</v>
      </c>
      <c r="AFR12" s="1023">
        <v>15376.33706442179</v>
      </c>
      <c r="AFS12" s="1023">
        <v>1671.3409852632381</v>
      </c>
      <c r="AFT12" s="1023">
        <v>8167.838220551148</v>
      </c>
      <c r="AFU12" s="1023">
        <v>7102.4680178705639</v>
      </c>
      <c r="AFV12" s="1023">
        <v>2130.740405361169</v>
      </c>
      <c r="AFW12" s="1023">
        <v>0</v>
      </c>
      <c r="AFX12" s="1023">
        <v>0</v>
      </c>
      <c r="AFY12" s="1023">
        <v>0</v>
      </c>
      <c r="AFZ12" s="1023">
        <v>16335.676441102296</v>
      </c>
      <c r="AGA12" s="1023">
        <v>1775.617004467641</v>
      </c>
      <c r="AGB12" s="1023">
        <v>8556.7828977202498</v>
      </c>
      <c r="AGC12" s="1023">
        <v>7440.6807806263041</v>
      </c>
      <c r="AGD12" s="1023">
        <v>2232.204234187891</v>
      </c>
      <c r="AGE12" s="1023">
        <v>0</v>
      </c>
      <c r="AGF12" s="1023">
        <v>0</v>
      </c>
      <c r="AGG12" s="1023">
        <v>0</v>
      </c>
      <c r="AGH12" s="1023">
        <v>17113.5657954405</v>
      </c>
      <c r="AGI12" s="1023">
        <v>1860.170195156576</v>
      </c>
      <c r="AGJ12" s="1023">
        <v>13146.330088315659</v>
      </c>
      <c r="AGK12" s="1023">
        <v>11431.591381144051</v>
      </c>
      <c r="AGL12" s="1023">
        <v>3429.4774143432151</v>
      </c>
      <c r="AGM12" s="1023">
        <v>0</v>
      </c>
      <c r="AGN12" s="1023">
        <v>0</v>
      </c>
      <c r="AGO12" s="1023">
        <v>0</v>
      </c>
      <c r="AGP12" s="1023">
        <v>26292.660176631318</v>
      </c>
      <c r="AGQ12" s="1023">
        <v>2857.8978452860129</v>
      </c>
      <c r="AGR12" s="1030">
        <v>3064.1251396492694</v>
      </c>
      <c r="AGS12" s="1030">
        <v>2664.4566431732778</v>
      </c>
      <c r="AGT12" s="1030">
        <v>799.33699295198323</v>
      </c>
      <c r="AGU12" s="1030">
        <v>0</v>
      </c>
      <c r="AGV12" s="1030">
        <v>0</v>
      </c>
      <c r="AGW12" s="1030">
        <v>0</v>
      </c>
      <c r="AGX12" s="1030">
        <v>6128.2502792985388</v>
      </c>
      <c r="AGY12" s="1030">
        <v>666.11416079331946</v>
      </c>
      <c r="AGZ12" s="1030">
        <v>3386.664628033403</v>
      </c>
      <c r="AHA12" s="1030">
        <v>2944.9257635073068</v>
      </c>
      <c r="AHB12" s="1030">
        <v>883.47772905219199</v>
      </c>
      <c r="AHC12" s="1030">
        <v>0</v>
      </c>
      <c r="AHD12" s="1030">
        <v>0</v>
      </c>
      <c r="AHE12" s="1030">
        <v>0</v>
      </c>
      <c r="AHF12" s="1030">
        <v>6773.329256066806</v>
      </c>
      <c r="AHG12" s="1030">
        <v>736.2314408768267</v>
      </c>
      <c r="AHH12" s="1030">
        <v>3547.9343722254698</v>
      </c>
      <c r="AHI12" s="1030">
        <v>3085.1603236743213</v>
      </c>
      <c r="AHJ12" s="1030">
        <v>925.54809710229631</v>
      </c>
      <c r="AHK12" s="1030">
        <v>0</v>
      </c>
      <c r="AHL12" s="1030">
        <v>0</v>
      </c>
      <c r="AHM12" s="1030">
        <v>0</v>
      </c>
      <c r="AHN12" s="1030">
        <v>7095.8687444509396</v>
      </c>
      <c r="AHO12" s="1030">
        <v>771.29008091858032</v>
      </c>
      <c r="AHP12" s="1030">
        <v>5450.9173536918588</v>
      </c>
      <c r="AHQ12" s="1030">
        <v>4739.928133645094</v>
      </c>
      <c r="AHR12" s="1030">
        <v>1421.9784400935282</v>
      </c>
      <c r="AHS12" s="1030">
        <v>0</v>
      </c>
      <c r="AHT12" s="1030">
        <v>0</v>
      </c>
      <c r="AHU12" s="1030">
        <v>0</v>
      </c>
      <c r="AHV12" s="1030">
        <v>10901.834707383718</v>
      </c>
      <c r="AHW12" s="1030">
        <v>1184.9820334112735</v>
      </c>
      <c r="AHX12" s="1013">
        <v>165</v>
      </c>
      <c r="AHY12" s="1023">
        <v>0</v>
      </c>
      <c r="AHZ12" s="1023">
        <v>0</v>
      </c>
      <c r="AIA12" s="1023">
        <v>0</v>
      </c>
      <c r="AIB12" s="1023">
        <v>0</v>
      </c>
      <c r="AIC12" s="1023">
        <v>0</v>
      </c>
      <c r="AID12" s="1023">
        <v>0</v>
      </c>
      <c r="AIE12" s="1023">
        <v>0</v>
      </c>
      <c r="AIF12" s="1013">
        <v>420</v>
      </c>
      <c r="AIG12" s="1013">
        <v>32.409999999999997</v>
      </c>
      <c r="AIH12" s="1013">
        <v>27.01</v>
      </c>
      <c r="AII12" s="1013">
        <v>0</v>
      </c>
      <c r="AIJ12" s="1013">
        <v>2.52</v>
      </c>
      <c r="AIK12" s="1013">
        <v>3.06</v>
      </c>
      <c r="AIL12" s="1013">
        <v>0</v>
      </c>
      <c r="AIM12" s="1013">
        <v>0</v>
      </c>
      <c r="AIN12" s="1016">
        <v>350</v>
      </c>
      <c r="AIO12" s="1016">
        <v>64.819999999999993</v>
      </c>
      <c r="AIP12" s="1017">
        <v>54.02</v>
      </c>
      <c r="AIQ12" s="1017">
        <v>0</v>
      </c>
      <c r="AIR12" s="1017">
        <v>5.04</v>
      </c>
      <c r="AIS12" s="1017">
        <v>6.12</v>
      </c>
      <c r="AIT12" s="1017">
        <v>0</v>
      </c>
      <c r="AIU12" s="1017">
        <v>0</v>
      </c>
      <c r="AIV12" s="1013">
        <v>120</v>
      </c>
      <c r="AIW12" s="1013">
        <v>47.37</v>
      </c>
      <c r="AIX12" s="1013">
        <v>39.47</v>
      </c>
      <c r="AIY12" s="1013">
        <v>0</v>
      </c>
      <c r="AIZ12" s="1013">
        <v>3.68</v>
      </c>
      <c r="AJA12" s="1013">
        <v>4.4800000000000004</v>
      </c>
      <c r="AJB12" s="1013">
        <v>0</v>
      </c>
      <c r="AJC12" s="1013">
        <v>0</v>
      </c>
      <c r="AJD12" s="1013">
        <v>129.6</v>
      </c>
      <c r="AJE12" s="1013">
        <v>96.93</v>
      </c>
      <c r="AJF12" s="1013">
        <v>80.78</v>
      </c>
      <c r="AJG12" s="1013">
        <v>0</v>
      </c>
      <c r="AJH12" s="1013">
        <v>7.54</v>
      </c>
      <c r="AJI12" s="1013">
        <v>9.15</v>
      </c>
      <c r="AJJ12" s="1013">
        <v>0</v>
      </c>
      <c r="AJK12" s="1013">
        <v>0</v>
      </c>
      <c r="AJL12" s="1013">
        <v>160</v>
      </c>
      <c r="AJM12" s="1013">
        <v>17.45</v>
      </c>
      <c r="AJN12" s="1013">
        <v>14.54</v>
      </c>
      <c r="AJO12" s="1013">
        <v>0</v>
      </c>
      <c r="AJP12" s="1013">
        <v>1.36</v>
      </c>
      <c r="AJQ12" s="1013">
        <v>1.65</v>
      </c>
      <c r="AJR12" s="1013">
        <v>0</v>
      </c>
      <c r="AJS12" s="1013">
        <v>0</v>
      </c>
      <c r="AJT12" s="1029" t="s">
        <v>858</v>
      </c>
      <c r="AJU12" s="988" t="s">
        <v>861</v>
      </c>
      <c r="AJV12" s="988" t="s">
        <v>860</v>
      </c>
      <c r="AJW12" s="988" t="s">
        <v>859</v>
      </c>
      <c r="AJX12" s="988" t="s">
        <v>870</v>
      </c>
      <c r="AJY12" s="988" t="s">
        <v>871</v>
      </c>
      <c r="AJZ12" s="988" t="s">
        <v>872</v>
      </c>
      <c r="AKA12" s="988" t="s">
        <v>873</v>
      </c>
      <c r="AKB12" s="988" t="s">
        <v>874</v>
      </c>
      <c r="AKC12" s="988" t="s">
        <v>875</v>
      </c>
      <c r="AKD12" s="1013">
        <v>113.29225352112675</v>
      </c>
      <c r="AKE12" s="1013">
        <v>0</v>
      </c>
      <c r="AKF12" s="1013">
        <v>0</v>
      </c>
      <c r="AKG12" s="1013">
        <v>0</v>
      </c>
      <c r="AKH12" s="1013">
        <v>0</v>
      </c>
      <c r="AKI12" s="1013">
        <v>0</v>
      </c>
      <c r="AKJ12" s="1013">
        <v>1.742957746478873</v>
      </c>
      <c r="AKK12" s="1013">
        <v>8.714788732394366</v>
      </c>
      <c r="AKL12" s="1013">
        <v>333.01056338028161</v>
      </c>
      <c r="AKM12" s="1013">
        <v>0</v>
      </c>
      <c r="AKN12" s="1013">
        <v>0</v>
      </c>
      <c r="AKO12" s="1013">
        <v>0</v>
      </c>
      <c r="AKP12" s="1013">
        <v>0</v>
      </c>
      <c r="AKQ12" s="1013">
        <v>0</v>
      </c>
      <c r="AKR12" s="1013">
        <v>5.1232394366197171</v>
      </c>
      <c r="AKS12" s="1013">
        <v>25.616197183098588</v>
      </c>
      <c r="AKT12" s="1016">
        <v>329.57746478873236</v>
      </c>
      <c r="AKU12" s="1016">
        <v>0</v>
      </c>
      <c r="AKV12" s="1017">
        <v>0</v>
      </c>
      <c r="AKW12" s="1017">
        <v>0</v>
      </c>
      <c r="AKX12" s="1017">
        <v>0</v>
      </c>
      <c r="AKY12" s="1017">
        <v>0</v>
      </c>
      <c r="AKZ12" s="1017">
        <v>5.0704225352112671</v>
      </c>
      <c r="ALA12" s="1017">
        <v>25.35211267605634</v>
      </c>
      <c r="ALB12" s="1013">
        <v>147.62323943661971</v>
      </c>
      <c r="ALC12" s="1013">
        <v>0</v>
      </c>
      <c r="ALD12" s="1013">
        <v>0</v>
      </c>
      <c r="ALE12" s="1013">
        <v>0</v>
      </c>
      <c r="ALF12" s="1013">
        <v>0</v>
      </c>
      <c r="ALG12" s="1013">
        <v>0</v>
      </c>
      <c r="ALH12" s="1013">
        <v>2.27112676056338</v>
      </c>
      <c r="ALI12" s="1013">
        <v>11.355633802816902</v>
      </c>
      <c r="ALJ12" s="1013">
        <v>222.46478873239434</v>
      </c>
      <c r="ALK12" s="1013">
        <v>0</v>
      </c>
      <c r="ALL12" s="1013">
        <v>0</v>
      </c>
      <c r="ALM12" s="1013">
        <v>0</v>
      </c>
      <c r="ALN12" s="1013">
        <v>0</v>
      </c>
      <c r="ALO12" s="1013">
        <v>0</v>
      </c>
      <c r="ALP12" s="1013">
        <v>3.4225352112676051</v>
      </c>
      <c r="ALQ12" s="1013">
        <v>17.112676056338028</v>
      </c>
      <c r="ALR12" s="1013">
        <v>133.89084507042253</v>
      </c>
      <c r="ALS12" s="1013">
        <v>0</v>
      </c>
      <c r="ALT12" s="1013">
        <v>0</v>
      </c>
      <c r="ALU12" s="1013">
        <v>0</v>
      </c>
      <c r="ALV12" s="1013">
        <v>0</v>
      </c>
      <c r="ALW12" s="1013">
        <v>0</v>
      </c>
      <c r="ALX12" s="1013">
        <v>2.0598591549295771</v>
      </c>
      <c r="ALY12" s="1013">
        <v>10.299295774647888</v>
      </c>
    </row>
    <row r="13" spans="1:1013" ht="18" customHeight="1">
      <c r="A13" s="1259" t="s">
        <v>4</v>
      </c>
      <c r="B13" s="1260" t="s">
        <v>3063</v>
      </c>
      <c r="C13" s="1260">
        <v>2022</v>
      </c>
      <c r="D13" s="1269"/>
      <c r="E13" s="1270">
        <v>0.3</v>
      </c>
      <c r="F13" s="1271">
        <v>0.6</v>
      </c>
      <c r="G13" s="1271">
        <v>0.6</v>
      </c>
      <c r="H13" s="76">
        <v>684.41441441441441</v>
      </c>
      <c r="I13" s="72">
        <v>-3.2</v>
      </c>
      <c r="J13" s="1271">
        <v>-1.3</v>
      </c>
      <c r="K13" s="1271">
        <v>-1.3</v>
      </c>
      <c r="L13" s="1265">
        <v>350</v>
      </c>
      <c r="M13" s="1262">
        <v>0</v>
      </c>
      <c r="N13" s="1262">
        <v>0</v>
      </c>
      <c r="O13" s="1262">
        <v>0</v>
      </c>
      <c r="P13" s="76">
        <v>1802.6022620724268</v>
      </c>
      <c r="Q13" s="75">
        <v>12</v>
      </c>
      <c r="R13" s="75">
        <v>0.1</v>
      </c>
      <c r="S13" s="72">
        <v>0.8</v>
      </c>
      <c r="T13" s="72">
        <v>0.8</v>
      </c>
      <c r="U13" s="1271">
        <v>0.2</v>
      </c>
      <c r="V13" s="1271">
        <v>0</v>
      </c>
      <c r="W13" s="1271">
        <v>99.8</v>
      </c>
      <c r="X13" s="1271">
        <v>0</v>
      </c>
      <c r="Y13" s="1272">
        <v>0</v>
      </c>
      <c r="Z13" s="75">
        <v>2</v>
      </c>
      <c r="AA13" s="72">
        <v>1.5</v>
      </c>
      <c r="AB13" s="75">
        <v>1</v>
      </c>
      <c r="AC13" s="72">
        <v>0.8</v>
      </c>
      <c r="AD13" s="72">
        <v>0.5</v>
      </c>
      <c r="AE13" s="390">
        <v>433.01922201480062</v>
      </c>
      <c r="AF13" s="390">
        <v>470.67306740739195</v>
      </c>
      <c r="AG13" s="390">
        <v>433.37222681535616</v>
      </c>
      <c r="AH13" s="390">
        <v>649.0581599547935</v>
      </c>
      <c r="AI13" s="400">
        <v>0.82209484106305364</v>
      </c>
      <c r="AJ13" s="390">
        <v>261.91600618637949</v>
      </c>
      <c r="AK13" s="390">
        <v>284.69131107215162</v>
      </c>
      <c r="AL13" s="390">
        <v>262.12952466968363</v>
      </c>
      <c r="AM13" s="390">
        <v>392.58931796849708</v>
      </c>
      <c r="AN13" s="400">
        <v>0.96717040125065135</v>
      </c>
      <c r="AO13" s="77">
        <v>0.1</v>
      </c>
      <c r="AP13" s="77">
        <v>0.3</v>
      </c>
      <c r="AQ13" s="77">
        <v>0.6</v>
      </c>
      <c r="AR13" s="77">
        <v>0.9</v>
      </c>
      <c r="AS13" s="77">
        <v>1.3</v>
      </c>
      <c r="AT13" s="77">
        <v>1.7</v>
      </c>
      <c r="AU13" s="77">
        <v>2</v>
      </c>
      <c r="AV13" s="1268">
        <v>0</v>
      </c>
      <c r="AW13" s="1268">
        <v>10</v>
      </c>
      <c r="AX13" s="1268">
        <v>20</v>
      </c>
      <c r="AY13" s="1268">
        <v>70</v>
      </c>
      <c r="AZ13" s="1268">
        <v>100</v>
      </c>
      <c r="BA13" s="1019">
        <v>7757.4025622567233</v>
      </c>
      <c r="BB13" s="1031">
        <v>1.46</v>
      </c>
      <c r="BC13" s="1022">
        <v>0.8</v>
      </c>
      <c r="BD13" s="1022">
        <v>1.1000000000000001</v>
      </c>
      <c r="BE13" s="1022">
        <v>1.1000000000000001</v>
      </c>
      <c r="BF13" s="1021">
        <v>0.17719020114452594</v>
      </c>
      <c r="BG13" s="1021">
        <v>0.18538934885511546</v>
      </c>
      <c r="BH13" s="1020">
        <v>0</v>
      </c>
      <c r="BI13" s="1020">
        <v>0</v>
      </c>
      <c r="BJ13" s="1020">
        <v>0.12699985520620904</v>
      </c>
      <c r="BK13" s="1020">
        <v>78.441251227694337</v>
      </c>
      <c r="BL13" s="1020">
        <v>1.3666440462712111</v>
      </c>
      <c r="BM13" s="1020">
        <v>0</v>
      </c>
      <c r="BN13" s="1020">
        <v>19.938105015622028</v>
      </c>
      <c r="BO13" s="1020">
        <v>0</v>
      </c>
      <c r="BP13" s="1020">
        <v>0</v>
      </c>
      <c r="BQ13" s="1020">
        <v>0</v>
      </c>
      <c r="BR13" s="1020">
        <v>0</v>
      </c>
      <c r="BS13" s="1020">
        <v>0</v>
      </c>
      <c r="BT13" s="1020">
        <v>0</v>
      </c>
      <c r="BU13" s="1020">
        <v>9.7866646663026455E-2</v>
      </c>
      <c r="BV13" s="1020">
        <v>2.9133208543182566E-2</v>
      </c>
      <c r="BW13" s="993">
        <v>261.13475999999997</v>
      </c>
      <c r="BX13" s="993">
        <v>96.5</v>
      </c>
      <c r="BY13" s="993">
        <v>63.215999999999994</v>
      </c>
      <c r="BZ13" s="993">
        <v>233.35949490734063</v>
      </c>
      <c r="CA13" s="993">
        <v>157.40783999999999</v>
      </c>
      <c r="CB13" s="990"/>
      <c r="CC13" s="993">
        <v>256.20808011776955</v>
      </c>
      <c r="CD13" s="993">
        <v>165.17663999999999</v>
      </c>
      <c r="CE13" s="990"/>
      <c r="CF13" s="989">
        <v>0</v>
      </c>
      <c r="CG13" s="993">
        <v>6.585</v>
      </c>
      <c r="CH13" s="993">
        <v>1.3169999999999999</v>
      </c>
      <c r="CI13" s="993">
        <v>38</v>
      </c>
      <c r="CJ13" s="993">
        <v>225.83915999999996</v>
      </c>
      <c r="CK13" s="990">
        <v>0.2</v>
      </c>
      <c r="CL13" s="993">
        <v>175.08124000000001</v>
      </c>
      <c r="CM13" s="993">
        <v>60.4</v>
      </c>
      <c r="CN13" s="993">
        <v>42.384</v>
      </c>
      <c r="CO13" s="993">
        <v>156.45894761061641</v>
      </c>
      <c r="CP13" s="993">
        <v>105.53616</v>
      </c>
      <c r="CQ13" s="990"/>
      <c r="CR13" s="993">
        <v>159.24945066654416</v>
      </c>
      <c r="CS13" s="993">
        <v>102.66767999999999</v>
      </c>
      <c r="CT13" s="990"/>
      <c r="CU13" s="993">
        <v>0</v>
      </c>
      <c r="CV13" s="993">
        <v>4.415</v>
      </c>
      <c r="CW13" s="993">
        <v>0.88300000000000001</v>
      </c>
      <c r="CX13" s="993">
        <v>27</v>
      </c>
      <c r="CY13" s="993">
        <v>151.41683999999998</v>
      </c>
      <c r="CZ13" s="990">
        <v>0.2</v>
      </c>
      <c r="DA13" s="988">
        <v>0.3</v>
      </c>
      <c r="DB13" s="988">
        <v>0.7</v>
      </c>
      <c r="DC13" s="988">
        <v>1.2</v>
      </c>
      <c r="DD13" s="988">
        <v>1.2</v>
      </c>
      <c r="DE13" s="1022">
        <v>3</v>
      </c>
      <c r="DF13" s="995">
        <v>0</v>
      </c>
      <c r="DG13" s="995">
        <v>10</v>
      </c>
      <c r="DH13" s="995">
        <v>20</v>
      </c>
      <c r="DI13" s="995">
        <v>70</v>
      </c>
      <c r="DJ13" s="995">
        <v>100</v>
      </c>
      <c r="DK13" s="1017"/>
      <c r="DL13" s="1022">
        <v>18</v>
      </c>
      <c r="DM13" s="989">
        <v>12</v>
      </c>
      <c r="DN13" s="1022">
        <v>0</v>
      </c>
      <c r="DO13" s="1022">
        <v>0</v>
      </c>
      <c r="DP13" s="1022">
        <v>0</v>
      </c>
      <c r="DQ13" s="1032" t="s">
        <v>643</v>
      </c>
      <c r="DR13" s="988" t="s">
        <v>640</v>
      </c>
      <c r="DS13" s="988" t="s">
        <v>640</v>
      </c>
      <c r="DT13" s="988" t="s">
        <v>640</v>
      </c>
      <c r="DU13" s="988" t="s">
        <v>640</v>
      </c>
      <c r="DV13" s="988" t="s">
        <v>640</v>
      </c>
      <c r="DW13" s="988" t="s">
        <v>640</v>
      </c>
      <c r="DX13" s="997">
        <v>0</v>
      </c>
      <c r="DY13" s="997">
        <v>0</v>
      </c>
      <c r="DZ13" s="997">
        <v>0</v>
      </c>
      <c r="EA13" s="997">
        <v>0</v>
      </c>
      <c r="EB13" s="997">
        <v>0</v>
      </c>
      <c r="EC13" s="997">
        <v>0</v>
      </c>
      <c r="ED13" s="997">
        <v>0</v>
      </c>
      <c r="EE13" s="1022">
        <v>0</v>
      </c>
      <c r="EF13" s="1022">
        <v>18</v>
      </c>
      <c r="EG13" s="991">
        <v>5</v>
      </c>
      <c r="EH13" s="998">
        <v>0</v>
      </c>
      <c r="EI13" s="998">
        <v>0</v>
      </c>
      <c r="EJ13" s="998">
        <v>0</v>
      </c>
      <c r="EK13" s="1032" t="s">
        <v>682</v>
      </c>
      <c r="EL13" s="988" t="s">
        <v>640</v>
      </c>
      <c r="EM13" s="988" t="s">
        <v>640</v>
      </c>
      <c r="EN13" s="988" t="s">
        <v>640</v>
      </c>
      <c r="EO13" s="988" t="s">
        <v>640</v>
      </c>
      <c r="EP13" s="988" t="s">
        <v>640</v>
      </c>
      <c r="EQ13" s="988" t="s">
        <v>640</v>
      </c>
      <c r="ER13" s="988" t="s">
        <v>640</v>
      </c>
      <c r="ES13" s="988" t="s">
        <v>640</v>
      </c>
      <c r="ET13" s="988" t="s">
        <v>640</v>
      </c>
      <c r="EU13" s="988" t="s">
        <v>640</v>
      </c>
      <c r="EV13" s="988" t="s">
        <v>640</v>
      </c>
      <c r="EW13" s="988" t="s">
        <v>640</v>
      </c>
      <c r="EX13" s="988" t="s">
        <v>640</v>
      </c>
      <c r="EY13" s="988" t="s">
        <v>640</v>
      </c>
      <c r="EZ13" s="988" t="s">
        <v>640</v>
      </c>
      <c r="FA13" s="988" t="s">
        <v>640</v>
      </c>
      <c r="FB13" s="988" t="s">
        <v>640</v>
      </c>
      <c r="FC13" s="988" t="s">
        <v>640</v>
      </c>
      <c r="FD13" s="988" t="s">
        <v>640</v>
      </c>
      <c r="FE13" s="988" t="s">
        <v>640</v>
      </c>
      <c r="FF13" s="988" t="s">
        <v>640</v>
      </c>
      <c r="FG13" s="988" t="s">
        <v>640</v>
      </c>
      <c r="FH13" s="988" t="s">
        <v>640</v>
      </c>
      <c r="FI13" s="988" t="s">
        <v>640</v>
      </c>
      <c r="FJ13" s="988" t="s">
        <v>640</v>
      </c>
      <c r="FK13" s="988" t="s">
        <v>640</v>
      </c>
      <c r="FL13" s="988" t="s">
        <v>640</v>
      </c>
      <c r="FM13" s="988" t="s">
        <v>640</v>
      </c>
      <c r="FN13" s="988" t="s">
        <v>640</v>
      </c>
      <c r="FO13" s="988" t="s">
        <v>640</v>
      </c>
      <c r="FP13" s="988" t="s">
        <v>640</v>
      </c>
      <c r="FQ13" s="988" t="s">
        <v>640</v>
      </c>
      <c r="FR13" s="988" t="s">
        <v>640</v>
      </c>
      <c r="FS13" s="988" t="s">
        <v>640</v>
      </c>
      <c r="FT13" s="988" t="s">
        <v>640</v>
      </c>
      <c r="FU13" s="988" t="s">
        <v>640</v>
      </c>
      <c r="FV13" s="988" t="s">
        <v>640</v>
      </c>
      <c r="FW13" s="988" t="s">
        <v>640</v>
      </c>
      <c r="FX13" s="988" t="s">
        <v>640</v>
      </c>
      <c r="FY13" s="988" t="s">
        <v>640</v>
      </c>
      <c r="FZ13" s="988" t="s">
        <v>640</v>
      </c>
      <c r="GA13" s="988" t="s">
        <v>640</v>
      </c>
      <c r="GB13" s="988" t="s">
        <v>640</v>
      </c>
      <c r="GC13" s="988" t="s">
        <v>640</v>
      </c>
      <c r="GD13" s="988" t="s">
        <v>640</v>
      </c>
      <c r="GE13" s="988" t="s">
        <v>640</v>
      </c>
      <c r="GF13" s="988" t="s">
        <v>640</v>
      </c>
      <c r="GG13" s="988" t="s">
        <v>640</v>
      </c>
      <c r="GH13" s="988" t="s">
        <v>640</v>
      </c>
      <c r="GI13" s="988" t="s">
        <v>640</v>
      </c>
      <c r="GJ13" s="988" t="s">
        <v>640</v>
      </c>
      <c r="GK13" s="988" t="s">
        <v>640</v>
      </c>
      <c r="GL13" s="988" t="s">
        <v>640</v>
      </c>
      <c r="GM13" s="988" t="s">
        <v>640</v>
      </c>
      <c r="GN13" s="988" t="s">
        <v>640</v>
      </c>
      <c r="GO13" s="988" t="s">
        <v>640</v>
      </c>
      <c r="GP13" s="988" t="s">
        <v>640</v>
      </c>
      <c r="GQ13" s="997">
        <v>0</v>
      </c>
      <c r="GR13" s="997">
        <v>0</v>
      </c>
      <c r="GS13" s="997">
        <v>0</v>
      </c>
      <c r="GT13" s="997">
        <v>0</v>
      </c>
      <c r="GU13" s="997">
        <v>0</v>
      </c>
      <c r="GV13" s="997">
        <v>0</v>
      </c>
      <c r="GW13" s="997">
        <v>0</v>
      </c>
      <c r="GX13" s="997">
        <v>0</v>
      </c>
      <c r="GY13" s="997">
        <v>0</v>
      </c>
      <c r="GZ13" s="997">
        <v>0</v>
      </c>
      <c r="HA13" s="997">
        <v>0</v>
      </c>
      <c r="HB13" s="997">
        <v>0</v>
      </c>
      <c r="HC13" s="997">
        <v>0</v>
      </c>
      <c r="HD13" s="997">
        <v>0</v>
      </c>
      <c r="HE13" s="997">
        <v>0</v>
      </c>
      <c r="HF13" s="997">
        <v>0</v>
      </c>
      <c r="HG13" s="997">
        <v>0</v>
      </c>
      <c r="HH13" s="997">
        <v>0</v>
      </c>
      <c r="HI13" s="997">
        <v>0</v>
      </c>
      <c r="HJ13" s="997">
        <v>0</v>
      </c>
      <c r="HK13" s="997">
        <v>0</v>
      </c>
      <c r="HL13" s="997">
        <v>0</v>
      </c>
      <c r="HM13" s="997">
        <v>0</v>
      </c>
      <c r="HN13" s="997">
        <v>0</v>
      </c>
      <c r="HO13" s="997">
        <v>0</v>
      </c>
      <c r="HP13" s="997">
        <v>0</v>
      </c>
      <c r="HQ13" s="997">
        <v>0</v>
      </c>
      <c r="HR13" s="997">
        <v>0</v>
      </c>
      <c r="HS13" s="997">
        <v>0</v>
      </c>
      <c r="HT13" s="997">
        <v>0</v>
      </c>
      <c r="HU13" s="997">
        <v>0</v>
      </c>
      <c r="HV13" s="997">
        <v>0</v>
      </c>
      <c r="HW13" s="997">
        <v>0</v>
      </c>
      <c r="HX13" s="997">
        <v>0</v>
      </c>
      <c r="HY13" s="997">
        <v>0</v>
      </c>
      <c r="HZ13" s="997">
        <v>0</v>
      </c>
      <c r="IA13" s="997">
        <v>0</v>
      </c>
      <c r="IB13" s="997">
        <v>0</v>
      </c>
      <c r="IC13" s="997">
        <v>0</v>
      </c>
      <c r="ID13" s="997">
        <v>0</v>
      </c>
      <c r="IE13" s="997">
        <v>0</v>
      </c>
      <c r="IF13" s="997">
        <v>0</v>
      </c>
      <c r="IG13" s="997">
        <v>0</v>
      </c>
      <c r="IH13" s="997">
        <v>0</v>
      </c>
      <c r="II13" s="997">
        <v>0</v>
      </c>
      <c r="IJ13" s="997">
        <v>0</v>
      </c>
      <c r="IK13" s="997">
        <v>0</v>
      </c>
      <c r="IL13" s="997">
        <v>0</v>
      </c>
      <c r="IM13" s="997">
        <v>0</v>
      </c>
      <c r="IN13" s="997">
        <v>0</v>
      </c>
      <c r="IO13" s="997">
        <v>0</v>
      </c>
      <c r="IP13" s="997">
        <v>0</v>
      </c>
      <c r="IQ13" s="997">
        <v>0</v>
      </c>
      <c r="IR13" s="997">
        <v>0</v>
      </c>
      <c r="IS13" s="997">
        <v>0</v>
      </c>
      <c r="IT13" s="997">
        <v>0</v>
      </c>
      <c r="IU13" s="997">
        <v>0</v>
      </c>
      <c r="IV13" s="997">
        <v>0</v>
      </c>
      <c r="IW13" s="1019">
        <v>0</v>
      </c>
      <c r="IX13" s="1022">
        <v>179.9</v>
      </c>
      <c r="IY13" s="998">
        <v>2647.0800000000199</v>
      </c>
      <c r="IZ13" s="429">
        <v>12.64</v>
      </c>
      <c r="JA13" s="1022">
        <v>50</v>
      </c>
      <c r="JB13" s="1022">
        <v>0</v>
      </c>
      <c r="JC13" s="1022">
        <v>0</v>
      </c>
      <c r="JD13" s="1022">
        <v>0</v>
      </c>
      <c r="JE13" s="998">
        <v>2</v>
      </c>
      <c r="JF13" s="1023">
        <v>1.5</v>
      </c>
      <c r="JG13" s="1023">
        <v>0.7</v>
      </c>
      <c r="JH13" s="1023">
        <v>0.7</v>
      </c>
      <c r="JI13" s="1023">
        <v>0.5</v>
      </c>
      <c r="JJ13" s="1019">
        <v>0</v>
      </c>
      <c r="JK13" s="998">
        <v>2647.0800000000199</v>
      </c>
      <c r="JL13" s="429">
        <v>12.64</v>
      </c>
      <c r="JM13" s="1022">
        <v>50</v>
      </c>
      <c r="JN13" s="1022">
        <v>0</v>
      </c>
      <c r="JO13" s="1022">
        <v>0</v>
      </c>
      <c r="JP13" s="1022">
        <v>0</v>
      </c>
      <c r="JQ13" s="998">
        <v>2</v>
      </c>
      <c r="JR13" s="998">
        <v>2</v>
      </c>
      <c r="JS13" s="998">
        <v>1</v>
      </c>
      <c r="JT13" s="998">
        <v>1</v>
      </c>
      <c r="JU13" s="1023">
        <v>0.5</v>
      </c>
      <c r="JV13" s="1004">
        <v>2000</v>
      </c>
      <c r="JW13" s="1019">
        <v>166.21925770503509</v>
      </c>
      <c r="JX13" s="1019">
        <v>500</v>
      </c>
      <c r="JY13" s="1022">
        <v>1.3</v>
      </c>
      <c r="JZ13" s="1022">
        <v>0.8</v>
      </c>
      <c r="KA13" s="1022">
        <v>0.8</v>
      </c>
      <c r="KB13" s="1023">
        <v>2</v>
      </c>
      <c r="KC13" s="1023">
        <v>1.5</v>
      </c>
      <c r="KD13" s="1023">
        <v>0.5</v>
      </c>
      <c r="KE13" s="1023">
        <v>1</v>
      </c>
      <c r="KF13" s="1023">
        <v>0.5</v>
      </c>
      <c r="KG13" s="997">
        <v>4.9539567636775494</v>
      </c>
      <c r="KH13" s="997">
        <v>0</v>
      </c>
      <c r="KI13" s="997">
        <v>94.999753779484905</v>
      </c>
      <c r="KJ13" s="997"/>
      <c r="KK13" s="997">
        <v>6.8941744226128912E-3</v>
      </c>
      <c r="KL13" s="997">
        <v>3.9395282414930816E-2</v>
      </c>
      <c r="KM13" s="997">
        <v>0</v>
      </c>
      <c r="KN13" s="997">
        <v>0</v>
      </c>
      <c r="KO13" s="997"/>
      <c r="KP13" s="1006">
        <v>580</v>
      </c>
      <c r="KQ13" s="1006">
        <v>580</v>
      </c>
      <c r="KR13" s="1006">
        <v>580</v>
      </c>
      <c r="KS13" s="1006">
        <v>580</v>
      </c>
      <c r="KT13" s="1006"/>
      <c r="KU13" s="1006">
        <v>580</v>
      </c>
      <c r="KV13" s="1006">
        <v>580</v>
      </c>
      <c r="KW13" s="1006">
        <v>580</v>
      </c>
      <c r="KX13" s="1006">
        <v>580</v>
      </c>
      <c r="KY13" s="993">
        <v>370</v>
      </c>
      <c r="KZ13" s="993">
        <v>370</v>
      </c>
      <c r="LA13" s="993">
        <v>370</v>
      </c>
      <c r="LB13" s="993">
        <v>370</v>
      </c>
      <c r="LC13" s="993"/>
      <c r="LD13" s="993">
        <v>370</v>
      </c>
      <c r="LE13" s="993">
        <v>370</v>
      </c>
      <c r="LF13" s="993">
        <v>370</v>
      </c>
      <c r="LG13" s="993">
        <v>370</v>
      </c>
      <c r="LH13" s="995">
        <v>0</v>
      </c>
      <c r="LI13" s="995">
        <v>10</v>
      </c>
      <c r="LJ13" s="995">
        <v>20</v>
      </c>
      <c r="LK13" s="995">
        <v>70</v>
      </c>
      <c r="LL13" s="995">
        <v>100</v>
      </c>
      <c r="LM13" s="1004">
        <v>1000</v>
      </c>
      <c r="LN13" s="1019"/>
      <c r="LO13" s="988">
        <v>29</v>
      </c>
      <c r="LP13" s="1022">
        <v>0</v>
      </c>
      <c r="LQ13" s="1022">
        <v>0</v>
      </c>
      <c r="LR13" s="1022">
        <v>0</v>
      </c>
      <c r="LS13" s="1023">
        <v>2</v>
      </c>
      <c r="LT13" s="1023">
        <v>1</v>
      </c>
      <c r="LU13" s="1023">
        <v>0.5</v>
      </c>
      <c r="LV13" s="1023">
        <v>0.7</v>
      </c>
      <c r="LW13" s="1023">
        <v>0.2</v>
      </c>
      <c r="LX13" s="1004">
        <v>1500</v>
      </c>
      <c r="LY13" s="1008">
        <v>500</v>
      </c>
      <c r="LZ13" s="1008">
        <v>1</v>
      </c>
      <c r="MA13" s="997" t="s">
        <v>2914</v>
      </c>
      <c r="MB13" s="1023" t="s">
        <v>905</v>
      </c>
      <c r="MC13" s="1023" t="s">
        <v>2932</v>
      </c>
      <c r="MD13" s="1024" t="s">
        <v>906</v>
      </c>
      <c r="ME13" s="1009">
        <v>0.5</v>
      </c>
      <c r="MF13" s="1010">
        <v>0.75</v>
      </c>
      <c r="MG13" s="1010">
        <v>1</v>
      </c>
      <c r="MH13" s="1010">
        <v>2</v>
      </c>
      <c r="MI13" s="1010">
        <v>0.5</v>
      </c>
      <c r="MJ13" s="1010">
        <v>0.75</v>
      </c>
      <c r="MK13" s="1010">
        <v>1</v>
      </c>
      <c r="ML13" s="1010">
        <v>2</v>
      </c>
      <c r="MM13" s="1010">
        <v>0</v>
      </c>
      <c r="MN13" s="1010">
        <v>0.5</v>
      </c>
      <c r="MO13" s="1010">
        <v>1</v>
      </c>
      <c r="MP13" s="1010">
        <v>2</v>
      </c>
      <c r="MQ13" s="1010">
        <v>0</v>
      </c>
      <c r="MR13" s="1010">
        <v>0.5</v>
      </c>
      <c r="MS13" s="1010">
        <v>1</v>
      </c>
      <c r="MT13" s="1010">
        <v>2</v>
      </c>
      <c r="MU13" s="1001">
        <v>0</v>
      </c>
      <c r="MV13" s="1001">
        <v>0</v>
      </c>
      <c r="MW13" s="1001">
        <v>0</v>
      </c>
      <c r="MX13" s="1025">
        <v>0</v>
      </c>
      <c r="MY13" s="1025">
        <v>0</v>
      </c>
      <c r="MZ13" s="1025">
        <v>0</v>
      </c>
      <c r="NA13" s="1025">
        <v>0</v>
      </c>
      <c r="NB13" s="1025">
        <v>0</v>
      </c>
      <c r="NC13" s="1025">
        <v>0</v>
      </c>
      <c r="ND13" s="1025">
        <v>0</v>
      </c>
      <c r="NE13" s="1025">
        <v>0</v>
      </c>
      <c r="NF13" s="1025">
        <v>0</v>
      </c>
      <c r="NG13" s="1025">
        <v>0</v>
      </c>
      <c r="NH13" s="1025">
        <v>0</v>
      </c>
      <c r="NI13" s="1025">
        <v>0</v>
      </c>
      <c r="NJ13" s="1025">
        <v>0</v>
      </c>
      <c r="NK13" s="1025">
        <v>0</v>
      </c>
      <c r="NL13" s="1025">
        <v>0</v>
      </c>
      <c r="NM13" s="1025">
        <v>0</v>
      </c>
      <c r="NN13" s="1025">
        <v>0</v>
      </c>
      <c r="NO13" s="1025">
        <v>0</v>
      </c>
      <c r="NP13" s="1025">
        <v>0</v>
      </c>
      <c r="NQ13" s="1025">
        <v>0</v>
      </c>
      <c r="NR13" s="1025">
        <v>0</v>
      </c>
      <c r="NS13" s="1025">
        <v>0</v>
      </c>
      <c r="NT13" s="1025">
        <v>0</v>
      </c>
      <c r="NU13" s="1025">
        <v>0</v>
      </c>
      <c r="NV13" s="1025">
        <v>0</v>
      </c>
      <c r="NW13" s="1025">
        <v>0</v>
      </c>
      <c r="NX13" s="1025">
        <v>0</v>
      </c>
      <c r="NY13" s="1025">
        <v>0</v>
      </c>
      <c r="NZ13" s="1025">
        <v>0</v>
      </c>
      <c r="OA13" s="1025">
        <v>0</v>
      </c>
      <c r="OB13" s="1025">
        <v>1.2417024000000001</v>
      </c>
      <c r="OC13" s="1025">
        <v>0</v>
      </c>
      <c r="OD13" s="1025">
        <v>0</v>
      </c>
      <c r="OE13" s="1025">
        <v>0</v>
      </c>
      <c r="OF13" s="1025">
        <v>0</v>
      </c>
      <c r="OG13" s="1025">
        <v>0</v>
      </c>
      <c r="OH13" s="1025">
        <v>0</v>
      </c>
      <c r="OI13" s="1025">
        <v>0</v>
      </c>
      <c r="OJ13" s="1025">
        <v>0</v>
      </c>
      <c r="OK13" s="1025">
        <v>0</v>
      </c>
      <c r="OL13" s="1025">
        <v>0</v>
      </c>
      <c r="OM13" s="1025">
        <v>0</v>
      </c>
      <c r="ON13" s="1025">
        <v>1.17961728</v>
      </c>
      <c r="OO13" s="1025">
        <v>0</v>
      </c>
      <c r="OP13" s="1025">
        <v>0</v>
      </c>
      <c r="OQ13" s="1025">
        <v>0.18006082725061001</v>
      </c>
      <c r="OR13" s="1025">
        <v>0.22989999999999999</v>
      </c>
      <c r="OS13" s="1025">
        <v>0</v>
      </c>
      <c r="OT13" s="1025">
        <v>1.2417024000000001</v>
      </c>
      <c r="OU13" s="1025">
        <v>0</v>
      </c>
      <c r="OV13" s="1025">
        <v>0</v>
      </c>
      <c r="OW13" s="1025">
        <v>0</v>
      </c>
      <c r="OX13" s="1025">
        <v>0.97660000000000002</v>
      </c>
      <c r="OY13" s="1025">
        <v>0</v>
      </c>
      <c r="OZ13" s="1025">
        <v>-19.71</v>
      </c>
      <c r="PA13" s="1025">
        <v>-5.52</v>
      </c>
      <c r="PB13" s="1025">
        <v>0</v>
      </c>
      <c r="PC13" s="1025">
        <v>0</v>
      </c>
      <c r="PD13" s="1025">
        <v>7.6000665282669994E-2</v>
      </c>
      <c r="PE13" s="1025">
        <v>0</v>
      </c>
      <c r="PF13" s="1025">
        <v>2.330943981746E-2</v>
      </c>
      <c r="PG13" s="1025">
        <v>0</v>
      </c>
      <c r="PH13" s="1025">
        <v>0</v>
      </c>
      <c r="PI13" s="1025">
        <v>0</v>
      </c>
      <c r="PJ13" s="1025">
        <v>-0.37969205577324999</v>
      </c>
      <c r="PK13" s="1025">
        <v>0</v>
      </c>
      <c r="PL13" s="1025">
        <v>0</v>
      </c>
      <c r="PM13" s="1025">
        <v>0</v>
      </c>
      <c r="PN13" s="1025">
        <v>0</v>
      </c>
      <c r="PO13" s="1025">
        <v>0</v>
      </c>
      <c r="PP13" s="1025">
        <v>0</v>
      </c>
      <c r="PQ13" s="1025">
        <v>0</v>
      </c>
      <c r="PR13" s="1025">
        <v>0.47457367410816997</v>
      </c>
      <c r="PS13" s="1025">
        <v>0</v>
      </c>
      <c r="PT13" s="1025">
        <v>0</v>
      </c>
      <c r="PU13" s="1025">
        <v>0</v>
      </c>
      <c r="PV13" s="1025">
        <v>0.21620973471648999</v>
      </c>
      <c r="PW13" s="1025">
        <v>0</v>
      </c>
      <c r="PX13" s="1025">
        <v>0.55543450834399</v>
      </c>
      <c r="PY13" s="1025">
        <v>0</v>
      </c>
      <c r="PZ13" s="1025">
        <v>0</v>
      </c>
      <c r="QA13" s="1025">
        <v>0</v>
      </c>
      <c r="QB13" s="1025">
        <v>1.02686049179244</v>
      </c>
      <c r="QC13" s="1025">
        <v>0</v>
      </c>
      <c r="QD13" s="1025">
        <v>-19.71</v>
      </c>
      <c r="QE13" s="1025">
        <v>-5.52</v>
      </c>
      <c r="QF13" s="1025">
        <v>0</v>
      </c>
      <c r="QG13" s="1025">
        <v>0</v>
      </c>
      <c r="QH13" s="1025">
        <v>0</v>
      </c>
      <c r="QI13" s="1025">
        <v>0</v>
      </c>
      <c r="QJ13" s="1025">
        <v>0</v>
      </c>
      <c r="QK13" s="1025">
        <v>0</v>
      </c>
      <c r="QL13" s="1025">
        <v>0</v>
      </c>
      <c r="QM13" s="1025">
        <v>0</v>
      </c>
      <c r="QN13" s="1025">
        <v>0</v>
      </c>
      <c r="QO13" s="1025">
        <v>0</v>
      </c>
      <c r="QP13" s="1025">
        <v>0</v>
      </c>
      <c r="QQ13" s="1025">
        <v>0</v>
      </c>
      <c r="QR13" s="1025">
        <v>0</v>
      </c>
      <c r="QS13" s="1025">
        <v>0</v>
      </c>
      <c r="QT13" s="1025">
        <v>0</v>
      </c>
      <c r="QU13" s="1025">
        <v>0</v>
      </c>
      <c r="QV13" s="1025">
        <v>1.0196222400000801</v>
      </c>
      <c r="QW13" s="1025">
        <v>0</v>
      </c>
      <c r="QX13" s="1025">
        <v>1.464285739436E-2</v>
      </c>
      <c r="QY13" s="1025">
        <v>0</v>
      </c>
      <c r="QZ13" s="1025">
        <v>0.22989999999977001</v>
      </c>
      <c r="RA13" s="1025">
        <v>0</v>
      </c>
      <c r="RB13" s="1025">
        <v>1.114928569216</v>
      </c>
      <c r="RC13" s="1025">
        <v>0</v>
      </c>
      <c r="RD13" s="1025">
        <v>2.9285716786749998E-2</v>
      </c>
      <c r="RE13" s="1025">
        <v>0</v>
      </c>
      <c r="RF13" s="1025">
        <v>0.97660000445239004</v>
      </c>
      <c r="RG13" s="1025">
        <v>0</v>
      </c>
      <c r="RH13" s="1011">
        <v>0</v>
      </c>
      <c r="RI13" s="1026">
        <v>0</v>
      </c>
      <c r="RJ13" s="1026">
        <v>0</v>
      </c>
      <c r="RK13" s="1026">
        <v>0</v>
      </c>
      <c r="RL13" s="1026">
        <v>0</v>
      </c>
      <c r="RM13" s="1011">
        <v>0</v>
      </c>
      <c r="RN13" s="1011">
        <v>0</v>
      </c>
      <c r="RO13" s="1011">
        <v>0</v>
      </c>
      <c r="RP13" s="1011">
        <v>0</v>
      </c>
      <c r="RQ13" s="1011">
        <v>0</v>
      </c>
      <c r="RR13" s="1011">
        <v>0</v>
      </c>
      <c r="RS13" s="1011">
        <v>0</v>
      </c>
      <c r="RT13" s="1011">
        <v>0</v>
      </c>
      <c r="RU13" s="1011">
        <v>0</v>
      </c>
      <c r="RV13" s="1011">
        <v>0</v>
      </c>
      <c r="RW13" s="1011">
        <v>0</v>
      </c>
      <c r="RX13" s="1011">
        <v>0</v>
      </c>
      <c r="RY13" s="1011">
        <v>0</v>
      </c>
      <c r="RZ13" s="1026">
        <v>0</v>
      </c>
      <c r="SA13" s="1026">
        <v>0</v>
      </c>
      <c r="SB13" s="1026">
        <v>0</v>
      </c>
      <c r="SC13" s="1026">
        <v>0</v>
      </c>
      <c r="SD13" s="1026">
        <v>0</v>
      </c>
      <c r="SE13" s="1026">
        <v>0</v>
      </c>
      <c r="SF13" s="1026">
        <v>0</v>
      </c>
      <c r="SG13" s="1026">
        <v>0</v>
      </c>
      <c r="SH13" s="1026">
        <v>0</v>
      </c>
      <c r="SI13" s="1026">
        <v>0</v>
      </c>
      <c r="SJ13" s="1026">
        <v>0</v>
      </c>
      <c r="SK13" s="1026">
        <v>0</v>
      </c>
      <c r="SL13" s="1025">
        <v>-19.71</v>
      </c>
      <c r="SM13" s="1025">
        <v>-5.52</v>
      </c>
      <c r="SN13" s="1025">
        <v>0</v>
      </c>
      <c r="SO13" s="1025">
        <v>0</v>
      </c>
      <c r="SP13" s="1025">
        <v>-0.30105546835291003</v>
      </c>
      <c r="SQ13" s="1025">
        <v>0</v>
      </c>
      <c r="SR13" s="1025">
        <v>-0.27342476006429001</v>
      </c>
      <c r="SS13" s="1025">
        <v>0</v>
      </c>
      <c r="ST13" s="1025">
        <v>-1.52298153439E-3</v>
      </c>
      <c r="SU13" s="1025">
        <v>0</v>
      </c>
      <c r="SV13" s="1025">
        <v>-2.343617990872E-2</v>
      </c>
      <c r="SW13" s="1025">
        <v>0</v>
      </c>
      <c r="SX13" s="1025">
        <v>-0.32705097183526</v>
      </c>
      <c r="SY13" s="1025">
        <v>0</v>
      </c>
      <c r="SZ13" s="1025">
        <v>-2.91894067242E-3</v>
      </c>
      <c r="TA13" s="1025">
        <v>0</v>
      </c>
      <c r="TB13" s="1025">
        <v>-0.31539999977437</v>
      </c>
      <c r="TC13" s="1025">
        <v>0</v>
      </c>
      <c r="TD13" s="1025">
        <v>0</v>
      </c>
      <c r="TE13" s="1025">
        <v>0</v>
      </c>
      <c r="TF13" s="1025">
        <v>0</v>
      </c>
      <c r="TG13" s="1025">
        <v>0</v>
      </c>
      <c r="TH13" s="1025">
        <v>0</v>
      </c>
      <c r="TI13" s="1025">
        <v>0</v>
      </c>
      <c r="TJ13" s="1025">
        <v>6.0072881324730001E-2</v>
      </c>
      <c r="TK13" s="1025">
        <v>0</v>
      </c>
      <c r="TL13" s="1025">
        <v>0</v>
      </c>
      <c r="TM13" s="1025">
        <v>0</v>
      </c>
      <c r="TN13" s="1025">
        <v>0.66119988872809998</v>
      </c>
      <c r="TO13" s="1025">
        <v>0</v>
      </c>
      <c r="TP13" s="1025">
        <v>-19.71</v>
      </c>
      <c r="TQ13" s="1025">
        <v>-5.52</v>
      </c>
      <c r="TR13" s="1025">
        <v>-4.0983537362919797</v>
      </c>
      <c r="TS13" s="1025">
        <v>0</v>
      </c>
      <c r="TT13" s="1025">
        <v>-19.532000716324379</v>
      </c>
      <c r="TU13" s="1025">
        <v>0</v>
      </c>
      <c r="TV13" s="1025">
        <v>-11.520000200774991</v>
      </c>
      <c r="TW13" s="1025">
        <v>0</v>
      </c>
      <c r="TX13" s="1025">
        <v>-0.41000000278875998</v>
      </c>
      <c r="TY13" s="1025">
        <v>0</v>
      </c>
      <c r="TZ13" s="1025">
        <v>-21.05200037329227</v>
      </c>
      <c r="UA13" s="1025">
        <v>0</v>
      </c>
      <c r="UB13" s="1025">
        <v>0</v>
      </c>
      <c r="UC13" s="1025">
        <v>0</v>
      </c>
      <c r="UD13" s="1025">
        <v>0</v>
      </c>
      <c r="UE13" s="1025">
        <v>0</v>
      </c>
      <c r="UF13" s="1025">
        <v>-19.53199982991752</v>
      </c>
      <c r="UG13" s="1025">
        <v>0</v>
      </c>
      <c r="UH13" s="1025">
        <v>0</v>
      </c>
      <c r="UI13" s="1025">
        <v>0</v>
      </c>
      <c r="UJ13" s="1025">
        <v>0</v>
      </c>
      <c r="UK13" s="1025">
        <v>0</v>
      </c>
      <c r="UL13" s="1025">
        <v>0</v>
      </c>
      <c r="UM13" s="1025">
        <v>0</v>
      </c>
      <c r="UN13" s="1025">
        <v>-1.20145463729383</v>
      </c>
      <c r="UO13" s="1025">
        <v>0</v>
      </c>
      <c r="UP13" s="1025">
        <v>-0.20499969552387001</v>
      </c>
      <c r="UQ13" s="1025">
        <v>0</v>
      </c>
      <c r="UR13" s="1025">
        <v>-14.933995390679881</v>
      </c>
      <c r="US13" s="1025">
        <v>0</v>
      </c>
      <c r="UT13" s="1025">
        <v>0.23031030638609001</v>
      </c>
      <c r="UU13" s="1025">
        <v>0</v>
      </c>
      <c r="UV13" s="1025">
        <v>0</v>
      </c>
      <c r="UW13" s="1025">
        <v>0</v>
      </c>
      <c r="UX13" s="1025">
        <v>0</v>
      </c>
      <c r="UY13" s="1025">
        <v>0</v>
      </c>
      <c r="UZ13" s="1025">
        <v>0.15019085880361999</v>
      </c>
      <c r="VA13" s="1025">
        <v>0</v>
      </c>
      <c r="VB13" s="1025">
        <v>0</v>
      </c>
      <c r="VC13" s="1025">
        <v>0</v>
      </c>
      <c r="VD13" s="1025">
        <v>0</v>
      </c>
      <c r="VE13" s="1025">
        <v>0</v>
      </c>
      <c r="VF13" s="1025">
        <v>0.24729033332124001</v>
      </c>
      <c r="VG13" s="1025">
        <v>0</v>
      </c>
      <c r="VH13" s="1025">
        <v>0</v>
      </c>
      <c r="VI13" s="1025">
        <v>0</v>
      </c>
      <c r="VJ13" s="1025">
        <v>0</v>
      </c>
      <c r="VK13" s="1025">
        <v>0</v>
      </c>
      <c r="VL13" s="1025">
        <v>0</v>
      </c>
      <c r="VM13" s="1025">
        <v>0</v>
      </c>
      <c r="VN13" s="1025">
        <v>0</v>
      </c>
      <c r="VO13" s="1025">
        <v>0</v>
      </c>
      <c r="VP13" s="1025">
        <v>0</v>
      </c>
      <c r="VQ13" s="1025">
        <v>0</v>
      </c>
      <c r="VR13" s="1010">
        <v>0</v>
      </c>
      <c r="VS13" s="1010">
        <v>0</v>
      </c>
      <c r="VT13" s="1010">
        <v>0</v>
      </c>
      <c r="VU13" s="1010">
        <v>0</v>
      </c>
      <c r="VV13" s="1010">
        <v>0</v>
      </c>
      <c r="VW13" s="1010">
        <v>0</v>
      </c>
      <c r="VX13" s="1025">
        <v>0</v>
      </c>
      <c r="VY13" s="1025">
        <v>0</v>
      </c>
      <c r="VZ13" s="1025">
        <v>0</v>
      </c>
      <c r="WA13" s="1025">
        <v>0</v>
      </c>
      <c r="WB13" s="1025">
        <v>0</v>
      </c>
      <c r="WC13" s="1025">
        <v>0</v>
      </c>
      <c r="WD13" s="995">
        <v>202</v>
      </c>
      <c r="WE13" s="995">
        <v>267</v>
      </c>
      <c r="WF13" s="995">
        <v>354</v>
      </c>
      <c r="WG13" s="995">
        <v>382</v>
      </c>
      <c r="WH13" s="995">
        <v>403</v>
      </c>
      <c r="WI13" s="995">
        <v>0</v>
      </c>
      <c r="WJ13" s="995">
        <v>1300</v>
      </c>
      <c r="WK13" s="1001">
        <v>0</v>
      </c>
      <c r="WL13" s="1001">
        <v>0</v>
      </c>
      <c r="WM13" s="1001">
        <v>0</v>
      </c>
      <c r="WN13" s="1001">
        <v>0</v>
      </c>
      <c r="WO13" s="1001">
        <v>0</v>
      </c>
      <c r="WP13" s="1001">
        <v>0</v>
      </c>
      <c r="WQ13" s="1001">
        <v>0</v>
      </c>
      <c r="WR13" s="1001">
        <v>0</v>
      </c>
      <c r="WS13" s="1001">
        <v>0</v>
      </c>
      <c r="WT13" s="1001">
        <v>0</v>
      </c>
      <c r="WU13" s="1001">
        <v>0</v>
      </c>
      <c r="WV13" s="1001">
        <v>0</v>
      </c>
      <c r="WW13" s="1001">
        <v>0</v>
      </c>
      <c r="WX13" s="1001">
        <v>0</v>
      </c>
      <c r="WY13" s="1001">
        <v>0</v>
      </c>
      <c r="WZ13" s="1001">
        <v>0</v>
      </c>
      <c r="XA13" s="1001">
        <v>0</v>
      </c>
      <c r="XB13" s="1001">
        <v>0</v>
      </c>
      <c r="XC13" s="1001">
        <v>0</v>
      </c>
      <c r="XD13" s="1001">
        <v>0</v>
      </c>
      <c r="XE13" s="1001">
        <v>0</v>
      </c>
      <c r="XF13" s="1001">
        <v>0</v>
      </c>
      <c r="XG13" s="1001">
        <v>0</v>
      </c>
      <c r="XH13" s="1001">
        <v>0</v>
      </c>
      <c r="XI13" s="1001">
        <v>0</v>
      </c>
      <c r="XJ13" s="1001">
        <v>0</v>
      </c>
      <c r="XK13" s="1001">
        <v>0</v>
      </c>
      <c r="XL13" s="1001">
        <v>0</v>
      </c>
      <c r="XM13" s="1001">
        <v>0</v>
      </c>
      <c r="XN13" s="1001">
        <v>0</v>
      </c>
      <c r="XO13" s="1001">
        <v>0</v>
      </c>
      <c r="XP13" s="1001">
        <v>0</v>
      </c>
      <c r="XQ13" s="1001">
        <v>0</v>
      </c>
      <c r="XR13" s="1027">
        <v>144.81530000000001</v>
      </c>
      <c r="XS13" s="1013">
        <v>114.8847891440501</v>
      </c>
      <c r="XT13" s="1013">
        <v>126.97792484342381</v>
      </c>
      <c r="XU13" s="1013">
        <v>133.02449269311066</v>
      </c>
      <c r="XV13" s="1013">
        <v>204.37399331941546</v>
      </c>
      <c r="XW13" s="1028">
        <v>9464.8985900000007</v>
      </c>
      <c r="XX13" s="1013">
        <v>38</v>
      </c>
      <c r="XY13" s="1013">
        <v>31</v>
      </c>
      <c r="XZ13" s="1013">
        <v>31</v>
      </c>
      <c r="YA13" s="1029">
        <v>0</v>
      </c>
      <c r="YB13" s="1013">
        <v>1375.8817164126258</v>
      </c>
      <c r="YC13" s="1013">
        <v>0</v>
      </c>
      <c r="YD13" s="1013">
        <v>0</v>
      </c>
      <c r="YE13" s="1013">
        <v>0</v>
      </c>
      <c r="YF13" s="1013">
        <v>0</v>
      </c>
      <c r="YG13" s="1013">
        <v>0</v>
      </c>
      <c r="YH13" s="1013">
        <v>671.94223359686373</v>
      </c>
      <c r="YI13" s="1013">
        <v>0</v>
      </c>
      <c r="YJ13" s="1013">
        <v>1475.984565749148</v>
      </c>
      <c r="YK13" s="1013">
        <v>0</v>
      </c>
      <c r="YL13" s="1013">
        <v>0</v>
      </c>
      <c r="YM13" s="1013">
        <v>0</v>
      </c>
      <c r="YN13" s="1013">
        <v>0</v>
      </c>
      <c r="YO13" s="1013">
        <v>0</v>
      </c>
      <c r="YP13" s="1013">
        <v>720.82967164493277</v>
      </c>
      <c r="YQ13" s="1013">
        <v>0</v>
      </c>
      <c r="YR13" s="1013">
        <v>1546.2695450705362</v>
      </c>
      <c r="YS13" s="1013">
        <v>0</v>
      </c>
      <c r="YT13" s="1013">
        <v>0</v>
      </c>
      <c r="YU13" s="1013">
        <v>0</v>
      </c>
      <c r="YV13" s="1013">
        <v>0</v>
      </c>
      <c r="YW13" s="1013">
        <v>0</v>
      </c>
      <c r="YX13" s="1013">
        <v>755.15489410421537</v>
      </c>
      <c r="YY13" s="1013">
        <v>0</v>
      </c>
      <c r="YZ13" s="1013">
        <v>2375.6323010629148</v>
      </c>
      <c r="ZA13" s="1013">
        <v>0</v>
      </c>
      <c r="ZB13" s="1013">
        <v>0</v>
      </c>
      <c r="ZC13" s="1013">
        <v>0</v>
      </c>
      <c r="ZD13" s="1013">
        <v>0</v>
      </c>
      <c r="ZE13" s="1013">
        <v>0</v>
      </c>
      <c r="ZF13" s="1013">
        <v>1160.1925191237492</v>
      </c>
      <c r="ZG13" s="1013">
        <v>0</v>
      </c>
      <c r="ZH13" s="1013">
        <v>1213.2219223833997</v>
      </c>
      <c r="ZI13" s="1013">
        <v>0</v>
      </c>
      <c r="ZJ13" s="1013">
        <v>1015.7206792047068</v>
      </c>
      <c r="ZK13" s="1013">
        <v>0</v>
      </c>
      <c r="ZL13" s="1013">
        <v>0</v>
      </c>
      <c r="ZM13" s="1013">
        <v>0</v>
      </c>
      <c r="ZN13" s="1013">
        <v>592.50372953607894</v>
      </c>
      <c r="ZO13" s="1013">
        <v>0</v>
      </c>
      <c r="ZP13" s="1013">
        <v>1301.4903904205819</v>
      </c>
      <c r="ZQ13" s="1013">
        <v>0</v>
      </c>
      <c r="ZR13" s="1013">
        <v>1089.619861747464</v>
      </c>
      <c r="ZS13" s="1013">
        <v>0</v>
      </c>
      <c r="ZT13" s="1013">
        <v>0</v>
      </c>
      <c r="ZU13" s="1013">
        <v>0</v>
      </c>
      <c r="ZV13" s="1013">
        <v>635.61158601935392</v>
      </c>
      <c r="ZW13" s="1013">
        <v>0</v>
      </c>
      <c r="ZX13" s="1013">
        <v>1363.4661232977526</v>
      </c>
      <c r="ZY13" s="1013">
        <v>0</v>
      </c>
      <c r="ZZ13" s="1013">
        <v>1141.5065218306765</v>
      </c>
      <c r="AAA13" s="1013">
        <v>0</v>
      </c>
      <c r="AAB13" s="1013">
        <v>0</v>
      </c>
      <c r="AAC13" s="1013">
        <v>0</v>
      </c>
      <c r="AAD13" s="1013">
        <v>665.87880440122797</v>
      </c>
      <c r="AAE13" s="1013">
        <v>0</v>
      </c>
      <c r="AAF13" s="1013">
        <v>2094.7797712483653</v>
      </c>
      <c r="AAG13" s="1013">
        <v>0</v>
      </c>
      <c r="AAH13" s="1013">
        <v>1753.769110812585</v>
      </c>
      <c r="AAI13" s="1013">
        <v>0</v>
      </c>
      <c r="AAJ13" s="1013">
        <v>0</v>
      </c>
      <c r="AAK13" s="1013">
        <v>0</v>
      </c>
      <c r="AAL13" s="1013">
        <v>1023.0319813073412</v>
      </c>
      <c r="AAM13" s="1013">
        <v>0</v>
      </c>
      <c r="AAN13" s="1013">
        <v>3228.7357611816287</v>
      </c>
      <c r="AAO13" s="1013">
        <v>0</v>
      </c>
      <c r="AAP13" s="1013">
        <v>2703.127614012526</v>
      </c>
      <c r="AAQ13" s="1013">
        <v>0</v>
      </c>
      <c r="AAR13" s="1013">
        <v>0</v>
      </c>
      <c r="AAS13" s="1013">
        <v>0</v>
      </c>
      <c r="AAT13" s="1013">
        <v>1576.824441507307</v>
      </c>
      <c r="AAU13" s="1013">
        <v>0</v>
      </c>
      <c r="AAV13" s="1013">
        <v>3568.6026834112736</v>
      </c>
      <c r="AAW13" s="1013">
        <v>0</v>
      </c>
      <c r="AAX13" s="1013">
        <v>2987.6673628559497</v>
      </c>
      <c r="AAY13" s="1013">
        <v>0</v>
      </c>
      <c r="AAZ13" s="1013">
        <v>0</v>
      </c>
      <c r="ABA13" s="1013">
        <v>0</v>
      </c>
      <c r="ABB13" s="1013">
        <v>1742.8059616659707</v>
      </c>
      <c r="ABC13" s="1013">
        <v>0</v>
      </c>
      <c r="ABD13" s="1013">
        <v>3738.536144526096</v>
      </c>
      <c r="ABE13" s="1013">
        <v>0</v>
      </c>
      <c r="ABF13" s="1013">
        <v>3129.937237277662</v>
      </c>
      <c r="ABG13" s="1013">
        <v>0</v>
      </c>
      <c r="ABH13" s="1013">
        <v>0</v>
      </c>
      <c r="ABI13" s="1013">
        <v>0</v>
      </c>
      <c r="ABJ13" s="1013">
        <v>1825.7967217453026</v>
      </c>
      <c r="ABK13" s="1013">
        <v>0</v>
      </c>
      <c r="ABL13" s="1013">
        <v>5743.7509856810029</v>
      </c>
      <c r="ABM13" s="1013">
        <v>0</v>
      </c>
      <c r="ABN13" s="1013">
        <v>4808.7217554538629</v>
      </c>
      <c r="ABO13" s="1013">
        <v>0</v>
      </c>
      <c r="ABP13" s="1013">
        <v>0</v>
      </c>
      <c r="ABQ13" s="1013">
        <v>0</v>
      </c>
      <c r="ABR13" s="1013">
        <v>2805.0876906814201</v>
      </c>
      <c r="ABS13" s="1013">
        <v>0</v>
      </c>
      <c r="ABT13" s="1013">
        <v>4441.9576835650287</v>
      </c>
      <c r="ABU13" s="1013">
        <v>0</v>
      </c>
      <c r="ABV13" s="1013">
        <v>3718.8482932172328</v>
      </c>
      <c r="ABW13" s="1013">
        <v>0</v>
      </c>
      <c r="ABX13" s="1013">
        <v>0</v>
      </c>
      <c r="ABY13" s="1013">
        <v>0</v>
      </c>
      <c r="ABZ13" s="1013">
        <v>2169.3281710433857</v>
      </c>
      <c r="ACA13" s="1013">
        <v>0</v>
      </c>
      <c r="ACB13" s="1013">
        <v>4702.1588299066188</v>
      </c>
      <c r="ACC13" s="1013">
        <v>0</v>
      </c>
      <c r="ACD13" s="1013">
        <v>3936.6911134101929</v>
      </c>
      <c r="ACE13" s="1013">
        <v>0</v>
      </c>
      <c r="ACF13" s="1013">
        <v>0</v>
      </c>
      <c r="ACG13" s="1013">
        <v>0</v>
      </c>
      <c r="ACH13" s="1013">
        <v>2296.4031494892793</v>
      </c>
      <c r="ACI13" s="1013">
        <v>0</v>
      </c>
      <c r="ACJ13" s="1013">
        <v>4926.0711551402674</v>
      </c>
      <c r="ACK13" s="1013">
        <v>0</v>
      </c>
      <c r="ACL13" s="1013">
        <v>4124.1525950011546</v>
      </c>
      <c r="ACM13" s="1013">
        <v>0</v>
      </c>
      <c r="ACN13" s="1013">
        <v>0</v>
      </c>
      <c r="ACO13" s="1013">
        <v>0</v>
      </c>
      <c r="ACP13" s="1013">
        <v>2405.75568041734</v>
      </c>
      <c r="ACQ13" s="1013">
        <v>0</v>
      </c>
      <c r="ACR13" s="1013">
        <v>7568.2365928973213</v>
      </c>
      <c r="ACS13" s="1013">
        <v>0</v>
      </c>
      <c r="ACT13" s="1013">
        <v>6336.1980777745021</v>
      </c>
      <c r="ACU13" s="1013">
        <v>0</v>
      </c>
      <c r="ACV13" s="1013">
        <v>0</v>
      </c>
      <c r="ACW13" s="1013">
        <v>0</v>
      </c>
      <c r="ACX13" s="1013">
        <v>3696.1155453684592</v>
      </c>
      <c r="ACY13" s="1013">
        <v>0</v>
      </c>
      <c r="ACZ13" s="1013">
        <v>5753.0200835599926</v>
      </c>
      <c r="ADA13" s="1013">
        <v>0</v>
      </c>
      <c r="ADB13" s="1013">
        <v>4816.4819304223192</v>
      </c>
      <c r="ADC13" s="1013">
        <v>0</v>
      </c>
      <c r="ADD13" s="1013">
        <v>0</v>
      </c>
      <c r="ADE13" s="1013">
        <v>0</v>
      </c>
      <c r="ADF13" s="1013">
        <v>2809.6144594130196</v>
      </c>
      <c r="ADG13" s="1013">
        <v>0</v>
      </c>
      <c r="ADH13" s="1013">
        <v>6150.5916837617833</v>
      </c>
      <c r="ADI13" s="1013">
        <v>0</v>
      </c>
      <c r="ADJ13" s="1013">
        <v>5149.3325724517254</v>
      </c>
      <c r="ADK13" s="1013">
        <v>0</v>
      </c>
      <c r="ADL13" s="1013">
        <v>0</v>
      </c>
      <c r="ADM13" s="1013">
        <v>0</v>
      </c>
      <c r="ADN13" s="1013">
        <v>3003.7773339301734</v>
      </c>
      <c r="ADO13" s="1013">
        <v>0</v>
      </c>
      <c r="ADP13" s="1013">
        <v>6443.4770020361548</v>
      </c>
      <c r="ADQ13" s="1013">
        <v>0</v>
      </c>
      <c r="ADR13" s="1013">
        <v>5394.538885425618</v>
      </c>
      <c r="ADS13" s="1013">
        <v>0</v>
      </c>
      <c r="ADT13" s="1013">
        <v>0</v>
      </c>
      <c r="ADU13" s="1013">
        <v>0</v>
      </c>
      <c r="ADV13" s="1013">
        <v>3146.8143498316103</v>
      </c>
      <c r="ADW13" s="1013">
        <v>0</v>
      </c>
      <c r="ADX13" s="1013">
        <v>9899.5237576737291</v>
      </c>
      <c r="ADY13" s="1013">
        <v>0</v>
      </c>
      <c r="ADZ13" s="1013">
        <v>8287.9733785175395</v>
      </c>
      <c r="AEA13" s="1013">
        <v>0</v>
      </c>
      <c r="AEB13" s="1013">
        <v>0</v>
      </c>
      <c r="AEC13" s="1013">
        <v>0</v>
      </c>
      <c r="AED13" s="1013">
        <v>4834.6511374685651</v>
      </c>
      <c r="AEE13" s="1013">
        <v>0</v>
      </c>
      <c r="AEF13" s="1013">
        <v>7024.9462925103317</v>
      </c>
      <c r="AEG13" s="1013">
        <v>0</v>
      </c>
      <c r="AEH13" s="1013">
        <v>5881.3503844272545</v>
      </c>
      <c r="AEI13" s="1013">
        <v>0</v>
      </c>
      <c r="AEJ13" s="1013">
        <v>0</v>
      </c>
      <c r="AEK13" s="1013">
        <v>0</v>
      </c>
      <c r="AEL13" s="1013">
        <v>3430.7877242492314</v>
      </c>
      <c r="AEM13" s="1013">
        <v>0</v>
      </c>
      <c r="AEN13" s="1013">
        <v>7557.0409766356379</v>
      </c>
      <c r="AEO13" s="1013">
        <v>0</v>
      </c>
      <c r="AEP13" s="1013">
        <v>6326.825003694953</v>
      </c>
      <c r="AEQ13" s="1013">
        <v>0</v>
      </c>
      <c r="AER13" s="1013">
        <v>0</v>
      </c>
      <c r="AES13" s="1013">
        <v>0</v>
      </c>
      <c r="AET13" s="1013">
        <v>3690.647918822056</v>
      </c>
      <c r="AEU13" s="1013">
        <v>0</v>
      </c>
      <c r="AEV13" s="1013">
        <v>7916.9000707611449</v>
      </c>
      <c r="AEW13" s="1013">
        <v>0</v>
      </c>
      <c r="AEX13" s="1013">
        <v>6628.1023848232844</v>
      </c>
      <c r="AEY13" s="1013">
        <v>0</v>
      </c>
      <c r="AEZ13" s="1013">
        <v>0</v>
      </c>
      <c r="AFA13" s="1013">
        <v>0</v>
      </c>
      <c r="AFB13" s="1013">
        <v>3866.3930578135823</v>
      </c>
      <c r="AFC13" s="1013">
        <v>0</v>
      </c>
      <c r="AFD13" s="1013">
        <v>12163.237381442124</v>
      </c>
      <c r="AFE13" s="1013">
        <v>0</v>
      </c>
      <c r="AFF13" s="1013">
        <v>10183.175482137593</v>
      </c>
      <c r="AFG13" s="1013">
        <v>0</v>
      </c>
      <c r="AFH13" s="1013">
        <v>0</v>
      </c>
      <c r="AFI13" s="1013">
        <v>0</v>
      </c>
      <c r="AFJ13" s="1013">
        <v>5940.1856979135955</v>
      </c>
      <c r="AFK13" s="1013">
        <v>0</v>
      </c>
      <c r="AFL13" s="1023">
        <v>8101.1915462375418</v>
      </c>
      <c r="AFM13" s="1023">
        <v>0</v>
      </c>
      <c r="AFN13" s="1023">
        <v>6782.3929224314297</v>
      </c>
      <c r="AFO13" s="1023">
        <v>0</v>
      </c>
      <c r="AFP13" s="1023">
        <v>0</v>
      </c>
      <c r="AFQ13" s="1023">
        <v>0</v>
      </c>
      <c r="AFR13" s="1023">
        <v>3956.3958714183341</v>
      </c>
      <c r="AFS13" s="1023">
        <v>0</v>
      </c>
      <c r="AFT13" s="1023">
        <v>8606.6300011683652</v>
      </c>
      <c r="AFU13" s="1023">
        <v>0</v>
      </c>
      <c r="AFV13" s="1023">
        <v>7205.5506986525843</v>
      </c>
      <c r="AFW13" s="1023">
        <v>0</v>
      </c>
      <c r="AFX13" s="1023">
        <v>0</v>
      </c>
      <c r="AFY13" s="1023">
        <v>0</v>
      </c>
      <c r="AFZ13" s="1023">
        <v>4203.2379075473409</v>
      </c>
      <c r="AGA13" s="1023">
        <v>0</v>
      </c>
      <c r="AGB13" s="1023">
        <v>9016.4695250335244</v>
      </c>
      <c r="AGC13" s="1023">
        <v>0</v>
      </c>
      <c r="AGD13" s="1023">
        <v>7548.6721604931836</v>
      </c>
      <c r="AGE13" s="1023">
        <v>0</v>
      </c>
      <c r="AGF13" s="1023">
        <v>0</v>
      </c>
      <c r="AGG13" s="1023">
        <v>0</v>
      </c>
      <c r="AGH13" s="1023">
        <v>4403.3920936210234</v>
      </c>
      <c r="AGI13" s="1023">
        <v>0</v>
      </c>
      <c r="AGJ13" s="1023">
        <v>13852.575906642418</v>
      </c>
      <c r="AGK13" s="1023">
        <v>0</v>
      </c>
      <c r="AGL13" s="1023">
        <v>11597.505410212256</v>
      </c>
      <c r="AGM13" s="1023">
        <v>0</v>
      </c>
      <c r="AGN13" s="1023">
        <v>0</v>
      </c>
      <c r="AGO13" s="1023">
        <v>0</v>
      </c>
      <c r="AGP13" s="1023">
        <v>6765.2114892904829</v>
      </c>
      <c r="AGQ13" s="1023">
        <v>0</v>
      </c>
      <c r="AGR13" s="1030">
        <v>3228.7357611816287</v>
      </c>
      <c r="AGS13" s="1030">
        <v>0</v>
      </c>
      <c r="AGT13" s="1030">
        <v>2703.127614012526</v>
      </c>
      <c r="AGU13" s="1030">
        <v>0</v>
      </c>
      <c r="AGV13" s="1030">
        <v>0</v>
      </c>
      <c r="AGW13" s="1030">
        <v>0</v>
      </c>
      <c r="AGX13" s="1030">
        <v>1576.824441507307</v>
      </c>
      <c r="AGY13" s="1030">
        <v>0</v>
      </c>
      <c r="AGZ13" s="1030">
        <v>3568.6026834112736</v>
      </c>
      <c r="AHA13" s="1030">
        <v>0</v>
      </c>
      <c r="AHB13" s="1030">
        <v>2987.6673628559497</v>
      </c>
      <c r="AHC13" s="1030">
        <v>0</v>
      </c>
      <c r="AHD13" s="1030">
        <v>0</v>
      </c>
      <c r="AHE13" s="1030">
        <v>0</v>
      </c>
      <c r="AHF13" s="1030">
        <v>1742.8059616659707</v>
      </c>
      <c r="AHG13" s="1030">
        <v>0</v>
      </c>
      <c r="AHH13" s="1030">
        <v>3738.536144526096</v>
      </c>
      <c r="AHI13" s="1030">
        <v>0</v>
      </c>
      <c r="AHJ13" s="1030">
        <v>3129.937237277662</v>
      </c>
      <c r="AHK13" s="1030">
        <v>0</v>
      </c>
      <c r="AHL13" s="1030">
        <v>0</v>
      </c>
      <c r="AHM13" s="1030">
        <v>0</v>
      </c>
      <c r="AHN13" s="1030">
        <v>1825.7967217453026</v>
      </c>
      <c r="AHO13" s="1030">
        <v>0</v>
      </c>
      <c r="AHP13" s="1030">
        <v>5743.7509856810029</v>
      </c>
      <c r="AHQ13" s="1030">
        <v>0</v>
      </c>
      <c r="AHR13" s="1030">
        <v>4808.7217554538629</v>
      </c>
      <c r="AHS13" s="1030">
        <v>0</v>
      </c>
      <c r="AHT13" s="1030">
        <v>0</v>
      </c>
      <c r="AHU13" s="1030">
        <v>0</v>
      </c>
      <c r="AHV13" s="1030">
        <v>2805.0876906814201</v>
      </c>
      <c r="AHW13" s="1030">
        <v>0</v>
      </c>
      <c r="AHX13" s="1013">
        <v>165</v>
      </c>
      <c r="AHY13" s="1023">
        <v>0</v>
      </c>
      <c r="AHZ13" s="1023">
        <v>0</v>
      </c>
      <c r="AIA13" s="1023">
        <v>0</v>
      </c>
      <c r="AIB13" s="1023">
        <v>0</v>
      </c>
      <c r="AIC13" s="1023">
        <v>0</v>
      </c>
      <c r="AID13" s="1023">
        <v>0</v>
      </c>
      <c r="AIE13" s="1023">
        <v>0</v>
      </c>
      <c r="AIF13" s="1013">
        <v>420</v>
      </c>
      <c r="AIG13" s="1013">
        <v>32.409999999999997</v>
      </c>
      <c r="AIH13" s="1013">
        <v>27.01</v>
      </c>
      <c r="AII13" s="1013">
        <v>0</v>
      </c>
      <c r="AIJ13" s="1013">
        <v>2.52</v>
      </c>
      <c r="AIK13" s="1013">
        <v>3.06</v>
      </c>
      <c r="AIL13" s="1013">
        <v>0</v>
      </c>
      <c r="AIM13" s="1013">
        <v>0</v>
      </c>
      <c r="AIN13" s="1016">
        <v>350</v>
      </c>
      <c r="AIO13" s="1016">
        <v>64.819999999999993</v>
      </c>
      <c r="AIP13" s="1017">
        <v>54.02</v>
      </c>
      <c r="AIQ13" s="1017">
        <v>0</v>
      </c>
      <c r="AIR13" s="1017">
        <v>5.04</v>
      </c>
      <c r="AIS13" s="1017">
        <v>6.12</v>
      </c>
      <c r="AIT13" s="1017">
        <v>0</v>
      </c>
      <c r="AIU13" s="1017">
        <v>0</v>
      </c>
      <c r="AIV13" s="1013">
        <v>120</v>
      </c>
      <c r="AIW13" s="1013">
        <v>47.37</v>
      </c>
      <c r="AIX13" s="1013">
        <v>39.47</v>
      </c>
      <c r="AIY13" s="1013">
        <v>0</v>
      </c>
      <c r="AIZ13" s="1013">
        <v>3.68</v>
      </c>
      <c r="AJA13" s="1013">
        <v>4.4800000000000004</v>
      </c>
      <c r="AJB13" s="1013">
        <v>0</v>
      </c>
      <c r="AJC13" s="1013">
        <v>0</v>
      </c>
      <c r="AJD13" s="1013">
        <v>129.6</v>
      </c>
      <c r="AJE13" s="1013">
        <v>96.93</v>
      </c>
      <c r="AJF13" s="1013">
        <v>80.78</v>
      </c>
      <c r="AJG13" s="1013">
        <v>0</v>
      </c>
      <c r="AJH13" s="1013">
        <v>7.54</v>
      </c>
      <c r="AJI13" s="1013">
        <v>9.15</v>
      </c>
      <c r="AJJ13" s="1013">
        <v>0</v>
      </c>
      <c r="AJK13" s="1013">
        <v>0</v>
      </c>
      <c r="AJL13" s="1013">
        <v>160</v>
      </c>
      <c r="AJM13" s="1013">
        <v>17.45</v>
      </c>
      <c r="AJN13" s="1013">
        <v>14.54</v>
      </c>
      <c r="AJO13" s="1013">
        <v>0</v>
      </c>
      <c r="AJP13" s="1013">
        <v>1.36</v>
      </c>
      <c r="AJQ13" s="1013">
        <v>1.65</v>
      </c>
      <c r="AJR13" s="1013">
        <v>0</v>
      </c>
      <c r="AJS13" s="1013">
        <v>0</v>
      </c>
      <c r="AJT13" s="1029" t="s">
        <v>858</v>
      </c>
      <c r="AJU13" s="988" t="s">
        <v>861</v>
      </c>
      <c r="AJV13" s="988" t="s">
        <v>860</v>
      </c>
      <c r="AJW13" s="988" t="s">
        <v>859</v>
      </c>
      <c r="AJX13" s="988" t="s">
        <v>870</v>
      </c>
      <c r="AJY13" s="988" t="s">
        <v>871</v>
      </c>
      <c r="AJZ13" s="988" t="s">
        <v>872</v>
      </c>
      <c r="AKA13" s="988" t="s">
        <v>873</v>
      </c>
      <c r="AKB13" s="988" t="s">
        <v>874</v>
      </c>
      <c r="AKC13" s="988" t="s">
        <v>875</v>
      </c>
      <c r="AKD13" s="1013">
        <v>113.55882352941175</v>
      </c>
      <c r="AKE13" s="1013">
        <v>0</v>
      </c>
      <c r="AKF13" s="1013">
        <v>0</v>
      </c>
      <c r="AKG13" s="1013">
        <v>0</v>
      </c>
      <c r="AKH13" s="1013">
        <v>0</v>
      </c>
      <c r="AKI13" s="1013">
        <v>0</v>
      </c>
      <c r="AKJ13" s="1013">
        <v>10.191176470588236</v>
      </c>
      <c r="AKK13" s="1013">
        <v>0</v>
      </c>
      <c r="AKL13" s="1013">
        <v>333.79411764705878</v>
      </c>
      <c r="AKM13" s="1013">
        <v>0</v>
      </c>
      <c r="AKN13" s="1013">
        <v>0</v>
      </c>
      <c r="AKO13" s="1013">
        <v>0</v>
      </c>
      <c r="AKP13" s="1013">
        <v>0</v>
      </c>
      <c r="AKQ13" s="1013">
        <v>0</v>
      </c>
      <c r="AKR13" s="1013">
        <v>29.95588235294117</v>
      </c>
      <c r="AKS13" s="1013">
        <v>0</v>
      </c>
      <c r="AKT13" s="1016">
        <v>330.35294117647055</v>
      </c>
      <c r="AKU13" s="1016">
        <v>0</v>
      </c>
      <c r="AKV13" s="1017">
        <v>0</v>
      </c>
      <c r="AKW13" s="1017">
        <v>0</v>
      </c>
      <c r="AKX13" s="1017">
        <v>0</v>
      </c>
      <c r="AKY13" s="1017">
        <v>0</v>
      </c>
      <c r="AKZ13" s="1017">
        <v>29.647058823529413</v>
      </c>
      <c r="ALA13" s="1017">
        <v>0</v>
      </c>
      <c r="ALB13" s="1013">
        <v>147.97058823529412</v>
      </c>
      <c r="ALC13" s="1013">
        <v>0</v>
      </c>
      <c r="ALD13" s="1013">
        <v>0</v>
      </c>
      <c r="ALE13" s="1013">
        <v>0</v>
      </c>
      <c r="ALF13" s="1013">
        <v>0</v>
      </c>
      <c r="ALG13" s="1013">
        <v>0</v>
      </c>
      <c r="ALH13" s="1013">
        <v>13.279411764705882</v>
      </c>
      <c r="ALI13" s="1013">
        <v>0</v>
      </c>
      <c r="ALJ13" s="1013">
        <v>222.98823529411763</v>
      </c>
      <c r="ALK13" s="1013">
        <v>0</v>
      </c>
      <c r="ALL13" s="1013">
        <v>0</v>
      </c>
      <c r="ALM13" s="1013">
        <v>0</v>
      </c>
      <c r="ALN13" s="1013">
        <v>0</v>
      </c>
      <c r="ALO13" s="1013">
        <v>0</v>
      </c>
      <c r="ALP13" s="1013">
        <v>20.011764705882353</v>
      </c>
      <c r="ALQ13" s="1013">
        <v>0</v>
      </c>
      <c r="ALR13" s="1013">
        <v>134.20588235294116</v>
      </c>
      <c r="ALS13" s="1013">
        <v>0</v>
      </c>
      <c r="ALT13" s="1013">
        <v>0</v>
      </c>
      <c r="ALU13" s="1013">
        <v>0</v>
      </c>
      <c r="ALV13" s="1013">
        <v>0</v>
      </c>
      <c r="ALW13" s="1013">
        <v>0</v>
      </c>
      <c r="ALX13" s="1013">
        <v>12.044117647058822</v>
      </c>
      <c r="ALY13" s="1013">
        <v>0</v>
      </c>
    </row>
    <row r="14" spans="1:1013" ht="18" customHeight="1">
      <c r="A14" s="1259" t="s">
        <v>5</v>
      </c>
      <c r="B14" s="1260" t="s">
        <v>3063</v>
      </c>
      <c r="C14" s="1260">
        <v>2022</v>
      </c>
      <c r="D14" s="1269"/>
      <c r="E14" s="1270">
        <v>0.1</v>
      </c>
      <c r="F14" s="1271">
        <v>0.1</v>
      </c>
      <c r="G14" s="1271">
        <v>0.1</v>
      </c>
      <c r="H14" s="76">
        <v>582.33962264150944</v>
      </c>
      <c r="I14" s="72">
        <v>-0.5</v>
      </c>
      <c r="J14" s="1271">
        <v>-7.9</v>
      </c>
      <c r="K14" s="1271">
        <v>-7.9</v>
      </c>
      <c r="L14" s="1265">
        <v>350</v>
      </c>
      <c r="M14" s="1262">
        <v>0</v>
      </c>
      <c r="N14" s="1262">
        <v>0</v>
      </c>
      <c r="O14" s="1262">
        <v>0</v>
      </c>
      <c r="P14" s="76">
        <v>1753.2725473909616</v>
      </c>
      <c r="Q14" s="75">
        <v>12</v>
      </c>
      <c r="R14" s="75">
        <v>1.5</v>
      </c>
      <c r="S14" s="75">
        <v>1</v>
      </c>
      <c r="T14" s="75">
        <v>1</v>
      </c>
      <c r="U14" s="1271">
        <v>7.8</v>
      </c>
      <c r="V14" s="1271">
        <v>0</v>
      </c>
      <c r="W14" s="1271">
        <v>84.7</v>
      </c>
      <c r="X14" s="1271">
        <v>7.5</v>
      </c>
      <c r="Y14" s="1272">
        <v>0</v>
      </c>
      <c r="Z14" s="75">
        <v>2</v>
      </c>
      <c r="AA14" s="72">
        <v>1.5</v>
      </c>
      <c r="AB14" s="75">
        <v>1</v>
      </c>
      <c r="AC14" s="72">
        <v>0.8</v>
      </c>
      <c r="AD14" s="72">
        <v>0.5</v>
      </c>
      <c r="AE14" s="390">
        <v>433.01922201480062</v>
      </c>
      <c r="AF14" s="390">
        <v>470.67306740739195</v>
      </c>
      <c r="AG14" s="390">
        <v>433.37222681535616</v>
      </c>
      <c r="AH14" s="390">
        <v>649.0581599547935</v>
      </c>
      <c r="AI14" s="400">
        <v>0.82209484106305364</v>
      </c>
      <c r="AJ14" s="390">
        <v>261.91600618637949</v>
      </c>
      <c r="AK14" s="390">
        <v>284.69131107215162</v>
      </c>
      <c r="AL14" s="390">
        <v>262.12952466968363</v>
      </c>
      <c r="AM14" s="390">
        <v>392.58931796849708</v>
      </c>
      <c r="AN14" s="400">
        <v>0.96717040125065135</v>
      </c>
      <c r="AO14" s="77">
        <v>0.1</v>
      </c>
      <c r="AP14" s="77">
        <v>0.2</v>
      </c>
      <c r="AQ14" s="77">
        <v>0.4</v>
      </c>
      <c r="AR14" s="77">
        <v>0.6</v>
      </c>
      <c r="AS14" s="77">
        <v>0.8</v>
      </c>
      <c r="AT14" s="77">
        <v>1.1000000000000001</v>
      </c>
      <c r="AU14" s="77">
        <v>1.4</v>
      </c>
      <c r="AV14" s="1268">
        <v>0</v>
      </c>
      <c r="AW14" s="1268">
        <v>10</v>
      </c>
      <c r="AX14" s="1268">
        <v>20</v>
      </c>
      <c r="AY14" s="1268">
        <v>70</v>
      </c>
      <c r="AZ14" s="1268">
        <v>100</v>
      </c>
      <c r="BA14" s="1019">
        <v>7491.5917593037138</v>
      </c>
      <c r="BB14" s="1031">
        <v>1.38</v>
      </c>
      <c r="BC14" s="988">
        <v>1.4</v>
      </c>
      <c r="BD14" s="988">
        <v>1.1000000000000001</v>
      </c>
      <c r="BE14" s="988">
        <v>1.1000000000000001</v>
      </c>
      <c r="BF14" s="1021">
        <v>0.17111084121059142</v>
      </c>
      <c r="BG14" s="1021">
        <v>0.17335999999999999</v>
      </c>
      <c r="BH14" s="1020">
        <v>1.7504555560044199</v>
      </c>
      <c r="BI14" s="1020"/>
      <c r="BJ14" s="1020">
        <v>1.88667764888714</v>
      </c>
      <c r="BK14" s="1020">
        <v>57.773761270865343</v>
      </c>
      <c r="BL14" s="1020"/>
      <c r="BM14" s="1020"/>
      <c r="BN14" s="1020">
        <v>38.452883431360377</v>
      </c>
      <c r="BO14" s="1020"/>
      <c r="BP14" s="1020"/>
      <c r="BQ14" s="1020"/>
      <c r="BR14" s="1020"/>
      <c r="BS14" s="1020"/>
      <c r="BT14" s="1020"/>
      <c r="BU14" s="1020">
        <v>2.3274460585282858E-4</v>
      </c>
      <c r="BV14" s="1020">
        <v>0.13598934827686698</v>
      </c>
      <c r="BW14" s="993">
        <v>261.13475999999997</v>
      </c>
      <c r="BX14" s="993">
        <v>96.5</v>
      </c>
      <c r="BY14" s="993">
        <v>63.215999999999994</v>
      </c>
      <c r="BZ14" s="993">
        <v>233.35949490734063</v>
      </c>
      <c r="CA14" s="993">
        <v>157.40783999999999</v>
      </c>
      <c r="CB14" s="990"/>
      <c r="CC14" s="993">
        <v>256.20808011776955</v>
      </c>
      <c r="CD14" s="993">
        <v>165.17663999999999</v>
      </c>
      <c r="CE14" s="990"/>
      <c r="CF14" s="989">
        <v>0</v>
      </c>
      <c r="CG14" s="993">
        <v>6.585</v>
      </c>
      <c r="CH14" s="993">
        <v>1.3169999999999999</v>
      </c>
      <c r="CI14" s="993">
        <v>38</v>
      </c>
      <c r="CJ14" s="993">
        <v>225.83915999999996</v>
      </c>
      <c r="CK14" s="990">
        <v>0.2</v>
      </c>
      <c r="CL14" s="993">
        <v>175.08124000000001</v>
      </c>
      <c r="CM14" s="993">
        <v>60.4</v>
      </c>
      <c r="CN14" s="993">
        <v>42.384</v>
      </c>
      <c r="CO14" s="993">
        <v>156.45894761061641</v>
      </c>
      <c r="CP14" s="993">
        <v>105.53616</v>
      </c>
      <c r="CQ14" s="990"/>
      <c r="CR14" s="993">
        <v>159.24945066654416</v>
      </c>
      <c r="CS14" s="993">
        <v>102.66767999999999</v>
      </c>
      <c r="CT14" s="990"/>
      <c r="CU14" s="993">
        <v>0</v>
      </c>
      <c r="CV14" s="993">
        <v>4.415</v>
      </c>
      <c r="CW14" s="993">
        <v>0.88300000000000001</v>
      </c>
      <c r="CX14" s="993">
        <v>27</v>
      </c>
      <c r="CY14" s="993">
        <v>151.41683999999998</v>
      </c>
      <c r="CZ14" s="990">
        <v>0.2</v>
      </c>
      <c r="DA14" s="988">
        <v>0.3</v>
      </c>
      <c r="DB14" s="988">
        <v>0.7</v>
      </c>
      <c r="DC14" s="988">
        <v>1.2</v>
      </c>
      <c r="DD14" s="988">
        <v>1.2</v>
      </c>
      <c r="DE14" s="1022">
        <v>3</v>
      </c>
      <c r="DF14" s="995">
        <v>0</v>
      </c>
      <c r="DG14" s="995">
        <v>10</v>
      </c>
      <c r="DH14" s="995">
        <v>20</v>
      </c>
      <c r="DI14" s="995">
        <v>70</v>
      </c>
      <c r="DJ14" s="995">
        <v>100</v>
      </c>
      <c r="DK14" s="1017">
        <v>501.54287460858131</v>
      </c>
      <c r="DL14" s="1022">
        <v>18</v>
      </c>
      <c r="DM14" s="989">
        <v>12</v>
      </c>
      <c r="DN14" s="988">
        <v>1.6</v>
      </c>
      <c r="DO14" s="1022">
        <v>1</v>
      </c>
      <c r="DP14" s="1022">
        <v>1</v>
      </c>
      <c r="DQ14" s="988" t="s">
        <v>644</v>
      </c>
      <c r="DR14" s="988" t="s">
        <v>640</v>
      </c>
      <c r="DS14" s="988" t="s">
        <v>640</v>
      </c>
      <c r="DT14" s="988" t="s">
        <v>640</v>
      </c>
      <c r="DU14" s="988" t="s">
        <v>640</v>
      </c>
      <c r="DV14" s="988" t="s">
        <v>640</v>
      </c>
      <c r="DW14" s="988" t="s">
        <v>640</v>
      </c>
      <c r="DX14" s="997">
        <v>5367.4</v>
      </c>
      <c r="DY14" s="997">
        <v>0</v>
      </c>
      <c r="DZ14" s="997">
        <v>0</v>
      </c>
      <c r="EA14" s="997">
        <v>0</v>
      </c>
      <c r="EB14" s="997">
        <v>0</v>
      </c>
      <c r="EC14" s="997">
        <v>0</v>
      </c>
      <c r="ED14" s="997">
        <v>0</v>
      </c>
      <c r="EE14" s="1022">
        <v>5.3673999999999999</v>
      </c>
      <c r="EF14" s="1022">
        <v>18</v>
      </c>
      <c r="EG14" s="991">
        <v>5</v>
      </c>
      <c r="EH14" s="1023">
        <v>1.6</v>
      </c>
      <c r="EI14" s="998">
        <v>1</v>
      </c>
      <c r="EJ14" s="998">
        <v>1</v>
      </c>
      <c r="EK14" s="988" t="s">
        <v>683</v>
      </c>
      <c r="EL14" s="988" t="s">
        <v>703</v>
      </c>
      <c r="EM14" s="987" t="s">
        <v>717</v>
      </c>
      <c r="EN14" s="987" t="s">
        <v>732</v>
      </c>
      <c r="EO14" s="987" t="s">
        <v>744</v>
      </c>
      <c r="EP14" s="987" t="s">
        <v>754</v>
      </c>
      <c r="EQ14" s="988" t="s">
        <v>640</v>
      </c>
      <c r="ER14" s="988" t="s">
        <v>640</v>
      </c>
      <c r="ES14" s="988" t="s">
        <v>640</v>
      </c>
      <c r="ET14" s="988" t="s">
        <v>640</v>
      </c>
      <c r="EU14" s="988" t="s">
        <v>640</v>
      </c>
      <c r="EV14" s="988" t="s">
        <v>640</v>
      </c>
      <c r="EW14" s="988" t="s">
        <v>640</v>
      </c>
      <c r="EX14" s="988" t="s">
        <v>640</v>
      </c>
      <c r="EY14" s="988" t="s">
        <v>640</v>
      </c>
      <c r="EZ14" s="988" t="s">
        <v>640</v>
      </c>
      <c r="FA14" s="988" t="s">
        <v>640</v>
      </c>
      <c r="FB14" s="988" t="s">
        <v>640</v>
      </c>
      <c r="FC14" s="988" t="s">
        <v>640</v>
      </c>
      <c r="FD14" s="988" t="s">
        <v>640</v>
      </c>
      <c r="FE14" s="988" t="s">
        <v>640</v>
      </c>
      <c r="FF14" s="988" t="s">
        <v>640</v>
      </c>
      <c r="FG14" s="988" t="s">
        <v>640</v>
      </c>
      <c r="FH14" s="988" t="s">
        <v>640</v>
      </c>
      <c r="FI14" s="988" t="s">
        <v>640</v>
      </c>
      <c r="FJ14" s="988" t="s">
        <v>640</v>
      </c>
      <c r="FK14" s="988" t="s">
        <v>640</v>
      </c>
      <c r="FL14" s="988" t="s">
        <v>640</v>
      </c>
      <c r="FM14" s="988" t="s">
        <v>640</v>
      </c>
      <c r="FN14" s="988" t="s">
        <v>640</v>
      </c>
      <c r="FO14" s="988" t="s">
        <v>640</v>
      </c>
      <c r="FP14" s="988" t="s">
        <v>640</v>
      </c>
      <c r="FQ14" s="988" t="s">
        <v>640</v>
      </c>
      <c r="FR14" s="988" t="s">
        <v>640</v>
      </c>
      <c r="FS14" s="988" t="s">
        <v>640</v>
      </c>
      <c r="FT14" s="988" t="s">
        <v>640</v>
      </c>
      <c r="FU14" s="988" t="s">
        <v>640</v>
      </c>
      <c r="FV14" s="988" t="s">
        <v>640</v>
      </c>
      <c r="FW14" s="988" t="s">
        <v>640</v>
      </c>
      <c r="FX14" s="988" t="s">
        <v>640</v>
      </c>
      <c r="FY14" s="988" t="s">
        <v>640</v>
      </c>
      <c r="FZ14" s="988" t="s">
        <v>640</v>
      </c>
      <c r="GA14" s="988" t="s">
        <v>640</v>
      </c>
      <c r="GB14" s="988" t="s">
        <v>640</v>
      </c>
      <c r="GC14" s="988" t="s">
        <v>640</v>
      </c>
      <c r="GD14" s="988" t="s">
        <v>640</v>
      </c>
      <c r="GE14" s="988" t="s">
        <v>640</v>
      </c>
      <c r="GF14" s="988" t="s">
        <v>640</v>
      </c>
      <c r="GG14" s="988" t="s">
        <v>640</v>
      </c>
      <c r="GH14" s="988" t="s">
        <v>640</v>
      </c>
      <c r="GI14" s="988" t="s">
        <v>640</v>
      </c>
      <c r="GJ14" s="988" t="s">
        <v>640</v>
      </c>
      <c r="GK14" s="988" t="s">
        <v>640</v>
      </c>
      <c r="GL14" s="988" t="s">
        <v>640</v>
      </c>
      <c r="GM14" s="988" t="s">
        <v>640</v>
      </c>
      <c r="GN14" s="988" t="s">
        <v>640</v>
      </c>
      <c r="GO14" s="988" t="s">
        <v>640</v>
      </c>
      <c r="GP14" s="988" t="s">
        <v>640</v>
      </c>
      <c r="GQ14" s="997">
        <v>1790.8388941849378</v>
      </c>
      <c r="GR14" s="997">
        <v>550.04337464251671</v>
      </c>
      <c r="GS14" s="997">
        <v>475.85147759771218</v>
      </c>
      <c r="GT14" s="997">
        <v>347.93441372735936</v>
      </c>
      <c r="GU14" s="997">
        <v>1680.8302192564347</v>
      </c>
      <c r="GV14" s="997">
        <v>521.90162059103898</v>
      </c>
      <c r="GW14" s="997">
        <v>0</v>
      </c>
      <c r="GX14" s="997">
        <v>0</v>
      </c>
      <c r="GY14" s="997">
        <v>0</v>
      </c>
      <c r="GZ14" s="997">
        <v>0</v>
      </c>
      <c r="HA14" s="997">
        <v>0</v>
      </c>
      <c r="HB14" s="997">
        <v>0</v>
      </c>
      <c r="HC14" s="997">
        <v>0</v>
      </c>
      <c r="HD14" s="997">
        <v>0</v>
      </c>
      <c r="HE14" s="997">
        <v>0</v>
      </c>
      <c r="HF14" s="997">
        <v>0</v>
      </c>
      <c r="HG14" s="997">
        <v>0</v>
      </c>
      <c r="HH14" s="997">
        <v>0</v>
      </c>
      <c r="HI14" s="997">
        <v>0</v>
      </c>
      <c r="HJ14" s="997">
        <v>0</v>
      </c>
      <c r="HK14" s="997">
        <v>0</v>
      </c>
      <c r="HL14" s="997">
        <v>0</v>
      </c>
      <c r="HM14" s="997">
        <v>0</v>
      </c>
      <c r="HN14" s="997">
        <v>0</v>
      </c>
      <c r="HO14" s="997">
        <v>0</v>
      </c>
      <c r="HP14" s="997">
        <v>0</v>
      </c>
      <c r="HQ14" s="997">
        <v>0</v>
      </c>
      <c r="HR14" s="997">
        <v>0</v>
      </c>
      <c r="HS14" s="997">
        <v>0</v>
      </c>
      <c r="HT14" s="997">
        <v>0</v>
      </c>
      <c r="HU14" s="997">
        <v>0</v>
      </c>
      <c r="HV14" s="997">
        <v>0</v>
      </c>
      <c r="HW14" s="997">
        <v>0</v>
      </c>
      <c r="HX14" s="997">
        <v>0</v>
      </c>
      <c r="HY14" s="997">
        <v>0</v>
      </c>
      <c r="HZ14" s="997">
        <v>0</v>
      </c>
      <c r="IA14" s="997">
        <v>0</v>
      </c>
      <c r="IB14" s="997">
        <v>0</v>
      </c>
      <c r="IC14" s="997">
        <v>0</v>
      </c>
      <c r="ID14" s="997">
        <v>0</v>
      </c>
      <c r="IE14" s="997">
        <v>0</v>
      </c>
      <c r="IF14" s="997">
        <v>0</v>
      </c>
      <c r="IG14" s="997">
        <v>0</v>
      </c>
      <c r="IH14" s="997">
        <v>0</v>
      </c>
      <c r="II14" s="997">
        <v>0</v>
      </c>
      <c r="IJ14" s="997">
        <v>0</v>
      </c>
      <c r="IK14" s="997">
        <v>0</v>
      </c>
      <c r="IL14" s="997">
        <v>0</v>
      </c>
      <c r="IM14" s="997">
        <v>0</v>
      </c>
      <c r="IN14" s="997">
        <v>0</v>
      </c>
      <c r="IO14" s="997">
        <v>0</v>
      </c>
      <c r="IP14" s="997">
        <v>0</v>
      </c>
      <c r="IQ14" s="997">
        <v>0</v>
      </c>
      <c r="IR14" s="997">
        <v>0</v>
      </c>
      <c r="IS14" s="997">
        <v>0</v>
      </c>
      <c r="IT14" s="997">
        <v>0</v>
      </c>
      <c r="IU14" s="997">
        <v>0</v>
      </c>
      <c r="IV14" s="997">
        <v>0</v>
      </c>
      <c r="IW14" s="1019">
        <v>954.98158857169233</v>
      </c>
      <c r="IX14" s="1022">
        <v>179.9</v>
      </c>
      <c r="IY14" s="998">
        <v>2647.0800000000199</v>
      </c>
      <c r="IZ14" s="429">
        <v>12.64</v>
      </c>
      <c r="JA14" s="1022">
        <v>53.18713000973225</v>
      </c>
      <c r="JB14" s="988">
        <v>1.6</v>
      </c>
      <c r="JC14" s="1022">
        <v>1</v>
      </c>
      <c r="JD14" s="1022">
        <v>1</v>
      </c>
      <c r="JE14" s="998">
        <v>2</v>
      </c>
      <c r="JF14" s="1023">
        <v>1.5</v>
      </c>
      <c r="JG14" s="1023">
        <v>0.7</v>
      </c>
      <c r="JH14" s="1023">
        <v>0.7</v>
      </c>
      <c r="JI14" s="1023">
        <v>0.5</v>
      </c>
      <c r="JJ14" s="1019">
        <v>0</v>
      </c>
      <c r="JK14" s="998">
        <v>2647.0800000000199</v>
      </c>
      <c r="JL14" s="429">
        <v>12.64</v>
      </c>
      <c r="JM14" s="1022">
        <v>53.18713000973225</v>
      </c>
      <c r="JN14" s="988">
        <v>1.8</v>
      </c>
      <c r="JO14" s="1022">
        <v>1.1000000000000001</v>
      </c>
      <c r="JP14" s="1022">
        <v>1.1000000000000001</v>
      </c>
      <c r="JQ14" s="998">
        <v>2</v>
      </c>
      <c r="JR14" s="998">
        <v>2</v>
      </c>
      <c r="JS14" s="998">
        <v>1</v>
      </c>
      <c r="JT14" s="998">
        <v>1</v>
      </c>
      <c r="JU14" s="1023">
        <v>0.5</v>
      </c>
      <c r="JV14" s="1004">
        <v>2000</v>
      </c>
      <c r="JW14" s="1019"/>
      <c r="JX14" s="1019">
        <v>500</v>
      </c>
      <c r="JY14" s="1022">
        <v>1.4</v>
      </c>
      <c r="JZ14" s="1022">
        <v>1.2</v>
      </c>
      <c r="KA14" s="1022">
        <v>1.2</v>
      </c>
      <c r="KB14" s="1023">
        <v>2</v>
      </c>
      <c r="KC14" s="1023">
        <v>1.5</v>
      </c>
      <c r="KD14" s="1023">
        <v>0.5</v>
      </c>
      <c r="KE14" s="1023">
        <v>1</v>
      </c>
      <c r="KF14" s="1023">
        <v>0.5</v>
      </c>
      <c r="KG14" s="997"/>
      <c r="KH14" s="997"/>
      <c r="KI14" s="997"/>
      <c r="KJ14" s="997"/>
      <c r="KK14" s="997"/>
      <c r="KL14" s="997"/>
      <c r="KM14" s="997"/>
      <c r="KN14" s="997"/>
      <c r="KO14" s="997"/>
      <c r="KP14" s="1006">
        <v>580</v>
      </c>
      <c r="KQ14" s="1006">
        <v>580</v>
      </c>
      <c r="KR14" s="1006">
        <v>580</v>
      </c>
      <c r="KS14" s="1006">
        <v>580</v>
      </c>
      <c r="KT14" s="1006"/>
      <c r="KU14" s="1006">
        <v>580</v>
      </c>
      <c r="KV14" s="1006">
        <v>580</v>
      </c>
      <c r="KW14" s="1006">
        <v>580</v>
      </c>
      <c r="KX14" s="1006">
        <v>580</v>
      </c>
      <c r="KY14" s="993">
        <v>370</v>
      </c>
      <c r="KZ14" s="993">
        <v>370</v>
      </c>
      <c r="LA14" s="993">
        <v>370</v>
      </c>
      <c r="LB14" s="993">
        <v>370</v>
      </c>
      <c r="LC14" s="993"/>
      <c r="LD14" s="993">
        <v>370</v>
      </c>
      <c r="LE14" s="993">
        <v>370</v>
      </c>
      <c r="LF14" s="993">
        <v>370</v>
      </c>
      <c r="LG14" s="993">
        <v>370</v>
      </c>
      <c r="LH14" s="995">
        <v>0</v>
      </c>
      <c r="LI14" s="995">
        <v>10</v>
      </c>
      <c r="LJ14" s="995">
        <v>20</v>
      </c>
      <c r="LK14" s="995">
        <v>70</v>
      </c>
      <c r="LL14" s="995">
        <v>100</v>
      </c>
      <c r="LM14" s="1004">
        <v>1000</v>
      </c>
      <c r="LN14" s="1019">
        <v>1.6819636589325306</v>
      </c>
      <c r="LO14" s="988">
        <v>29</v>
      </c>
      <c r="LP14" s="988">
        <v>1.7</v>
      </c>
      <c r="LQ14" s="1022">
        <v>1.3</v>
      </c>
      <c r="LR14" s="1022">
        <v>1.3</v>
      </c>
      <c r="LS14" s="1023">
        <v>2</v>
      </c>
      <c r="LT14" s="1023">
        <v>1</v>
      </c>
      <c r="LU14" s="1023">
        <v>0.5</v>
      </c>
      <c r="LV14" s="1023">
        <v>0.7</v>
      </c>
      <c r="LW14" s="1023">
        <v>0.2</v>
      </c>
      <c r="LX14" s="1004">
        <v>1500</v>
      </c>
      <c r="LY14" s="1008">
        <v>500</v>
      </c>
      <c r="LZ14" s="1008">
        <v>1</v>
      </c>
      <c r="MA14" s="997" t="s">
        <v>2914</v>
      </c>
      <c r="MB14" s="1023" t="s">
        <v>905</v>
      </c>
      <c r="MC14" s="1023" t="s">
        <v>2932</v>
      </c>
      <c r="MD14" s="1024" t="s">
        <v>906</v>
      </c>
      <c r="ME14" s="1009">
        <v>0.5</v>
      </c>
      <c r="MF14" s="1010">
        <v>0.75</v>
      </c>
      <c r="MG14" s="1010">
        <v>1</v>
      </c>
      <c r="MH14" s="1010">
        <v>2</v>
      </c>
      <c r="MI14" s="1010">
        <v>0.5</v>
      </c>
      <c r="MJ14" s="1010">
        <v>0.75</v>
      </c>
      <c r="MK14" s="1010">
        <v>1</v>
      </c>
      <c r="ML14" s="1010">
        <v>2</v>
      </c>
      <c r="MM14" s="1010">
        <v>0</v>
      </c>
      <c r="MN14" s="1010">
        <v>0.5</v>
      </c>
      <c r="MO14" s="1010">
        <v>1</v>
      </c>
      <c r="MP14" s="1010">
        <v>2</v>
      </c>
      <c r="MQ14" s="1010">
        <v>0</v>
      </c>
      <c r="MR14" s="1010">
        <v>0.5</v>
      </c>
      <c r="MS14" s="1010">
        <v>1</v>
      </c>
      <c r="MT14" s="1010">
        <v>2</v>
      </c>
      <c r="MU14" s="1001">
        <v>0</v>
      </c>
      <c r="MV14" s="1001">
        <v>0</v>
      </c>
      <c r="MW14" s="1001">
        <v>0</v>
      </c>
      <c r="MX14" s="1025">
        <v>0</v>
      </c>
      <c r="MY14" s="1025">
        <v>0</v>
      </c>
      <c r="MZ14" s="1025">
        <v>0</v>
      </c>
      <c r="NA14" s="1025">
        <v>0</v>
      </c>
      <c r="NB14" s="1025">
        <v>0</v>
      </c>
      <c r="NC14" s="1025">
        <v>0</v>
      </c>
      <c r="ND14" s="1025">
        <v>0</v>
      </c>
      <c r="NE14" s="1025">
        <v>0</v>
      </c>
      <c r="NF14" s="1025">
        <v>0</v>
      </c>
      <c r="NG14" s="1025">
        <v>0</v>
      </c>
      <c r="NH14" s="1025">
        <v>0</v>
      </c>
      <c r="NI14" s="1025">
        <v>0</v>
      </c>
      <c r="NJ14" s="1025">
        <v>0</v>
      </c>
      <c r="NK14" s="1025">
        <v>0</v>
      </c>
      <c r="NL14" s="1025">
        <v>0</v>
      </c>
      <c r="NM14" s="1025">
        <v>0</v>
      </c>
      <c r="NN14" s="1025">
        <v>0</v>
      </c>
      <c r="NO14" s="1025">
        <v>0</v>
      </c>
      <c r="NP14" s="1025">
        <v>0</v>
      </c>
      <c r="NQ14" s="1025">
        <v>0</v>
      </c>
      <c r="NR14" s="1025">
        <v>0</v>
      </c>
      <c r="NS14" s="1025">
        <v>0</v>
      </c>
      <c r="NT14" s="1025">
        <v>0</v>
      </c>
      <c r="NU14" s="1025">
        <v>0</v>
      </c>
      <c r="NV14" s="1025">
        <v>2.0036831406212299</v>
      </c>
      <c r="NW14" s="1025">
        <v>0</v>
      </c>
      <c r="NX14" s="1025">
        <v>2.3067368390280001E-2</v>
      </c>
      <c r="NY14" s="1025">
        <v>0.54346971482275996</v>
      </c>
      <c r="NZ14" s="1025">
        <v>0.30202261380607998</v>
      </c>
      <c r="OA14" s="1025">
        <v>0</v>
      </c>
      <c r="OB14" s="1025">
        <v>2.0036831406212299</v>
      </c>
      <c r="OC14" s="1025">
        <v>0</v>
      </c>
      <c r="OD14" s="1025">
        <v>2.297085956873E-2</v>
      </c>
      <c r="OE14" s="1025">
        <v>0.54357175057244</v>
      </c>
      <c r="OF14" s="1025">
        <v>0.17237730802415999</v>
      </c>
      <c r="OG14" s="1025">
        <v>0</v>
      </c>
      <c r="OH14" s="1025">
        <v>2.0510376306728801</v>
      </c>
      <c r="OI14" s="1025">
        <v>0</v>
      </c>
      <c r="OJ14" s="1025">
        <v>2.3037323390039999E-2</v>
      </c>
      <c r="OK14" s="1025">
        <v>0.54340986787189005</v>
      </c>
      <c r="OL14" s="1025">
        <v>0</v>
      </c>
      <c r="OM14" s="1025">
        <v>0</v>
      </c>
      <c r="ON14" s="1025">
        <v>2.0510376306728801</v>
      </c>
      <c r="OO14" s="1025">
        <v>0</v>
      </c>
      <c r="OP14" s="1025">
        <v>2.3017456906229999E-2</v>
      </c>
      <c r="OQ14" s="1025">
        <v>0.54351548525372995</v>
      </c>
      <c r="OR14" s="1025">
        <v>0.33259364429123001</v>
      </c>
      <c r="OS14" s="1025">
        <v>0</v>
      </c>
      <c r="OT14" s="1025">
        <v>0</v>
      </c>
      <c r="OU14" s="1025">
        <v>0</v>
      </c>
      <c r="OV14" s="1025">
        <v>0</v>
      </c>
      <c r="OW14" s="1025">
        <v>0</v>
      </c>
      <c r="OX14" s="1025">
        <v>0</v>
      </c>
      <c r="OY14" s="1025">
        <v>0</v>
      </c>
      <c r="OZ14" s="1025">
        <v>-76.72</v>
      </c>
      <c r="PA14" s="1025">
        <v>-19.329999999999998</v>
      </c>
      <c r="PB14" s="1025">
        <v>-5.130468482673E-2</v>
      </c>
      <c r="PC14" s="1025">
        <v>0</v>
      </c>
      <c r="PD14" s="1025">
        <v>-0.25409412355960997</v>
      </c>
      <c r="PE14" s="1025">
        <v>0</v>
      </c>
      <c r="PF14" s="1025">
        <v>-0.15524039716466001</v>
      </c>
      <c r="PG14" s="1025">
        <v>0</v>
      </c>
      <c r="PH14" s="1025">
        <v>0</v>
      </c>
      <c r="PI14" s="1025">
        <v>0</v>
      </c>
      <c r="PJ14" s="1025">
        <v>-0.47308934848860001</v>
      </c>
      <c r="PK14" s="1025">
        <v>0</v>
      </c>
      <c r="PL14" s="1025">
        <v>0.17133210138480001</v>
      </c>
      <c r="PM14" s="1025">
        <v>0</v>
      </c>
      <c r="PN14" s="1025">
        <v>0</v>
      </c>
      <c r="PO14" s="1025">
        <v>0</v>
      </c>
      <c r="PP14" s="1025">
        <v>0</v>
      </c>
      <c r="PQ14" s="1025">
        <v>0</v>
      </c>
      <c r="PR14" s="1025">
        <v>0</v>
      </c>
      <c r="PS14" s="1025">
        <v>0</v>
      </c>
      <c r="PT14" s="1025">
        <v>0</v>
      </c>
      <c r="PU14" s="1025">
        <v>0</v>
      </c>
      <c r="PV14" s="1025">
        <v>6.185701811114E-2</v>
      </c>
      <c r="PW14" s="1025">
        <v>0</v>
      </c>
      <c r="PX14" s="1025">
        <v>0</v>
      </c>
      <c r="PY14" s="1025">
        <v>0</v>
      </c>
      <c r="PZ14" s="1025">
        <v>0</v>
      </c>
      <c r="QA14" s="1025">
        <v>0</v>
      </c>
      <c r="QB14" s="1025">
        <v>0</v>
      </c>
      <c r="QC14" s="1025">
        <v>0</v>
      </c>
      <c r="QD14" s="1025">
        <v>-76.72</v>
      </c>
      <c r="QE14" s="1025">
        <v>-19.329999999999998</v>
      </c>
      <c r="QF14" s="1025">
        <v>-0.1165537644266</v>
      </c>
      <c r="QG14" s="1025">
        <v>0</v>
      </c>
      <c r="QH14" s="1025">
        <v>-8.0872830945369997E-2</v>
      </c>
      <c r="QI14" s="1025">
        <v>0</v>
      </c>
      <c r="QJ14" s="1025">
        <v>0.12690178868217</v>
      </c>
      <c r="QK14" s="1025">
        <v>0</v>
      </c>
      <c r="QL14" s="1025">
        <v>0</v>
      </c>
      <c r="QM14" s="1025">
        <v>0</v>
      </c>
      <c r="QN14" s="1025">
        <v>0.46903396918181001</v>
      </c>
      <c r="QO14" s="1025">
        <v>0</v>
      </c>
      <c r="QP14" s="1025">
        <v>0.49253208563139</v>
      </c>
      <c r="QQ14" s="1025">
        <v>0</v>
      </c>
      <c r="QR14" s="1025">
        <v>0</v>
      </c>
      <c r="QS14" s="1025">
        <v>0</v>
      </c>
      <c r="QT14" s="1025">
        <v>0</v>
      </c>
      <c r="QU14" s="1025">
        <v>0</v>
      </c>
      <c r="QV14" s="1025">
        <v>0</v>
      </c>
      <c r="QW14" s="1025">
        <v>0</v>
      </c>
      <c r="QX14" s="1025">
        <v>0</v>
      </c>
      <c r="QY14" s="1025">
        <v>0</v>
      </c>
      <c r="QZ14" s="1025">
        <v>0.35185908929693999</v>
      </c>
      <c r="RA14" s="1025">
        <v>0</v>
      </c>
      <c r="RB14" s="1025">
        <v>0</v>
      </c>
      <c r="RC14" s="1025">
        <v>0</v>
      </c>
      <c r="RD14" s="1025">
        <v>0</v>
      </c>
      <c r="RE14" s="1025">
        <v>0</v>
      </c>
      <c r="RF14" s="1025">
        <v>0</v>
      </c>
      <c r="RG14" s="1025">
        <v>0</v>
      </c>
      <c r="RH14" s="1011">
        <v>0</v>
      </c>
      <c r="RI14" s="1026">
        <v>0</v>
      </c>
      <c r="RJ14" s="1026">
        <v>0</v>
      </c>
      <c r="RK14" s="1026">
        <v>0</v>
      </c>
      <c r="RL14" s="1026">
        <v>0</v>
      </c>
      <c r="RM14" s="1011">
        <v>0</v>
      </c>
      <c r="RN14" s="1011">
        <v>0</v>
      </c>
      <c r="RO14" s="1011">
        <v>0</v>
      </c>
      <c r="RP14" s="1011">
        <v>0</v>
      </c>
      <c r="RQ14" s="1011">
        <v>0</v>
      </c>
      <c r="RR14" s="1011">
        <v>0</v>
      </c>
      <c r="RS14" s="1011">
        <v>0</v>
      </c>
      <c r="RT14" s="1011">
        <v>-4.6729114945424497</v>
      </c>
      <c r="RU14" s="1011">
        <v>0</v>
      </c>
      <c r="RV14" s="1011">
        <v>-0.11108130327765001</v>
      </c>
      <c r="RW14" s="1011">
        <v>0</v>
      </c>
      <c r="RX14" s="1011">
        <v>0</v>
      </c>
      <c r="RY14" s="1011">
        <v>0</v>
      </c>
      <c r="RZ14" s="1026">
        <v>-0.21634434494695001</v>
      </c>
      <c r="SA14" s="1026">
        <v>0</v>
      </c>
      <c r="SB14" s="1026">
        <v>0</v>
      </c>
      <c r="SC14" s="1026">
        <v>0</v>
      </c>
      <c r="SD14" s="1026">
        <v>0</v>
      </c>
      <c r="SE14" s="1026">
        <v>0</v>
      </c>
      <c r="SF14" s="1026">
        <v>-0.23045275548388999</v>
      </c>
      <c r="SG14" s="1026">
        <v>0</v>
      </c>
      <c r="SH14" s="1026">
        <v>0</v>
      </c>
      <c r="SI14" s="1026">
        <v>0</v>
      </c>
      <c r="SJ14" s="1026">
        <v>0</v>
      </c>
      <c r="SK14" s="1026">
        <v>0</v>
      </c>
      <c r="SL14" s="1025">
        <v>-76.72</v>
      </c>
      <c r="SM14" s="1025">
        <v>-19.329999999999998</v>
      </c>
      <c r="SN14" s="1025">
        <v>-8.1912788106269993E-2</v>
      </c>
      <c r="SO14" s="1025">
        <v>0</v>
      </c>
      <c r="SP14" s="1025">
        <v>-0.29028198392646998</v>
      </c>
      <c r="SQ14" s="1025">
        <v>0</v>
      </c>
      <c r="SR14" s="1025">
        <v>0</v>
      </c>
      <c r="SS14" s="1025">
        <v>0</v>
      </c>
      <c r="ST14" s="1025">
        <v>0</v>
      </c>
      <c r="SU14" s="1025">
        <v>0</v>
      </c>
      <c r="SV14" s="1025">
        <v>-5.4493930852369997E-2</v>
      </c>
      <c r="SW14" s="1025">
        <v>0</v>
      </c>
      <c r="SX14" s="1025">
        <v>0</v>
      </c>
      <c r="SY14" s="1025">
        <v>0</v>
      </c>
      <c r="SZ14" s="1025">
        <v>0</v>
      </c>
      <c r="TA14" s="1025">
        <v>0</v>
      </c>
      <c r="TB14" s="1025">
        <v>-0.40807807849428002</v>
      </c>
      <c r="TC14" s="1025">
        <v>0</v>
      </c>
      <c r="TD14" s="1025">
        <v>0</v>
      </c>
      <c r="TE14" s="1025">
        <v>0</v>
      </c>
      <c r="TF14" s="1025">
        <v>0</v>
      </c>
      <c r="TG14" s="1025">
        <v>0</v>
      </c>
      <c r="TH14" s="1025">
        <v>0</v>
      </c>
      <c r="TI14" s="1025">
        <v>0</v>
      </c>
      <c r="TJ14" s="1025">
        <v>0</v>
      </c>
      <c r="TK14" s="1025">
        <v>0</v>
      </c>
      <c r="TL14" s="1025">
        <v>0</v>
      </c>
      <c r="TM14" s="1025">
        <v>0</v>
      </c>
      <c r="TN14" s="1025">
        <v>0</v>
      </c>
      <c r="TO14" s="1025">
        <v>0</v>
      </c>
      <c r="TP14" s="1025">
        <v>-76.72</v>
      </c>
      <c r="TQ14" s="1025">
        <v>-19.329999999999998</v>
      </c>
      <c r="TR14" s="1025">
        <v>0</v>
      </c>
      <c r="TS14" s="1025">
        <v>0</v>
      </c>
      <c r="TT14" s="1025">
        <v>0</v>
      </c>
      <c r="TU14" s="1025">
        <v>0</v>
      </c>
      <c r="TV14" s="1025">
        <v>0</v>
      </c>
      <c r="TW14" s="1025">
        <v>0</v>
      </c>
      <c r="TX14" s="1025">
        <v>0</v>
      </c>
      <c r="TY14" s="1025">
        <v>0</v>
      </c>
      <c r="TZ14" s="1025">
        <v>0</v>
      </c>
      <c r="UA14" s="1025">
        <v>0</v>
      </c>
      <c r="UB14" s="1025">
        <v>0</v>
      </c>
      <c r="UC14" s="1025">
        <v>0</v>
      </c>
      <c r="UD14" s="1025">
        <v>0</v>
      </c>
      <c r="UE14" s="1025">
        <v>0</v>
      </c>
      <c r="UF14" s="1025">
        <v>0</v>
      </c>
      <c r="UG14" s="1025">
        <v>0</v>
      </c>
      <c r="UH14" s="1025">
        <v>0</v>
      </c>
      <c r="UI14" s="1025">
        <v>0</v>
      </c>
      <c r="UJ14" s="1025">
        <v>0</v>
      </c>
      <c r="UK14" s="1025">
        <v>0</v>
      </c>
      <c r="UL14" s="1025">
        <v>0</v>
      </c>
      <c r="UM14" s="1025">
        <v>0</v>
      </c>
      <c r="UN14" s="1025">
        <v>0</v>
      </c>
      <c r="UO14" s="1025">
        <v>0</v>
      </c>
      <c r="UP14" s="1025">
        <v>0</v>
      </c>
      <c r="UQ14" s="1025">
        <v>0</v>
      </c>
      <c r="UR14" s="1025">
        <v>0</v>
      </c>
      <c r="US14" s="1025">
        <v>0</v>
      </c>
      <c r="UT14" s="1025">
        <v>-1.6282588938306</v>
      </c>
      <c r="UU14" s="1025">
        <v>0</v>
      </c>
      <c r="UV14" s="1025">
        <v>1.190256410256E-2</v>
      </c>
      <c r="UW14" s="1025">
        <v>0</v>
      </c>
      <c r="UX14" s="1025">
        <v>0</v>
      </c>
      <c r="UY14" s="1025">
        <v>0</v>
      </c>
      <c r="UZ14" s="1025">
        <v>3.6403360707E-4</v>
      </c>
      <c r="VA14" s="1025">
        <v>0</v>
      </c>
      <c r="VB14" s="1025">
        <v>0</v>
      </c>
      <c r="VC14" s="1025">
        <v>0</v>
      </c>
      <c r="VD14" s="1025">
        <v>-5.0637167778499999E-3</v>
      </c>
      <c r="VE14" s="1025">
        <v>0</v>
      </c>
      <c r="VF14" s="1025">
        <v>0</v>
      </c>
      <c r="VG14" s="1025">
        <v>0</v>
      </c>
      <c r="VH14" s="1025">
        <v>0</v>
      </c>
      <c r="VI14" s="1025">
        <v>0</v>
      </c>
      <c r="VJ14" s="1025">
        <v>2.382769618553E-2</v>
      </c>
      <c r="VK14" s="1025">
        <v>0</v>
      </c>
      <c r="VL14" s="1025">
        <v>0</v>
      </c>
      <c r="VM14" s="1025">
        <v>0</v>
      </c>
      <c r="VN14" s="1025">
        <v>0</v>
      </c>
      <c r="VO14" s="1025">
        <v>0</v>
      </c>
      <c r="VP14" s="1025">
        <v>0</v>
      </c>
      <c r="VQ14" s="1025">
        <v>0</v>
      </c>
      <c r="VR14" s="1010">
        <v>0</v>
      </c>
      <c r="VS14" s="1010">
        <v>0</v>
      </c>
      <c r="VT14" s="1010">
        <v>0</v>
      </c>
      <c r="VU14" s="1010">
        <v>0</v>
      </c>
      <c r="VV14" s="1010">
        <v>0</v>
      </c>
      <c r="VW14" s="1010">
        <v>0</v>
      </c>
      <c r="VX14" s="1025">
        <v>0</v>
      </c>
      <c r="VY14" s="1025">
        <v>0</v>
      </c>
      <c r="VZ14" s="1025">
        <v>0</v>
      </c>
      <c r="WA14" s="1025">
        <v>0</v>
      </c>
      <c r="WB14" s="1025">
        <v>0</v>
      </c>
      <c r="WC14" s="1025">
        <v>0</v>
      </c>
      <c r="WD14" s="995">
        <v>202</v>
      </c>
      <c r="WE14" s="995">
        <v>267</v>
      </c>
      <c r="WF14" s="995">
        <v>354</v>
      </c>
      <c r="WG14" s="995">
        <v>382</v>
      </c>
      <c r="WH14" s="995">
        <v>403</v>
      </c>
      <c r="WI14" s="995">
        <v>0</v>
      </c>
      <c r="WJ14" s="995">
        <v>1300</v>
      </c>
      <c r="WK14" s="1001">
        <v>0</v>
      </c>
      <c r="WL14" s="1001">
        <v>0</v>
      </c>
      <c r="WM14" s="1001">
        <v>0</v>
      </c>
      <c r="WN14" s="1001">
        <v>0</v>
      </c>
      <c r="WO14" s="1001">
        <v>0</v>
      </c>
      <c r="WP14" s="1001">
        <v>0</v>
      </c>
      <c r="WQ14" s="1001">
        <v>0</v>
      </c>
      <c r="WR14" s="1001">
        <v>0</v>
      </c>
      <c r="WS14" s="1001">
        <v>0</v>
      </c>
      <c r="WT14" s="1001">
        <v>0</v>
      </c>
      <c r="WU14" s="1001">
        <v>0</v>
      </c>
      <c r="WV14" s="1001">
        <v>0</v>
      </c>
      <c r="WW14" s="1001">
        <v>0</v>
      </c>
      <c r="WX14" s="1001">
        <v>0</v>
      </c>
      <c r="WY14" s="1001">
        <v>0</v>
      </c>
      <c r="WZ14" s="1001">
        <v>0</v>
      </c>
      <c r="XA14" s="1001">
        <v>0</v>
      </c>
      <c r="XB14" s="1001">
        <v>0</v>
      </c>
      <c r="XC14" s="1001">
        <v>0</v>
      </c>
      <c r="XD14" s="1001">
        <v>0</v>
      </c>
      <c r="XE14" s="1001">
        <v>0</v>
      </c>
      <c r="XF14" s="1001">
        <v>0</v>
      </c>
      <c r="XG14" s="1001">
        <v>0</v>
      </c>
      <c r="XH14" s="1001">
        <v>0</v>
      </c>
      <c r="XI14" s="1001">
        <v>0</v>
      </c>
      <c r="XJ14" s="1001">
        <v>0</v>
      </c>
      <c r="XK14" s="1001">
        <v>0</v>
      </c>
      <c r="XL14" s="1001">
        <v>0</v>
      </c>
      <c r="XM14" s="1001">
        <v>0</v>
      </c>
      <c r="XN14" s="1001">
        <v>0</v>
      </c>
      <c r="XO14" s="1001">
        <v>0</v>
      </c>
      <c r="XP14" s="1001">
        <v>0</v>
      </c>
      <c r="XQ14" s="1001">
        <v>0</v>
      </c>
      <c r="XR14" s="1027">
        <v>77.892899999999997</v>
      </c>
      <c r="XS14" s="1013">
        <v>61.79394989561586</v>
      </c>
      <c r="XT14" s="1013">
        <v>68.298576200417529</v>
      </c>
      <c r="XU14" s="1013">
        <v>71.550889352818373</v>
      </c>
      <c r="XV14" s="1013">
        <v>109.92818455114822</v>
      </c>
      <c r="XW14" s="1028">
        <v>15950.67664</v>
      </c>
      <c r="XX14" s="1013">
        <v>73</v>
      </c>
      <c r="XY14" s="1013">
        <v>18</v>
      </c>
      <c r="XZ14" s="1013">
        <v>9</v>
      </c>
      <c r="YA14" s="1029">
        <v>0</v>
      </c>
      <c r="YB14" s="1013">
        <v>1035.3257564775099</v>
      </c>
      <c r="YC14" s="1013">
        <v>0</v>
      </c>
      <c r="YD14" s="1013">
        <v>0</v>
      </c>
      <c r="YE14" s="1013">
        <v>0</v>
      </c>
      <c r="YF14" s="1013">
        <v>0</v>
      </c>
      <c r="YG14" s="1013">
        <v>0</v>
      </c>
      <c r="YH14" s="1013">
        <v>1552.9886347162651</v>
      </c>
      <c r="YI14" s="1013">
        <v>862.77146373125822</v>
      </c>
      <c r="YJ14" s="1013">
        <v>1110.6513146113225</v>
      </c>
      <c r="YK14" s="1013">
        <v>0</v>
      </c>
      <c r="YL14" s="1013">
        <v>0</v>
      </c>
      <c r="YM14" s="1013">
        <v>0</v>
      </c>
      <c r="YN14" s="1013">
        <v>0</v>
      </c>
      <c r="YO14" s="1013">
        <v>0</v>
      </c>
      <c r="YP14" s="1013">
        <v>1665.976971916984</v>
      </c>
      <c r="YQ14" s="1013">
        <v>925.54276217610209</v>
      </c>
      <c r="YR14" s="1013">
        <v>1163.5394724499567</v>
      </c>
      <c r="YS14" s="1013">
        <v>0</v>
      </c>
      <c r="YT14" s="1013">
        <v>0</v>
      </c>
      <c r="YU14" s="1013">
        <v>0</v>
      </c>
      <c r="YV14" s="1013">
        <v>0</v>
      </c>
      <c r="YW14" s="1013">
        <v>0</v>
      </c>
      <c r="YX14" s="1013">
        <v>1745.3092086749357</v>
      </c>
      <c r="YY14" s="1013">
        <v>969.61622704163074</v>
      </c>
      <c r="YZ14" s="1013">
        <v>1787.6197349458432</v>
      </c>
      <c r="ZA14" s="1013">
        <v>0</v>
      </c>
      <c r="ZB14" s="1013">
        <v>0</v>
      </c>
      <c r="ZC14" s="1013">
        <v>0</v>
      </c>
      <c r="ZD14" s="1013">
        <v>0</v>
      </c>
      <c r="ZE14" s="1013">
        <v>0</v>
      </c>
      <c r="ZF14" s="1013">
        <v>2681.4296024187652</v>
      </c>
      <c r="ZG14" s="1013">
        <v>1489.6831124548694</v>
      </c>
      <c r="ZH14" s="1013">
        <v>855.86929202140811</v>
      </c>
      <c r="ZI14" s="1013">
        <v>1331.3522320333018</v>
      </c>
      <c r="ZJ14" s="1013">
        <v>47.54829400118934</v>
      </c>
      <c r="ZK14" s="1013">
        <v>523.03123401308278</v>
      </c>
      <c r="ZL14" s="1013">
        <v>0</v>
      </c>
      <c r="ZM14" s="1013">
        <v>0</v>
      </c>
      <c r="ZN14" s="1013">
        <v>1283.8039380321122</v>
      </c>
      <c r="ZO14" s="1013">
        <v>713.22441001784011</v>
      </c>
      <c r="ZP14" s="1013">
        <v>918.13842007869312</v>
      </c>
      <c r="ZQ14" s="1013">
        <v>1428.2153201224116</v>
      </c>
      <c r="ZR14" s="1013">
        <v>51.007690004371845</v>
      </c>
      <c r="ZS14" s="1013">
        <v>561.08459004809026</v>
      </c>
      <c r="ZT14" s="1013">
        <v>0</v>
      </c>
      <c r="ZU14" s="1013">
        <v>0</v>
      </c>
      <c r="ZV14" s="1013">
        <v>1377.2076301180398</v>
      </c>
      <c r="ZW14" s="1013">
        <v>765.11535006557767</v>
      </c>
      <c r="ZX14" s="1013">
        <v>961.85929722529761</v>
      </c>
      <c r="ZY14" s="1013">
        <v>1496.2255734615742</v>
      </c>
      <c r="ZZ14" s="1013">
        <v>53.436627623627651</v>
      </c>
      <c r="AAA14" s="1013">
        <v>587.80290385990406</v>
      </c>
      <c r="AAB14" s="1013">
        <v>0</v>
      </c>
      <c r="AAC14" s="1013">
        <v>0</v>
      </c>
      <c r="AAD14" s="1013">
        <v>1442.7889458379466</v>
      </c>
      <c r="AAE14" s="1013">
        <v>801.54941435441469</v>
      </c>
      <c r="AAF14" s="1013">
        <v>1477.7656475552301</v>
      </c>
      <c r="AAG14" s="1013">
        <v>2298.7465628636915</v>
      </c>
      <c r="AAH14" s="1013">
        <v>82.098091530846119</v>
      </c>
      <c r="AAI14" s="1013">
        <v>903.07900683930734</v>
      </c>
      <c r="AAJ14" s="1013">
        <v>0</v>
      </c>
      <c r="AAK14" s="1013">
        <v>0</v>
      </c>
      <c r="AAL14" s="1013">
        <v>2216.6484713328455</v>
      </c>
      <c r="AAM14" s="1013">
        <v>1231.4713729626917</v>
      </c>
      <c r="AAN14" s="1013">
        <v>2277.7166642505217</v>
      </c>
      <c r="AAO14" s="1013">
        <v>3543.1148110563677</v>
      </c>
      <c r="AAP14" s="1013">
        <v>126.53981468058456</v>
      </c>
      <c r="AAQ14" s="1013">
        <v>1391.9379614864301</v>
      </c>
      <c r="AAR14" s="1013">
        <v>0</v>
      </c>
      <c r="AAS14" s="1013">
        <v>0</v>
      </c>
      <c r="AAT14" s="1013">
        <v>3416.574996375783</v>
      </c>
      <c r="AAU14" s="1013">
        <v>1898.0972202087682</v>
      </c>
      <c r="AAV14" s="1013">
        <v>2517.4763131189975</v>
      </c>
      <c r="AAW14" s="1013">
        <v>3916.0742648517748</v>
      </c>
      <c r="AAX14" s="1013">
        <v>139.85979517327766</v>
      </c>
      <c r="AAY14" s="1013">
        <v>1538.4577469060541</v>
      </c>
      <c r="AAZ14" s="1013">
        <v>0</v>
      </c>
      <c r="ABA14" s="1013">
        <v>0</v>
      </c>
      <c r="ABB14" s="1013">
        <v>3776.2144696784967</v>
      </c>
      <c r="ABC14" s="1013">
        <v>2097.8969275991649</v>
      </c>
      <c r="ABD14" s="1013">
        <v>2637.3561375532354</v>
      </c>
      <c r="ABE14" s="1013">
        <v>4102.553991749478</v>
      </c>
      <c r="ABF14" s="1013">
        <v>146.51978541962421</v>
      </c>
      <c r="ABG14" s="1013">
        <v>1611.7176396158663</v>
      </c>
      <c r="ABH14" s="1013">
        <v>0</v>
      </c>
      <c r="ABI14" s="1013">
        <v>0</v>
      </c>
      <c r="ABJ14" s="1013">
        <v>3956.034206329854</v>
      </c>
      <c r="ABK14" s="1013">
        <v>2197.796781294363</v>
      </c>
      <c r="ABL14" s="1013">
        <v>4051.9380658772443</v>
      </c>
      <c r="ABM14" s="1013">
        <v>6303.0147691423808</v>
      </c>
      <c r="ABN14" s="1013">
        <v>225.10767032651358</v>
      </c>
      <c r="ABO14" s="1013">
        <v>2476.1843735916495</v>
      </c>
      <c r="ABP14" s="1013">
        <v>0</v>
      </c>
      <c r="ABQ14" s="1013">
        <v>0</v>
      </c>
      <c r="ABR14" s="1013">
        <v>6077.9070988158674</v>
      </c>
      <c r="ABS14" s="1013">
        <v>3376.6150548977034</v>
      </c>
      <c r="ABT14" s="1013">
        <v>3133.5859562719297</v>
      </c>
      <c r="ABU14" s="1013">
        <v>4874.4670430896695</v>
      </c>
      <c r="ABV14" s="1013">
        <v>174.08810868177389</v>
      </c>
      <c r="ABW14" s="1013">
        <v>1914.9691954995128</v>
      </c>
      <c r="ABX14" s="1013">
        <v>0</v>
      </c>
      <c r="ABY14" s="1013">
        <v>0</v>
      </c>
      <c r="ABZ14" s="1013">
        <v>4700.378934407895</v>
      </c>
      <c r="ACA14" s="1013">
        <v>2611.3216302266082</v>
      </c>
      <c r="ACB14" s="1013">
        <v>3317.14525963915</v>
      </c>
      <c r="ACC14" s="1013">
        <v>5160.0037372164561</v>
      </c>
      <c r="ACD14" s="1013">
        <v>184.28584775773055</v>
      </c>
      <c r="ACE14" s="1013">
        <v>2027.144325335036</v>
      </c>
      <c r="ACF14" s="1013">
        <v>0</v>
      </c>
      <c r="ACG14" s="1013">
        <v>0</v>
      </c>
      <c r="ACH14" s="1013">
        <v>4975.717889458725</v>
      </c>
      <c r="ACI14" s="1013">
        <v>2764.2877163659582</v>
      </c>
      <c r="ACJ14" s="1013">
        <v>3475.1045577172044</v>
      </c>
      <c r="ACK14" s="1013">
        <v>5405.7182008934296</v>
      </c>
      <c r="ACL14" s="1013">
        <v>193.06136431762246</v>
      </c>
      <c r="ACM14" s="1013">
        <v>2123.6750074938473</v>
      </c>
      <c r="ACN14" s="1013">
        <v>0</v>
      </c>
      <c r="ACO14" s="1013">
        <v>0</v>
      </c>
      <c r="ACP14" s="1013">
        <v>5212.6568365758067</v>
      </c>
      <c r="ACQ14" s="1013">
        <v>2895.9204647643369</v>
      </c>
      <c r="ACR14" s="1013">
        <v>5339.0242750382513</v>
      </c>
      <c r="ACS14" s="1013">
        <v>8305.1488722817248</v>
      </c>
      <c r="ACT14" s="1013">
        <v>296.61245972434733</v>
      </c>
      <c r="ACU14" s="1013">
        <v>3262.7370569678205</v>
      </c>
      <c r="ACV14" s="1013">
        <v>0</v>
      </c>
      <c r="ACW14" s="1013">
        <v>0</v>
      </c>
      <c r="ACX14" s="1013">
        <v>8008.5364125573778</v>
      </c>
      <c r="ACY14" s="1013">
        <v>4449.1868958652094</v>
      </c>
      <c r="ACZ14" s="1013">
        <v>4058.4769653918383</v>
      </c>
      <c r="ADA14" s="1013">
        <v>6313.1863906095277</v>
      </c>
      <c r="ADB14" s="1013">
        <v>225.47094252176882</v>
      </c>
      <c r="ADC14" s="1013">
        <v>2480.1803677394569</v>
      </c>
      <c r="ADD14" s="1013">
        <v>0</v>
      </c>
      <c r="ADE14" s="1013">
        <v>0</v>
      </c>
      <c r="ADF14" s="1013">
        <v>6087.715448087758</v>
      </c>
      <c r="ADG14" s="1013">
        <v>3382.0641378265323</v>
      </c>
      <c r="ADH14" s="1013">
        <v>4338.9444690815662</v>
      </c>
      <c r="ADI14" s="1013">
        <v>6749.4691741268825</v>
      </c>
      <c r="ADJ14" s="1013">
        <v>241.0524705045315</v>
      </c>
      <c r="ADK14" s="1013">
        <v>2651.5771755498463</v>
      </c>
      <c r="ADL14" s="1013">
        <v>0</v>
      </c>
      <c r="ADM14" s="1013">
        <v>0</v>
      </c>
      <c r="ADN14" s="1013">
        <v>6508.4167036223507</v>
      </c>
      <c r="ADO14" s="1013">
        <v>3615.7870575679722</v>
      </c>
      <c r="ADP14" s="1013">
        <v>4545.5608723711648</v>
      </c>
      <c r="ADQ14" s="1013">
        <v>7070.872468132924</v>
      </c>
      <c r="ADR14" s="1013">
        <v>252.53115957617587</v>
      </c>
      <c r="ADS14" s="1013">
        <v>2777.8427553379342</v>
      </c>
      <c r="ADT14" s="1013">
        <v>0</v>
      </c>
      <c r="ADU14" s="1013">
        <v>0</v>
      </c>
      <c r="ADV14" s="1013">
        <v>6818.3413085567481</v>
      </c>
      <c r="ADW14" s="1013">
        <v>3787.9673936426375</v>
      </c>
      <c r="ADX14" s="1013">
        <v>6983.6344311884268</v>
      </c>
      <c r="ADY14" s="1013">
        <v>10863.431337404221</v>
      </c>
      <c r="ADZ14" s="1013">
        <v>387.97969062157927</v>
      </c>
      <c r="AEA14" s="1013">
        <v>4267.7765968373724</v>
      </c>
      <c r="AEB14" s="1013">
        <v>0</v>
      </c>
      <c r="AEC14" s="1013">
        <v>0</v>
      </c>
      <c r="AED14" s="1013">
        <v>10475.451646782642</v>
      </c>
      <c r="AEE14" s="1013">
        <v>5819.6953593236894</v>
      </c>
      <c r="AEF14" s="1013">
        <v>4955.7592876723475</v>
      </c>
      <c r="AEG14" s="1013">
        <v>7708.9588919347634</v>
      </c>
      <c r="AEH14" s="1013">
        <v>275.31996042624155</v>
      </c>
      <c r="AEI14" s="1013">
        <v>3028.5195646886568</v>
      </c>
      <c r="AEJ14" s="1013">
        <v>0</v>
      </c>
      <c r="AEK14" s="1013">
        <v>0</v>
      </c>
      <c r="AEL14" s="1013">
        <v>7433.6389315085216</v>
      </c>
      <c r="AEM14" s="1013">
        <v>4129.799406393623</v>
      </c>
      <c r="AEN14" s="1013">
        <v>5331.1263101343475</v>
      </c>
      <c r="AEO14" s="1013">
        <v>8292.8631490978751</v>
      </c>
      <c r="AEP14" s="1013">
        <v>296.17368389635266</v>
      </c>
      <c r="AEQ14" s="1013">
        <v>3257.9105228598792</v>
      </c>
      <c r="AER14" s="1013">
        <v>0</v>
      </c>
      <c r="AES14" s="1013">
        <v>0</v>
      </c>
      <c r="AET14" s="1013">
        <v>7996.6894652015226</v>
      </c>
      <c r="AEU14" s="1013">
        <v>4442.60525844529</v>
      </c>
      <c r="AEV14" s="1013">
        <v>5584.9894677597931</v>
      </c>
      <c r="AEW14" s="1013">
        <v>8687.7613942930129</v>
      </c>
      <c r="AEX14" s="1013">
        <v>310.27719265332183</v>
      </c>
      <c r="AEY14" s="1013">
        <v>3413.0491191865403</v>
      </c>
      <c r="AEZ14" s="1013">
        <v>0</v>
      </c>
      <c r="AFA14" s="1013">
        <v>0</v>
      </c>
      <c r="AFB14" s="1013">
        <v>8377.4842016396906</v>
      </c>
      <c r="AFC14" s="1013">
        <v>4654.157889799827</v>
      </c>
      <c r="AFD14" s="1013">
        <v>8580.5747277400478</v>
      </c>
      <c r="AFE14" s="1013">
        <v>13347.560687595631</v>
      </c>
      <c r="AFF14" s="1013">
        <v>476.6985959855582</v>
      </c>
      <c r="AFG14" s="1013">
        <v>5243.6845558411405</v>
      </c>
      <c r="AFH14" s="1013">
        <v>0</v>
      </c>
      <c r="AFI14" s="1013">
        <v>0</v>
      </c>
      <c r="AFJ14" s="1013">
        <v>12870.862091610072</v>
      </c>
      <c r="AFK14" s="1013">
        <v>7150.4789397833729</v>
      </c>
      <c r="AFL14" s="1023">
        <v>5714.9981757558553</v>
      </c>
      <c r="AFM14" s="1023">
        <v>8889.997162286887</v>
      </c>
      <c r="AFN14" s="1023">
        <v>317.49989865310312</v>
      </c>
      <c r="AFO14" s="1023">
        <v>3492.498885184134</v>
      </c>
      <c r="AFP14" s="1023">
        <v>0</v>
      </c>
      <c r="AFQ14" s="1023">
        <v>0</v>
      </c>
      <c r="AFR14" s="1023">
        <v>8572.4972636337843</v>
      </c>
      <c r="AFS14" s="1023">
        <v>4762.4984797965462</v>
      </c>
      <c r="AFT14" s="1023">
        <v>6071.5605198752291</v>
      </c>
      <c r="AFU14" s="1023">
        <v>9444.6496975836908</v>
      </c>
      <c r="AFV14" s="1023">
        <v>337.30891777084611</v>
      </c>
      <c r="AFW14" s="1023">
        <v>3710.3980954793069</v>
      </c>
      <c r="AFX14" s="1023">
        <v>0</v>
      </c>
      <c r="AFY14" s="1023">
        <v>0</v>
      </c>
      <c r="AFZ14" s="1023">
        <v>9107.3407798128446</v>
      </c>
      <c r="AGA14" s="1023">
        <v>5059.6337665626916</v>
      </c>
      <c r="AGB14" s="1023">
        <v>6360.6824493930981</v>
      </c>
      <c r="AGC14" s="1023">
        <v>9894.3949212781536</v>
      </c>
      <c r="AGD14" s="1023">
        <v>353.37124718850544</v>
      </c>
      <c r="AGE14" s="1023">
        <v>3887.0837190735597</v>
      </c>
      <c r="AGF14" s="1023">
        <v>0</v>
      </c>
      <c r="AGG14" s="1023">
        <v>0</v>
      </c>
      <c r="AGH14" s="1023">
        <v>9541.0236740896471</v>
      </c>
      <c r="AGI14" s="1023">
        <v>5300.5687078275814</v>
      </c>
      <c r="AGJ14" s="1023">
        <v>9772.3212177039404</v>
      </c>
      <c r="AGK14" s="1023">
        <v>15201.3885608728</v>
      </c>
      <c r="AGL14" s="1023">
        <v>542.9067343168856</v>
      </c>
      <c r="AGM14" s="1023">
        <v>5971.9740774857419</v>
      </c>
      <c r="AGN14" s="1023">
        <v>0</v>
      </c>
      <c r="AGO14" s="1023">
        <v>0</v>
      </c>
      <c r="AGP14" s="1023">
        <v>14658.481826555913</v>
      </c>
      <c r="AGQ14" s="1023">
        <v>8143.6010147532843</v>
      </c>
      <c r="AGR14" s="1030">
        <v>2277.7166642505217</v>
      </c>
      <c r="AGS14" s="1030">
        <v>3543.1148110563677</v>
      </c>
      <c r="AGT14" s="1030">
        <v>126.53981468058456</v>
      </c>
      <c r="AGU14" s="1030">
        <v>1391.9379614864301</v>
      </c>
      <c r="AGV14" s="1030">
        <v>0</v>
      </c>
      <c r="AGW14" s="1030">
        <v>0</v>
      </c>
      <c r="AGX14" s="1030">
        <v>3416.574996375783</v>
      </c>
      <c r="AGY14" s="1030">
        <v>1898.0972202087682</v>
      </c>
      <c r="AGZ14" s="1030">
        <v>2517.4763131189975</v>
      </c>
      <c r="AHA14" s="1030">
        <v>3916.0742648517748</v>
      </c>
      <c r="AHB14" s="1030">
        <v>139.85979517327766</v>
      </c>
      <c r="AHC14" s="1030">
        <v>1538.4577469060541</v>
      </c>
      <c r="AHD14" s="1030">
        <v>0</v>
      </c>
      <c r="AHE14" s="1030">
        <v>0</v>
      </c>
      <c r="AHF14" s="1030">
        <v>3776.2144696784967</v>
      </c>
      <c r="AHG14" s="1030">
        <v>2097.8969275991649</v>
      </c>
      <c r="AHH14" s="1030">
        <v>2637.3561375532354</v>
      </c>
      <c r="AHI14" s="1030">
        <v>4102.553991749478</v>
      </c>
      <c r="AHJ14" s="1030">
        <v>146.51978541962421</v>
      </c>
      <c r="AHK14" s="1030">
        <v>1611.7176396158663</v>
      </c>
      <c r="AHL14" s="1030">
        <v>0</v>
      </c>
      <c r="AHM14" s="1030">
        <v>0</v>
      </c>
      <c r="AHN14" s="1030">
        <v>3956.034206329854</v>
      </c>
      <c r="AHO14" s="1030">
        <v>2197.796781294363</v>
      </c>
      <c r="AHP14" s="1030">
        <v>4051.9380658772443</v>
      </c>
      <c r="AHQ14" s="1030">
        <v>6303.0147691423808</v>
      </c>
      <c r="AHR14" s="1030">
        <v>225.10767032651358</v>
      </c>
      <c r="AHS14" s="1030">
        <v>2476.1843735916495</v>
      </c>
      <c r="AHT14" s="1030">
        <v>0</v>
      </c>
      <c r="AHU14" s="1030">
        <v>0</v>
      </c>
      <c r="AHV14" s="1030">
        <v>6077.9070988158674</v>
      </c>
      <c r="AHW14" s="1030">
        <v>3376.6150548977034</v>
      </c>
      <c r="AHX14" s="1013">
        <v>165</v>
      </c>
      <c r="AHY14" s="1023">
        <v>0</v>
      </c>
      <c r="AHZ14" s="1023">
        <v>0</v>
      </c>
      <c r="AIA14" s="1023">
        <v>0</v>
      </c>
      <c r="AIB14" s="1023">
        <v>0</v>
      </c>
      <c r="AIC14" s="1023">
        <v>0</v>
      </c>
      <c r="AID14" s="1023">
        <v>0</v>
      </c>
      <c r="AIE14" s="1023">
        <v>0</v>
      </c>
      <c r="AIF14" s="1013">
        <v>420</v>
      </c>
      <c r="AIG14" s="1013">
        <v>32.409999999999997</v>
      </c>
      <c r="AIH14" s="1013">
        <v>27.01</v>
      </c>
      <c r="AII14" s="1013">
        <v>0</v>
      </c>
      <c r="AIJ14" s="1013">
        <v>2.52</v>
      </c>
      <c r="AIK14" s="1013">
        <v>3.06</v>
      </c>
      <c r="AIL14" s="1013">
        <v>0</v>
      </c>
      <c r="AIM14" s="1013">
        <v>0</v>
      </c>
      <c r="AIN14" s="1016">
        <v>350</v>
      </c>
      <c r="AIO14" s="1016">
        <v>64.819999999999993</v>
      </c>
      <c r="AIP14" s="1017">
        <v>54.02</v>
      </c>
      <c r="AIQ14" s="1017">
        <v>0</v>
      </c>
      <c r="AIR14" s="1017">
        <v>5.04</v>
      </c>
      <c r="AIS14" s="1017">
        <v>6.12</v>
      </c>
      <c r="AIT14" s="1017">
        <v>0</v>
      </c>
      <c r="AIU14" s="1017">
        <v>0</v>
      </c>
      <c r="AIV14" s="1013">
        <v>120</v>
      </c>
      <c r="AIW14" s="1013">
        <v>47.37</v>
      </c>
      <c r="AIX14" s="1013">
        <v>39.47</v>
      </c>
      <c r="AIY14" s="1013">
        <v>0</v>
      </c>
      <c r="AIZ14" s="1013">
        <v>3.68</v>
      </c>
      <c r="AJA14" s="1013">
        <v>4.4800000000000004</v>
      </c>
      <c r="AJB14" s="1013">
        <v>0</v>
      </c>
      <c r="AJC14" s="1013">
        <v>0</v>
      </c>
      <c r="AJD14" s="1013">
        <v>129.6</v>
      </c>
      <c r="AJE14" s="1013">
        <v>96.93</v>
      </c>
      <c r="AJF14" s="1013">
        <v>80.78</v>
      </c>
      <c r="AJG14" s="1013">
        <v>0</v>
      </c>
      <c r="AJH14" s="1013">
        <v>7.54</v>
      </c>
      <c r="AJI14" s="1013">
        <v>9.15</v>
      </c>
      <c r="AJJ14" s="1013">
        <v>0</v>
      </c>
      <c r="AJK14" s="1013">
        <v>0</v>
      </c>
      <c r="AJL14" s="1013">
        <v>160</v>
      </c>
      <c r="AJM14" s="1013">
        <v>17.45</v>
      </c>
      <c r="AJN14" s="1013">
        <v>14.54</v>
      </c>
      <c r="AJO14" s="1013">
        <v>0</v>
      </c>
      <c r="AJP14" s="1013">
        <v>1.36</v>
      </c>
      <c r="AJQ14" s="1013">
        <v>1.65</v>
      </c>
      <c r="AJR14" s="1013">
        <v>0</v>
      </c>
      <c r="AJS14" s="1013">
        <v>0</v>
      </c>
      <c r="AJT14" s="1029" t="s">
        <v>858</v>
      </c>
      <c r="AJU14" s="988" t="s">
        <v>861</v>
      </c>
      <c r="AJV14" s="988" t="s">
        <v>860</v>
      </c>
      <c r="AJW14" s="988" t="s">
        <v>859</v>
      </c>
      <c r="AJX14" s="988" t="s">
        <v>870</v>
      </c>
      <c r="AJY14" s="988" t="s">
        <v>871</v>
      </c>
      <c r="AJZ14" s="988" t="s">
        <v>872</v>
      </c>
      <c r="AKA14" s="988" t="s">
        <v>873</v>
      </c>
      <c r="AKB14" s="988" t="s">
        <v>874</v>
      </c>
      <c r="AKC14" s="988" t="s">
        <v>875</v>
      </c>
      <c r="AKD14" s="1013">
        <v>88.392857142857139</v>
      </c>
      <c r="AKE14" s="1013">
        <v>0</v>
      </c>
      <c r="AKF14" s="1013">
        <v>0</v>
      </c>
      <c r="AKG14" s="1013">
        <v>0</v>
      </c>
      <c r="AKH14" s="1013">
        <v>0</v>
      </c>
      <c r="AKI14" s="1013">
        <v>0</v>
      </c>
      <c r="AKJ14" s="1013">
        <v>4.4196428571428568</v>
      </c>
      <c r="AKK14" s="1013">
        <v>30.9375</v>
      </c>
      <c r="AKL14" s="1013">
        <v>259.82142857142856</v>
      </c>
      <c r="AKM14" s="1013">
        <v>0</v>
      </c>
      <c r="AKN14" s="1013">
        <v>0</v>
      </c>
      <c r="AKO14" s="1013">
        <v>0</v>
      </c>
      <c r="AKP14" s="1013">
        <v>0</v>
      </c>
      <c r="AKQ14" s="1013">
        <v>0</v>
      </c>
      <c r="AKR14" s="1013">
        <v>12.991071428571425</v>
      </c>
      <c r="AKS14" s="1013">
        <v>90.937499999999986</v>
      </c>
      <c r="AKT14" s="1016">
        <v>257.14285714285717</v>
      </c>
      <c r="AKU14" s="1016">
        <v>0</v>
      </c>
      <c r="AKV14" s="1017">
        <v>0</v>
      </c>
      <c r="AKW14" s="1017">
        <v>0</v>
      </c>
      <c r="AKX14" s="1017">
        <v>0</v>
      </c>
      <c r="AKY14" s="1017">
        <v>0</v>
      </c>
      <c r="AKZ14" s="1017">
        <v>12.857142857142856</v>
      </c>
      <c r="ALA14" s="1017">
        <v>90</v>
      </c>
      <c r="ALB14" s="1013">
        <v>115.17857142857143</v>
      </c>
      <c r="ALC14" s="1013">
        <v>0</v>
      </c>
      <c r="ALD14" s="1013">
        <v>0</v>
      </c>
      <c r="ALE14" s="1013">
        <v>0</v>
      </c>
      <c r="ALF14" s="1013">
        <v>0</v>
      </c>
      <c r="ALG14" s="1013">
        <v>0</v>
      </c>
      <c r="ALH14" s="1013">
        <v>5.7589285714285712</v>
      </c>
      <c r="ALI14" s="1013">
        <v>40.3125</v>
      </c>
      <c r="ALJ14" s="1013">
        <v>173.57142857142858</v>
      </c>
      <c r="ALK14" s="1013">
        <v>0</v>
      </c>
      <c r="ALL14" s="1013">
        <v>0</v>
      </c>
      <c r="ALM14" s="1013">
        <v>0</v>
      </c>
      <c r="ALN14" s="1013">
        <v>0</v>
      </c>
      <c r="ALO14" s="1013">
        <v>0</v>
      </c>
      <c r="ALP14" s="1013">
        <v>8.6785714285714288</v>
      </c>
      <c r="ALQ14" s="1013">
        <v>60.75</v>
      </c>
      <c r="ALR14" s="1013">
        <v>104.46428571428572</v>
      </c>
      <c r="ALS14" s="1013">
        <v>0</v>
      </c>
      <c r="ALT14" s="1013">
        <v>0</v>
      </c>
      <c r="ALU14" s="1013">
        <v>0</v>
      </c>
      <c r="ALV14" s="1013">
        <v>0</v>
      </c>
      <c r="ALW14" s="1013">
        <v>0</v>
      </c>
      <c r="ALX14" s="1013">
        <v>5.2232142857142856</v>
      </c>
      <c r="ALY14" s="1013">
        <v>36.5625</v>
      </c>
    </row>
    <row r="15" spans="1:1013" ht="18" customHeight="1">
      <c r="A15" s="1259" t="s">
        <v>6</v>
      </c>
      <c r="B15" s="1260" t="s">
        <v>3063</v>
      </c>
      <c r="C15" s="1260">
        <v>2022</v>
      </c>
      <c r="D15" s="1269"/>
      <c r="E15" s="1270">
        <v>0.5</v>
      </c>
      <c r="F15" s="1271">
        <v>0.3</v>
      </c>
      <c r="G15" s="1271">
        <v>0.3</v>
      </c>
      <c r="H15" s="76">
        <v>118.12218649517685</v>
      </c>
      <c r="I15" s="72">
        <v>-2.2999999999999998</v>
      </c>
      <c r="J15" s="1271">
        <v>-4.8</v>
      </c>
      <c r="K15" s="1271">
        <v>-4.8</v>
      </c>
      <c r="L15" s="1265">
        <v>350</v>
      </c>
      <c r="M15" s="1262">
        <v>0</v>
      </c>
      <c r="N15" s="1262">
        <v>0</v>
      </c>
      <c r="O15" s="1262">
        <v>0</v>
      </c>
      <c r="P15" s="76">
        <v>1246.5552690926183</v>
      </c>
      <c r="Q15" s="75">
        <v>12</v>
      </c>
      <c r="R15" s="72">
        <v>0.6</v>
      </c>
      <c r="S15" s="72">
        <v>0.2</v>
      </c>
      <c r="T15" s="72">
        <v>0.2</v>
      </c>
      <c r="U15" s="1271">
        <v>2.8</v>
      </c>
      <c r="V15" s="1271">
        <v>0</v>
      </c>
      <c r="W15" s="1271">
        <v>97.1</v>
      </c>
      <c r="X15" s="1271">
        <v>0</v>
      </c>
      <c r="Y15" s="1272">
        <v>0</v>
      </c>
      <c r="Z15" s="75">
        <v>2</v>
      </c>
      <c r="AA15" s="72">
        <v>1.5</v>
      </c>
      <c r="AB15" s="75">
        <v>1</v>
      </c>
      <c r="AC15" s="72">
        <v>0.8</v>
      </c>
      <c r="AD15" s="72">
        <v>0.5</v>
      </c>
      <c r="AE15" s="390">
        <v>433.01922201480062</v>
      </c>
      <c r="AF15" s="390">
        <v>470.67306740739195</v>
      </c>
      <c r="AG15" s="390">
        <v>433.37222681535616</v>
      </c>
      <c r="AH15" s="390">
        <v>649.0581599547935</v>
      </c>
      <c r="AI15" s="400">
        <v>0.82209484106305364</v>
      </c>
      <c r="AJ15" s="390">
        <v>261.91600618637949</v>
      </c>
      <c r="AK15" s="390">
        <v>284.69131107215162</v>
      </c>
      <c r="AL15" s="390">
        <v>262.12952466968363</v>
      </c>
      <c r="AM15" s="390">
        <v>392.58931796849708</v>
      </c>
      <c r="AN15" s="400">
        <v>0.96717040125065135</v>
      </c>
      <c r="AO15" s="77">
        <v>0.1</v>
      </c>
      <c r="AP15" s="77">
        <v>0.3</v>
      </c>
      <c r="AQ15" s="77">
        <v>0.7</v>
      </c>
      <c r="AR15" s="77">
        <v>1</v>
      </c>
      <c r="AS15" s="77">
        <v>1.3</v>
      </c>
      <c r="AT15" s="77">
        <v>1.7</v>
      </c>
      <c r="AU15" s="77">
        <v>2.1</v>
      </c>
      <c r="AV15" s="1268">
        <v>0</v>
      </c>
      <c r="AW15" s="1268">
        <v>10</v>
      </c>
      <c r="AX15" s="1268">
        <v>20</v>
      </c>
      <c r="AY15" s="1268">
        <v>70</v>
      </c>
      <c r="AZ15" s="1268">
        <v>100</v>
      </c>
      <c r="BA15" s="1019">
        <v>10619.325978210618</v>
      </c>
      <c r="BB15" s="1031">
        <v>1.56</v>
      </c>
      <c r="BC15" s="988">
        <v>0.7</v>
      </c>
      <c r="BD15" s="988">
        <v>0.3</v>
      </c>
      <c r="BE15" s="988">
        <v>0.3</v>
      </c>
      <c r="BF15" s="1021">
        <v>0.17424004435335025</v>
      </c>
      <c r="BG15" s="1021">
        <v>0.17685328942052908</v>
      </c>
      <c r="BH15" s="1020">
        <v>1.4995555692181729E-4</v>
      </c>
      <c r="BI15" s="1020">
        <v>5.2484444922636054E-3</v>
      </c>
      <c r="BJ15" s="1020">
        <v>0.58973771648427697</v>
      </c>
      <c r="BK15" s="1020">
        <v>67.629056438398067</v>
      </c>
      <c r="BL15" s="1020"/>
      <c r="BM15" s="1020">
        <v>0.36881569224920963</v>
      </c>
      <c r="BN15" s="1020">
        <v>30.822652436384168</v>
      </c>
      <c r="BO15" s="1020"/>
      <c r="BP15" s="1020"/>
      <c r="BQ15" s="1020">
        <v>2.8866444707449832E-3</v>
      </c>
      <c r="BR15" s="1020"/>
      <c r="BS15" s="1020"/>
      <c r="BT15" s="1020"/>
      <c r="BU15" s="1020">
        <v>1.1246666769136296E-4</v>
      </c>
      <c r="BV15" s="1020">
        <v>0.5813402052966552</v>
      </c>
      <c r="BW15" s="993">
        <v>261.13475999999997</v>
      </c>
      <c r="BX15" s="993">
        <v>96.5</v>
      </c>
      <c r="BY15" s="993">
        <v>63.215999999999994</v>
      </c>
      <c r="BZ15" s="993">
        <v>233.35949490734063</v>
      </c>
      <c r="CA15" s="993">
        <v>157.40783999999999</v>
      </c>
      <c r="CB15" s="990"/>
      <c r="CC15" s="993">
        <v>256.20808011776955</v>
      </c>
      <c r="CD15" s="993">
        <v>165.17663999999999</v>
      </c>
      <c r="CE15" s="990"/>
      <c r="CF15" s="989">
        <v>0</v>
      </c>
      <c r="CG15" s="993">
        <v>6.585</v>
      </c>
      <c r="CH15" s="993">
        <v>1.3169999999999999</v>
      </c>
      <c r="CI15" s="993">
        <v>38</v>
      </c>
      <c r="CJ15" s="993">
        <v>225.83915999999996</v>
      </c>
      <c r="CK15" s="990">
        <v>0.2</v>
      </c>
      <c r="CL15" s="993">
        <v>175.08124000000001</v>
      </c>
      <c r="CM15" s="993">
        <v>60.4</v>
      </c>
      <c r="CN15" s="993">
        <v>42.384</v>
      </c>
      <c r="CO15" s="993">
        <v>156.45894761061641</v>
      </c>
      <c r="CP15" s="993">
        <v>105.53616</v>
      </c>
      <c r="CQ15" s="990"/>
      <c r="CR15" s="993">
        <v>159.24945066654416</v>
      </c>
      <c r="CS15" s="993">
        <v>102.66767999999999</v>
      </c>
      <c r="CT15" s="990"/>
      <c r="CU15" s="993">
        <v>0</v>
      </c>
      <c r="CV15" s="993">
        <v>4.415</v>
      </c>
      <c r="CW15" s="993">
        <v>0.88300000000000001</v>
      </c>
      <c r="CX15" s="993">
        <v>27</v>
      </c>
      <c r="CY15" s="993">
        <v>151.41683999999998</v>
      </c>
      <c r="CZ15" s="990">
        <v>0.2</v>
      </c>
      <c r="DA15" s="988">
        <v>0.3</v>
      </c>
      <c r="DB15" s="988">
        <v>0.7</v>
      </c>
      <c r="DC15" s="988">
        <v>1.2</v>
      </c>
      <c r="DD15" s="988">
        <v>1.2</v>
      </c>
      <c r="DE15" s="1022">
        <v>3</v>
      </c>
      <c r="DF15" s="995">
        <v>0</v>
      </c>
      <c r="DG15" s="995">
        <v>10</v>
      </c>
      <c r="DH15" s="995">
        <v>20</v>
      </c>
      <c r="DI15" s="995">
        <v>70</v>
      </c>
      <c r="DJ15" s="995">
        <v>100</v>
      </c>
      <c r="DK15" s="1017">
        <v>30.136754083230517</v>
      </c>
      <c r="DL15" s="1022">
        <v>18</v>
      </c>
      <c r="DM15" s="989">
        <v>12</v>
      </c>
      <c r="DN15" s="988">
        <v>1.9</v>
      </c>
      <c r="DO15" s="988">
        <v>0.9</v>
      </c>
      <c r="DP15" s="988">
        <v>0.9</v>
      </c>
      <c r="DQ15" s="988" t="s">
        <v>645</v>
      </c>
      <c r="DR15" s="988" t="s">
        <v>640</v>
      </c>
      <c r="DS15" s="988" t="s">
        <v>640</v>
      </c>
      <c r="DT15" s="988" t="s">
        <v>640</v>
      </c>
      <c r="DU15" s="988" t="s">
        <v>640</v>
      </c>
      <c r="DV15" s="988" t="s">
        <v>640</v>
      </c>
      <c r="DW15" s="988" t="s">
        <v>640</v>
      </c>
      <c r="DX15" s="997">
        <v>176</v>
      </c>
      <c r="DY15" s="997">
        <v>0</v>
      </c>
      <c r="DZ15" s="997">
        <v>0</v>
      </c>
      <c r="EA15" s="997">
        <v>0</v>
      </c>
      <c r="EB15" s="997">
        <v>0</v>
      </c>
      <c r="EC15" s="997">
        <v>0</v>
      </c>
      <c r="ED15" s="997">
        <v>0</v>
      </c>
      <c r="EE15" s="1022">
        <v>0.17599999999999999</v>
      </c>
      <c r="EF15" s="1022">
        <v>18</v>
      </c>
      <c r="EG15" s="991">
        <v>5</v>
      </c>
      <c r="EH15" s="1023">
        <v>1.9</v>
      </c>
      <c r="EI15" s="1023">
        <v>0.9</v>
      </c>
      <c r="EJ15" s="1023">
        <v>0.9</v>
      </c>
      <c r="EK15" s="988" t="s">
        <v>684</v>
      </c>
      <c r="EL15" s="988" t="s">
        <v>640</v>
      </c>
      <c r="EM15" s="988" t="s">
        <v>640</v>
      </c>
      <c r="EN15" s="988" t="s">
        <v>640</v>
      </c>
      <c r="EO15" s="988" t="s">
        <v>640</v>
      </c>
      <c r="EP15" s="988" t="s">
        <v>640</v>
      </c>
      <c r="EQ15" s="988" t="s">
        <v>640</v>
      </c>
      <c r="ER15" s="988" t="s">
        <v>640</v>
      </c>
      <c r="ES15" s="988" t="s">
        <v>640</v>
      </c>
      <c r="ET15" s="988" t="s">
        <v>640</v>
      </c>
      <c r="EU15" s="988" t="s">
        <v>640</v>
      </c>
      <c r="EV15" s="988" t="s">
        <v>640</v>
      </c>
      <c r="EW15" s="988" t="s">
        <v>640</v>
      </c>
      <c r="EX15" s="988" t="s">
        <v>640</v>
      </c>
      <c r="EY15" s="988" t="s">
        <v>640</v>
      </c>
      <c r="EZ15" s="988" t="s">
        <v>640</v>
      </c>
      <c r="FA15" s="988" t="s">
        <v>640</v>
      </c>
      <c r="FB15" s="988" t="s">
        <v>640</v>
      </c>
      <c r="FC15" s="988" t="s">
        <v>640</v>
      </c>
      <c r="FD15" s="988" t="s">
        <v>640</v>
      </c>
      <c r="FE15" s="988" t="s">
        <v>640</v>
      </c>
      <c r="FF15" s="988" t="s">
        <v>640</v>
      </c>
      <c r="FG15" s="988" t="s">
        <v>640</v>
      </c>
      <c r="FH15" s="988" t="s">
        <v>640</v>
      </c>
      <c r="FI15" s="988" t="s">
        <v>640</v>
      </c>
      <c r="FJ15" s="988" t="s">
        <v>640</v>
      </c>
      <c r="FK15" s="988" t="s">
        <v>640</v>
      </c>
      <c r="FL15" s="988" t="s">
        <v>640</v>
      </c>
      <c r="FM15" s="988" t="s">
        <v>640</v>
      </c>
      <c r="FN15" s="988" t="s">
        <v>640</v>
      </c>
      <c r="FO15" s="988" t="s">
        <v>640</v>
      </c>
      <c r="FP15" s="988" t="s">
        <v>640</v>
      </c>
      <c r="FQ15" s="988" t="s">
        <v>640</v>
      </c>
      <c r="FR15" s="988" t="s">
        <v>640</v>
      </c>
      <c r="FS15" s="988" t="s">
        <v>640</v>
      </c>
      <c r="FT15" s="988" t="s">
        <v>640</v>
      </c>
      <c r="FU15" s="988" t="s">
        <v>640</v>
      </c>
      <c r="FV15" s="988" t="s">
        <v>640</v>
      </c>
      <c r="FW15" s="988" t="s">
        <v>640</v>
      </c>
      <c r="FX15" s="988" t="s">
        <v>640</v>
      </c>
      <c r="FY15" s="988" t="s">
        <v>640</v>
      </c>
      <c r="FZ15" s="988" t="s">
        <v>640</v>
      </c>
      <c r="GA15" s="988" t="s">
        <v>640</v>
      </c>
      <c r="GB15" s="988" t="s">
        <v>640</v>
      </c>
      <c r="GC15" s="988" t="s">
        <v>640</v>
      </c>
      <c r="GD15" s="988" t="s">
        <v>640</v>
      </c>
      <c r="GE15" s="988" t="s">
        <v>640</v>
      </c>
      <c r="GF15" s="988" t="s">
        <v>640</v>
      </c>
      <c r="GG15" s="988" t="s">
        <v>640</v>
      </c>
      <c r="GH15" s="988" t="s">
        <v>640</v>
      </c>
      <c r="GI15" s="988" t="s">
        <v>640</v>
      </c>
      <c r="GJ15" s="988" t="s">
        <v>640</v>
      </c>
      <c r="GK15" s="988" t="s">
        <v>640</v>
      </c>
      <c r="GL15" s="988" t="s">
        <v>640</v>
      </c>
      <c r="GM15" s="988" t="s">
        <v>640</v>
      </c>
      <c r="GN15" s="988" t="s">
        <v>640</v>
      </c>
      <c r="GO15" s="988" t="s">
        <v>640</v>
      </c>
      <c r="GP15" s="988" t="s">
        <v>640</v>
      </c>
      <c r="GQ15" s="997">
        <v>176</v>
      </c>
      <c r="GR15" s="997">
        <v>0</v>
      </c>
      <c r="GS15" s="997">
        <v>0</v>
      </c>
      <c r="GT15" s="997">
        <v>0</v>
      </c>
      <c r="GU15" s="997">
        <v>0</v>
      </c>
      <c r="GV15" s="997">
        <v>0</v>
      </c>
      <c r="GW15" s="997">
        <v>0</v>
      </c>
      <c r="GX15" s="997">
        <v>0</v>
      </c>
      <c r="GY15" s="997">
        <v>0</v>
      </c>
      <c r="GZ15" s="997">
        <v>0</v>
      </c>
      <c r="HA15" s="997">
        <v>0</v>
      </c>
      <c r="HB15" s="997">
        <v>0</v>
      </c>
      <c r="HC15" s="997">
        <v>0</v>
      </c>
      <c r="HD15" s="997">
        <v>0</v>
      </c>
      <c r="HE15" s="997">
        <v>0</v>
      </c>
      <c r="HF15" s="997">
        <v>0</v>
      </c>
      <c r="HG15" s="997">
        <v>0</v>
      </c>
      <c r="HH15" s="997">
        <v>0</v>
      </c>
      <c r="HI15" s="997">
        <v>0</v>
      </c>
      <c r="HJ15" s="997">
        <v>0</v>
      </c>
      <c r="HK15" s="997">
        <v>0</v>
      </c>
      <c r="HL15" s="997">
        <v>0</v>
      </c>
      <c r="HM15" s="997">
        <v>0</v>
      </c>
      <c r="HN15" s="997">
        <v>0</v>
      </c>
      <c r="HO15" s="997">
        <v>0</v>
      </c>
      <c r="HP15" s="997">
        <v>0</v>
      </c>
      <c r="HQ15" s="997">
        <v>0</v>
      </c>
      <c r="HR15" s="997">
        <v>0</v>
      </c>
      <c r="HS15" s="997">
        <v>0</v>
      </c>
      <c r="HT15" s="997">
        <v>0</v>
      </c>
      <c r="HU15" s="997">
        <v>0</v>
      </c>
      <c r="HV15" s="997">
        <v>0</v>
      </c>
      <c r="HW15" s="997">
        <v>0</v>
      </c>
      <c r="HX15" s="997">
        <v>0</v>
      </c>
      <c r="HY15" s="997">
        <v>0</v>
      </c>
      <c r="HZ15" s="997">
        <v>0</v>
      </c>
      <c r="IA15" s="997">
        <v>0</v>
      </c>
      <c r="IB15" s="997">
        <v>0</v>
      </c>
      <c r="IC15" s="997">
        <v>0</v>
      </c>
      <c r="ID15" s="997">
        <v>0</v>
      </c>
      <c r="IE15" s="997">
        <v>0</v>
      </c>
      <c r="IF15" s="997">
        <v>0</v>
      </c>
      <c r="IG15" s="997">
        <v>0</v>
      </c>
      <c r="IH15" s="997">
        <v>0</v>
      </c>
      <c r="II15" s="997">
        <v>0</v>
      </c>
      <c r="IJ15" s="997">
        <v>0</v>
      </c>
      <c r="IK15" s="997">
        <v>0</v>
      </c>
      <c r="IL15" s="997">
        <v>0</v>
      </c>
      <c r="IM15" s="997">
        <v>0</v>
      </c>
      <c r="IN15" s="997">
        <v>0</v>
      </c>
      <c r="IO15" s="997">
        <v>0</v>
      </c>
      <c r="IP15" s="997">
        <v>0</v>
      </c>
      <c r="IQ15" s="997">
        <v>0</v>
      </c>
      <c r="IR15" s="997">
        <v>0</v>
      </c>
      <c r="IS15" s="997">
        <v>0</v>
      </c>
      <c r="IT15" s="997">
        <v>0</v>
      </c>
      <c r="IU15" s="997">
        <v>0</v>
      </c>
      <c r="IV15" s="997">
        <v>0</v>
      </c>
      <c r="IW15" s="1019">
        <v>1060.7794974182561</v>
      </c>
      <c r="IX15" s="1022">
        <v>179.9</v>
      </c>
      <c r="IY15" s="998">
        <v>2647.0800000000199</v>
      </c>
      <c r="IZ15" s="429">
        <v>12.64</v>
      </c>
      <c r="JA15" s="1022">
        <v>50</v>
      </c>
      <c r="JB15" s="988">
        <v>1.9</v>
      </c>
      <c r="JC15" s="988">
        <v>0.9</v>
      </c>
      <c r="JD15" s="988">
        <v>0.9</v>
      </c>
      <c r="JE15" s="998">
        <v>2</v>
      </c>
      <c r="JF15" s="1023">
        <v>1.5</v>
      </c>
      <c r="JG15" s="1023">
        <v>0.7</v>
      </c>
      <c r="JH15" s="1023">
        <v>0.7</v>
      </c>
      <c r="JI15" s="1023">
        <v>0.5</v>
      </c>
      <c r="JJ15" s="1019">
        <v>29.98203335761967</v>
      </c>
      <c r="JK15" s="998">
        <v>2647.0800000000199</v>
      </c>
      <c r="JL15" s="429">
        <v>12.64</v>
      </c>
      <c r="JM15" s="1022">
        <v>50</v>
      </c>
      <c r="JN15" s="988">
        <v>1.6</v>
      </c>
      <c r="JO15" s="988">
        <v>1.3</v>
      </c>
      <c r="JP15" s="988">
        <v>1.3</v>
      </c>
      <c r="JQ15" s="998">
        <v>2</v>
      </c>
      <c r="JR15" s="998">
        <v>2</v>
      </c>
      <c r="JS15" s="998">
        <v>1</v>
      </c>
      <c r="JT15" s="998">
        <v>1</v>
      </c>
      <c r="JU15" s="1023">
        <v>0.5</v>
      </c>
      <c r="JV15" s="1004">
        <v>2000</v>
      </c>
      <c r="JW15" s="1019">
        <v>232.08785152768519</v>
      </c>
      <c r="JX15" s="1019">
        <v>500</v>
      </c>
      <c r="JY15" s="1022">
        <v>1.3</v>
      </c>
      <c r="JZ15" s="1022">
        <v>1</v>
      </c>
      <c r="KA15" s="1022">
        <v>1</v>
      </c>
      <c r="KB15" s="1023">
        <v>2</v>
      </c>
      <c r="KC15" s="1023">
        <v>1.5</v>
      </c>
      <c r="KD15" s="1023">
        <v>0.5</v>
      </c>
      <c r="KE15" s="1023">
        <v>1</v>
      </c>
      <c r="KF15" s="1023">
        <v>0.5</v>
      </c>
      <c r="KG15" s="997">
        <v>10.279942142826977</v>
      </c>
      <c r="KH15" s="997"/>
      <c r="KI15" s="997">
        <v>89.720057857173018</v>
      </c>
      <c r="KJ15" s="997"/>
      <c r="KK15" s="997"/>
      <c r="KL15" s="997"/>
      <c r="KM15" s="997"/>
      <c r="KN15" s="997"/>
      <c r="KO15" s="997"/>
      <c r="KP15" s="1006">
        <v>580</v>
      </c>
      <c r="KQ15" s="1006">
        <v>580</v>
      </c>
      <c r="KR15" s="1006">
        <v>580</v>
      </c>
      <c r="KS15" s="1006">
        <v>580</v>
      </c>
      <c r="KT15" s="1006"/>
      <c r="KU15" s="1006">
        <v>580</v>
      </c>
      <c r="KV15" s="1006">
        <v>580</v>
      </c>
      <c r="KW15" s="1006">
        <v>580</v>
      </c>
      <c r="KX15" s="1006">
        <v>580</v>
      </c>
      <c r="KY15" s="993">
        <v>370</v>
      </c>
      <c r="KZ15" s="993">
        <v>370</v>
      </c>
      <c r="LA15" s="993">
        <v>370</v>
      </c>
      <c r="LB15" s="993">
        <v>370</v>
      </c>
      <c r="LC15" s="993"/>
      <c r="LD15" s="993">
        <v>370</v>
      </c>
      <c r="LE15" s="993">
        <v>370</v>
      </c>
      <c r="LF15" s="993">
        <v>370</v>
      </c>
      <c r="LG15" s="993">
        <v>370</v>
      </c>
      <c r="LH15" s="995">
        <v>0</v>
      </c>
      <c r="LI15" s="995">
        <v>10</v>
      </c>
      <c r="LJ15" s="995">
        <v>20</v>
      </c>
      <c r="LK15" s="995">
        <v>70</v>
      </c>
      <c r="LL15" s="995">
        <v>100</v>
      </c>
      <c r="LM15" s="1004">
        <v>1000</v>
      </c>
      <c r="LN15" s="1019"/>
      <c r="LO15" s="988">
        <v>29</v>
      </c>
      <c r="LP15" s="988">
        <v>0.9</v>
      </c>
      <c r="LQ15" s="1022">
        <v>0.9</v>
      </c>
      <c r="LR15" s="1022">
        <v>0.9</v>
      </c>
      <c r="LS15" s="1023">
        <v>2</v>
      </c>
      <c r="LT15" s="1023">
        <v>1</v>
      </c>
      <c r="LU15" s="1023">
        <v>0.5</v>
      </c>
      <c r="LV15" s="1023">
        <v>0.7</v>
      </c>
      <c r="LW15" s="1023">
        <v>0.2</v>
      </c>
      <c r="LX15" s="1004">
        <v>1500</v>
      </c>
      <c r="LY15" s="1008">
        <v>500</v>
      </c>
      <c r="LZ15" s="1008">
        <v>1</v>
      </c>
      <c r="MA15" s="997" t="s">
        <v>2914</v>
      </c>
      <c r="MB15" s="1023" t="s">
        <v>905</v>
      </c>
      <c r="MC15" s="1023" t="s">
        <v>2932</v>
      </c>
      <c r="MD15" s="1024" t="s">
        <v>906</v>
      </c>
      <c r="ME15" s="1009">
        <v>0.5</v>
      </c>
      <c r="MF15" s="1010">
        <v>0.75</v>
      </c>
      <c r="MG15" s="1010">
        <v>1</v>
      </c>
      <c r="MH15" s="1010">
        <v>2</v>
      </c>
      <c r="MI15" s="1010">
        <v>0.5</v>
      </c>
      <c r="MJ15" s="1010">
        <v>0.75</v>
      </c>
      <c r="MK15" s="1010">
        <v>1</v>
      </c>
      <c r="ML15" s="1010">
        <v>2</v>
      </c>
      <c r="MM15" s="1010">
        <v>0</v>
      </c>
      <c r="MN15" s="1010">
        <v>0.5</v>
      </c>
      <c r="MO15" s="1010">
        <v>1</v>
      </c>
      <c r="MP15" s="1010">
        <v>2</v>
      </c>
      <c r="MQ15" s="1010">
        <v>0</v>
      </c>
      <c r="MR15" s="1010">
        <v>0.5</v>
      </c>
      <c r="MS15" s="1010">
        <v>1</v>
      </c>
      <c r="MT15" s="1010">
        <v>2</v>
      </c>
      <c r="MU15" s="1001">
        <v>0</v>
      </c>
      <c r="MV15" s="1001">
        <v>0</v>
      </c>
      <c r="MW15" s="1001">
        <v>0</v>
      </c>
      <c r="MX15" s="1025">
        <v>0</v>
      </c>
      <c r="MY15" s="1025">
        <v>0</v>
      </c>
      <c r="MZ15" s="1025">
        <v>0</v>
      </c>
      <c r="NA15" s="1025">
        <v>0</v>
      </c>
      <c r="NB15" s="1025">
        <v>0</v>
      </c>
      <c r="NC15" s="1025">
        <v>0</v>
      </c>
      <c r="ND15" s="1025">
        <v>0</v>
      </c>
      <c r="NE15" s="1025">
        <v>0</v>
      </c>
      <c r="NF15" s="1025">
        <v>0</v>
      </c>
      <c r="NG15" s="1025">
        <v>0</v>
      </c>
      <c r="NH15" s="1025">
        <v>0</v>
      </c>
      <c r="NI15" s="1025">
        <v>0</v>
      </c>
      <c r="NJ15" s="1025">
        <v>0</v>
      </c>
      <c r="NK15" s="1025">
        <v>0</v>
      </c>
      <c r="NL15" s="1025">
        <v>0</v>
      </c>
      <c r="NM15" s="1025">
        <v>0</v>
      </c>
      <c r="NN15" s="1025">
        <v>0</v>
      </c>
      <c r="NO15" s="1025">
        <v>0</v>
      </c>
      <c r="NP15" s="1025">
        <v>0</v>
      </c>
      <c r="NQ15" s="1025">
        <v>0</v>
      </c>
      <c r="NR15" s="1025">
        <v>0</v>
      </c>
      <c r="NS15" s="1025">
        <v>0</v>
      </c>
      <c r="NT15" s="1025">
        <v>0</v>
      </c>
      <c r="NU15" s="1025">
        <v>0</v>
      </c>
      <c r="NV15" s="1025">
        <v>3.0023141676325702</v>
      </c>
      <c r="NW15" s="1025">
        <v>0</v>
      </c>
      <c r="NX15" s="1025">
        <v>4.8916457425700003E-3</v>
      </c>
      <c r="NY15" s="1025">
        <v>0.29590384858404001</v>
      </c>
      <c r="NZ15" s="1025">
        <v>0.17453123015728</v>
      </c>
      <c r="OA15" s="1025">
        <v>-1.30000000001973</v>
      </c>
      <c r="OB15" s="1025">
        <v>3.3463344534083999</v>
      </c>
      <c r="OC15" s="1025">
        <v>0</v>
      </c>
      <c r="OD15" s="1025">
        <v>5.44278346337E-3</v>
      </c>
      <c r="OE15" s="1025">
        <v>0.32924309294243997</v>
      </c>
      <c r="OF15" s="1025">
        <v>0</v>
      </c>
      <c r="OG15" s="1025">
        <v>-1.3</v>
      </c>
      <c r="OH15" s="1025">
        <v>3.6217350249565601</v>
      </c>
      <c r="OI15" s="1025">
        <v>0</v>
      </c>
      <c r="OJ15" s="1025">
        <v>5.8484178825599998E-3</v>
      </c>
      <c r="OK15" s="1025">
        <v>0.35378059873124001</v>
      </c>
      <c r="OL15" s="1025">
        <v>0</v>
      </c>
      <c r="OM15" s="1025">
        <v>-1.2999999999468901</v>
      </c>
      <c r="ON15" s="1025">
        <v>0</v>
      </c>
      <c r="OO15" s="1025">
        <v>0</v>
      </c>
      <c r="OP15" s="1025">
        <v>0</v>
      </c>
      <c r="OQ15" s="1025">
        <v>0</v>
      </c>
      <c r="OR15" s="1025">
        <v>0</v>
      </c>
      <c r="OS15" s="1025">
        <v>0</v>
      </c>
      <c r="OT15" s="1025">
        <v>0</v>
      </c>
      <c r="OU15" s="1025">
        <v>0</v>
      </c>
      <c r="OV15" s="1025">
        <v>0</v>
      </c>
      <c r="OW15" s="1025">
        <v>0</v>
      </c>
      <c r="OX15" s="1025">
        <v>0</v>
      </c>
      <c r="OY15" s="1025">
        <v>0</v>
      </c>
      <c r="OZ15" s="1025">
        <v>-52.91</v>
      </c>
      <c r="PA15" s="1025">
        <v>-11.67</v>
      </c>
      <c r="PB15" s="1025">
        <v>-0.54643414814545999</v>
      </c>
      <c r="PC15" s="1025">
        <v>0</v>
      </c>
      <c r="PD15" s="1025">
        <v>-0.33998674296532999</v>
      </c>
      <c r="PE15" s="1025">
        <v>0</v>
      </c>
      <c r="PF15" s="1025">
        <v>0.18372230561139999</v>
      </c>
      <c r="PG15" s="1025">
        <v>0</v>
      </c>
      <c r="PH15" s="1025">
        <v>0</v>
      </c>
      <c r="PI15" s="1025">
        <v>0</v>
      </c>
      <c r="PJ15" s="1025">
        <v>0</v>
      </c>
      <c r="PK15" s="1025">
        <v>0</v>
      </c>
      <c r="PL15" s="1025">
        <v>0</v>
      </c>
      <c r="PM15" s="1025">
        <v>0</v>
      </c>
      <c r="PN15" s="1025">
        <v>0</v>
      </c>
      <c r="PO15" s="1025">
        <v>0</v>
      </c>
      <c r="PP15" s="1025">
        <v>-1.7739743612950201</v>
      </c>
      <c r="PQ15" s="1025">
        <v>0</v>
      </c>
      <c r="PR15" s="1025">
        <v>0</v>
      </c>
      <c r="PS15" s="1025">
        <v>0</v>
      </c>
      <c r="PT15" s="1025">
        <v>0</v>
      </c>
      <c r="PU15" s="1025">
        <v>0</v>
      </c>
      <c r="PV15" s="1025">
        <v>0</v>
      </c>
      <c r="PW15" s="1025">
        <v>0</v>
      </c>
      <c r="PX15" s="1025">
        <v>0</v>
      </c>
      <c r="PY15" s="1025">
        <v>0</v>
      </c>
      <c r="PZ15" s="1025">
        <v>0</v>
      </c>
      <c r="QA15" s="1025">
        <v>0</v>
      </c>
      <c r="QB15" s="1025">
        <v>0</v>
      </c>
      <c r="QC15" s="1025">
        <v>0</v>
      </c>
      <c r="QD15" s="1025">
        <v>-52.91</v>
      </c>
      <c r="QE15" s="1025">
        <v>-11.67</v>
      </c>
      <c r="QF15" s="1025">
        <v>-0.18172036730723001</v>
      </c>
      <c r="QG15" s="1025">
        <v>0</v>
      </c>
      <c r="QH15" s="1025">
        <v>0.19802294827854</v>
      </c>
      <c r="QI15" s="1025">
        <v>-10.408344278869309</v>
      </c>
      <c r="QJ15" s="1025">
        <v>-0.13109341541788999</v>
      </c>
      <c r="QK15" s="1025">
        <v>0</v>
      </c>
      <c r="QL15" s="1025">
        <v>0</v>
      </c>
      <c r="QM15" s="1025">
        <v>0</v>
      </c>
      <c r="QN15" s="1025">
        <v>0</v>
      </c>
      <c r="QO15" s="1025">
        <v>0</v>
      </c>
      <c r="QP15" s="1025">
        <v>0</v>
      </c>
      <c r="QQ15" s="1025">
        <v>0</v>
      </c>
      <c r="QR15" s="1025">
        <v>0</v>
      </c>
      <c r="QS15" s="1025">
        <v>0</v>
      </c>
      <c r="QT15" s="1025">
        <v>-1.06666666666667</v>
      </c>
      <c r="QU15" s="1025">
        <v>0</v>
      </c>
      <c r="QV15" s="1025">
        <v>0</v>
      </c>
      <c r="QW15" s="1025">
        <v>0</v>
      </c>
      <c r="QX15" s="1025">
        <v>0</v>
      </c>
      <c r="QY15" s="1025">
        <v>0</v>
      </c>
      <c r="QZ15" s="1025">
        <v>0</v>
      </c>
      <c r="RA15" s="1025">
        <v>0</v>
      </c>
      <c r="RB15" s="1025">
        <v>0</v>
      </c>
      <c r="RC15" s="1025">
        <v>0</v>
      </c>
      <c r="RD15" s="1025">
        <v>0</v>
      </c>
      <c r="RE15" s="1025">
        <v>0</v>
      </c>
      <c r="RF15" s="1025">
        <v>0</v>
      </c>
      <c r="RG15" s="1025">
        <v>0</v>
      </c>
      <c r="RH15" s="1011">
        <v>0</v>
      </c>
      <c r="RI15" s="1026">
        <v>0</v>
      </c>
      <c r="RJ15" s="1026">
        <v>0</v>
      </c>
      <c r="RK15" s="1026">
        <v>0</v>
      </c>
      <c r="RL15" s="1026">
        <v>0</v>
      </c>
      <c r="RM15" s="1011">
        <v>0</v>
      </c>
      <c r="RN15" s="1011">
        <v>0</v>
      </c>
      <c r="RO15" s="1011">
        <v>0</v>
      </c>
      <c r="RP15" s="1011">
        <v>0</v>
      </c>
      <c r="RQ15" s="1011">
        <v>0</v>
      </c>
      <c r="RR15" s="1011">
        <v>0</v>
      </c>
      <c r="RS15" s="1011">
        <v>0</v>
      </c>
      <c r="RT15" s="1011">
        <v>-2.5665427509497198</v>
      </c>
      <c r="RU15" s="1011">
        <v>0</v>
      </c>
      <c r="RV15" s="1011">
        <v>0</v>
      </c>
      <c r="RW15" s="1011">
        <v>0</v>
      </c>
      <c r="RX15" s="1011">
        <v>0</v>
      </c>
      <c r="RY15" s="1011">
        <v>0</v>
      </c>
      <c r="RZ15" s="1026">
        <v>-0.23653062818921</v>
      </c>
      <c r="SA15" s="1026">
        <v>0</v>
      </c>
      <c r="SB15" s="1026">
        <v>0</v>
      </c>
      <c r="SC15" s="1026">
        <v>0</v>
      </c>
      <c r="SD15" s="1026">
        <v>0</v>
      </c>
      <c r="SE15" s="1026">
        <v>0</v>
      </c>
      <c r="SF15" s="1026">
        <v>-2.50580804071038</v>
      </c>
      <c r="SG15" s="1026">
        <v>0</v>
      </c>
      <c r="SH15" s="1026">
        <v>0</v>
      </c>
      <c r="SI15" s="1026">
        <v>0</v>
      </c>
      <c r="SJ15" s="1026">
        <v>0</v>
      </c>
      <c r="SK15" s="1026">
        <v>0</v>
      </c>
      <c r="SL15" s="1025">
        <v>-52.91</v>
      </c>
      <c r="SM15" s="1025">
        <v>-11.67</v>
      </c>
      <c r="SN15" s="1025">
        <v>-2.2095224184042799</v>
      </c>
      <c r="SO15" s="1025">
        <v>0</v>
      </c>
      <c r="SP15" s="1025">
        <v>-1.48307883259603</v>
      </c>
      <c r="SQ15" s="1025">
        <v>0</v>
      </c>
      <c r="SR15" s="1025">
        <v>-0.12793422384617001</v>
      </c>
      <c r="SS15" s="1025">
        <v>0</v>
      </c>
      <c r="ST15" s="1025">
        <v>0</v>
      </c>
      <c r="SU15" s="1025">
        <v>0</v>
      </c>
      <c r="SV15" s="1025">
        <v>-0.80520512773868003</v>
      </c>
      <c r="SW15" s="1025">
        <v>0</v>
      </c>
      <c r="SX15" s="1025">
        <v>-4.8821770334930001E-2</v>
      </c>
      <c r="SY15" s="1025">
        <v>0</v>
      </c>
      <c r="SZ15" s="1025">
        <v>0</v>
      </c>
      <c r="TA15" s="1025">
        <v>0</v>
      </c>
      <c r="TB15" s="1025">
        <v>-1.51251282240104</v>
      </c>
      <c r="TC15" s="1025">
        <v>0</v>
      </c>
      <c r="TD15" s="1025">
        <v>-5.7780184082299998E-2</v>
      </c>
      <c r="TE15" s="1025">
        <v>0</v>
      </c>
      <c r="TF15" s="1025">
        <v>0</v>
      </c>
      <c r="TG15" s="1025">
        <v>0</v>
      </c>
      <c r="TH15" s="1025">
        <v>2.5791794890699998E-3</v>
      </c>
      <c r="TI15" s="1025">
        <v>0</v>
      </c>
      <c r="TJ15" s="1025">
        <v>0</v>
      </c>
      <c r="TK15" s="1025">
        <v>0</v>
      </c>
      <c r="TL15" s="1025">
        <v>0</v>
      </c>
      <c r="TM15" s="1025">
        <v>0</v>
      </c>
      <c r="TN15" s="1025">
        <v>0</v>
      </c>
      <c r="TO15" s="1025">
        <v>0</v>
      </c>
      <c r="TP15" s="1025">
        <v>-52.91</v>
      </c>
      <c r="TQ15" s="1025">
        <v>-11.67</v>
      </c>
      <c r="TR15" s="1025">
        <v>0</v>
      </c>
      <c r="TS15" s="1025">
        <v>0</v>
      </c>
      <c r="TT15" s="1025">
        <v>0</v>
      </c>
      <c r="TU15" s="1025">
        <v>0</v>
      </c>
      <c r="TV15" s="1025">
        <v>0</v>
      </c>
      <c r="TW15" s="1025">
        <v>0</v>
      </c>
      <c r="TX15" s="1025">
        <v>0</v>
      </c>
      <c r="TY15" s="1025">
        <v>0</v>
      </c>
      <c r="TZ15" s="1025">
        <v>0</v>
      </c>
      <c r="UA15" s="1025">
        <v>0</v>
      </c>
      <c r="UB15" s="1025">
        <v>0</v>
      </c>
      <c r="UC15" s="1025">
        <v>0</v>
      </c>
      <c r="UD15" s="1025">
        <v>0</v>
      </c>
      <c r="UE15" s="1025">
        <v>0</v>
      </c>
      <c r="UF15" s="1025">
        <v>0</v>
      </c>
      <c r="UG15" s="1025">
        <v>0</v>
      </c>
      <c r="UH15" s="1025">
        <v>0</v>
      </c>
      <c r="UI15" s="1025">
        <v>0</v>
      </c>
      <c r="UJ15" s="1025">
        <v>0</v>
      </c>
      <c r="UK15" s="1025">
        <v>0</v>
      </c>
      <c r="UL15" s="1025">
        <v>0</v>
      </c>
      <c r="UM15" s="1025">
        <v>0</v>
      </c>
      <c r="UN15" s="1025">
        <v>0</v>
      </c>
      <c r="UO15" s="1025">
        <v>0</v>
      </c>
      <c r="UP15" s="1025">
        <v>0</v>
      </c>
      <c r="UQ15" s="1025">
        <v>0</v>
      </c>
      <c r="UR15" s="1025">
        <v>0</v>
      </c>
      <c r="US15" s="1025">
        <v>0</v>
      </c>
      <c r="UT15" s="1025">
        <v>0.13941526258303999</v>
      </c>
      <c r="UU15" s="1025">
        <v>0</v>
      </c>
      <c r="UV15" s="1025">
        <v>6.9938276129620003E-2</v>
      </c>
      <c r="UW15" s="1025">
        <v>0.47464340967364999</v>
      </c>
      <c r="UX15" s="1025">
        <v>0</v>
      </c>
      <c r="UY15" s="1025">
        <v>-1.30000000000389</v>
      </c>
      <c r="UZ15" s="1025">
        <v>-3.5225263151399998E-3</v>
      </c>
      <c r="VA15" s="1025">
        <v>0</v>
      </c>
      <c r="VB15" s="1025">
        <v>0</v>
      </c>
      <c r="VC15" s="1025">
        <v>0</v>
      </c>
      <c r="VD15" s="1025">
        <v>-4.9885985614600004E-3</v>
      </c>
      <c r="VE15" s="1025">
        <v>-7.5515057820746998</v>
      </c>
      <c r="VF15" s="1025">
        <v>-0.19159248592764</v>
      </c>
      <c r="VG15" s="1025">
        <v>0</v>
      </c>
      <c r="VH15" s="1025">
        <v>0</v>
      </c>
      <c r="VI15" s="1025">
        <v>0</v>
      </c>
      <c r="VJ15" s="1025">
        <v>0</v>
      </c>
      <c r="VK15" s="1025">
        <v>-6.4178284247483797</v>
      </c>
      <c r="VL15" s="1025">
        <v>0</v>
      </c>
      <c r="VM15" s="1025">
        <v>0</v>
      </c>
      <c r="VN15" s="1025">
        <v>0</v>
      </c>
      <c r="VO15" s="1025">
        <v>0</v>
      </c>
      <c r="VP15" s="1025">
        <v>0</v>
      </c>
      <c r="VQ15" s="1025">
        <v>-10.11815</v>
      </c>
      <c r="VR15" s="1010">
        <v>0</v>
      </c>
      <c r="VS15" s="1010">
        <v>0</v>
      </c>
      <c r="VT15" s="1010">
        <v>0</v>
      </c>
      <c r="VU15" s="1010">
        <v>0</v>
      </c>
      <c r="VV15" s="1010">
        <v>0</v>
      </c>
      <c r="VW15" s="1010">
        <v>-5.6066847810739198</v>
      </c>
      <c r="VX15" s="1025">
        <v>0</v>
      </c>
      <c r="VY15" s="1025">
        <v>0</v>
      </c>
      <c r="VZ15" s="1025">
        <v>0</v>
      </c>
      <c r="WA15" s="1025">
        <v>0</v>
      </c>
      <c r="WB15" s="1025">
        <v>0</v>
      </c>
      <c r="WC15" s="1025">
        <v>0</v>
      </c>
      <c r="WD15" s="995">
        <v>202</v>
      </c>
      <c r="WE15" s="995">
        <v>267</v>
      </c>
      <c r="WF15" s="995">
        <v>354</v>
      </c>
      <c r="WG15" s="995">
        <v>382</v>
      </c>
      <c r="WH15" s="995">
        <v>403</v>
      </c>
      <c r="WI15" s="995">
        <v>0</v>
      </c>
      <c r="WJ15" s="995">
        <v>1300</v>
      </c>
      <c r="WK15" s="1001">
        <v>0</v>
      </c>
      <c r="WL15" s="1001">
        <v>0</v>
      </c>
      <c r="WM15" s="1001">
        <v>0</v>
      </c>
      <c r="WN15" s="1001">
        <v>0</v>
      </c>
      <c r="WO15" s="1001">
        <v>0</v>
      </c>
      <c r="WP15" s="1001">
        <v>0</v>
      </c>
      <c r="WQ15" s="1001">
        <v>0</v>
      </c>
      <c r="WR15" s="1001">
        <v>0</v>
      </c>
      <c r="WS15" s="1001">
        <v>0</v>
      </c>
      <c r="WT15" s="1001">
        <v>0</v>
      </c>
      <c r="WU15" s="1001">
        <v>0</v>
      </c>
      <c r="WV15" s="1001">
        <v>0</v>
      </c>
      <c r="WW15" s="1001">
        <v>0</v>
      </c>
      <c r="WX15" s="1001">
        <v>0</v>
      </c>
      <c r="WY15" s="1001">
        <v>0</v>
      </c>
      <c r="WZ15" s="1001">
        <v>0</v>
      </c>
      <c r="XA15" s="1001">
        <v>0</v>
      </c>
      <c r="XB15" s="1001">
        <v>0</v>
      </c>
      <c r="XC15" s="1001">
        <v>0</v>
      </c>
      <c r="XD15" s="1001">
        <v>0</v>
      </c>
      <c r="XE15" s="1001">
        <v>0</v>
      </c>
      <c r="XF15" s="1001">
        <v>0</v>
      </c>
      <c r="XG15" s="1001">
        <v>0</v>
      </c>
      <c r="XH15" s="1001">
        <v>0</v>
      </c>
      <c r="XI15" s="1001">
        <v>0</v>
      </c>
      <c r="XJ15" s="1001">
        <v>0</v>
      </c>
      <c r="XK15" s="1001">
        <v>0</v>
      </c>
      <c r="XL15" s="1001">
        <v>0</v>
      </c>
      <c r="XM15" s="1001">
        <v>0</v>
      </c>
      <c r="XN15" s="1001">
        <v>0</v>
      </c>
      <c r="XO15" s="1001">
        <v>0</v>
      </c>
      <c r="XP15" s="1001">
        <v>0</v>
      </c>
      <c r="XQ15" s="1001">
        <v>0</v>
      </c>
      <c r="XR15" s="1027">
        <v>117.57470000000001</v>
      </c>
      <c r="XS15" s="1013">
        <v>93.274292275574112</v>
      </c>
      <c r="XT15" s="1013">
        <v>103.09263883089771</v>
      </c>
      <c r="XU15" s="1013">
        <v>108.00181210855951</v>
      </c>
      <c r="XV15" s="1013">
        <v>165.93005678496871</v>
      </c>
      <c r="XW15" s="1028">
        <v>17613.36665</v>
      </c>
      <c r="XX15" s="1013">
        <v>78</v>
      </c>
      <c r="XY15" s="1013">
        <v>15</v>
      </c>
      <c r="XZ15" s="1013">
        <v>7.0000000000000009</v>
      </c>
      <c r="YA15" s="1029">
        <v>0</v>
      </c>
      <c r="YB15" s="1013">
        <v>882.99608302357547</v>
      </c>
      <c r="YC15" s="1013">
        <v>0</v>
      </c>
      <c r="YD15" s="1013">
        <v>0</v>
      </c>
      <c r="YE15" s="1013">
        <v>0</v>
      </c>
      <c r="YF15" s="1013">
        <v>0</v>
      </c>
      <c r="YG15" s="1013">
        <v>0</v>
      </c>
      <c r="YH15" s="1013">
        <v>1208.3104294006823</v>
      </c>
      <c r="YI15" s="1013">
        <v>1719.5186879932785</v>
      </c>
      <c r="YJ15" s="1013">
        <v>947.23883209804615</v>
      </c>
      <c r="YK15" s="1013">
        <v>0</v>
      </c>
      <c r="YL15" s="1013">
        <v>0</v>
      </c>
      <c r="YM15" s="1013">
        <v>0</v>
      </c>
      <c r="YN15" s="1013">
        <v>0</v>
      </c>
      <c r="YO15" s="1013">
        <v>0</v>
      </c>
      <c r="YP15" s="1013">
        <v>1296.221559713116</v>
      </c>
      <c r="YQ15" s="1013">
        <v>1844.6229888225109</v>
      </c>
      <c r="YR15" s="1013">
        <v>992.34544315033418</v>
      </c>
      <c r="YS15" s="1013">
        <v>0</v>
      </c>
      <c r="YT15" s="1013">
        <v>0</v>
      </c>
      <c r="YU15" s="1013">
        <v>0</v>
      </c>
      <c r="YV15" s="1013">
        <v>0</v>
      </c>
      <c r="YW15" s="1013">
        <v>0</v>
      </c>
      <c r="YX15" s="1013">
        <v>1357.9463958899312</v>
      </c>
      <c r="YY15" s="1013">
        <v>1932.4621787664403</v>
      </c>
      <c r="YZ15" s="1013">
        <v>1524.6034535673314</v>
      </c>
      <c r="ZA15" s="1013">
        <v>0</v>
      </c>
      <c r="ZB15" s="1013">
        <v>0</v>
      </c>
      <c r="ZC15" s="1013">
        <v>0</v>
      </c>
      <c r="ZD15" s="1013">
        <v>0</v>
      </c>
      <c r="ZE15" s="1013">
        <v>0</v>
      </c>
      <c r="ZF15" s="1013">
        <v>2086.2994627763483</v>
      </c>
      <c r="ZG15" s="1013">
        <v>2968.9646201048031</v>
      </c>
      <c r="ZH15" s="1013">
        <v>997.58935246485737</v>
      </c>
      <c r="ZI15" s="1013">
        <v>682.56113589700772</v>
      </c>
      <c r="ZJ15" s="1013">
        <v>262.52351380654142</v>
      </c>
      <c r="ZK15" s="1013">
        <v>0</v>
      </c>
      <c r="ZL15" s="1013">
        <v>0</v>
      </c>
      <c r="ZM15" s="1013">
        <v>0</v>
      </c>
      <c r="ZN15" s="1013">
        <v>1365.1222717940154</v>
      </c>
      <c r="ZO15" s="1013">
        <v>1942.6740021684063</v>
      </c>
      <c r="ZP15" s="1013">
        <v>1070.1693827525482</v>
      </c>
      <c r="ZQ15" s="1013">
        <v>732.22115662016449</v>
      </c>
      <c r="ZR15" s="1013">
        <v>281.62352177698637</v>
      </c>
      <c r="ZS15" s="1013">
        <v>0</v>
      </c>
      <c r="ZT15" s="1013">
        <v>0</v>
      </c>
      <c r="ZU15" s="1013">
        <v>0</v>
      </c>
      <c r="ZV15" s="1013">
        <v>1464.442313240329</v>
      </c>
      <c r="ZW15" s="1013">
        <v>2084.014061149699</v>
      </c>
      <c r="ZX15" s="1013">
        <v>1121.1298295502886</v>
      </c>
      <c r="ZY15" s="1013">
        <v>767.0888307449344</v>
      </c>
      <c r="ZZ15" s="1013">
        <v>295.03416567112862</v>
      </c>
      <c r="AAA15" s="1013">
        <v>0</v>
      </c>
      <c r="AAB15" s="1013">
        <v>0</v>
      </c>
      <c r="AAC15" s="1013">
        <v>0</v>
      </c>
      <c r="AAD15" s="1013">
        <v>1534.1776614898688</v>
      </c>
      <c r="AAE15" s="1013">
        <v>2183.2528259663513</v>
      </c>
      <c r="AAF15" s="1013">
        <v>1722.4631017636252</v>
      </c>
      <c r="AAG15" s="1013">
        <v>1178.5273854172171</v>
      </c>
      <c r="AAH15" s="1013">
        <v>453.27976362200661</v>
      </c>
      <c r="AAI15" s="1013">
        <v>0</v>
      </c>
      <c r="AAJ15" s="1013">
        <v>0</v>
      </c>
      <c r="AAK15" s="1013">
        <v>0</v>
      </c>
      <c r="AAL15" s="1013">
        <v>2357.0547708344343</v>
      </c>
      <c r="AAM15" s="1013">
        <v>3354.2702508028488</v>
      </c>
      <c r="AAN15" s="1013">
        <v>2654.8748896242173</v>
      </c>
      <c r="AAO15" s="1013">
        <v>1816.4933455323592</v>
      </c>
      <c r="AAP15" s="1013">
        <v>698.65128674321511</v>
      </c>
      <c r="AAQ15" s="1013">
        <v>0</v>
      </c>
      <c r="AAR15" s="1013">
        <v>0</v>
      </c>
      <c r="AAS15" s="1013">
        <v>0</v>
      </c>
      <c r="AAT15" s="1013">
        <v>3632.9866910647183</v>
      </c>
      <c r="AAU15" s="1013">
        <v>5170.0195218997915</v>
      </c>
      <c r="AAV15" s="1013">
        <v>2934.3354043215031</v>
      </c>
      <c r="AAW15" s="1013">
        <v>2007.7031713778706</v>
      </c>
      <c r="AAX15" s="1013">
        <v>772.19352745302717</v>
      </c>
      <c r="AAY15" s="1013">
        <v>0</v>
      </c>
      <c r="AAZ15" s="1013">
        <v>0</v>
      </c>
      <c r="ABA15" s="1013">
        <v>0</v>
      </c>
      <c r="ABB15" s="1013">
        <v>4015.4063427557412</v>
      </c>
      <c r="ABC15" s="1013">
        <v>5714.2321031524007</v>
      </c>
      <c r="ABD15" s="1013">
        <v>3074.0656616701463</v>
      </c>
      <c r="ABE15" s="1013">
        <v>2103.3080843006264</v>
      </c>
      <c r="ABF15" s="1013">
        <v>808.96464780793326</v>
      </c>
      <c r="ABG15" s="1013">
        <v>0</v>
      </c>
      <c r="ABH15" s="1013">
        <v>0</v>
      </c>
      <c r="ABI15" s="1013">
        <v>0</v>
      </c>
      <c r="ABJ15" s="1013">
        <v>4206.6161686012529</v>
      </c>
      <c r="ABK15" s="1013">
        <v>5986.3383937787057</v>
      </c>
      <c r="ABL15" s="1013">
        <v>4722.8826983841336</v>
      </c>
      <c r="ABM15" s="1013">
        <v>3231.4460567891442</v>
      </c>
      <c r="ABN15" s="1013">
        <v>1242.8638679958249</v>
      </c>
      <c r="ABO15" s="1013">
        <v>0</v>
      </c>
      <c r="ABP15" s="1013">
        <v>0</v>
      </c>
      <c r="ABQ15" s="1013">
        <v>0</v>
      </c>
      <c r="ABR15" s="1013">
        <v>6462.8921135782884</v>
      </c>
      <c r="ABS15" s="1013">
        <v>9197.1926231691032</v>
      </c>
      <c r="ABT15" s="1013">
        <v>3652.4642420890746</v>
      </c>
      <c r="ABU15" s="1013">
        <v>2499.0544814293667</v>
      </c>
      <c r="ABV15" s="1013">
        <v>961.17480054975647</v>
      </c>
      <c r="ABW15" s="1013">
        <v>0</v>
      </c>
      <c r="ABX15" s="1013">
        <v>0</v>
      </c>
      <c r="ABY15" s="1013">
        <v>0</v>
      </c>
      <c r="ABZ15" s="1013">
        <v>4998.1089628587333</v>
      </c>
      <c r="ACA15" s="1013">
        <v>7112.6935240681969</v>
      </c>
      <c r="ACB15" s="1013">
        <v>3866.4184151059808</v>
      </c>
      <c r="ACC15" s="1013">
        <v>2645.4441787567239</v>
      </c>
      <c r="ACD15" s="1013">
        <v>1017.4785302910476</v>
      </c>
      <c r="ACE15" s="1013">
        <v>0</v>
      </c>
      <c r="ACF15" s="1013">
        <v>0</v>
      </c>
      <c r="ACG15" s="1013">
        <v>0</v>
      </c>
      <c r="ACH15" s="1013">
        <v>5290.8883575134478</v>
      </c>
      <c r="ACI15" s="1013">
        <v>7529.3411241537515</v>
      </c>
      <c r="ACJ15" s="1013">
        <v>4050.5335777300747</v>
      </c>
      <c r="ACK15" s="1013">
        <v>2771.4177110784722</v>
      </c>
      <c r="ACL15" s="1013">
        <v>1065.9298888763356</v>
      </c>
      <c r="ACM15" s="1013">
        <v>0</v>
      </c>
      <c r="ACN15" s="1013">
        <v>0</v>
      </c>
      <c r="ACO15" s="1013">
        <v>0</v>
      </c>
      <c r="ACP15" s="1013">
        <v>5542.8354221569443</v>
      </c>
      <c r="ACQ15" s="1013">
        <v>7887.8811776848825</v>
      </c>
      <c r="ACR15" s="1013">
        <v>6223.0924966943876</v>
      </c>
      <c r="ACS15" s="1013">
        <v>4257.9053924751079</v>
      </c>
      <c r="ACT15" s="1013">
        <v>1637.6559201827338</v>
      </c>
      <c r="ACU15" s="1013">
        <v>0</v>
      </c>
      <c r="ACV15" s="1013">
        <v>0</v>
      </c>
      <c r="ACW15" s="1013">
        <v>0</v>
      </c>
      <c r="ACX15" s="1013">
        <v>8515.8107849502157</v>
      </c>
      <c r="ACY15" s="1013">
        <v>12118.653809352229</v>
      </c>
      <c r="ACZ15" s="1013">
        <v>4730.504348784968</v>
      </c>
      <c r="ADA15" s="1013">
        <v>3236.6608702212943</v>
      </c>
      <c r="ADB15" s="1013">
        <v>1244.8695654697285</v>
      </c>
      <c r="ADC15" s="1013">
        <v>0</v>
      </c>
      <c r="ADD15" s="1013">
        <v>0</v>
      </c>
      <c r="ADE15" s="1013">
        <v>0</v>
      </c>
      <c r="ADF15" s="1013">
        <v>6473.3217404425886</v>
      </c>
      <c r="ADG15" s="1013">
        <v>9212.0347844759908</v>
      </c>
      <c r="ADH15" s="1013">
        <v>5057.4133733305907</v>
      </c>
      <c r="ADI15" s="1013">
        <v>3460.3354659630359</v>
      </c>
      <c r="ADJ15" s="1013">
        <v>1330.8982561396292</v>
      </c>
      <c r="ADK15" s="1013">
        <v>0</v>
      </c>
      <c r="ADL15" s="1013">
        <v>0</v>
      </c>
      <c r="ADM15" s="1013">
        <v>0</v>
      </c>
      <c r="ADN15" s="1013">
        <v>6920.6709319260717</v>
      </c>
      <c r="ADO15" s="1013">
        <v>9848.6470954332563</v>
      </c>
      <c r="ADP15" s="1013">
        <v>5298.242581584429</v>
      </c>
      <c r="ADQ15" s="1013">
        <v>3625.1133452946092</v>
      </c>
      <c r="ADR15" s="1013">
        <v>1394.2743635748498</v>
      </c>
      <c r="ADS15" s="1013">
        <v>0</v>
      </c>
      <c r="ADT15" s="1013">
        <v>0</v>
      </c>
      <c r="ADU15" s="1013">
        <v>0</v>
      </c>
      <c r="ADV15" s="1013">
        <v>7250.2266905892184</v>
      </c>
      <c r="ADW15" s="1013">
        <v>10317.630290453888</v>
      </c>
      <c r="ADX15" s="1013">
        <v>8140.0272389797137</v>
      </c>
      <c r="ADY15" s="1013">
        <v>5569.4923214071723</v>
      </c>
      <c r="ADZ15" s="1013">
        <v>2142.112431310451</v>
      </c>
      <c r="AEA15" s="1013">
        <v>0</v>
      </c>
      <c r="AEB15" s="1013">
        <v>0</v>
      </c>
      <c r="AEC15" s="1013">
        <v>0</v>
      </c>
      <c r="AED15" s="1013">
        <v>11138.984642814345</v>
      </c>
      <c r="AEE15" s="1013">
        <v>15851.631991697335</v>
      </c>
      <c r="AEF15" s="1013">
        <v>5776.3641537884487</v>
      </c>
      <c r="AEG15" s="1013">
        <v>3952.2491578552545</v>
      </c>
      <c r="AEH15" s="1013">
        <v>1520.0958299443287</v>
      </c>
      <c r="AEI15" s="1013">
        <v>0</v>
      </c>
      <c r="AEJ15" s="1013">
        <v>0</v>
      </c>
      <c r="AEK15" s="1013">
        <v>0</v>
      </c>
      <c r="AEL15" s="1013">
        <v>7904.4983157105089</v>
      </c>
      <c r="AEM15" s="1013">
        <v>11248.709141588031</v>
      </c>
      <c r="AEN15" s="1013">
        <v>6213.8867385631829</v>
      </c>
      <c r="AEO15" s="1013">
        <v>4251.6067158590204</v>
      </c>
      <c r="AEP15" s="1013">
        <v>1635.2333522534693</v>
      </c>
      <c r="AEQ15" s="1013">
        <v>0</v>
      </c>
      <c r="AER15" s="1013">
        <v>0</v>
      </c>
      <c r="AES15" s="1013">
        <v>0</v>
      </c>
      <c r="AET15" s="1013">
        <v>8503.2134317180407</v>
      </c>
      <c r="AEU15" s="1013">
        <v>12100.726806675673</v>
      </c>
      <c r="AEV15" s="1013">
        <v>6509.7861070661929</v>
      </c>
      <c r="AEW15" s="1013">
        <v>4454.0641785189737</v>
      </c>
      <c r="AEX15" s="1013">
        <v>1713.1016071226823</v>
      </c>
      <c r="AEY15" s="1013">
        <v>0</v>
      </c>
      <c r="AEZ15" s="1013">
        <v>0</v>
      </c>
      <c r="AFA15" s="1013">
        <v>0</v>
      </c>
      <c r="AFB15" s="1013">
        <v>8908.1283570379474</v>
      </c>
      <c r="AFC15" s="1013">
        <v>12676.951892707848</v>
      </c>
      <c r="AFD15" s="1013">
        <v>10001.398655401696</v>
      </c>
      <c r="AFE15" s="1013">
        <v>6843.0622379064225</v>
      </c>
      <c r="AFF15" s="1013">
        <v>2631.9470145793935</v>
      </c>
      <c r="AFG15" s="1013">
        <v>0</v>
      </c>
      <c r="AFH15" s="1013">
        <v>0</v>
      </c>
      <c r="AFI15" s="1013">
        <v>0</v>
      </c>
      <c r="AFJ15" s="1013">
        <v>13686.124475812845</v>
      </c>
      <c r="AFK15" s="1013">
        <v>19476.407907887511</v>
      </c>
      <c r="AFL15" s="1023">
        <v>6661.3224503298534</v>
      </c>
      <c r="AFM15" s="1023">
        <v>4557.7469396993738</v>
      </c>
      <c r="AFN15" s="1023">
        <v>1752.9795921920668</v>
      </c>
      <c r="AFO15" s="1023">
        <v>0</v>
      </c>
      <c r="AFP15" s="1023">
        <v>0</v>
      </c>
      <c r="AFQ15" s="1023">
        <v>0</v>
      </c>
      <c r="AFR15" s="1023">
        <v>9115.4938793987476</v>
      </c>
      <c r="AFS15" s="1023">
        <v>12972.048982221295</v>
      </c>
      <c r="AFT15" s="1023">
        <v>7076.9265633636251</v>
      </c>
      <c r="AFU15" s="1023">
        <v>4842.1076486172178</v>
      </c>
      <c r="AFV15" s="1023">
        <v>1862.3490956220066</v>
      </c>
      <c r="AFW15" s="1023">
        <v>0</v>
      </c>
      <c r="AFX15" s="1023">
        <v>0</v>
      </c>
      <c r="AFY15" s="1023">
        <v>0</v>
      </c>
      <c r="AFZ15" s="1023">
        <v>9684.2152972344356</v>
      </c>
      <c r="AGA15" s="1023">
        <v>13781.38330760285</v>
      </c>
      <c r="AGB15" s="1023">
        <v>7413.9230663809412</v>
      </c>
      <c r="AGC15" s="1023">
        <v>5072.6842033132752</v>
      </c>
      <c r="AGD15" s="1023">
        <v>1951.0323858897214</v>
      </c>
      <c r="AGE15" s="1023">
        <v>0</v>
      </c>
      <c r="AGF15" s="1023">
        <v>0</v>
      </c>
      <c r="AGG15" s="1023">
        <v>0</v>
      </c>
      <c r="AGH15" s="1023">
        <v>10145.36840662655</v>
      </c>
      <c r="AGI15" s="1023">
        <v>14437.639655583936</v>
      </c>
      <c r="AGJ15" s="1023">
        <v>11390.481801985263</v>
      </c>
      <c r="AGK15" s="1023">
        <v>7793.4875487267591</v>
      </c>
      <c r="AGL15" s="1023">
        <v>2997.4952110487538</v>
      </c>
      <c r="AGM15" s="1023">
        <v>0</v>
      </c>
      <c r="AGN15" s="1023">
        <v>0</v>
      </c>
      <c r="AGO15" s="1023">
        <v>0</v>
      </c>
      <c r="AGP15" s="1023">
        <v>15586.975097453518</v>
      </c>
      <c r="AGQ15" s="1023">
        <v>22181.464561760775</v>
      </c>
      <c r="AGR15" s="1030">
        <v>2654.8748896242173</v>
      </c>
      <c r="AGS15" s="1030">
        <v>1816.4933455323592</v>
      </c>
      <c r="AGT15" s="1030">
        <v>698.65128674321511</v>
      </c>
      <c r="AGU15" s="1030">
        <v>0</v>
      </c>
      <c r="AGV15" s="1030">
        <v>0</v>
      </c>
      <c r="AGW15" s="1030">
        <v>0</v>
      </c>
      <c r="AGX15" s="1030">
        <v>3632.9866910647183</v>
      </c>
      <c r="AGY15" s="1030">
        <v>5170.0195218997915</v>
      </c>
      <c r="AGZ15" s="1030">
        <v>2934.3354043215031</v>
      </c>
      <c r="AHA15" s="1030">
        <v>2007.7031713778706</v>
      </c>
      <c r="AHB15" s="1030">
        <v>772.19352745302717</v>
      </c>
      <c r="AHC15" s="1030">
        <v>0</v>
      </c>
      <c r="AHD15" s="1030">
        <v>0</v>
      </c>
      <c r="AHE15" s="1030">
        <v>0</v>
      </c>
      <c r="AHF15" s="1030">
        <v>4015.4063427557412</v>
      </c>
      <c r="AHG15" s="1030">
        <v>5714.2321031524007</v>
      </c>
      <c r="AHH15" s="1030">
        <v>3074.0656616701463</v>
      </c>
      <c r="AHI15" s="1030">
        <v>2103.3080843006264</v>
      </c>
      <c r="AHJ15" s="1030">
        <v>808.96464780793326</v>
      </c>
      <c r="AHK15" s="1030">
        <v>0</v>
      </c>
      <c r="AHL15" s="1030">
        <v>0</v>
      </c>
      <c r="AHM15" s="1030">
        <v>0</v>
      </c>
      <c r="AHN15" s="1030">
        <v>4206.6161686012529</v>
      </c>
      <c r="AHO15" s="1030">
        <v>5986.3383937787057</v>
      </c>
      <c r="AHP15" s="1030">
        <v>4722.8826983841336</v>
      </c>
      <c r="AHQ15" s="1030">
        <v>3231.4460567891442</v>
      </c>
      <c r="AHR15" s="1030">
        <v>1242.8638679958249</v>
      </c>
      <c r="AHS15" s="1030">
        <v>0</v>
      </c>
      <c r="AHT15" s="1030">
        <v>0</v>
      </c>
      <c r="AHU15" s="1030">
        <v>0</v>
      </c>
      <c r="AHV15" s="1030">
        <v>6462.8921135782884</v>
      </c>
      <c r="AHW15" s="1030">
        <v>9197.1926231691032</v>
      </c>
      <c r="AHX15" s="1013">
        <v>165</v>
      </c>
      <c r="AHY15" s="1023">
        <v>0</v>
      </c>
      <c r="AHZ15" s="1023">
        <v>0</v>
      </c>
      <c r="AIA15" s="1023">
        <v>0</v>
      </c>
      <c r="AIB15" s="1023">
        <v>0</v>
      </c>
      <c r="AIC15" s="1023">
        <v>0</v>
      </c>
      <c r="AID15" s="1023">
        <v>0</v>
      </c>
      <c r="AIE15" s="1023">
        <v>0</v>
      </c>
      <c r="AIF15" s="1013">
        <v>346.13892000019422</v>
      </c>
      <c r="AIG15" s="1013">
        <v>84.611736000047486</v>
      </c>
      <c r="AIH15" s="1013">
        <v>23.075928000012947</v>
      </c>
      <c r="AII15" s="1013">
        <v>0</v>
      </c>
      <c r="AIJ15" s="1013">
        <v>0</v>
      </c>
      <c r="AIK15" s="1013">
        <v>0</v>
      </c>
      <c r="AIL15" s="1013">
        <v>15.383952000008634</v>
      </c>
      <c r="AIM15" s="1013">
        <v>299.98706400016835</v>
      </c>
      <c r="AIN15" s="1016">
        <v>118.73854809101613</v>
      </c>
      <c r="AIO15" s="1016">
        <v>29.024978422248388</v>
      </c>
      <c r="AIP15" s="1017">
        <v>7.9159032060677417</v>
      </c>
      <c r="AIQ15" s="1017">
        <v>0</v>
      </c>
      <c r="AIR15" s="1017">
        <v>0</v>
      </c>
      <c r="AIS15" s="1017">
        <v>0</v>
      </c>
      <c r="AIT15" s="1017">
        <v>5.2772688040451614</v>
      </c>
      <c r="AIU15" s="1017">
        <v>102.90674167888065</v>
      </c>
      <c r="AIV15" s="1013">
        <v>39.587602491559686</v>
      </c>
      <c r="AIW15" s="1013">
        <v>9.6769694979368115</v>
      </c>
      <c r="AIX15" s="1013">
        <v>2.6391734994373119</v>
      </c>
      <c r="AIY15" s="1013">
        <v>0</v>
      </c>
      <c r="AIZ15" s="1013">
        <v>0</v>
      </c>
      <c r="AJA15" s="1013">
        <v>0</v>
      </c>
      <c r="AJB15" s="1013">
        <v>1.7594489996248748</v>
      </c>
      <c r="AJC15" s="1013">
        <v>34.309255492685061</v>
      </c>
      <c r="AJD15" s="1013">
        <v>129.6</v>
      </c>
      <c r="AJE15" s="1013">
        <v>96.93</v>
      </c>
      <c r="AJF15" s="1013">
        <v>80.78</v>
      </c>
      <c r="AJG15" s="1013">
        <v>0</v>
      </c>
      <c r="AJH15" s="1013">
        <v>7.54</v>
      </c>
      <c r="AJI15" s="1013">
        <v>9.15</v>
      </c>
      <c r="AJJ15" s="1013">
        <v>0</v>
      </c>
      <c r="AJK15" s="1013">
        <v>0</v>
      </c>
      <c r="AJL15" s="1013">
        <v>160</v>
      </c>
      <c r="AJM15" s="1013">
        <v>17.45</v>
      </c>
      <c r="AJN15" s="1013">
        <v>14.54</v>
      </c>
      <c r="AJO15" s="1013">
        <v>0</v>
      </c>
      <c r="AJP15" s="1013">
        <v>1.36</v>
      </c>
      <c r="AJQ15" s="1013">
        <v>1.65</v>
      </c>
      <c r="AJR15" s="1013">
        <v>0</v>
      </c>
      <c r="AJS15" s="1013">
        <v>7.2281313857890245E-2</v>
      </c>
      <c r="AJT15" s="1029" t="s">
        <v>858</v>
      </c>
      <c r="AJU15" s="988" t="s">
        <v>861</v>
      </c>
      <c r="AJV15" s="988" t="s">
        <v>860</v>
      </c>
      <c r="AJW15" s="988" t="s">
        <v>859</v>
      </c>
      <c r="AJX15" s="988" t="s">
        <v>870</v>
      </c>
      <c r="AJY15" s="988" t="s">
        <v>871</v>
      </c>
      <c r="AJZ15" s="988" t="s">
        <v>872</v>
      </c>
      <c r="AKA15" s="988" t="s">
        <v>873</v>
      </c>
      <c r="AKB15" s="988" t="s">
        <v>874</v>
      </c>
      <c r="AKC15" s="988" t="s">
        <v>875</v>
      </c>
      <c r="AKD15" s="1013">
        <v>64.752906976744171</v>
      </c>
      <c r="AKE15" s="1013">
        <v>0</v>
      </c>
      <c r="AKF15" s="1013">
        <v>0</v>
      </c>
      <c r="AKG15" s="1013">
        <v>0</v>
      </c>
      <c r="AKH15" s="1013">
        <v>0</v>
      </c>
      <c r="AKI15" s="1013">
        <v>0</v>
      </c>
      <c r="AKJ15" s="1013">
        <v>2.8779069767441854</v>
      </c>
      <c r="AKK15" s="1013">
        <v>56.119186046511622</v>
      </c>
      <c r="AKL15" s="1013">
        <v>301.8653372094717</v>
      </c>
      <c r="AKM15" s="1013">
        <v>0</v>
      </c>
      <c r="AKN15" s="1013">
        <v>0</v>
      </c>
      <c r="AKO15" s="1013">
        <v>0</v>
      </c>
      <c r="AKP15" s="1013">
        <v>0</v>
      </c>
      <c r="AKQ15" s="1013">
        <v>0</v>
      </c>
      <c r="AKR15" s="1013">
        <v>13.416237209309852</v>
      </c>
      <c r="AKS15" s="1013">
        <v>261.61662558154217</v>
      </c>
      <c r="AKT15" s="1016">
        <v>103.5510593817001</v>
      </c>
      <c r="AKU15" s="1016">
        <v>0</v>
      </c>
      <c r="AKV15" s="1017">
        <v>0</v>
      </c>
      <c r="AKW15" s="1017">
        <v>0</v>
      </c>
      <c r="AKX15" s="1017">
        <v>0</v>
      </c>
      <c r="AKY15" s="1017">
        <v>0</v>
      </c>
      <c r="AKZ15" s="1017">
        <v>4.6022693058533379</v>
      </c>
      <c r="ALA15" s="1017">
        <v>89.744251464140092</v>
      </c>
      <c r="ALB15" s="1013">
        <v>34.524071940313668</v>
      </c>
      <c r="ALC15" s="1013">
        <v>0</v>
      </c>
      <c r="ALD15" s="1013">
        <v>0</v>
      </c>
      <c r="ALE15" s="1013">
        <v>0</v>
      </c>
      <c r="ALF15" s="1013">
        <v>0</v>
      </c>
      <c r="ALG15" s="1013">
        <v>0</v>
      </c>
      <c r="ALH15" s="1013">
        <v>1.5344031973472743</v>
      </c>
      <c r="ALI15" s="1013">
        <v>29.92086234827185</v>
      </c>
      <c r="ALJ15" s="1013">
        <v>127.15116279069765</v>
      </c>
      <c r="ALK15" s="1013">
        <v>0</v>
      </c>
      <c r="ALL15" s="1013">
        <v>0</v>
      </c>
      <c r="ALM15" s="1013">
        <v>0</v>
      </c>
      <c r="ALN15" s="1013">
        <v>0</v>
      </c>
      <c r="ALO15" s="1013">
        <v>0</v>
      </c>
      <c r="ALP15" s="1013">
        <v>5.6511627906976738</v>
      </c>
      <c r="ALQ15" s="1013">
        <v>110.19767441860465</v>
      </c>
      <c r="ALR15" s="1013">
        <v>76.526162790697668</v>
      </c>
      <c r="ALS15" s="1013">
        <v>0</v>
      </c>
      <c r="ALT15" s="1013">
        <v>0</v>
      </c>
      <c r="ALU15" s="1013">
        <v>0</v>
      </c>
      <c r="ALV15" s="1013">
        <v>0</v>
      </c>
      <c r="ALW15" s="1013">
        <v>0</v>
      </c>
      <c r="ALX15" s="1013">
        <v>3.4011627906976738</v>
      </c>
      <c r="ALY15" s="1013">
        <v>66.322674418604649</v>
      </c>
    </row>
    <row r="16" spans="1:1013" ht="18" customHeight="1">
      <c r="A16" s="1259" t="s">
        <v>7</v>
      </c>
      <c r="B16" s="1260" t="s">
        <v>3063</v>
      </c>
      <c r="C16" s="1260">
        <v>2022</v>
      </c>
      <c r="D16" s="1269"/>
      <c r="E16" s="1270">
        <v>-0.6</v>
      </c>
      <c r="F16" s="1271">
        <v>-0.3</v>
      </c>
      <c r="G16" s="1271">
        <v>-0.3</v>
      </c>
      <c r="H16" s="76">
        <v>710.87615148413511</v>
      </c>
      <c r="I16" s="72">
        <v>-1.3</v>
      </c>
      <c r="J16" s="1271">
        <v>-6.1</v>
      </c>
      <c r="K16" s="1271">
        <v>-6.1</v>
      </c>
      <c r="L16" s="1265">
        <v>350</v>
      </c>
      <c r="M16" s="1262">
        <v>0</v>
      </c>
      <c r="N16" s="1262">
        <v>0</v>
      </c>
      <c r="O16" s="1262">
        <v>0</v>
      </c>
      <c r="P16" s="76">
        <v>2171.6667850440722</v>
      </c>
      <c r="Q16" s="75">
        <v>12</v>
      </c>
      <c r="R16" s="72">
        <v>0.6</v>
      </c>
      <c r="S16" s="72">
        <v>0.3</v>
      </c>
      <c r="T16" s="72">
        <v>0.3</v>
      </c>
      <c r="U16" s="1271">
        <v>4.2</v>
      </c>
      <c r="V16" s="1271">
        <v>0</v>
      </c>
      <c r="W16" s="1271">
        <v>92.4</v>
      </c>
      <c r="X16" s="1271">
        <v>3.4</v>
      </c>
      <c r="Y16" s="1272">
        <v>0</v>
      </c>
      <c r="Z16" s="75">
        <v>2</v>
      </c>
      <c r="AA16" s="72">
        <v>1.5</v>
      </c>
      <c r="AB16" s="75">
        <v>1</v>
      </c>
      <c r="AC16" s="72">
        <v>0.8</v>
      </c>
      <c r="AD16" s="72">
        <v>0.5</v>
      </c>
      <c r="AE16" s="390">
        <v>433.01922201480062</v>
      </c>
      <c r="AF16" s="390">
        <v>470.67306740739195</v>
      </c>
      <c r="AG16" s="390">
        <v>433.37222681535616</v>
      </c>
      <c r="AH16" s="390">
        <v>649.0581599547935</v>
      </c>
      <c r="AI16" s="400">
        <v>0.82209484106305364</v>
      </c>
      <c r="AJ16" s="390">
        <v>261.91600618637949</v>
      </c>
      <c r="AK16" s="390">
        <v>284.69131107215162</v>
      </c>
      <c r="AL16" s="390">
        <v>262.12952466968363</v>
      </c>
      <c r="AM16" s="390">
        <v>392.58931796849708</v>
      </c>
      <c r="AN16" s="400">
        <v>0.96717040125065135</v>
      </c>
      <c r="AO16" s="77">
        <v>0.2</v>
      </c>
      <c r="AP16" s="77">
        <v>0.3</v>
      </c>
      <c r="AQ16" s="77">
        <v>0.6</v>
      </c>
      <c r="AR16" s="77">
        <v>1</v>
      </c>
      <c r="AS16" s="77">
        <v>1.2</v>
      </c>
      <c r="AT16" s="77">
        <v>1.5</v>
      </c>
      <c r="AU16" s="77">
        <v>1.7</v>
      </c>
      <c r="AV16" s="1268">
        <v>0</v>
      </c>
      <c r="AW16" s="1268">
        <v>10</v>
      </c>
      <c r="AX16" s="1268">
        <v>20</v>
      </c>
      <c r="AY16" s="1268">
        <v>70</v>
      </c>
      <c r="AZ16" s="1268">
        <v>100</v>
      </c>
      <c r="BA16" s="1019">
        <v>10221.459910814488</v>
      </c>
      <c r="BB16" s="1031">
        <v>1.45</v>
      </c>
      <c r="BC16" s="988">
        <v>0.5</v>
      </c>
      <c r="BD16" s="988">
        <v>0.5</v>
      </c>
      <c r="BE16" s="988">
        <v>0.5</v>
      </c>
      <c r="BF16" s="1021">
        <v>0.19961001253043553</v>
      </c>
      <c r="BG16" s="1021">
        <v>0.18771489791382917</v>
      </c>
      <c r="BH16" s="1020">
        <v>3.7611188074745966E-4</v>
      </c>
      <c r="BI16" s="1020">
        <v>0.16599071003654553</v>
      </c>
      <c r="BJ16" s="1020">
        <v>0.33962902831495606</v>
      </c>
      <c r="BK16" s="1020">
        <v>58.709309395901634</v>
      </c>
      <c r="BL16" s="1020">
        <v>1.1223178521504196</v>
      </c>
      <c r="BM16" s="1020"/>
      <c r="BN16" s="1020">
        <v>39.43332476634049</v>
      </c>
      <c r="BO16" s="1020">
        <v>5.578992897753985E-2</v>
      </c>
      <c r="BP16" s="1020"/>
      <c r="BQ16" s="1020"/>
      <c r="BR16" s="1020"/>
      <c r="BS16" s="1020"/>
      <c r="BT16" s="1020"/>
      <c r="BU16" s="1020"/>
      <c r="BV16" s="1020">
        <v>0.1732622063976631</v>
      </c>
      <c r="BW16" s="993">
        <v>261.13475999999997</v>
      </c>
      <c r="BX16" s="993">
        <v>96.5</v>
      </c>
      <c r="BY16" s="993">
        <v>63.215999999999994</v>
      </c>
      <c r="BZ16" s="993">
        <v>233.35949490734063</v>
      </c>
      <c r="CA16" s="993">
        <v>157.40783999999999</v>
      </c>
      <c r="CB16" s="990"/>
      <c r="CC16" s="993">
        <v>256.20808011776955</v>
      </c>
      <c r="CD16" s="993">
        <v>165.17663999999999</v>
      </c>
      <c r="CE16" s="990"/>
      <c r="CF16" s="989">
        <v>0</v>
      </c>
      <c r="CG16" s="993">
        <v>6.585</v>
      </c>
      <c r="CH16" s="993">
        <v>1.3169999999999999</v>
      </c>
      <c r="CI16" s="993">
        <v>38</v>
      </c>
      <c r="CJ16" s="993">
        <v>225.83915999999996</v>
      </c>
      <c r="CK16" s="990">
        <v>0.2</v>
      </c>
      <c r="CL16" s="993">
        <v>175.08124000000001</v>
      </c>
      <c r="CM16" s="993">
        <v>60.4</v>
      </c>
      <c r="CN16" s="993">
        <v>42.384</v>
      </c>
      <c r="CO16" s="993">
        <v>156.45894761061641</v>
      </c>
      <c r="CP16" s="993">
        <v>105.53616</v>
      </c>
      <c r="CQ16" s="990"/>
      <c r="CR16" s="993">
        <v>159.24945066654416</v>
      </c>
      <c r="CS16" s="993">
        <v>102.66767999999999</v>
      </c>
      <c r="CT16" s="990"/>
      <c r="CU16" s="993">
        <v>0</v>
      </c>
      <c r="CV16" s="993">
        <v>4.415</v>
      </c>
      <c r="CW16" s="993">
        <v>0.88300000000000001</v>
      </c>
      <c r="CX16" s="993">
        <v>27</v>
      </c>
      <c r="CY16" s="993">
        <v>151.41683999999998</v>
      </c>
      <c r="CZ16" s="990">
        <v>0.2</v>
      </c>
      <c r="DA16" s="988">
        <v>0.3</v>
      </c>
      <c r="DB16" s="988">
        <v>0.7</v>
      </c>
      <c r="DC16" s="988">
        <v>1.2</v>
      </c>
      <c r="DD16" s="988">
        <v>1.2</v>
      </c>
      <c r="DE16" s="1022">
        <v>3</v>
      </c>
      <c r="DF16" s="995">
        <v>0</v>
      </c>
      <c r="DG16" s="995">
        <v>10</v>
      </c>
      <c r="DH16" s="995">
        <v>20</v>
      </c>
      <c r="DI16" s="995">
        <v>70</v>
      </c>
      <c r="DJ16" s="995">
        <v>100</v>
      </c>
      <c r="DK16" s="1017"/>
      <c r="DL16" s="1022">
        <v>18</v>
      </c>
      <c r="DM16" s="989">
        <v>12</v>
      </c>
      <c r="DN16" s="988">
        <v>2.4</v>
      </c>
      <c r="DO16" s="988">
        <v>1.2</v>
      </c>
      <c r="DP16" s="988">
        <v>1.2</v>
      </c>
      <c r="DQ16" s="1032" t="s">
        <v>643</v>
      </c>
      <c r="DR16" s="988" t="s">
        <v>640</v>
      </c>
      <c r="DS16" s="988" t="s">
        <v>640</v>
      </c>
      <c r="DT16" s="988" t="s">
        <v>640</v>
      </c>
      <c r="DU16" s="988" t="s">
        <v>640</v>
      </c>
      <c r="DV16" s="988" t="s">
        <v>640</v>
      </c>
      <c r="DW16" s="988" t="s">
        <v>640</v>
      </c>
      <c r="DX16" s="997">
        <v>0</v>
      </c>
      <c r="DY16" s="997">
        <v>0</v>
      </c>
      <c r="DZ16" s="997">
        <v>0</v>
      </c>
      <c r="EA16" s="997">
        <v>0</v>
      </c>
      <c r="EB16" s="997">
        <v>0</v>
      </c>
      <c r="EC16" s="997">
        <v>0</v>
      </c>
      <c r="ED16" s="997">
        <v>0</v>
      </c>
      <c r="EE16" s="1022">
        <v>6.8468100000000032E-2</v>
      </c>
      <c r="EF16" s="1022">
        <v>18</v>
      </c>
      <c r="EG16" s="991">
        <v>5</v>
      </c>
      <c r="EH16" s="1023">
        <v>2.4</v>
      </c>
      <c r="EI16" s="1023">
        <v>1.2</v>
      </c>
      <c r="EJ16" s="1023">
        <v>1.2</v>
      </c>
      <c r="EK16" s="987" t="s">
        <v>685</v>
      </c>
      <c r="EL16" s="988" t="s">
        <v>640</v>
      </c>
      <c r="EM16" s="988" t="s">
        <v>640</v>
      </c>
      <c r="EN16" s="988" t="s">
        <v>640</v>
      </c>
      <c r="EO16" s="988" t="s">
        <v>640</v>
      </c>
      <c r="EP16" s="988" t="s">
        <v>640</v>
      </c>
      <c r="EQ16" s="988" t="s">
        <v>640</v>
      </c>
      <c r="ER16" s="988" t="s">
        <v>640</v>
      </c>
      <c r="ES16" s="988" t="s">
        <v>640</v>
      </c>
      <c r="ET16" s="988" t="s">
        <v>640</v>
      </c>
      <c r="EU16" s="988" t="s">
        <v>640</v>
      </c>
      <c r="EV16" s="988" t="s">
        <v>640</v>
      </c>
      <c r="EW16" s="988" t="s">
        <v>640</v>
      </c>
      <c r="EX16" s="988" t="s">
        <v>640</v>
      </c>
      <c r="EY16" s="988" t="s">
        <v>640</v>
      </c>
      <c r="EZ16" s="988" t="s">
        <v>640</v>
      </c>
      <c r="FA16" s="988" t="s">
        <v>640</v>
      </c>
      <c r="FB16" s="988" t="s">
        <v>640</v>
      </c>
      <c r="FC16" s="988" t="s">
        <v>640</v>
      </c>
      <c r="FD16" s="988" t="s">
        <v>640</v>
      </c>
      <c r="FE16" s="988" t="s">
        <v>640</v>
      </c>
      <c r="FF16" s="988" t="s">
        <v>640</v>
      </c>
      <c r="FG16" s="988" t="s">
        <v>640</v>
      </c>
      <c r="FH16" s="988" t="s">
        <v>640</v>
      </c>
      <c r="FI16" s="988" t="s">
        <v>640</v>
      </c>
      <c r="FJ16" s="988" t="s">
        <v>640</v>
      </c>
      <c r="FK16" s="988" t="s">
        <v>640</v>
      </c>
      <c r="FL16" s="988" t="s">
        <v>640</v>
      </c>
      <c r="FM16" s="988" t="s">
        <v>640</v>
      </c>
      <c r="FN16" s="988" t="s">
        <v>640</v>
      </c>
      <c r="FO16" s="988" t="s">
        <v>640</v>
      </c>
      <c r="FP16" s="988" t="s">
        <v>640</v>
      </c>
      <c r="FQ16" s="988" t="s">
        <v>640</v>
      </c>
      <c r="FR16" s="988" t="s">
        <v>640</v>
      </c>
      <c r="FS16" s="988" t="s">
        <v>640</v>
      </c>
      <c r="FT16" s="988" t="s">
        <v>640</v>
      </c>
      <c r="FU16" s="988" t="s">
        <v>640</v>
      </c>
      <c r="FV16" s="988" t="s">
        <v>640</v>
      </c>
      <c r="FW16" s="988" t="s">
        <v>640</v>
      </c>
      <c r="FX16" s="988" t="s">
        <v>640</v>
      </c>
      <c r="FY16" s="988" t="s">
        <v>640</v>
      </c>
      <c r="FZ16" s="988" t="s">
        <v>640</v>
      </c>
      <c r="GA16" s="988" t="s">
        <v>640</v>
      </c>
      <c r="GB16" s="988" t="s">
        <v>640</v>
      </c>
      <c r="GC16" s="988" t="s">
        <v>640</v>
      </c>
      <c r="GD16" s="988" t="s">
        <v>640</v>
      </c>
      <c r="GE16" s="988" t="s">
        <v>640</v>
      </c>
      <c r="GF16" s="988" t="s">
        <v>640</v>
      </c>
      <c r="GG16" s="988" t="s">
        <v>640</v>
      </c>
      <c r="GH16" s="988" t="s">
        <v>640</v>
      </c>
      <c r="GI16" s="988" t="s">
        <v>640</v>
      </c>
      <c r="GJ16" s="988" t="s">
        <v>640</v>
      </c>
      <c r="GK16" s="988" t="s">
        <v>640</v>
      </c>
      <c r="GL16" s="988" t="s">
        <v>640</v>
      </c>
      <c r="GM16" s="988" t="s">
        <v>640</v>
      </c>
      <c r="GN16" s="988" t="s">
        <v>640</v>
      </c>
      <c r="GO16" s="988" t="s">
        <v>640</v>
      </c>
      <c r="GP16" s="988" t="s">
        <v>640</v>
      </c>
      <c r="GQ16" s="997">
        <v>68.468100000000035</v>
      </c>
      <c r="GR16" s="997">
        <v>0</v>
      </c>
      <c r="GS16" s="997">
        <v>0</v>
      </c>
      <c r="GT16" s="997">
        <v>0</v>
      </c>
      <c r="GU16" s="997">
        <v>0</v>
      </c>
      <c r="GV16" s="997">
        <v>0</v>
      </c>
      <c r="GW16" s="997">
        <v>0</v>
      </c>
      <c r="GX16" s="997">
        <v>0</v>
      </c>
      <c r="GY16" s="997">
        <v>0</v>
      </c>
      <c r="GZ16" s="997">
        <v>0</v>
      </c>
      <c r="HA16" s="997">
        <v>0</v>
      </c>
      <c r="HB16" s="997">
        <v>0</v>
      </c>
      <c r="HC16" s="997">
        <v>0</v>
      </c>
      <c r="HD16" s="997">
        <v>0</v>
      </c>
      <c r="HE16" s="997">
        <v>0</v>
      </c>
      <c r="HF16" s="997">
        <v>0</v>
      </c>
      <c r="HG16" s="997">
        <v>0</v>
      </c>
      <c r="HH16" s="997">
        <v>0</v>
      </c>
      <c r="HI16" s="997">
        <v>0</v>
      </c>
      <c r="HJ16" s="997">
        <v>0</v>
      </c>
      <c r="HK16" s="997">
        <v>0</v>
      </c>
      <c r="HL16" s="997">
        <v>0</v>
      </c>
      <c r="HM16" s="997">
        <v>0</v>
      </c>
      <c r="HN16" s="997">
        <v>0</v>
      </c>
      <c r="HO16" s="997">
        <v>0</v>
      </c>
      <c r="HP16" s="997">
        <v>0</v>
      </c>
      <c r="HQ16" s="997">
        <v>0</v>
      </c>
      <c r="HR16" s="997">
        <v>0</v>
      </c>
      <c r="HS16" s="997">
        <v>0</v>
      </c>
      <c r="HT16" s="997">
        <v>0</v>
      </c>
      <c r="HU16" s="997">
        <v>0</v>
      </c>
      <c r="HV16" s="997">
        <v>0</v>
      </c>
      <c r="HW16" s="997">
        <v>0</v>
      </c>
      <c r="HX16" s="997">
        <v>0</v>
      </c>
      <c r="HY16" s="997">
        <v>0</v>
      </c>
      <c r="HZ16" s="997">
        <v>0</v>
      </c>
      <c r="IA16" s="997">
        <v>0</v>
      </c>
      <c r="IB16" s="997">
        <v>0</v>
      </c>
      <c r="IC16" s="997">
        <v>0</v>
      </c>
      <c r="ID16" s="997">
        <v>0</v>
      </c>
      <c r="IE16" s="997">
        <v>0</v>
      </c>
      <c r="IF16" s="997">
        <v>0</v>
      </c>
      <c r="IG16" s="997">
        <v>0</v>
      </c>
      <c r="IH16" s="997">
        <v>0</v>
      </c>
      <c r="II16" s="997">
        <v>0</v>
      </c>
      <c r="IJ16" s="997">
        <v>0</v>
      </c>
      <c r="IK16" s="997">
        <v>0</v>
      </c>
      <c r="IL16" s="997">
        <v>0</v>
      </c>
      <c r="IM16" s="997">
        <v>0</v>
      </c>
      <c r="IN16" s="997">
        <v>0</v>
      </c>
      <c r="IO16" s="997">
        <v>0</v>
      </c>
      <c r="IP16" s="997">
        <v>0</v>
      </c>
      <c r="IQ16" s="997">
        <v>0</v>
      </c>
      <c r="IR16" s="997">
        <v>0</v>
      </c>
      <c r="IS16" s="997">
        <v>0</v>
      </c>
      <c r="IT16" s="997">
        <v>0</v>
      </c>
      <c r="IU16" s="997">
        <v>0</v>
      </c>
      <c r="IV16" s="997">
        <v>0</v>
      </c>
      <c r="IW16" s="1019">
        <v>313.51780510470144</v>
      </c>
      <c r="IX16" s="1022">
        <v>179.9</v>
      </c>
      <c r="IY16" s="998">
        <v>2647.0800000000199</v>
      </c>
      <c r="IZ16" s="429">
        <v>12.64</v>
      </c>
      <c r="JA16" s="1022">
        <v>50</v>
      </c>
      <c r="JB16" s="988">
        <v>2.4</v>
      </c>
      <c r="JC16" s="988">
        <v>1.2</v>
      </c>
      <c r="JD16" s="988">
        <v>1.2</v>
      </c>
      <c r="JE16" s="998">
        <v>2</v>
      </c>
      <c r="JF16" s="1023">
        <v>1.5</v>
      </c>
      <c r="JG16" s="1023">
        <v>0.7</v>
      </c>
      <c r="JH16" s="1023">
        <v>0.7</v>
      </c>
      <c r="JI16" s="1023">
        <v>0.5</v>
      </c>
      <c r="JJ16" s="1019">
        <v>117.28496305452052</v>
      </c>
      <c r="JK16" s="998">
        <v>2647.0800000000199</v>
      </c>
      <c r="JL16" s="429">
        <v>12.64</v>
      </c>
      <c r="JM16" s="1022">
        <v>50</v>
      </c>
      <c r="JN16" s="988">
        <v>2.2000000000000002</v>
      </c>
      <c r="JO16" s="988">
        <v>1.3</v>
      </c>
      <c r="JP16" s="988">
        <v>1.3</v>
      </c>
      <c r="JQ16" s="998">
        <v>2</v>
      </c>
      <c r="JR16" s="998">
        <v>2</v>
      </c>
      <c r="JS16" s="998">
        <v>1</v>
      </c>
      <c r="JT16" s="998">
        <v>1</v>
      </c>
      <c r="JU16" s="1023">
        <v>0.5</v>
      </c>
      <c r="JV16" s="1004">
        <v>2000</v>
      </c>
      <c r="JW16" s="1019">
        <v>162.58874371836629</v>
      </c>
      <c r="JX16" s="1019">
        <v>500</v>
      </c>
      <c r="JY16" s="1022">
        <v>1.3</v>
      </c>
      <c r="JZ16" s="1022">
        <v>0.9</v>
      </c>
      <c r="KA16" s="1022">
        <v>0.9</v>
      </c>
      <c r="KB16" s="1023">
        <v>2</v>
      </c>
      <c r="KC16" s="1023">
        <v>1.5</v>
      </c>
      <c r="KD16" s="1023">
        <v>0.5</v>
      </c>
      <c r="KE16" s="1023">
        <v>1</v>
      </c>
      <c r="KF16" s="1023">
        <v>0.5</v>
      </c>
      <c r="KG16" s="997">
        <v>15.469266358228683</v>
      </c>
      <c r="KH16" s="997">
        <v>0</v>
      </c>
      <c r="KI16" s="997">
        <v>84.136373650583835</v>
      </c>
      <c r="KJ16" s="997"/>
      <c r="KK16" s="997">
        <v>2.3132848645076007E-2</v>
      </c>
      <c r="KL16" s="997">
        <v>0.37122714254241024</v>
      </c>
      <c r="KM16" s="997"/>
      <c r="KN16" s="997"/>
      <c r="KO16" s="997"/>
      <c r="KP16" s="1006">
        <v>580</v>
      </c>
      <c r="KQ16" s="1006">
        <v>580</v>
      </c>
      <c r="KR16" s="1006">
        <v>580</v>
      </c>
      <c r="KS16" s="1006">
        <v>580</v>
      </c>
      <c r="KT16" s="1006"/>
      <c r="KU16" s="1006">
        <v>580</v>
      </c>
      <c r="KV16" s="1006">
        <v>580</v>
      </c>
      <c r="KW16" s="1006">
        <v>580</v>
      </c>
      <c r="KX16" s="1006">
        <v>580</v>
      </c>
      <c r="KY16" s="993">
        <v>370</v>
      </c>
      <c r="KZ16" s="993">
        <v>370</v>
      </c>
      <c r="LA16" s="993">
        <v>370</v>
      </c>
      <c r="LB16" s="993">
        <v>370</v>
      </c>
      <c r="LC16" s="993"/>
      <c r="LD16" s="993">
        <v>370</v>
      </c>
      <c r="LE16" s="993">
        <v>370</v>
      </c>
      <c r="LF16" s="993">
        <v>370</v>
      </c>
      <c r="LG16" s="993">
        <v>370</v>
      </c>
      <c r="LH16" s="995">
        <v>0</v>
      </c>
      <c r="LI16" s="995">
        <v>10</v>
      </c>
      <c r="LJ16" s="995">
        <v>20</v>
      </c>
      <c r="LK16" s="995">
        <v>70</v>
      </c>
      <c r="LL16" s="995">
        <v>100</v>
      </c>
      <c r="LM16" s="1004">
        <v>1000</v>
      </c>
      <c r="LN16" s="1019"/>
      <c r="LO16" s="988">
        <v>29</v>
      </c>
      <c r="LP16" s="988">
        <v>1.2</v>
      </c>
      <c r="LQ16" s="988">
        <v>0.9</v>
      </c>
      <c r="LR16" s="988">
        <v>0.9</v>
      </c>
      <c r="LS16" s="1023">
        <v>2</v>
      </c>
      <c r="LT16" s="1023">
        <v>1</v>
      </c>
      <c r="LU16" s="1023">
        <v>0.5</v>
      </c>
      <c r="LV16" s="1023">
        <v>0.7</v>
      </c>
      <c r="LW16" s="1023">
        <v>0.2</v>
      </c>
      <c r="LX16" s="1004">
        <v>1500</v>
      </c>
      <c r="LY16" s="1008">
        <v>500</v>
      </c>
      <c r="LZ16" s="1008">
        <v>1</v>
      </c>
      <c r="MA16" s="997" t="s">
        <v>2914</v>
      </c>
      <c r="MB16" s="1023" t="s">
        <v>905</v>
      </c>
      <c r="MC16" s="1023" t="s">
        <v>2932</v>
      </c>
      <c r="MD16" s="1024" t="s">
        <v>906</v>
      </c>
      <c r="ME16" s="1009">
        <v>0.5</v>
      </c>
      <c r="MF16" s="1010">
        <v>0.75</v>
      </c>
      <c r="MG16" s="1010">
        <v>1</v>
      </c>
      <c r="MH16" s="1010">
        <v>2</v>
      </c>
      <c r="MI16" s="1010">
        <v>0.5</v>
      </c>
      <c r="MJ16" s="1010">
        <v>0.75</v>
      </c>
      <c r="MK16" s="1010">
        <v>1</v>
      </c>
      <c r="ML16" s="1010">
        <v>2</v>
      </c>
      <c r="MM16" s="1010">
        <v>0</v>
      </c>
      <c r="MN16" s="1010">
        <v>0.5</v>
      </c>
      <c r="MO16" s="1010">
        <v>1</v>
      </c>
      <c r="MP16" s="1010">
        <v>2</v>
      </c>
      <c r="MQ16" s="1010">
        <v>0</v>
      </c>
      <c r="MR16" s="1010">
        <v>0.5</v>
      </c>
      <c r="MS16" s="1010">
        <v>1</v>
      </c>
      <c r="MT16" s="1010">
        <v>2</v>
      </c>
      <c r="MU16" s="1001">
        <v>0</v>
      </c>
      <c r="MV16" s="1001">
        <v>0</v>
      </c>
      <c r="MW16" s="1001">
        <v>0</v>
      </c>
      <c r="MX16" s="1025">
        <v>0</v>
      </c>
      <c r="MY16" s="1025">
        <v>0</v>
      </c>
      <c r="MZ16" s="1025">
        <v>0</v>
      </c>
      <c r="NA16" s="1025">
        <v>0</v>
      </c>
      <c r="NB16" s="1025">
        <v>0</v>
      </c>
      <c r="NC16" s="1025">
        <v>0</v>
      </c>
      <c r="ND16" s="1025">
        <v>0</v>
      </c>
      <c r="NE16" s="1025">
        <v>0</v>
      </c>
      <c r="NF16" s="1025">
        <v>0</v>
      </c>
      <c r="NG16" s="1025">
        <v>0</v>
      </c>
      <c r="NH16" s="1025">
        <v>0</v>
      </c>
      <c r="NI16" s="1025">
        <v>0</v>
      </c>
      <c r="NJ16" s="1025">
        <v>0</v>
      </c>
      <c r="NK16" s="1025">
        <v>0</v>
      </c>
      <c r="NL16" s="1025">
        <v>0</v>
      </c>
      <c r="NM16" s="1025">
        <v>0</v>
      </c>
      <c r="NN16" s="1025">
        <v>0</v>
      </c>
      <c r="NO16" s="1025">
        <v>0</v>
      </c>
      <c r="NP16" s="1025">
        <v>0</v>
      </c>
      <c r="NQ16" s="1025">
        <v>0</v>
      </c>
      <c r="NR16" s="1025">
        <v>0</v>
      </c>
      <c r="NS16" s="1025">
        <v>0</v>
      </c>
      <c r="NT16" s="1025">
        <v>0</v>
      </c>
      <c r="NU16" s="1025">
        <v>0</v>
      </c>
      <c r="NV16" s="1025">
        <v>0.10937980844292</v>
      </c>
      <c r="NW16" s="1025">
        <v>0</v>
      </c>
      <c r="NX16" s="1025">
        <v>2.7031715756539999E-2</v>
      </c>
      <c r="NY16" s="1025">
        <v>0.3</v>
      </c>
      <c r="NZ16" s="1025">
        <v>0.16688524590164</v>
      </c>
      <c r="OA16" s="1025">
        <v>0</v>
      </c>
      <c r="OB16" s="1025">
        <v>0.42149925475508998</v>
      </c>
      <c r="OC16" s="1025">
        <v>0</v>
      </c>
      <c r="OD16" s="1025">
        <v>1.0180191992329999E-2</v>
      </c>
      <c r="OE16" s="1025">
        <v>0.3</v>
      </c>
      <c r="OF16" s="1025">
        <v>-5.5350978135789999E-2</v>
      </c>
      <c r="OG16" s="1025">
        <v>-0.34</v>
      </c>
      <c r="OH16" s="1025">
        <v>0.56684831312209005</v>
      </c>
      <c r="OI16" s="1025">
        <v>0</v>
      </c>
      <c r="OJ16" s="1025">
        <v>1.0076614454139999E-2</v>
      </c>
      <c r="OK16" s="1025">
        <v>0.3</v>
      </c>
      <c r="OL16" s="1025">
        <v>0</v>
      </c>
      <c r="OM16" s="1025">
        <v>-0.34</v>
      </c>
      <c r="ON16" s="1025">
        <v>0.16223105087069001</v>
      </c>
      <c r="OO16" s="1025">
        <v>0</v>
      </c>
      <c r="OP16" s="1025">
        <v>1.9515924315900001E-2</v>
      </c>
      <c r="OQ16" s="1025">
        <v>0.3</v>
      </c>
      <c r="OR16" s="1025">
        <v>0.17</v>
      </c>
      <c r="OS16" s="1025">
        <v>-0.34</v>
      </c>
      <c r="OT16" s="1025">
        <v>0.52774741333113995</v>
      </c>
      <c r="OU16" s="1025">
        <v>0</v>
      </c>
      <c r="OV16" s="1025">
        <v>1.842292601405E-2</v>
      </c>
      <c r="OW16" s="1025">
        <v>0.3</v>
      </c>
      <c r="OX16" s="1025">
        <v>0.17</v>
      </c>
      <c r="OY16" s="1025">
        <v>0</v>
      </c>
      <c r="OZ16" s="1025">
        <v>-54.46</v>
      </c>
      <c r="PA16" s="1025">
        <v>-12.83</v>
      </c>
      <c r="PB16" s="1025">
        <v>-1.55277814767107</v>
      </c>
      <c r="PC16" s="1025">
        <v>0</v>
      </c>
      <c r="PD16" s="1025">
        <v>-0.76925515055466998</v>
      </c>
      <c r="PE16" s="1025">
        <v>0</v>
      </c>
      <c r="PF16" s="1025">
        <v>-7.725532516177E-2</v>
      </c>
      <c r="PG16" s="1025">
        <v>0</v>
      </c>
      <c r="PH16" s="1025">
        <v>-1.6797767250400001E-3</v>
      </c>
      <c r="PI16" s="1025">
        <v>0</v>
      </c>
      <c r="PJ16" s="1025">
        <v>-0.42226697353280002</v>
      </c>
      <c r="PK16" s="1025">
        <v>-6.1</v>
      </c>
      <c r="PL16" s="1025">
        <v>0</v>
      </c>
      <c r="PM16" s="1025">
        <v>0</v>
      </c>
      <c r="PN16" s="1025">
        <v>0</v>
      </c>
      <c r="PO16" s="1025">
        <v>0</v>
      </c>
      <c r="PP16" s="1025">
        <v>0</v>
      </c>
      <c r="PQ16" s="1025">
        <v>0</v>
      </c>
      <c r="PR16" s="1025">
        <v>0</v>
      </c>
      <c r="PS16" s="1025">
        <v>0</v>
      </c>
      <c r="PT16" s="1025">
        <v>0</v>
      </c>
      <c r="PU16" s="1025">
        <v>0</v>
      </c>
      <c r="PV16" s="1025">
        <v>0</v>
      </c>
      <c r="PW16" s="1025">
        <v>0</v>
      </c>
      <c r="PX16" s="1025">
        <v>0</v>
      </c>
      <c r="PY16" s="1025">
        <v>0</v>
      </c>
      <c r="PZ16" s="1025">
        <v>0</v>
      </c>
      <c r="QA16" s="1025">
        <v>0</v>
      </c>
      <c r="QB16" s="1025">
        <v>0</v>
      </c>
      <c r="QC16" s="1025">
        <v>0</v>
      </c>
      <c r="QD16" s="1025">
        <v>-54.46</v>
      </c>
      <c r="QE16" s="1025">
        <v>-12.83</v>
      </c>
      <c r="QF16" s="1025">
        <v>-0.82619150886176995</v>
      </c>
      <c r="QG16" s="1025">
        <v>0</v>
      </c>
      <c r="QH16" s="1025">
        <v>7.9714738510300004E-2</v>
      </c>
      <c r="QI16" s="1025">
        <v>-1.42836315692079</v>
      </c>
      <c r="QJ16" s="1025">
        <v>0.17465237230144001</v>
      </c>
      <c r="QK16" s="1025">
        <v>0</v>
      </c>
      <c r="QL16" s="1025">
        <v>2.1597436643E-3</v>
      </c>
      <c r="QM16" s="1025">
        <v>0</v>
      </c>
      <c r="QN16" s="1025">
        <v>0.56300546448086997</v>
      </c>
      <c r="QO16" s="1025">
        <v>-6.1</v>
      </c>
      <c r="QP16" s="1025">
        <v>0.16531753767629001</v>
      </c>
      <c r="QQ16" s="1025">
        <v>0</v>
      </c>
      <c r="QR16" s="1025">
        <v>2.0443095040100002E-3</v>
      </c>
      <c r="QS16" s="1025">
        <v>0</v>
      </c>
      <c r="QT16" s="1025">
        <v>0</v>
      </c>
      <c r="QU16" s="1025">
        <v>-1.42836315692077</v>
      </c>
      <c r="QV16" s="1025">
        <v>0.17484326940113001</v>
      </c>
      <c r="QW16" s="1025">
        <v>0</v>
      </c>
      <c r="QX16" s="1025">
        <v>2.1621042895599999E-3</v>
      </c>
      <c r="QY16" s="1025">
        <v>0</v>
      </c>
      <c r="QZ16" s="1025">
        <v>0.11</v>
      </c>
      <c r="RA16" s="1025">
        <v>0</v>
      </c>
      <c r="RB16" s="1025">
        <v>0.17484326940113001</v>
      </c>
      <c r="RC16" s="1025">
        <v>0</v>
      </c>
      <c r="RD16" s="1025">
        <v>2.1621042895599999E-3</v>
      </c>
      <c r="RE16" s="1025">
        <v>0</v>
      </c>
      <c r="RF16" s="1025">
        <v>0.11</v>
      </c>
      <c r="RG16" s="1025">
        <v>0</v>
      </c>
      <c r="RH16" s="1011">
        <v>0</v>
      </c>
      <c r="RI16" s="1026">
        <v>0</v>
      </c>
      <c r="RJ16" s="1026">
        <v>0</v>
      </c>
      <c r="RK16" s="1026">
        <v>0</v>
      </c>
      <c r="RL16" s="1026">
        <v>0</v>
      </c>
      <c r="RM16" s="1011">
        <v>-1.7410000000000001</v>
      </c>
      <c r="RN16" s="1011">
        <v>0</v>
      </c>
      <c r="RO16" s="1011">
        <v>0</v>
      </c>
      <c r="RP16" s="1011">
        <v>0</v>
      </c>
      <c r="RQ16" s="1011">
        <v>0</v>
      </c>
      <c r="RR16" s="1011">
        <v>0</v>
      </c>
      <c r="RS16" s="1011">
        <v>0</v>
      </c>
      <c r="RT16" s="1011">
        <v>0</v>
      </c>
      <c r="RU16" s="1011">
        <v>0</v>
      </c>
      <c r="RV16" s="1011">
        <v>0</v>
      </c>
      <c r="RW16" s="1011">
        <v>0</v>
      </c>
      <c r="RX16" s="1011">
        <v>0</v>
      </c>
      <c r="RY16" s="1011">
        <v>0</v>
      </c>
      <c r="RZ16" s="1026">
        <v>0</v>
      </c>
      <c r="SA16" s="1026">
        <v>0</v>
      </c>
      <c r="SB16" s="1026">
        <v>0</v>
      </c>
      <c r="SC16" s="1026">
        <v>0</v>
      </c>
      <c r="SD16" s="1026">
        <v>0</v>
      </c>
      <c r="SE16" s="1026">
        <v>0</v>
      </c>
      <c r="SF16" s="1026">
        <v>0</v>
      </c>
      <c r="SG16" s="1026">
        <v>0</v>
      </c>
      <c r="SH16" s="1026">
        <v>0</v>
      </c>
      <c r="SI16" s="1026">
        <v>0</v>
      </c>
      <c r="SJ16" s="1026">
        <v>0</v>
      </c>
      <c r="SK16" s="1026">
        <v>0</v>
      </c>
      <c r="SL16" s="1025">
        <v>-54.46</v>
      </c>
      <c r="SM16" s="1025">
        <v>-12.83</v>
      </c>
      <c r="SN16" s="1025">
        <v>-0.57668302196677002</v>
      </c>
      <c r="SO16" s="1025">
        <v>0</v>
      </c>
      <c r="SP16" s="1025">
        <v>-1.62013917282592</v>
      </c>
      <c r="SQ16" s="1025">
        <v>-2.25</v>
      </c>
      <c r="SR16" s="1025">
        <v>0</v>
      </c>
      <c r="SS16" s="1025">
        <v>0</v>
      </c>
      <c r="ST16" s="1025">
        <v>0</v>
      </c>
      <c r="SU16" s="1025">
        <v>0</v>
      </c>
      <c r="SV16" s="1025">
        <v>-2.67</v>
      </c>
      <c r="SW16" s="1025">
        <v>-6.1</v>
      </c>
      <c r="SX16" s="1025">
        <v>-0.10990500217065</v>
      </c>
      <c r="SY16" s="1025">
        <v>0</v>
      </c>
      <c r="SZ16" s="1025">
        <v>-2.3896846492500001E-3</v>
      </c>
      <c r="TA16" s="1025">
        <v>0</v>
      </c>
      <c r="TB16" s="1025">
        <v>-0.55000000000000004</v>
      </c>
      <c r="TC16" s="1025">
        <v>0</v>
      </c>
      <c r="TD16" s="1025">
        <v>0</v>
      </c>
      <c r="TE16" s="1025">
        <v>0</v>
      </c>
      <c r="TF16" s="1025">
        <v>0</v>
      </c>
      <c r="TG16" s="1025">
        <v>0</v>
      </c>
      <c r="TH16" s="1025">
        <v>0</v>
      </c>
      <c r="TI16" s="1025">
        <v>0</v>
      </c>
      <c r="TJ16" s="1025">
        <v>0</v>
      </c>
      <c r="TK16" s="1025">
        <v>0</v>
      </c>
      <c r="TL16" s="1025">
        <v>0</v>
      </c>
      <c r="TM16" s="1025">
        <v>0</v>
      </c>
      <c r="TN16" s="1025">
        <v>-1.1299999999999999</v>
      </c>
      <c r="TO16" s="1025">
        <v>0</v>
      </c>
      <c r="TP16" s="1025">
        <v>-54.46</v>
      </c>
      <c r="TQ16" s="1025">
        <v>-12.83</v>
      </c>
      <c r="TR16" s="1025">
        <v>-0.61265961740119002</v>
      </c>
      <c r="TS16" s="1025">
        <v>0</v>
      </c>
      <c r="TT16" s="1025">
        <v>-1.62013917282592</v>
      </c>
      <c r="TU16" s="1025">
        <v>0</v>
      </c>
      <c r="TV16" s="1025">
        <v>0</v>
      </c>
      <c r="TW16" s="1025">
        <v>0</v>
      </c>
      <c r="TX16" s="1025">
        <v>0</v>
      </c>
      <c r="TY16" s="1025">
        <v>0</v>
      </c>
      <c r="TZ16" s="1025">
        <v>-2.67</v>
      </c>
      <c r="UA16" s="1025">
        <v>0</v>
      </c>
      <c r="UB16" s="1025">
        <v>0</v>
      </c>
      <c r="UC16" s="1025">
        <v>0</v>
      </c>
      <c r="UD16" s="1025">
        <v>0</v>
      </c>
      <c r="UE16" s="1025">
        <v>0</v>
      </c>
      <c r="UF16" s="1025">
        <v>-0.55000000000000004</v>
      </c>
      <c r="UG16" s="1025">
        <v>0</v>
      </c>
      <c r="UH16" s="1025">
        <v>0</v>
      </c>
      <c r="UI16" s="1025">
        <v>0</v>
      </c>
      <c r="UJ16" s="1025">
        <v>0</v>
      </c>
      <c r="UK16" s="1025">
        <v>0</v>
      </c>
      <c r="UL16" s="1025">
        <v>0</v>
      </c>
      <c r="UM16" s="1025">
        <v>0</v>
      </c>
      <c r="UN16" s="1025">
        <v>0</v>
      </c>
      <c r="UO16" s="1025">
        <v>0</v>
      </c>
      <c r="UP16" s="1025">
        <v>0</v>
      </c>
      <c r="UQ16" s="1025">
        <v>0</v>
      </c>
      <c r="UR16" s="1025">
        <v>0</v>
      </c>
      <c r="US16" s="1025">
        <v>0</v>
      </c>
      <c r="UT16" s="1025">
        <v>0.12608244239512001</v>
      </c>
      <c r="UU16" s="1025">
        <v>0</v>
      </c>
      <c r="UV16" s="1025">
        <v>1.148239601457E-2</v>
      </c>
      <c r="UW16" s="1025">
        <v>0</v>
      </c>
      <c r="UX16" s="1025">
        <v>0.17313236406668001</v>
      </c>
      <c r="UY16" s="1025">
        <v>-0.18822821925666999</v>
      </c>
      <c r="UZ16" s="1025">
        <v>0</v>
      </c>
      <c r="VA16" s="1025">
        <v>0</v>
      </c>
      <c r="VB16" s="1025">
        <v>0</v>
      </c>
      <c r="VC16" s="1025">
        <v>0</v>
      </c>
      <c r="VD16" s="1025">
        <v>9.5296552333180004E-2</v>
      </c>
      <c r="VE16" s="1025">
        <v>-6.1</v>
      </c>
      <c r="VF16" s="1025">
        <v>7.86753677177E-3</v>
      </c>
      <c r="VG16" s="1025">
        <v>0</v>
      </c>
      <c r="VH16" s="1025">
        <v>0</v>
      </c>
      <c r="VI16" s="1025">
        <v>0</v>
      </c>
      <c r="VJ16" s="1025">
        <v>0</v>
      </c>
      <c r="VK16" s="1025">
        <v>-0.28966451658914999</v>
      </c>
      <c r="VL16" s="1025">
        <v>0</v>
      </c>
      <c r="VM16" s="1025">
        <v>0</v>
      </c>
      <c r="VN16" s="1025">
        <v>0</v>
      </c>
      <c r="VO16" s="1025">
        <v>0</v>
      </c>
      <c r="VP16" s="1025">
        <v>0</v>
      </c>
      <c r="VQ16" s="1025">
        <v>-16.077291676661069</v>
      </c>
      <c r="VR16" s="1010">
        <v>0</v>
      </c>
      <c r="VS16" s="1010">
        <v>0</v>
      </c>
      <c r="VT16" s="1010">
        <v>0</v>
      </c>
      <c r="VU16" s="1010">
        <v>0</v>
      </c>
      <c r="VV16" s="1010">
        <v>0</v>
      </c>
      <c r="VW16" s="1010">
        <v>-12.23508250885328</v>
      </c>
      <c r="VX16" s="1025">
        <v>0</v>
      </c>
      <c r="VY16" s="1025">
        <v>0</v>
      </c>
      <c r="VZ16" s="1025">
        <v>0</v>
      </c>
      <c r="WA16" s="1025">
        <v>0</v>
      </c>
      <c r="WB16" s="1025">
        <v>0</v>
      </c>
      <c r="WC16" s="1025">
        <v>0</v>
      </c>
      <c r="WD16" s="995">
        <v>202</v>
      </c>
      <c r="WE16" s="995">
        <v>267</v>
      </c>
      <c r="WF16" s="995">
        <v>354</v>
      </c>
      <c r="WG16" s="995">
        <v>382</v>
      </c>
      <c r="WH16" s="995">
        <v>403</v>
      </c>
      <c r="WI16" s="995">
        <v>0</v>
      </c>
      <c r="WJ16" s="995">
        <v>1300</v>
      </c>
      <c r="WK16" s="1001">
        <v>0</v>
      </c>
      <c r="WL16" s="1001">
        <v>0</v>
      </c>
      <c r="WM16" s="1001">
        <v>0</v>
      </c>
      <c r="WN16" s="1001">
        <v>0</v>
      </c>
      <c r="WO16" s="1001">
        <v>0</v>
      </c>
      <c r="WP16" s="1001">
        <v>0</v>
      </c>
      <c r="WQ16" s="1001">
        <v>0</v>
      </c>
      <c r="WR16" s="1001">
        <v>0</v>
      </c>
      <c r="WS16" s="1001">
        <v>0</v>
      </c>
      <c r="WT16" s="1001">
        <v>0</v>
      </c>
      <c r="WU16" s="1001">
        <v>0</v>
      </c>
      <c r="WV16" s="1001">
        <v>0</v>
      </c>
      <c r="WW16" s="1001">
        <v>0</v>
      </c>
      <c r="WX16" s="1001">
        <v>0</v>
      </c>
      <c r="WY16" s="1001">
        <v>0</v>
      </c>
      <c r="WZ16" s="1001">
        <v>0</v>
      </c>
      <c r="XA16" s="1001">
        <v>0</v>
      </c>
      <c r="XB16" s="1001">
        <v>0</v>
      </c>
      <c r="XC16" s="1001">
        <v>0</v>
      </c>
      <c r="XD16" s="1001">
        <v>0</v>
      </c>
      <c r="XE16" s="1001">
        <v>0</v>
      </c>
      <c r="XF16" s="1001">
        <v>0</v>
      </c>
      <c r="XG16" s="1001">
        <v>0</v>
      </c>
      <c r="XH16" s="1001">
        <v>0</v>
      </c>
      <c r="XI16" s="1001">
        <v>0</v>
      </c>
      <c r="XJ16" s="1001">
        <v>0</v>
      </c>
      <c r="XK16" s="1001">
        <v>0</v>
      </c>
      <c r="XL16" s="1001">
        <v>0</v>
      </c>
      <c r="XM16" s="1001">
        <v>0</v>
      </c>
      <c r="XN16" s="1001">
        <v>0</v>
      </c>
      <c r="XO16" s="1001">
        <v>0</v>
      </c>
      <c r="XP16" s="1001">
        <v>0</v>
      </c>
      <c r="XQ16" s="1001">
        <v>0</v>
      </c>
      <c r="XR16" s="1027">
        <v>61.3</v>
      </c>
      <c r="XS16" s="1013">
        <v>48.630480167014611</v>
      </c>
      <c r="XT16" s="1013">
        <v>53.749478079331936</v>
      </c>
      <c r="XU16" s="1013">
        <v>56.308977035490599</v>
      </c>
      <c r="XV16" s="1013">
        <v>86.511064718162842</v>
      </c>
      <c r="XW16" s="1028">
        <v>16264.43289</v>
      </c>
      <c r="XX16" s="1013">
        <v>78</v>
      </c>
      <c r="XY16" s="1013">
        <v>15</v>
      </c>
      <c r="XZ16" s="1013">
        <v>7.0000000000000009</v>
      </c>
      <c r="YA16" s="1029">
        <v>0</v>
      </c>
      <c r="YB16" s="1013">
        <v>681.09098848162398</v>
      </c>
      <c r="YC16" s="1013">
        <v>0</v>
      </c>
      <c r="YD16" s="1013">
        <v>0</v>
      </c>
      <c r="YE16" s="1013">
        <v>0</v>
      </c>
      <c r="YF16" s="1013">
        <v>0</v>
      </c>
      <c r="YG16" s="1013">
        <v>0</v>
      </c>
      <c r="YH16" s="1013">
        <v>1551.3739182081436</v>
      </c>
      <c r="YI16" s="1013">
        <v>1286.50520046529</v>
      </c>
      <c r="YJ16" s="1013">
        <v>730.64404801511682</v>
      </c>
      <c r="YK16" s="1013">
        <v>0</v>
      </c>
      <c r="YL16" s="1013">
        <v>0</v>
      </c>
      <c r="YM16" s="1013">
        <v>0</v>
      </c>
      <c r="YN16" s="1013">
        <v>0</v>
      </c>
      <c r="YO16" s="1013">
        <v>0</v>
      </c>
      <c r="YP16" s="1013">
        <v>1664.2447760344328</v>
      </c>
      <c r="YQ16" s="1013">
        <v>1380.1054240285544</v>
      </c>
      <c r="YR16" s="1013">
        <v>765.4366217301224</v>
      </c>
      <c r="YS16" s="1013">
        <v>0</v>
      </c>
      <c r="YT16" s="1013">
        <v>0</v>
      </c>
      <c r="YU16" s="1013">
        <v>0</v>
      </c>
      <c r="YV16" s="1013">
        <v>0</v>
      </c>
      <c r="YW16" s="1013">
        <v>0</v>
      </c>
      <c r="YX16" s="1013">
        <v>1743.4945272741677</v>
      </c>
      <c r="YY16" s="1013">
        <v>1445.824729934676</v>
      </c>
      <c r="YZ16" s="1013">
        <v>1175.9889915671884</v>
      </c>
      <c r="ZA16" s="1013">
        <v>0</v>
      </c>
      <c r="ZB16" s="1013">
        <v>0</v>
      </c>
      <c r="ZC16" s="1013">
        <v>0</v>
      </c>
      <c r="ZD16" s="1013">
        <v>0</v>
      </c>
      <c r="ZE16" s="1013">
        <v>0</v>
      </c>
      <c r="ZF16" s="1013">
        <v>2678.6415919030401</v>
      </c>
      <c r="ZG16" s="1013">
        <v>2221.3125396269115</v>
      </c>
      <c r="ZH16" s="1013">
        <v>872.7045865744542</v>
      </c>
      <c r="ZI16" s="1013">
        <v>290.90152885815138</v>
      </c>
      <c r="ZJ16" s="1013">
        <v>48.483588143025237</v>
      </c>
      <c r="ZK16" s="1013">
        <v>0</v>
      </c>
      <c r="ZL16" s="1013">
        <v>0</v>
      </c>
      <c r="ZM16" s="1013">
        <v>0</v>
      </c>
      <c r="ZN16" s="1013">
        <v>1987.8271138640346</v>
      </c>
      <c r="ZO16" s="1013">
        <v>1648.4419968628581</v>
      </c>
      <c r="ZP16" s="1013">
        <v>936.19857352336965</v>
      </c>
      <c r="ZQ16" s="1013">
        <v>312.06619117445655</v>
      </c>
      <c r="ZR16" s="1013">
        <v>52.011031862409425</v>
      </c>
      <c r="ZS16" s="1013">
        <v>0</v>
      </c>
      <c r="ZT16" s="1013">
        <v>0</v>
      </c>
      <c r="ZU16" s="1013">
        <v>0</v>
      </c>
      <c r="ZV16" s="1013">
        <v>2132.4523063587862</v>
      </c>
      <c r="ZW16" s="1013">
        <v>1768.3750833219206</v>
      </c>
      <c r="ZX16" s="1013">
        <v>980.77945797686345</v>
      </c>
      <c r="ZY16" s="1013">
        <v>326.92648599228778</v>
      </c>
      <c r="ZZ16" s="1013">
        <v>54.487747665381306</v>
      </c>
      <c r="AAA16" s="1013">
        <v>0</v>
      </c>
      <c r="AAB16" s="1013">
        <v>0</v>
      </c>
      <c r="AAC16" s="1013">
        <v>0</v>
      </c>
      <c r="AAD16" s="1013">
        <v>2233.9976542806335</v>
      </c>
      <c r="AAE16" s="1013">
        <v>1852.5834206229645</v>
      </c>
      <c r="AAF16" s="1013">
        <v>1506.8338945280902</v>
      </c>
      <c r="AAG16" s="1013">
        <v>502.27796484269675</v>
      </c>
      <c r="AAH16" s="1013">
        <v>83.712994140449467</v>
      </c>
      <c r="AAI16" s="1013">
        <v>0</v>
      </c>
      <c r="AAJ16" s="1013">
        <v>0</v>
      </c>
      <c r="AAK16" s="1013">
        <v>0</v>
      </c>
      <c r="AAL16" s="1013">
        <v>3432.2327597584276</v>
      </c>
      <c r="AAM16" s="1013">
        <v>2846.2418007752822</v>
      </c>
      <c r="AAN16" s="1013">
        <v>2322.520270722338</v>
      </c>
      <c r="AAO16" s="1013">
        <v>774.17342357411269</v>
      </c>
      <c r="AAP16" s="1013">
        <v>129.02890392901878</v>
      </c>
      <c r="AAQ16" s="1013">
        <v>0</v>
      </c>
      <c r="AAR16" s="1013">
        <v>0</v>
      </c>
      <c r="AAS16" s="1013">
        <v>0</v>
      </c>
      <c r="AAT16" s="1013">
        <v>5290.18506108977</v>
      </c>
      <c r="AAU16" s="1013">
        <v>4386.9827335866385</v>
      </c>
      <c r="AAV16" s="1013">
        <v>2566.9960886931103</v>
      </c>
      <c r="AAW16" s="1013">
        <v>855.6653628977034</v>
      </c>
      <c r="AAX16" s="1013">
        <v>142.61089381628392</v>
      </c>
      <c r="AAY16" s="1013">
        <v>0</v>
      </c>
      <c r="AAZ16" s="1013">
        <v>0</v>
      </c>
      <c r="ABA16" s="1013">
        <v>0</v>
      </c>
      <c r="ABB16" s="1013">
        <v>5847.0466464676401</v>
      </c>
      <c r="ABC16" s="1013">
        <v>4848.770389753653</v>
      </c>
      <c r="ABD16" s="1013">
        <v>2689.233997678497</v>
      </c>
      <c r="ABE16" s="1013">
        <v>896.41133255949887</v>
      </c>
      <c r="ABF16" s="1013">
        <v>149.40188875991649</v>
      </c>
      <c r="ABG16" s="1013">
        <v>0</v>
      </c>
      <c r="ABH16" s="1013">
        <v>0</v>
      </c>
      <c r="ABI16" s="1013">
        <v>0</v>
      </c>
      <c r="ABJ16" s="1013">
        <v>6125.4774391565761</v>
      </c>
      <c r="ABK16" s="1013">
        <v>5079.6642178371612</v>
      </c>
      <c r="ABL16" s="1013">
        <v>4131.6413237060542</v>
      </c>
      <c r="ABM16" s="1013">
        <v>1377.2137745686848</v>
      </c>
      <c r="ABN16" s="1013">
        <v>229.53562909478083</v>
      </c>
      <c r="ABO16" s="1013">
        <v>0</v>
      </c>
      <c r="ABP16" s="1013">
        <v>0</v>
      </c>
      <c r="ABQ16" s="1013">
        <v>0</v>
      </c>
      <c r="ABR16" s="1013">
        <v>9410.9607928860132</v>
      </c>
      <c r="ABS16" s="1013">
        <v>7804.211389222548</v>
      </c>
      <c r="ABT16" s="1013">
        <v>3195.2248572967919</v>
      </c>
      <c r="ABU16" s="1013">
        <v>1065.0749524322639</v>
      </c>
      <c r="ABV16" s="1013">
        <v>177.51249207204401</v>
      </c>
      <c r="ABW16" s="1013">
        <v>0</v>
      </c>
      <c r="ABX16" s="1013">
        <v>0</v>
      </c>
      <c r="ABY16" s="1013">
        <v>0</v>
      </c>
      <c r="ABZ16" s="1013">
        <v>7278.0121749538039</v>
      </c>
      <c r="ACA16" s="1013">
        <v>6035.4247304494966</v>
      </c>
      <c r="ACB16" s="1013">
        <v>3382.3948462779804</v>
      </c>
      <c r="ACC16" s="1013">
        <v>1127.4649487593267</v>
      </c>
      <c r="ACD16" s="1013">
        <v>187.91082479322114</v>
      </c>
      <c r="ACE16" s="1013">
        <v>0</v>
      </c>
      <c r="ACF16" s="1013">
        <v>0</v>
      </c>
      <c r="ACG16" s="1013">
        <v>0</v>
      </c>
      <c r="ACH16" s="1013">
        <v>7704.3438165220668</v>
      </c>
      <c r="ACI16" s="1013">
        <v>6388.968042969519</v>
      </c>
      <c r="ACJ16" s="1013">
        <v>3543.4612675293133</v>
      </c>
      <c r="ACK16" s="1013">
        <v>1181.1537558431044</v>
      </c>
      <c r="ACL16" s="1013">
        <v>196.85895930718408</v>
      </c>
      <c r="ACM16" s="1013">
        <v>0</v>
      </c>
      <c r="ACN16" s="1013">
        <v>0</v>
      </c>
      <c r="ACO16" s="1013">
        <v>0</v>
      </c>
      <c r="ACP16" s="1013">
        <v>8071.2173315945474</v>
      </c>
      <c r="ACQ16" s="1013">
        <v>6693.204616444259</v>
      </c>
      <c r="ACR16" s="1013">
        <v>5444.0450382950357</v>
      </c>
      <c r="ACS16" s="1013">
        <v>1814.6816794316787</v>
      </c>
      <c r="ACT16" s="1013">
        <v>302.44694657194646</v>
      </c>
      <c r="ACU16" s="1013">
        <v>0</v>
      </c>
      <c r="ACV16" s="1013">
        <v>0</v>
      </c>
      <c r="ACW16" s="1013">
        <v>0</v>
      </c>
      <c r="ACX16" s="1013">
        <v>12400.324809449805</v>
      </c>
      <c r="ACY16" s="1013">
        <v>10283.19618344618</v>
      </c>
      <c r="ACZ16" s="1013">
        <v>4138.3088460143472</v>
      </c>
      <c r="ADA16" s="1013">
        <v>1379.4362820047825</v>
      </c>
      <c r="ADB16" s="1013">
        <v>229.90604700079709</v>
      </c>
      <c r="ADC16" s="1013">
        <v>0</v>
      </c>
      <c r="ADD16" s="1013">
        <v>0</v>
      </c>
      <c r="ADE16" s="1013">
        <v>0</v>
      </c>
      <c r="ADF16" s="1013">
        <v>9426.1479270326799</v>
      </c>
      <c r="ADG16" s="1013">
        <v>7816.805598027101</v>
      </c>
      <c r="ADH16" s="1013">
        <v>4424.2932587475379</v>
      </c>
      <c r="ADI16" s="1013">
        <v>1474.7644195825126</v>
      </c>
      <c r="ADJ16" s="1013">
        <v>245.79406993041877</v>
      </c>
      <c r="ADK16" s="1013">
        <v>0</v>
      </c>
      <c r="ADL16" s="1013">
        <v>0</v>
      </c>
      <c r="ADM16" s="1013">
        <v>0</v>
      </c>
      <c r="ADN16" s="1013">
        <v>10077.556867147168</v>
      </c>
      <c r="ADO16" s="1013">
        <v>8356.9983776342397</v>
      </c>
      <c r="ADP16" s="1013">
        <v>4634.9738901164683</v>
      </c>
      <c r="ADQ16" s="1013">
        <v>1544.9912967054893</v>
      </c>
      <c r="ADR16" s="1013">
        <v>257.49854945091494</v>
      </c>
      <c r="ADS16" s="1013">
        <v>0</v>
      </c>
      <c r="ADT16" s="1013">
        <v>0</v>
      </c>
      <c r="ADU16" s="1013">
        <v>0</v>
      </c>
      <c r="ADV16" s="1013">
        <v>10557.44052748751</v>
      </c>
      <c r="ADW16" s="1013">
        <v>8754.9506813311073</v>
      </c>
      <c r="ADX16" s="1013">
        <v>7121.0053402698477</v>
      </c>
      <c r="ADY16" s="1013">
        <v>2373.6684467566156</v>
      </c>
      <c r="ADZ16" s="1013">
        <v>395.61140779276934</v>
      </c>
      <c r="AEA16" s="1013">
        <v>0</v>
      </c>
      <c r="AEB16" s="1013">
        <v>0</v>
      </c>
      <c r="AEC16" s="1013">
        <v>0</v>
      </c>
      <c r="AED16" s="1013">
        <v>16220.067719503541</v>
      </c>
      <c r="AEE16" s="1013">
        <v>13450.787864954158</v>
      </c>
      <c r="AEF16" s="1013">
        <v>5053.241073874663</v>
      </c>
      <c r="AEG16" s="1013">
        <v>1684.4136912915542</v>
      </c>
      <c r="AEH16" s="1013">
        <v>280.73561521525909</v>
      </c>
      <c r="AEI16" s="1013">
        <v>0</v>
      </c>
      <c r="AEJ16" s="1013">
        <v>0</v>
      </c>
      <c r="AEK16" s="1013">
        <v>0</v>
      </c>
      <c r="AEL16" s="1013">
        <v>11510.16022382562</v>
      </c>
      <c r="AEM16" s="1013">
        <v>9545.0109173188084</v>
      </c>
      <c r="AEN16" s="1013">
        <v>5435.9917172324695</v>
      </c>
      <c r="AEO16" s="1013">
        <v>1811.9972390774897</v>
      </c>
      <c r="AEP16" s="1013">
        <v>301.9995398462483</v>
      </c>
      <c r="AEQ16" s="1013">
        <v>0</v>
      </c>
      <c r="AER16" s="1013">
        <v>0</v>
      </c>
      <c r="AES16" s="1013">
        <v>0</v>
      </c>
      <c r="AET16" s="1013">
        <v>12381.981133696179</v>
      </c>
      <c r="AEU16" s="1013">
        <v>10267.984354772443</v>
      </c>
      <c r="AEV16" s="1013">
        <v>5694.8484656721103</v>
      </c>
      <c r="AEW16" s="1013">
        <v>1898.2828218907036</v>
      </c>
      <c r="AEX16" s="1013">
        <v>316.38047031511729</v>
      </c>
      <c r="AEY16" s="1013">
        <v>0</v>
      </c>
      <c r="AEZ16" s="1013">
        <v>0</v>
      </c>
      <c r="AFA16" s="1013">
        <v>0</v>
      </c>
      <c r="AFB16" s="1013">
        <v>12971.599282919808</v>
      </c>
      <c r="AFC16" s="1013">
        <v>10756.935990713988</v>
      </c>
      <c r="AFD16" s="1013">
        <v>8749.3580972598811</v>
      </c>
      <c r="AFE16" s="1013">
        <v>2916.452699086627</v>
      </c>
      <c r="AFF16" s="1013">
        <v>486.07544984777115</v>
      </c>
      <c r="AFG16" s="1013">
        <v>0</v>
      </c>
      <c r="AFH16" s="1013">
        <v>0</v>
      </c>
      <c r="AFI16" s="1013">
        <v>0</v>
      </c>
      <c r="AFJ16" s="1013">
        <v>19929.093443758615</v>
      </c>
      <c r="AFK16" s="1013">
        <v>16526.56529482422</v>
      </c>
      <c r="AFL16" s="1023">
        <v>5827.4144974487754</v>
      </c>
      <c r="AFM16" s="1023">
        <v>1942.4714991495919</v>
      </c>
      <c r="AFN16" s="1023">
        <v>323.74524985826531</v>
      </c>
      <c r="AFO16" s="1023">
        <v>0</v>
      </c>
      <c r="AFP16" s="1023">
        <v>0</v>
      </c>
      <c r="AFQ16" s="1023">
        <v>0</v>
      </c>
      <c r="AFR16" s="1023">
        <v>13273.555244188878</v>
      </c>
      <c r="AFS16" s="1023">
        <v>11007.33849518102</v>
      </c>
      <c r="AFT16" s="1023">
        <v>6190.9905668480897</v>
      </c>
      <c r="AFU16" s="1023">
        <v>2063.6635222826962</v>
      </c>
      <c r="AFV16" s="1023">
        <v>343.94392038044941</v>
      </c>
      <c r="AFW16" s="1023">
        <v>0</v>
      </c>
      <c r="AFX16" s="1023">
        <v>0</v>
      </c>
      <c r="AFY16" s="1023">
        <v>0</v>
      </c>
      <c r="AFZ16" s="1023">
        <v>14101.700735598426</v>
      </c>
      <c r="AGA16" s="1023">
        <v>11694.09329293528</v>
      </c>
      <c r="AGB16" s="1023">
        <v>6485.7996414599038</v>
      </c>
      <c r="AGC16" s="1023">
        <v>2161.9332138199679</v>
      </c>
      <c r="AGD16" s="1023">
        <v>360.32220230332803</v>
      </c>
      <c r="AGE16" s="1023">
        <v>0</v>
      </c>
      <c r="AGF16" s="1023">
        <v>0</v>
      </c>
      <c r="AGG16" s="1023">
        <v>0</v>
      </c>
      <c r="AGH16" s="1023">
        <v>14773.210294436447</v>
      </c>
      <c r="AGI16" s="1023">
        <v>12250.954878313154</v>
      </c>
      <c r="AGJ16" s="1023">
        <v>9964.5467218793074</v>
      </c>
      <c r="AGK16" s="1023">
        <v>3321.515573959769</v>
      </c>
      <c r="AGL16" s="1023">
        <v>553.58592899329494</v>
      </c>
      <c r="AGM16" s="1023">
        <v>0</v>
      </c>
      <c r="AGN16" s="1023">
        <v>0</v>
      </c>
      <c r="AGO16" s="1023">
        <v>0</v>
      </c>
      <c r="AGP16" s="1023">
        <v>22697.023088725087</v>
      </c>
      <c r="AGQ16" s="1023">
        <v>18821.921585772026</v>
      </c>
      <c r="AGR16" s="1030">
        <v>2322.520270722338</v>
      </c>
      <c r="AGS16" s="1030">
        <v>774.17342357411269</v>
      </c>
      <c r="AGT16" s="1030">
        <v>129.02890392901878</v>
      </c>
      <c r="AGU16" s="1030">
        <v>0</v>
      </c>
      <c r="AGV16" s="1030">
        <v>0</v>
      </c>
      <c r="AGW16" s="1030">
        <v>0</v>
      </c>
      <c r="AGX16" s="1030">
        <v>5290.18506108977</v>
      </c>
      <c r="AGY16" s="1030">
        <v>4386.9827335866385</v>
      </c>
      <c r="AGZ16" s="1030">
        <v>2566.9960886931103</v>
      </c>
      <c r="AHA16" s="1030">
        <v>855.6653628977034</v>
      </c>
      <c r="AHB16" s="1030">
        <v>142.61089381628392</v>
      </c>
      <c r="AHC16" s="1030">
        <v>0</v>
      </c>
      <c r="AHD16" s="1030">
        <v>0</v>
      </c>
      <c r="AHE16" s="1030">
        <v>0</v>
      </c>
      <c r="AHF16" s="1030">
        <v>5847.0466464676401</v>
      </c>
      <c r="AHG16" s="1030">
        <v>4848.770389753653</v>
      </c>
      <c r="AHH16" s="1030">
        <v>2689.233997678497</v>
      </c>
      <c r="AHI16" s="1030">
        <v>896.41133255949887</v>
      </c>
      <c r="AHJ16" s="1030">
        <v>149.40188875991649</v>
      </c>
      <c r="AHK16" s="1030">
        <v>0</v>
      </c>
      <c r="AHL16" s="1030">
        <v>0</v>
      </c>
      <c r="AHM16" s="1030">
        <v>0</v>
      </c>
      <c r="AHN16" s="1030">
        <v>6125.4774391565761</v>
      </c>
      <c r="AHO16" s="1030">
        <v>5079.6642178371612</v>
      </c>
      <c r="AHP16" s="1030">
        <v>4131.6413237060542</v>
      </c>
      <c r="AHQ16" s="1030">
        <v>1377.2137745686848</v>
      </c>
      <c r="AHR16" s="1030">
        <v>229.53562909478083</v>
      </c>
      <c r="AHS16" s="1030">
        <v>0</v>
      </c>
      <c r="AHT16" s="1030">
        <v>0</v>
      </c>
      <c r="AHU16" s="1030">
        <v>0</v>
      </c>
      <c r="AHV16" s="1030">
        <v>9410.9607928860132</v>
      </c>
      <c r="AHW16" s="1030">
        <v>7804.211389222548</v>
      </c>
      <c r="AHX16" s="1013">
        <v>165</v>
      </c>
      <c r="AHY16" s="1023">
        <v>0</v>
      </c>
      <c r="AHZ16" s="1023">
        <v>0</v>
      </c>
      <c r="AIA16" s="1023">
        <v>0</v>
      </c>
      <c r="AIB16" s="1023">
        <v>0</v>
      </c>
      <c r="AIC16" s="1023">
        <v>0</v>
      </c>
      <c r="AID16" s="1023">
        <v>0</v>
      </c>
      <c r="AIE16" s="1023">
        <v>0</v>
      </c>
      <c r="AIF16" s="1013">
        <v>420</v>
      </c>
      <c r="AIG16" s="1013">
        <v>32.409999999999997</v>
      </c>
      <c r="AIH16" s="1013">
        <v>27.01</v>
      </c>
      <c r="AII16" s="1013">
        <v>0</v>
      </c>
      <c r="AIJ16" s="1013">
        <v>2.52</v>
      </c>
      <c r="AIK16" s="1013">
        <v>3.06</v>
      </c>
      <c r="AIL16" s="1013">
        <v>0</v>
      </c>
      <c r="AIM16" s="1013">
        <v>0</v>
      </c>
      <c r="AIN16" s="1016">
        <v>350</v>
      </c>
      <c r="AIO16" s="1016">
        <v>64.819999999999993</v>
      </c>
      <c r="AIP16" s="1017">
        <v>54.02</v>
      </c>
      <c r="AIQ16" s="1017">
        <v>0</v>
      </c>
      <c r="AIR16" s="1017">
        <v>5.04</v>
      </c>
      <c r="AIS16" s="1017">
        <v>6.12</v>
      </c>
      <c r="AIT16" s="1017">
        <v>0</v>
      </c>
      <c r="AIU16" s="1017">
        <v>0</v>
      </c>
      <c r="AIV16" s="1013">
        <v>120</v>
      </c>
      <c r="AIW16" s="1013">
        <v>47.37</v>
      </c>
      <c r="AIX16" s="1013">
        <v>39.47</v>
      </c>
      <c r="AIY16" s="1013">
        <v>0</v>
      </c>
      <c r="AIZ16" s="1013">
        <v>3.68</v>
      </c>
      <c r="AJA16" s="1013">
        <v>4.4800000000000004</v>
      </c>
      <c r="AJB16" s="1013">
        <v>0</v>
      </c>
      <c r="AJC16" s="1013">
        <v>0</v>
      </c>
      <c r="AJD16" s="1013">
        <v>129.6</v>
      </c>
      <c r="AJE16" s="1013">
        <v>96.93</v>
      </c>
      <c r="AJF16" s="1013">
        <v>80.78</v>
      </c>
      <c r="AJG16" s="1013">
        <v>0</v>
      </c>
      <c r="AJH16" s="1013">
        <v>7.54</v>
      </c>
      <c r="AJI16" s="1013">
        <v>9.15</v>
      </c>
      <c r="AJJ16" s="1013">
        <v>0</v>
      </c>
      <c r="AJK16" s="1013">
        <v>0</v>
      </c>
      <c r="AJL16" s="1013">
        <v>160</v>
      </c>
      <c r="AJM16" s="1013">
        <v>17.45</v>
      </c>
      <c r="AJN16" s="1013">
        <v>14.54</v>
      </c>
      <c r="AJO16" s="1013">
        <v>0</v>
      </c>
      <c r="AJP16" s="1013">
        <v>1.36</v>
      </c>
      <c r="AJQ16" s="1013">
        <v>1.65</v>
      </c>
      <c r="AJR16" s="1013">
        <v>0</v>
      </c>
      <c r="AJS16" s="1013">
        <v>0</v>
      </c>
      <c r="AJT16" s="1029" t="s">
        <v>858</v>
      </c>
      <c r="AJU16" s="988" t="s">
        <v>861</v>
      </c>
      <c r="AJV16" s="988" t="s">
        <v>860</v>
      </c>
      <c r="AJW16" s="988" t="s">
        <v>859</v>
      </c>
      <c r="AJX16" s="988" t="s">
        <v>870</v>
      </c>
      <c r="AJY16" s="988" t="s">
        <v>871</v>
      </c>
      <c r="AJZ16" s="988" t="s">
        <v>872</v>
      </c>
      <c r="AKA16" s="988" t="s">
        <v>873</v>
      </c>
      <c r="AKB16" s="988" t="s">
        <v>874</v>
      </c>
      <c r="AKC16" s="988" t="s">
        <v>875</v>
      </c>
      <c r="AKD16" s="1013">
        <v>81.455696202531641</v>
      </c>
      <c r="AKE16" s="1013">
        <v>0</v>
      </c>
      <c r="AKF16" s="1013">
        <v>0</v>
      </c>
      <c r="AKG16" s="1013">
        <v>0</v>
      </c>
      <c r="AKH16" s="1013">
        <v>0</v>
      </c>
      <c r="AKI16" s="1013">
        <v>0</v>
      </c>
      <c r="AKJ16" s="1013">
        <v>4.6993670886075938</v>
      </c>
      <c r="AKK16" s="1013">
        <v>37.59493670886075</v>
      </c>
      <c r="AKL16" s="1013">
        <v>239.4303797468354</v>
      </c>
      <c r="AKM16" s="1013">
        <v>0</v>
      </c>
      <c r="AKN16" s="1013">
        <v>0</v>
      </c>
      <c r="AKO16" s="1013">
        <v>0</v>
      </c>
      <c r="AKP16" s="1013">
        <v>0</v>
      </c>
      <c r="AKQ16" s="1013">
        <v>0</v>
      </c>
      <c r="AKR16" s="1013">
        <v>13.813291139240501</v>
      </c>
      <c r="AKS16" s="1013">
        <v>110.50632911392401</v>
      </c>
      <c r="AKT16" s="1016">
        <v>236.96202531645568</v>
      </c>
      <c r="AKU16" s="1016">
        <v>0</v>
      </c>
      <c r="AKV16" s="1017">
        <v>0</v>
      </c>
      <c r="AKW16" s="1017">
        <v>0</v>
      </c>
      <c r="AKX16" s="1017">
        <v>0</v>
      </c>
      <c r="AKY16" s="1017">
        <v>0</v>
      </c>
      <c r="AKZ16" s="1017">
        <v>13.670886075949365</v>
      </c>
      <c r="ALA16" s="1017">
        <v>109.36708860759492</v>
      </c>
      <c r="ALB16" s="1013">
        <v>106.1392405063291</v>
      </c>
      <c r="ALC16" s="1013">
        <v>0</v>
      </c>
      <c r="ALD16" s="1013">
        <v>0</v>
      </c>
      <c r="ALE16" s="1013">
        <v>0</v>
      </c>
      <c r="ALF16" s="1013">
        <v>0</v>
      </c>
      <c r="ALG16" s="1013">
        <v>0</v>
      </c>
      <c r="ALH16" s="1013">
        <v>6.1234177215189867</v>
      </c>
      <c r="ALI16" s="1013">
        <v>48.987341772151893</v>
      </c>
      <c r="ALJ16" s="1013">
        <v>159.94936708860757</v>
      </c>
      <c r="ALK16" s="1013">
        <v>0</v>
      </c>
      <c r="ALL16" s="1013">
        <v>0</v>
      </c>
      <c r="ALM16" s="1013">
        <v>0</v>
      </c>
      <c r="ALN16" s="1013">
        <v>0</v>
      </c>
      <c r="ALO16" s="1013">
        <v>0</v>
      </c>
      <c r="ALP16" s="1013">
        <v>9.2278481012658222</v>
      </c>
      <c r="ALQ16" s="1013">
        <v>73.822784810126578</v>
      </c>
      <c r="ALR16" s="1013">
        <v>96.265822784810126</v>
      </c>
      <c r="ALS16" s="1013">
        <v>0</v>
      </c>
      <c r="ALT16" s="1013">
        <v>0</v>
      </c>
      <c r="ALU16" s="1013">
        <v>0</v>
      </c>
      <c r="ALV16" s="1013">
        <v>0</v>
      </c>
      <c r="ALW16" s="1013">
        <v>0</v>
      </c>
      <c r="ALX16" s="1013">
        <v>5.5537974683544293</v>
      </c>
      <c r="ALY16" s="1013">
        <v>44.430379746835435</v>
      </c>
    </row>
    <row r="17" spans="1:1013" ht="18" customHeight="1">
      <c r="A17" s="1259" t="s">
        <v>0</v>
      </c>
      <c r="B17" s="1260" t="s">
        <v>3063</v>
      </c>
      <c r="C17" s="1260">
        <v>2022</v>
      </c>
      <c r="D17" s="1269"/>
      <c r="E17" s="1270">
        <v>0.5</v>
      </c>
      <c r="F17" s="1271">
        <v>0.2</v>
      </c>
      <c r="G17" s="1271">
        <v>0.2</v>
      </c>
      <c r="H17" s="76">
        <v>100.05590062111801</v>
      </c>
      <c r="I17" s="75">
        <v>-1</v>
      </c>
      <c r="J17" s="1273">
        <v>-5.5</v>
      </c>
      <c r="K17" s="1273">
        <v>-5.5</v>
      </c>
      <c r="L17" s="1265">
        <v>350</v>
      </c>
      <c r="M17" s="1262">
        <v>0</v>
      </c>
      <c r="N17" s="1262">
        <v>0</v>
      </c>
      <c r="O17" s="1262">
        <v>0</v>
      </c>
      <c r="P17" s="76">
        <v>1458.7130772690623</v>
      </c>
      <c r="Q17" s="75">
        <v>12</v>
      </c>
      <c r="R17" s="72">
        <v>0.3</v>
      </c>
      <c r="S17" s="72">
        <v>0.3</v>
      </c>
      <c r="T17" s="72">
        <v>0.3</v>
      </c>
      <c r="U17" s="1271">
        <v>0.2</v>
      </c>
      <c r="V17" s="1271">
        <v>0</v>
      </c>
      <c r="W17" s="1271">
        <v>99.3</v>
      </c>
      <c r="X17" s="1271">
        <v>0.5</v>
      </c>
      <c r="Y17" s="1272">
        <v>0</v>
      </c>
      <c r="Z17" s="75">
        <v>2</v>
      </c>
      <c r="AA17" s="72">
        <v>1.5</v>
      </c>
      <c r="AB17" s="75">
        <v>1</v>
      </c>
      <c r="AC17" s="72">
        <v>0.8</v>
      </c>
      <c r="AD17" s="72">
        <v>0.5</v>
      </c>
      <c r="AE17" s="390">
        <v>433.01922201480062</v>
      </c>
      <c r="AF17" s="390">
        <v>470.67306740739195</v>
      </c>
      <c r="AG17" s="390">
        <v>433.37222681535616</v>
      </c>
      <c r="AH17" s="390">
        <v>649.0581599547935</v>
      </c>
      <c r="AI17" s="400">
        <v>0.82209484106305364</v>
      </c>
      <c r="AJ17" s="390">
        <v>261.91600618637949</v>
      </c>
      <c r="AK17" s="390">
        <v>284.69131107215162</v>
      </c>
      <c r="AL17" s="390">
        <v>262.12952466968363</v>
      </c>
      <c r="AM17" s="390">
        <v>392.58931796849708</v>
      </c>
      <c r="AN17" s="400">
        <v>0.96717040125065135</v>
      </c>
      <c r="AO17" s="77">
        <v>0.2</v>
      </c>
      <c r="AP17" s="77">
        <v>0.5</v>
      </c>
      <c r="AQ17" s="77">
        <v>1.4</v>
      </c>
      <c r="AR17" s="77">
        <v>1.7</v>
      </c>
      <c r="AS17" s="77">
        <v>2</v>
      </c>
      <c r="AT17" s="77">
        <v>2.2000000000000002</v>
      </c>
      <c r="AU17" s="77">
        <v>2.5</v>
      </c>
      <c r="AV17" s="1268">
        <v>0</v>
      </c>
      <c r="AW17" s="1268">
        <v>10</v>
      </c>
      <c r="AX17" s="1268">
        <v>20</v>
      </c>
      <c r="AY17" s="1268">
        <v>70</v>
      </c>
      <c r="AZ17" s="1268">
        <v>100</v>
      </c>
      <c r="BA17" s="1019">
        <v>12289.839372885832</v>
      </c>
      <c r="BB17" s="1031">
        <v>1.4</v>
      </c>
      <c r="BC17" s="988">
        <v>0.4</v>
      </c>
      <c r="BD17" s="988">
        <v>0.2</v>
      </c>
      <c r="BE17" s="988">
        <v>0.2</v>
      </c>
      <c r="BF17" s="1021">
        <v>0.19114158509188137</v>
      </c>
      <c r="BG17" s="1021">
        <v>0.18505357455305277</v>
      </c>
      <c r="BH17" s="1020">
        <v>5.6039534770990237E-5</v>
      </c>
      <c r="BI17" s="1020">
        <v>8.8962761448946992E-2</v>
      </c>
      <c r="BJ17" s="1020">
        <v>0.53534567566726976</v>
      </c>
      <c r="BK17" s="1020">
        <v>70.801132783155865</v>
      </c>
      <c r="BL17" s="1020">
        <v>1.5043813109272328</v>
      </c>
      <c r="BM17" s="1020">
        <v>0.64453870916854428</v>
      </c>
      <c r="BN17" s="1020">
        <v>25.859835596816843</v>
      </c>
      <c r="BO17" s="1020">
        <v>5.5955475468833754E-2</v>
      </c>
      <c r="BP17" s="1020">
        <v>5.884151150953975E-2</v>
      </c>
      <c r="BQ17" s="1020">
        <v>2.8019767385495118E-5</v>
      </c>
      <c r="BR17" s="1020">
        <v>0.12541647881747614</v>
      </c>
      <c r="BS17" s="1020"/>
      <c r="BT17" s="1020">
        <v>0.18554689962674867</v>
      </c>
      <c r="BU17" s="1020">
        <v>4.6232616186066946E-3</v>
      </c>
      <c r="BV17" s="1020">
        <v>0.13533547647194144</v>
      </c>
      <c r="BW17" s="993">
        <v>261.13475999999997</v>
      </c>
      <c r="BX17" s="993">
        <v>96.5</v>
      </c>
      <c r="BY17" s="993">
        <v>63.215999999999994</v>
      </c>
      <c r="BZ17" s="993">
        <v>233.35949490734063</v>
      </c>
      <c r="CA17" s="993">
        <v>157.40783999999999</v>
      </c>
      <c r="CB17" s="990"/>
      <c r="CC17" s="993">
        <v>256.20808011776955</v>
      </c>
      <c r="CD17" s="993">
        <v>165.17663999999999</v>
      </c>
      <c r="CE17" s="990"/>
      <c r="CF17" s="989">
        <v>0</v>
      </c>
      <c r="CG17" s="993">
        <v>6.585</v>
      </c>
      <c r="CH17" s="993">
        <v>1.3169999999999999</v>
      </c>
      <c r="CI17" s="993">
        <v>38</v>
      </c>
      <c r="CJ17" s="993">
        <v>225.83915999999996</v>
      </c>
      <c r="CK17" s="990">
        <v>0.2</v>
      </c>
      <c r="CL17" s="993">
        <v>175.08124000000001</v>
      </c>
      <c r="CM17" s="993">
        <v>60.4</v>
      </c>
      <c r="CN17" s="993">
        <v>42.384</v>
      </c>
      <c r="CO17" s="993">
        <v>156.45894761061641</v>
      </c>
      <c r="CP17" s="993">
        <v>105.53616</v>
      </c>
      <c r="CQ17" s="990"/>
      <c r="CR17" s="993">
        <v>159.24945066654416</v>
      </c>
      <c r="CS17" s="993">
        <v>102.66767999999999</v>
      </c>
      <c r="CT17" s="990"/>
      <c r="CU17" s="993">
        <v>0</v>
      </c>
      <c r="CV17" s="993">
        <v>4.415</v>
      </c>
      <c r="CW17" s="993">
        <v>0.88300000000000001</v>
      </c>
      <c r="CX17" s="993">
        <v>27</v>
      </c>
      <c r="CY17" s="993">
        <v>151.41683999999998</v>
      </c>
      <c r="CZ17" s="990">
        <v>0.2</v>
      </c>
      <c r="DA17" s="988">
        <v>0.3</v>
      </c>
      <c r="DB17" s="988">
        <v>0.7</v>
      </c>
      <c r="DC17" s="988">
        <v>1.2</v>
      </c>
      <c r="DD17" s="988">
        <v>1.2</v>
      </c>
      <c r="DE17" s="1022">
        <v>3</v>
      </c>
      <c r="DF17" s="995">
        <v>0</v>
      </c>
      <c r="DG17" s="995">
        <v>10</v>
      </c>
      <c r="DH17" s="995">
        <v>20</v>
      </c>
      <c r="DI17" s="995">
        <v>70</v>
      </c>
      <c r="DJ17" s="995">
        <v>100</v>
      </c>
      <c r="DK17" s="1017">
        <v>59.156648779321763</v>
      </c>
      <c r="DL17" s="1022">
        <v>18</v>
      </c>
      <c r="DM17" s="989">
        <v>12</v>
      </c>
      <c r="DN17" s="988">
        <v>1.1000000000000001</v>
      </c>
      <c r="DO17" s="988">
        <v>0.9</v>
      </c>
      <c r="DP17" s="988">
        <v>0.9</v>
      </c>
      <c r="DQ17" s="988" t="s">
        <v>646</v>
      </c>
      <c r="DR17" s="988" t="s">
        <v>640</v>
      </c>
      <c r="DS17" s="988" t="s">
        <v>640</v>
      </c>
      <c r="DT17" s="988" t="s">
        <v>640</v>
      </c>
      <c r="DU17" s="988" t="s">
        <v>640</v>
      </c>
      <c r="DV17" s="988" t="s">
        <v>640</v>
      </c>
      <c r="DW17" s="988" t="s">
        <v>640</v>
      </c>
      <c r="DX17" s="997">
        <v>327.36064891846928</v>
      </c>
      <c r="DY17" s="997">
        <v>0</v>
      </c>
      <c r="DZ17" s="997">
        <v>0</v>
      </c>
      <c r="EA17" s="997">
        <v>0</v>
      </c>
      <c r="EB17" s="997">
        <v>0</v>
      </c>
      <c r="EC17" s="997">
        <v>0</v>
      </c>
      <c r="ED17" s="997">
        <v>0</v>
      </c>
      <c r="EE17" s="1022">
        <v>0.32736064891846928</v>
      </c>
      <c r="EF17" s="1022">
        <v>18</v>
      </c>
      <c r="EG17" s="991">
        <v>5</v>
      </c>
      <c r="EH17" s="1023">
        <v>1.1000000000000001</v>
      </c>
      <c r="EI17" s="1023">
        <v>0.9</v>
      </c>
      <c r="EJ17" s="1023">
        <v>0.9</v>
      </c>
      <c r="EK17" s="988" t="s">
        <v>646</v>
      </c>
      <c r="EL17" s="988" t="s">
        <v>704</v>
      </c>
      <c r="EM17" s="988" t="s">
        <v>640</v>
      </c>
      <c r="EN17" s="988" t="s">
        <v>640</v>
      </c>
      <c r="EO17" s="988" t="s">
        <v>640</v>
      </c>
      <c r="EP17" s="988" t="s">
        <v>640</v>
      </c>
      <c r="EQ17" s="988" t="s">
        <v>640</v>
      </c>
      <c r="ER17" s="988" t="s">
        <v>640</v>
      </c>
      <c r="ES17" s="988" t="s">
        <v>640</v>
      </c>
      <c r="ET17" s="988" t="s">
        <v>640</v>
      </c>
      <c r="EU17" s="988" t="s">
        <v>640</v>
      </c>
      <c r="EV17" s="988" t="s">
        <v>640</v>
      </c>
      <c r="EW17" s="988" t="s">
        <v>640</v>
      </c>
      <c r="EX17" s="988" t="s">
        <v>640</v>
      </c>
      <c r="EY17" s="988" t="s">
        <v>640</v>
      </c>
      <c r="EZ17" s="988" t="s">
        <v>640</v>
      </c>
      <c r="FA17" s="988" t="s">
        <v>640</v>
      </c>
      <c r="FB17" s="988" t="s">
        <v>640</v>
      </c>
      <c r="FC17" s="988" t="s">
        <v>640</v>
      </c>
      <c r="FD17" s="988" t="s">
        <v>640</v>
      </c>
      <c r="FE17" s="988" t="s">
        <v>640</v>
      </c>
      <c r="FF17" s="988" t="s">
        <v>640</v>
      </c>
      <c r="FG17" s="988" t="s">
        <v>640</v>
      </c>
      <c r="FH17" s="988" t="s">
        <v>640</v>
      </c>
      <c r="FI17" s="988" t="s">
        <v>640</v>
      </c>
      <c r="FJ17" s="988" t="s">
        <v>640</v>
      </c>
      <c r="FK17" s="988" t="s">
        <v>640</v>
      </c>
      <c r="FL17" s="988" t="s">
        <v>640</v>
      </c>
      <c r="FM17" s="988" t="s">
        <v>640</v>
      </c>
      <c r="FN17" s="988" t="s">
        <v>640</v>
      </c>
      <c r="FO17" s="988" t="s">
        <v>640</v>
      </c>
      <c r="FP17" s="988" t="s">
        <v>640</v>
      </c>
      <c r="FQ17" s="988" t="s">
        <v>640</v>
      </c>
      <c r="FR17" s="988" t="s">
        <v>640</v>
      </c>
      <c r="FS17" s="988" t="s">
        <v>640</v>
      </c>
      <c r="FT17" s="988" t="s">
        <v>640</v>
      </c>
      <c r="FU17" s="988" t="s">
        <v>640</v>
      </c>
      <c r="FV17" s="988" t="s">
        <v>640</v>
      </c>
      <c r="FW17" s="988" t="s">
        <v>640</v>
      </c>
      <c r="FX17" s="988" t="s">
        <v>640</v>
      </c>
      <c r="FY17" s="988" t="s">
        <v>640</v>
      </c>
      <c r="FZ17" s="988" t="s">
        <v>640</v>
      </c>
      <c r="GA17" s="988" t="s">
        <v>640</v>
      </c>
      <c r="GB17" s="988" t="s">
        <v>640</v>
      </c>
      <c r="GC17" s="988" t="s">
        <v>640</v>
      </c>
      <c r="GD17" s="988" t="s">
        <v>640</v>
      </c>
      <c r="GE17" s="988" t="s">
        <v>640</v>
      </c>
      <c r="GF17" s="988" t="s">
        <v>640</v>
      </c>
      <c r="GG17" s="988" t="s">
        <v>640</v>
      </c>
      <c r="GH17" s="988" t="s">
        <v>640</v>
      </c>
      <c r="GI17" s="988" t="s">
        <v>640</v>
      </c>
      <c r="GJ17" s="988" t="s">
        <v>640</v>
      </c>
      <c r="GK17" s="988" t="s">
        <v>640</v>
      </c>
      <c r="GL17" s="988" t="s">
        <v>640</v>
      </c>
      <c r="GM17" s="988" t="s">
        <v>640</v>
      </c>
      <c r="GN17" s="988" t="s">
        <v>640</v>
      </c>
      <c r="GO17" s="988" t="s">
        <v>640</v>
      </c>
      <c r="GP17" s="988" t="s">
        <v>640</v>
      </c>
      <c r="GQ17" s="997">
        <v>280.59484193011644</v>
      </c>
      <c r="GR17" s="997">
        <v>46.76580698835275</v>
      </c>
      <c r="GS17" s="997">
        <v>0</v>
      </c>
      <c r="GT17" s="997">
        <v>0</v>
      </c>
      <c r="GU17" s="997">
        <v>0</v>
      </c>
      <c r="GV17" s="997">
        <v>0</v>
      </c>
      <c r="GW17" s="997">
        <v>0</v>
      </c>
      <c r="GX17" s="997">
        <v>0</v>
      </c>
      <c r="GY17" s="997">
        <v>0</v>
      </c>
      <c r="GZ17" s="997">
        <v>0</v>
      </c>
      <c r="HA17" s="997">
        <v>0</v>
      </c>
      <c r="HB17" s="997">
        <v>0</v>
      </c>
      <c r="HC17" s="997">
        <v>0</v>
      </c>
      <c r="HD17" s="997">
        <v>0</v>
      </c>
      <c r="HE17" s="997">
        <v>0</v>
      </c>
      <c r="HF17" s="997">
        <v>0</v>
      </c>
      <c r="HG17" s="997">
        <v>0</v>
      </c>
      <c r="HH17" s="997">
        <v>0</v>
      </c>
      <c r="HI17" s="997">
        <v>0</v>
      </c>
      <c r="HJ17" s="997">
        <v>0</v>
      </c>
      <c r="HK17" s="997">
        <v>0</v>
      </c>
      <c r="HL17" s="997">
        <v>0</v>
      </c>
      <c r="HM17" s="997">
        <v>0</v>
      </c>
      <c r="HN17" s="997">
        <v>0</v>
      </c>
      <c r="HO17" s="997">
        <v>0</v>
      </c>
      <c r="HP17" s="997">
        <v>0</v>
      </c>
      <c r="HQ17" s="997">
        <v>0</v>
      </c>
      <c r="HR17" s="997">
        <v>0</v>
      </c>
      <c r="HS17" s="997">
        <v>0</v>
      </c>
      <c r="HT17" s="997">
        <v>0</v>
      </c>
      <c r="HU17" s="997">
        <v>0</v>
      </c>
      <c r="HV17" s="997">
        <v>0</v>
      </c>
      <c r="HW17" s="997">
        <v>0</v>
      </c>
      <c r="HX17" s="997">
        <v>0</v>
      </c>
      <c r="HY17" s="997">
        <v>0</v>
      </c>
      <c r="HZ17" s="997">
        <v>0</v>
      </c>
      <c r="IA17" s="997">
        <v>0</v>
      </c>
      <c r="IB17" s="997">
        <v>0</v>
      </c>
      <c r="IC17" s="997">
        <v>0</v>
      </c>
      <c r="ID17" s="997">
        <v>0</v>
      </c>
      <c r="IE17" s="997">
        <v>0</v>
      </c>
      <c r="IF17" s="997">
        <v>0</v>
      </c>
      <c r="IG17" s="997">
        <v>0</v>
      </c>
      <c r="IH17" s="997">
        <v>0</v>
      </c>
      <c r="II17" s="997">
        <v>0</v>
      </c>
      <c r="IJ17" s="997">
        <v>0</v>
      </c>
      <c r="IK17" s="997">
        <v>0</v>
      </c>
      <c r="IL17" s="997">
        <v>0</v>
      </c>
      <c r="IM17" s="997">
        <v>0</v>
      </c>
      <c r="IN17" s="997">
        <v>0</v>
      </c>
      <c r="IO17" s="997">
        <v>0</v>
      </c>
      <c r="IP17" s="997">
        <v>0</v>
      </c>
      <c r="IQ17" s="997">
        <v>0</v>
      </c>
      <c r="IR17" s="997">
        <v>0</v>
      </c>
      <c r="IS17" s="997">
        <v>0</v>
      </c>
      <c r="IT17" s="997">
        <v>0</v>
      </c>
      <c r="IU17" s="997">
        <v>0</v>
      </c>
      <c r="IV17" s="997">
        <v>0</v>
      </c>
      <c r="IW17" s="1019">
        <v>819.51023466183142</v>
      </c>
      <c r="IX17" s="1022">
        <v>179.9</v>
      </c>
      <c r="IY17" s="998">
        <v>2647.0800000000199</v>
      </c>
      <c r="IZ17" s="429">
        <v>12.64</v>
      </c>
      <c r="JA17" s="1022">
        <v>93.996028183574083</v>
      </c>
      <c r="JB17" s="988">
        <v>1.1000000000000001</v>
      </c>
      <c r="JC17" s="988">
        <v>0.9</v>
      </c>
      <c r="JD17" s="988">
        <v>0.9</v>
      </c>
      <c r="JE17" s="998">
        <v>2</v>
      </c>
      <c r="JF17" s="1023">
        <v>1.5</v>
      </c>
      <c r="JG17" s="1023">
        <v>0.7</v>
      </c>
      <c r="JH17" s="1023">
        <v>0.7</v>
      </c>
      <c r="JI17" s="1023">
        <v>0.5</v>
      </c>
      <c r="JJ17" s="1019">
        <v>100.26078134111631</v>
      </c>
      <c r="JK17" s="998">
        <v>2647.0800000000199</v>
      </c>
      <c r="JL17" s="429">
        <v>12.64</v>
      </c>
      <c r="JM17" s="1022">
        <v>93.996028183574083</v>
      </c>
      <c r="JN17" s="988">
        <v>1.5</v>
      </c>
      <c r="JO17" s="988">
        <v>1.4</v>
      </c>
      <c r="JP17" s="988">
        <v>1.4</v>
      </c>
      <c r="JQ17" s="998">
        <v>2</v>
      </c>
      <c r="JR17" s="998">
        <v>2</v>
      </c>
      <c r="JS17" s="998">
        <v>1</v>
      </c>
      <c r="JT17" s="998">
        <v>1</v>
      </c>
      <c r="JU17" s="1023">
        <v>0.5</v>
      </c>
      <c r="JV17" s="1004">
        <v>2000</v>
      </c>
      <c r="JW17" s="1019">
        <v>269.20068727688226</v>
      </c>
      <c r="JX17" s="1019">
        <v>500</v>
      </c>
      <c r="JY17" s="1022">
        <v>1.3</v>
      </c>
      <c r="JZ17" s="1022">
        <v>0.7</v>
      </c>
      <c r="KA17" s="1022">
        <v>0.7</v>
      </c>
      <c r="KB17" s="1023">
        <v>2</v>
      </c>
      <c r="KC17" s="1023">
        <v>1.5</v>
      </c>
      <c r="KD17" s="1023">
        <v>0.5</v>
      </c>
      <c r="KE17" s="1023">
        <v>1</v>
      </c>
      <c r="KF17" s="1023">
        <v>0.5</v>
      </c>
      <c r="KG17" s="1033">
        <v>5.5095053328162624</v>
      </c>
      <c r="KH17" s="997">
        <v>0</v>
      </c>
      <c r="KI17" s="997">
        <v>94.151633233306313</v>
      </c>
      <c r="KJ17" s="997"/>
      <c r="KK17" s="997">
        <v>8.2123089238349822E-2</v>
      </c>
      <c r="KL17" s="997">
        <v>0.25466452925427668</v>
      </c>
      <c r="KM17" s="997">
        <v>0</v>
      </c>
      <c r="KN17" s="997">
        <v>0</v>
      </c>
      <c r="KO17" s="997"/>
      <c r="KP17" s="1006">
        <v>580</v>
      </c>
      <c r="KQ17" s="1006">
        <v>580</v>
      </c>
      <c r="KR17" s="1006">
        <v>580</v>
      </c>
      <c r="KS17" s="1006">
        <v>580</v>
      </c>
      <c r="KT17" s="1006"/>
      <c r="KU17" s="1006">
        <v>580</v>
      </c>
      <c r="KV17" s="1006">
        <v>580</v>
      </c>
      <c r="KW17" s="1006">
        <v>580</v>
      </c>
      <c r="KX17" s="1006">
        <v>580</v>
      </c>
      <c r="KY17" s="993">
        <v>370</v>
      </c>
      <c r="KZ17" s="993">
        <v>370</v>
      </c>
      <c r="LA17" s="993">
        <v>370</v>
      </c>
      <c r="LB17" s="993">
        <v>370</v>
      </c>
      <c r="LC17" s="993"/>
      <c r="LD17" s="993">
        <v>370</v>
      </c>
      <c r="LE17" s="993">
        <v>370</v>
      </c>
      <c r="LF17" s="993">
        <v>370</v>
      </c>
      <c r="LG17" s="993">
        <v>370</v>
      </c>
      <c r="LH17" s="995">
        <v>0</v>
      </c>
      <c r="LI17" s="995">
        <v>10</v>
      </c>
      <c r="LJ17" s="995">
        <v>20</v>
      </c>
      <c r="LK17" s="995">
        <v>70</v>
      </c>
      <c r="LL17" s="995">
        <v>100</v>
      </c>
      <c r="LM17" s="1004">
        <v>1000</v>
      </c>
      <c r="LN17" s="1019">
        <v>22.949900728126259</v>
      </c>
      <c r="LO17" s="988">
        <v>29</v>
      </c>
      <c r="LP17" s="988">
        <v>0.9</v>
      </c>
      <c r="LQ17" s="988">
        <v>1.1000000000000001</v>
      </c>
      <c r="LR17" s="988">
        <v>1.1000000000000001</v>
      </c>
      <c r="LS17" s="1023">
        <v>2</v>
      </c>
      <c r="LT17" s="1023">
        <v>1</v>
      </c>
      <c r="LU17" s="1023">
        <v>0.5</v>
      </c>
      <c r="LV17" s="1023">
        <v>0.7</v>
      </c>
      <c r="LW17" s="1023">
        <v>0.2</v>
      </c>
      <c r="LX17" s="1004">
        <v>1500</v>
      </c>
      <c r="LY17" s="1008">
        <v>500</v>
      </c>
      <c r="LZ17" s="1008">
        <v>1</v>
      </c>
      <c r="MA17" s="997" t="s">
        <v>2914</v>
      </c>
      <c r="MB17" s="1023" t="s">
        <v>905</v>
      </c>
      <c r="MC17" s="1023" t="s">
        <v>2932</v>
      </c>
      <c r="MD17" s="1024" t="s">
        <v>906</v>
      </c>
      <c r="ME17" s="1009">
        <v>0.5</v>
      </c>
      <c r="MF17" s="1010">
        <v>0.75</v>
      </c>
      <c r="MG17" s="1010">
        <v>1</v>
      </c>
      <c r="MH17" s="1010">
        <v>2</v>
      </c>
      <c r="MI17" s="1010">
        <v>0.5</v>
      </c>
      <c r="MJ17" s="1010">
        <v>0.75</v>
      </c>
      <c r="MK17" s="1010">
        <v>1</v>
      </c>
      <c r="ML17" s="1010">
        <v>2</v>
      </c>
      <c r="MM17" s="1010">
        <v>0</v>
      </c>
      <c r="MN17" s="1010">
        <v>0.5</v>
      </c>
      <c r="MO17" s="1010">
        <v>1</v>
      </c>
      <c r="MP17" s="1010">
        <v>2</v>
      </c>
      <c r="MQ17" s="1010">
        <v>0</v>
      </c>
      <c r="MR17" s="1010">
        <v>0.5</v>
      </c>
      <c r="MS17" s="1010">
        <v>1</v>
      </c>
      <c r="MT17" s="1010">
        <v>2</v>
      </c>
      <c r="MU17" s="1001">
        <v>0</v>
      </c>
      <c r="MV17" s="1001">
        <v>0</v>
      </c>
      <c r="MW17" s="1001">
        <v>0</v>
      </c>
      <c r="MX17" s="1025">
        <v>0</v>
      </c>
      <c r="MY17" s="1025">
        <v>0</v>
      </c>
      <c r="MZ17" s="1025">
        <v>0</v>
      </c>
      <c r="NA17" s="1025">
        <v>0</v>
      </c>
      <c r="NB17" s="1025">
        <v>0</v>
      </c>
      <c r="NC17" s="1025">
        <v>0</v>
      </c>
      <c r="ND17" s="1025">
        <v>0</v>
      </c>
      <c r="NE17" s="1025">
        <v>0</v>
      </c>
      <c r="NF17" s="1025">
        <v>0</v>
      </c>
      <c r="NG17" s="1025">
        <v>0</v>
      </c>
      <c r="NH17" s="1025">
        <v>0</v>
      </c>
      <c r="NI17" s="1025">
        <v>0</v>
      </c>
      <c r="NJ17" s="1025">
        <v>0</v>
      </c>
      <c r="NK17" s="1025">
        <v>0</v>
      </c>
      <c r="NL17" s="1025">
        <v>0</v>
      </c>
      <c r="NM17" s="1025">
        <v>0</v>
      </c>
      <c r="NN17" s="1025">
        <v>0</v>
      </c>
      <c r="NO17" s="1025">
        <v>0</v>
      </c>
      <c r="NP17" s="1025">
        <v>0</v>
      </c>
      <c r="NQ17" s="1025">
        <v>0</v>
      </c>
      <c r="NR17" s="1025">
        <v>0</v>
      </c>
      <c r="NS17" s="1025">
        <v>0</v>
      </c>
      <c r="NT17" s="1025">
        <v>0</v>
      </c>
      <c r="NU17" s="1025">
        <v>0</v>
      </c>
      <c r="NV17" s="1025">
        <v>1.0176591648410001</v>
      </c>
      <c r="NW17" s="1025">
        <v>0</v>
      </c>
      <c r="NX17" s="1025">
        <v>0</v>
      </c>
      <c r="NY17" s="1025">
        <v>0</v>
      </c>
      <c r="NZ17" s="1025">
        <v>0.12966616084977001</v>
      </c>
      <c r="OA17" s="1025">
        <v>-4.7769516728624497</v>
      </c>
      <c r="OB17" s="1025">
        <v>1.5619492800343899</v>
      </c>
      <c r="OC17" s="1025">
        <v>0</v>
      </c>
      <c r="OD17" s="1025">
        <v>0</v>
      </c>
      <c r="OE17" s="1025">
        <v>0</v>
      </c>
      <c r="OF17" s="1025">
        <v>-2.0938267493649999E-2</v>
      </c>
      <c r="OG17" s="1025">
        <v>-1.53851980910537</v>
      </c>
      <c r="OH17" s="1025">
        <v>0.61924886720112005</v>
      </c>
      <c r="OI17" s="1025">
        <v>0</v>
      </c>
      <c r="OJ17" s="1025">
        <v>0</v>
      </c>
      <c r="OK17" s="1025">
        <v>0</v>
      </c>
      <c r="OL17" s="1025">
        <v>-0.68065967016492002</v>
      </c>
      <c r="OM17" s="1025">
        <v>-0.75337671079200996</v>
      </c>
      <c r="ON17" s="1025">
        <v>0.94820231566117996</v>
      </c>
      <c r="OO17" s="1025">
        <v>0</v>
      </c>
      <c r="OP17" s="1025">
        <v>0</v>
      </c>
      <c r="OQ17" s="1025">
        <v>0</v>
      </c>
      <c r="OR17" s="1025">
        <v>0.20436773511799999</v>
      </c>
      <c r="OS17" s="1025">
        <v>-0.4510158013544</v>
      </c>
      <c r="OT17" s="1025">
        <v>1.39044481054366</v>
      </c>
      <c r="OU17" s="1025">
        <v>0</v>
      </c>
      <c r="OV17" s="1025">
        <v>0</v>
      </c>
      <c r="OW17" s="1025">
        <v>0</v>
      </c>
      <c r="OX17" s="1025">
        <v>0</v>
      </c>
      <c r="OY17" s="1025">
        <v>0</v>
      </c>
      <c r="OZ17" s="1025">
        <v>-29.88</v>
      </c>
      <c r="PA17" s="1025">
        <v>-8.65</v>
      </c>
      <c r="PB17" s="1025">
        <v>-8.7520079765100005E-3</v>
      </c>
      <c r="PC17" s="1025">
        <v>0</v>
      </c>
      <c r="PD17" s="1025">
        <v>-0.51641997423084995</v>
      </c>
      <c r="PE17" s="1025">
        <v>-6.80000447667652</v>
      </c>
      <c r="PF17" s="1025">
        <v>-1.8050541516199999E-3</v>
      </c>
      <c r="PG17" s="1025">
        <v>0</v>
      </c>
      <c r="PH17" s="1025">
        <v>0</v>
      </c>
      <c r="PI17" s="1025">
        <v>0</v>
      </c>
      <c r="PJ17" s="1025">
        <v>-0.27946498819826998</v>
      </c>
      <c r="PK17" s="1025">
        <v>-6.8001427551748801</v>
      </c>
      <c r="PL17" s="1025">
        <v>0.11775727200336999</v>
      </c>
      <c r="PM17" s="1025">
        <v>0</v>
      </c>
      <c r="PN17" s="1025">
        <v>0</v>
      </c>
      <c r="PO17" s="1025">
        <v>0</v>
      </c>
      <c r="PP17" s="1025">
        <v>0</v>
      </c>
      <c r="PQ17" s="1025">
        <v>-6.7999906318797096</v>
      </c>
      <c r="PR17" s="1025">
        <v>0.76589797344513999</v>
      </c>
      <c r="PS17" s="1025">
        <v>0</v>
      </c>
      <c r="PT17" s="1025">
        <v>0</v>
      </c>
      <c r="PU17" s="1025">
        <v>0</v>
      </c>
      <c r="PV17" s="1025">
        <v>-7.8266946191469997E-2</v>
      </c>
      <c r="PW17" s="1025">
        <v>0</v>
      </c>
      <c r="PX17" s="1025">
        <v>0</v>
      </c>
      <c r="PY17" s="1025">
        <v>0</v>
      </c>
      <c r="PZ17" s="1025">
        <v>0</v>
      </c>
      <c r="QA17" s="1025">
        <v>0</v>
      </c>
      <c r="QB17" s="1025">
        <v>0</v>
      </c>
      <c r="QC17" s="1025">
        <v>0</v>
      </c>
      <c r="QD17" s="1025">
        <v>-29.88</v>
      </c>
      <c r="QE17" s="1025">
        <v>-8.65</v>
      </c>
      <c r="QF17" s="1025">
        <v>-1.4071151716500601</v>
      </c>
      <c r="QG17" s="1025">
        <v>0</v>
      </c>
      <c r="QH17" s="1025">
        <v>-0.24143070044709</v>
      </c>
      <c r="QI17" s="1025">
        <v>-3.49983558040118</v>
      </c>
      <c r="QJ17" s="1025">
        <v>-0.24093340634346</v>
      </c>
      <c r="QK17" s="1025">
        <v>0</v>
      </c>
      <c r="QL17" s="1025">
        <v>6.02333515859E-3</v>
      </c>
      <c r="QM17" s="1025">
        <v>0</v>
      </c>
      <c r="QN17" s="1025">
        <v>0.27452644188774</v>
      </c>
      <c r="QO17" s="1025">
        <v>-3.4999325509240502</v>
      </c>
      <c r="QP17" s="1025">
        <v>0</v>
      </c>
      <c r="QQ17" s="1025">
        <v>0</v>
      </c>
      <c r="QR17" s="1025">
        <v>0</v>
      </c>
      <c r="QS17" s="1025">
        <v>0</v>
      </c>
      <c r="QT17" s="1025">
        <v>-0.28587830080366999</v>
      </c>
      <c r="QU17" s="1025">
        <v>-3.5</v>
      </c>
      <c r="QV17" s="1025">
        <v>0</v>
      </c>
      <c r="QW17" s="1025">
        <v>0</v>
      </c>
      <c r="QX17" s="1025">
        <v>0</v>
      </c>
      <c r="QY17" s="1025">
        <v>0</v>
      </c>
      <c r="QZ17" s="1025">
        <v>0</v>
      </c>
      <c r="RA17" s="1025">
        <v>0</v>
      </c>
      <c r="RB17" s="1025">
        <v>0</v>
      </c>
      <c r="RC17" s="1025">
        <v>0</v>
      </c>
      <c r="RD17" s="1025">
        <v>0</v>
      </c>
      <c r="RE17" s="1025">
        <v>0</v>
      </c>
      <c r="RF17" s="1025">
        <v>0</v>
      </c>
      <c r="RG17" s="1025">
        <v>0</v>
      </c>
      <c r="RH17" s="1011">
        <v>-1.26470588235294</v>
      </c>
      <c r="RI17" s="1026">
        <v>0</v>
      </c>
      <c r="RJ17" s="1026">
        <v>-1.26470588235294</v>
      </c>
      <c r="RK17" s="1026">
        <v>-4.2483660130719997E-2</v>
      </c>
      <c r="RL17" s="1026">
        <v>0</v>
      </c>
      <c r="RM17" s="1011">
        <v>-4.0631808278867103</v>
      </c>
      <c r="RN17" s="1011">
        <v>0</v>
      </c>
      <c r="RO17" s="1011">
        <v>0</v>
      </c>
      <c r="RP17" s="1011">
        <v>0</v>
      </c>
      <c r="RQ17" s="1011">
        <v>0</v>
      </c>
      <c r="RR17" s="1011">
        <v>0</v>
      </c>
      <c r="RS17" s="1011">
        <v>0</v>
      </c>
      <c r="RT17" s="1011">
        <v>0</v>
      </c>
      <c r="RU17" s="1011">
        <v>0</v>
      </c>
      <c r="RV17" s="1011">
        <v>0</v>
      </c>
      <c r="RW17" s="1011">
        <v>0</v>
      </c>
      <c r="RX17" s="1011">
        <v>0</v>
      </c>
      <c r="RY17" s="1011">
        <v>-0.18019480519480999</v>
      </c>
      <c r="RZ17" s="1026">
        <v>0</v>
      </c>
      <c r="SA17" s="1026">
        <v>0</v>
      </c>
      <c r="SB17" s="1026">
        <v>0</v>
      </c>
      <c r="SC17" s="1026">
        <v>0</v>
      </c>
      <c r="SD17" s="1026">
        <v>0</v>
      </c>
      <c r="SE17" s="1026">
        <v>0</v>
      </c>
      <c r="SF17" s="1026">
        <v>0</v>
      </c>
      <c r="SG17" s="1026">
        <v>0</v>
      </c>
      <c r="SH17" s="1026">
        <v>0</v>
      </c>
      <c r="SI17" s="1026">
        <v>0</v>
      </c>
      <c r="SJ17" s="1026">
        <v>0</v>
      </c>
      <c r="SK17" s="1026">
        <v>0</v>
      </c>
      <c r="SL17" s="1025">
        <v>-29.88</v>
      </c>
      <c r="SM17" s="1025">
        <v>-8.65</v>
      </c>
      <c r="SN17" s="1025">
        <v>-0.56358653697700001</v>
      </c>
      <c r="SO17" s="1025">
        <v>-1.0611908805519999E-2</v>
      </c>
      <c r="SP17" s="1025">
        <v>-0.34433562800363998</v>
      </c>
      <c r="SQ17" s="1025">
        <v>0</v>
      </c>
      <c r="SR17" s="1025">
        <v>-0.13878908135356999</v>
      </c>
      <c r="SS17" s="1025">
        <v>0</v>
      </c>
      <c r="ST17" s="1025">
        <v>-0.13878908135356999</v>
      </c>
      <c r="SU17" s="1025">
        <v>0</v>
      </c>
      <c r="SV17" s="1025">
        <v>0</v>
      </c>
      <c r="SW17" s="1025">
        <v>0</v>
      </c>
      <c r="SX17" s="1025">
        <v>0</v>
      </c>
      <c r="SY17" s="1025">
        <v>0</v>
      </c>
      <c r="SZ17" s="1025">
        <v>0</v>
      </c>
      <c r="TA17" s="1025">
        <v>0</v>
      </c>
      <c r="TB17" s="1025">
        <v>0</v>
      </c>
      <c r="TC17" s="1025">
        <v>0</v>
      </c>
      <c r="TD17" s="1025">
        <v>0</v>
      </c>
      <c r="TE17" s="1025">
        <v>0</v>
      </c>
      <c r="TF17" s="1025">
        <v>0</v>
      </c>
      <c r="TG17" s="1025">
        <v>0</v>
      </c>
      <c r="TH17" s="1025">
        <v>0</v>
      </c>
      <c r="TI17" s="1025">
        <v>0</v>
      </c>
      <c r="TJ17" s="1025">
        <v>0</v>
      </c>
      <c r="TK17" s="1025">
        <v>0</v>
      </c>
      <c r="TL17" s="1025">
        <v>0</v>
      </c>
      <c r="TM17" s="1025">
        <v>0</v>
      </c>
      <c r="TN17" s="1025">
        <v>0</v>
      </c>
      <c r="TO17" s="1025">
        <v>0</v>
      </c>
      <c r="TP17" s="1025">
        <v>-29.88</v>
      </c>
      <c r="TQ17" s="1025">
        <v>-8.65</v>
      </c>
      <c r="TR17" s="1025">
        <v>0</v>
      </c>
      <c r="TS17" s="1025">
        <v>0</v>
      </c>
      <c r="TT17" s="1025">
        <v>0</v>
      </c>
      <c r="TU17" s="1025">
        <v>0</v>
      </c>
      <c r="TV17" s="1025">
        <v>0</v>
      </c>
      <c r="TW17" s="1025">
        <v>0</v>
      </c>
      <c r="TX17" s="1025">
        <v>0</v>
      </c>
      <c r="TY17" s="1025">
        <v>0</v>
      </c>
      <c r="TZ17" s="1025">
        <v>0</v>
      </c>
      <c r="UA17" s="1025">
        <v>0</v>
      </c>
      <c r="UB17" s="1025">
        <v>0</v>
      </c>
      <c r="UC17" s="1025">
        <v>0</v>
      </c>
      <c r="UD17" s="1025">
        <v>0</v>
      </c>
      <c r="UE17" s="1025">
        <v>0</v>
      </c>
      <c r="UF17" s="1025">
        <v>0</v>
      </c>
      <c r="UG17" s="1025">
        <v>0</v>
      </c>
      <c r="UH17" s="1025">
        <v>0</v>
      </c>
      <c r="UI17" s="1025">
        <v>0</v>
      </c>
      <c r="UJ17" s="1025">
        <v>0</v>
      </c>
      <c r="UK17" s="1025">
        <v>0</v>
      </c>
      <c r="UL17" s="1025">
        <v>0</v>
      </c>
      <c r="UM17" s="1025">
        <v>0</v>
      </c>
      <c r="UN17" s="1025">
        <v>0</v>
      </c>
      <c r="UO17" s="1025">
        <v>0</v>
      </c>
      <c r="UP17" s="1025">
        <v>0</v>
      </c>
      <c r="UQ17" s="1025">
        <v>0</v>
      </c>
      <c r="UR17" s="1025">
        <v>0</v>
      </c>
      <c r="US17" s="1025">
        <v>0</v>
      </c>
      <c r="UT17" s="1025">
        <v>0.26682003338162003</v>
      </c>
      <c r="UU17" s="1025">
        <v>0</v>
      </c>
      <c r="UV17" s="1025">
        <v>0</v>
      </c>
      <c r="UW17" s="1025">
        <v>0</v>
      </c>
      <c r="UX17" s="1025">
        <v>0.13644287601555999</v>
      </c>
      <c r="UY17" s="1025">
        <v>-0.18277741810789999</v>
      </c>
      <c r="UZ17" s="1025">
        <v>4.6105681688E-4</v>
      </c>
      <c r="VA17" s="1025">
        <v>0</v>
      </c>
      <c r="VB17" s="1025">
        <v>0</v>
      </c>
      <c r="VC17" s="1025">
        <v>0</v>
      </c>
      <c r="VD17" s="1025">
        <v>-8.3326178474809998E-2</v>
      </c>
      <c r="VE17" s="1025">
        <v>-6.5019367810993796</v>
      </c>
      <c r="VF17" s="1025">
        <v>-6.7697632871819999E-2</v>
      </c>
      <c r="VG17" s="1025">
        <v>0</v>
      </c>
      <c r="VH17" s="1025">
        <v>0.30528137561411001</v>
      </c>
      <c r="VI17" s="1025">
        <v>0</v>
      </c>
      <c r="VJ17" s="1025">
        <v>0</v>
      </c>
      <c r="VK17" s="1025">
        <v>-3.5000095542009801</v>
      </c>
      <c r="VL17" s="1025">
        <v>-6.8451035355799996E-3</v>
      </c>
      <c r="VM17" s="1025">
        <v>0</v>
      </c>
      <c r="VN17" s="1025">
        <v>-6.8451035355799996E-3</v>
      </c>
      <c r="VO17" s="1025">
        <v>0</v>
      </c>
      <c r="VP17" s="1025">
        <v>0</v>
      </c>
      <c r="VQ17" s="1025">
        <v>-4.3057690568767502</v>
      </c>
      <c r="VR17" s="1010">
        <v>-1.9553784203E-4</v>
      </c>
      <c r="VS17" s="1010">
        <v>0</v>
      </c>
      <c r="VT17" s="1010">
        <v>-1.9553784203E-4</v>
      </c>
      <c r="VU17" s="1010">
        <v>0</v>
      </c>
      <c r="VV17" s="1010">
        <v>0</v>
      </c>
      <c r="VW17" s="1010">
        <v>-8.115069735338E-2</v>
      </c>
      <c r="VX17" s="1025">
        <v>0</v>
      </c>
      <c r="VY17" s="1025">
        <v>0</v>
      </c>
      <c r="VZ17" s="1025">
        <v>0</v>
      </c>
      <c r="WA17" s="1025">
        <v>0</v>
      </c>
      <c r="WB17" s="1025">
        <v>0</v>
      </c>
      <c r="WC17" s="1025">
        <v>0</v>
      </c>
      <c r="WD17" s="995">
        <v>202</v>
      </c>
      <c r="WE17" s="995">
        <v>267</v>
      </c>
      <c r="WF17" s="995">
        <v>354</v>
      </c>
      <c r="WG17" s="995">
        <v>382</v>
      </c>
      <c r="WH17" s="995">
        <v>403</v>
      </c>
      <c r="WI17" s="995">
        <v>0</v>
      </c>
      <c r="WJ17" s="995">
        <v>1300</v>
      </c>
      <c r="WK17" s="1001">
        <v>0</v>
      </c>
      <c r="WL17" s="1001">
        <v>0</v>
      </c>
      <c r="WM17" s="1001">
        <v>0</v>
      </c>
      <c r="WN17" s="1001">
        <v>0</v>
      </c>
      <c r="WO17" s="1001">
        <v>0</v>
      </c>
      <c r="WP17" s="1001">
        <v>0</v>
      </c>
      <c r="WQ17" s="1001">
        <v>0</v>
      </c>
      <c r="WR17" s="1001">
        <v>0</v>
      </c>
      <c r="WS17" s="1001">
        <v>0</v>
      </c>
      <c r="WT17" s="1001">
        <v>0</v>
      </c>
      <c r="WU17" s="1001">
        <v>0</v>
      </c>
      <c r="WV17" s="1001">
        <v>0</v>
      </c>
      <c r="WW17" s="1001">
        <v>0</v>
      </c>
      <c r="WX17" s="1001">
        <v>0</v>
      </c>
      <c r="WY17" s="1001">
        <v>0</v>
      </c>
      <c r="WZ17" s="1001">
        <v>0</v>
      </c>
      <c r="XA17" s="1001">
        <v>0</v>
      </c>
      <c r="XB17" s="1001">
        <v>0</v>
      </c>
      <c r="XC17" s="1001">
        <v>0</v>
      </c>
      <c r="XD17" s="1001">
        <v>0</v>
      </c>
      <c r="XE17" s="1001">
        <v>0</v>
      </c>
      <c r="XF17" s="1001">
        <v>0</v>
      </c>
      <c r="XG17" s="1001">
        <v>0</v>
      </c>
      <c r="XH17" s="1001">
        <v>0</v>
      </c>
      <c r="XI17" s="1001">
        <v>0</v>
      </c>
      <c r="XJ17" s="1001">
        <v>0</v>
      </c>
      <c r="XK17" s="1001">
        <v>0</v>
      </c>
      <c r="XL17" s="1001">
        <v>0</v>
      </c>
      <c r="XM17" s="1001">
        <v>0</v>
      </c>
      <c r="XN17" s="1001">
        <v>0</v>
      </c>
      <c r="XO17" s="1001">
        <v>0</v>
      </c>
      <c r="XP17" s="1001">
        <v>0</v>
      </c>
      <c r="XQ17" s="1001">
        <v>0</v>
      </c>
      <c r="XR17" s="1027">
        <v>98.438500000000005</v>
      </c>
      <c r="XS17" s="1013">
        <v>78.093173277661805</v>
      </c>
      <c r="XT17" s="1013">
        <v>86.313507306889349</v>
      </c>
      <c r="XU17" s="1013">
        <v>90.423674321503128</v>
      </c>
      <c r="XV17" s="1013">
        <v>138.92364509394574</v>
      </c>
      <c r="XW17" s="1028"/>
      <c r="XX17" s="1030">
        <v>67</v>
      </c>
      <c r="XY17" s="1030">
        <v>20</v>
      </c>
      <c r="XZ17" s="1030">
        <v>13</v>
      </c>
      <c r="YA17" s="1029">
        <v>0</v>
      </c>
      <c r="YB17" s="1030">
        <v>1972.0622899039665</v>
      </c>
      <c r="YC17" s="1030">
        <v>0</v>
      </c>
      <c r="YD17" s="1030">
        <v>0</v>
      </c>
      <c r="YE17" s="1030">
        <v>0</v>
      </c>
      <c r="YF17" s="1030">
        <v>0</v>
      </c>
      <c r="YG17" s="1030">
        <v>0</v>
      </c>
      <c r="YH17" s="1030">
        <v>493.01557247599163</v>
      </c>
      <c r="YI17" s="1030">
        <v>1327.3496182045926</v>
      </c>
      <c r="YJ17" s="1030">
        <v>2115.5405060424905</v>
      </c>
      <c r="YK17" s="1030">
        <v>0</v>
      </c>
      <c r="YL17" s="1030">
        <v>0</v>
      </c>
      <c r="YM17" s="1030">
        <v>0</v>
      </c>
      <c r="YN17" s="1030">
        <v>0</v>
      </c>
      <c r="YO17" s="1030">
        <v>0</v>
      </c>
      <c r="YP17" s="1030">
        <v>528.88512651062263</v>
      </c>
      <c r="YQ17" s="1030">
        <v>1423.9214944516762</v>
      </c>
      <c r="YR17" s="1030">
        <v>2216.280530139752</v>
      </c>
      <c r="YS17" s="1030">
        <v>0</v>
      </c>
      <c r="YT17" s="1030">
        <v>0</v>
      </c>
      <c r="YU17" s="1030">
        <v>0</v>
      </c>
      <c r="YV17" s="1030">
        <v>0</v>
      </c>
      <c r="YW17" s="1030">
        <v>0</v>
      </c>
      <c r="YX17" s="1030">
        <v>554.07013253493801</v>
      </c>
      <c r="YY17" s="1030">
        <v>1491.727279901756</v>
      </c>
      <c r="YZ17" s="1030">
        <v>3405.012814487437</v>
      </c>
      <c r="ZA17" s="1030">
        <v>0</v>
      </c>
      <c r="ZB17" s="1030">
        <v>0</v>
      </c>
      <c r="ZC17" s="1030">
        <v>0</v>
      </c>
      <c r="ZD17" s="1030">
        <v>0</v>
      </c>
      <c r="ZE17" s="1030">
        <v>0</v>
      </c>
      <c r="ZF17" s="1030">
        <v>851.25320362185926</v>
      </c>
      <c r="ZG17" s="1030">
        <v>2291.8355482126976</v>
      </c>
      <c r="ZH17" s="1030">
        <v>2210.8320082444488</v>
      </c>
      <c r="ZI17" s="1030">
        <v>61.412000229012463</v>
      </c>
      <c r="ZJ17" s="1030">
        <v>491.29600183209971</v>
      </c>
      <c r="ZK17" s="1030">
        <v>0</v>
      </c>
      <c r="ZL17" s="1030">
        <v>0</v>
      </c>
      <c r="ZM17" s="1030">
        <v>0</v>
      </c>
      <c r="ZN17" s="1030">
        <v>1535.3000057253116</v>
      </c>
      <c r="ZO17" s="1030">
        <v>1842.3600068703738</v>
      </c>
      <c r="ZP17" s="1030">
        <v>2371.6820150362273</v>
      </c>
      <c r="ZQ17" s="1030">
        <v>65.880055973228536</v>
      </c>
      <c r="ZR17" s="1030">
        <v>527.04044778582829</v>
      </c>
      <c r="ZS17" s="1030">
        <v>0</v>
      </c>
      <c r="ZT17" s="1030">
        <v>0</v>
      </c>
      <c r="ZU17" s="1030">
        <v>0</v>
      </c>
      <c r="ZV17" s="1030">
        <v>1647.0013993307134</v>
      </c>
      <c r="ZW17" s="1030">
        <v>1976.4016791968561</v>
      </c>
      <c r="ZX17" s="1030">
        <v>2484.6192538474761</v>
      </c>
      <c r="ZY17" s="1030">
        <v>69.017201495763231</v>
      </c>
      <c r="ZZ17" s="1030">
        <v>552.13761196610585</v>
      </c>
      <c r="AAA17" s="1030">
        <v>0</v>
      </c>
      <c r="AAB17" s="1030">
        <v>0</v>
      </c>
      <c r="AAC17" s="1030">
        <v>0</v>
      </c>
      <c r="AAD17" s="1030">
        <v>1725.4300373940807</v>
      </c>
      <c r="AAE17" s="1030">
        <v>2070.5160448728966</v>
      </c>
      <c r="AAF17" s="1030">
        <v>3817.2786718202137</v>
      </c>
      <c r="AAG17" s="1030">
        <v>106.03551866167261</v>
      </c>
      <c r="AAH17" s="1030">
        <v>848.28414929338089</v>
      </c>
      <c r="AAI17" s="1030">
        <v>0</v>
      </c>
      <c r="AAJ17" s="1030">
        <v>0</v>
      </c>
      <c r="AAK17" s="1030">
        <v>0</v>
      </c>
      <c r="AAL17" s="1030">
        <v>2650.8879665418153</v>
      </c>
      <c r="AAM17" s="1030">
        <v>3181.0655598501785</v>
      </c>
      <c r="AAN17" s="1030">
        <v>5883.6658283924844</v>
      </c>
      <c r="AAO17" s="1030">
        <v>163.43516189979124</v>
      </c>
      <c r="AAP17" s="1030">
        <v>1307.4812951983299</v>
      </c>
      <c r="AAQ17" s="1030">
        <v>0</v>
      </c>
      <c r="AAR17" s="1030">
        <v>0</v>
      </c>
      <c r="AAS17" s="1030">
        <v>0</v>
      </c>
      <c r="AAT17" s="1030">
        <v>4085.8790474947809</v>
      </c>
      <c r="AAU17" s="1030">
        <v>4903.0548569937373</v>
      </c>
      <c r="AAV17" s="1030">
        <v>6502.9990734864305</v>
      </c>
      <c r="AAW17" s="1030">
        <v>180.63886315240086</v>
      </c>
      <c r="AAX17" s="1030">
        <v>1445.1109052192069</v>
      </c>
      <c r="AAY17" s="1030">
        <v>0</v>
      </c>
      <c r="AAZ17" s="1030">
        <v>0</v>
      </c>
      <c r="ABA17" s="1030">
        <v>0</v>
      </c>
      <c r="ABB17" s="1030">
        <v>4515.9715788100211</v>
      </c>
      <c r="ABC17" s="1030">
        <v>5419.1658945720255</v>
      </c>
      <c r="ABD17" s="1030">
        <v>6812.665696033403</v>
      </c>
      <c r="ABE17" s="1030">
        <v>189.24071377870564</v>
      </c>
      <c r="ABF17" s="1030">
        <v>1513.9257102296451</v>
      </c>
      <c r="ABG17" s="1030">
        <v>0</v>
      </c>
      <c r="ABH17" s="1030">
        <v>0</v>
      </c>
      <c r="ABI17" s="1030">
        <v>0</v>
      </c>
      <c r="ABJ17" s="1030">
        <v>4731.0178444676412</v>
      </c>
      <c r="ABK17" s="1030">
        <v>5677.2214133611697</v>
      </c>
      <c r="ABL17" s="1030">
        <v>10466.731842087684</v>
      </c>
      <c r="ABM17" s="1030">
        <v>290.74255116910234</v>
      </c>
      <c r="ABN17" s="1030">
        <v>2325.9404093528187</v>
      </c>
      <c r="ABO17" s="1030">
        <v>0</v>
      </c>
      <c r="ABP17" s="1030">
        <v>0</v>
      </c>
      <c r="ABQ17" s="1030">
        <v>0</v>
      </c>
      <c r="ABR17" s="1030">
        <v>7268.5637792275584</v>
      </c>
      <c r="ABS17" s="1030">
        <v>8722.2765350730697</v>
      </c>
      <c r="ABT17" s="1030">
        <v>8094.4978366369323</v>
      </c>
      <c r="ABU17" s="1030">
        <v>224.84716212880369</v>
      </c>
      <c r="ABV17" s="1030">
        <v>1798.7772970304295</v>
      </c>
      <c r="ABW17" s="1030">
        <v>0</v>
      </c>
      <c r="ABX17" s="1030">
        <v>0</v>
      </c>
      <c r="ABY17" s="1030">
        <v>0</v>
      </c>
      <c r="ABZ17" s="1030">
        <v>5621.1790532200921</v>
      </c>
      <c r="ACA17" s="1030">
        <v>6745.41486386411</v>
      </c>
      <c r="ACB17" s="1030">
        <v>8568.6576027115316</v>
      </c>
      <c r="ACC17" s="1030">
        <v>238.01826674198699</v>
      </c>
      <c r="ACD17" s="1030">
        <v>1904.1461339358959</v>
      </c>
      <c r="ACE17" s="1030">
        <v>0</v>
      </c>
      <c r="ACF17" s="1030">
        <v>0</v>
      </c>
      <c r="ACG17" s="1030">
        <v>0</v>
      </c>
      <c r="ACH17" s="1030">
        <v>5950.4566685496748</v>
      </c>
      <c r="ACI17" s="1030">
        <v>7140.5480022596093</v>
      </c>
      <c r="ACJ17" s="1030">
        <v>8976.6889171263665</v>
      </c>
      <c r="ACK17" s="1030">
        <v>249.35246992017684</v>
      </c>
      <c r="ACL17" s="1030">
        <v>1994.8197593614148</v>
      </c>
      <c r="ACM17" s="1030">
        <v>0</v>
      </c>
      <c r="ACN17" s="1030">
        <v>0</v>
      </c>
      <c r="ACO17" s="1030">
        <v>0</v>
      </c>
      <c r="ACP17" s="1030">
        <v>6233.8117480044211</v>
      </c>
      <c r="ACQ17" s="1030">
        <v>7480.5740976053048</v>
      </c>
      <c r="ACR17" s="1030">
        <v>13791.45842722142</v>
      </c>
      <c r="ACS17" s="1030">
        <v>383.09606742281721</v>
      </c>
      <c r="ACT17" s="1030">
        <v>3064.7685393825377</v>
      </c>
      <c r="ACU17" s="1030">
        <v>0</v>
      </c>
      <c r="ACV17" s="1030">
        <v>0</v>
      </c>
      <c r="ACW17" s="1030">
        <v>0</v>
      </c>
      <c r="ACX17" s="1030">
        <v>9577.4016855704303</v>
      </c>
      <c r="ACY17" s="1030">
        <v>11492.882022684516</v>
      </c>
      <c r="ACZ17" s="1030">
        <v>10483.622748772063</v>
      </c>
      <c r="ADA17" s="1030">
        <v>291.21174302144618</v>
      </c>
      <c r="ADB17" s="1030">
        <v>2329.6939441715695</v>
      </c>
      <c r="ADC17" s="1030">
        <v>0</v>
      </c>
      <c r="ADD17" s="1030">
        <v>0</v>
      </c>
      <c r="ADE17" s="1030">
        <v>0</v>
      </c>
      <c r="ADF17" s="1030">
        <v>7280.293575536155</v>
      </c>
      <c r="ADG17" s="1030">
        <v>8736.3522906433864</v>
      </c>
      <c r="ADH17" s="1030">
        <v>11208.110167832496</v>
      </c>
      <c r="ADI17" s="1030">
        <v>311.33639355090264</v>
      </c>
      <c r="ADJ17" s="1030">
        <v>2490.6911484072211</v>
      </c>
      <c r="ADK17" s="1030">
        <v>0</v>
      </c>
      <c r="ADL17" s="1030">
        <v>0</v>
      </c>
      <c r="ADM17" s="1030">
        <v>0</v>
      </c>
      <c r="ADN17" s="1030">
        <v>7783.4098387725662</v>
      </c>
      <c r="ADO17" s="1030">
        <v>9340.0918065270798</v>
      </c>
      <c r="ADP17" s="1030">
        <v>11741.829699634043</v>
      </c>
      <c r="ADQ17" s="1030">
        <v>326.16193610094564</v>
      </c>
      <c r="ADR17" s="1030">
        <v>2609.2954888075651</v>
      </c>
      <c r="ADS17" s="1030">
        <v>0</v>
      </c>
      <c r="ADT17" s="1030">
        <v>0</v>
      </c>
      <c r="ADU17" s="1030">
        <v>0</v>
      </c>
      <c r="ADV17" s="1030">
        <v>8154.048402523641</v>
      </c>
      <c r="ADW17" s="1030">
        <v>9784.8580830283681</v>
      </c>
      <c r="ADX17" s="1030">
        <v>18039.720174892303</v>
      </c>
      <c r="ADY17" s="1030">
        <v>501.10333819145285</v>
      </c>
      <c r="ADZ17" s="1030">
        <v>4008.8267055316228</v>
      </c>
      <c r="AEA17" s="1030">
        <v>0</v>
      </c>
      <c r="AEB17" s="1030">
        <v>0</v>
      </c>
      <c r="AEC17" s="1030">
        <v>0</v>
      </c>
      <c r="AED17" s="1030">
        <v>12527.583454786321</v>
      </c>
      <c r="AEE17" s="1030">
        <v>15033.100145743585</v>
      </c>
      <c r="AEF17" s="1030">
        <v>12801.430499350921</v>
      </c>
      <c r="AEG17" s="1030">
        <v>355.5952916486367</v>
      </c>
      <c r="AEH17" s="1030">
        <v>2844.7623331890936</v>
      </c>
      <c r="AEI17" s="1030">
        <v>0</v>
      </c>
      <c r="AEJ17" s="1030">
        <v>0</v>
      </c>
      <c r="AEK17" s="1030">
        <v>0</v>
      </c>
      <c r="AEL17" s="1030">
        <v>8889.8822912159176</v>
      </c>
      <c r="AEM17" s="1030">
        <v>10667.858749459101</v>
      </c>
      <c r="AEN17" s="1030">
        <v>13771.056861500676</v>
      </c>
      <c r="AEO17" s="1030">
        <v>382.52935726390768</v>
      </c>
      <c r="AEP17" s="1030">
        <v>3060.2348581112615</v>
      </c>
      <c r="AEQ17" s="1030">
        <v>0</v>
      </c>
      <c r="AER17" s="1030">
        <v>0</v>
      </c>
      <c r="AES17" s="1030">
        <v>0</v>
      </c>
      <c r="AET17" s="1030">
        <v>9563.2339315976915</v>
      </c>
      <c r="AEU17" s="1030">
        <v>11475.880717917229</v>
      </c>
      <c r="AEV17" s="1030">
        <v>14426.821473953089</v>
      </c>
      <c r="AEW17" s="1030">
        <v>400.74504094314136</v>
      </c>
      <c r="AEX17" s="1030">
        <v>3205.9603275451309</v>
      </c>
      <c r="AEY17" s="1030">
        <v>0</v>
      </c>
      <c r="AEZ17" s="1030">
        <v>0</v>
      </c>
      <c r="AFA17" s="1030">
        <v>0</v>
      </c>
      <c r="AFB17" s="1030">
        <v>10018.626023578534</v>
      </c>
      <c r="AFC17" s="1030">
        <v>12022.351228294241</v>
      </c>
      <c r="AFD17" s="1030">
        <v>22164.843900891567</v>
      </c>
      <c r="AFE17" s="1030">
        <v>615.69010835809911</v>
      </c>
      <c r="AFF17" s="1030">
        <v>4925.5208668647929</v>
      </c>
      <c r="AFG17" s="1030">
        <v>0</v>
      </c>
      <c r="AFH17" s="1030">
        <v>0</v>
      </c>
      <c r="AFI17" s="1030">
        <v>0</v>
      </c>
      <c r="AFJ17" s="1030">
        <v>15392.252708952477</v>
      </c>
      <c r="AFK17" s="1030">
        <v>18470.703250742972</v>
      </c>
      <c r="AFL17" s="1023">
        <v>14762.652442148416</v>
      </c>
      <c r="AFM17" s="1023">
        <v>410.07367894856714</v>
      </c>
      <c r="AFN17" s="1023">
        <v>3280.5894315885371</v>
      </c>
      <c r="AFO17" s="1023">
        <v>0</v>
      </c>
      <c r="AFP17" s="1023">
        <v>0</v>
      </c>
      <c r="AFQ17" s="1023">
        <v>0</v>
      </c>
      <c r="AFR17" s="1023">
        <v>10251.841973714178</v>
      </c>
      <c r="AFS17" s="1023">
        <v>12302.210368457012</v>
      </c>
      <c r="AFT17" s="1023">
        <v>15683.703647820212</v>
      </c>
      <c r="AFU17" s="1023">
        <v>435.65843466167257</v>
      </c>
      <c r="AFV17" s="1023">
        <v>3485.2674772933806</v>
      </c>
      <c r="AFW17" s="1023">
        <v>0</v>
      </c>
      <c r="AFX17" s="1023">
        <v>0</v>
      </c>
      <c r="AFY17" s="1023">
        <v>0</v>
      </c>
      <c r="AFZ17" s="1023">
        <v>10891.460866541815</v>
      </c>
      <c r="AGA17" s="1023">
        <v>13069.753039850177</v>
      </c>
      <c r="AGB17" s="1023">
        <v>16430.546678668794</v>
      </c>
      <c r="AGC17" s="1023">
        <v>456.40407440746657</v>
      </c>
      <c r="AGD17" s="1023">
        <v>3651.2325952597325</v>
      </c>
      <c r="AGE17" s="1023">
        <v>0</v>
      </c>
      <c r="AGF17" s="1023">
        <v>0</v>
      </c>
      <c r="AGG17" s="1023">
        <v>0</v>
      </c>
      <c r="AGH17" s="1023">
        <v>11410.101860186664</v>
      </c>
      <c r="AGI17" s="1023">
        <v>13692.122232223996</v>
      </c>
      <c r="AGJ17" s="1023">
        <v>25243.294442682061</v>
      </c>
      <c r="AGK17" s="1023">
        <v>701.20262340783506</v>
      </c>
      <c r="AGL17" s="1023">
        <v>5609.6209872626805</v>
      </c>
      <c r="AGM17" s="1023">
        <v>0</v>
      </c>
      <c r="AGN17" s="1023">
        <v>0</v>
      </c>
      <c r="AGO17" s="1023">
        <v>0</v>
      </c>
      <c r="AGP17" s="1023">
        <v>17530.065585195876</v>
      </c>
      <c r="AGQ17" s="1023">
        <v>21036.078702235052</v>
      </c>
      <c r="AGR17" s="1030">
        <v>5883.6658283924844</v>
      </c>
      <c r="AGS17" s="1030">
        <v>163.43516189979124</v>
      </c>
      <c r="AGT17" s="1030">
        <v>1307.4812951983299</v>
      </c>
      <c r="AGU17" s="1030">
        <v>0</v>
      </c>
      <c r="AGV17" s="1030">
        <v>0</v>
      </c>
      <c r="AGW17" s="1030">
        <v>0</v>
      </c>
      <c r="AGX17" s="1030">
        <v>4085.8790474947809</v>
      </c>
      <c r="AGY17" s="1030">
        <v>4903.0548569937373</v>
      </c>
      <c r="AGZ17" s="1030">
        <v>6502.9990734864305</v>
      </c>
      <c r="AHA17" s="1030">
        <v>180.63886315240086</v>
      </c>
      <c r="AHB17" s="1030">
        <v>1445.1109052192069</v>
      </c>
      <c r="AHC17" s="1030">
        <v>0</v>
      </c>
      <c r="AHD17" s="1030">
        <v>0</v>
      </c>
      <c r="AHE17" s="1030">
        <v>0</v>
      </c>
      <c r="AHF17" s="1030">
        <v>4515.9715788100211</v>
      </c>
      <c r="AHG17" s="1030">
        <v>5419.1658945720255</v>
      </c>
      <c r="AHH17" s="1030">
        <v>6812.665696033403</v>
      </c>
      <c r="AHI17" s="1030">
        <v>189.24071377870564</v>
      </c>
      <c r="AHJ17" s="1030">
        <v>1513.9257102296451</v>
      </c>
      <c r="AHK17" s="1030">
        <v>0</v>
      </c>
      <c r="AHL17" s="1030">
        <v>0</v>
      </c>
      <c r="AHM17" s="1030">
        <v>0</v>
      </c>
      <c r="AHN17" s="1030">
        <v>4731.0178444676412</v>
      </c>
      <c r="AHO17" s="1030">
        <v>5677.2214133611697</v>
      </c>
      <c r="AHP17" s="1030">
        <v>10466.731842087684</v>
      </c>
      <c r="AHQ17" s="1030">
        <v>290.74255116910234</v>
      </c>
      <c r="AHR17" s="1030">
        <v>2325.9404093528187</v>
      </c>
      <c r="AHS17" s="1030">
        <v>0</v>
      </c>
      <c r="AHT17" s="1030">
        <v>0</v>
      </c>
      <c r="AHU17" s="1030">
        <v>0</v>
      </c>
      <c r="AHV17" s="1030">
        <v>7268.5637792275584</v>
      </c>
      <c r="AHW17" s="1030">
        <v>8722.2765350730697</v>
      </c>
      <c r="AHX17" s="1013">
        <v>165</v>
      </c>
      <c r="AHY17" s="1023">
        <v>0</v>
      </c>
      <c r="AHZ17" s="1023">
        <v>0</v>
      </c>
      <c r="AIA17" s="1023">
        <v>0</v>
      </c>
      <c r="AIB17" s="1023">
        <v>0</v>
      </c>
      <c r="AIC17" s="1023">
        <v>0</v>
      </c>
      <c r="AID17" s="1023">
        <v>0</v>
      </c>
      <c r="AIE17" s="1023">
        <v>0</v>
      </c>
      <c r="AIF17" s="1013">
        <v>420</v>
      </c>
      <c r="AIG17" s="1013">
        <v>32.409999999999997</v>
      </c>
      <c r="AIH17" s="1013">
        <v>27.01</v>
      </c>
      <c r="AII17" s="1013">
        <v>0</v>
      </c>
      <c r="AIJ17" s="1013">
        <v>2.52</v>
      </c>
      <c r="AIK17" s="1013">
        <v>3.06</v>
      </c>
      <c r="AIL17" s="1013">
        <v>0</v>
      </c>
      <c r="AIM17" s="1013">
        <v>0</v>
      </c>
      <c r="AIN17" s="1016">
        <v>350</v>
      </c>
      <c r="AIO17" s="1016">
        <v>64.819999999999993</v>
      </c>
      <c r="AIP17" s="1017">
        <v>54.02</v>
      </c>
      <c r="AIQ17" s="1017">
        <v>0</v>
      </c>
      <c r="AIR17" s="1017">
        <v>5.04</v>
      </c>
      <c r="AIS17" s="1017">
        <v>6.12</v>
      </c>
      <c r="AIT17" s="1017">
        <v>0</v>
      </c>
      <c r="AIU17" s="1017">
        <v>0</v>
      </c>
      <c r="AIV17" s="1013">
        <v>120</v>
      </c>
      <c r="AIW17" s="1013">
        <v>47.37</v>
      </c>
      <c r="AIX17" s="1013">
        <v>39.47</v>
      </c>
      <c r="AIY17" s="1013">
        <v>0</v>
      </c>
      <c r="AIZ17" s="1013">
        <v>3.68</v>
      </c>
      <c r="AJA17" s="1013">
        <v>4.4800000000000004</v>
      </c>
      <c r="AJB17" s="1013">
        <v>0</v>
      </c>
      <c r="AJC17" s="1013">
        <v>0</v>
      </c>
      <c r="AJD17" s="1013">
        <v>129.6</v>
      </c>
      <c r="AJE17" s="1013">
        <v>96.93</v>
      </c>
      <c r="AJF17" s="1013">
        <v>80.78</v>
      </c>
      <c r="AJG17" s="1013">
        <v>0</v>
      </c>
      <c r="AJH17" s="1013">
        <v>7.54</v>
      </c>
      <c r="AJI17" s="1013">
        <v>9.15</v>
      </c>
      <c r="AJJ17" s="1013">
        <v>0</v>
      </c>
      <c r="AJK17" s="1013">
        <v>0</v>
      </c>
      <c r="AJL17" s="1013">
        <v>160</v>
      </c>
      <c r="AJM17" s="1013">
        <v>17.45</v>
      </c>
      <c r="AJN17" s="1013">
        <v>14.54</v>
      </c>
      <c r="AJO17" s="1013">
        <v>0</v>
      </c>
      <c r="AJP17" s="1013">
        <v>1.36</v>
      </c>
      <c r="AJQ17" s="1013">
        <v>1.65</v>
      </c>
      <c r="AJR17" s="1013">
        <v>0</v>
      </c>
      <c r="AJS17" s="1013">
        <v>0</v>
      </c>
      <c r="AJT17" s="1029" t="s">
        <v>858</v>
      </c>
      <c r="AJU17" s="988" t="s">
        <v>861</v>
      </c>
      <c r="AJV17" s="988" t="s">
        <v>860</v>
      </c>
      <c r="AJW17" s="988" t="s">
        <v>859</v>
      </c>
      <c r="AJX17" s="988" t="s">
        <v>870</v>
      </c>
      <c r="AJY17" s="988" t="s">
        <v>871</v>
      </c>
      <c r="AJZ17" s="988" t="s">
        <v>872</v>
      </c>
      <c r="AKA17" s="988" t="s">
        <v>873</v>
      </c>
      <c r="AKB17" s="988" t="s">
        <v>874</v>
      </c>
      <c r="AKC17" s="988" t="s">
        <v>875</v>
      </c>
      <c r="AKD17" s="1013">
        <v>71.5</v>
      </c>
      <c r="AKE17" s="1013">
        <v>0</v>
      </c>
      <c r="AKF17" s="1013">
        <v>0</v>
      </c>
      <c r="AKG17" s="1013">
        <v>0</v>
      </c>
      <c r="AKH17" s="1013">
        <v>0</v>
      </c>
      <c r="AKI17" s="1013">
        <v>0</v>
      </c>
      <c r="AKJ17" s="1013">
        <v>4.125</v>
      </c>
      <c r="AKK17" s="1013">
        <v>48.124999999999993</v>
      </c>
      <c r="AKL17" s="1013">
        <v>210.16666666666666</v>
      </c>
      <c r="AKM17" s="1013">
        <v>0</v>
      </c>
      <c r="AKN17" s="1013">
        <v>0</v>
      </c>
      <c r="AKO17" s="1013">
        <v>0</v>
      </c>
      <c r="AKP17" s="1013">
        <v>0</v>
      </c>
      <c r="AKQ17" s="1013">
        <v>0</v>
      </c>
      <c r="AKR17" s="1013">
        <v>12.124999999999998</v>
      </c>
      <c r="AKS17" s="1013">
        <v>141.45833333333329</v>
      </c>
      <c r="AKT17" s="1016">
        <v>208.00000000000003</v>
      </c>
      <c r="AKU17" s="1016">
        <v>0</v>
      </c>
      <c r="AKV17" s="1017">
        <v>0</v>
      </c>
      <c r="AKW17" s="1017">
        <v>0</v>
      </c>
      <c r="AKX17" s="1017">
        <v>0</v>
      </c>
      <c r="AKY17" s="1017">
        <v>0</v>
      </c>
      <c r="AKZ17" s="1017">
        <v>12</v>
      </c>
      <c r="ALA17" s="1017">
        <v>139.99999999999997</v>
      </c>
      <c r="ALB17" s="1013">
        <v>93.166666666666671</v>
      </c>
      <c r="ALC17" s="1013">
        <v>0</v>
      </c>
      <c r="ALD17" s="1013">
        <v>0</v>
      </c>
      <c r="ALE17" s="1013">
        <v>0</v>
      </c>
      <c r="ALF17" s="1013">
        <v>0</v>
      </c>
      <c r="ALG17" s="1013">
        <v>0</v>
      </c>
      <c r="ALH17" s="1013">
        <v>5.375</v>
      </c>
      <c r="ALI17" s="1013">
        <v>62.708333333333329</v>
      </c>
      <c r="ALJ17" s="1013">
        <v>140.4</v>
      </c>
      <c r="ALK17" s="1013">
        <v>0</v>
      </c>
      <c r="ALL17" s="1013">
        <v>0</v>
      </c>
      <c r="ALM17" s="1013">
        <v>0</v>
      </c>
      <c r="ALN17" s="1013">
        <v>0</v>
      </c>
      <c r="ALO17" s="1013">
        <v>0</v>
      </c>
      <c r="ALP17" s="1013">
        <v>8.1</v>
      </c>
      <c r="ALQ17" s="1013">
        <v>94.499999999999986</v>
      </c>
      <c r="ALR17" s="1013">
        <v>84.500000000000014</v>
      </c>
      <c r="ALS17" s="1013">
        <v>0</v>
      </c>
      <c r="ALT17" s="1013">
        <v>0</v>
      </c>
      <c r="ALU17" s="1013">
        <v>0</v>
      </c>
      <c r="ALV17" s="1013">
        <v>0</v>
      </c>
      <c r="ALW17" s="1013">
        <v>0</v>
      </c>
      <c r="ALX17" s="1013">
        <v>4.875</v>
      </c>
      <c r="ALY17" s="1013">
        <v>56.874999999999993</v>
      </c>
    </row>
    <row r="18" spans="1:1013" ht="18" customHeight="1">
      <c r="A18" s="1259" t="s">
        <v>9</v>
      </c>
      <c r="B18" s="1260" t="s">
        <v>3063</v>
      </c>
      <c r="C18" s="1260">
        <v>2022</v>
      </c>
      <c r="D18" s="1269"/>
      <c r="E18" s="1270">
        <v>0.4</v>
      </c>
      <c r="F18" s="1271">
        <v>0.3</v>
      </c>
      <c r="G18" s="1271">
        <v>0.3</v>
      </c>
      <c r="H18" s="76">
        <v>87.843137254901961</v>
      </c>
      <c r="I18" s="75">
        <v>-8</v>
      </c>
      <c r="J18" s="1271">
        <v>1.7</v>
      </c>
      <c r="K18" s="1271">
        <v>1.7</v>
      </c>
      <c r="L18" s="1265">
        <v>350</v>
      </c>
      <c r="M18" s="1262">
        <v>0</v>
      </c>
      <c r="N18" s="1262">
        <v>0</v>
      </c>
      <c r="O18" s="1262">
        <v>0</v>
      </c>
      <c r="P18" s="76">
        <v>895.19880529538739</v>
      </c>
      <c r="Q18" s="75">
        <v>12</v>
      </c>
      <c r="R18" s="72">
        <v>0.8</v>
      </c>
      <c r="S18" s="72">
        <v>0.7</v>
      </c>
      <c r="T18" s="72">
        <v>0.7</v>
      </c>
      <c r="U18" s="1271">
        <v>0</v>
      </c>
      <c r="V18" s="1271">
        <v>0</v>
      </c>
      <c r="W18" s="1271">
        <v>100</v>
      </c>
      <c r="X18" s="1271">
        <v>0</v>
      </c>
      <c r="Y18" s="1272">
        <v>0</v>
      </c>
      <c r="Z18" s="75">
        <v>2</v>
      </c>
      <c r="AA18" s="72">
        <v>1.5</v>
      </c>
      <c r="AB18" s="75">
        <v>1</v>
      </c>
      <c r="AC18" s="72">
        <v>0.8</v>
      </c>
      <c r="AD18" s="72">
        <v>0.5</v>
      </c>
      <c r="AE18" s="390">
        <v>433.01922201480062</v>
      </c>
      <c r="AF18" s="390">
        <v>470.67306740739195</v>
      </c>
      <c r="AG18" s="390">
        <v>433.37222681535616</v>
      </c>
      <c r="AH18" s="390">
        <v>649.0581599547935</v>
      </c>
      <c r="AI18" s="400">
        <v>0.82209484106305364</v>
      </c>
      <c r="AJ18" s="390">
        <v>261.91600618637949</v>
      </c>
      <c r="AK18" s="390">
        <v>284.69131107215162</v>
      </c>
      <c r="AL18" s="390">
        <v>262.12952466968363</v>
      </c>
      <c r="AM18" s="390">
        <v>392.58931796849708</v>
      </c>
      <c r="AN18" s="400">
        <v>0.96717040125065135</v>
      </c>
      <c r="AO18" s="77">
        <v>0.3</v>
      </c>
      <c r="AP18" s="77">
        <v>0.6</v>
      </c>
      <c r="AQ18" s="77">
        <v>1.3</v>
      </c>
      <c r="AR18" s="77">
        <v>1.7</v>
      </c>
      <c r="AS18" s="77">
        <v>2.1</v>
      </c>
      <c r="AT18" s="77">
        <v>2.5</v>
      </c>
      <c r="AU18" s="77">
        <v>3</v>
      </c>
      <c r="AV18" s="1268">
        <v>0</v>
      </c>
      <c r="AW18" s="1268">
        <v>10</v>
      </c>
      <c r="AX18" s="1268">
        <v>20</v>
      </c>
      <c r="AY18" s="1268">
        <v>70</v>
      </c>
      <c r="AZ18" s="1268">
        <v>100</v>
      </c>
      <c r="BA18" s="1019">
        <v>11452.017290637184</v>
      </c>
      <c r="BB18" s="1031">
        <v>1.83</v>
      </c>
      <c r="BC18" s="988">
        <v>0.6</v>
      </c>
      <c r="BD18" s="988">
        <v>0.4</v>
      </c>
      <c r="BE18" s="988">
        <v>0.4</v>
      </c>
      <c r="BF18" s="1021">
        <v>0.16481681552762376</v>
      </c>
      <c r="BG18" s="1021">
        <v>0.17073463250837553</v>
      </c>
      <c r="BH18" s="1020">
        <v>4.2128321585382765E-4</v>
      </c>
      <c r="BI18" s="1020">
        <v>1.9720938945041499E-3</v>
      </c>
      <c r="BJ18" s="1020">
        <v>1.0406336514744103</v>
      </c>
      <c r="BK18" s="1020">
        <v>33.827219725237256</v>
      </c>
      <c r="BL18" s="1020">
        <v>1.3576309547428567</v>
      </c>
      <c r="BM18" s="1020">
        <v>0.23152260210401657</v>
      </c>
      <c r="BN18" s="1020">
        <v>62.279146471656908</v>
      </c>
      <c r="BO18" s="1020">
        <v>0.21675326733372083</v>
      </c>
      <c r="BP18" s="1020">
        <v>6.4596759764253579E-3</v>
      </c>
      <c r="BQ18" s="1020">
        <v>6.105553852954025E-4</v>
      </c>
      <c r="BR18" s="1020">
        <v>0.128283792004417</v>
      </c>
      <c r="BS18" s="1020"/>
      <c r="BT18" s="1020">
        <v>0.42297445427109592</v>
      </c>
      <c r="BU18" s="1020">
        <v>1.2809451983497542E-2</v>
      </c>
      <c r="BV18" s="1020">
        <v>0.47356202071974651</v>
      </c>
      <c r="BW18" s="993">
        <v>261.13475999999997</v>
      </c>
      <c r="BX18" s="993">
        <v>96.5</v>
      </c>
      <c r="BY18" s="993">
        <v>63.215999999999994</v>
      </c>
      <c r="BZ18" s="993">
        <v>233.35949490734063</v>
      </c>
      <c r="CA18" s="993">
        <v>157.40783999999999</v>
      </c>
      <c r="CB18" s="990"/>
      <c r="CC18" s="993">
        <v>256.20808011776955</v>
      </c>
      <c r="CD18" s="993">
        <v>165.17663999999999</v>
      </c>
      <c r="CE18" s="990"/>
      <c r="CF18" s="989">
        <v>0</v>
      </c>
      <c r="CG18" s="993">
        <v>6.585</v>
      </c>
      <c r="CH18" s="993">
        <v>1.3169999999999999</v>
      </c>
      <c r="CI18" s="993">
        <v>38</v>
      </c>
      <c r="CJ18" s="993">
        <v>225.83915999999996</v>
      </c>
      <c r="CK18" s="990">
        <v>0.2</v>
      </c>
      <c r="CL18" s="993">
        <v>175.08124000000001</v>
      </c>
      <c r="CM18" s="993">
        <v>60.4</v>
      </c>
      <c r="CN18" s="993">
        <v>42.384</v>
      </c>
      <c r="CO18" s="993">
        <v>156.45894761061641</v>
      </c>
      <c r="CP18" s="993">
        <v>105.53616</v>
      </c>
      <c r="CQ18" s="990"/>
      <c r="CR18" s="993">
        <v>159.24945066654416</v>
      </c>
      <c r="CS18" s="993">
        <v>102.66767999999999</v>
      </c>
      <c r="CT18" s="990"/>
      <c r="CU18" s="993">
        <v>0</v>
      </c>
      <c r="CV18" s="993">
        <v>4.415</v>
      </c>
      <c r="CW18" s="993">
        <v>0.88300000000000001</v>
      </c>
      <c r="CX18" s="993">
        <v>27</v>
      </c>
      <c r="CY18" s="993">
        <v>151.41683999999998</v>
      </c>
      <c r="CZ18" s="990">
        <v>0.2</v>
      </c>
      <c r="DA18" s="988">
        <v>0.3</v>
      </c>
      <c r="DB18" s="988">
        <v>0.7</v>
      </c>
      <c r="DC18" s="988">
        <v>1.2</v>
      </c>
      <c r="DD18" s="988">
        <v>1.2</v>
      </c>
      <c r="DE18" s="1022">
        <v>3</v>
      </c>
      <c r="DF18" s="995">
        <v>0</v>
      </c>
      <c r="DG18" s="995">
        <v>10</v>
      </c>
      <c r="DH18" s="995">
        <v>20</v>
      </c>
      <c r="DI18" s="995">
        <v>70</v>
      </c>
      <c r="DJ18" s="995">
        <v>100</v>
      </c>
      <c r="DK18" s="1017">
        <v>80.067301337672987</v>
      </c>
      <c r="DL18" s="1022">
        <v>18</v>
      </c>
      <c r="DM18" s="989">
        <v>12</v>
      </c>
      <c r="DN18" s="988">
        <v>1.4</v>
      </c>
      <c r="DO18" s="988">
        <v>1.5</v>
      </c>
      <c r="DP18" s="988">
        <v>1.5</v>
      </c>
      <c r="DQ18" s="988" t="s">
        <v>647</v>
      </c>
      <c r="DR18" s="988" t="s">
        <v>648</v>
      </c>
      <c r="DS18" s="988" t="s">
        <v>649</v>
      </c>
      <c r="DT18" s="988" t="s">
        <v>650</v>
      </c>
      <c r="DU18" s="988" t="s">
        <v>651</v>
      </c>
      <c r="DV18" s="988" t="s">
        <v>652</v>
      </c>
      <c r="DW18" s="988" t="s">
        <v>640</v>
      </c>
      <c r="DX18" s="997">
        <v>599.12359428473121</v>
      </c>
      <c r="DY18" s="997">
        <v>687.01418028951286</v>
      </c>
      <c r="DZ18" s="997">
        <v>323.9910154637542</v>
      </c>
      <c r="EA18" s="997">
        <v>3190.1049666385361</v>
      </c>
      <c r="EB18" s="997">
        <v>146.52407276967594</v>
      </c>
      <c r="EC18" s="997">
        <v>452.9488657786186</v>
      </c>
      <c r="ED18" s="997">
        <v>0</v>
      </c>
      <c r="EE18" s="1022">
        <v>5.3997066952248289</v>
      </c>
      <c r="EF18" s="1022">
        <v>18</v>
      </c>
      <c r="EG18" s="991">
        <v>5</v>
      </c>
      <c r="EH18" s="1023">
        <v>1.4</v>
      </c>
      <c r="EI18" s="1023">
        <v>1.5</v>
      </c>
      <c r="EJ18" s="1023">
        <v>1.5</v>
      </c>
      <c r="EK18" s="988" t="s">
        <v>686</v>
      </c>
      <c r="EL18" s="988" t="s">
        <v>705</v>
      </c>
      <c r="EM18" s="987" t="s">
        <v>718</v>
      </c>
      <c r="EN18" s="988" t="s">
        <v>733</v>
      </c>
      <c r="EO18" s="988" t="s">
        <v>745</v>
      </c>
      <c r="EP18" s="988" t="s">
        <v>755</v>
      </c>
      <c r="EQ18" s="988" t="s">
        <v>640</v>
      </c>
      <c r="ER18" s="988" t="s">
        <v>640</v>
      </c>
      <c r="ES18" s="988" t="s">
        <v>640</v>
      </c>
      <c r="ET18" s="988" t="s">
        <v>640</v>
      </c>
      <c r="EU18" s="988" t="s">
        <v>640</v>
      </c>
      <c r="EV18" s="988" t="s">
        <v>640</v>
      </c>
      <c r="EW18" s="988" t="s">
        <v>640</v>
      </c>
      <c r="EX18" s="988" t="s">
        <v>640</v>
      </c>
      <c r="EY18" s="988" t="s">
        <v>640</v>
      </c>
      <c r="EZ18" s="988" t="s">
        <v>640</v>
      </c>
      <c r="FA18" s="988" t="s">
        <v>640</v>
      </c>
      <c r="FB18" s="988" t="s">
        <v>640</v>
      </c>
      <c r="FC18" s="988" t="s">
        <v>640</v>
      </c>
      <c r="FD18" s="988" t="s">
        <v>640</v>
      </c>
      <c r="FE18" s="988" t="s">
        <v>640</v>
      </c>
      <c r="FF18" s="988" t="s">
        <v>640</v>
      </c>
      <c r="FG18" s="988" t="s">
        <v>640</v>
      </c>
      <c r="FH18" s="988" t="s">
        <v>640</v>
      </c>
      <c r="FI18" s="988" t="s">
        <v>640</v>
      </c>
      <c r="FJ18" s="988" t="s">
        <v>640</v>
      </c>
      <c r="FK18" s="988" t="s">
        <v>640</v>
      </c>
      <c r="FL18" s="988" t="s">
        <v>640</v>
      </c>
      <c r="FM18" s="988" t="s">
        <v>640</v>
      </c>
      <c r="FN18" s="988" t="s">
        <v>640</v>
      </c>
      <c r="FO18" s="988" t="s">
        <v>640</v>
      </c>
      <c r="FP18" s="988" t="s">
        <v>640</v>
      </c>
      <c r="FQ18" s="988" t="s">
        <v>640</v>
      </c>
      <c r="FR18" s="988" t="s">
        <v>640</v>
      </c>
      <c r="FS18" s="988" t="s">
        <v>640</v>
      </c>
      <c r="FT18" s="988" t="s">
        <v>640</v>
      </c>
      <c r="FU18" s="988" t="s">
        <v>640</v>
      </c>
      <c r="FV18" s="988" t="s">
        <v>640</v>
      </c>
      <c r="FW18" s="988" t="s">
        <v>640</v>
      </c>
      <c r="FX18" s="988" t="s">
        <v>640</v>
      </c>
      <c r="FY18" s="988" t="s">
        <v>640</v>
      </c>
      <c r="FZ18" s="988" t="s">
        <v>640</v>
      </c>
      <c r="GA18" s="988" t="s">
        <v>640</v>
      </c>
      <c r="GB18" s="988" t="s">
        <v>640</v>
      </c>
      <c r="GC18" s="988" t="s">
        <v>640</v>
      </c>
      <c r="GD18" s="988" t="s">
        <v>640</v>
      </c>
      <c r="GE18" s="988" t="s">
        <v>640</v>
      </c>
      <c r="GF18" s="988" t="s">
        <v>640</v>
      </c>
      <c r="GG18" s="988" t="s">
        <v>640</v>
      </c>
      <c r="GH18" s="988" t="s">
        <v>640</v>
      </c>
      <c r="GI18" s="988" t="s">
        <v>640</v>
      </c>
      <c r="GJ18" s="988" t="s">
        <v>640</v>
      </c>
      <c r="GK18" s="988" t="s">
        <v>640</v>
      </c>
      <c r="GL18" s="988" t="s">
        <v>640</v>
      </c>
      <c r="GM18" s="988" t="s">
        <v>640</v>
      </c>
      <c r="GN18" s="988" t="s">
        <v>640</v>
      </c>
      <c r="GO18" s="988" t="s">
        <v>640</v>
      </c>
      <c r="GP18" s="988" t="s">
        <v>640</v>
      </c>
      <c r="GQ18" s="997">
        <v>89.018083837642934</v>
      </c>
      <c r="GR18" s="997">
        <v>19.540554988750891</v>
      </c>
      <c r="GS18" s="997">
        <v>37.633661459816523</v>
      </c>
      <c r="GT18" s="997">
        <v>104.9400175321807</v>
      </c>
      <c r="GU18" s="997">
        <v>478.3817350949754</v>
      </c>
      <c r="GV18" s="997">
        <v>103.49256901449546</v>
      </c>
      <c r="GW18" s="997">
        <v>117.24332993250532</v>
      </c>
      <c r="GX18" s="997">
        <v>102.76884475565281</v>
      </c>
      <c r="GY18" s="997">
        <v>137.50760918009883</v>
      </c>
      <c r="GZ18" s="997">
        <v>214.22238061741717</v>
      </c>
      <c r="HA18" s="997">
        <v>94.084153649541307</v>
      </c>
      <c r="HB18" s="997">
        <v>111.45353586176432</v>
      </c>
      <c r="HC18" s="997">
        <v>159.21933694537759</v>
      </c>
      <c r="HD18" s="997">
        <v>385.74502996311935</v>
      </c>
      <c r="HE18" s="997">
        <v>159.21933694537759</v>
      </c>
      <c r="HF18" s="997">
        <v>83.228289766901923</v>
      </c>
      <c r="HG18" s="997">
        <v>405.28558495187036</v>
      </c>
      <c r="HH18" s="997">
        <v>117.24332993250532</v>
      </c>
      <c r="HI18" s="997">
        <v>80.333392731531418</v>
      </c>
      <c r="HJ18" s="997">
        <v>303.96418871390267</v>
      </c>
      <c r="HK18" s="997">
        <v>125.92802103861683</v>
      </c>
      <c r="HL18" s="997">
        <v>212.05120784088928</v>
      </c>
      <c r="HM18" s="997">
        <v>759.91047178475674</v>
      </c>
      <c r="HN18" s="997">
        <v>81.057116990374041</v>
      </c>
      <c r="HO18" s="997">
        <v>109.28236308523644</v>
      </c>
      <c r="HP18" s="997">
        <v>84.675738284587183</v>
      </c>
      <c r="HQ18" s="997">
        <v>401.66696365765716</v>
      </c>
      <c r="HR18" s="997">
        <v>79.609668472688796</v>
      </c>
      <c r="HS18" s="997">
        <v>108.55863882639383</v>
      </c>
      <c r="HT18" s="997">
        <v>132.44153936820047</v>
      </c>
      <c r="HU18" s="997">
        <v>0</v>
      </c>
      <c r="HV18" s="997">
        <v>0</v>
      </c>
      <c r="HW18" s="997">
        <v>0</v>
      </c>
      <c r="HX18" s="997">
        <v>0</v>
      </c>
      <c r="HY18" s="997">
        <v>0</v>
      </c>
      <c r="HZ18" s="997">
        <v>0</v>
      </c>
      <c r="IA18" s="997">
        <v>0</v>
      </c>
      <c r="IB18" s="997">
        <v>0</v>
      </c>
      <c r="IC18" s="997">
        <v>0</v>
      </c>
      <c r="ID18" s="997">
        <v>0</v>
      </c>
      <c r="IE18" s="997">
        <v>0</v>
      </c>
      <c r="IF18" s="997">
        <v>0</v>
      </c>
      <c r="IG18" s="997">
        <v>0</v>
      </c>
      <c r="IH18" s="997">
        <v>0</v>
      </c>
      <c r="II18" s="997">
        <v>0</v>
      </c>
      <c r="IJ18" s="997">
        <v>0</v>
      </c>
      <c r="IK18" s="997">
        <v>0</v>
      </c>
      <c r="IL18" s="997">
        <v>0</v>
      </c>
      <c r="IM18" s="997">
        <v>0</v>
      </c>
      <c r="IN18" s="997">
        <v>0</v>
      </c>
      <c r="IO18" s="997">
        <v>0</v>
      </c>
      <c r="IP18" s="997">
        <v>0</v>
      </c>
      <c r="IQ18" s="997">
        <v>0</v>
      </c>
      <c r="IR18" s="997">
        <v>0</v>
      </c>
      <c r="IS18" s="997">
        <v>0</v>
      </c>
      <c r="IT18" s="997">
        <v>0</v>
      </c>
      <c r="IU18" s="997">
        <v>0</v>
      </c>
      <c r="IV18" s="997">
        <v>0</v>
      </c>
      <c r="IW18" s="1019">
        <v>1439.8069003939363</v>
      </c>
      <c r="IX18" s="1022">
        <v>179.9</v>
      </c>
      <c r="IY18" s="998">
        <v>2647.0800000000199</v>
      </c>
      <c r="IZ18" s="429">
        <v>12.64</v>
      </c>
      <c r="JA18" s="1022">
        <v>50</v>
      </c>
      <c r="JB18" s="988">
        <v>1.4</v>
      </c>
      <c r="JC18" s="988">
        <v>1.5</v>
      </c>
      <c r="JD18" s="988">
        <v>1.5</v>
      </c>
      <c r="JE18" s="998">
        <v>2</v>
      </c>
      <c r="JF18" s="1023">
        <v>1.5</v>
      </c>
      <c r="JG18" s="1023">
        <v>0.7</v>
      </c>
      <c r="JH18" s="1023">
        <v>0.7</v>
      </c>
      <c r="JI18" s="1023">
        <v>0.5</v>
      </c>
      <c r="JJ18" s="1019">
        <v>26.35122266081386</v>
      </c>
      <c r="JK18" s="998">
        <v>2647.0800000000199</v>
      </c>
      <c r="JL18" s="429">
        <v>12.64</v>
      </c>
      <c r="JM18" s="1022">
        <v>50</v>
      </c>
      <c r="JN18" s="988">
        <v>3.1</v>
      </c>
      <c r="JO18" s="988">
        <v>1.6</v>
      </c>
      <c r="JP18" s="988">
        <v>1.6</v>
      </c>
      <c r="JQ18" s="998">
        <v>2</v>
      </c>
      <c r="JR18" s="998">
        <v>2</v>
      </c>
      <c r="JS18" s="998">
        <v>1</v>
      </c>
      <c r="JT18" s="998">
        <v>1</v>
      </c>
      <c r="JU18" s="1023">
        <v>0.5</v>
      </c>
      <c r="JV18" s="1004">
        <v>2000</v>
      </c>
      <c r="JW18" s="1019">
        <v>232.81921603432133</v>
      </c>
      <c r="JX18" s="1019">
        <v>500</v>
      </c>
      <c r="JY18" s="1022">
        <v>2.1</v>
      </c>
      <c r="JZ18" s="1022">
        <v>0.8</v>
      </c>
      <c r="KA18" s="1022">
        <v>0.8</v>
      </c>
      <c r="KB18" s="1023">
        <v>2</v>
      </c>
      <c r="KC18" s="1023">
        <v>1.5</v>
      </c>
      <c r="KD18" s="1023">
        <v>0.5</v>
      </c>
      <c r="KE18" s="1023">
        <v>1</v>
      </c>
      <c r="KF18" s="1023">
        <v>0.5</v>
      </c>
      <c r="KG18" s="997">
        <v>1.6285807680961835</v>
      </c>
      <c r="KH18" s="997">
        <v>2.3918295103924994E-3</v>
      </c>
      <c r="KI18" s="997">
        <v>96.654500227223807</v>
      </c>
      <c r="KJ18" s="997"/>
      <c r="KK18" s="997">
        <v>0.66862796686518855</v>
      </c>
      <c r="KL18" s="997">
        <v>1.0363637813230007</v>
      </c>
      <c r="KM18" s="997">
        <v>9.5354269814314305E-3</v>
      </c>
      <c r="KN18" s="997"/>
      <c r="KO18" s="997"/>
      <c r="KP18" s="1006">
        <v>580</v>
      </c>
      <c r="KQ18" s="1006">
        <v>580</v>
      </c>
      <c r="KR18" s="1006">
        <v>580</v>
      </c>
      <c r="KS18" s="1006">
        <v>580</v>
      </c>
      <c r="KT18" s="1006"/>
      <c r="KU18" s="1006">
        <v>580</v>
      </c>
      <c r="KV18" s="1006">
        <v>580</v>
      </c>
      <c r="KW18" s="1006">
        <v>580</v>
      </c>
      <c r="KX18" s="1006">
        <v>580</v>
      </c>
      <c r="KY18" s="993">
        <v>370</v>
      </c>
      <c r="KZ18" s="993">
        <v>370</v>
      </c>
      <c r="LA18" s="993">
        <v>370</v>
      </c>
      <c r="LB18" s="993">
        <v>370</v>
      </c>
      <c r="LC18" s="993"/>
      <c r="LD18" s="993">
        <v>370</v>
      </c>
      <c r="LE18" s="993">
        <v>370</v>
      </c>
      <c r="LF18" s="993">
        <v>370</v>
      </c>
      <c r="LG18" s="993">
        <v>370</v>
      </c>
      <c r="LH18" s="995">
        <v>0</v>
      </c>
      <c r="LI18" s="995">
        <v>10</v>
      </c>
      <c r="LJ18" s="995">
        <v>20</v>
      </c>
      <c r="LK18" s="995">
        <v>70</v>
      </c>
      <c r="LL18" s="995">
        <v>100</v>
      </c>
      <c r="LM18" s="1004">
        <v>1000</v>
      </c>
      <c r="LN18" s="1019">
        <v>103.61864696140913</v>
      </c>
      <c r="LO18" s="988">
        <v>29</v>
      </c>
      <c r="LP18" s="988">
        <v>1.1000000000000001</v>
      </c>
      <c r="LQ18" s="988">
        <v>0.4</v>
      </c>
      <c r="LR18" s="988">
        <v>0.4</v>
      </c>
      <c r="LS18" s="1023">
        <v>2</v>
      </c>
      <c r="LT18" s="1023">
        <v>1</v>
      </c>
      <c r="LU18" s="1023">
        <v>0.5</v>
      </c>
      <c r="LV18" s="1023">
        <v>0.7</v>
      </c>
      <c r="LW18" s="1023">
        <v>0.2</v>
      </c>
      <c r="LX18" s="1004">
        <v>1500</v>
      </c>
      <c r="LY18" s="1008">
        <v>500</v>
      </c>
      <c r="LZ18" s="1008">
        <v>1</v>
      </c>
      <c r="MA18" s="997" t="s">
        <v>2914</v>
      </c>
      <c r="MB18" s="1023" t="s">
        <v>905</v>
      </c>
      <c r="MC18" s="1023" t="s">
        <v>2932</v>
      </c>
      <c r="MD18" s="1024" t="s">
        <v>906</v>
      </c>
      <c r="ME18" s="1009">
        <v>0.5</v>
      </c>
      <c r="MF18" s="1010">
        <v>0.75</v>
      </c>
      <c r="MG18" s="1010">
        <v>1</v>
      </c>
      <c r="MH18" s="1010">
        <v>2</v>
      </c>
      <c r="MI18" s="1010">
        <v>0.5</v>
      </c>
      <c r="MJ18" s="1010">
        <v>0.75</v>
      </c>
      <c r="MK18" s="1010">
        <v>1</v>
      </c>
      <c r="ML18" s="1010">
        <v>2</v>
      </c>
      <c r="MM18" s="1010">
        <v>0</v>
      </c>
      <c r="MN18" s="1010">
        <v>0.5</v>
      </c>
      <c r="MO18" s="1010">
        <v>1</v>
      </c>
      <c r="MP18" s="1010">
        <v>2</v>
      </c>
      <c r="MQ18" s="1010">
        <v>0</v>
      </c>
      <c r="MR18" s="1010">
        <v>0.5</v>
      </c>
      <c r="MS18" s="1010">
        <v>1</v>
      </c>
      <c r="MT18" s="1010">
        <v>2</v>
      </c>
      <c r="MU18" s="1001">
        <v>0</v>
      </c>
      <c r="MV18" s="1001">
        <v>0</v>
      </c>
      <c r="MW18" s="1001">
        <v>0</v>
      </c>
      <c r="MX18" s="1025">
        <v>0</v>
      </c>
      <c r="MY18" s="1025">
        <v>0</v>
      </c>
      <c r="MZ18" s="1025">
        <v>0</v>
      </c>
      <c r="NA18" s="1025">
        <v>0</v>
      </c>
      <c r="NB18" s="1025">
        <v>0</v>
      </c>
      <c r="NC18" s="1025">
        <v>0</v>
      </c>
      <c r="ND18" s="1025">
        <v>0</v>
      </c>
      <c r="NE18" s="1025">
        <v>0</v>
      </c>
      <c r="NF18" s="1025">
        <v>0</v>
      </c>
      <c r="NG18" s="1025">
        <v>0</v>
      </c>
      <c r="NH18" s="1025">
        <v>0</v>
      </c>
      <c r="NI18" s="1025">
        <v>0</v>
      </c>
      <c r="NJ18" s="1025">
        <v>0</v>
      </c>
      <c r="NK18" s="1025">
        <v>0</v>
      </c>
      <c r="NL18" s="1025">
        <v>0</v>
      </c>
      <c r="NM18" s="1025">
        <v>0</v>
      </c>
      <c r="NN18" s="1025">
        <v>0</v>
      </c>
      <c r="NO18" s="1025">
        <v>0</v>
      </c>
      <c r="NP18" s="1025">
        <v>0</v>
      </c>
      <c r="NQ18" s="1025">
        <v>0</v>
      </c>
      <c r="NR18" s="1025">
        <v>0</v>
      </c>
      <c r="NS18" s="1025">
        <v>0</v>
      </c>
      <c r="NT18" s="1025">
        <v>0</v>
      </c>
      <c r="NU18" s="1025">
        <v>0</v>
      </c>
      <c r="NV18" s="1025">
        <v>1.45209651534145</v>
      </c>
      <c r="NW18" s="1025">
        <v>0</v>
      </c>
      <c r="NX18" s="1025">
        <v>9.2339740341160007E-2</v>
      </c>
      <c r="NY18" s="1025">
        <v>0.42718249509931999</v>
      </c>
      <c r="NZ18" s="1025">
        <v>1.0550435108851399</v>
      </c>
      <c r="OA18" s="1025">
        <v>0</v>
      </c>
      <c r="OB18" s="1025">
        <v>1.22237807948984</v>
      </c>
      <c r="OC18" s="1025">
        <v>0</v>
      </c>
      <c r="OD18" s="1025">
        <v>3.8082232145640001E-2</v>
      </c>
      <c r="OE18" s="1025">
        <v>0.25811924099877998</v>
      </c>
      <c r="OF18" s="1025">
        <v>-5.4587120771889999E-2</v>
      </c>
      <c r="OG18" s="1025">
        <v>0</v>
      </c>
      <c r="OH18" s="1025">
        <v>1.1929076523597799</v>
      </c>
      <c r="OI18" s="1025">
        <v>0</v>
      </c>
      <c r="OJ18" s="1025">
        <v>0.15977164547573999</v>
      </c>
      <c r="OK18" s="1025">
        <v>0.34889046219742997</v>
      </c>
      <c r="OL18" s="1025">
        <v>0</v>
      </c>
      <c r="OM18" s="1025">
        <v>0</v>
      </c>
      <c r="ON18" s="1025">
        <v>1.1766390099489501</v>
      </c>
      <c r="OO18" s="1025">
        <v>0</v>
      </c>
      <c r="OP18" s="1025">
        <v>6.2428732656630001E-2</v>
      </c>
      <c r="OQ18" s="1025">
        <v>0.27483464532584001</v>
      </c>
      <c r="OR18" s="1025">
        <v>0.45783039953347998</v>
      </c>
      <c r="OS18" s="1025">
        <v>0</v>
      </c>
      <c r="OT18" s="1025">
        <v>0.94569320959915004</v>
      </c>
      <c r="OU18" s="1025">
        <v>0</v>
      </c>
      <c r="OV18" s="1025">
        <v>0.22004347615552</v>
      </c>
      <c r="OW18" s="1025">
        <v>0.29847790368624999</v>
      </c>
      <c r="OX18" s="1025">
        <v>0</v>
      </c>
      <c r="OY18" s="1025">
        <v>0</v>
      </c>
      <c r="OZ18" s="1025">
        <v>-64.3</v>
      </c>
      <c r="PA18" s="1025">
        <v>-18.3</v>
      </c>
      <c r="PB18" s="1025">
        <v>-0.46874513985337002</v>
      </c>
      <c r="PC18" s="1025">
        <v>0</v>
      </c>
      <c r="PD18" s="1025">
        <v>-1.2449880109042399</v>
      </c>
      <c r="PE18" s="1025">
        <v>0</v>
      </c>
      <c r="PF18" s="1025">
        <v>-9.522607641993E-2</v>
      </c>
      <c r="PG18" s="1025">
        <v>0</v>
      </c>
      <c r="PH18" s="1025">
        <v>0</v>
      </c>
      <c r="PI18" s="1025">
        <v>0</v>
      </c>
      <c r="PJ18" s="1025">
        <v>-1.17033815566563</v>
      </c>
      <c r="PK18" s="1025">
        <v>0</v>
      </c>
      <c r="PL18" s="1025">
        <v>0</v>
      </c>
      <c r="PM18" s="1025">
        <v>0</v>
      </c>
      <c r="PN18" s="1025">
        <v>0</v>
      </c>
      <c r="PO18" s="1025">
        <v>0</v>
      </c>
      <c r="PP18" s="1025">
        <v>0</v>
      </c>
      <c r="PQ18" s="1025">
        <v>0</v>
      </c>
      <c r="PR18" s="1025">
        <v>-3.2216189399199999E-2</v>
      </c>
      <c r="PS18" s="1025">
        <v>0</v>
      </c>
      <c r="PT18" s="1025">
        <v>0</v>
      </c>
      <c r="PU18" s="1025">
        <v>0</v>
      </c>
      <c r="PV18" s="1025">
        <v>6.3237341989370005E-2</v>
      </c>
      <c r="PW18" s="1025">
        <v>0</v>
      </c>
      <c r="PX18" s="1025">
        <v>0</v>
      </c>
      <c r="PY18" s="1025">
        <v>0</v>
      </c>
      <c r="PZ18" s="1025">
        <v>0</v>
      </c>
      <c r="QA18" s="1025">
        <v>0</v>
      </c>
      <c r="QB18" s="1025">
        <v>0</v>
      </c>
      <c r="QC18" s="1025">
        <v>0</v>
      </c>
      <c r="QD18" s="1025">
        <v>-64.3</v>
      </c>
      <c r="QE18" s="1025">
        <v>-18.3</v>
      </c>
      <c r="QF18" s="1025">
        <v>-0.15628680225793001</v>
      </c>
      <c r="QG18" s="1025">
        <v>0</v>
      </c>
      <c r="QH18" s="1025">
        <v>3.3292577501759998E-2</v>
      </c>
      <c r="QI18" s="1025">
        <v>0</v>
      </c>
      <c r="QJ18" s="1025">
        <v>4.73204347219E-2</v>
      </c>
      <c r="QK18" s="1025">
        <v>0</v>
      </c>
      <c r="QL18" s="1025">
        <v>0</v>
      </c>
      <c r="QM18" s="1025">
        <v>0</v>
      </c>
      <c r="QN18" s="1025">
        <v>1.01331104917075</v>
      </c>
      <c r="QO18" s="1025">
        <v>0</v>
      </c>
      <c r="QP18" s="1025">
        <v>0</v>
      </c>
      <c r="QQ18" s="1025">
        <v>0</v>
      </c>
      <c r="QR18" s="1025">
        <v>0</v>
      </c>
      <c r="QS18" s="1025">
        <v>0</v>
      </c>
      <c r="QT18" s="1025">
        <v>0</v>
      </c>
      <c r="QU18" s="1025">
        <v>0</v>
      </c>
      <c r="QV18" s="1025">
        <v>0.48250400565308998</v>
      </c>
      <c r="QW18" s="1025">
        <v>0</v>
      </c>
      <c r="QX18" s="1025">
        <v>0</v>
      </c>
      <c r="QY18" s="1025">
        <v>0</v>
      </c>
      <c r="QZ18" s="1025">
        <v>1.8710287900995</v>
      </c>
      <c r="RA18" s="1025">
        <v>0</v>
      </c>
      <c r="RB18" s="1025">
        <v>0</v>
      </c>
      <c r="RC18" s="1025">
        <v>0</v>
      </c>
      <c r="RD18" s="1025">
        <v>0</v>
      </c>
      <c r="RE18" s="1025">
        <v>0</v>
      </c>
      <c r="RF18" s="1025">
        <v>0</v>
      </c>
      <c r="RG18" s="1025">
        <v>0</v>
      </c>
      <c r="RH18" s="1011">
        <v>0</v>
      </c>
      <c r="RI18" s="1026">
        <v>0</v>
      </c>
      <c r="RJ18" s="1026">
        <v>0</v>
      </c>
      <c r="RK18" s="1026">
        <v>0</v>
      </c>
      <c r="RL18" s="1026">
        <v>0</v>
      </c>
      <c r="RM18" s="1011">
        <v>0</v>
      </c>
      <c r="RN18" s="1011">
        <v>0</v>
      </c>
      <c r="RO18" s="1011">
        <v>0</v>
      </c>
      <c r="RP18" s="1011">
        <v>0</v>
      </c>
      <c r="RQ18" s="1011">
        <v>0</v>
      </c>
      <c r="RR18" s="1011">
        <v>0</v>
      </c>
      <c r="RS18" s="1011">
        <v>0</v>
      </c>
      <c r="RT18" s="1011">
        <v>0</v>
      </c>
      <c r="RU18" s="1011">
        <v>0</v>
      </c>
      <c r="RV18" s="1011">
        <v>0</v>
      </c>
      <c r="RW18" s="1011">
        <v>0</v>
      </c>
      <c r="RX18" s="1011">
        <v>0</v>
      </c>
      <c r="RY18" s="1011">
        <v>0</v>
      </c>
      <c r="RZ18" s="1026">
        <v>0</v>
      </c>
      <c r="SA18" s="1026">
        <v>0</v>
      </c>
      <c r="SB18" s="1026">
        <v>0</v>
      </c>
      <c r="SC18" s="1026">
        <v>0</v>
      </c>
      <c r="SD18" s="1026">
        <v>0</v>
      </c>
      <c r="SE18" s="1026">
        <v>0</v>
      </c>
      <c r="SF18" s="1026">
        <v>0</v>
      </c>
      <c r="SG18" s="1026">
        <v>0</v>
      </c>
      <c r="SH18" s="1026">
        <v>0</v>
      </c>
      <c r="SI18" s="1026">
        <v>0</v>
      </c>
      <c r="SJ18" s="1026">
        <v>0</v>
      </c>
      <c r="SK18" s="1026">
        <v>0</v>
      </c>
      <c r="SL18" s="1025">
        <v>-64.3</v>
      </c>
      <c r="SM18" s="1025">
        <v>-18.3</v>
      </c>
      <c r="SN18" s="1025">
        <v>-0.45635288235843002</v>
      </c>
      <c r="SO18" s="1025">
        <v>0</v>
      </c>
      <c r="SP18" s="1025">
        <v>-1.5542292241404501</v>
      </c>
      <c r="SQ18" s="1025">
        <v>0</v>
      </c>
      <c r="SR18" s="1025">
        <v>-3.245622328456E-2</v>
      </c>
      <c r="SS18" s="1025">
        <v>0</v>
      </c>
      <c r="ST18" s="1025">
        <v>0</v>
      </c>
      <c r="SU18" s="1025">
        <v>0</v>
      </c>
      <c r="SV18" s="1025">
        <v>-0.15731441802044999</v>
      </c>
      <c r="SW18" s="1025">
        <v>0</v>
      </c>
      <c r="SX18" s="1025">
        <v>-0.33770277650898001</v>
      </c>
      <c r="SY18" s="1025">
        <v>0</v>
      </c>
      <c r="SZ18" s="1025">
        <v>0</v>
      </c>
      <c r="TA18" s="1025">
        <v>0</v>
      </c>
      <c r="TB18" s="1025">
        <v>-1.65090020760176</v>
      </c>
      <c r="TC18" s="1025">
        <v>0</v>
      </c>
      <c r="TD18" s="1025">
        <v>0</v>
      </c>
      <c r="TE18" s="1025">
        <v>0</v>
      </c>
      <c r="TF18" s="1025">
        <v>0</v>
      </c>
      <c r="TG18" s="1025">
        <v>0</v>
      </c>
      <c r="TH18" s="1025">
        <v>0</v>
      </c>
      <c r="TI18" s="1025">
        <v>0</v>
      </c>
      <c r="TJ18" s="1025">
        <v>0</v>
      </c>
      <c r="TK18" s="1025">
        <v>0</v>
      </c>
      <c r="TL18" s="1025">
        <v>0</v>
      </c>
      <c r="TM18" s="1025">
        <v>0</v>
      </c>
      <c r="TN18" s="1025">
        <v>0</v>
      </c>
      <c r="TO18" s="1025">
        <v>0</v>
      </c>
      <c r="TP18" s="1025">
        <v>-64.3</v>
      </c>
      <c r="TQ18" s="1025">
        <v>-18.3</v>
      </c>
      <c r="TR18" s="1025">
        <v>0</v>
      </c>
      <c r="TS18" s="1025">
        <v>0</v>
      </c>
      <c r="TT18" s="1025">
        <v>0</v>
      </c>
      <c r="TU18" s="1025">
        <v>0</v>
      </c>
      <c r="TV18" s="1025">
        <v>0</v>
      </c>
      <c r="TW18" s="1025">
        <v>0</v>
      </c>
      <c r="TX18" s="1025">
        <v>0</v>
      </c>
      <c r="TY18" s="1025">
        <v>0</v>
      </c>
      <c r="TZ18" s="1025">
        <v>0</v>
      </c>
      <c r="UA18" s="1025">
        <v>0</v>
      </c>
      <c r="UB18" s="1025">
        <v>0</v>
      </c>
      <c r="UC18" s="1025">
        <v>0</v>
      </c>
      <c r="UD18" s="1025">
        <v>0</v>
      </c>
      <c r="UE18" s="1025">
        <v>0</v>
      </c>
      <c r="UF18" s="1025">
        <v>0</v>
      </c>
      <c r="UG18" s="1025">
        <v>0</v>
      </c>
      <c r="UH18" s="1025">
        <v>0</v>
      </c>
      <c r="UI18" s="1025">
        <v>0</v>
      </c>
      <c r="UJ18" s="1025">
        <v>0</v>
      </c>
      <c r="UK18" s="1025">
        <v>0</v>
      </c>
      <c r="UL18" s="1025">
        <v>0</v>
      </c>
      <c r="UM18" s="1025">
        <v>0</v>
      </c>
      <c r="UN18" s="1025">
        <v>0</v>
      </c>
      <c r="UO18" s="1025">
        <v>0</v>
      </c>
      <c r="UP18" s="1025">
        <v>0</v>
      </c>
      <c r="UQ18" s="1025">
        <v>0</v>
      </c>
      <c r="UR18" s="1025">
        <v>0</v>
      </c>
      <c r="US18" s="1025">
        <v>0</v>
      </c>
      <c r="UT18" s="1025">
        <v>0.53969021984191001</v>
      </c>
      <c r="UU18" s="1025">
        <v>0</v>
      </c>
      <c r="UV18" s="1025">
        <v>-1.913233535772E-2</v>
      </c>
      <c r="UW18" s="1025">
        <v>0</v>
      </c>
      <c r="UX18" s="1025">
        <v>0</v>
      </c>
      <c r="UY18" s="1025">
        <v>0</v>
      </c>
      <c r="UZ18" s="1025">
        <v>-2.28026132635E-3</v>
      </c>
      <c r="VA18" s="1025">
        <v>0</v>
      </c>
      <c r="VB18" s="1025">
        <v>0</v>
      </c>
      <c r="VC18" s="1025">
        <v>0</v>
      </c>
      <c r="VD18" s="1025">
        <v>0.12654728415607999</v>
      </c>
      <c r="VE18" s="1025">
        <v>0</v>
      </c>
      <c r="VF18" s="1025">
        <v>2.4082336498319999E-2</v>
      </c>
      <c r="VG18" s="1025">
        <v>0</v>
      </c>
      <c r="VH18" s="1025">
        <v>0</v>
      </c>
      <c r="VI18" s="1025">
        <v>0</v>
      </c>
      <c r="VJ18" s="1025">
        <v>-8.5576434740000003E-5</v>
      </c>
      <c r="VK18" s="1025">
        <v>0</v>
      </c>
      <c r="VL18" s="1025">
        <v>0</v>
      </c>
      <c r="VM18" s="1025">
        <v>0</v>
      </c>
      <c r="VN18" s="1025">
        <v>0</v>
      </c>
      <c r="VO18" s="1025">
        <v>0</v>
      </c>
      <c r="VP18" s="1025">
        <v>0</v>
      </c>
      <c r="VQ18" s="1025">
        <v>0</v>
      </c>
      <c r="VR18" s="1010">
        <v>0</v>
      </c>
      <c r="VS18" s="1010">
        <v>0</v>
      </c>
      <c r="VT18" s="1010">
        <v>0</v>
      </c>
      <c r="VU18" s="1010">
        <v>0</v>
      </c>
      <c r="VV18" s="1010">
        <v>0</v>
      </c>
      <c r="VW18" s="1010">
        <v>0</v>
      </c>
      <c r="VX18" s="1025">
        <v>-3.030870802351E-2</v>
      </c>
      <c r="VY18" s="1025">
        <v>0</v>
      </c>
      <c r="VZ18" s="1025">
        <v>0</v>
      </c>
      <c r="WA18" s="1025">
        <v>0</v>
      </c>
      <c r="WB18" s="1025">
        <v>0</v>
      </c>
      <c r="WC18" s="1025">
        <v>0</v>
      </c>
      <c r="WD18" s="995">
        <v>202</v>
      </c>
      <c r="WE18" s="995">
        <v>267</v>
      </c>
      <c r="WF18" s="995">
        <v>354</v>
      </c>
      <c r="WG18" s="995">
        <v>382</v>
      </c>
      <c r="WH18" s="995">
        <v>403</v>
      </c>
      <c r="WI18" s="995">
        <v>0</v>
      </c>
      <c r="WJ18" s="995">
        <v>1300</v>
      </c>
      <c r="WK18" s="1001">
        <v>0</v>
      </c>
      <c r="WL18" s="1001">
        <v>0</v>
      </c>
      <c r="WM18" s="1001">
        <v>0</v>
      </c>
      <c r="WN18" s="1001">
        <v>0</v>
      </c>
      <c r="WO18" s="1001">
        <v>0</v>
      </c>
      <c r="WP18" s="1001">
        <v>0</v>
      </c>
      <c r="WQ18" s="1001">
        <v>0</v>
      </c>
      <c r="WR18" s="1001">
        <v>0</v>
      </c>
      <c r="WS18" s="1001">
        <v>0</v>
      </c>
      <c r="WT18" s="1001">
        <v>0</v>
      </c>
      <c r="WU18" s="1001">
        <v>0</v>
      </c>
      <c r="WV18" s="1001">
        <v>0</v>
      </c>
      <c r="WW18" s="1001">
        <v>0</v>
      </c>
      <c r="WX18" s="1001">
        <v>0</v>
      </c>
      <c r="WY18" s="1001">
        <v>0</v>
      </c>
      <c r="WZ18" s="1001">
        <v>0</v>
      </c>
      <c r="XA18" s="1001">
        <v>0</v>
      </c>
      <c r="XB18" s="1001">
        <v>0</v>
      </c>
      <c r="XC18" s="1001">
        <v>0</v>
      </c>
      <c r="XD18" s="1001">
        <v>0</v>
      </c>
      <c r="XE18" s="1001">
        <v>0</v>
      </c>
      <c r="XF18" s="1001">
        <v>0</v>
      </c>
      <c r="XG18" s="1001">
        <v>0</v>
      </c>
      <c r="XH18" s="1001">
        <v>0</v>
      </c>
      <c r="XI18" s="1001">
        <v>0</v>
      </c>
      <c r="XJ18" s="1001">
        <v>0</v>
      </c>
      <c r="XK18" s="1001">
        <v>0</v>
      </c>
      <c r="XL18" s="1001">
        <v>0</v>
      </c>
      <c r="XM18" s="1001">
        <v>0</v>
      </c>
      <c r="XN18" s="1001">
        <v>0</v>
      </c>
      <c r="XO18" s="1001">
        <v>0</v>
      </c>
      <c r="XP18" s="1001">
        <v>0</v>
      </c>
      <c r="XQ18" s="1001">
        <v>0</v>
      </c>
      <c r="XR18" s="1027">
        <v>91.661299999999997</v>
      </c>
      <c r="XS18" s="1013">
        <v>72.716688935281837</v>
      </c>
      <c r="XT18" s="1013">
        <v>80.371077244258871</v>
      </c>
      <c r="XU18" s="1013">
        <v>84.19827139874738</v>
      </c>
      <c r="XV18" s="1013">
        <v>129.35916242171189</v>
      </c>
      <c r="XW18" s="1028">
        <v>15470.29919</v>
      </c>
      <c r="XX18" s="1013">
        <v>80</v>
      </c>
      <c r="XY18" s="1013">
        <v>12</v>
      </c>
      <c r="XZ18" s="1013">
        <v>8</v>
      </c>
      <c r="YA18" s="1029">
        <v>0</v>
      </c>
      <c r="YB18" s="1030">
        <v>1928.8669467541197</v>
      </c>
      <c r="YC18" s="1030">
        <v>0</v>
      </c>
      <c r="YD18" s="1030">
        <v>0</v>
      </c>
      <c r="YE18" s="1030">
        <v>0</v>
      </c>
      <c r="YF18" s="1030">
        <v>0</v>
      </c>
      <c r="YG18" s="1030">
        <v>0</v>
      </c>
      <c r="YH18" s="1030">
        <v>1248.090377311489</v>
      </c>
      <c r="YI18" s="1030">
        <v>170.19414236065757</v>
      </c>
      <c r="YJ18" s="1030">
        <v>2069.2024676479955</v>
      </c>
      <c r="YK18" s="1030">
        <v>0</v>
      </c>
      <c r="YL18" s="1030">
        <v>0</v>
      </c>
      <c r="YM18" s="1030">
        <v>0</v>
      </c>
      <c r="YN18" s="1030">
        <v>0</v>
      </c>
      <c r="YO18" s="1030">
        <v>0</v>
      </c>
      <c r="YP18" s="1030">
        <v>1338.8957143604673</v>
      </c>
      <c r="YQ18" s="1030">
        <v>182.5766883218819</v>
      </c>
      <c r="YR18" s="1030">
        <v>2167.7359184883762</v>
      </c>
      <c r="YS18" s="1030">
        <v>0</v>
      </c>
      <c r="YT18" s="1030">
        <v>0</v>
      </c>
      <c r="YU18" s="1030">
        <v>0</v>
      </c>
      <c r="YV18" s="1030">
        <v>0</v>
      </c>
      <c r="YW18" s="1030">
        <v>0</v>
      </c>
      <c r="YX18" s="1030">
        <v>1402.6526531395373</v>
      </c>
      <c r="YY18" s="1030">
        <v>191.27081633720962</v>
      </c>
      <c r="YZ18" s="1030">
        <v>3330.4306384048691</v>
      </c>
      <c r="ZA18" s="1030">
        <v>0</v>
      </c>
      <c r="ZB18" s="1030">
        <v>0</v>
      </c>
      <c r="ZC18" s="1030">
        <v>0</v>
      </c>
      <c r="ZD18" s="1030">
        <v>0</v>
      </c>
      <c r="ZE18" s="1030">
        <v>0</v>
      </c>
      <c r="ZF18" s="1030">
        <v>2154.9845307325622</v>
      </c>
      <c r="ZG18" s="1030">
        <v>293.86152691807661</v>
      </c>
      <c r="ZH18" s="1030">
        <v>1567.9545091614602</v>
      </c>
      <c r="ZI18" s="1030">
        <v>1291.2566546035555</v>
      </c>
      <c r="ZJ18" s="1030">
        <v>599.51201820879362</v>
      </c>
      <c r="ZK18" s="1030">
        <v>0</v>
      </c>
      <c r="ZL18" s="1030">
        <v>0</v>
      </c>
      <c r="ZM18" s="1030">
        <v>0</v>
      </c>
      <c r="ZN18" s="1030">
        <v>1014.5588000456506</v>
      </c>
      <c r="ZO18" s="1030">
        <v>138.34892727895235</v>
      </c>
      <c r="ZP18" s="1030">
        <v>1682.031694812526</v>
      </c>
      <c r="ZQ18" s="1030">
        <v>1385.2025721985508</v>
      </c>
      <c r="ZR18" s="1030">
        <v>643.12976566361283</v>
      </c>
      <c r="ZS18" s="1030">
        <v>0</v>
      </c>
      <c r="ZT18" s="1030">
        <v>0</v>
      </c>
      <c r="ZU18" s="1030">
        <v>0</v>
      </c>
      <c r="ZV18" s="1030">
        <v>1088.3734495845756</v>
      </c>
      <c r="ZW18" s="1030">
        <v>148.41456130698757</v>
      </c>
      <c r="ZX18" s="1030">
        <v>1762.1284421845512</v>
      </c>
      <c r="ZY18" s="1030">
        <v>1451.1645994461012</v>
      </c>
      <c r="ZZ18" s="1030">
        <v>673.75499259997548</v>
      </c>
      <c r="AAA18" s="1030">
        <v>0</v>
      </c>
      <c r="AAB18" s="1030">
        <v>0</v>
      </c>
      <c r="AAC18" s="1030">
        <v>0</v>
      </c>
      <c r="AAD18" s="1030">
        <v>1140.2007567076507</v>
      </c>
      <c r="AAE18" s="1030">
        <v>155.48192136922509</v>
      </c>
      <c r="AAF18" s="1030">
        <v>2707.2700611744467</v>
      </c>
      <c r="AAG18" s="1030">
        <v>2229.5165209671914</v>
      </c>
      <c r="AAH18" s="1030">
        <v>1035.1326704490532</v>
      </c>
      <c r="AAI18" s="1030">
        <v>0</v>
      </c>
      <c r="AAJ18" s="1030">
        <v>0</v>
      </c>
      <c r="AAK18" s="1030">
        <v>0</v>
      </c>
      <c r="AAL18" s="1030">
        <v>1751.762980759936</v>
      </c>
      <c r="AAM18" s="1030">
        <v>238.87677010362762</v>
      </c>
      <c r="AAN18" s="1030">
        <v>4172.7821614780796</v>
      </c>
      <c r="AAO18" s="1030">
        <v>3436.4088388643008</v>
      </c>
      <c r="AAP18" s="1030">
        <v>1595.4755323298539</v>
      </c>
      <c r="AAQ18" s="1030">
        <v>0</v>
      </c>
      <c r="AAR18" s="1030">
        <v>0</v>
      </c>
      <c r="AAS18" s="1030">
        <v>0</v>
      </c>
      <c r="AAT18" s="1030">
        <v>2700.0355162505221</v>
      </c>
      <c r="AAU18" s="1030">
        <v>368.18666130688933</v>
      </c>
      <c r="AAV18" s="1030">
        <v>4612.0223890020879</v>
      </c>
      <c r="AAW18" s="1030">
        <v>3798.1360850605429</v>
      </c>
      <c r="AAX18" s="1030">
        <v>1763.4203252066804</v>
      </c>
      <c r="AAY18" s="1030">
        <v>0</v>
      </c>
      <c r="AAZ18" s="1030">
        <v>0</v>
      </c>
      <c r="ABA18" s="1030">
        <v>0</v>
      </c>
      <c r="ABB18" s="1030">
        <v>2984.2497811189978</v>
      </c>
      <c r="ABC18" s="1030">
        <v>406.94315197077242</v>
      </c>
      <c r="ABD18" s="1030">
        <v>4831.6425027640917</v>
      </c>
      <c r="ABE18" s="1030">
        <v>3978.9997081586644</v>
      </c>
      <c r="ABF18" s="1030">
        <v>1847.3927216450941</v>
      </c>
      <c r="ABG18" s="1030">
        <v>0</v>
      </c>
      <c r="ABH18" s="1030">
        <v>0</v>
      </c>
      <c r="ABI18" s="1030">
        <v>0</v>
      </c>
      <c r="ABJ18" s="1030">
        <v>3126.3569135532357</v>
      </c>
      <c r="ABK18" s="1030">
        <v>426.32139730271393</v>
      </c>
      <c r="ABL18" s="1030">
        <v>7423.159845155742</v>
      </c>
      <c r="ABM18" s="1030">
        <v>6113.1904607164934</v>
      </c>
      <c r="ABN18" s="1030">
        <v>2838.2669996183718</v>
      </c>
      <c r="ABO18" s="1030">
        <v>0</v>
      </c>
      <c r="ABP18" s="1030">
        <v>0</v>
      </c>
      <c r="ABQ18" s="1030">
        <v>0</v>
      </c>
      <c r="ABR18" s="1030">
        <v>4803.2210762772447</v>
      </c>
      <c r="ABS18" s="1030">
        <v>654.98469221962421</v>
      </c>
      <c r="ABT18" s="1030">
        <v>5740.7366706395387</v>
      </c>
      <c r="ABU18" s="1030">
        <v>4727.6654934678554</v>
      </c>
      <c r="ABV18" s="1030">
        <v>2194.9875505386472</v>
      </c>
      <c r="ABW18" s="1030">
        <v>0</v>
      </c>
      <c r="ABX18" s="1030">
        <v>0</v>
      </c>
      <c r="ABY18" s="1030">
        <v>0</v>
      </c>
      <c r="ABZ18" s="1030">
        <v>3714.5943162961721</v>
      </c>
      <c r="ACA18" s="1030">
        <v>506.53558858584165</v>
      </c>
      <c r="ACB18" s="1030">
        <v>6077.0177360968682</v>
      </c>
      <c r="ACC18" s="1030">
        <v>5004.6028414915381</v>
      </c>
      <c r="ACD18" s="1030">
        <v>2323.5656049782142</v>
      </c>
      <c r="ACE18" s="1030">
        <v>0</v>
      </c>
      <c r="ACF18" s="1030">
        <v>0</v>
      </c>
      <c r="ACG18" s="1030">
        <v>0</v>
      </c>
      <c r="ACH18" s="1030">
        <v>3932.1879468862085</v>
      </c>
      <c r="ACI18" s="1030">
        <v>536.20744730266472</v>
      </c>
      <c r="ACJ18" s="1030">
        <v>6366.3995330538628</v>
      </c>
      <c r="ACK18" s="1030">
        <v>5242.9172625149458</v>
      </c>
      <c r="ACL18" s="1030">
        <v>2434.2115861676534</v>
      </c>
      <c r="ACM18" s="1030">
        <v>0</v>
      </c>
      <c r="ACN18" s="1030">
        <v>0</v>
      </c>
      <c r="ACO18" s="1030">
        <v>0</v>
      </c>
      <c r="ACP18" s="1030">
        <v>4119.4349919760289</v>
      </c>
      <c r="ACQ18" s="1030">
        <v>561.74113526945837</v>
      </c>
      <c r="ACR18" s="1030">
        <v>9781.1047371463883</v>
      </c>
      <c r="ACS18" s="1030">
        <v>8055.0274305911435</v>
      </c>
      <c r="ACT18" s="1030">
        <v>3739.8341642030309</v>
      </c>
      <c r="ACU18" s="1030">
        <v>0</v>
      </c>
      <c r="ACV18" s="1030">
        <v>0</v>
      </c>
      <c r="ACW18" s="1030">
        <v>0</v>
      </c>
      <c r="ACX18" s="1030">
        <v>6328.9501240358977</v>
      </c>
      <c r="ACY18" s="1030">
        <v>863.03865327762242</v>
      </c>
      <c r="ACZ18" s="1030">
        <v>7435.1391240882149</v>
      </c>
      <c r="ADA18" s="1030">
        <v>6123.055749249118</v>
      </c>
      <c r="ADB18" s="1030">
        <v>2842.8473121513762</v>
      </c>
      <c r="ADC18" s="1030">
        <v>0</v>
      </c>
      <c r="ADD18" s="1030">
        <v>0</v>
      </c>
      <c r="ADE18" s="1030">
        <v>0</v>
      </c>
      <c r="ADF18" s="1030">
        <v>4810.9723744100211</v>
      </c>
      <c r="ADG18" s="1030">
        <v>656.04168741954823</v>
      </c>
      <c r="ADH18" s="1030">
        <v>7948.9562351624227</v>
      </c>
      <c r="ADI18" s="1030">
        <v>6546.199252486701</v>
      </c>
      <c r="ADJ18" s="1030">
        <v>3039.3067957973967</v>
      </c>
      <c r="ADK18" s="1030">
        <v>0</v>
      </c>
      <c r="ADL18" s="1030">
        <v>0</v>
      </c>
      <c r="ADM18" s="1030">
        <v>0</v>
      </c>
      <c r="ADN18" s="1030">
        <v>5143.4422698109793</v>
      </c>
      <c r="ADO18" s="1030">
        <v>701.37849133786074</v>
      </c>
      <c r="ADP18" s="1030">
        <v>8327.4779606463471</v>
      </c>
      <c r="ADQ18" s="1030">
        <v>6857.923026414639</v>
      </c>
      <c r="ADR18" s="1030">
        <v>3184.0356908353679</v>
      </c>
      <c r="ADS18" s="1030">
        <v>0</v>
      </c>
      <c r="ADT18" s="1030">
        <v>0</v>
      </c>
      <c r="ADU18" s="1030">
        <v>0</v>
      </c>
      <c r="ADV18" s="1030">
        <v>5388.36809218293</v>
      </c>
      <c r="ADW18" s="1030">
        <v>734.77746711585405</v>
      </c>
      <c r="ADX18" s="1030">
        <v>12794.034321356661</v>
      </c>
      <c r="ADY18" s="1030">
        <v>10536.263558764309</v>
      </c>
      <c r="ADZ18" s="1030">
        <v>4891.8366522834285</v>
      </c>
      <c r="AEA18" s="1030">
        <v>0</v>
      </c>
      <c r="AEB18" s="1030">
        <v>0</v>
      </c>
      <c r="AEC18" s="1030">
        <v>0</v>
      </c>
      <c r="AED18" s="1030">
        <v>8278.4927961719568</v>
      </c>
      <c r="AEE18" s="1030">
        <v>1128.8853812961759</v>
      </c>
      <c r="AEF18" s="1030">
        <v>9078.9623998220031</v>
      </c>
      <c r="AEG18" s="1030">
        <v>7476.7925645592977</v>
      </c>
      <c r="AEH18" s="1030">
        <v>3471.367976402531</v>
      </c>
      <c r="AEI18" s="1030">
        <v>0</v>
      </c>
      <c r="AEJ18" s="1030">
        <v>0</v>
      </c>
      <c r="AEK18" s="1030">
        <v>0</v>
      </c>
      <c r="AEL18" s="1030">
        <v>5874.6227292965905</v>
      </c>
      <c r="AEM18" s="1030">
        <v>801.08491763135316</v>
      </c>
      <c r="AEN18" s="1030">
        <v>9766.635647298539</v>
      </c>
      <c r="AEO18" s="1030">
        <v>8043.1117095399732</v>
      </c>
      <c r="AEP18" s="1030">
        <v>3734.3018651435586</v>
      </c>
      <c r="AEQ18" s="1030">
        <v>0</v>
      </c>
      <c r="AER18" s="1030">
        <v>0</v>
      </c>
      <c r="AES18" s="1030">
        <v>0</v>
      </c>
      <c r="AET18" s="1030">
        <v>6319.5877717814064</v>
      </c>
      <c r="AEU18" s="1030">
        <v>861.76196887928268</v>
      </c>
      <c r="AEV18" s="1030">
        <v>10231.713535265137</v>
      </c>
      <c r="AEW18" s="1030">
        <v>8426.1170290418759</v>
      </c>
      <c r="AEX18" s="1030">
        <v>3912.1257634837284</v>
      </c>
      <c r="AEY18" s="1030">
        <v>0</v>
      </c>
      <c r="AEZ18" s="1030">
        <v>0</v>
      </c>
      <c r="AFA18" s="1030">
        <v>0</v>
      </c>
      <c r="AFB18" s="1030">
        <v>6620.5205228186169</v>
      </c>
      <c r="AFC18" s="1030">
        <v>902.79825311162949</v>
      </c>
      <c r="AFD18" s="1030">
        <v>15719.632613270984</v>
      </c>
      <c r="AFE18" s="1030">
        <v>12945.579799164339</v>
      </c>
      <c r="AFF18" s="1030">
        <v>6010.4477638977287</v>
      </c>
      <c r="AFG18" s="1030">
        <v>0</v>
      </c>
      <c r="AFH18" s="1030">
        <v>0</v>
      </c>
      <c r="AFI18" s="1030">
        <v>0</v>
      </c>
      <c r="AFJ18" s="1030">
        <v>10171.526985057695</v>
      </c>
      <c r="AFK18" s="1030">
        <v>1387.0264070533219</v>
      </c>
      <c r="AFL18" s="1023">
        <v>10469.889786981365</v>
      </c>
      <c r="AFM18" s="1023">
        <v>8622.2621775140651</v>
      </c>
      <c r="AFN18" s="1023">
        <v>4003.1931538458157</v>
      </c>
      <c r="AFO18" s="1023">
        <v>0</v>
      </c>
      <c r="AFP18" s="1023">
        <v>0</v>
      </c>
      <c r="AFQ18" s="1023">
        <v>0</v>
      </c>
      <c r="AFR18" s="1023">
        <v>6774.6345680467648</v>
      </c>
      <c r="AFS18" s="1023">
        <v>923.8138047336497</v>
      </c>
      <c r="AFT18" s="1023">
        <v>11123.112820534447</v>
      </c>
      <c r="AFU18" s="1023">
        <v>9160.2105580871921</v>
      </c>
      <c r="AFV18" s="1023">
        <v>4252.954901969053</v>
      </c>
      <c r="AFW18" s="1023">
        <v>0</v>
      </c>
      <c r="AFX18" s="1023">
        <v>0</v>
      </c>
      <c r="AFY18" s="1023">
        <v>0</v>
      </c>
      <c r="AFZ18" s="1023">
        <v>7197.3082956399357</v>
      </c>
      <c r="AGA18" s="1023">
        <v>981.4511312236275</v>
      </c>
      <c r="AGB18" s="1023">
        <v>11652.784859607515</v>
      </c>
      <c r="AGC18" s="1023">
        <v>9596.4110608532483</v>
      </c>
      <c r="AGD18" s="1023">
        <v>4455.4765639675788</v>
      </c>
      <c r="AGE18" s="1023">
        <v>0</v>
      </c>
      <c r="AGF18" s="1023">
        <v>0</v>
      </c>
      <c r="AGG18" s="1023">
        <v>0</v>
      </c>
      <c r="AGH18" s="1023">
        <v>7540.0372620989801</v>
      </c>
      <c r="AGI18" s="1023">
        <v>1028.1868993771336</v>
      </c>
      <c r="AGJ18" s="1023">
        <v>17902.914920669729</v>
      </c>
      <c r="AGK18" s="1023">
        <v>14743.576993492719</v>
      </c>
      <c r="AGL18" s="1023">
        <v>6845.2321755501907</v>
      </c>
      <c r="AGM18" s="1023">
        <v>0</v>
      </c>
      <c r="AGN18" s="1023">
        <v>0</v>
      </c>
      <c r="AGO18" s="1023">
        <v>0</v>
      </c>
      <c r="AGP18" s="1023">
        <v>11584.239066315708</v>
      </c>
      <c r="AGQ18" s="1023">
        <v>1579.6689635885054</v>
      </c>
      <c r="AGR18" s="1030">
        <v>4172.7821614780796</v>
      </c>
      <c r="AGS18" s="1030">
        <v>3436.4088388643008</v>
      </c>
      <c r="AGT18" s="1030">
        <v>1595.4755323298539</v>
      </c>
      <c r="AGU18" s="1030">
        <v>0</v>
      </c>
      <c r="AGV18" s="1030">
        <v>0</v>
      </c>
      <c r="AGW18" s="1030">
        <v>0</v>
      </c>
      <c r="AGX18" s="1030">
        <v>2700.0355162505221</v>
      </c>
      <c r="AGY18" s="1030">
        <v>368.18666130688933</v>
      </c>
      <c r="AGZ18" s="1030">
        <v>4612.0223890020879</v>
      </c>
      <c r="AHA18" s="1030">
        <v>3798.1360850605429</v>
      </c>
      <c r="AHB18" s="1030">
        <v>1763.4203252066804</v>
      </c>
      <c r="AHC18" s="1030">
        <v>0</v>
      </c>
      <c r="AHD18" s="1030">
        <v>0</v>
      </c>
      <c r="AHE18" s="1030">
        <v>0</v>
      </c>
      <c r="AHF18" s="1030">
        <v>2984.2497811189978</v>
      </c>
      <c r="AHG18" s="1030">
        <v>406.94315197077242</v>
      </c>
      <c r="AHH18" s="1030">
        <v>4831.6425027640917</v>
      </c>
      <c r="AHI18" s="1030">
        <v>3978.9997081586644</v>
      </c>
      <c r="AHJ18" s="1030">
        <v>1847.3927216450941</v>
      </c>
      <c r="AHK18" s="1030">
        <v>0</v>
      </c>
      <c r="AHL18" s="1030">
        <v>0</v>
      </c>
      <c r="AHM18" s="1030">
        <v>0</v>
      </c>
      <c r="AHN18" s="1030">
        <v>3126.3569135532357</v>
      </c>
      <c r="AHO18" s="1030">
        <v>426.32139730271393</v>
      </c>
      <c r="AHP18" s="1030">
        <v>7423.159845155742</v>
      </c>
      <c r="AHQ18" s="1030">
        <v>6113.1904607164934</v>
      </c>
      <c r="AHR18" s="1030">
        <v>2838.2669996183718</v>
      </c>
      <c r="AHS18" s="1030">
        <v>0</v>
      </c>
      <c r="AHT18" s="1030">
        <v>0</v>
      </c>
      <c r="AHU18" s="1030">
        <v>0</v>
      </c>
      <c r="AHV18" s="1030">
        <v>4803.2210762772447</v>
      </c>
      <c r="AHW18" s="1030">
        <v>654.98469221962421</v>
      </c>
      <c r="AHX18" s="1013">
        <v>165</v>
      </c>
      <c r="AHY18" s="1023">
        <v>0</v>
      </c>
      <c r="AHZ18" s="1023">
        <v>0</v>
      </c>
      <c r="AIA18" s="1023">
        <v>0</v>
      </c>
      <c r="AIB18" s="1023">
        <v>0</v>
      </c>
      <c r="AIC18" s="1023">
        <v>0</v>
      </c>
      <c r="AID18" s="1023">
        <v>0</v>
      </c>
      <c r="AIE18" s="1023">
        <v>0</v>
      </c>
      <c r="AIF18" s="1013">
        <v>111.91763379913995</v>
      </c>
      <c r="AIG18" s="1013">
        <v>70.222829050440751</v>
      </c>
      <c r="AIH18" s="1013">
        <v>26.33356089391528</v>
      </c>
      <c r="AII18" s="1013">
        <v>0</v>
      </c>
      <c r="AIJ18" s="1013">
        <v>0</v>
      </c>
      <c r="AIK18" s="1013">
        <v>0</v>
      </c>
      <c r="AIL18" s="1013">
        <v>4.3889268156525469</v>
      </c>
      <c r="AIM18" s="1013">
        <v>6.58339022347882</v>
      </c>
      <c r="AIN18" s="1016">
        <v>180.05346481194982</v>
      </c>
      <c r="AIO18" s="1016">
        <v>112.97472301926264</v>
      </c>
      <c r="AIP18" s="1017">
        <v>42.365521132223485</v>
      </c>
      <c r="AIQ18" s="1017">
        <v>0</v>
      </c>
      <c r="AIR18" s="1017">
        <v>0</v>
      </c>
      <c r="AIS18" s="1017">
        <v>0</v>
      </c>
      <c r="AIT18" s="1017">
        <v>7.060920188703915</v>
      </c>
      <c r="AIU18" s="1017">
        <v>10.591380283055871</v>
      </c>
      <c r="AIV18" s="1013">
        <v>120</v>
      </c>
      <c r="AIW18" s="1013">
        <v>47.37</v>
      </c>
      <c r="AIX18" s="1013">
        <v>39.47</v>
      </c>
      <c r="AIY18" s="1013">
        <v>0</v>
      </c>
      <c r="AIZ18" s="1013">
        <v>3.68</v>
      </c>
      <c r="AJA18" s="1013">
        <v>4.4800000000000004</v>
      </c>
      <c r="AJB18" s="1013">
        <v>0</v>
      </c>
      <c r="AJC18" s="1013">
        <v>0</v>
      </c>
      <c r="AJD18" s="1013">
        <v>129.6</v>
      </c>
      <c r="AJE18" s="1013">
        <v>96.93</v>
      </c>
      <c r="AJF18" s="1013">
        <v>80.78</v>
      </c>
      <c r="AJG18" s="1013">
        <v>0</v>
      </c>
      <c r="AJH18" s="1013">
        <v>7.54</v>
      </c>
      <c r="AJI18" s="1013">
        <v>9.15</v>
      </c>
      <c r="AJJ18" s="1013">
        <v>0</v>
      </c>
      <c r="AJK18" s="1013">
        <v>0</v>
      </c>
      <c r="AJL18" s="1013">
        <v>125.13204797077609</v>
      </c>
      <c r="AJM18" s="1013">
        <v>78.514226177741861</v>
      </c>
      <c r="AJN18" s="1013">
        <v>29.442834816653196</v>
      </c>
      <c r="AJO18" s="1013">
        <v>0</v>
      </c>
      <c r="AJP18" s="1013">
        <v>0</v>
      </c>
      <c r="AJQ18" s="1013">
        <v>0</v>
      </c>
      <c r="AJR18" s="1013">
        <v>4.9071391361088663</v>
      </c>
      <c r="AJS18" s="1013">
        <v>7.360708704163299</v>
      </c>
      <c r="AJT18" s="1029" t="s">
        <v>858</v>
      </c>
      <c r="AJU18" s="988" t="s">
        <v>861</v>
      </c>
      <c r="AJV18" s="988" t="s">
        <v>860</v>
      </c>
      <c r="AJW18" s="988" t="s">
        <v>859</v>
      </c>
      <c r="AJX18" s="988" t="s">
        <v>870</v>
      </c>
      <c r="AJY18" s="988" t="s">
        <v>871</v>
      </c>
      <c r="AJZ18" s="988" t="s">
        <v>872</v>
      </c>
      <c r="AKA18" s="988" t="s">
        <v>873</v>
      </c>
      <c r="AKB18" s="988" t="s">
        <v>874</v>
      </c>
      <c r="AKC18" s="988" t="s">
        <v>875</v>
      </c>
      <c r="AKD18" s="1013">
        <v>112.70089285714286</v>
      </c>
      <c r="AKE18" s="1013">
        <v>0</v>
      </c>
      <c r="AKF18" s="1013">
        <v>0</v>
      </c>
      <c r="AKG18" s="1013">
        <v>0</v>
      </c>
      <c r="AKH18" s="1013">
        <v>0</v>
      </c>
      <c r="AKI18" s="1013">
        <v>0</v>
      </c>
      <c r="AKJ18" s="1013">
        <v>4.4196428571428568</v>
      </c>
      <c r="AKK18" s="1013">
        <v>6.6294642857142847</v>
      </c>
      <c r="AKL18" s="1013">
        <v>149.88968812384815</v>
      </c>
      <c r="AKM18" s="1013">
        <v>0</v>
      </c>
      <c r="AKN18" s="1013">
        <v>0</v>
      </c>
      <c r="AKO18" s="1013">
        <v>0</v>
      </c>
      <c r="AKP18" s="1013">
        <v>0</v>
      </c>
      <c r="AKQ18" s="1013">
        <v>0</v>
      </c>
      <c r="AKR18" s="1013">
        <v>5.8780269852489466</v>
      </c>
      <c r="AKS18" s="1013">
        <v>8.8170404778734195</v>
      </c>
      <c r="AKT18" s="1016">
        <v>241.14303323028997</v>
      </c>
      <c r="AKU18" s="1016">
        <v>0</v>
      </c>
      <c r="AKV18" s="1017">
        <v>0</v>
      </c>
      <c r="AKW18" s="1017">
        <v>0</v>
      </c>
      <c r="AKX18" s="1017">
        <v>0</v>
      </c>
      <c r="AKY18" s="1017">
        <v>0</v>
      </c>
      <c r="AKZ18" s="1017">
        <v>9.4565895384427439</v>
      </c>
      <c r="ALA18" s="1017">
        <v>14.184884307664113</v>
      </c>
      <c r="ALB18" s="1013">
        <v>146.85267857142856</v>
      </c>
      <c r="ALC18" s="1013">
        <v>0</v>
      </c>
      <c r="ALD18" s="1013">
        <v>0</v>
      </c>
      <c r="ALE18" s="1013">
        <v>0</v>
      </c>
      <c r="ALF18" s="1013">
        <v>0</v>
      </c>
      <c r="ALG18" s="1013">
        <v>0</v>
      </c>
      <c r="ALH18" s="1013">
        <v>5.7589285714285712</v>
      </c>
      <c r="ALI18" s="1013">
        <v>8.6383928571428559</v>
      </c>
      <c r="ALJ18" s="1013">
        <v>221.30357142857142</v>
      </c>
      <c r="ALK18" s="1013">
        <v>0</v>
      </c>
      <c r="ALL18" s="1013">
        <v>0</v>
      </c>
      <c r="ALM18" s="1013">
        <v>0</v>
      </c>
      <c r="ALN18" s="1013">
        <v>0</v>
      </c>
      <c r="ALO18" s="1013">
        <v>0</v>
      </c>
      <c r="ALP18" s="1013">
        <v>8.6785714285714288</v>
      </c>
      <c r="ALQ18" s="1013">
        <v>13.017857142857141</v>
      </c>
      <c r="ALR18" s="1013">
        <v>167.58756424657508</v>
      </c>
      <c r="ALS18" s="1013">
        <v>0</v>
      </c>
      <c r="ALT18" s="1013">
        <v>0</v>
      </c>
      <c r="ALU18" s="1013">
        <v>0</v>
      </c>
      <c r="ALV18" s="1013">
        <v>0</v>
      </c>
      <c r="ALW18" s="1013">
        <v>0</v>
      </c>
      <c r="ALX18" s="1013">
        <v>6.5720613430029449</v>
      </c>
      <c r="ALY18" s="1013">
        <v>9.8580920145044164</v>
      </c>
    </row>
    <row r="19" spans="1:1013" ht="18" customHeight="1">
      <c r="A19" s="1259" t="s">
        <v>27</v>
      </c>
      <c r="B19" s="1260" t="s">
        <v>3063</v>
      </c>
      <c r="C19" s="1260">
        <v>2022</v>
      </c>
      <c r="D19" s="1269"/>
      <c r="E19" s="1270">
        <v>-0.1</v>
      </c>
      <c r="F19" s="1271">
        <v>-0.3</v>
      </c>
      <c r="G19" s="1271">
        <v>-0.3</v>
      </c>
      <c r="H19" s="76">
        <v>389.82035928143716</v>
      </c>
      <c r="I19" s="72">
        <v>-1.2</v>
      </c>
      <c r="J19" s="1271">
        <v>-4.7</v>
      </c>
      <c r="K19" s="1271">
        <v>-4.7</v>
      </c>
      <c r="L19" s="1265">
        <v>350</v>
      </c>
      <c r="M19" s="1262">
        <v>0</v>
      </c>
      <c r="N19" s="1262">
        <v>0</v>
      </c>
      <c r="O19" s="1262">
        <v>0</v>
      </c>
      <c r="P19" s="76">
        <v>765.97304136655305</v>
      </c>
      <c r="Q19" s="75">
        <v>12</v>
      </c>
      <c r="R19" s="72">
        <v>0.3</v>
      </c>
      <c r="S19" s="72">
        <v>0.3</v>
      </c>
      <c r="T19" s="72">
        <v>0.3</v>
      </c>
      <c r="U19" s="1271">
        <v>0.1</v>
      </c>
      <c r="V19" s="1271">
        <v>0</v>
      </c>
      <c r="W19" s="1271">
        <v>98.5</v>
      </c>
      <c r="X19" s="1271">
        <v>1.3</v>
      </c>
      <c r="Y19" s="1272">
        <v>0</v>
      </c>
      <c r="Z19" s="75">
        <v>2</v>
      </c>
      <c r="AA19" s="72">
        <v>1.5</v>
      </c>
      <c r="AB19" s="75">
        <v>1</v>
      </c>
      <c r="AC19" s="72">
        <v>0.8</v>
      </c>
      <c r="AD19" s="72">
        <v>0.5</v>
      </c>
      <c r="AE19" s="390">
        <v>433.01922201480062</v>
      </c>
      <c r="AF19" s="390">
        <v>470.67306740739195</v>
      </c>
      <c r="AG19" s="390">
        <v>433.37222681535616</v>
      </c>
      <c r="AH19" s="390">
        <v>649.0581599547935</v>
      </c>
      <c r="AI19" s="400">
        <v>0.82209484106305364</v>
      </c>
      <c r="AJ19" s="390">
        <v>261.91600618637949</v>
      </c>
      <c r="AK19" s="390">
        <v>284.69131107215162</v>
      </c>
      <c r="AL19" s="390">
        <v>262.12952466968363</v>
      </c>
      <c r="AM19" s="390">
        <v>392.58931796849708</v>
      </c>
      <c r="AN19" s="400">
        <v>0.96717040125065135</v>
      </c>
      <c r="AO19" s="77">
        <v>0.3</v>
      </c>
      <c r="AP19" s="77">
        <v>0.6</v>
      </c>
      <c r="AQ19" s="77">
        <v>1.4</v>
      </c>
      <c r="AR19" s="77">
        <v>1.9</v>
      </c>
      <c r="AS19" s="77">
        <v>2.2999999999999998</v>
      </c>
      <c r="AT19" s="77">
        <v>2.8</v>
      </c>
      <c r="AU19" s="77">
        <v>3.3</v>
      </c>
      <c r="AV19" s="1268">
        <v>0</v>
      </c>
      <c r="AW19" s="1268">
        <v>10</v>
      </c>
      <c r="AX19" s="1268">
        <v>20</v>
      </c>
      <c r="AY19" s="1268">
        <v>70</v>
      </c>
      <c r="AZ19" s="1268">
        <v>100</v>
      </c>
      <c r="BA19" s="1019">
        <v>11266.430787082507</v>
      </c>
      <c r="BB19" s="1031">
        <v>1.49</v>
      </c>
      <c r="BC19" s="988">
        <v>0.4</v>
      </c>
      <c r="BD19" s="988">
        <v>0.2</v>
      </c>
      <c r="BE19" s="988">
        <v>0.2</v>
      </c>
      <c r="BF19" s="1021">
        <v>0.17869986518280181</v>
      </c>
      <c r="BG19" s="1021">
        <v>0.18051752683176164</v>
      </c>
      <c r="BH19" s="1020">
        <v>0.76263477223833032</v>
      </c>
      <c r="BI19" s="1020">
        <v>0.16875310389059275</v>
      </c>
      <c r="BJ19" s="1020">
        <v>2.0387451772289449</v>
      </c>
      <c r="BK19" s="1020">
        <v>64.597221500818222</v>
      </c>
      <c r="BL19" s="1020"/>
      <c r="BM19" s="1020"/>
      <c r="BN19" s="1020">
        <v>31.023779369041016</v>
      </c>
      <c r="BO19" s="1020"/>
      <c r="BP19" s="1020"/>
      <c r="BQ19" s="1020"/>
      <c r="BR19" s="1020"/>
      <c r="BS19" s="1020"/>
      <c r="BT19" s="1020"/>
      <c r="BU19" s="1020">
        <v>1.1283903621156077</v>
      </c>
      <c r="BV19" s="1020">
        <v>0.28047571466728038</v>
      </c>
      <c r="BW19" s="993">
        <v>261.13475999999997</v>
      </c>
      <c r="BX19" s="993">
        <v>96.5</v>
      </c>
      <c r="BY19" s="993">
        <v>63.215999999999994</v>
      </c>
      <c r="BZ19" s="993">
        <v>233.35949490734063</v>
      </c>
      <c r="CA19" s="993">
        <v>157.40783999999999</v>
      </c>
      <c r="CB19" s="990"/>
      <c r="CC19" s="993">
        <v>256.20808011776955</v>
      </c>
      <c r="CD19" s="993">
        <v>165.17663999999999</v>
      </c>
      <c r="CE19" s="990"/>
      <c r="CF19" s="989">
        <v>0</v>
      </c>
      <c r="CG19" s="993">
        <v>6.585</v>
      </c>
      <c r="CH19" s="993">
        <v>1.3169999999999999</v>
      </c>
      <c r="CI19" s="993">
        <v>38</v>
      </c>
      <c r="CJ19" s="993">
        <v>225.83915999999996</v>
      </c>
      <c r="CK19" s="990">
        <v>0.2</v>
      </c>
      <c r="CL19" s="993">
        <v>175.08124000000001</v>
      </c>
      <c r="CM19" s="993">
        <v>60.4</v>
      </c>
      <c r="CN19" s="993">
        <v>42.384</v>
      </c>
      <c r="CO19" s="993">
        <v>156.45894761061641</v>
      </c>
      <c r="CP19" s="993">
        <v>105.53616</v>
      </c>
      <c r="CQ19" s="990"/>
      <c r="CR19" s="993">
        <v>159.24945066654416</v>
      </c>
      <c r="CS19" s="993">
        <v>102.66767999999999</v>
      </c>
      <c r="CT19" s="990"/>
      <c r="CU19" s="993">
        <v>0</v>
      </c>
      <c r="CV19" s="993">
        <v>4.415</v>
      </c>
      <c r="CW19" s="993">
        <v>0.88300000000000001</v>
      </c>
      <c r="CX19" s="993">
        <v>27</v>
      </c>
      <c r="CY19" s="993">
        <v>151.41683999999998</v>
      </c>
      <c r="CZ19" s="990">
        <v>0.2</v>
      </c>
      <c r="DA19" s="988">
        <v>0.3</v>
      </c>
      <c r="DB19" s="988">
        <v>0.7</v>
      </c>
      <c r="DC19" s="988">
        <v>1.2</v>
      </c>
      <c r="DD19" s="988">
        <v>1.2</v>
      </c>
      <c r="DE19" s="1022">
        <v>3</v>
      </c>
      <c r="DF19" s="995">
        <v>0</v>
      </c>
      <c r="DG19" s="995">
        <v>10</v>
      </c>
      <c r="DH19" s="995">
        <v>20</v>
      </c>
      <c r="DI19" s="995">
        <v>70</v>
      </c>
      <c r="DJ19" s="995">
        <v>100</v>
      </c>
      <c r="DK19" s="1017">
        <v>105.82642919103716</v>
      </c>
      <c r="DL19" s="1022">
        <v>18</v>
      </c>
      <c r="DM19" s="989">
        <v>12</v>
      </c>
      <c r="DN19" s="988">
        <v>1.2</v>
      </c>
      <c r="DO19" s="988">
        <v>1.2</v>
      </c>
      <c r="DP19" s="988">
        <v>1.2</v>
      </c>
      <c r="DQ19" s="988" t="s">
        <v>653</v>
      </c>
      <c r="DR19" s="988" t="s">
        <v>654</v>
      </c>
      <c r="DS19" s="988" t="s">
        <v>655</v>
      </c>
      <c r="DT19" s="988" t="s">
        <v>656</v>
      </c>
      <c r="DU19" s="988" t="s">
        <v>640</v>
      </c>
      <c r="DV19" s="988" t="s">
        <v>640</v>
      </c>
      <c r="DW19" s="988" t="s">
        <v>640</v>
      </c>
      <c r="DX19" s="997">
        <v>3569.1233646032856</v>
      </c>
      <c r="DY19" s="997">
        <v>1993.8119039825283</v>
      </c>
      <c r="DZ19" s="997">
        <v>2439.5272931957988</v>
      </c>
      <c r="EA19" s="997">
        <v>797.53743821838771</v>
      </c>
      <c r="EB19" s="997">
        <v>0</v>
      </c>
      <c r="EC19" s="997">
        <v>0</v>
      </c>
      <c r="ED19" s="997">
        <v>0</v>
      </c>
      <c r="EE19" s="1022">
        <v>8.8000000000000007</v>
      </c>
      <c r="EF19" s="1022">
        <v>18</v>
      </c>
      <c r="EG19" s="991">
        <v>5</v>
      </c>
      <c r="EH19" s="1023">
        <v>1.2</v>
      </c>
      <c r="EI19" s="1023">
        <v>1.2</v>
      </c>
      <c r="EJ19" s="1023">
        <v>1.2</v>
      </c>
      <c r="EK19" s="988" t="s">
        <v>687</v>
      </c>
      <c r="EL19" s="988" t="s">
        <v>706</v>
      </c>
      <c r="EM19" s="987" t="s">
        <v>653</v>
      </c>
      <c r="EN19" s="988" t="s">
        <v>734</v>
      </c>
      <c r="EO19" s="988" t="s">
        <v>746</v>
      </c>
      <c r="EP19" s="988" t="s">
        <v>756</v>
      </c>
      <c r="EQ19" s="988" t="s">
        <v>762</v>
      </c>
      <c r="ER19" s="988" t="s">
        <v>767</v>
      </c>
      <c r="ES19" s="988" t="s">
        <v>773</v>
      </c>
      <c r="ET19" s="988" t="s">
        <v>779</v>
      </c>
      <c r="EU19" s="988" t="s">
        <v>783</v>
      </c>
      <c r="EV19" s="988" t="s">
        <v>788</v>
      </c>
      <c r="EW19" s="988" t="s">
        <v>791</v>
      </c>
      <c r="EX19" s="988" t="s">
        <v>795</v>
      </c>
      <c r="EY19" s="988" t="s">
        <v>797</v>
      </c>
      <c r="EZ19" s="988" t="s">
        <v>799</v>
      </c>
      <c r="FA19" s="988" t="s">
        <v>800</v>
      </c>
      <c r="FB19" s="988" t="s">
        <v>802</v>
      </c>
      <c r="FC19" s="988" t="s">
        <v>803</v>
      </c>
      <c r="FD19" s="988" t="s">
        <v>804</v>
      </c>
      <c r="FE19" s="988" t="s">
        <v>805</v>
      </c>
      <c r="FF19" s="988" t="s">
        <v>806</v>
      </c>
      <c r="FG19" s="988" t="s">
        <v>807</v>
      </c>
      <c r="FH19" s="988" t="s">
        <v>808</v>
      </c>
      <c r="FI19" s="988" t="s">
        <v>809</v>
      </c>
      <c r="FJ19" s="988" t="s">
        <v>810</v>
      </c>
      <c r="FK19" s="988" t="s">
        <v>811</v>
      </c>
      <c r="FL19" s="988" t="s">
        <v>812</v>
      </c>
      <c r="FM19" s="988" t="s">
        <v>813</v>
      </c>
      <c r="FN19" s="988" t="s">
        <v>814</v>
      </c>
      <c r="FO19" s="988" t="s">
        <v>815</v>
      </c>
      <c r="FP19" s="988" t="s">
        <v>816</v>
      </c>
      <c r="FQ19" s="988" t="s">
        <v>817</v>
      </c>
      <c r="FR19" s="988" t="s">
        <v>818</v>
      </c>
      <c r="FS19" s="988" t="s">
        <v>819</v>
      </c>
      <c r="FT19" s="988" t="s">
        <v>820</v>
      </c>
      <c r="FU19" s="988" t="s">
        <v>821</v>
      </c>
      <c r="FV19" s="988" t="s">
        <v>822</v>
      </c>
      <c r="FW19" s="988" t="s">
        <v>823</v>
      </c>
      <c r="FX19" s="988" t="s">
        <v>824</v>
      </c>
      <c r="FY19" s="988" t="s">
        <v>825</v>
      </c>
      <c r="FZ19" s="988" t="s">
        <v>826</v>
      </c>
      <c r="GA19" s="988" t="s">
        <v>827</v>
      </c>
      <c r="GB19" s="988" t="s">
        <v>828</v>
      </c>
      <c r="GC19" s="988" t="s">
        <v>829</v>
      </c>
      <c r="GD19" s="988" t="s">
        <v>830</v>
      </c>
      <c r="GE19" s="988" t="s">
        <v>655</v>
      </c>
      <c r="GF19" s="988" t="s">
        <v>831</v>
      </c>
      <c r="GG19" s="988" t="s">
        <v>832</v>
      </c>
      <c r="GH19" s="988" t="s">
        <v>656</v>
      </c>
      <c r="GI19" s="988" t="s">
        <v>833</v>
      </c>
      <c r="GJ19" s="988" t="s">
        <v>834</v>
      </c>
      <c r="GK19" s="988" t="s">
        <v>835</v>
      </c>
      <c r="GL19" s="988" t="s">
        <v>836</v>
      </c>
      <c r="GM19" s="988" t="s">
        <v>837</v>
      </c>
      <c r="GN19" s="988" t="s">
        <v>838</v>
      </c>
      <c r="GO19" s="988" t="s">
        <v>839</v>
      </c>
      <c r="GP19" s="988" t="s">
        <v>840</v>
      </c>
      <c r="GQ19" s="997">
        <v>114.54949465988102</v>
      </c>
      <c r="GR19" s="997">
        <v>19.932621317468286</v>
      </c>
      <c r="GS19" s="997">
        <v>479.39215826822448</v>
      </c>
      <c r="GT19" s="997">
        <v>93.103003368934125</v>
      </c>
      <c r="GU19" s="997">
        <v>37.846749336965097</v>
      </c>
      <c r="GV19" s="997">
        <v>211.94179628700454</v>
      </c>
      <c r="GW19" s="997">
        <v>241.71457243208371</v>
      </c>
      <c r="GX19" s="997">
        <v>74.431940362698029</v>
      </c>
      <c r="GY19" s="997">
        <v>44.533008386495588</v>
      </c>
      <c r="GZ19" s="997">
        <v>99.663106587341431</v>
      </c>
      <c r="HA19" s="997">
        <v>289.14916493441336</v>
      </c>
      <c r="HB19" s="997">
        <v>77.207368647408785</v>
      </c>
      <c r="HC19" s="997">
        <v>619.92975413948818</v>
      </c>
      <c r="HD19" s="997">
        <v>50.714644111533232</v>
      </c>
      <c r="HE19" s="997">
        <v>105.97089814350227</v>
      </c>
      <c r="HF19" s="997">
        <v>31.538957780804246</v>
      </c>
      <c r="HG19" s="997">
        <v>189.23374668482549</v>
      </c>
      <c r="HH19" s="997">
        <v>334.81757580101782</v>
      </c>
      <c r="HI19" s="997">
        <v>110.26019640169166</v>
      </c>
      <c r="HJ19" s="997">
        <v>172.83348863880727</v>
      </c>
      <c r="HK19" s="997">
        <v>196.80309655221851</v>
      </c>
      <c r="HL19" s="997">
        <v>114.04487133538815</v>
      </c>
      <c r="HM19" s="997">
        <v>49.453085800301061</v>
      </c>
      <c r="HN19" s="997">
        <v>132.21131101713138</v>
      </c>
      <c r="HO19" s="997">
        <v>163.75026879793566</v>
      </c>
      <c r="HP19" s="997">
        <v>169.80574869185006</v>
      </c>
      <c r="HQ19" s="997">
        <v>49.200774138054626</v>
      </c>
      <c r="HR19" s="997">
        <v>70.647265429001521</v>
      </c>
      <c r="HS19" s="997">
        <v>53.490072396243995</v>
      </c>
      <c r="HT19" s="997">
        <v>29.772776145079209</v>
      </c>
      <c r="HU19" s="997">
        <v>63.077915561608492</v>
      </c>
      <c r="HV19" s="997">
        <v>29.520464482832775</v>
      </c>
      <c r="HW19" s="997">
        <v>221.02501612787611</v>
      </c>
      <c r="HX19" s="997">
        <v>103.44778152103792</v>
      </c>
      <c r="HY19" s="997">
        <v>305.2971113181851</v>
      </c>
      <c r="HZ19" s="997">
        <v>59.797863952404846</v>
      </c>
      <c r="IA19" s="997">
        <v>662.0658017346426</v>
      </c>
      <c r="IB19" s="997">
        <v>180.40283850620028</v>
      </c>
      <c r="IC19" s="997">
        <v>464.25345853343845</v>
      </c>
      <c r="ID19" s="997">
        <v>235.40678087592286</v>
      </c>
      <c r="IE19" s="997">
        <v>92.598380044441271</v>
      </c>
      <c r="IF19" s="997">
        <v>374.1781951114616</v>
      </c>
      <c r="IG19" s="997">
        <v>161.47946383771776</v>
      </c>
      <c r="IH19" s="997">
        <v>105.97089814350227</v>
      </c>
      <c r="II19" s="997">
        <v>153.91011397032472</v>
      </c>
      <c r="IJ19" s="997">
        <v>80.73973191885888</v>
      </c>
      <c r="IK19" s="997">
        <v>199.32621317468286</v>
      </c>
      <c r="IL19" s="997">
        <v>7.06472654290015</v>
      </c>
      <c r="IM19" s="997">
        <v>48.443839151315309</v>
      </c>
      <c r="IN19" s="997">
        <v>83.262848541323208</v>
      </c>
      <c r="IO19" s="997">
        <v>75.945810336176635</v>
      </c>
      <c r="IP19" s="997">
        <v>72.918070389219423</v>
      </c>
      <c r="IQ19" s="997">
        <v>89.822951759730486</v>
      </c>
      <c r="IR19" s="997">
        <v>84.776718514801814</v>
      </c>
      <c r="IS19" s="997">
        <v>52.985449071751134</v>
      </c>
      <c r="IT19" s="997">
        <v>15.643323059278906</v>
      </c>
      <c r="IU19" s="997">
        <v>322.95892767543552</v>
      </c>
      <c r="IV19" s="997">
        <v>25.735789549136264</v>
      </c>
      <c r="IW19" s="1019">
        <v>1179.7241708682666</v>
      </c>
      <c r="IX19" s="1022">
        <v>179.9</v>
      </c>
      <c r="IY19" s="998">
        <v>2647.0800000000199</v>
      </c>
      <c r="IZ19" s="429">
        <v>12.64</v>
      </c>
      <c r="JA19" s="1022">
        <v>50</v>
      </c>
      <c r="JB19" s="988">
        <v>1.2</v>
      </c>
      <c r="JC19" s="988">
        <v>1.2</v>
      </c>
      <c r="JD19" s="988">
        <v>1.2</v>
      </c>
      <c r="JE19" s="998">
        <v>2</v>
      </c>
      <c r="JF19" s="1023">
        <v>1.5</v>
      </c>
      <c r="JG19" s="1023">
        <v>0.7</v>
      </c>
      <c r="JH19" s="1023">
        <v>0.7</v>
      </c>
      <c r="JI19" s="1023">
        <v>0.5</v>
      </c>
      <c r="JJ19" s="1019">
        <v>69.551851532831478</v>
      </c>
      <c r="JK19" s="998">
        <v>2647.0800000000199</v>
      </c>
      <c r="JL19" s="429">
        <v>12.64</v>
      </c>
      <c r="JM19" s="1022">
        <v>50</v>
      </c>
      <c r="JN19" s="988">
        <v>1.1000000000000001</v>
      </c>
      <c r="JO19" s="988">
        <v>0.8</v>
      </c>
      <c r="JP19" s="988">
        <v>0.8</v>
      </c>
      <c r="JQ19" s="998">
        <v>2</v>
      </c>
      <c r="JR19" s="998">
        <v>2</v>
      </c>
      <c r="JS19" s="998">
        <v>1</v>
      </c>
      <c r="JT19" s="998">
        <v>1</v>
      </c>
      <c r="JU19" s="1023">
        <v>0.5</v>
      </c>
      <c r="JV19" s="1004">
        <v>2000</v>
      </c>
      <c r="JW19" s="1019">
        <v>273.00191030750739</v>
      </c>
      <c r="JX19" s="1019">
        <v>500</v>
      </c>
      <c r="JY19" s="1022">
        <v>1.3</v>
      </c>
      <c r="JZ19" s="1022">
        <v>0.4</v>
      </c>
      <c r="KA19" s="1022">
        <v>0.4</v>
      </c>
      <c r="KB19" s="1023">
        <v>2</v>
      </c>
      <c r="KC19" s="1023">
        <v>1.5</v>
      </c>
      <c r="KD19" s="1023">
        <v>0.5</v>
      </c>
      <c r="KE19" s="1023">
        <v>1</v>
      </c>
      <c r="KF19" s="1023">
        <v>0.5</v>
      </c>
      <c r="KG19" s="997"/>
      <c r="KH19" s="997"/>
      <c r="KI19" s="997"/>
      <c r="KJ19" s="997"/>
      <c r="KK19" s="997"/>
      <c r="KL19" s="997"/>
      <c r="KM19" s="997"/>
      <c r="KN19" s="997"/>
      <c r="KO19" s="997"/>
      <c r="KP19" s="1006">
        <v>580</v>
      </c>
      <c r="KQ19" s="1006">
        <v>580</v>
      </c>
      <c r="KR19" s="1006">
        <v>580</v>
      </c>
      <c r="KS19" s="1006">
        <v>580</v>
      </c>
      <c r="KT19" s="1006"/>
      <c r="KU19" s="1006">
        <v>580</v>
      </c>
      <c r="KV19" s="1006">
        <v>580</v>
      </c>
      <c r="KW19" s="1006">
        <v>580</v>
      </c>
      <c r="KX19" s="1006">
        <v>580</v>
      </c>
      <c r="KY19" s="993">
        <v>370</v>
      </c>
      <c r="KZ19" s="993">
        <v>370</v>
      </c>
      <c r="LA19" s="993">
        <v>370</v>
      </c>
      <c r="LB19" s="993">
        <v>370</v>
      </c>
      <c r="LC19" s="993"/>
      <c r="LD19" s="993">
        <v>370</v>
      </c>
      <c r="LE19" s="993">
        <v>370</v>
      </c>
      <c r="LF19" s="993">
        <v>370</v>
      </c>
      <c r="LG19" s="993">
        <v>370</v>
      </c>
      <c r="LH19" s="995">
        <v>0</v>
      </c>
      <c r="LI19" s="995">
        <v>10</v>
      </c>
      <c r="LJ19" s="995">
        <v>20</v>
      </c>
      <c r="LK19" s="995">
        <v>70</v>
      </c>
      <c r="LL19" s="995">
        <v>100</v>
      </c>
      <c r="LM19" s="1004">
        <v>1000</v>
      </c>
      <c r="LN19" s="1019">
        <v>557.24830407435002</v>
      </c>
      <c r="LO19" s="988">
        <v>29</v>
      </c>
      <c r="LP19" s="988">
        <v>0.7</v>
      </c>
      <c r="LQ19" s="988">
        <v>0.5</v>
      </c>
      <c r="LR19" s="988">
        <v>0.5</v>
      </c>
      <c r="LS19" s="1023">
        <v>2</v>
      </c>
      <c r="LT19" s="1023">
        <v>1</v>
      </c>
      <c r="LU19" s="1023">
        <v>0.5</v>
      </c>
      <c r="LV19" s="1023">
        <v>0.7</v>
      </c>
      <c r="LW19" s="1023">
        <v>0.2</v>
      </c>
      <c r="LX19" s="1004">
        <v>1500</v>
      </c>
      <c r="LY19" s="1008">
        <v>500</v>
      </c>
      <c r="LZ19" s="1008">
        <v>1</v>
      </c>
      <c r="MA19" s="997" t="s">
        <v>2914</v>
      </c>
      <c r="MB19" s="1023" t="s">
        <v>905</v>
      </c>
      <c r="MC19" s="1023" t="s">
        <v>2932</v>
      </c>
      <c r="MD19" s="1024" t="s">
        <v>906</v>
      </c>
      <c r="ME19" s="1009">
        <v>0.5</v>
      </c>
      <c r="MF19" s="1010">
        <v>0.75</v>
      </c>
      <c r="MG19" s="1010">
        <v>1</v>
      </c>
      <c r="MH19" s="1010">
        <v>2</v>
      </c>
      <c r="MI19" s="1010">
        <v>0.5</v>
      </c>
      <c r="MJ19" s="1010">
        <v>0.75</v>
      </c>
      <c r="MK19" s="1010">
        <v>1</v>
      </c>
      <c r="ML19" s="1010">
        <v>2</v>
      </c>
      <c r="MM19" s="1010">
        <v>0</v>
      </c>
      <c r="MN19" s="1010">
        <v>0.5</v>
      </c>
      <c r="MO19" s="1010">
        <v>1</v>
      </c>
      <c r="MP19" s="1010">
        <v>2</v>
      </c>
      <c r="MQ19" s="1010">
        <v>0</v>
      </c>
      <c r="MR19" s="1010">
        <v>0.5</v>
      </c>
      <c r="MS19" s="1010">
        <v>1</v>
      </c>
      <c r="MT19" s="1010">
        <v>2</v>
      </c>
      <c r="MU19" s="1001">
        <v>0</v>
      </c>
      <c r="MV19" s="1001">
        <v>0</v>
      </c>
      <c r="MW19" s="1001">
        <v>0</v>
      </c>
      <c r="MX19" s="1025">
        <v>0</v>
      </c>
      <c r="MY19" s="1025">
        <v>0</v>
      </c>
      <c r="MZ19" s="1025">
        <v>0</v>
      </c>
      <c r="NA19" s="1025">
        <v>0</v>
      </c>
      <c r="NB19" s="1025">
        <v>0</v>
      </c>
      <c r="NC19" s="1025">
        <v>0</v>
      </c>
      <c r="ND19" s="1025">
        <v>0</v>
      </c>
      <c r="NE19" s="1025">
        <v>0</v>
      </c>
      <c r="NF19" s="1025">
        <v>0</v>
      </c>
      <c r="NG19" s="1025">
        <v>0</v>
      </c>
      <c r="NH19" s="1025">
        <v>0</v>
      </c>
      <c r="NI19" s="1025">
        <v>0</v>
      </c>
      <c r="NJ19" s="1025">
        <v>0</v>
      </c>
      <c r="NK19" s="1025">
        <v>0</v>
      </c>
      <c r="NL19" s="1025">
        <v>0</v>
      </c>
      <c r="NM19" s="1025">
        <v>0</v>
      </c>
      <c r="NN19" s="1025">
        <v>0</v>
      </c>
      <c r="NO19" s="1025">
        <v>0</v>
      </c>
      <c r="NP19" s="1025">
        <v>0</v>
      </c>
      <c r="NQ19" s="1025">
        <v>0</v>
      </c>
      <c r="NR19" s="1025">
        <v>0</v>
      </c>
      <c r="NS19" s="1025">
        <v>0</v>
      </c>
      <c r="NT19" s="1025">
        <v>0</v>
      </c>
      <c r="NU19" s="1025">
        <v>0</v>
      </c>
      <c r="NV19" s="1025">
        <v>1.0318501487541301</v>
      </c>
      <c r="NW19" s="1025">
        <v>0</v>
      </c>
      <c r="NX19" s="1025">
        <v>2.6673364378799998E-3</v>
      </c>
      <c r="NY19" s="1025">
        <v>0.46648142919201002</v>
      </c>
      <c r="NZ19" s="1025">
        <v>0.32992284395366001</v>
      </c>
      <c r="OA19" s="1025">
        <v>-2.5878394329004299</v>
      </c>
      <c r="OB19" s="1025">
        <v>-1.65789874596956</v>
      </c>
      <c r="OC19" s="1025">
        <v>0</v>
      </c>
      <c r="OD19" s="1025">
        <v>2.6648459528300001E-3</v>
      </c>
      <c r="OE19" s="1025">
        <v>0.46604587670247</v>
      </c>
      <c r="OF19" s="1025">
        <v>3.3252624129770002E-2</v>
      </c>
      <c r="OG19" s="1025">
        <v>-2.56759863841731</v>
      </c>
      <c r="OH19" s="1025">
        <v>0.76029120322385002</v>
      </c>
      <c r="OI19" s="1025">
        <v>0</v>
      </c>
      <c r="OJ19" s="1025">
        <v>2.6601586108099999E-3</v>
      </c>
      <c r="OK19" s="1025">
        <v>0.46522612334406999</v>
      </c>
      <c r="OL19" s="1025">
        <v>7.5899416616860005E-2</v>
      </c>
      <c r="OM19" s="1025">
        <v>-2.58052597482143</v>
      </c>
      <c r="ON19" s="1025">
        <v>0.56455225778889995</v>
      </c>
      <c r="OO19" s="1025">
        <v>0</v>
      </c>
      <c r="OP19" s="1025">
        <v>2.6678000000000001E-3</v>
      </c>
      <c r="OQ19" s="1025">
        <v>0.46656249999999999</v>
      </c>
      <c r="OR19" s="1025">
        <v>1.8115871996939601</v>
      </c>
      <c r="OS19" s="1025">
        <v>-2.59909090857143</v>
      </c>
      <c r="OT19" s="1025">
        <v>1.0377544442489</v>
      </c>
      <c r="OU19" s="1025">
        <v>0</v>
      </c>
      <c r="OV19" s="1025">
        <v>2.6661231929599998E-3</v>
      </c>
      <c r="OW19" s="1025">
        <v>0.46626924890006</v>
      </c>
      <c r="OX19" s="1025">
        <v>0.93609930749682002</v>
      </c>
      <c r="OY19" s="1025">
        <v>-2.44620320588235</v>
      </c>
      <c r="OZ19" s="1025">
        <v>-92.57</v>
      </c>
      <c r="PA19" s="1025">
        <v>-14.44</v>
      </c>
      <c r="PB19" s="1025">
        <v>0</v>
      </c>
      <c r="PC19" s="1025">
        <v>0</v>
      </c>
      <c r="PD19" s="1025">
        <v>-8.4339999999999998E-2</v>
      </c>
      <c r="PE19" s="1025">
        <v>-9.5113605555555605</v>
      </c>
      <c r="PF19" s="1025">
        <v>-0.15255116915148001</v>
      </c>
      <c r="PG19" s="1025">
        <v>0</v>
      </c>
      <c r="PH19" s="1025">
        <v>0</v>
      </c>
      <c r="PI19" s="1025">
        <v>0</v>
      </c>
      <c r="PJ19" s="1025">
        <v>-1.09954804211572</v>
      </c>
      <c r="PK19" s="1025">
        <v>-8.9168626909797002</v>
      </c>
      <c r="PL19" s="1025">
        <v>0.25615086158529998</v>
      </c>
      <c r="PM19" s="1025">
        <v>0</v>
      </c>
      <c r="PN19" s="1025">
        <v>0</v>
      </c>
      <c r="PO19" s="1025">
        <v>0</v>
      </c>
      <c r="PP19" s="1025">
        <v>-0.29040636871508002</v>
      </c>
      <c r="PQ19" s="1025">
        <v>-9.09151782540307</v>
      </c>
      <c r="PR19" s="1025">
        <v>-0.42498342813038997</v>
      </c>
      <c r="PS19" s="1025">
        <v>0</v>
      </c>
      <c r="PT19" s="1025">
        <v>0</v>
      </c>
      <c r="PU19" s="1025">
        <v>0</v>
      </c>
      <c r="PV19" s="1025">
        <v>1.2354940414825899</v>
      </c>
      <c r="PW19" s="1025">
        <v>-9.3818554622871009</v>
      </c>
      <c r="PX19" s="1025">
        <v>0.13777834397649</v>
      </c>
      <c r="PY19" s="1025">
        <v>0</v>
      </c>
      <c r="PZ19" s="1025">
        <v>0</v>
      </c>
      <c r="QA19" s="1025">
        <v>0</v>
      </c>
      <c r="QB19" s="1025">
        <v>0.27692599574014998</v>
      </c>
      <c r="QC19" s="1025">
        <v>-9.1039409756097598</v>
      </c>
      <c r="QD19" s="1025">
        <v>-92.57</v>
      </c>
      <c r="QE19" s="1025">
        <v>-14.44</v>
      </c>
      <c r="QF19" s="1025">
        <v>-2.4649456929716398</v>
      </c>
      <c r="QG19" s="1025">
        <v>0</v>
      </c>
      <c r="QH19" s="1025">
        <v>0.95904519206938998</v>
      </c>
      <c r="QI19" s="1025">
        <v>-9.7424300000000006</v>
      </c>
      <c r="QJ19" s="1025">
        <v>0.12758062444660001</v>
      </c>
      <c r="QK19" s="1025">
        <v>0</v>
      </c>
      <c r="QL19" s="1025">
        <v>0</v>
      </c>
      <c r="QM19" s="1025">
        <v>0</v>
      </c>
      <c r="QN19" s="1025">
        <v>1.2709802591091199</v>
      </c>
      <c r="QO19" s="1025">
        <v>-8.0729801126682705</v>
      </c>
      <c r="QP19" s="1025">
        <v>0.45864868483226001</v>
      </c>
      <c r="QQ19" s="1025">
        <v>0</v>
      </c>
      <c r="QR19" s="1025">
        <v>0</v>
      </c>
      <c r="QS19" s="1025">
        <v>0</v>
      </c>
      <c r="QT19" s="1025">
        <v>2.619810533917E-2</v>
      </c>
      <c r="QU19" s="1025">
        <v>-5.6519755479166696</v>
      </c>
      <c r="QV19" s="1025">
        <v>0.11442541736549</v>
      </c>
      <c r="QW19" s="1025">
        <v>0</v>
      </c>
      <c r="QX19" s="1025">
        <v>0</v>
      </c>
      <c r="QY19" s="1025">
        <v>0</v>
      </c>
      <c r="QZ19" s="1025">
        <v>2.3122581504322302</v>
      </c>
      <c r="RA19" s="1025">
        <v>-7.3322960820895497</v>
      </c>
      <c r="RB19" s="1025">
        <v>0.53917305149881001</v>
      </c>
      <c r="RC19" s="1025">
        <v>0</v>
      </c>
      <c r="RD19" s="1025">
        <v>0</v>
      </c>
      <c r="RE19" s="1025">
        <v>0</v>
      </c>
      <c r="RF19" s="1025">
        <v>1.380224965434</v>
      </c>
      <c r="RG19" s="1025">
        <v>-6.6997860330578503</v>
      </c>
      <c r="RH19" s="1011">
        <v>-1.1358912963213901</v>
      </c>
      <c r="RI19" s="1026">
        <v>0</v>
      </c>
      <c r="RJ19" s="1026">
        <v>-5.27469297989E-2</v>
      </c>
      <c r="RK19" s="1026">
        <v>0</v>
      </c>
      <c r="RL19" s="1026">
        <v>0</v>
      </c>
      <c r="RM19" s="1011">
        <v>-1.28996908592322</v>
      </c>
      <c r="RN19" s="1011">
        <v>2.9562297464841998</v>
      </c>
      <c r="RO19" s="1011">
        <v>0</v>
      </c>
      <c r="RP19" s="1011">
        <v>0</v>
      </c>
      <c r="RQ19" s="1011">
        <v>0</v>
      </c>
      <c r="RR19" s="1011">
        <v>0</v>
      </c>
      <c r="RS19" s="1011">
        <v>-7.05994588323804</v>
      </c>
      <c r="RT19" s="1011">
        <v>-0.67322812760635997</v>
      </c>
      <c r="RU19" s="1011">
        <v>0</v>
      </c>
      <c r="RV19" s="1011">
        <v>-0.80170835936577001</v>
      </c>
      <c r="RW19" s="1011">
        <v>0</v>
      </c>
      <c r="RX19" s="1011">
        <v>2.3651176179104501</v>
      </c>
      <c r="RY19" s="1011">
        <v>-5.1088999646184696</v>
      </c>
      <c r="RZ19" s="1026">
        <v>0.35180826708467</v>
      </c>
      <c r="SA19" s="1026">
        <v>0</v>
      </c>
      <c r="SB19" s="1026">
        <v>0</v>
      </c>
      <c r="SC19" s="1026">
        <v>0</v>
      </c>
      <c r="SD19" s="1026">
        <v>2.3234945994832001</v>
      </c>
      <c r="SE19" s="1026">
        <v>-5.1753468290043303</v>
      </c>
      <c r="SF19" s="1026">
        <v>0.70179992994795004</v>
      </c>
      <c r="SG19" s="1026">
        <v>0</v>
      </c>
      <c r="SH19" s="1026">
        <v>0</v>
      </c>
      <c r="SI19" s="1026">
        <v>0</v>
      </c>
      <c r="SJ19" s="1026">
        <v>1.12635326346719</v>
      </c>
      <c r="SK19" s="1026">
        <v>-4.6368878080132703</v>
      </c>
      <c r="SL19" s="1025">
        <v>-92.57</v>
      </c>
      <c r="SM19" s="1025">
        <v>-14.44</v>
      </c>
      <c r="SN19" s="1025">
        <v>-1.23847669503799</v>
      </c>
      <c r="SO19" s="1025">
        <v>0</v>
      </c>
      <c r="SP19" s="1025">
        <v>-0.43760209081332002</v>
      </c>
      <c r="SQ19" s="1025">
        <v>-6.6780445482728101</v>
      </c>
      <c r="SR19" s="1025">
        <v>0.20070167333795999</v>
      </c>
      <c r="SS19" s="1025">
        <v>0</v>
      </c>
      <c r="ST19" s="1025">
        <v>0</v>
      </c>
      <c r="SU19" s="1025">
        <v>0</v>
      </c>
      <c r="SV19" s="1025">
        <v>-0.22015753480263001</v>
      </c>
      <c r="SW19" s="1025">
        <v>-7.5451879649122802</v>
      </c>
      <c r="SX19" s="1025">
        <v>6.3679290410120007E-2</v>
      </c>
      <c r="SY19" s="1025">
        <v>0</v>
      </c>
      <c r="SZ19" s="1025">
        <v>0</v>
      </c>
      <c r="TA19" s="1025">
        <v>0</v>
      </c>
      <c r="TB19" s="1025">
        <v>-0.4848539887419</v>
      </c>
      <c r="TC19" s="1025">
        <v>-7.1321261451869704</v>
      </c>
      <c r="TD19" s="1025">
        <v>0.72026659531981996</v>
      </c>
      <c r="TE19" s="1025">
        <v>0</v>
      </c>
      <c r="TF19" s="1025">
        <v>0</v>
      </c>
      <c r="TG19" s="1025">
        <v>0</v>
      </c>
      <c r="TH19" s="1025">
        <v>-3.1444745539629997E-2</v>
      </c>
      <c r="TI19" s="1025">
        <v>-5.3389379124315903</v>
      </c>
      <c r="TJ19" s="1025">
        <v>0.16605130097278001</v>
      </c>
      <c r="TK19" s="1025">
        <v>0</v>
      </c>
      <c r="TL19" s="1025">
        <v>0</v>
      </c>
      <c r="TM19" s="1025">
        <v>0</v>
      </c>
      <c r="TN19" s="1025">
        <v>-8.0530618828179995E-2</v>
      </c>
      <c r="TO19" s="1025">
        <v>-6.7757613114754101</v>
      </c>
      <c r="TP19" s="1025">
        <v>-92.57</v>
      </c>
      <c r="TQ19" s="1025">
        <v>-14.44</v>
      </c>
      <c r="TR19" s="1025">
        <v>0</v>
      </c>
      <c r="TS19" s="1025">
        <v>0</v>
      </c>
      <c r="TT19" s="1025">
        <v>0</v>
      </c>
      <c r="TU19" s="1025">
        <v>0</v>
      </c>
      <c r="TV19" s="1025">
        <v>0</v>
      </c>
      <c r="TW19" s="1025">
        <v>0</v>
      </c>
      <c r="TX19" s="1025">
        <v>0</v>
      </c>
      <c r="TY19" s="1025">
        <v>0</v>
      </c>
      <c r="TZ19" s="1025">
        <v>0</v>
      </c>
      <c r="UA19" s="1025">
        <v>0</v>
      </c>
      <c r="UB19" s="1025">
        <v>0</v>
      </c>
      <c r="UC19" s="1025">
        <v>0</v>
      </c>
      <c r="UD19" s="1025">
        <v>0</v>
      </c>
      <c r="UE19" s="1025">
        <v>0</v>
      </c>
      <c r="UF19" s="1025">
        <v>0</v>
      </c>
      <c r="UG19" s="1025">
        <v>0</v>
      </c>
      <c r="UH19" s="1025">
        <v>0</v>
      </c>
      <c r="UI19" s="1025">
        <v>0</v>
      </c>
      <c r="UJ19" s="1025">
        <v>0</v>
      </c>
      <c r="UK19" s="1025">
        <v>0</v>
      </c>
      <c r="UL19" s="1025">
        <v>0</v>
      </c>
      <c r="UM19" s="1025">
        <v>0</v>
      </c>
      <c r="UN19" s="1025">
        <v>0</v>
      </c>
      <c r="UO19" s="1025">
        <v>0</v>
      </c>
      <c r="UP19" s="1025">
        <v>0</v>
      </c>
      <c r="UQ19" s="1025">
        <v>0</v>
      </c>
      <c r="UR19" s="1025">
        <v>0</v>
      </c>
      <c r="US19" s="1025">
        <v>0</v>
      </c>
      <c r="UT19" s="1025">
        <v>1.0438727934272101</v>
      </c>
      <c r="UU19" s="1025">
        <v>0</v>
      </c>
      <c r="UV19" s="1025">
        <v>9.4871062897980002E-2</v>
      </c>
      <c r="UW19" s="1025">
        <v>-1.249663487646E-2</v>
      </c>
      <c r="UX19" s="1025">
        <v>0.40955787679660999</v>
      </c>
      <c r="UY19" s="1025">
        <v>-2.5697875774167498</v>
      </c>
      <c r="UZ19" s="1025">
        <v>5.0910557149E-4</v>
      </c>
      <c r="VA19" s="1025">
        <v>0</v>
      </c>
      <c r="VB19" s="1025">
        <v>0</v>
      </c>
      <c r="VC19" s="1025">
        <v>0</v>
      </c>
      <c r="VD19" s="1025">
        <v>-9.0095390484000004E-4</v>
      </c>
      <c r="VE19" s="1025">
        <v>-9.3365789106511592</v>
      </c>
      <c r="VF19" s="1025">
        <v>7.4269135648500004E-3</v>
      </c>
      <c r="VG19" s="1025">
        <v>0</v>
      </c>
      <c r="VH19" s="1025">
        <v>0</v>
      </c>
      <c r="VI19" s="1025">
        <v>0</v>
      </c>
      <c r="VJ19" s="1025">
        <v>7.9460364238000004E-3</v>
      </c>
      <c r="VK19" s="1025">
        <v>-7.3122757210931404</v>
      </c>
      <c r="VL19" s="1025">
        <v>-0.18911563314650001</v>
      </c>
      <c r="VM19" s="1025">
        <v>0</v>
      </c>
      <c r="VN19" s="1025">
        <v>0</v>
      </c>
      <c r="VO19" s="1025">
        <v>0</v>
      </c>
      <c r="VP19" s="1025">
        <v>0</v>
      </c>
      <c r="VQ19" s="1025">
        <v>-39.143432806734729</v>
      </c>
      <c r="VR19" s="1010">
        <v>1.293936503152E-2</v>
      </c>
      <c r="VS19" s="1010">
        <v>0</v>
      </c>
      <c r="VT19" s="1010">
        <v>0</v>
      </c>
      <c r="VU19" s="1010">
        <v>0</v>
      </c>
      <c r="VV19" s="1010">
        <v>2.0956289774000001E-4</v>
      </c>
      <c r="VW19" s="1010">
        <v>-9.6945242190118002</v>
      </c>
      <c r="VX19" s="1025">
        <v>0</v>
      </c>
      <c r="VY19" s="1025">
        <v>0</v>
      </c>
      <c r="VZ19" s="1025">
        <v>0</v>
      </c>
      <c r="WA19" s="1025">
        <v>0</v>
      </c>
      <c r="WB19" s="1025">
        <v>0</v>
      </c>
      <c r="WC19" s="1025">
        <v>-7.2152634663089197</v>
      </c>
      <c r="WD19" s="995">
        <v>202</v>
      </c>
      <c r="WE19" s="995">
        <v>267</v>
      </c>
      <c r="WF19" s="995">
        <v>354</v>
      </c>
      <c r="WG19" s="995">
        <v>382</v>
      </c>
      <c r="WH19" s="995">
        <v>403</v>
      </c>
      <c r="WI19" s="995">
        <v>0</v>
      </c>
      <c r="WJ19" s="995">
        <v>1300</v>
      </c>
      <c r="WK19" s="1001">
        <v>0</v>
      </c>
      <c r="WL19" s="1001">
        <v>0</v>
      </c>
      <c r="WM19" s="1001">
        <v>0</v>
      </c>
      <c r="WN19" s="1001">
        <v>0</v>
      </c>
      <c r="WO19" s="1001">
        <v>0</v>
      </c>
      <c r="WP19" s="1001">
        <v>0</v>
      </c>
      <c r="WQ19" s="1001">
        <v>0</v>
      </c>
      <c r="WR19" s="1001">
        <v>0</v>
      </c>
      <c r="WS19" s="1001">
        <v>0</v>
      </c>
      <c r="WT19" s="1001">
        <v>0</v>
      </c>
      <c r="WU19" s="1001">
        <v>0</v>
      </c>
      <c r="WV19" s="1001">
        <v>0</v>
      </c>
      <c r="WW19" s="1001">
        <v>0</v>
      </c>
      <c r="WX19" s="1001">
        <v>0</v>
      </c>
      <c r="WY19" s="1001">
        <v>0</v>
      </c>
      <c r="WZ19" s="1001">
        <v>0</v>
      </c>
      <c r="XA19" s="1001">
        <v>0</v>
      </c>
      <c r="XB19" s="1001">
        <v>0</v>
      </c>
      <c r="XC19" s="1001">
        <v>0</v>
      </c>
      <c r="XD19" s="1001">
        <v>0</v>
      </c>
      <c r="XE19" s="1001">
        <v>0</v>
      </c>
      <c r="XF19" s="1001">
        <v>0</v>
      </c>
      <c r="XG19" s="1001">
        <v>0</v>
      </c>
      <c r="XH19" s="1001">
        <v>0</v>
      </c>
      <c r="XI19" s="1001">
        <v>0</v>
      </c>
      <c r="XJ19" s="1001">
        <v>0</v>
      </c>
      <c r="XK19" s="1001">
        <v>0</v>
      </c>
      <c r="XL19" s="1001">
        <v>0</v>
      </c>
      <c r="XM19" s="1001">
        <v>0</v>
      </c>
      <c r="XN19" s="1001">
        <v>0</v>
      </c>
      <c r="XO19" s="1001">
        <v>0</v>
      </c>
      <c r="XP19" s="1001">
        <v>0</v>
      </c>
      <c r="XQ19" s="1001">
        <v>0</v>
      </c>
      <c r="XR19" s="1027">
        <v>87</v>
      </c>
      <c r="XS19" s="1013">
        <v>69.018789144050103</v>
      </c>
      <c r="XT19" s="1013">
        <v>76.283924843423804</v>
      </c>
      <c r="XU19" s="1013">
        <v>79.916492693110641</v>
      </c>
      <c r="XV19" s="1013">
        <v>122.78079331941545</v>
      </c>
      <c r="XW19" s="1028">
        <v>15766.69037</v>
      </c>
      <c r="XX19" s="1013">
        <v>77</v>
      </c>
      <c r="XY19" s="1013">
        <v>18</v>
      </c>
      <c r="XZ19" s="1013">
        <v>5</v>
      </c>
      <c r="YA19" s="1029">
        <v>0</v>
      </c>
      <c r="YB19" s="1030">
        <v>1580.8364312856143</v>
      </c>
      <c r="YC19" s="1030">
        <v>0</v>
      </c>
      <c r="YD19" s="1030">
        <v>0</v>
      </c>
      <c r="YE19" s="1030">
        <v>0</v>
      </c>
      <c r="YF19" s="1030">
        <v>0</v>
      </c>
      <c r="YG19" s="1030">
        <v>0</v>
      </c>
      <c r="YH19" s="1030">
        <v>1164.8268441051896</v>
      </c>
      <c r="YI19" s="1030">
        <v>665.61533948867964</v>
      </c>
      <c r="YJ19" s="1030">
        <v>1695.8508465649081</v>
      </c>
      <c r="YK19" s="1030">
        <v>0</v>
      </c>
      <c r="YL19" s="1030">
        <v>0</v>
      </c>
      <c r="YM19" s="1030">
        <v>0</v>
      </c>
      <c r="YN19" s="1030">
        <v>0</v>
      </c>
      <c r="YO19" s="1030">
        <v>0</v>
      </c>
      <c r="YP19" s="1030">
        <v>1249.5743079951956</v>
      </c>
      <c r="YQ19" s="1030">
        <v>714.04246171154023</v>
      </c>
      <c r="YR19" s="1030">
        <v>1776.6056487822848</v>
      </c>
      <c r="YS19" s="1030">
        <v>0</v>
      </c>
      <c r="YT19" s="1030">
        <v>0</v>
      </c>
      <c r="YU19" s="1030">
        <v>0</v>
      </c>
      <c r="YV19" s="1030">
        <v>0</v>
      </c>
      <c r="YW19" s="1030">
        <v>0</v>
      </c>
      <c r="YX19" s="1030">
        <v>1309.0778464711573</v>
      </c>
      <c r="YY19" s="1030">
        <v>748.04448369780403</v>
      </c>
      <c r="YZ19" s="1030">
        <v>2729.5123149473284</v>
      </c>
      <c r="ZA19" s="1030">
        <v>0</v>
      </c>
      <c r="ZB19" s="1030">
        <v>0</v>
      </c>
      <c r="ZC19" s="1030">
        <v>0</v>
      </c>
      <c r="ZD19" s="1030">
        <v>0</v>
      </c>
      <c r="ZE19" s="1030">
        <v>0</v>
      </c>
      <c r="ZF19" s="1030">
        <v>2011.2196004875057</v>
      </c>
      <c r="ZG19" s="1030">
        <v>1149.2683431357173</v>
      </c>
      <c r="ZH19" s="1030">
        <v>892.99693518400704</v>
      </c>
      <c r="ZI19" s="1030">
        <v>1785.9938703680141</v>
      </c>
      <c r="ZJ19" s="1030">
        <v>939.99677387790223</v>
      </c>
      <c r="ZK19" s="1030">
        <v>46.999838693895107</v>
      </c>
      <c r="ZL19" s="1030">
        <v>0</v>
      </c>
      <c r="ZM19" s="1030">
        <v>0</v>
      </c>
      <c r="ZN19" s="1030">
        <v>657.99774171453157</v>
      </c>
      <c r="ZO19" s="1030">
        <v>375.99870955116086</v>
      </c>
      <c r="ZP19" s="1030">
        <v>957.96730043733271</v>
      </c>
      <c r="ZQ19" s="1030">
        <v>1915.9346008746654</v>
      </c>
      <c r="ZR19" s="1030">
        <v>1008.3866320392976</v>
      </c>
      <c r="ZS19" s="1030">
        <v>50.419331601964878</v>
      </c>
      <c r="ZT19" s="1030">
        <v>0</v>
      </c>
      <c r="ZU19" s="1030">
        <v>0</v>
      </c>
      <c r="ZV19" s="1030">
        <v>705.8706424275083</v>
      </c>
      <c r="ZW19" s="1030">
        <v>403.35465281571902</v>
      </c>
      <c r="ZX19" s="1030">
        <v>1003.5847909343485</v>
      </c>
      <c r="ZY19" s="1030">
        <v>2007.1695818686969</v>
      </c>
      <c r="ZZ19" s="1030">
        <v>1056.405043088788</v>
      </c>
      <c r="AAA19" s="1030">
        <v>52.820252154439395</v>
      </c>
      <c r="AAB19" s="1030">
        <v>0</v>
      </c>
      <c r="AAC19" s="1030">
        <v>0</v>
      </c>
      <c r="AAD19" s="1030">
        <v>739.48353016215162</v>
      </c>
      <c r="AAE19" s="1030">
        <v>422.56201723551516</v>
      </c>
      <c r="AAF19" s="1030">
        <v>1541.8711787991354</v>
      </c>
      <c r="AAG19" s="1030">
        <v>3083.7423575982707</v>
      </c>
      <c r="AAH19" s="1030">
        <v>1623.0222934727742</v>
      </c>
      <c r="AAI19" s="1030">
        <v>81.151114673638702</v>
      </c>
      <c r="AAJ19" s="1030">
        <v>0</v>
      </c>
      <c r="AAK19" s="1030">
        <v>0</v>
      </c>
      <c r="AAL19" s="1030">
        <v>1136.115605430942</v>
      </c>
      <c r="AAM19" s="1030">
        <v>649.20891738910962</v>
      </c>
      <c r="AAN19" s="1030">
        <v>2376.5241016993737</v>
      </c>
      <c r="AAO19" s="1030">
        <v>4753.0482033987473</v>
      </c>
      <c r="AAP19" s="1030">
        <v>2501.6043175782884</v>
      </c>
      <c r="AAQ19" s="1030">
        <v>125.0802158789144</v>
      </c>
      <c r="AAR19" s="1030">
        <v>0</v>
      </c>
      <c r="AAS19" s="1030">
        <v>0</v>
      </c>
      <c r="AAT19" s="1030">
        <v>1751.1230223048019</v>
      </c>
      <c r="AAU19" s="1030">
        <v>1000.6417270313152</v>
      </c>
      <c r="AAV19" s="1030">
        <v>2626.6845334572026</v>
      </c>
      <c r="AAW19" s="1030">
        <v>5253.3690669144053</v>
      </c>
      <c r="AAX19" s="1030">
        <v>2764.9310878496872</v>
      </c>
      <c r="AAY19" s="1030">
        <v>138.24655439248434</v>
      </c>
      <c r="AAZ19" s="1030">
        <v>0</v>
      </c>
      <c r="ABA19" s="1030">
        <v>0</v>
      </c>
      <c r="ABB19" s="1030">
        <v>1935.4517614947808</v>
      </c>
      <c r="ABC19" s="1030">
        <v>1105.9724351398747</v>
      </c>
      <c r="ABD19" s="1030">
        <v>2751.7647493361169</v>
      </c>
      <c r="ABE19" s="1030">
        <v>5503.5294986722338</v>
      </c>
      <c r="ABF19" s="1030">
        <v>2896.5944729853863</v>
      </c>
      <c r="ABG19" s="1030">
        <v>144.82972364926931</v>
      </c>
      <c r="ABH19" s="1030">
        <v>0</v>
      </c>
      <c r="ABI19" s="1030">
        <v>0</v>
      </c>
      <c r="ABJ19" s="1030">
        <v>2027.6161310897705</v>
      </c>
      <c r="ABK19" s="1030">
        <v>1158.6377891941545</v>
      </c>
      <c r="ABL19" s="1030">
        <v>4227.7112967073072</v>
      </c>
      <c r="ABM19" s="1030">
        <v>8455.4225934146143</v>
      </c>
      <c r="ABN19" s="1030">
        <v>4450.2224175866386</v>
      </c>
      <c r="ABO19" s="1030">
        <v>222.51112087933194</v>
      </c>
      <c r="ABP19" s="1030">
        <v>0</v>
      </c>
      <c r="ABQ19" s="1030">
        <v>0</v>
      </c>
      <c r="ABR19" s="1030">
        <v>3115.1556923106473</v>
      </c>
      <c r="ABS19" s="1030">
        <v>1780.0889670346555</v>
      </c>
      <c r="ABT19" s="1030">
        <v>3269.5210368833805</v>
      </c>
      <c r="ABU19" s="1030">
        <v>6539.042073766761</v>
      </c>
      <c r="ABV19" s="1030">
        <v>3441.6010914561903</v>
      </c>
      <c r="ABW19" s="1030">
        <v>172.0800545728095</v>
      </c>
      <c r="ABX19" s="1030">
        <v>0</v>
      </c>
      <c r="ABY19" s="1030">
        <v>0</v>
      </c>
      <c r="ABZ19" s="1030">
        <v>2409.1207640193334</v>
      </c>
      <c r="ACA19" s="1030">
        <v>1376.640436582476</v>
      </c>
      <c r="ACB19" s="1030">
        <v>3461.0431499671377</v>
      </c>
      <c r="ACC19" s="1030">
        <v>6922.0862999342753</v>
      </c>
      <c r="ACD19" s="1030">
        <v>3643.2033157548817</v>
      </c>
      <c r="ACE19" s="1030">
        <v>182.16016578774409</v>
      </c>
      <c r="ACF19" s="1030">
        <v>0</v>
      </c>
      <c r="ACG19" s="1030">
        <v>0</v>
      </c>
      <c r="ACH19" s="1030">
        <v>2550.2423210284173</v>
      </c>
      <c r="ACI19" s="1030">
        <v>1457.2813263019527</v>
      </c>
      <c r="ACJ19" s="1030">
        <v>3625.8547285370009</v>
      </c>
      <c r="ACK19" s="1030">
        <v>7251.7094570740019</v>
      </c>
      <c r="ACL19" s="1030">
        <v>3816.6891879336854</v>
      </c>
      <c r="ACM19" s="1030">
        <v>190.83445939668425</v>
      </c>
      <c r="ACN19" s="1030">
        <v>0</v>
      </c>
      <c r="ACO19" s="1030">
        <v>0</v>
      </c>
      <c r="ACP19" s="1030">
        <v>2671.6824315535796</v>
      </c>
      <c r="ACQ19" s="1030">
        <v>1526.675675173474</v>
      </c>
      <c r="ACR19" s="1030">
        <v>5570.6313556613923</v>
      </c>
      <c r="ACS19" s="1030">
        <v>11141.262711322785</v>
      </c>
      <c r="ACT19" s="1030">
        <v>5863.8224796435716</v>
      </c>
      <c r="ACU19" s="1030">
        <v>293.19112398217857</v>
      </c>
      <c r="ACV19" s="1030">
        <v>0</v>
      </c>
      <c r="ACW19" s="1030">
        <v>0</v>
      </c>
      <c r="ACX19" s="1030">
        <v>4104.6757357505003</v>
      </c>
      <c r="ACY19" s="1030">
        <v>2345.5289918574285</v>
      </c>
      <c r="ACZ19" s="1030">
        <v>4234.5338539370659</v>
      </c>
      <c r="ADA19" s="1030">
        <v>8469.0677078741319</v>
      </c>
      <c r="ADB19" s="1030">
        <v>4457.4040567758593</v>
      </c>
      <c r="ADC19" s="1030">
        <v>222.87020283879295</v>
      </c>
      <c r="ADD19" s="1030">
        <v>0</v>
      </c>
      <c r="ADE19" s="1030">
        <v>0</v>
      </c>
      <c r="ADF19" s="1030">
        <v>3120.1828397431013</v>
      </c>
      <c r="ADG19" s="1030">
        <v>1782.9616227103436</v>
      </c>
      <c r="ADH19" s="1030">
        <v>4527.1680488409438</v>
      </c>
      <c r="ADI19" s="1030">
        <v>9054.3360976818876</v>
      </c>
      <c r="ADJ19" s="1030">
        <v>4765.4400514115196</v>
      </c>
      <c r="ADK19" s="1030">
        <v>238.27200257057598</v>
      </c>
      <c r="ADL19" s="1030">
        <v>0</v>
      </c>
      <c r="ADM19" s="1030">
        <v>0</v>
      </c>
      <c r="ADN19" s="1030">
        <v>3335.8080359880637</v>
      </c>
      <c r="ADO19" s="1030">
        <v>1906.1760205646078</v>
      </c>
      <c r="ADP19" s="1030">
        <v>4742.747479738131</v>
      </c>
      <c r="ADQ19" s="1030">
        <v>9485.494959476262</v>
      </c>
      <c r="ADR19" s="1030">
        <v>4992.3657681454015</v>
      </c>
      <c r="ADS19" s="1030">
        <v>249.61828840727006</v>
      </c>
      <c r="ADT19" s="1030">
        <v>0</v>
      </c>
      <c r="ADU19" s="1030">
        <v>0</v>
      </c>
      <c r="ADV19" s="1030">
        <v>3494.6560377017809</v>
      </c>
      <c r="ADW19" s="1030">
        <v>1996.9463072581605</v>
      </c>
      <c r="ADX19" s="1030">
        <v>7286.5847643249472</v>
      </c>
      <c r="ADY19" s="1030">
        <v>14573.169528649894</v>
      </c>
      <c r="ADZ19" s="1030">
        <v>7670.0892256052075</v>
      </c>
      <c r="AEA19" s="1030">
        <v>383.50446128026039</v>
      </c>
      <c r="AEB19" s="1030">
        <v>0</v>
      </c>
      <c r="AEC19" s="1030">
        <v>0</v>
      </c>
      <c r="AED19" s="1030">
        <v>5369.0624579236455</v>
      </c>
      <c r="AEE19" s="1030">
        <v>3068.0356902420831</v>
      </c>
      <c r="AEF19" s="1030">
        <v>5170.7403182428798</v>
      </c>
      <c r="AEG19" s="1030">
        <v>10341.48063648576</v>
      </c>
      <c r="AEH19" s="1030">
        <v>5442.8845455188211</v>
      </c>
      <c r="AEI19" s="1030">
        <v>272.14422727594103</v>
      </c>
      <c r="AEJ19" s="1030">
        <v>0</v>
      </c>
      <c r="AEK19" s="1030">
        <v>0</v>
      </c>
      <c r="AEL19" s="1030">
        <v>3810.0191818631752</v>
      </c>
      <c r="AEM19" s="1030">
        <v>2177.1538182075283</v>
      </c>
      <c r="AEN19" s="1030">
        <v>5562.3907767328992</v>
      </c>
      <c r="AEO19" s="1030">
        <v>11124.781553465798</v>
      </c>
      <c r="AEP19" s="1030">
        <v>5855.1481860346312</v>
      </c>
      <c r="AEQ19" s="1030">
        <v>292.75740930173151</v>
      </c>
      <c r="AER19" s="1030">
        <v>0</v>
      </c>
      <c r="AES19" s="1030">
        <v>0</v>
      </c>
      <c r="AET19" s="1030">
        <v>4098.6037302242421</v>
      </c>
      <c r="AEU19" s="1030">
        <v>2342.0592744138521</v>
      </c>
      <c r="AEV19" s="1030">
        <v>5827.2665280058945</v>
      </c>
      <c r="AEW19" s="1030">
        <v>11654.533056011789</v>
      </c>
      <c r="AEX19" s="1030">
        <v>6133.9647663219948</v>
      </c>
      <c r="AEY19" s="1030">
        <v>306.69823831609972</v>
      </c>
      <c r="AEZ19" s="1030">
        <v>0</v>
      </c>
      <c r="AFA19" s="1030">
        <v>0</v>
      </c>
      <c r="AFB19" s="1030">
        <v>4293.7753364253958</v>
      </c>
      <c r="AFC19" s="1030">
        <v>2453.5859065287978</v>
      </c>
      <c r="AFD19" s="1030">
        <v>8952.8003930272389</v>
      </c>
      <c r="AFE19" s="1030">
        <v>17905.600786054478</v>
      </c>
      <c r="AFF19" s="1030">
        <v>9424.0004137128835</v>
      </c>
      <c r="AFG19" s="1030">
        <v>471.20002068564412</v>
      </c>
      <c r="AFH19" s="1030">
        <v>0</v>
      </c>
      <c r="AFI19" s="1030">
        <v>0</v>
      </c>
      <c r="AFJ19" s="1030">
        <v>6596.8002895990185</v>
      </c>
      <c r="AFK19" s="1030">
        <v>3769.600165485153</v>
      </c>
      <c r="AFL19" s="1023">
        <v>5962.9150188093381</v>
      </c>
      <c r="AFM19" s="1023">
        <v>11925.830037618676</v>
      </c>
      <c r="AFN19" s="1023">
        <v>6276.7526513782504</v>
      </c>
      <c r="AFO19" s="1023">
        <v>313.83763256891251</v>
      </c>
      <c r="AFP19" s="1023">
        <v>0</v>
      </c>
      <c r="AFQ19" s="1023">
        <v>0</v>
      </c>
      <c r="AFR19" s="1023">
        <v>4393.7268559647755</v>
      </c>
      <c r="AFS19" s="1023">
        <v>2510.7010605513001</v>
      </c>
      <c r="AFT19" s="1023">
        <v>6334.9450512791345</v>
      </c>
      <c r="AFU19" s="1023">
        <v>12669.890102558269</v>
      </c>
      <c r="AFV19" s="1023">
        <v>6668.3632118727737</v>
      </c>
      <c r="AFW19" s="1023">
        <v>333.41816059363867</v>
      </c>
      <c r="AFX19" s="1023">
        <v>0</v>
      </c>
      <c r="AFY19" s="1023">
        <v>0</v>
      </c>
      <c r="AFZ19" s="1023">
        <v>4667.8542483109422</v>
      </c>
      <c r="AGA19" s="1023">
        <v>2667.3452847491094</v>
      </c>
      <c r="AGB19" s="1023">
        <v>6636.6091013400464</v>
      </c>
      <c r="AGC19" s="1023">
        <v>13273.218202680093</v>
      </c>
      <c r="AGD19" s="1023">
        <v>6985.9043172000493</v>
      </c>
      <c r="AGE19" s="1023">
        <v>349.29521586000243</v>
      </c>
      <c r="AGF19" s="1023">
        <v>0</v>
      </c>
      <c r="AGG19" s="1023">
        <v>0</v>
      </c>
      <c r="AGH19" s="1023">
        <v>4890.1330220400341</v>
      </c>
      <c r="AGI19" s="1023">
        <v>2794.3617268800194</v>
      </c>
      <c r="AGJ19" s="1023">
        <v>10196.244892058799</v>
      </c>
      <c r="AGK19" s="1023">
        <v>20392.489784117599</v>
      </c>
      <c r="AGL19" s="1023">
        <v>10732.889360061894</v>
      </c>
      <c r="AGM19" s="1023">
        <v>536.64446800309463</v>
      </c>
      <c r="AGN19" s="1023">
        <v>0</v>
      </c>
      <c r="AGO19" s="1023">
        <v>0</v>
      </c>
      <c r="AGP19" s="1023">
        <v>7513.022552043326</v>
      </c>
      <c r="AGQ19" s="1023">
        <v>4293.155744024757</v>
      </c>
      <c r="AGR19" s="1030">
        <v>2376.5241016993737</v>
      </c>
      <c r="AGS19" s="1030">
        <v>4753.0482033987473</v>
      </c>
      <c r="AGT19" s="1030">
        <v>2501.6043175782884</v>
      </c>
      <c r="AGU19" s="1030">
        <v>125.0802158789144</v>
      </c>
      <c r="AGV19" s="1030">
        <v>0</v>
      </c>
      <c r="AGW19" s="1030">
        <v>0</v>
      </c>
      <c r="AGX19" s="1030">
        <v>1751.1230223048019</v>
      </c>
      <c r="AGY19" s="1030">
        <v>1000.6417270313152</v>
      </c>
      <c r="AGZ19" s="1030">
        <v>2626.6845334572026</v>
      </c>
      <c r="AHA19" s="1030">
        <v>5253.3690669144053</v>
      </c>
      <c r="AHB19" s="1030">
        <v>2764.9310878496872</v>
      </c>
      <c r="AHC19" s="1030">
        <v>138.24655439248434</v>
      </c>
      <c r="AHD19" s="1030">
        <v>0</v>
      </c>
      <c r="AHE19" s="1030">
        <v>0</v>
      </c>
      <c r="AHF19" s="1030">
        <v>1935.4517614947808</v>
      </c>
      <c r="AHG19" s="1030">
        <v>1105.9724351398747</v>
      </c>
      <c r="AHH19" s="1030">
        <v>2751.7647493361169</v>
      </c>
      <c r="AHI19" s="1030">
        <v>5503.5294986722338</v>
      </c>
      <c r="AHJ19" s="1030">
        <v>2896.5944729853863</v>
      </c>
      <c r="AHK19" s="1030">
        <v>144.82972364926931</v>
      </c>
      <c r="AHL19" s="1030">
        <v>0</v>
      </c>
      <c r="AHM19" s="1030">
        <v>0</v>
      </c>
      <c r="AHN19" s="1030">
        <v>2027.6161310897705</v>
      </c>
      <c r="AHO19" s="1030">
        <v>1158.6377891941545</v>
      </c>
      <c r="AHP19" s="1030">
        <v>4227.7112967073072</v>
      </c>
      <c r="AHQ19" s="1030">
        <v>8455.4225934146143</v>
      </c>
      <c r="AHR19" s="1030">
        <v>4450.2224175866386</v>
      </c>
      <c r="AHS19" s="1030">
        <v>222.51112087933194</v>
      </c>
      <c r="AHT19" s="1030">
        <v>0</v>
      </c>
      <c r="AHU19" s="1030">
        <v>0</v>
      </c>
      <c r="AHV19" s="1030">
        <v>3115.1556923106473</v>
      </c>
      <c r="AHW19" s="1030">
        <v>1780.0889670346555</v>
      </c>
      <c r="AHX19" s="1013">
        <v>165</v>
      </c>
      <c r="AHY19" s="1023">
        <v>0</v>
      </c>
      <c r="AHZ19" s="1023">
        <v>0</v>
      </c>
      <c r="AIA19" s="1023">
        <v>0</v>
      </c>
      <c r="AIB19" s="1023">
        <v>0</v>
      </c>
      <c r="AIC19" s="1023">
        <v>0</v>
      </c>
      <c r="AID19" s="1023">
        <v>0</v>
      </c>
      <c r="AIE19" s="1023">
        <v>0</v>
      </c>
      <c r="AIF19" s="1013">
        <v>120.05500951881852</v>
      </c>
      <c r="AIG19" s="1013">
        <v>97.939613028509839</v>
      </c>
      <c r="AIH19" s="1013">
        <v>72.664874182442787</v>
      </c>
      <c r="AII19" s="1013">
        <v>0</v>
      </c>
      <c r="AIJ19" s="1013">
        <v>0</v>
      </c>
      <c r="AIK19" s="1013">
        <v>0</v>
      </c>
      <c r="AIL19" s="1013">
        <v>12.63736942303353</v>
      </c>
      <c r="AIM19" s="1013">
        <v>12.63736942303353</v>
      </c>
      <c r="AIN19" s="1016">
        <v>80.892917679909317</v>
      </c>
      <c r="AIO19" s="1016">
        <v>65.991590738873384</v>
      </c>
      <c r="AIP19" s="1017">
        <v>48.961502806260903</v>
      </c>
      <c r="AIQ19" s="1017">
        <v>0</v>
      </c>
      <c r="AIR19" s="1017">
        <v>0</v>
      </c>
      <c r="AIS19" s="1017">
        <v>0</v>
      </c>
      <c r="AIT19" s="1017">
        <v>8.5150439663062443</v>
      </c>
      <c r="AIU19" s="1017">
        <v>8.5150439663062443</v>
      </c>
      <c r="AIV19" s="1013">
        <v>44.072282925797928</v>
      </c>
      <c r="AIW19" s="1013">
        <v>35.953704492098311</v>
      </c>
      <c r="AIX19" s="1013">
        <v>26.675329139298746</v>
      </c>
      <c r="AIY19" s="1013">
        <v>0</v>
      </c>
      <c r="AIZ19" s="1013">
        <v>0</v>
      </c>
      <c r="AJA19" s="1013">
        <v>0</v>
      </c>
      <c r="AJB19" s="1013">
        <v>4.6391876763997821</v>
      </c>
      <c r="AJC19" s="1013">
        <v>4.6391876763997821</v>
      </c>
      <c r="AJD19" s="1013">
        <v>129.6</v>
      </c>
      <c r="AJE19" s="1013">
        <v>96.93</v>
      </c>
      <c r="AJF19" s="1013">
        <v>80.78</v>
      </c>
      <c r="AJG19" s="1013">
        <v>0</v>
      </c>
      <c r="AJH19" s="1013">
        <v>7.54</v>
      </c>
      <c r="AJI19" s="1013">
        <v>9.15</v>
      </c>
      <c r="AJJ19" s="1013">
        <v>0</v>
      </c>
      <c r="AJK19" s="1013">
        <v>0</v>
      </c>
      <c r="AJL19" s="1013">
        <v>54.312866076332796</v>
      </c>
      <c r="AJM19" s="1013">
        <v>44.307864430692547</v>
      </c>
      <c r="AJN19" s="1013">
        <v>32.873576835675117</v>
      </c>
      <c r="AJO19" s="1013">
        <v>0</v>
      </c>
      <c r="AJP19" s="1013">
        <v>0</v>
      </c>
      <c r="AJQ19" s="1013">
        <v>0</v>
      </c>
      <c r="AJR19" s="1013">
        <v>5.717143797508716</v>
      </c>
      <c r="AJS19" s="1013">
        <v>5.717143797508716</v>
      </c>
      <c r="AJT19" s="1029" t="s">
        <v>858</v>
      </c>
      <c r="AJU19" s="988" t="s">
        <v>861</v>
      </c>
      <c r="AJV19" s="988" t="s">
        <v>860</v>
      </c>
      <c r="AJW19" s="988" t="s">
        <v>859</v>
      </c>
      <c r="AJX19" s="988" t="s">
        <v>870</v>
      </c>
      <c r="AJY19" s="988" t="s">
        <v>871</v>
      </c>
      <c r="AJZ19" s="988" t="s">
        <v>872</v>
      </c>
      <c r="AKA19" s="988" t="s">
        <v>873</v>
      </c>
      <c r="AKB19" s="988" t="s">
        <v>874</v>
      </c>
      <c r="AKC19" s="988" t="s">
        <v>875</v>
      </c>
      <c r="AKD19" s="1013">
        <v>102.22826086956523</v>
      </c>
      <c r="AKE19" s="1013">
        <v>0</v>
      </c>
      <c r="AKF19" s="1013">
        <v>0</v>
      </c>
      <c r="AKG19" s="1013">
        <v>0</v>
      </c>
      <c r="AKH19" s="1013">
        <v>0</v>
      </c>
      <c r="AKI19" s="1013">
        <v>0</v>
      </c>
      <c r="AKJ19" s="1013">
        <v>10.760869565217392</v>
      </c>
      <c r="AKK19" s="1013">
        <v>10.760869565217392</v>
      </c>
      <c r="AKL19" s="1013">
        <v>195.74186334589979</v>
      </c>
      <c r="AKM19" s="1013">
        <v>0</v>
      </c>
      <c r="AKN19" s="1013">
        <v>0</v>
      </c>
      <c r="AKO19" s="1013">
        <v>0</v>
      </c>
      <c r="AKP19" s="1013">
        <v>0</v>
      </c>
      <c r="AKQ19" s="1013">
        <v>0</v>
      </c>
      <c r="AKR19" s="1013">
        <v>20.604406667989451</v>
      </c>
      <c r="AKS19" s="1013">
        <v>20.604406667989451</v>
      </c>
      <c r="AKT19" s="1016">
        <v>131.89062665202607</v>
      </c>
      <c r="AKU19" s="1016">
        <v>0</v>
      </c>
      <c r="AKV19" s="1017">
        <v>0</v>
      </c>
      <c r="AKW19" s="1017">
        <v>0</v>
      </c>
      <c r="AKX19" s="1017">
        <v>0</v>
      </c>
      <c r="AKY19" s="1017">
        <v>0</v>
      </c>
      <c r="AKZ19" s="1017">
        <v>13.883223858108007</v>
      </c>
      <c r="ALA19" s="1017">
        <v>13.883223858108007</v>
      </c>
      <c r="ALB19" s="1013">
        <v>71.856983031192286</v>
      </c>
      <c r="ALC19" s="1013">
        <v>0</v>
      </c>
      <c r="ALD19" s="1013">
        <v>0</v>
      </c>
      <c r="ALE19" s="1013">
        <v>0</v>
      </c>
      <c r="ALF19" s="1013">
        <v>0</v>
      </c>
      <c r="ALG19" s="1013">
        <v>0</v>
      </c>
      <c r="ALH19" s="1013">
        <v>7.5638929506518195</v>
      </c>
      <c r="ALI19" s="1013">
        <v>7.5638929506518195</v>
      </c>
      <c r="ALJ19" s="1013">
        <v>200.73913043478262</v>
      </c>
      <c r="ALK19" s="1013">
        <v>0</v>
      </c>
      <c r="ALL19" s="1013">
        <v>0</v>
      </c>
      <c r="ALM19" s="1013">
        <v>0</v>
      </c>
      <c r="ALN19" s="1013">
        <v>0</v>
      </c>
      <c r="ALO19" s="1013">
        <v>0</v>
      </c>
      <c r="ALP19" s="1013">
        <v>21.130434782608699</v>
      </c>
      <c r="ALQ19" s="1013">
        <v>21.130434782608699</v>
      </c>
      <c r="ALR19" s="1013">
        <v>88.553585994020878</v>
      </c>
      <c r="ALS19" s="1013">
        <v>0</v>
      </c>
      <c r="ALT19" s="1013">
        <v>0</v>
      </c>
      <c r="ALU19" s="1013">
        <v>0</v>
      </c>
      <c r="ALV19" s="1013">
        <v>0</v>
      </c>
      <c r="ALW19" s="1013">
        <v>0</v>
      </c>
      <c r="ALX19" s="1013">
        <v>9.3214301046337766</v>
      </c>
      <c r="ALY19" s="1013">
        <v>9.3214301046337766</v>
      </c>
    </row>
    <row r="20" spans="1:1013" ht="18" customHeight="1">
      <c r="A20" s="1259" t="s">
        <v>10</v>
      </c>
      <c r="B20" s="1260" t="s">
        <v>3063</v>
      </c>
      <c r="C20" s="1260">
        <v>2022</v>
      </c>
      <c r="D20" s="1269"/>
      <c r="E20" s="1270">
        <v>-0.6</v>
      </c>
      <c r="F20" s="1271">
        <v>-0.5</v>
      </c>
      <c r="G20" s="1271">
        <v>-0.5</v>
      </c>
      <c r="H20" s="76">
        <v>542.25</v>
      </c>
      <c r="I20" s="75">
        <v>-6</v>
      </c>
      <c r="J20" s="1273">
        <v>-7.5</v>
      </c>
      <c r="K20" s="1273">
        <v>-7.5</v>
      </c>
      <c r="L20" s="1265">
        <v>350</v>
      </c>
      <c r="M20" s="1262">
        <v>0</v>
      </c>
      <c r="N20" s="1262">
        <v>0</v>
      </c>
      <c r="O20" s="1262">
        <v>0</v>
      </c>
      <c r="P20" s="76">
        <v>1950.6284309645287</v>
      </c>
      <c r="Q20" s="75">
        <v>12</v>
      </c>
      <c r="R20" s="72">
        <v>0.2</v>
      </c>
      <c r="S20" s="72">
        <v>0.2</v>
      </c>
      <c r="T20" s="72">
        <v>0.2</v>
      </c>
      <c r="U20" s="1271">
        <v>0</v>
      </c>
      <c r="V20" s="1271">
        <v>0</v>
      </c>
      <c r="W20" s="1271">
        <v>96.1</v>
      </c>
      <c r="X20" s="1271">
        <v>3.9</v>
      </c>
      <c r="Y20" s="1272">
        <v>0</v>
      </c>
      <c r="Z20" s="75">
        <v>2</v>
      </c>
      <c r="AA20" s="72">
        <v>1.5</v>
      </c>
      <c r="AB20" s="75">
        <v>1</v>
      </c>
      <c r="AC20" s="72">
        <v>0.8</v>
      </c>
      <c r="AD20" s="72">
        <v>0.5</v>
      </c>
      <c r="AE20" s="390">
        <v>433.01922201480062</v>
      </c>
      <c r="AF20" s="390">
        <v>470.67306740739195</v>
      </c>
      <c r="AG20" s="390">
        <v>433.37222681535616</v>
      </c>
      <c r="AH20" s="390">
        <v>649.0581599547935</v>
      </c>
      <c r="AI20" s="400">
        <v>0.82209484106305364</v>
      </c>
      <c r="AJ20" s="390">
        <v>261.91600618637949</v>
      </c>
      <c r="AK20" s="390">
        <v>284.69131107215162</v>
      </c>
      <c r="AL20" s="390">
        <v>262.12952466968363</v>
      </c>
      <c r="AM20" s="390">
        <v>392.58931796849708</v>
      </c>
      <c r="AN20" s="400">
        <v>0.96717040125065135</v>
      </c>
      <c r="AO20" s="77">
        <v>0.2</v>
      </c>
      <c r="AP20" s="77">
        <v>0.5</v>
      </c>
      <c r="AQ20" s="77">
        <v>1</v>
      </c>
      <c r="AR20" s="77">
        <v>1.4</v>
      </c>
      <c r="AS20" s="77">
        <v>1.7</v>
      </c>
      <c r="AT20" s="77">
        <v>2.1</v>
      </c>
      <c r="AU20" s="77">
        <v>2.2999999999999998</v>
      </c>
      <c r="AV20" s="1268">
        <v>0</v>
      </c>
      <c r="AW20" s="1268">
        <v>10</v>
      </c>
      <c r="AX20" s="1268">
        <v>20</v>
      </c>
      <c r="AY20" s="1268">
        <v>70</v>
      </c>
      <c r="AZ20" s="1268">
        <v>100</v>
      </c>
      <c r="BA20" s="1019">
        <v>9834.5134190144236</v>
      </c>
      <c r="BB20" s="1031">
        <v>1.5</v>
      </c>
      <c r="BC20" s="988">
        <v>0.2</v>
      </c>
      <c r="BD20" s="988">
        <v>0.2</v>
      </c>
      <c r="BE20" s="988">
        <v>0.2</v>
      </c>
      <c r="BF20" s="1021">
        <v>0.17719020114452594</v>
      </c>
      <c r="BG20" s="1021">
        <v>0.18538934885511546</v>
      </c>
      <c r="BH20" s="1020"/>
      <c r="BI20" s="1020">
        <v>0.1</v>
      </c>
      <c r="BJ20" s="1020"/>
      <c r="BK20" s="1020">
        <v>91.1</v>
      </c>
      <c r="BL20" s="1020">
        <v>0.5</v>
      </c>
      <c r="BM20" s="1020"/>
      <c r="BN20" s="1020">
        <v>8.1</v>
      </c>
      <c r="BO20" s="1020"/>
      <c r="BP20" s="1020"/>
      <c r="BQ20" s="1020"/>
      <c r="BR20" s="1020"/>
      <c r="BS20" s="1020"/>
      <c r="BT20" s="1020"/>
      <c r="BU20" s="1020"/>
      <c r="BV20" s="1020"/>
      <c r="BW20" s="993">
        <v>261.13475999999997</v>
      </c>
      <c r="BX20" s="993">
        <v>96.5</v>
      </c>
      <c r="BY20" s="993">
        <v>63.215999999999994</v>
      </c>
      <c r="BZ20" s="993">
        <v>233.35949490734063</v>
      </c>
      <c r="CA20" s="993">
        <v>157.40783999999999</v>
      </c>
      <c r="CB20" s="990"/>
      <c r="CC20" s="993">
        <v>256.20808011776955</v>
      </c>
      <c r="CD20" s="993">
        <v>165.17663999999999</v>
      </c>
      <c r="CE20" s="990"/>
      <c r="CF20" s="989">
        <v>0</v>
      </c>
      <c r="CG20" s="993">
        <v>6.585</v>
      </c>
      <c r="CH20" s="993">
        <v>1.3169999999999999</v>
      </c>
      <c r="CI20" s="993">
        <v>38</v>
      </c>
      <c r="CJ20" s="993">
        <v>225.83915999999996</v>
      </c>
      <c r="CK20" s="990">
        <v>0.2</v>
      </c>
      <c r="CL20" s="993">
        <v>175.08124000000001</v>
      </c>
      <c r="CM20" s="993">
        <v>60.4</v>
      </c>
      <c r="CN20" s="993">
        <v>42.384</v>
      </c>
      <c r="CO20" s="993">
        <v>156.45894761061641</v>
      </c>
      <c r="CP20" s="993">
        <v>105.53616</v>
      </c>
      <c r="CQ20" s="990"/>
      <c r="CR20" s="993">
        <v>159.24945066654416</v>
      </c>
      <c r="CS20" s="993">
        <v>102.66767999999999</v>
      </c>
      <c r="CT20" s="990"/>
      <c r="CU20" s="993">
        <v>0</v>
      </c>
      <c r="CV20" s="993">
        <v>4.415</v>
      </c>
      <c r="CW20" s="993">
        <v>0.88300000000000001</v>
      </c>
      <c r="CX20" s="993">
        <v>27</v>
      </c>
      <c r="CY20" s="993">
        <v>151.41683999999998</v>
      </c>
      <c r="CZ20" s="990">
        <v>0.2</v>
      </c>
      <c r="DA20" s="988">
        <v>0.3</v>
      </c>
      <c r="DB20" s="988">
        <v>0.7</v>
      </c>
      <c r="DC20" s="988">
        <v>1.2</v>
      </c>
      <c r="DD20" s="988">
        <v>1.2</v>
      </c>
      <c r="DE20" s="1022">
        <v>3</v>
      </c>
      <c r="DF20" s="995">
        <v>0</v>
      </c>
      <c r="DG20" s="995">
        <v>10</v>
      </c>
      <c r="DH20" s="995">
        <v>20</v>
      </c>
      <c r="DI20" s="995">
        <v>70</v>
      </c>
      <c r="DJ20" s="995">
        <v>100</v>
      </c>
      <c r="DK20" s="1017">
        <v>79.03303306458065</v>
      </c>
      <c r="DL20" s="1022">
        <v>18</v>
      </c>
      <c r="DM20" s="989">
        <v>12</v>
      </c>
      <c r="DN20" s="988">
        <v>1.4</v>
      </c>
      <c r="DO20" s="988">
        <v>1.3</v>
      </c>
      <c r="DP20" s="988">
        <v>1.3</v>
      </c>
      <c r="DQ20" s="988" t="s">
        <v>657</v>
      </c>
      <c r="DR20" s="988" t="s">
        <v>640</v>
      </c>
      <c r="DS20" s="988" t="s">
        <v>640</v>
      </c>
      <c r="DT20" s="988" t="s">
        <v>640</v>
      </c>
      <c r="DU20" s="988" t="s">
        <v>640</v>
      </c>
      <c r="DV20" s="988" t="s">
        <v>640</v>
      </c>
      <c r="DW20" s="988" t="s">
        <v>640</v>
      </c>
      <c r="DX20" s="997">
        <v>844.27409026493683</v>
      </c>
      <c r="DY20" s="997">
        <v>0</v>
      </c>
      <c r="DZ20" s="997">
        <v>0</v>
      </c>
      <c r="EA20" s="997">
        <v>0</v>
      </c>
      <c r="EB20" s="997">
        <v>0</v>
      </c>
      <c r="EC20" s="997">
        <v>0</v>
      </c>
      <c r="ED20" s="997">
        <v>0</v>
      </c>
      <c r="EE20" s="1022">
        <v>0.84427409026493683</v>
      </c>
      <c r="EF20" s="1022">
        <v>18</v>
      </c>
      <c r="EG20" s="991">
        <v>5</v>
      </c>
      <c r="EH20" s="1023">
        <v>1.4</v>
      </c>
      <c r="EI20" s="1023">
        <v>1.3</v>
      </c>
      <c r="EJ20" s="1023">
        <v>1.3</v>
      </c>
      <c r="EK20" s="988" t="s">
        <v>657</v>
      </c>
      <c r="EL20" s="988" t="s">
        <v>640</v>
      </c>
      <c r="EM20" s="988" t="s">
        <v>640</v>
      </c>
      <c r="EN20" s="988" t="s">
        <v>640</v>
      </c>
      <c r="EO20" s="988" t="s">
        <v>640</v>
      </c>
      <c r="EP20" s="988" t="s">
        <v>640</v>
      </c>
      <c r="EQ20" s="988" t="s">
        <v>640</v>
      </c>
      <c r="ER20" s="988" t="s">
        <v>640</v>
      </c>
      <c r="ES20" s="988" t="s">
        <v>640</v>
      </c>
      <c r="ET20" s="988" t="s">
        <v>640</v>
      </c>
      <c r="EU20" s="988" t="s">
        <v>640</v>
      </c>
      <c r="EV20" s="988" t="s">
        <v>640</v>
      </c>
      <c r="EW20" s="988" t="s">
        <v>640</v>
      </c>
      <c r="EX20" s="988" t="s">
        <v>640</v>
      </c>
      <c r="EY20" s="988" t="s">
        <v>640</v>
      </c>
      <c r="EZ20" s="988" t="s">
        <v>640</v>
      </c>
      <c r="FA20" s="988" t="s">
        <v>640</v>
      </c>
      <c r="FB20" s="988" t="s">
        <v>640</v>
      </c>
      <c r="FC20" s="988" t="s">
        <v>640</v>
      </c>
      <c r="FD20" s="988" t="s">
        <v>640</v>
      </c>
      <c r="FE20" s="988" t="s">
        <v>640</v>
      </c>
      <c r="FF20" s="988" t="s">
        <v>640</v>
      </c>
      <c r="FG20" s="988" t="s">
        <v>640</v>
      </c>
      <c r="FH20" s="988" t="s">
        <v>640</v>
      </c>
      <c r="FI20" s="988" t="s">
        <v>640</v>
      </c>
      <c r="FJ20" s="988" t="s">
        <v>640</v>
      </c>
      <c r="FK20" s="988" t="s">
        <v>640</v>
      </c>
      <c r="FL20" s="988" t="s">
        <v>640</v>
      </c>
      <c r="FM20" s="988" t="s">
        <v>640</v>
      </c>
      <c r="FN20" s="988" t="s">
        <v>640</v>
      </c>
      <c r="FO20" s="988" t="s">
        <v>640</v>
      </c>
      <c r="FP20" s="988" t="s">
        <v>640</v>
      </c>
      <c r="FQ20" s="988" t="s">
        <v>640</v>
      </c>
      <c r="FR20" s="988" t="s">
        <v>640</v>
      </c>
      <c r="FS20" s="988" t="s">
        <v>640</v>
      </c>
      <c r="FT20" s="988" t="s">
        <v>640</v>
      </c>
      <c r="FU20" s="988" t="s">
        <v>640</v>
      </c>
      <c r="FV20" s="988" t="s">
        <v>640</v>
      </c>
      <c r="FW20" s="988" t="s">
        <v>640</v>
      </c>
      <c r="FX20" s="988" t="s">
        <v>640</v>
      </c>
      <c r="FY20" s="988" t="s">
        <v>640</v>
      </c>
      <c r="FZ20" s="988" t="s">
        <v>640</v>
      </c>
      <c r="GA20" s="988" t="s">
        <v>640</v>
      </c>
      <c r="GB20" s="988" t="s">
        <v>640</v>
      </c>
      <c r="GC20" s="988" t="s">
        <v>640</v>
      </c>
      <c r="GD20" s="988" t="s">
        <v>640</v>
      </c>
      <c r="GE20" s="988" t="s">
        <v>640</v>
      </c>
      <c r="GF20" s="988" t="s">
        <v>640</v>
      </c>
      <c r="GG20" s="988" t="s">
        <v>640</v>
      </c>
      <c r="GH20" s="988" t="s">
        <v>640</v>
      </c>
      <c r="GI20" s="988" t="s">
        <v>640</v>
      </c>
      <c r="GJ20" s="988" t="s">
        <v>640</v>
      </c>
      <c r="GK20" s="988" t="s">
        <v>640</v>
      </c>
      <c r="GL20" s="988" t="s">
        <v>640</v>
      </c>
      <c r="GM20" s="988" t="s">
        <v>640</v>
      </c>
      <c r="GN20" s="988" t="s">
        <v>640</v>
      </c>
      <c r="GO20" s="988" t="s">
        <v>640</v>
      </c>
      <c r="GP20" s="988" t="s">
        <v>640</v>
      </c>
      <c r="GQ20" s="997">
        <v>844.27409026493683</v>
      </c>
      <c r="GR20" s="997">
        <v>0</v>
      </c>
      <c r="GS20" s="997">
        <v>0</v>
      </c>
      <c r="GT20" s="997">
        <v>0</v>
      </c>
      <c r="GU20" s="997">
        <v>0</v>
      </c>
      <c r="GV20" s="997">
        <v>0</v>
      </c>
      <c r="GW20" s="997">
        <v>0</v>
      </c>
      <c r="GX20" s="997">
        <v>0</v>
      </c>
      <c r="GY20" s="997">
        <v>0</v>
      </c>
      <c r="GZ20" s="997">
        <v>0</v>
      </c>
      <c r="HA20" s="997">
        <v>0</v>
      </c>
      <c r="HB20" s="997">
        <v>0</v>
      </c>
      <c r="HC20" s="997">
        <v>0</v>
      </c>
      <c r="HD20" s="997">
        <v>0</v>
      </c>
      <c r="HE20" s="997">
        <v>0</v>
      </c>
      <c r="HF20" s="997">
        <v>0</v>
      </c>
      <c r="HG20" s="997">
        <v>0</v>
      </c>
      <c r="HH20" s="997">
        <v>0</v>
      </c>
      <c r="HI20" s="997">
        <v>0</v>
      </c>
      <c r="HJ20" s="997">
        <v>0</v>
      </c>
      <c r="HK20" s="997">
        <v>0</v>
      </c>
      <c r="HL20" s="997">
        <v>0</v>
      </c>
      <c r="HM20" s="997">
        <v>0</v>
      </c>
      <c r="HN20" s="997">
        <v>0</v>
      </c>
      <c r="HO20" s="997">
        <v>0</v>
      </c>
      <c r="HP20" s="997">
        <v>0</v>
      </c>
      <c r="HQ20" s="997">
        <v>0</v>
      </c>
      <c r="HR20" s="997">
        <v>0</v>
      </c>
      <c r="HS20" s="997">
        <v>0</v>
      </c>
      <c r="HT20" s="997">
        <v>0</v>
      </c>
      <c r="HU20" s="997">
        <v>0</v>
      </c>
      <c r="HV20" s="997">
        <v>0</v>
      </c>
      <c r="HW20" s="997">
        <v>0</v>
      </c>
      <c r="HX20" s="997">
        <v>0</v>
      </c>
      <c r="HY20" s="997">
        <v>0</v>
      </c>
      <c r="HZ20" s="997">
        <v>0</v>
      </c>
      <c r="IA20" s="997">
        <v>0</v>
      </c>
      <c r="IB20" s="997">
        <v>0</v>
      </c>
      <c r="IC20" s="997">
        <v>0</v>
      </c>
      <c r="ID20" s="997">
        <v>0</v>
      </c>
      <c r="IE20" s="997">
        <v>0</v>
      </c>
      <c r="IF20" s="997">
        <v>0</v>
      </c>
      <c r="IG20" s="997">
        <v>0</v>
      </c>
      <c r="IH20" s="997">
        <v>0</v>
      </c>
      <c r="II20" s="997">
        <v>0</v>
      </c>
      <c r="IJ20" s="997">
        <v>0</v>
      </c>
      <c r="IK20" s="997">
        <v>0</v>
      </c>
      <c r="IL20" s="997">
        <v>0</v>
      </c>
      <c r="IM20" s="997">
        <v>0</v>
      </c>
      <c r="IN20" s="997">
        <v>0</v>
      </c>
      <c r="IO20" s="997">
        <v>0</v>
      </c>
      <c r="IP20" s="997">
        <v>0</v>
      </c>
      <c r="IQ20" s="997">
        <v>0</v>
      </c>
      <c r="IR20" s="997">
        <v>0</v>
      </c>
      <c r="IS20" s="997">
        <v>0</v>
      </c>
      <c r="IT20" s="997">
        <v>0</v>
      </c>
      <c r="IU20" s="997">
        <v>0</v>
      </c>
      <c r="IV20" s="997">
        <v>0</v>
      </c>
      <c r="IW20" s="1019">
        <v>103.3461402042041</v>
      </c>
      <c r="IX20" s="1022">
        <v>179.9</v>
      </c>
      <c r="IY20" s="998">
        <v>2647.0800000000199</v>
      </c>
      <c r="IZ20" s="429">
        <v>12.64</v>
      </c>
      <c r="JA20" s="1022">
        <v>50</v>
      </c>
      <c r="JB20" s="988">
        <v>1.4</v>
      </c>
      <c r="JC20" s="988">
        <v>1.3</v>
      </c>
      <c r="JD20" s="988">
        <v>1.3</v>
      </c>
      <c r="JE20" s="998">
        <v>2</v>
      </c>
      <c r="JF20" s="1023">
        <v>1.5</v>
      </c>
      <c r="JG20" s="1023">
        <v>0.7</v>
      </c>
      <c r="JH20" s="1023">
        <v>0.7</v>
      </c>
      <c r="JI20" s="1023">
        <v>0.5</v>
      </c>
      <c r="JJ20" s="1019">
        <v>6.0124328776648497</v>
      </c>
      <c r="JK20" s="998">
        <v>2647.0800000000199</v>
      </c>
      <c r="JL20" s="429">
        <v>12.64</v>
      </c>
      <c r="JM20" s="1022">
        <v>50</v>
      </c>
      <c r="JN20" s="988">
        <v>0.9</v>
      </c>
      <c r="JO20" s="988">
        <v>0.8</v>
      </c>
      <c r="JP20" s="988">
        <v>0.8</v>
      </c>
      <c r="JQ20" s="998">
        <v>2</v>
      </c>
      <c r="JR20" s="998">
        <v>2</v>
      </c>
      <c r="JS20" s="998">
        <v>1</v>
      </c>
      <c r="JT20" s="998">
        <v>1</v>
      </c>
      <c r="JU20" s="1023">
        <v>0.5</v>
      </c>
      <c r="JV20" s="1004">
        <v>2000</v>
      </c>
      <c r="JW20" s="1019">
        <v>233.32360716503285</v>
      </c>
      <c r="JX20" s="1019">
        <v>500</v>
      </c>
      <c r="JY20" s="1022">
        <v>0.7</v>
      </c>
      <c r="JZ20" s="1022">
        <v>0.5</v>
      </c>
      <c r="KA20" s="1022">
        <v>0.5</v>
      </c>
      <c r="KB20" s="1023">
        <v>2</v>
      </c>
      <c r="KC20" s="1023">
        <v>1.5</v>
      </c>
      <c r="KD20" s="1023">
        <v>0.5</v>
      </c>
      <c r="KE20" s="1023">
        <v>1</v>
      </c>
      <c r="KF20" s="1023">
        <v>0.5</v>
      </c>
      <c r="KG20" s="997"/>
      <c r="KH20" s="997"/>
      <c r="KI20" s="997"/>
      <c r="KJ20" s="997"/>
      <c r="KK20" s="997"/>
      <c r="KL20" s="997"/>
      <c r="KM20" s="997"/>
      <c r="KN20" s="997"/>
      <c r="KO20" s="997"/>
      <c r="KP20" s="1006">
        <v>580</v>
      </c>
      <c r="KQ20" s="1006">
        <v>580</v>
      </c>
      <c r="KR20" s="1006">
        <v>580</v>
      </c>
      <c r="KS20" s="1006">
        <v>580</v>
      </c>
      <c r="KT20" s="1006"/>
      <c r="KU20" s="1006">
        <v>580</v>
      </c>
      <c r="KV20" s="1006">
        <v>580</v>
      </c>
      <c r="KW20" s="1006">
        <v>580</v>
      </c>
      <c r="KX20" s="1006">
        <v>580</v>
      </c>
      <c r="KY20" s="993">
        <v>370</v>
      </c>
      <c r="KZ20" s="993">
        <v>370</v>
      </c>
      <c r="LA20" s="993">
        <v>370</v>
      </c>
      <c r="LB20" s="993">
        <v>370</v>
      </c>
      <c r="LC20" s="993"/>
      <c r="LD20" s="993">
        <v>370</v>
      </c>
      <c r="LE20" s="993">
        <v>370</v>
      </c>
      <c r="LF20" s="993">
        <v>370</v>
      </c>
      <c r="LG20" s="993">
        <v>370</v>
      </c>
      <c r="LH20" s="995">
        <v>0</v>
      </c>
      <c r="LI20" s="995">
        <v>10</v>
      </c>
      <c r="LJ20" s="995">
        <v>20</v>
      </c>
      <c r="LK20" s="995">
        <v>70</v>
      </c>
      <c r="LL20" s="995">
        <v>100</v>
      </c>
      <c r="LM20" s="1004">
        <v>1000</v>
      </c>
      <c r="LN20" s="1019"/>
      <c r="LO20" s="988">
        <v>29</v>
      </c>
      <c r="LP20" s="988">
        <v>0.7</v>
      </c>
      <c r="LQ20" s="988">
        <v>1.2</v>
      </c>
      <c r="LR20" s="988">
        <v>1.2</v>
      </c>
      <c r="LS20" s="1023">
        <v>2</v>
      </c>
      <c r="LT20" s="1023">
        <v>1</v>
      </c>
      <c r="LU20" s="1023">
        <v>0.5</v>
      </c>
      <c r="LV20" s="1023">
        <v>0.7</v>
      </c>
      <c r="LW20" s="1023">
        <v>0.2</v>
      </c>
      <c r="LX20" s="1004">
        <v>1500</v>
      </c>
      <c r="LY20" s="1008">
        <v>500</v>
      </c>
      <c r="LZ20" s="1008">
        <v>1</v>
      </c>
      <c r="MA20" s="997" t="s">
        <v>2914</v>
      </c>
      <c r="MB20" s="1023" t="s">
        <v>905</v>
      </c>
      <c r="MC20" s="1023" t="s">
        <v>2932</v>
      </c>
      <c r="MD20" s="1024" t="s">
        <v>906</v>
      </c>
      <c r="ME20" s="1009">
        <v>0.5</v>
      </c>
      <c r="MF20" s="1010">
        <v>0.75</v>
      </c>
      <c r="MG20" s="1010">
        <v>1</v>
      </c>
      <c r="MH20" s="1010">
        <v>2</v>
      </c>
      <c r="MI20" s="1010">
        <v>0.5</v>
      </c>
      <c r="MJ20" s="1010">
        <v>0.75</v>
      </c>
      <c r="MK20" s="1010">
        <v>1</v>
      </c>
      <c r="ML20" s="1010">
        <v>2</v>
      </c>
      <c r="MM20" s="1010">
        <v>0</v>
      </c>
      <c r="MN20" s="1010">
        <v>0.5</v>
      </c>
      <c r="MO20" s="1010">
        <v>1</v>
      </c>
      <c r="MP20" s="1010">
        <v>2</v>
      </c>
      <c r="MQ20" s="1010">
        <v>0</v>
      </c>
      <c r="MR20" s="1010">
        <v>0.5</v>
      </c>
      <c r="MS20" s="1010">
        <v>1</v>
      </c>
      <c r="MT20" s="1010">
        <v>2</v>
      </c>
      <c r="MU20" s="1001">
        <v>0</v>
      </c>
      <c r="MV20" s="1001">
        <v>0</v>
      </c>
      <c r="MW20" s="1001">
        <v>0</v>
      </c>
      <c r="MX20" s="1025">
        <v>0</v>
      </c>
      <c r="MY20" s="1025">
        <v>0</v>
      </c>
      <c r="MZ20" s="1025">
        <v>0</v>
      </c>
      <c r="NA20" s="1025">
        <v>0</v>
      </c>
      <c r="NB20" s="1025">
        <v>0</v>
      </c>
      <c r="NC20" s="1025">
        <v>0</v>
      </c>
      <c r="ND20" s="1025">
        <v>0</v>
      </c>
      <c r="NE20" s="1025">
        <v>0</v>
      </c>
      <c r="NF20" s="1025">
        <v>0</v>
      </c>
      <c r="NG20" s="1025">
        <v>0</v>
      </c>
      <c r="NH20" s="1025">
        <v>0</v>
      </c>
      <c r="NI20" s="1025">
        <v>0</v>
      </c>
      <c r="NJ20" s="1025">
        <v>0</v>
      </c>
      <c r="NK20" s="1025">
        <v>0</v>
      </c>
      <c r="NL20" s="1025">
        <v>0</v>
      </c>
      <c r="NM20" s="1025">
        <v>0</v>
      </c>
      <c r="NN20" s="1025">
        <v>0</v>
      </c>
      <c r="NO20" s="1025">
        <v>0</v>
      </c>
      <c r="NP20" s="1025">
        <v>0</v>
      </c>
      <c r="NQ20" s="1025">
        <v>0</v>
      </c>
      <c r="NR20" s="1025">
        <v>0</v>
      </c>
      <c r="NS20" s="1025">
        <v>0</v>
      </c>
      <c r="NT20" s="1025">
        <v>0</v>
      </c>
      <c r="NU20" s="1025">
        <v>0</v>
      </c>
      <c r="NV20" s="1025">
        <v>2.0938059744611999</v>
      </c>
      <c r="NW20" s="1025">
        <v>0</v>
      </c>
      <c r="NX20" s="1025">
        <v>0</v>
      </c>
      <c r="NY20" s="1025">
        <v>0</v>
      </c>
      <c r="NZ20" s="1025">
        <v>0</v>
      </c>
      <c r="OA20" s="1025">
        <v>0</v>
      </c>
      <c r="OB20" s="1025">
        <v>0</v>
      </c>
      <c r="OC20" s="1025">
        <v>0</v>
      </c>
      <c r="OD20" s="1025">
        <v>0</v>
      </c>
      <c r="OE20" s="1025">
        <v>0</v>
      </c>
      <c r="OF20" s="1025">
        <v>0</v>
      </c>
      <c r="OG20" s="1025">
        <v>0</v>
      </c>
      <c r="OH20" s="1025">
        <v>0</v>
      </c>
      <c r="OI20" s="1025">
        <v>0</v>
      </c>
      <c r="OJ20" s="1025">
        <v>0</v>
      </c>
      <c r="OK20" s="1025">
        <v>0</v>
      </c>
      <c r="OL20" s="1025">
        <v>0</v>
      </c>
      <c r="OM20" s="1025">
        <v>0</v>
      </c>
      <c r="ON20" s="1025">
        <v>0</v>
      </c>
      <c r="OO20" s="1025">
        <v>0</v>
      </c>
      <c r="OP20" s="1025">
        <v>0</v>
      </c>
      <c r="OQ20" s="1025">
        <v>0</v>
      </c>
      <c r="OR20" s="1025">
        <v>0</v>
      </c>
      <c r="OS20" s="1025">
        <v>0</v>
      </c>
      <c r="OT20" s="1025">
        <v>0</v>
      </c>
      <c r="OU20" s="1025">
        <v>0</v>
      </c>
      <c r="OV20" s="1025">
        <v>0</v>
      </c>
      <c r="OW20" s="1025">
        <v>0</v>
      </c>
      <c r="OX20" s="1025">
        <v>0</v>
      </c>
      <c r="OY20" s="1025">
        <v>0</v>
      </c>
      <c r="OZ20" s="1025">
        <v>-16.09</v>
      </c>
      <c r="PA20" s="1025">
        <v>-5.5</v>
      </c>
      <c r="PB20" s="1025">
        <v>0</v>
      </c>
      <c r="PC20" s="1025">
        <v>0</v>
      </c>
      <c r="PD20" s="1025">
        <v>-1.35135135135135</v>
      </c>
      <c r="PE20" s="1025">
        <v>0</v>
      </c>
      <c r="PF20" s="1025">
        <v>-4.9390033091300002E-3</v>
      </c>
      <c r="PG20" s="1025">
        <v>0</v>
      </c>
      <c r="PH20" s="1025">
        <v>0</v>
      </c>
      <c r="PI20" s="1025">
        <v>0</v>
      </c>
      <c r="PJ20" s="1025">
        <v>-0.71253025139527004</v>
      </c>
      <c r="PK20" s="1025">
        <v>0</v>
      </c>
      <c r="PL20" s="1025">
        <v>0</v>
      </c>
      <c r="PM20" s="1025">
        <v>0</v>
      </c>
      <c r="PN20" s="1025">
        <v>0</v>
      </c>
      <c r="PO20" s="1025">
        <v>0</v>
      </c>
      <c r="PP20" s="1025">
        <v>0</v>
      </c>
      <c r="PQ20" s="1025">
        <v>0</v>
      </c>
      <c r="PR20" s="1025">
        <v>0</v>
      </c>
      <c r="PS20" s="1025">
        <v>0</v>
      </c>
      <c r="PT20" s="1025">
        <v>0</v>
      </c>
      <c r="PU20" s="1025">
        <v>0</v>
      </c>
      <c r="PV20" s="1025">
        <v>0</v>
      </c>
      <c r="PW20" s="1025">
        <v>0</v>
      </c>
      <c r="PX20" s="1025">
        <v>0</v>
      </c>
      <c r="PY20" s="1025">
        <v>0</v>
      </c>
      <c r="PZ20" s="1025">
        <v>0</v>
      </c>
      <c r="QA20" s="1025">
        <v>0</v>
      </c>
      <c r="QB20" s="1025">
        <v>0</v>
      </c>
      <c r="QC20" s="1025">
        <v>0</v>
      </c>
      <c r="QD20" s="1025">
        <v>-16.09</v>
      </c>
      <c r="QE20" s="1025">
        <v>-5.5</v>
      </c>
      <c r="QF20" s="1025">
        <v>-1.5468894120760499</v>
      </c>
      <c r="QG20" s="1025">
        <v>0</v>
      </c>
      <c r="QH20" s="1025">
        <v>-1.4622132914346799</v>
      </c>
      <c r="QI20" s="1025">
        <v>0</v>
      </c>
      <c r="QJ20" s="1025">
        <v>-0.11202243200312</v>
      </c>
      <c r="QK20" s="1025">
        <v>0</v>
      </c>
      <c r="QL20" s="1025">
        <v>0</v>
      </c>
      <c r="QM20" s="1025">
        <v>0</v>
      </c>
      <c r="QN20" s="1025">
        <v>0.71253096005358996</v>
      </c>
      <c r="QO20" s="1025">
        <v>0</v>
      </c>
      <c r="QP20" s="1025">
        <v>0</v>
      </c>
      <c r="QQ20" s="1025">
        <v>0</v>
      </c>
      <c r="QR20" s="1025">
        <v>0</v>
      </c>
      <c r="QS20" s="1025">
        <v>0</v>
      </c>
      <c r="QT20" s="1025">
        <v>0</v>
      </c>
      <c r="QU20" s="1025">
        <v>0</v>
      </c>
      <c r="QV20" s="1025">
        <v>0</v>
      </c>
      <c r="QW20" s="1025">
        <v>0</v>
      </c>
      <c r="QX20" s="1025">
        <v>0</v>
      </c>
      <c r="QY20" s="1025">
        <v>0</v>
      </c>
      <c r="QZ20" s="1025">
        <v>0</v>
      </c>
      <c r="RA20" s="1025">
        <v>0</v>
      </c>
      <c r="RB20" s="1025">
        <v>0</v>
      </c>
      <c r="RC20" s="1025">
        <v>0</v>
      </c>
      <c r="RD20" s="1025">
        <v>0</v>
      </c>
      <c r="RE20" s="1025">
        <v>0</v>
      </c>
      <c r="RF20" s="1025">
        <v>0</v>
      </c>
      <c r="RG20" s="1025">
        <v>0</v>
      </c>
      <c r="RH20" s="1011">
        <v>0</v>
      </c>
      <c r="RI20" s="1026">
        <v>0</v>
      </c>
      <c r="RJ20" s="1026">
        <v>0</v>
      </c>
      <c r="RK20" s="1026">
        <v>0</v>
      </c>
      <c r="RL20" s="1026">
        <v>0</v>
      </c>
      <c r="RM20" s="1011">
        <v>0</v>
      </c>
      <c r="RN20" s="1011">
        <v>0</v>
      </c>
      <c r="RO20" s="1011">
        <v>0</v>
      </c>
      <c r="RP20" s="1011">
        <v>0</v>
      </c>
      <c r="RQ20" s="1011">
        <v>0</v>
      </c>
      <c r="RR20" s="1011">
        <v>0</v>
      </c>
      <c r="RS20" s="1011">
        <v>0</v>
      </c>
      <c r="RT20" s="1011">
        <v>0</v>
      </c>
      <c r="RU20" s="1011">
        <v>0</v>
      </c>
      <c r="RV20" s="1011">
        <v>0</v>
      </c>
      <c r="RW20" s="1011">
        <v>0</v>
      </c>
      <c r="RX20" s="1011">
        <v>-0.10256974158001</v>
      </c>
      <c r="RY20" s="1011">
        <v>0</v>
      </c>
      <c r="RZ20" s="1026">
        <v>0</v>
      </c>
      <c r="SA20" s="1026">
        <v>0</v>
      </c>
      <c r="SB20" s="1026">
        <v>0</v>
      </c>
      <c r="SC20" s="1026">
        <v>0</v>
      </c>
      <c r="SD20" s="1026">
        <v>0</v>
      </c>
      <c r="SE20" s="1026">
        <v>0</v>
      </c>
      <c r="SF20" s="1026">
        <v>0</v>
      </c>
      <c r="SG20" s="1026">
        <v>0</v>
      </c>
      <c r="SH20" s="1026">
        <v>0</v>
      </c>
      <c r="SI20" s="1026">
        <v>0</v>
      </c>
      <c r="SJ20" s="1026">
        <v>-4.6009932904509998E-2</v>
      </c>
      <c r="SK20" s="1026">
        <v>0</v>
      </c>
      <c r="SL20" s="1025">
        <v>-16.09</v>
      </c>
      <c r="SM20" s="1025">
        <v>-5.5</v>
      </c>
      <c r="SN20" s="1025">
        <v>-0.13747089403073001</v>
      </c>
      <c r="SO20" s="1025">
        <v>0</v>
      </c>
      <c r="SP20" s="1025">
        <v>-0.79289189597232002</v>
      </c>
      <c r="SQ20" s="1025">
        <v>0</v>
      </c>
      <c r="SR20" s="1025">
        <v>-0.23515221741628001</v>
      </c>
      <c r="SS20" s="1025">
        <v>0</v>
      </c>
      <c r="ST20" s="1025">
        <v>0</v>
      </c>
      <c r="SU20" s="1025">
        <v>0</v>
      </c>
      <c r="SV20" s="1025">
        <v>-0.38539008000000002</v>
      </c>
      <c r="SW20" s="1025">
        <v>0</v>
      </c>
      <c r="SX20" s="1025">
        <v>-0.33509555438549998</v>
      </c>
      <c r="SY20" s="1025">
        <v>0</v>
      </c>
      <c r="SZ20" s="1025">
        <v>0</v>
      </c>
      <c r="TA20" s="1025">
        <v>0</v>
      </c>
      <c r="TB20" s="1025">
        <v>-0.72299999993676001</v>
      </c>
      <c r="TC20" s="1025">
        <v>0</v>
      </c>
      <c r="TD20" s="1025">
        <v>0</v>
      </c>
      <c r="TE20" s="1025">
        <v>0</v>
      </c>
      <c r="TF20" s="1025">
        <v>0</v>
      </c>
      <c r="TG20" s="1025">
        <v>0</v>
      </c>
      <c r="TH20" s="1025">
        <v>0</v>
      </c>
      <c r="TI20" s="1025">
        <v>0</v>
      </c>
      <c r="TJ20" s="1025">
        <v>0</v>
      </c>
      <c r="TK20" s="1025">
        <v>0</v>
      </c>
      <c r="TL20" s="1025">
        <v>0</v>
      </c>
      <c r="TM20" s="1025">
        <v>0</v>
      </c>
      <c r="TN20" s="1025">
        <v>0</v>
      </c>
      <c r="TO20" s="1025">
        <v>0</v>
      </c>
      <c r="TP20" s="1025">
        <v>-16.09</v>
      </c>
      <c r="TQ20" s="1025">
        <v>-5.5</v>
      </c>
      <c r="TR20" s="1025">
        <v>-0.11100793658508</v>
      </c>
      <c r="TS20" s="1025">
        <v>0</v>
      </c>
      <c r="TT20" s="1025">
        <v>-4.2320992572563902</v>
      </c>
      <c r="TU20" s="1025">
        <v>0</v>
      </c>
      <c r="TV20" s="1025">
        <v>0</v>
      </c>
      <c r="TW20" s="1025">
        <v>0</v>
      </c>
      <c r="TX20" s="1025">
        <v>0</v>
      </c>
      <c r="TY20" s="1025">
        <v>0</v>
      </c>
      <c r="TZ20" s="1025">
        <v>0</v>
      </c>
      <c r="UA20" s="1025">
        <v>0</v>
      </c>
      <c r="UB20" s="1025">
        <v>-0.13848596914003</v>
      </c>
      <c r="UC20" s="1025">
        <v>0</v>
      </c>
      <c r="UD20" s="1025">
        <v>0</v>
      </c>
      <c r="UE20" s="1025">
        <v>0</v>
      </c>
      <c r="UF20" s="1025">
        <v>-3.6150000000214302</v>
      </c>
      <c r="UG20" s="1025">
        <v>0</v>
      </c>
      <c r="UH20" s="1025">
        <v>0</v>
      </c>
      <c r="UI20" s="1025">
        <v>0</v>
      </c>
      <c r="UJ20" s="1025">
        <v>0</v>
      </c>
      <c r="UK20" s="1025">
        <v>0</v>
      </c>
      <c r="UL20" s="1025">
        <v>0</v>
      </c>
      <c r="UM20" s="1025">
        <v>0</v>
      </c>
      <c r="UN20" s="1025">
        <v>0</v>
      </c>
      <c r="UO20" s="1025">
        <v>0</v>
      </c>
      <c r="UP20" s="1025">
        <v>0</v>
      </c>
      <c r="UQ20" s="1025">
        <v>0</v>
      </c>
      <c r="UR20" s="1025">
        <v>0</v>
      </c>
      <c r="US20" s="1025">
        <v>0</v>
      </c>
      <c r="UT20" s="1025">
        <v>0.17628695307277001</v>
      </c>
      <c r="UU20" s="1025">
        <v>0</v>
      </c>
      <c r="UV20" s="1025">
        <v>0</v>
      </c>
      <c r="UW20" s="1025">
        <v>0</v>
      </c>
      <c r="UX20" s="1025">
        <v>0</v>
      </c>
      <c r="UY20" s="1025">
        <v>0</v>
      </c>
      <c r="UZ20" s="1025">
        <v>5.6395371658720002E-2</v>
      </c>
      <c r="VA20" s="1025">
        <v>0</v>
      </c>
      <c r="VB20" s="1025">
        <v>0</v>
      </c>
      <c r="VC20" s="1025">
        <v>0</v>
      </c>
      <c r="VD20" s="1025">
        <v>0</v>
      </c>
      <c r="VE20" s="1025">
        <v>-10</v>
      </c>
      <c r="VF20" s="1025">
        <v>-1.5819254740000001E-5</v>
      </c>
      <c r="VG20" s="1025">
        <v>0</v>
      </c>
      <c r="VH20" s="1025">
        <v>0</v>
      </c>
      <c r="VI20" s="1025">
        <v>0</v>
      </c>
      <c r="VJ20" s="1025">
        <v>0</v>
      </c>
      <c r="VK20" s="1025">
        <v>0</v>
      </c>
      <c r="VL20" s="1025">
        <v>0</v>
      </c>
      <c r="VM20" s="1025">
        <v>0</v>
      </c>
      <c r="VN20" s="1025">
        <v>0</v>
      </c>
      <c r="VO20" s="1025">
        <v>0</v>
      </c>
      <c r="VP20" s="1025">
        <v>0</v>
      </c>
      <c r="VQ20" s="1025">
        <v>0</v>
      </c>
      <c r="VR20" s="1010">
        <v>0</v>
      </c>
      <c r="VS20" s="1010">
        <v>0</v>
      </c>
      <c r="VT20" s="1010">
        <v>0</v>
      </c>
      <c r="VU20" s="1010">
        <v>0</v>
      </c>
      <c r="VV20" s="1010">
        <v>0</v>
      </c>
      <c r="VW20" s="1010">
        <v>0</v>
      </c>
      <c r="VX20" s="1025">
        <v>0</v>
      </c>
      <c r="VY20" s="1025">
        <v>0</v>
      </c>
      <c r="VZ20" s="1025">
        <v>0</v>
      </c>
      <c r="WA20" s="1025">
        <v>0</v>
      </c>
      <c r="WB20" s="1025">
        <v>0</v>
      </c>
      <c r="WC20" s="1025">
        <v>0</v>
      </c>
      <c r="WD20" s="995">
        <v>202</v>
      </c>
      <c r="WE20" s="995">
        <v>267</v>
      </c>
      <c r="WF20" s="995">
        <v>354</v>
      </c>
      <c r="WG20" s="995">
        <v>382</v>
      </c>
      <c r="WH20" s="995">
        <v>403</v>
      </c>
      <c r="WI20" s="995">
        <v>0</v>
      </c>
      <c r="WJ20" s="995">
        <v>1300</v>
      </c>
      <c r="WK20" s="1001">
        <v>0</v>
      </c>
      <c r="WL20" s="1001">
        <v>0</v>
      </c>
      <c r="WM20" s="1001">
        <v>0</v>
      </c>
      <c r="WN20" s="1001">
        <v>0</v>
      </c>
      <c r="WO20" s="1001">
        <v>0</v>
      </c>
      <c r="WP20" s="1001">
        <v>0</v>
      </c>
      <c r="WQ20" s="1001">
        <v>0</v>
      </c>
      <c r="WR20" s="1001">
        <v>0</v>
      </c>
      <c r="WS20" s="1001">
        <v>0</v>
      </c>
      <c r="WT20" s="1001">
        <v>0</v>
      </c>
      <c r="WU20" s="1001">
        <v>0</v>
      </c>
      <c r="WV20" s="1001">
        <v>0</v>
      </c>
      <c r="WW20" s="1001">
        <v>0</v>
      </c>
      <c r="WX20" s="1001">
        <v>0</v>
      </c>
      <c r="WY20" s="1001">
        <v>0</v>
      </c>
      <c r="WZ20" s="1001">
        <v>0</v>
      </c>
      <c r="XA20" s="1001">
        <v>0</v>
      </c>
      <c r="XB20" s="1001">
        <v>0</v>
      </c>
      <c r="XC20" s="1001">
        <v>0</v>
      </c>
      <c r="XD20" s="1001">
        <v>0</v>
      </c>
      <c r="XE20" s="1001">
        <v>0</v>
      </c>
      <c r="XF20" s="1001">
        <v>0</v>
      </c>
      <c r="XG20" s="1001">
        <v>0</v>
      </c>
      <c r="XH20" s="1001">
        <v>0</v>
      </c>
      <c r="XI20" s="1001">
        <v>0</v>
      </c>
      <c r="XJ20" s="1001">
        <v>0</v>
      </c>
      <c r="XK20" s="1001">
        <v>0</v>
      </c>
      <c r="XL20" s="1001">
        <v>0</v>
      </c>
      <c r="XM20" s="1001">
        <v>0</v>
      </c>
      <c r="XN20" s="1001">
        <v>0</v>
      </c>
      <c r="XO20" s="1001">
        <v>0</v>
      </c>
      <c r="XP20" s="1001">
        <v>0</v>
      </c>
      <c r="XQ20" s="1001">
        <v>0</v>
      </c>
      <c r="XR20" s="1027">
        <v>85</v>
      </c>
      <c r="XS20" s="1013">
        <v>67.432150313152405</v>
      </c>
      <c r="XT20" s="1013">
        <v>74.530271398747388</v>
      </c>
      <c r="XU20" s="1013">
        <v>78.079331941544879</v>
      </c>
      <c r="XV20" s="1013">
        <v>119.95824634655533</v>
      </c>
      <c r="XW20" s="1028">
        <v>9523.7462469999991</v>
      </c>
      <c r="XX20" s="1013">
        <v>78</v>
      </c>
      <c r="XY20" s="1013">
        <v>15</v>
      </c>
      <c r="XZ20" s="1013">
        <v>7.0000000000000009</v>
      </c>
      <c r="YA20" s="1029">
        <v>0</v>
      </c>
      <c r="YB20" s="1030">
        <v>1223.4552554446998</v>
      </c>
      <c r="YC20" s="1030">
        <v>0</v>
      </c>
      <c r="YD20" s="1030">
        <v>0</v>
      </c>
      <c r="YE20" s="1030">
        <v>0</v>
      </c>
      <c r="YF20" s="1030">
        <v>0</v>
      </c>
      <c r="YG20" s="1030">
        <v>0</v>
      </c>
      <c r="YH20" s="1030">
        <v>804.90477331888144</v>
      </c>
      <c r="YI20" s="1030">
        <v>32.196190932755258</v>
      </c>
      <c r="YJ20" s="1030">
        <v>1312.468253905847</v>
      </c>
      <c r="YK20" s="1030">
        <v>0</v>
      </c>
      <c r="YL20" s="1030">
        <v>0</v>
      </c>
      <c r="YM20" s="1030">
        <v>0</v>
      </c>
      <c r="YN20" s="1030">
        <v>0</v>
      </c>
      <c r="YO20" s="1030">
        <v>0</v>
      </c>
      <c r="YP20" s="1030">
        <v>863.46595651700454</v>
      </c>
      <c r="YQ20" s="1030">
        <v>34.53863826068018</v>
      </c>
      <c r="YR20" s="1030">
        <v>1374.9667421870777</v>
      </c>
      <c r="YS20" s="1030">
        <v>0</v>
      </c>
      <c r="YT20" s="1030">
        <v>0</v>
      </c>
      <c r="YU20" s="1030">
        <v>0</v>
      </c>
      <c r="YV20" s="1030">
        <v>0</v>
      </c>
      <c r="YW20" s="1030">
        <v>0</v>
      </c>
      <c r="YX20" s="1030">
        <v>904.5833830178143</v>
      </c>
      <c r="YY20" s="1030">
        <v>36.183335320712573</v>
      </c>
      <c r="YZ20" s="1030">
        <v>2112.4489039056016</v>
      </c>
      <c r="ZA20" s="1030">
        <v>0</v>
      </c>
      <c r="ZB20" s="1030">
        <v>0</v>
      </c>
      <c r="ZC20" s="1030">
        <v>0</v>
      </c>
      <c r="ZD20" s="1030">
        <v>0</v>
      </c>
      <c r="ZE20" s="1030">
        <v>0</v>
      </c>
      <c r="ZF20" s="1030">
        <v>1389.7690157273694</v>
      </c>
      <c r="ZG20" s="1030">
        <v>55.590760629094774</v>
      </c>
      <c r="ZH20" s="1030">
        <v>1078.8156563565708</v>
      </c>
      <c r="ZI20" s="1030">
        <v>227.11908554875177</v>
      </c>
      <c r="ZJ20" s="1030">
        <v>794.91679942063126</v>
      </c>
      <c r="ZK20" s="1030">
        <v>0</v>
      </c>
      <c r="ZL20" s="1030">
        <v>0</v>
      </c>
      <c r="ZM20" s="1030">
        <v>0</v>
      </c>
      <c r="ZN20" s="1030">
        <v>709.74714233984923</v>
      </c>
      <c r="ZO20" s="1030">
        <v>28.389885693593971</v>
      </c>
      <c r="ZP20" s="1030">
        <v>1157.3053403329777</v>
      </c>
      <c r="ZQ20" s="1030">
        <v>243.6432295437848</v>
      </c>
      <c r="ZR20" s="1030">
        <v>852.75130340324688</v>
      </c>
      <c r="ZS20" s="1030">
        <v>0</v>
      </c>
      <c r="ZT20" s="1030">
        <v>0</v>
      </c>
      <c r="ZU20" s="1030">
        <v>0</v>
      </c>
      <c r="ZV20" s="1030">
        <v>761.3850923243275</v>
      </c>
      <c r="ZW20" s="1030">
        <v>30.4554036929731</v>
      </c>
      <c r="ZX20" s="1030">
        <v>1212.415118444072</v>
      </c>
      <c r="ZY20" s="1030">
        <v>255.24528809348885</v>
      </c>
      <c r="ZZ20" s="1030">
        <v>893.3585083272111</v>
      </c>
      <c r="AAA20" s="1030">
        <v>0</v>
      </c>
      <c r="AAB20" s="1030">
        <v>0</v>
      </c>
      <c r="AAC20" s="1030">
        <v>0</v>
      </c>
      <c r="AAD20" s="1030">
        <v>797.64152529215266</v>
      </c>
      <c r="AAE20" s="1030">
        <v>31.905661011686107</v>
      </c>
      <c r="AAF20" s="1030">
        <v>1862.7105001549835</v>
      </c>
      <c r="AAG20" s="1030">
        <v>392.14957897999653</v>
      </c>
      <c r="AAH20" s="1030">
        <v>1372.5235264299879</v>
      </c>
      <c r="AAI20" s="1030">
        <v>0</v>
      </c>
      <c r="AAJ20" s="1030">
        <v>0</v>
      </c>
      <c r="AAK20" s="1030">
        <v>0</v>
      </c>
      <c r="AAL20" s="1030">
        <v>1225.4674343124891</v>
      </c>
      <c r="AAM20" s="1030">
        <v>49.018697372499567</v>
      </c>
      <c r="AAN20" s="1030">
        <v>2871.041666110229</v>
      </c>
      <c r="AAO20" s="1030">
        <v>604.42982444425877</v>
      </c>
      <c r="AAP20" s="1030">
        <v>2115.5043855549061</v>
      </c>
      <c r="AAQ20" s="1030">
        <v>0</v>
      </c>
      <c r="AAR20" s="1030">
        <v>0</v>
      </c>
      <c r="AAS20" s="1030">
        <v>0</v>
      </c>
      <c r="AAT20" s="1030">
        <v>1888.8432013883087</v>
      </c>
      <c r="AAU20" s="1030">
        <v>75.553728055532346</v>
      </c>
      <c r="AAV20" s="1030">
        <v>3173.2565783323589</v>
      </c>
      <c r="AAW20" s="1030">
        <v>668.05401649102294</v>
      </c>
      <c r="AAX20" s="1030">
        <v>2338.1890577185804</v>
      </c>
      <c r="AAY20" s="1030">
        <v>0</v>
      </c>
      <c r="AAZ20" s="1030">
        <v>0</v>
      </c>
      <c r="ABA20" s="1030">
        <v>0</v>
      </c>
      <c r="ABB20" s="1030">
        <v>2087.6688015344466</v>
      </c>
      <c r="ABC20" s="1030">
        <v>83.506752061377867</v>
      </c>
      <c r="ABD20" s="1030">
        <v>3324.3640344434234</v>
      </c>
      <c r="ABE20" s="1030">
        <v>699.86611251440502</v>
      </c>
      <c r="ABF20" s="1030">
        <v>2449.5313938004174</v>
      </c>
      <c r="ABG20" s="1030">
        <v>0</v>
      </c>
      <c r="ABH20" s="1030">
        <v>0</v>
      </c>
      <c r="ABI20" s="1030">
        <v>0</v>
      </c>
      <c r="ABJ20" s="1030">
        <v>2187.0816016075155</v>
      </c>
      <c r="ABK20" s="1030">
        <v>87.483264064300627</v>
      </c>
      <c r="ABL20" s="1030">
        <v>5107.4320165539875</v>
      </c>
      <c r="ABM20" s="1030">
        <v>1075.2488455903131</v>
      </c>
      <c r="ABN20" s="1030">
        <v>3763.3709595660962</v>
      </c>
      <c r="ABO20" s="1030">
        <v>0</v>
      </c>
      <c r="ABP20" s="1030">
        <v>0</v>
      </c>
      <c r="ABQ20" s="1030">
        <v>0</v>
      </c>
      <c r="ABR20" s="1030">
        <v>3360.1526424697286</v>
      </c>
      <c r="ABS20" s="1030">
        <v>134.40610569878913</v>
      </c>
      <c r="ABT20" s="1030">
        <v>3949.8573224668003</v>
      </c>
      <c r="ABU20" s="1030">
        <v>831.54890999301062</v>
      </c>
      <c r="ABV20" s="1030">
        <v>2910.4211849755375</v>
      </c>
      <c r="ABW20" s="1030">
        <v>0</v>
      </c>
      <c r="ABX20" s="1030">
        <v>0</v>
      </c>
      <c r="ABY20" s="1030">
        <v>0</v>
      </c>
      <c r="ABZ20" s="1030">
        <v>2598.5903437281581</v>
      </c>
      <c r="ACA20" s="1030">
        <v>103.94361374912633</v>
      </c>
      <c r="ACB20" s="1030">
        <v>4181.2321973320495</v>
      </c>
      <c r="ACC20" s="1030">
        <v>880.25940996464203</v>
      </c>
      <c r="ACD20" s="1030">
        <v>3080.9079348762471</v>
      </c>
      <c r="ACE20" s="1030">
        <v>0</v>
      </c>
      <c r="ACF20" s="1030">
        <v>0</v>
      </c>
      <c r="ACG20" s="1030">
        <v>0</v>
      </c>
      <c r="ACH20" s="1030">
        <v>2750.8106561395061</v>
      </c>
      <c r="ACI20" s="1030">
        <v>110.03242624558025</v>
      </c>
      <c r="ACJ20" s="1030">
        <v>4380.3384924430993</v>
      </c>
      <c r="ACK20" s="1030">
        <v>922.17652472486304</v>
      </c>
      <c r="ACL20" s="1030">
        <v>3227.6178365370206</v>
      </c>
      <c r="ACM20" s="1030">
        <v>0</v>
      </c>
      <c r="ACN20" s="1030">
        <v>0</v>
      </c>
      <c r="ACO20" s="1030">
        <v>0</v>
      </c>
      <c r="ACP20" s="1030">
        <v>2881.8016397651968</v>
      </c>
      <c r="ACQ20" s="1030">
        <v>115.27206559060788</v>
      </c>
      <c r="ACR20" s="1030">
        <v>6729.7927747534895</v>
      </c>
      <c r="ACS20" s="1030">
        <v>1416.7984788954716</v>
      </c>
      <c r="ACT20" s="1030">
        <v>4958.7946761341509</v>
      </c>
      <c r="ACU20" s="1030">
        <v>0</v>
      </c>
      <c r="ACV20" s="1030">
        <v>0</v>
      </c>
      <c r="ACW20" s="1030">
        <v>0</v>
      </c>
      <c r="ACX20" s="1030">
        <v>4427.4952465483484</v>
      </c>
      <c r="ACY20" s="1030">
        <v>177.09980986193395</v>
      </c>
      <c r="ACZ20" s="1030">
        <v>5115.6742414327719</v>
      </c>
      <c r="ADA20" s="1030">
        <v>1076.9840508279519</v>
      </c>
      <c r="ADB20" s="1030">
        <v>3769.4441778978326</v>
      </c>
      <c r="ADC20" s="1030">
        <v>0</v>
      </c>
      <c r="ADD20" s="1030">
        <v>0</v>
      </c>
      <c r="ADE20" s="1030">
        <v>0</v>
      </c>
      <c r="ADF20" s="1030">
        <v>3365.57515883735</v>
      </c>
      <c r="ADG20" s="1030">
        <v>134.62300635349399</v>
      </c>
      <c r="ADH20" s="1030">
        <v>5469.2010438316538</v>
      </c>
      <c r="ADI20" s="1030">
        <v>1151.4107460698219</v>
      </c>
      <c r="ADJ20" s="1030">
        <v>4029.937611244377</v>
      </c>
      <c r="ADK20" s="1030">
        <v>0</v>
      </c>
      <c r="ADL20" s="1030">
        <v>0</v>
      </c>
      <c r="ADM20" s="1030">
        <v>0</v>
      </c>
      <c r="ADN20" s="1030">
        <v>3598.1585814681935</v>
      </c>
      <c r="ADO20" s="1030">
        <v>143.92634325872774</v>
      </c>
      <c r="ADP20" s="1030">
        <v>5729.6391887760183</v>
      </c>
      <c r="ADQ20" s="1030">
        <v>1206.239829216004</v>
      </c>
      <c r="ADR20" s="1030">
        <v>4221.8394022560142</v>
      </c>
      <c r="ADS20" s="1030">
        <v>0</v>
      </c>
      <c r="ADT20" s="1030">
        <v>0</v>
      </c>
      <c r="ADU20" s="1030">
        <v>0</v>
      </c>
      <c r="ADV20" s="1030">
        <v>3769.499466300012</v>
      </c>
      <c r="ADW20" s="1030">
        <v>150.77997865200049</v>
      </c>
      <c r="ADX20" s="1030">
        <v>8802.809299119519</v>
      </c>
      <c r="ADY20" s="1030">
        <v>1853.2230103409515</v>
      </c>
      <c r="ADZ20" s="1030">
        <v>6486.2805361933306</v>
      </c>
      <c r="AEA20" s="1030">
        <v>0</v>
      </c>
      <c r="AEB20" s="1030">
        <v>0</v>
      </c>
      <c r="AEC20" s="1030">
        <v>0</v>
      </c>
      <c r="AED20" s="1030">
        <v>5791.3219073154733</v>
      </c>
      <c r="AEE20" s="1030">
        <v>231.65287629261894</v>
      </c>
      <c r="AEF20" s="1030">
        <v>6246.6906553549843</v>
      </c>
      <c r="AEG20" s="1030">
        <v>1315.0927695484177</v>
      </c>
      <c r="AEH20" s="1030">
        <v>4602.8246934194622</v>
      </c>
      <c r="AEI20" s="1030">
        <v>0</v>
      </c>
      <c r="AEJ20" s="1030">
        <v>0</v>
      </c>
      <c r="AEK20" s="1030">
        <v>0</v>
      </c>
      <c r="AEL20" s="1030">
        <v>4109.6649048388053</v>
      </c>
      <c r="AEM20" s="1030">
        <v>164.38659619355221</v>
      </c>
      <c r="AEN20" s="1030">
        <v>6719.8374599979361</v>
      </c>
      <c r="AEO20" s="1030">
        <v>1414.7026231574603</v>
      </c>
      <c r="AEP20" s="1030">
        <v>4951.459181051111</v>
      </c>
      <c r="AEQ20" s="1030">
        <v>0</v>
      </c>
      <c r="AER20" s="1030">
        <v>0</v>
      </c>
      <c r="AES20" s="1030">
        <v>0</v>
      </c>
      <c r="AET20" s="1030">
        <v>4420.9456973670631</v>
      </c>
      <c r="AEU20" s="1030">
        <v>176.83782789468253</v>
      </c>
      <c r="AEV20" s="1030">
        <v>7039.8297199978379</v>
      </c>
      <c r="AEW20" s="1030">
        <v>1482.069414736387</v>
      </c>
      <c r="AEX20" s="1030">
        <v>5187.2429515773547</v>
      </c>
      <c r="AEY20" s="1030">
        <v>0</v>
      </c>
      <c r="AEZ20" s="1030">
        <v>0</v>
      </c>
      <c r="AFA20" s="1030">
        <v>0</v>
      </c>
      <c r="AFB20" s="1030">
        <v>4631.4669210512093</v>
      </c>
      <c r="AFC20" s="1030">
        <v>185.25867684204837</v>
      </c>
      <c r="AFD20" s="1030">
        <v>10815.73838799668</v>
      </c>
      <c r="AFE20" s="1030">
        <v>2276.9975553677218</v>
      </c>
      <c r="AFF20" s="1030">
        <v>7969.4914437870275</v>
      </c>
      <c r="AFG20" s="1030">
        <v>0</v>
      </c>
      <c r="AFH20" s="1030">
        <v>0</v>
      </c>
      <c r="AFI20" s="1030">
        <v>0</v>
      </c>
      <c r="AFJ20" s="1030">
        <v>7115.6173605241311</v>
      </c>
      <c r="AFK20" s="1030">
        <v>284.62469442096523</v>
      </c>
      <c r="AFL20" s="1023">
        <v>7203.7045440583934</v>
      </c>
      <c r="AFM20" s="1023">
        <v>1516.569377696504</v>
      </c>
      <c r="AFN20" s="1023">
        <v>5307.9928219377643</v>
      </c>
      <c r="AFO20" s="1023">
        <v>0</v>
      </c>
      <c r="AFP20" s="1023">
        <v>0</v>
      </c>
      <c r="AFQ20" s="1023">
        <v>0</v>
      </c>
      <c r="AFR20" s="1023">
        <v>4739.2793053015748</v>
      </c>
      <c r="AFS20" s="1023">
        <v>189.571172212063</v>
      </c>
      <c r="AFT20" s="1023">
        <v>7653.1482183309827</v>
      </c>
      <c r="AFU20" s="1023">
        <v>1611.1890985959963</v>
      </c>
      <c r="AFV20" s="1023">
        <v>5639.1618450859878</v>
      </c>
      <c r="AFW20" s="1023">
        <v>0</v>
      </c>
      <c r="AFX20" s="1023">
        <v>0</v>
      </c>
      <c r="AFY20" s="1023">
        <v>0</v>
      </c>
      <c r="AFZ20" s="1023">
        <v>5034.9659331124885</v>
      </c>
      <c r="AGA20" s="1023">
        <v>201.39863732449953</v>
      </c>
      <c r="AGB20" s="1023">
        <v>8017.583847775315</v>
      </c>
      <c r="AGC20" s="1023">
        <v>1687.9123890053295</v>
      </c>
      <c r="AGD20" s="1023">
        <v>5907.6933615186535</v>
      </c>
      <c r="AGE20" s="1023">
        <v>0</v>
      </c>
      <c r="AGF20" s="1023">
        <v>0</v>
      </c>
      <c r="AGG20" s="1023">
        <v>0</v>
      </c>
      <c r="AGH20" s="1023">
        <v>5274.7262156416546</v>
      </c>
      <c r="AGI20" s="1023">
        <v>210.98904862566619</v>
      </c>
      <c r="AGJ20" s="1023">
        <v>12317.92427521844</v>
      </c>
      <c r="AGK20" s="1023">
        <v>2593.2472158354612</v>
      </c>
      <c r="AGL20" s="1023">
        <v>9076.3652554241144</v>
      </c>
      <c r="AGM20" s="1023">
        <v>0</v>
      </c>
      <c r="AGN20" s="1023">
        <v>0</v>
      </c>
      <c r="AGO20" s="1023">
        <v>0</v>
      </c>
      <c r="AGP20" s="1023">
        <v>8103.8975494858159</v>
      </c>
      <c r="AGQ20" s="1023">
        <v>324.15590197943266</v>
      </c>
      <c r="AGR20" s="1030">
        <v>2871.041666110229</v>
      </c>
      <c r="AGS20" s="1030">
        <v>604.42982444425877</v>
      </c>
      <c r="AGT20" s="1030">
        <v>2115.5043855549061</v>
      </c>
      <c r="AGU20" s="1030">
        <v>0</v>
      </c>
      <c r="AGV20" s="1030">
        <v>0</v>
      </c>
      <c r="AGW20" s="1030">
        <v>0</v>
      </c>
      <c r="AGX20" s="1030">
        <v>1888.8432013883087</v>
      </c>
      <c r="AGY20" s="1030">
        <v>75.553728055532346</v>
      </c>
      <c r="AGZ20" s="1030">
        <v>3173.2565783323589</v>
      </c>
      <c r="AHA20" s="1030">
        <v>668.05401649102294</v>
      </c>
      <c r="AHB20" s="1030">
        <v>2338.1890577185804</v>
      </c>
      <c r="AHC20" s="1030">
        <v>0</v>
      </c>
      <c r="AHD20" s="1030">
        <v>0</v>
      </c>
      <c r="AHE20" s="1030">
        <v>0</v>
      </c>
      <c r="AHF20" s="1030">
        <v>2087.6688015344466</v>
      </c>
      <c r="AHG20" s="1030">
        <v>83.506752061377867</v>
      </c>
      <c r="AHH20" s="1030">
        <v>3324.3640344434234</v>
      </c>
      <c r="AHI20" s="1030">
        <v>699.86611251440502</v>
      </c>
      <c r="AHJ20" s="1030">
        <v>2449.5313938004174</v>
      </c>
      <c r="AHK20" s="1030">
        <v>0</v>
      </c>
      <c r="AHL20" s="1030">
        <v>0</v>
      </c>
      <c r="AHM20" s="1030">
        <v>0</v>
      </c>
      <c r="AHN20" s="1030">
        <v>2187.0816016075155</v>
      </c>
      <c r="AHO20" s="1030">
        <v>87.483264064300627</v>
      </c>
      <c r="AHP20" s="1030">
        <v>5107.4320165539875</v>
      </c>
      <c r="AHQ20" s="1030">
        <v>1075.2488455903131</v>
      </c>
      <c r="AHR20" s="1030">
        <v>3763.3709595660962</v>
      </c>
      <c r="AHS20" s="1030">
        <v>0</v>
      </c>
      <c r="AHT20" s="1030">
        <v>0</v>
      </c>
      <c r="AHU20" s="1030">
        <v>0</v>
      </c>
      <c r="AHV20" s="1030">
        <v>3360.1526424697286</v>
      </c>
      <c r="AHW20" s="1030">
        <v>134.40610569878913</v>
      </c>
      <c r="AHX20" s="1013">
        <v>165</v>
      </c>
      <c r="AHY20" s="1023">
        <v>0</v>
      </c>
      <c r="AHZ20" s="1023">
        <v>0</v>
      </c>
      <c r="AIA20" s="1023">
        <v>0</v>
      </c>
      <c r="AIB20" s="1023">
        <v>0</v>
      </c>
      <c r="AIC20" s="1023">
        <v>0</v>
      </c>
      <c r="AID20" s="1023">
        <v>0</v>
      </c>
      <c r="AIE20" s="1023">
        <v>0</v>
      </c>
      <c r="AIF20" s="1013">
        <v>420</v>
      </c>
      <c r="AIG20" s="1013">
        <v>32.409999999999997</v>
      </c>
      <c r="AIH20" s="1013">
        <v>27.01</v>
      </c>
      <c r="AII20" s="1013">
        <v>0</v>
      </c>
      <c r="AIJ20" s="1013">
        <v>2.52</v>
      </c>
      <c r="AIK20" s="1013">
        <v>3.06</v>
      </c>
      <c r="AIL20" s="1013">
        <v>0</v>
      </c>
      <c r="AIM20" s="1013">
        <v>0</v>
      </c>
      <c r="AIN20" s="1016">
        <v>350</v>
      </c>
      <c r="AIO20" s="1016">
        <v>64.819999999999993</v>
      </c>
      <c r="AIP20" s="1017">
        <v>54.02</v>
      </c>
      <c r="AIQ20" s="1017">
        <v>0</v>
      </c>
      <c r="AIR20" s="1017">
        <v>5.04</v>
      </c>
      <c r="AIS20" s="1017">
        <v>6.12</v>
      </c>
      <c r="AIT20" s="1017">
        <v>0</v>
      </c>
      <c r="AIU20" s="1017">
        <v>0</v>
      </c>
      <c r="AIV20" s="1013">
        <v>120</v>
      </c>
      <c r="AIW20" s="1013">
        <v>47.37</v>
      </c>
      <c r="AIX20" s="1013">
        <v>39.47</v>
      </c>
      <c r="AIY20" s="1013">
        <v>0</v>
      </c>
      <c r="AIZ20" s="1013">
        <v>3.68</v>
      </c>
      <c r="AJA20" s="1013">
        <v>4.4800000000000004</v>
      </c>
      <c r="AJB20" s="1013">
        <v>0</v>
      </c>
      <c r="AJC20" s="1013">
        <v>0</v>
      </c>
      <c r="AJD20" s="1013">
        <v>129.6</v>
      </c>
      <c r="AJE20" s="1013">
        <v>96.93</v>
      </c>
      <c r="AJF20" s="1013">
        <v>80.78</v>
      </c>
      <c r="AJG20" s="1013">
        <v>0</v>
      </c>
      <c r="AJH20" s="1013">
        <v>7.54</v>
      </c>
      <c r="AJI20" s="1013">
        <v>9.15</v>
      </c>
      <c r="AJJ20" s="1013">
        <v>0</v>
      </c>
      <c r="AJK20" s="1013">
        <v>0</v>
      </c>
      <c r="AJL20" s="1013">
        <v>160</v>
      </c>
      <c r="AJM20" s="1013">
        <v>17.45</v>
      </c>
      <c r="AJN20" s="1013">
        <v>14.54</v>
      </c>
      <c r="AJO20" s="1013">
        <v>0</v>
      </c>
      <c r="AJP20" s="1013">
        <v>1.36</v>
      </c>
      <c r="AJQ20" s="1013">
        <v>1.65</v>
      </c>
      <c r="AJR20" s="1013">
        <v>0</v>
      </c>
      <c r="AJS20" s="1013">
        <v>0</v>
      </c>
      <c r="AJT20" s="1029" t="s">
        <v>858</v>
      </c>
      <c r="AJU20" s="988" t="s">
        <v>861</v>
      </c>
      <c r="AJV20" s="988" t="s">
        <v>860</v>
      </c>
      <c r="AJW20" s="988" t="s">
        <v>859</v>
      </c>
      <c r="AJX20" s="988" t="s">
        <v>870</v>
      </c>
      <c r="AJY20" s="988" t="s">
        <v>871</v>
      </c>
      <c r="AJZ20" s="988" t="s">
        <v>872</v>
      </c>
      <c r="AKA20" s="988" t="s">
        <v>873</v>
      </c>
      <c r="AKB20" s="988" t="s">
        <v>874</v>
      </c>
      <c r="AKC20" s="988" t="s">
        <v>875</v>
      </c>
      <c r="AKD20" s="1013">
        <v>120.73170731707317</v>
      </c>
      <c r="AKE20" s="1013">
        <v>0</v>
      </c>
      <c r="AKF20" s="1013">
        <v>0</v>
      </c>
      <c r="AKG20" s="1013">
        <v>0</v>
      </c>
      <c r="AKH20" s="1013">
        <v>0</v>
      </c>
      <c r="AKI20" s="1013">
        <v>0</v>
      </c>
      <c r="AKJ20" s="1013">
        <v>3.0182926829268291</v>
      </c>
      <c r="AKK20" s="1013">
        <v>0</v>
      </c>
      <c r="AKL20" s="1013">
        <v>354.87804878048775</v>
      </c>
      <c r="AKM20" s="1013">
        <v>0</v>
      </c>
      <c r="AKN20" s="1013">
        <v>0</v>
      </c>
      <c r="AKO20" s="1013">
        <v>0</v>
      </c>
      <c r="AKP20" s="1013">
        <v>0</v>
      </c>
      <c r="AKQ20" s="1013">
        <v>0</v>
      </c>
      <c r="AKR20" s="1013">
        <v>8.8719512195121926</v>
      </c>
      <c r="AKS20" s="1013">
        <v>0</v>
      </c>
      <c r="AKT20" s="1016">
        <v>351.21951219512192</v>
      </c>
      <c r="AKU20" s="1016">
        <v>0</v>
      </c>
      <c r="AKV20" s="1017">
        <v>0</v>
      </c>
      <c r="AKW20" s="1017">
        <v>0</v>
      </c>
      <c r="AKX20" s="1017">
        <v>0</v>
      </c>
      <c r="AKY20" s="1017">
        <v>0</v>
      </c>
      <c r="AKZ20" s="1017">
        <v>8.7804878048780477</v>
      </c>
      <c r="ALA20" s="1017">
        <v>0</v>
      </c>
      <c r="ALB20" s="1013">
        <v>157.3170731707317</v>
      </c>
      <c r="ALC20" s="1013">
        <v>0</v>
      </c>
      <c r="ALD20" s="1013">
        <v>0</v>
      </c>
      <c r="ALE20" s="1013">
        <v>0</v>
      </c>
      <c r="ALF20" s="1013">
        <v>0</v>
      </c>
      <c r="ALG20" s="1013">
        <v>0</v>
      </c>
      <c r="ALH20" s="1013">
        <v>3.9329268292682924</v>
      </c>
      <c r="ALI20" s="1013">
        <v>0</v>
      </c>
      <c r="ALJ20" s="1013">
        <v>237.07317073170731</v>
      </c>
      <c r="ALK20" s="1013">
        <v>0</v>
      </c>
      <c r="ALL20" s="1013">
        <v>0</v>
      </c>
      <c r="ALM20" s="1013">
        <v>0</v>
      </c>
      <c r="ALN20" s="1013">
        <v>0</v>
      </c>
      <c r="ALO20" s="1013">
        <v>0</v>
      </c>
      <c r="ALP20" s="1013">
        <v>5.926829268292682</v>
      </c>
      <c r="ALQ20" s="1013">
        <v>0</v>
      </c>
      <c r="ALR20" s="1013">
        <v>142.6829268292683</v>
      </c>
      <c r="ALS20" s="1013">
        <v>0</v>
      </c>
      <c r="ALT20" s="1013">
        <v>0</v>
      </c>
      <c r="ALU20" s="1013">
        <v>0</v>
      </c>
      <c r="ALV20" s="1013">
        <v>0</v>
      </c>
      <c r="ALW20" s="1013">
        <v>0</v>
      </c>
      <c r="ALX20" s="1013">
        <v>3.5670731707317072</v>
      </c>
      <c r="ALY20" s="1013">
        <v>0</v>
      </c>
    </row>
    <row r="21" spans="1:1013" ht="18" customHeight="1">
      <c r="A21" s="1259" t="s">
        <v>11</v>
      </c>
      <c r="B21" s="1260" t="s">
        <v>3063</v>
      </c>
      <c r="C21" s="1260">
        <v>2022</v>
      </c>
      <c r="D21" s="1269"/>
      <c r="E21" s="1270">
        <v>-0.1</v>
      </c>
      <c r="F21" s="1271">
        <v>-0.2</v>
      </c>
      <c r="G21" s="1271">
        <v>-0.2</v>
      </c>
      <c r="H21" s="76">
        <v>286.42361111111109</v>
      </c>
      <c r="I21" s="72">
        <v>-9.4</v>
      </c>
      <c r="J21" s="1271">
        <v>-0.9</v>
      </c>
      <c r="K21" s="1271">
        <v>-0.9</v>
      </c>
      <c r="L21" s="1265">
        <v>350</v>
      </c>
      <c r="M21" s="1262">
        <v>0</v>
      </c>
      <c r="N21" s="1262">
        <v>0</v>
      </c>
      <c r="O21" s="1262">
        <v>0</v>
      </c>
      <c r="P21" s="76">
        <v>1985.8601373210677</v>
      </c>
      <c r="Q21" s="75">
        <v>12</v>
      </c>
      <c r="R21" s="72">
        <v>0.8</v>
      </c>
      <c r="S21" s="72">
        <v>0.7</v>
      </c>
      <c r="T21" s="72">
        <v>0.7</v>
      </c>
      <c r="U21" s="1271">
        <v>0.4</v>
      </c>
      <c r="V21" s="1271">
        <v>0</v>
      </c>
      <c r="W21" s="1271">
        <v>98.3</v>
      </c>
      <c r="X21" s="1271">
        <v>1.3</v>
      </c>
      <c r="Y21" s="1272">
        <v>0</v>
      </c>
      <c r="Z21" s="75">
        <v>2</v>
      </c>
      <c r="AA21" s="72">
        <v>1.5</v>
      </c>
      <c r="AB21" s="75">
        <v>1</v>
      </c>
      <c r="AC21" s="72">
        <v>0.8</v>
      </c>
      <c r="AD21" s="72">
        <v>0.5</v>
      </c>
      <c r="AE21" s="390">
        <v>433.01922201480062</v>
      </c>
      <c r="AF21" s="390">
        <v>470.67306740739195</v>
      </c>
      <c r="AG21" s="390">
        <v>433.37222681535616</v>
      </c>
      <c r="AH21" s="390">
        <v>649.0581599547935</v>
      </c>
      <c r="AI21" s="400">
        <v>0.82209484106305364</v>
      </c>
      <c r="AJ21" s="390">
        <v>261.91600618637949</v>
      </c>
      <c r="AK21" s="390">
        <v>284.69131107215162</v>
      </c>
      <c r="AL21" s="390">
        <v>262.12952466968363</v>
      </c>
      <c r="AM21" s="390">
        <v>392.58931796849708</v>
      </c>
      <c r="AN21" s="400">
        <v>0.96717040125065135</v>
      </c>
      <c r="AO21" s="77">
        <v>0.1</v>
      </c>
      <c r="AP21" s="77">
        <v>0.2</v>
      </c>
      <c r="AQ21" s="77">
        <v>0.4</v>
      </c>
      <c r="AR21" s="77">
        <v>0.6</v>
      </c>
      <c r="AS21" s="77">
        <v>0.8</v>
      </c>
      <c r="AT21" s="77">
        <v>1.1000000000000001</v>
      </c>
      <c r="AU21" s="77">
        <v>1.3</v>
      </c>
      <c r="AV21" s="1268">
        <v>0</v>
      </c>
      <c r="AW21" s="1268">
        <v>10</v>
      </c>
      <c r="AX21" s="1268">
        <v>20</v>
      </c>
      <c r="AY21" s="1268">
        <v>70</v>
      </c>
      <c r="AZ21" s="1268">
        <v>100</v>
      </c>
      <c r="BA21" s="1019">
        <v>6743.9187866940065</v>
      </c>
      <c r="BB21" s="1031">
        <v>1.84</v>
      </c>
      <c r="BC21" s="988">
        <v>1.2</v>
      </c>
      <c r="BD21" s="988">
        <v>1.1000000000000001</v>
      </c>
      <c r="BE21" s="988">
        <v>1.1000000000000001</v>
      </c>
      <c r="BF21" s="1021">
        <v>0.16992019951201232</v>
      </c>
      <c r="BG21" s="1021">
        <v>0.17709225342845586</v>
      </c>
      <c r="BH21" s="1020">
        <v>4.9365677032073144E-4</v>
      </c>
      <c r="BI21" s="1020">
        <v>2.8268345584681883E-2</v>
      </c>
      <c r="BJ21" s="1020">
        <v>2.1639314617332861</v>
      </c>
      <c r="BK21" s="1020">
        <v>65.723175990197532</v>
      </c>
      <c r="BL21" s="1020">
        <v>0</v>
      </c>
      <c r="BM21" s="1020">
        <v>0</v>
      </c>
      <c r="BN21" s="1020">
        <v>31.156367600734562</v>
      </c>
      <c r="BO21" s="1020">
        <v>0</v>
      </c>
      <c r="BP21" s="1020">
        <v>0</v>
      </c>
      <c r="BQ21" s="1020">
        <v>0</v>
      </c>
      <c r="BR21" s="1020">
        <v>0</v>
      </c>
      <c r="BS21" s="1020">
        <v>0</v>
      </c>
      <c r="BT21" s="1020">
        <v>0.75194318893959411</v>
      </c>
      <c r="BU21" s="1020">
        <v>4.4688928681666214E-3</v>
      </c>
      <c r="BV21" s="1020">
        <v>0.17135086317185386</v>
      </c>
      <c r="BW21" s="993">
        <v>261.13475999999997</v>
      </c>
      <c r="BX21" s="993">
        <v>96.5</v>
      </c>
      <c r="BY21" s="993">
        <v>63.215999999999994</v>
      </c>
      <c r="BZ21" s="993">
        <v>233.35949490734063</v>
      </c>
      <c r="CA21" s="993">
        <v>157.40783999999999</v>
      </c>
      <c r="CB21" s="990"/>
      <c r="CC21" s="993">
        <v>256.20808011776955</v>
      </c>
      <c r="CD21" s="993">
        <v>165.17663999999999</v>
      </c>
      <c r="CE21" s="990"/>
      <c r="CF21" s="989">
        <v>0</v>
      </c>
      <c r="CG21" s="993">
        <v>6.585</v>
      </c>
      <c r="CH21" s="993">
        <v>1.3169999999999999</v>
      </c>
      <c r="CI21" s="993">
        <v>38</v>
      </c>
      <c r="CJ21" s="993">
        <v>225.83915999999996</v>
      </c>
      <c r="CK21" s="990">
        <v>0.2</v>
      </c>
      <c r="CL21" s="993">
        <v>175.08124000000001</v>
      </c>
      <c r="CM21" s="993">
        <v>60.4</v>
      </c>
      <c r="CN21" s="993">
        <v>42.384</v>
      </c>
      <c r="CO21" s="993">
        <v>156.45894761061641</v>
      </c>
      <c r="CP21" s="993">
        <v>105.53616</v>
      </c>
      <c r="CQ21" s="990"/>
      <c r="CR21" s="993">
        <v>159.24945066654416</v>
      </c>
      <c r="CS21" s="993">
        <v>102.66767999999999</v>
      </c>
      <c r="CT21" s="990"/>
      <c r="CU21" s="993">
        <v>0</v>
      </c>
      <c r="CV21" s="993">
        <v>4.415</v>
      </c>
      <c r="CW21" s="993">
        <v>0.88300000000000001</v>
      </c>
      <c r="CX21" s="993">
        <v>27</v>
      </c>
      <c r="CY21" s="993">
        <v>151.41683999999998</v>
      </c>
      <c r="CZ21" s="990">
        <v>0.2</v>
      </c>
      <c r="DA21" s="988">
        <v>0.3</v>
      </c>
      <c r="DB21" s="988">
        <v>0.7</v>
      </c>
      <c r="DC21" s="988">
        <v>1.2</v>
      </c>
      <c r="DD21" s="988">
        <v>1.2</v>
      </c>
      <c r="DE21" s="1022">
        <v>3</v>
      </c>
      <c r="DF21" s="995">
        <v>0</v>
      </c>
      <c r="DG21" s="995">
        <v>10</v>
      </c>
      <c r="DH21" s="995">
        <v>20</v>
      </c>
      <c r="DI21" s="995">
        <v>70</v>
      </c>
      <c r="DJ21" s="995">
        <v>100</v>
      </c>
      <c r="DK21" s="1017">
        <v>139.13079044499241</v>
      </c>
      <c r="DL21" s="1022">
        <v>18</v>
      </c>
      <c r="DM21" s="989">
        <v>12</v>
      </c>
      <c r="DN21" s="988">
        <v>2.1</v>
      </c>
      <c r="DO21" s="988">
        <v>1.6</v>
      </c>
      <c r="DP21" s="988">
        <v>1.6</v>
      </c>
      <c r="DQ21" s="988" t="s">
        <v>658</v>
      </c>
      <c r="DR21" s="988" t="s">
        <v>640</v>
      </c>
      <c r="DS21" s="988" t="s">
        <v>640</v>
      </c>
      <c r="DT21" s="988" t="s">
        <v>640</v>
      </c>
      <c r="DU21" s="988" t="s">
        <v>640</v>
      </c>
      <c r="DV21" s="988" t="s">
        <v>640</v>
      </c>
      <c r="DW21" s="988" t="s">
        <v>640</v>
      </c>
      <c r="DX21" s="997">
        <v>1353.85</v>
      </c>
      <c r="DY21" s="997">
        <v>0</v>
      </c>
      <c r="DZ21" s="997">
        <v>0</v>
      </c>
      <c r="EA21" s="997">
        <v>0</v>
      </c>
      <c r="EB21" s="997">
        <v>0</v>
      </c>
      <c r="EC21" s="997">
        <v>0</v>
      </c>
      <c r="ED21" s="997">
        <v>0</v>
      </c>
      <c r="EE21" s="1022">
        <v>1.35385</v>
      </c>
      <c r="EF21" s="1022">
        <v>18</v>
      </c>
      <c r="EG21" s="991">
        <v>5</v>
      </c>
      <c r="EH21" s="1023">
        <v>2.1</v>
      </c>
      <c r="EI21" s="1023">
        <v>1.6</v>
      </c>
      <c r="EJ21" s="1023">
        <v>1.6</v>
      </c>
      <c r="EK21" s="988" t="s">
        <v>658</v>
      </c>
      <c r="EL21" s="988" t="s">
        <v>707</v>
      </c>
      <c r="EM21" s="988" t="s">
        <v>719</v>
      </c>
      <c r="EN21" s="988" t="s">
        <v>735</v>
      </c>
      <c r="EO21" s="988" t="s">
        <v>640</v>
      </c>
      <c r="EP21" s="988" t="s">
        <v>640</v>
      </c>
      <c r="EQ21" s="988" t="s">
        <v>640</v>
      </c>
      <c r="ER21" s="988" t="s">
        <v>640</v>
      </c>
      <c r="ES21" s="988" t="s">
        <v>640</v>
      </c>
      <c r="ET21" s="988" t="s">
        <v>640</v>
      </c>
      <c r="EU21" s="988" t="s">
        <v>640</v>
      </c>
      <c r="EV21" s="988" t="s">
        <v>640</v>
      </c>
      <c r="EW21" s="988" t="s">
        <v>640</v>
      </c>
      <c r="EX21" s="988" t="s">
        <v>640</v>
      </c>
      <c r="EY21" s="988" t="s">
        <v>640</v>
      </c>
      <c r="EZ21" s="988" t="s">
        <v>640</v>
      </c>
      <c r="FA21" s="988" t="s">
        <v>640</v>
      </c>
      <c r="FB21" s="988" t="s">
        <v>640</v>
      </c>
      <c r="FC21" s="988" t="s">
        <v>640</v>
      </c>
      <c r="FD21" s="988" t="s">
        <v>640</v>
      </c>
      <c r="FE21" s="988" t="s">
        <v>640</v>
      </c>
      <c r="FF21" s="988" t="s">
        <v>640</v>
      </c>
      <c r="FG21" s="988" t="s">
        <v>640</v>
      </c>
      <c r="FH21" s="988" t="s">
        <v>640</v>
      </c>
      <c r="FI21" s="988" t="s">
        <v>640</v>
      </c>
      <c r="FJ21" s="988" t="s">
        <v>640</v>
      </c>
      <c r="FK21" s="988" t="s">
        <v>640</v>
      </c>
      <c r="FL21" s="988" t="s">
        <v>640</v>
      </c>
      <c r="FM21" s="988" t="s">
        <v>640</v>
      </c>
      <c r="FN21" s="988" t="s">
        <v>640</v>
      </c>
      <c r="FO21" s="988" t="s">
        <v>640</v>
      </c>
      <c r="FP21" s="988" t="s">
        <v>640</v>
      </c>
      <c r="FQ21" s="988" t="s">
        <v>640</v>
      </c>
      <c r="FR21" s="988" t="s">
        <v>640</v>
      </c>
      <c r="FS21" s="988" t="s">
        <v>640</v>
      </c>
      <c r="FT21" s="988" t="s">
        <v>640</v>
      </c>
      <c r="FU21" s="988" t="s">
        <v>640</v>
      </c>
      <c r="FV21" s="988" t="s">
        <v>640</v>
      </c>
      <c r="FW21" s="988" t="s">
        <v>640</v>
      </c>
      <c r="FX21" s="988" t="s">
        <v>640</v>
      </c>
      <c r="FY21" s="988" t="s">
        <v>640</v>
      </c>
      <c r="FZ21" s="988" t="s">
        <v>640</v>
      </c>
      <c r="GA21" s="988" t="s">
        <v>640</v>
      </c>
      <c r="GB21" s="988" t="s">
        <v>640</v>
      </c>
      <c r="GC21" s="988" t="s">
        <v>640</v>
      </c>
      <c r="GD21" s="988" t="s">
        <v>640</v>
      </c>
      <c r="GE21" s="988" t="s">
        <v>640</v>
      </c>
      <c r="GF21" s="988" t="s">
        <v>640</v>
      </c>
      <c r="GG21" s="988" t="s">
        <v>640</v>
      </c>
      <c r="GH21" s="988" t="s">
        <v>640</v>
      </c>
      <c r="GI21" s="988" t="s">
        <v>640</v>
      </c>
      <c r="GJ21" s="988" t="s">
        <v>640</v>
      </c>
      <c r="GK21" s="988" t="s">
        <v>640</v>
      </c>
      <c r="GL21" s="988" t="s">
        <v>640</v>
      </c>
      <c r="GM21" s="988" t="s">
        <v>640</v>
      </c>
      <c r="GN21" s="988" t="s">
        <v>640</v>
      </c>
      <c r="GO21" s="988" t="s">
        <v>640</v>
      </c>
      <c r="GP21" s="988" t="s">
        <v>640</v>
      </c>
      <c r="GQ21" s="997">
        <v>1124.0713724463067</v>
      </c>
      <c r="GR21" s="997">
        <v>31.204504976427451</v>
      </c>
      <c r="GS21" s="997">
        <v>81.557228915662648</v>
      </c>
      <c r="GT21" s="997">
        <v>117.01689366160291</v>
      </c>
      <c r="GU21" s="997">
        <v>0</v>
      </c>
      <c r="GV21" s="997">
        <v>0</v>
      </c>
      <c r="GW21" s="997">
        <v>0</v>
      </c>
      <c r="GX21" s="997">
        <v>0</v>
      </c>
      <c r="GY21" s="997">
        <v>0</v>
      </c>
      <c r="GZ21" s="997">
        <v>0</v>
      </c>
      <c r="HA21" s="997">
        <v>0</v>
      </c>
      <c r="HB21" s="997">
        <v>0</v>
      </c>
      <c r="HC21" s="997">
        <v>0</v>
      </c>
      <c r="HD21" s="997">
        <v>0</v>
      </c>
      <c r="HE21" s="997">
        <v>0</v>
      </c>
      <c r="HF21" s="997">
        <v>0</v>
      </c>
      <c r="HG21" s="997">
        <v>0</v>
      </c>
      <c r="HH21" s="997">
        <v>0</v>
      </c>
      <c r="HI21" s="997">
        <v>0</v>
      </c>
      <c r="HJ21" s="997">
        <v>0</v>
      </c>
      <c r="HK21" s="997">
        <v>0</v>
      </c>
      <c r="HL21" s="997">
        <v>0</v>
      </c>
      <c r="HM21" s="997">
        <v>0</v>
      </c>
      <c r="HN21" s="997">
        <v>0</v>
      </c>
      <c r="HO21" s="997">
        <v>0</v>
      </c>
      <c r="HP21" s="997">
        <v>0</v>
      </c>
      <c r="HQ21" s="997">
        <v>0</v>
      </c>
      <c r="HR21" s="997">
        <v>0</v>
      </c>
      <c r="HS21" s="997">
        <v>0</v>
      </c>
      <c r="HT21" s="997">
        <v>0</v>
      </c>
      <c r="HU21" s="997">
        <v>0</v>
      </c>
      <c r="HV21" s="997">
        <v>0</v>
      </c>
      <c r="HW21" s="997">
        <v>0</v>
      </c>
      <c r="HX21" s="997">
        <v>0</v>
      </c>
      <c r="HY21" s="997">
        <v>0</v>
      </c>
      <c r="HZ21" s="997">
        <v>0</v>
      </c>
      <c r="IA21" s="997">
        <v>0</v>
      </c>
      <c r="IB21" s="997">
        <v>0</v>
      </c>
      <c r="IC21" s="997">
        <v>0</v>
      </c>
      <c r="ID21" s="997">
        <v>0</v>
      </c>
      <c r="IE21" s="997">
        <v>0</v>
      </c>
      <c r="IF21" s="997">
        <v>0</v>
      </c>
      <c r="IG21" s="997">
        <v>0</v>
      </c>
      <c r="IH21" s="997">
        <v>0</v>
      </c>
      <c r="II21" s="997">
        <v>0</v>
      </c>
      <c r="IJ21" s="997">
        <v>0</v>
      </c>
      <c r="IK21" s="997">
        <v>0</v>
      </c>
      <c r="IL21" s="997">
        <v>0</v>
      </c>
      <c r="IM21" s="997">
        <v>0</v>
      </c>
      <c r="IN21" s="997">
        <v>0</v>
      </c>
      <c r="IO21" s="997">
        <v>0</v>
      </c>
      <c r="IP21" s="997">
        <v>0</v>
      </c>
      <c r="IQ21" s="997">
        <v>0</v>
      </c>
      <c r="IR21" s="997">
        <v>0</v>
      </c>
      <c r="IS21" s="997">
        <v>0</v>
      </c>
      <c r="IT21" s="997">
        <v>0</v>
      </c>
      <c r="IU21" s="997">
        <v>0</v>
      </c>
      <c r="IV21" s="997">
        <v>0</v>
      </c>
      <c r="IW21" s="1019">
        <v>798.4977964749354</v>
      </c>
      <c r="IX21" s="1022">
        <v>179.9</v>
      </c>
      <c r="IY21" s="998">
        <v>2647.0800000000199</v>
      </c>
      <c r="IZ21" s="429">
        <v>12.64</v>
      </c>
      <c r="JA21" s="1022">
        <v>70.244000141381065</v>
      </c>
      <c r="JB21" s="988">
        <v>2.1</v>
      </c>
      <c r="JC21" s="988">
        <v>1.6</v>
      </c>
      <c r="JD21" s="988">
        <v>1.6</v>
      </c>
      <c r="JE21" s="998">
        <v>2</v>
      </c>
      <c r="JF21" s="1023">
        <v>1.5</v>
      </c>
      <c r="JG21" s="1023">
        <v>0.7</v>
      </c>
      <c r="JH21" s="1023">
        <v>0.7</v>
      </c>
      <c r="JI21" s="1023">
        <v>0.5</v>
      </c>
      <c r="JJ21" s="1019">
        <v>92.622139891881119</v>
      </c>
      <c r="JK21" s="998">
        <v>2647.0800000000199</v>
      </c>
      <c r="JL21" s="429">
        <v>12.64</v>
      </c>
      <c r="JM21" s="1022">
        <v>70.244000141381065</v>
      </c>
      <c r="JN21" s="988">
        <v>2.4</v>
      </c>
      <c r="JO21" s="988">
        <v>1.4</v>
      </c>
      <c r="JP21" s="988">
        <v>1.4</v>
      </c>
      <c r="JQ21" s="998">
        <v>2</v>
      </c>
      <c r="JR21" s="998">
        <v>2</v>
      </c>
      <c r="JS21" s="998">
        <v>1</v>
      </c>
      <c r="JT21" s="998">
        <v>1</v>
      </c>
      <c r="JU21" s="1023">
        <v>0.5</v>
      </c>
      <c r="JV21" s="1004">
        <v>2000</v>
      </c>
      <c r="JW21" s="1019">
        <v>236.30672398860028</v>
      </c>
      <c r="JX21" s="1019">
        <v>500</v>
      </c>
      <c r="JY21" s="1022">
        <v>1.5</v>
      </c>
      <c r="JZ21" s="1022">
        <v>0.9</v>
      </c>
      <c r="KA21" s="1022">
        <v>0.9</v>
      </c>
      <c r="KB21" s="1023">
        <v>2</v>
      </c>
      <c r="KC21" s="1023">
        <v>1.5</v>
      </c>
      <c r="KD21" s="1023">
        <v>0.5</v>
      </c>
      <c r="KE21" s="1023">
        <v>1</v>
      </c>
      <c r="KF21" s="1023">
        <v>0.5</v>
      </c>
      <c r="KG21" s="997">
        <v>3.8673714929346716</v>
      </c>
      <c r="KH21" s="997">
        <v>2.1332514164789407E-4</v>
      </c>
      <c r="KI21" s="997">
        <v>95.596969076387467</v>
      </c>
      <c r="KJ21" s="997"/>
      <c r="KK21" s="997">
        <v>0.10836917195713018</v>
      </c>
      <c r="KL21" s="997">
        <v>0.42686360843743598</v>
      </c>
      <c r="KM21" s="997">
        <v>0</v>
      </c>
      <c r="KN21" s="997">
        <v>2.1332514164789407E-4</v>
      </c>
      <c r="KO21" s="997"/>
      <c r="KP21" s="1006">
        <v>580</v>
      </c>
      <c r="KQ21" s="1006">
        <v>580</v>
      </c>
      <c r="KR21" s="1006">
        <v>580</v>
      </c>
      <c r="KS21" s="1006">
        <v>580</v>
      </c>
      <c r="KT21" s="1006"/>
      <c r="KU21" s="1006">
        <v>580</v>
      </c>
      <c r="KV21" s="1006">
        <v>580</v>
      </c>
      <c r="KW21" s="1006">
        <v>580</v>
      </c>
      <c r="KX21" s="1006">
        <v>580</v>
      </c>
      <c r="KY21" s="993">
        <v>370</v>
      </c>
      <c r="KZ21" s="993">
        <v>370</v>
      </c>
      <c r="LA21" s="993">
        <v>370</v>
      </c>
      <c r="LB21" s="993">
        <v>370</v>
      </c>
      <c r="LC21" s="993"/>
      <c r="LD21" s="993">
        <v>370</v>
      </c>
      <c r="LE21" s="993">
        <v>370</v>
      </c>
      <c r="LF21" s="993">
        <v>370</v>
      </c>
      <c r="LG21" s="993">
        <v>370</v>
      </c>
      <c r="LH21" s="995">
        <v>0</v>
      </c>
      <c r="LI21" s="995">
        <v>10</v>
      </c>
      <c r="LJ21" s="995">
        <v>20</v>
      </c>
      <c r="LK21" s="995">
        <v>70</v>
      </c>
      <c r="LL21" s="995">
        <v>100</v>
      </c>
      <c r="LM21" s="1004">
        <v>1000</v>
      </c>
      <c r="LN21" s="1019">
        <v>205.32800480784053</v>
      </c>
      <c r="LO21" s="988">
        <v>29</v>
      </c>
      <c r="LP21" s="988">
        <v>1.7</v>
      </c>
      <c r="LQ21" s="1022">
        <v>1</v>
      </c>
      <c r="LR21" s="1022">
        <v>1</v>
      </c>
      <c r="LS21" s="1023">
        <v>2</v>
      </c>
      <c r="LT21" s="1023">
        <v>1</v>
      </c>
      <c r="LU21" s="1023">
        <v>0.5</v>
      </c>
      <c r="LV21" s="1023">
        <v>0.7</v>
      </c>
      <c r="LW21" s="1023">
        <v>0.2</v>
      </c>
      <c r="LX21" s="1004">
        <v>1500</v>
      </c>
      <c r="LY21" s="1008">
        <v>500</v>
      </c>
      <c r="LZ21" s="1008">
        <v>1</v>
      </c>
      <c r="MA21" s="997" t="s">
        <v>2914</v>
      </c>
      <c r="MB21" s="1023" t="s">
        <v>905</v>
      </c>
      <c r="MC21" s="1023" t="s">
        <v>2932</v>
      </c>
      <c r="MD21" s="1024" t="s">
        <v>906</v>
      </c>
      <c r="ME21" s="1009">
        <v>0.5</v>
      </c>
      <c r="MF21" s="1010">
        <v>0.75</v>
      </c>
      <c r="MG21" s="1010">
        <v>1</v>
      </c>
      <c r="MH21" s="1010">
        <v>2</v>
      </c>
      <c r="MI21" s="1010">
        <v>0.5</v>
      </c>
      <c r="MJ21" s="1010">
        <v>0.75</v>
      </c>
      <c r="MK21" s="1010">
        <v>1</v>
      </c>
      <c r="ML21" s="1010">
        <v>2</v>
      </c>
      <c r="MM21" s="1010">
        <v>0</v>
      </c>
      <c r="MN21" s="1010">
        <v>0.5</v>
      </c>
      <c r="MO21" s="1010">
        <v>1</v>
      </c>
      <c r="MP21" s="1010">
        <v>2</v>
      </c>
      <c r="MQ21" s="1010">
        <v>0</v>
      </c>
      <c r="MR21" s="1010">
        <v>0.5</v>
      </c>
      <c r="MS21" s="1010">
        <v>1</v>
      </c>
      <c r="MT21" s="1010">
        <v>2</v>
      </c>
      <c r="MU21" s="1001">
        <v>0</v>
      </c>
      <c r="MV21" s="1001">
        <v>0</v>
      </c>
      <c r="MW21" s="1001">
        <v>0</v>
      </c>
      <c r="MX21" s="1025">
        <v>0</v>
      </c>
      <c r="MY21" s="1025">
        <v>0</v>
      </c>
      <c r="MZ21" s="1025">
        <v>0</v>
      </c>
      <c r="NA21" s="1025">
        <v>0</v>
      </c>
      <c r="NB21" s="1025">
        <v>0</v>
      </c>
      <c r="NC21" s="1025">
        <v>0</v>
      </c>
      <c r="ND21" s="1025">
        <v>0</v>
      </c>
      <c r="NE21" s="1025">
        <v>0</v>
      </c>
      <c r="NF21" s="1025">
        <v>0</v>
      </c>
      <c r="NG21" s="1025">
        <v>0</v>
      </c>
      <c r="NH21" s="1025">
        <v>0</v>
      </c>
      <c r="NI21" s="1025">
        <v>0</v>
      </c>
      <c r="NJ21" s="1025">
        <v>0</v>
      </c>
      <c r="NK21" s="1025">
        <v>0</v>
      </c>
      <c r="NL21" s="1025">
        <v>0</v>
      </c>
      <c r="NM21" s="1025">
        <v>0</v>
      </c>
      <c r="NN21" s="1025">
        <v>0</v>
      </c>
      <c r="NO21" s="1025">
        <v>0</v>
      </c>
      <c r="NP21" s="1025">
        <v>0</v>
      </c>
      <c r="NQ21" s="1025">
        <v>0</v>
      </c>
      <c r="NR21" s="1025">
        <v>0</v>
      </c>
      <c r="NS21" s="1025">
        <v>0</v>
      </c>
      <c r="NT21" s="1025">
        <v>0</v>
      </c>
      <c r="NU21" s="1025">
        <v>0</v>
      </c>
      <c r="NV21" s="1025">
        <v>2.08518558685559</v>
      </c>
      <c r="NW21" s="1025">
        <v>0</v>
      </c>
      <c r="NX21" s="1025">
        <v>7.0154009526340003E-2</v>
      </c>
      <c r="NY21" s="1025">
        <v>0.43894591258672999</v>
      </c>
      <c r="NZ21" s="1025">
        <v>0.28449411250005002</v>
      </c>
      <c r="OA21" s="1025">
        <v>0</v>
      </c>
      <c r="OB21" s="1025">
        <v>2.1100084363853799</v>
      </c>
      <c r="OC21" s="1025">
        <v>0</v>
      </c>
      <c r="OD21" s="1025">
        <v>7.0154009526340003E-2</v>
      </c>
      <c r="OE21" s="1025">
        <v>0.43894591258672999</v>
      </c>
      <c r="OF21" s="1025">
        <v>-0.64556511145693996</v>
      </c>
      <c r="OG21" s="1025">
        <v>0</v>
      </c>
      <c r="OH21" s="1025">
        <v>2.18593524661823</v>
      </c>
      <c r="OI21" s="1025">
        <v>0</v>
      </c>
      <c r="OJ21" s="1025">
        <v>7.1169202482840005E-2</v>
      </c>
      <c r="OK21" s="1025">
        <v>0.43894591258674998</v>
      </c>
      <c r="OL21" s="1025">
        <v>-0.82487787337422003</v>
      </c>
      <c r="OM21" s="1025">
        <v>0</v>
      </c>
      <c r="ON21" s="1025">
        <v>2.1547539773582201</v>
      </c>
      <c r="OO21" s="1025">
        <v>0</v>
      </c>
      <c r="OP21" s="1025">
        <v>7.0154009526340003E-2</v>
      </c>
      <c r="OQ21" s="1025">
        <v>0.43894591258672</v>
      </c>
      <c r="OR21" s="1025">
        <v>0.79616422403850995</v>
      </c>
      <c r="OS21" s="1025">
        <v>0</v>
      </c>
      <c r="OT21" s="1025">
        <v>0</v>
      </c>
      <c r="OU21" s="1025">
        <v>0</v>
      </c>
      <c r="OV21" s="1025">
        <v>0</v>
      </c>
      <c r="OW21" s="1025">
        <v>0</v>
      </c>
      <c r="OX21" s="1025">
        <v>0</v>
      </c>
      <c r="OY21" s="1025">
        <v>0</v>
      </c>
      <c r="OZ21" s="1025">
        <v>-52.91</v>
      </c>
      <c r="PA21" s="1025">
        <v>-13.23</v>
      </c>
      <c r="PB21" s="1025">
        <v>-0.98174722415342996</v>
      </c>
      <c r="PC21" s="1025">
        <v>0</v>
      </c>
      <c r="PD21" s="1025">
        <v>-0.54564294367355004</v>
      </c>
      <c r="PE21" s="1025">
        <v>0</v>
      </c>
      <c r="PF21" s="1025">
        <v>4.46683970655E-2</v>
      </c>
      <c r="PG21" s="1025">
        <v>0</v>
      </c>
      <c r="PH21" s="1025">
        <v>0</v>
      </c>
      <c r="PI21" s="1025">
        <v>0</v>
      </c>
      <c r="PJ21" s="1025">
        <v>-0.76644200050950995</v>
      </c>
      <c r="PK21" s="1025">
        <v>0</v>
      </c>
      <c r="PL21" s="1025">
        <v>0</v>
      </c>
      <c r="PM21" s="1025">
        <v>0</v>
      </c>
      <c r="PN21" s="1025">
        <v>0</v>
      </c>
      <c r="PO21" s="1025">
        <v>0</v>
      </c>
      <c r="PP21" s="1025">
        <v>0</v>
      </c>
      <c r="PQ21" s="1025">
        <v>0</v>
      </c>
      <c r="PR21" s="1025">
        <v>0</v>
      </c>
      <c r="PS21" s="1025">
        <v>0</v>
      </c>
      <c r="PT21" s="1025">
        <v>0</v>
      </c>
      <c r="PU21" s="1025">
        <v>0</v>
      </c>
      <c r="PV21" s="1025">
        <v>0.49920367759679002</v>
      </c>
      <c r="PW21" s="1025">
        <v>0</v>
      </c>
      <c r="PX21" s="1025">
        <v>0</v>
      </c>
      <c r="PY21" s="1025">
        <v>0</v>
      </c>
      <c r="PZ21" s="1025">
        <v>0</v>
      </c>
      <c r="QA21" s="1025">
        <v>0</v>
      </c>
      <c r="QB21" s="1025">
        <v>0</v>
      </c>
      <c r="QC21" s="1025">
        <v>0</v>
      </c>
      <c r="QD21" s="1025">
        <v>-52.91</v>
      </c>
      <c r="QE21" s="1025">
        <v>-13.23</v>
      </c>
      <c r="QF21" s="1025">
        <v>-0.85744920773920996</v>
      </c>
      <c r="QG21" s="1025">
        <v>0</v>
      </c>
      <c r="QH21" s="1025">
        <v>0.65330526490970997</v>
      </c>
      <c r="QI21" s="1025">
        <v>0</v>
      </c>
      <c r="QJ21" s="1025">
        <v>-5.5467116298239999E-2</v>
      </c>
      <c r="QK21" s="1025">
        <v>0</v>
      </c>
      <c r="QL21" s="1025">
        <v>0</v>
      </c>
      <c r="QM21" s="1025">
        <v>0</v>
      </c>
      <c r="QN21" s="1025">
        <v>0.76736011831050999</v>
      </c>
      <c r="QO21" s="1025">
        <v>0</v>
      </c>
      <c r="QP21" s="1025">
        <v>0</v>
      </c>
      <c r="QQ21" s="1025">
        <v>0</v>
      </c>
      <c r="QR21" s="1025">
        <v>0</v>
      </c>
      <c r="QS21" s="1025">
        <v>0</v>
      </c>
      <c r="QT21" s="1025">
        <v>0</v>
      </c>
      <c r="QU21" s="1025">
        <v>0</v>
      </c>
      <c r="QV21" s="1025">
        <v>0.18317402735216001</v>
      </c>
      <c r="QW21" s="1025">
        <v>0</v>
      </c>
      <c r="QX21" s="1025">
        <v>0</v>
      </c>
      <c r="QY21" s="1025">
        <v>0</v>
      </c>
      <c r="QZ21" s="1025">
        <v>1.2656456781063099</v>
      </c>
      <c r="RA21" s="1025">
        <v>0</v>
      </c>
      <c r="RB21" s="1025">
        <v>0</v>
      </c>
      <c r="RC21" s="1025">
        <v>0</v>
      </c>
      <c r="RD21" s="1025">
        <v>0</v>
      </c>
      <c r="RE21" s="1025">
        <v>0</v>
      </c>
      <c r="RF21" s="1025">
        <v>0</v>
      </c>
      <c r="RG21" s="1025">
        <v>0</v>
      </c>
      <c r="RH21" s="1011">
        <v>0</v>
      </c>
      <c r="RI21" s="1026">
        <v>0</v>
      </c>
      <c r="RJ21" s="1026">
        <v>0</v>
      </c>
      <c r="RK21" s="1026">
        <v>0</v>
      </c>
      <c r="RL21" s="1026">
        <v>0</v>
      </c>
      <c r="RM21" s="1011">
        <v>0</v>
      </c>
      <c r="RN21" s="1011">
        <v>0</v>
      </c>
      <c r="RO21" s="1011">
        <v>0</v>
      </c>
      <c r="RP21" s="1011">
        <v>0</v>
      </c>
      <c r="RQ21" s="1011">
        <v>0</v>
      </c>
      <c r="RR21" s="1011">
        <v>0</v>
      </c>
      <c r="RS21" s="1011">
        <v>0</v>
      </c>
      <c r="RT21" s="1011">
        <v>0</v>
      </c>
      <c r="RU21" s="1011">
        <v>0</v>
      </c>
      <c r="RV21" s="1011">
        <v>0</v>
      </c>
      <c r="RW21" s="1011">
        <v>0</v>
      </c>
      <c r="RX21" s="1011">
        <v>0</v>
      </c>
      <c r="RY21" s="1011">
        <v>0</v>
      </c>
      <c r="RZ21" s="1026">
        <v>0</v>
      </c>
      <c r="SA21" s="1026">
        <v>0</v>
      </c>
      <c r="SB21" s="1026">
        <v>0</v>
      </c>
      <c r="SC21" s="1026">
        <v>0</v>
      </c>
      <c r="SD21" s="1026">
        <v>0</v>
      </c>
      <c r="SE21" s="1026">
        <v>0</v>
      </c>
      <c r="SF21" s="1026">
        <v>0</v>
      </c>
      <c r="SG21" s="1026">
        <v>0</v>
      </c>
      <c r="SH21" s="1026">
        <v>0</v>
      </c>
      <c r="SI21" s="1026">
        <v>0</v>
      </c>
      <c r="SJ21" s="1026">
        <v>0</v>
      </c>
      <c r="SK21" s="1026">
        <v>0</v>
      </c>
      <c r="SL21" s="1025">
        <v>-52.91</v>
      </c>
      <c r="SM21" s="1025">
        <v>-13.23</v>
      </c>
      <c r="SN21" s="1025">
        <v>-0.55362571525898996</v>
      </c>
      <c r="SO21" s="1025">
        <v>0</v>
      </c>
      <c r="SP21" s="1025">
        <v>-0.48090578276578999</v>
      </c>
      <c r="SQ21" s="1025">
        <v>0</v>
      </c>
      <c r="SR21" s="1025">
        <v>-0.17732485142146001</v>
      </c>
      <c r="SS21" s="1025">
        <v>0</v>
      </c>
      <c r="ST21" s="1025">
        <v>0</v>
      </c>
      <c r="SU21" s="1025">
        <v>0</v>
      </c>
      <c r="SV21" s="1025">
        <v>-0.497551065555</v>
      </c>
      <c r="SW21" s="1025">
        <v>0</v>
      </c>
      <c r="SX21" s="1025">
        <v>-0.13722703079477999</v>
      </c>
      <c r="SY21" s="1025">
        <v>0</v>
      </c>
      <c r="SZ21" s="1025">
        <v>0</v>
      </c>
      <c r="TA21" s="1025">
        <v>0</v>
      </c>
      <c r="TB21" s="1025">
        <v>-1.26491118386551</v>
      </c>
      <c r="TC21" s="1025">
        <v>0</v>
      </c>
      <c r="TD21" s="1025">
        <v>-0.14224836854155001</v>
      </c>
      <c r="TE21" s="1025">
        <v>0</v>
      </c>
      <c r="TF21" s="1025">
        <v>0</v>
      </c>
      <c r="TG21" s="1025">
        <v>0</v>
      </c>
      <c r="TH21" s="1025">
        <v>-0.65175758345790002</v>
      </c>
      <c r="TI21" s="1025">
        <v>0</v>
      </c>
      <c r="TJ21" s="1025">
        <v>0</v>
      </c>
      <c r="TK21" s="1025">
        <v>0</v>
      </c>
      <c r="TL21" s="1025">
        <v>0</v>
      </c>
      <c r="TM21" s="1025">
        <v>0</v>
      </c>
      <c r="TN21" s="1025">
        <v>0</v>
      </c>
      <c r="TO21" s="1025">
        <v>0</v>
      </c>
      <c r="TP21" s="1025">
        <v>-52.91</v>
      </c>
      <c r="TQ21" s="1025">
        <v>-13.23</v>
      </c>
      <c r="TR21" s="1025">
        <v>0</v>
      </c>
      <c r="TS21" s="1025">
        <v>0</v>
      </c>
      <c r="TT21" s="1025">
        <v>0</v>
      </c>
      <c r="TU21" s="1025">
        <v>0</v>
      </c>
      <c r="TV21" s="1025">
        <v>0</v>
      </c>
      <c r="TW21" s="1025">
        <v>0</v>
      </c>
      <c r="TX21" s="1025">
        <v>0</v>
      </c>
      <c r="TY21" s="1025">
        <v>0</v>
      </c>
      <c r="TZ21" s="1025">
        <v>0</v>
      </c>
      <c r="UA21" s="1025">
        <v>0</v>
      </c>
      <c r="UB21" s="1025">
        <v>0</v>
      </c>
      <c r="UC21" s="1025">
        <v>0</v>
      </c>
      <c r="UD21" s="1025">
        <v>0</v>
      </c>
      <c r="UE21" s="1025">
        <v>0</v>
      </c>
      <c r="UF21" s="1025">
        <v>-0.80319200646724997</v>
      </c>
      <c r="UG21" s="1025">
        <v>0</v>
      </c>
      <c r="UH21" s="1025">
        <v>0</v>
      </c>
      <c r="UI21" s="1025">
        <v>0</v>
      </c>
      <c r="UJ21" s="1025">
        <v>0</v>
      </c>
      <c r="UK21" s="1025">
        <v>0</v>
      </c>
      <c r="UL21" s="1025">
        <v>0</v>
      </c>
      <c r="UM21" s="1025">
        <v>0</v>
      </c>
      <c r="UN21" s="1025">
        <v>0</v>
      </c>
      <c r="UO21" s="1025">
        <v>0</v>
      </c>
      <c r="UP21" s="1025">
        <v>0</v>
      </c>
      <c r="UQ21" s="1025">
        <v>0</v>
      </c>
      <c r="UR21" s="1025">
        <v>0</v>
      </c>
      <c r="US21" s="1025">
        <v>0</v>
      </c>
      <c r="UT21" s="1025">
        <v>0.54749446582886996</v>
      </c>
      <c r="UU21" s="1025">
        <v>0</v>
      </c>
      <c r="UV21" s="1025">
        <v>8.3801367193569995E-2</v>
      </c>
      <c r="UW21" s="1025">
        <v>0</v>
      </c>
      <c r="UX21" s="1025">
        <v>0</v>
      </c>
      <c r="UY21" s="1025">
        <v>-2.6</v>
      </c>
      <c r="UZ21" s="1025">
        <v>-4.5943538095599996E-3</v>
      </c>
      <c r="VA21" s="1025">
        <v>0</v>
      </c>
      <c r="VB21" s="1025">
        <v>0</v>
      </c>
      <c r="VC21" s="1025">
        <v>0</v>
      </c>
      <c r="VD21" s="1025">
        <v>2.5753769592309999E-2</v>
      </c>
      <c r="VE21" s="1025">
        <v>0</v>
      </c>
      <c r="VF21" s="1025">
        <v>0</v>
      </c>
      <c r="VG21" s="1025">
        <v>0</v>
      </c>
      <c r="VH21" s="1025">
        <v>0</v>
      </c>
      <c r="VI21" s="1025">
        <v>0</v>
      </c>
      <c r="VJ21" s="1025">
        <v>0</v>
      </c>
      <c r="VK21" s="1025">
        <v>0</v>
      </c>
      <c r="VL21" s="1025">
        <v>-7.1702700879820003E-2</v>
      </c>
      <c r="VM21" s="1025">
        <v>0</v>
      </c>
      <c r="VN21" s="1025">
        <v>0</v>
      </c>
      <c r="VO21" s="1025">
        <v>0</v>
      </c>
      <c r="VP21" s="1025">
        <v>0</v>
      </c>
      <c r="VQ21" s="1025">
        <v>0</v>
      </c>
      <c r="VR21" s="1010">
        <v>-2.0401762067000001E-4</v>
      </c>
      <c r="VS21" s="1010">
        <v>0</v>
      </c>
      <c r="VT21" s="1010">
        <v>0</v>
      </c>
      <c r="VU21" s="1010">
        <v>0</v>
      </c>
      <c r="VV21" s="1010">
        <v>0</v>
      </c>
      <c r="VW21" s="1010">
        <v>0</v>
      </c>
      <c r="VX21" s="1025">
        <v>0</v>
      </c>
      <c r="VY21" s="1025">
        <v>0</v>
      </c>
      <c r="VZ21" s="1025">
        <v>0</v>
      </c>
      <c r="WA21" s="1025">
        <v>0</v>
      </c>
      <c r="WB21" s="1025">
        <v>0</v>
      </c>
      <c r="WC21" s="1025">
        <v>0</v>
      </c>
      <c r="WD21" s="995">
        <v>202</v>
      </c>
      <c r="WE21" s="995">
        <v>267</v>
      </c>
      <c r="WF21" s="995">
        <v>354</v>
      </c>
      <c r="WG21" s="995">
        <v>382</v>
      </c>
      <c r="WH21" s="995">
        <v>403</v>
      </c>
      <c r="WI21" s="995">
        <v>0</v>
      </c>
      <c r="WJ21" s="995">
        <v>1300</v>
      </c>
      <c r="WK21" s="1001">
        <v>0</v>
      </c>
      <c r="WL21" s="1001">
        <v>0</v>
      </c>
      <c r="WM21" s="1001">
        <v>0</v>
      </c>
      <c r="WN21" s="1001">
        <v>0</v>
      </c>
      <c r="WO21" s="1001">
        <v>0</v>
      </c>
      <c r="WP21" s="1001">
        <v>0</v>
      </c>
      <c r="WQ21" s="1001">
        <v>0</v>
      </c>
      <c r="WR21" s="1001">
        <v>0</v>
      </c>
      <c r="WS21" s="1001">
        <v>0</v>
      </c>
      <c r="WT21" s="1001">
        <v>0</v>
      </c>
      <c r="WU21" s="1001">
        <v>0</v>
      </c>
      <c r="WV21" s="1001">
        <v>0</v>
      </c>
      <c r="WW21" s="1001">
        <v>0</v>
      </c>
      <c r="WX21" s="1001">
        <v>0</v>
      </c>
      <c r="WY21" s="1001">
        <v>0</v>
      </c>
      <c r="WZ21" s="1001">
        <v>0</v>
      </c>
      <c r="XA21" s="1001">
        <v>0</v>
      </c>
      <c r="XB21" s="1001">
        <v>0</v>
      </c>
      <c r="XC21" s="1001">
        <v>0</v>
      </c>
      <c r="XD21" s="1001">
        <v>0</v>
      </c>
      <c r="XE21" s="1001">
        <v>0</v>
      </c>
      <c r="XF21" s="1001">
        <v>0</v>
      </c>
      <c r="XG21" s="1001">
        <v>0</v>
      </c>
      <c r="XH21" s="1001">
        <v>0</v>
      </c>
      <c r="XI21" s="1001">
        <v>0</v>
      </c>
      <c r="XJ21" s="1001">
        <v>0</v>
      </c>
      <c r="XK21" s="1001">
        <v>0</v>
      </c>
      <c r="XL21" s="1001">
        <v>0</v>
      </c>
      <c r="XM21" s="1001">
        <v>0</v>
      </c>
      <c r="XN21" s="1001">
        <v>0</v>
      </c>
      <c r="XO21" s="1001">
        <v>0</v>
      </c>
      <c r="XP21" s="1001">
        <v>0</v>
      </c>
      <c r="XQ21" s="1001">
        <v>0</v>
      </c>
      <c r="XR21" s="1027">
        <v>77</v>
      </c>
      <c r="XS21" s="1013">
        <v>61.085594989561585</v>
      </c>
      <c r="XT21" s="1013">
        <v>67.51565762004175</v>
      </c>
      <c r="XU21" s="1013">
        <v>70.730688935281833</v>
      </c>
      <c r="XV21" s="1013">
        <v>108.66805845511483</v>
      </c>
      <c r="XW21" s="1028">
        <v>13078.91482</v>
      </c>
      <c r="XX21" s="1013">
        <v>78</v>
      </c>
      <c r="XY21" s="1013">
        <v>15</v>
      </c>
      <c r="XZ21" s="1013">
        <v>7.0000000000000009</v>
      </c>
      <c r="YA21" s="1029">
        <v>0</v>
      </c>
      <c r="YB21" s="1030">
        <v>866.25058940045915</v>
      </c>
      <c r="YC21" s="1030">
        <v>0</v>
      </c>
      <c r="YD21" s="1030">
        <v>0</v>
      </c>
      <c r="YE21" s="1030">
        <v>0</v>
      </c>
      <c r="YF21" s="1030">
        <v>0</v>
      </c>
      <c r="YG21" s="1030">
        <v>0</v>
      </c>
      <c r="YH21" s="1030">
        <v>1501.5010216274625</v>
      </c>
      <c r="YI21" s="1030">
        <v>462.00031434691158</v>
      </c>
      <c r="YJ21" s="1030">
        <v>929.27501308748958</v>
      </c>
      <c r="YK21" s="1030">
        <v>0</v>
      </c>
      <c r="YL21" s="1030">
        <v>0</v>
      </c>
      <c r="YM21" s="1030">
        <v>0</v>
      </c>
      <c r="YN21" s="1030">
        <v>0</v>
      </c>
      <c r="YO21" s="1030">
        <v>0</v>
      </c>
      <c r="YP21" s="1030">
        <v>1610.7433560183154</v>
      </c>
      <c r="YQ21" s="1030">
        <v>495.6133403133278</v>
      </c>
      <c r="YR21" s="1030">
        <v>973.52620418689378</v>
      </c>
      <c r="YS21" s="1030">
        <v>0</v>
      </c>
      <c r="YT21" s="1030">
        <v>0</v>
      </c>
      <c r="YU21" s="1030">
        <v>0</v>
      </c>
      <c r="YV21" s="1030">
        <v>0</v>
      </c>
      <c r="YW21" s="1030">
        <v>0</v>
      </c>
      <c r="YX21" s="1030">
        <v>1687.4454205906159</v>
      </c>
      <c r="YY21" s="1030">
        <v>519.21397556634338</v>
      </c>
      <c r="YZ21" s="1030">
        <v>1495.6902591598644</v>
      </c>
      <c r="ZA21" s="1030">
        <v>0</v>
      </c>
      <c r="ZB21" s="1030">
        <v>0</v>
      </c>
      <c r="ZC21" s="1030">
        <v>0</v>
      </c>
      <c r="ZD21" s="1030">
        <v>0</v>
      </c>
      <c r="ZE21" s="1030">
        <v>0</v>
      </c>
      <c r="ZF21" s="1030">
        <v>2592.5297825437647</v>
      </c>
      <c r="ZG21" s="1030">
        <v>797.70147155192763</v>
      </c>
      <c r="ZH21" s="1030">
        <v>584.81539791079899</v>
      </c>
      <c r="ZI21" s="1030">
        <v>1832.4215801205034</v>
      </c>
      <c r="ZJ21" s="1030">
        <v>38.987693194053271</v>
      </c>
      <c r="ZK21" s="1030">
        <v>116.96307958215979</v>
      </c>
      <c r="ZL21" s="1030">
        <v>0</v>
      </c>
      <c r="ZM21" s="1030">
        <v>0</v>
      </c>
      <c r="ZN21" s="1030">
        <v>1013.680023045385</v>
      </c>
      <c r="ZO21" s="1030">
        <v>311.90154555242617</v>
      </c>
      <c r="ZP21" s="1030">
        <v>627.36388661328749</v>
      </c>
      <c r="ZQ21" s="1030">
        <v>1965.7401780549674</v>
      </c>
      <c r="ZR21" s="1030">
        <v>41.8242591075525</v>
      </c>
      <c r="ZS21" s="1030">
        <v>125.47277732265749</v>
      </c>
      <c r="ZT21" s="1030">
        <v>0</v>
      </c>
      <c r="ZU21" s="1030">
        <v>0</v>
      </c>
      <c r="ZV21" s="1030">
        <v>1087.430736796365</v>
      </c>
      <c r="ZW21" s="1030">
        <v>334.59407286042</v>
      </c>
      <c r="ZX21" s="1030">
        <v>657.23835740439631</v>
      </c>
      <c r="ZY21" s="1030">
        <v>2059.3468532004417</v>
      </c>
      <c r="ZZ21" s="1030">
        <v>43.815890493626419</v>
      </c>
      <c r="AAA21" s="1030">
        <v>131.44767148087925</v>
      </c>
      <c r="AAB21" s="1030">
        <v>0</v>
      </c>
      <c r="AAC21" s="1030">
        <v>0</v>
      </c>
      <c r="AAD21" s="1030">
        <v>1139.213152834287</v>
      </c>
      <c r="AAE21" s="1030">
        <v>350.52712394901135</v>
      </c>
      <c r="AAF21" s="1030">
        <v>1009.7571127394817</v>
      </c>
      <c r="AAG21" s="1030">
        <v>3163.9056199170427</v>
      </c>
      <c r="AAH21" s="1030">
        <v>67.317140849298781</v>
      </c>
      <c r="AAI21" s="1030">
        <v>201.95142254789636</v>
      </c>
      <c r="AAJ21" s="1030">
        <v>0</v>
      </c>
      <c r="AAK21" s="1030">
        <v>0</v>
      </c>
      <c r="AAL21" s="1030">
        <v>1750.2456620817684</v>
      </c>
      <c r="AAM21" s="1030">
        <v>538.53712679439025</v>
      </c>
      <c r="AAN21" s="1030">
        <v>1556.3635589561586</v>
      </c>
      <c r="AAO21" s="1030">
        <v>4876.6058180626305</v>
      </c>
      <c r="AAP21" s="1030">
        <v>103.75757059707725</v>
      </c>
      <c r="AAQ21" s="1030">
        <v>311.27271179123176</v>
      </c>
      <c r="AAR21" s="1030">
        <v>0</v>
      </c>
      <c r="AAS21" s="1030">
        <v>0</v>
      </c>
      <c r="AAT21" s="1030">
        <v>2697.6968355240083</v>
      </c>
      <c r="AAU21" s="1030">
        <v>830.06056477661798</v>
      </c>
      <c r="AAV21" s="1030">
        <v>1720.1913020041754</v>
      </c>
      <c r="AAW21" s="1030">
        <v>5389.9327462797492</v>
      </c>
      <c r="AAX21" s="1030">
        <v>114.6794201336117</v>
      </c>
      <c r="AAY21" s="1030">
        <v>344.03826040083504</v>
      </c>
      <c r="AAZ21" s="1030">
        <v>0</v>
      </c>
      <c r="ABA21" s="1030">
        <v>0</v>
      </c>
      <c r="ABB21" s="1030">
        <v>2981.6649234739043</v>
      </c>
      <c r="ABC21" s="1030">
        <v>917.4353610688936</v>
      </c>
      <c r="ABD21" s="1030">
        <v>1802.1051735281835</v>
      </c>
      <c r="ABE21" s="1030">
        <v>5646.5962103883085</v>
      </c>
      <c r="ABF21" s="1030">
        <v>120.1403449018789</v>
      </c>
      <c r="ABG21" s="1030">
        <v>360.42103470563671</v>
      </c>
      <c r="ABH21" s="1030">
        <v>0</v>
      </c>
      <c r="ABI21" s="1030">
        <v>0</v>
      </c>
      <c r="ABJ21" s="1030">
        <v>3123.6489674488516</v>
      </c>
      <c r="ABK21" s="1030">
        <v>961.12275921503124</v>
      </c>
      <c r="ABL21" s="1030">
        <v>2768.6888575114822</v>
      </c>
      <c r="ABM21" s="1030">
        <v>8675.22508686931</v>
      </c>
      <c r="ABN21" s="1030">
        <v>184.57925716743216</v>
      </c>
      <c r="ABO21" s="1030">
        <v>553.73777150229648</v>
      </c>
      <c r="ABP21" s="1030">
        <v>0</v>
      </c>
      <c r="ABQ21" s="1030">
        <v>0</v>
      </c>
      <c r="ABR21" s="1030">
        <v>4799.0606863532357</v>
      </c>
      <c r="ABS21" s="1030">
        <v>1476.6340573394573</v>
      </c>
      <c r="ABT21" s="1030">
        <v>2141.1789568669574</v>
      </c>
      <c r="ABU21" s="1030">
        <v>6709.0273981831333</v>
      </c>
      <c r="ABV21" s="1030">
        <v>142.74526379113053</v>
      </c>
      <c r="ABW21" s="1030">
        <v>428.23579137339152</v>
      </c>
      <c r="ABX21" s="1030">
        <v>0</v>
      </c>
      <c r="ABY21" s="1030">
        <v>0</v>
      </c>
      <c r="ABZ21" s="1030">
        <v>3711.3768585693933</v>
      </c>
      <c r="ACA21" s="1030">
        <v>1141.9621103290442</v>
      </c>
      <c r="ACB21" s="1030">
        <v>2266.6050096996191</v>
      </c>
      <c r="ACC21" s="1030">
        <v>7102.0290303921402</v>
      </c>
      <c r="ACD21" s="1030">
        <v>151.1070006466413</v>
      </c>
      <c r="ACE21" s="1030">
        <v>453.3210019399238</v>
      </c>
      <c r="ACF21" s="1030">
        <v>0</v>
      </c>
      <c r="ACG21" s="1030">
        <v>0</v>
      </c>
      <c r="ACH21" s="1030">
        <v>3928.7820168126736</v>
      </c>
      <c r="ACI21" s="1030">
        <v>1208.8560051731304</v>
      </c>
      <c r="ACJ21" s="1030">
        <v>2374.5385815900772</v>
      </c>
      <c r="ACK21" s="1030">
        <v>7440.2208889822423</v>
      </c>
      <c r="ACL21" s="1030">
        <v>158.30257210600516</v>
      </c>
      <c r="ACM21" s="1030">
        <v>474.90771631801545</v>
      </c>
      <c r="ACN21" s="1030">
        <v>0</v>
      </c>
      <c r="ACO21" s="1030">
        <v>0</v>
      </c>
      <c r="ACP21" s="1030">
        <v>4115.8668747561342</v>
      </c>
      <c r="ACQ21" s="1030">
        <v>1266.4205768480413</v>
      </c>
      <c r="ACR21" s="1030">
        <v>3648.1547298974824</v>
      </c>
      <c r="ACS21" s="1030">
        <v>11430.884820345444</v>
      </c>
      <c r="ACT21" s="1030">
        <v>243.21031532649883</v>
      </c>
      <c r="ACU21" s="1030">
        <v>729.63094597949646</v>
      </c>
      <c r="ACV21" s="1030">
        <v>0</v>
      </c>
      <c r="ACW21" s="1030">
        <v>0</v>
      </c>
      <c r="ACX21" s="1030">
        <v>6323.4681984889694</v>
      </c>
      <c r="ACY21" s="1030">
        <v>1945.6825226119906</v>
      </c>
      <c r="ACZ21" s="1030">
        <v>2773.1568868673371</v>
      </c>
      <c r="ADA21" s="1030">
        <v>8689.2249121843233</v>
      </c>
      <c r="ADB21" s="1030">
        <v>184.87712579115581</v>
      </c>
      <c r="ADC21" s="1030">
        <v>554.63137737346744</v>
      </c>
      <c r="ADD21" s="1030">
        <v>0</v>
      </c>
      <c r="ADE21" s="1030">
        <v>0</v>
      </c>
      <c r="ADF21" s="1030">
        <v>4806.8052705700511</v>
      </c>
      <c r="ADG21" s="1030">
        <v>1479.0170063292464</v>
      </c>
      <c r="ADH21" s="1030">
        <v>2964.80030286602</v>
      </c>
      <c r="ADI21" s="1030">
        <v>9289.7076156468629</v>
      </c>
      <c r="ADJ21" s="1030">
        <v>197.65335352440135</v>
      </c>
      <c r="ADK21" s="1030">
        <v>592.96006057320403</v>
      </c>
      <c r="ADL21" s="1030">
        <v>0</v>
      </c>
      <c r="ADM21" s="1030">
        <v>0</v>
      </c>
      <c r="ADN21" s="1030">
        <v>5138.9871916344355</v>
      </c>
      <c r="ADO21" s="1030">
        <v>1581.2268281952108</v>
      </c>
      <c r="ADP21" s="1030">
        <v>3105.9812696691633</v>
      </c>
      <c r="ADQ21" s="1030">
        <v>9732.0746449633789</v>
      </c>
      <c r="ADR21" s="1030">
        <v>207.06541797794424</v>
      </c>
      <c r="ADS21" s="1030">
        <v>621.19625393383274</v>
      </c>
      <c r="ADT21" s="1030">
        <v>0</v>
      </c>
      <c r="ADU21" s="1030">
        <v>0</v>
      </c>
      <c r="ADV21" s="1030">
        <v>5383.7008674265498</v>
      </c>
      <c r="ADW21" s="1030">
        <v>1656.5233438235539</v>
      </c>
      <c r="ADX21" s="1030">
        <v>4771.9166779462603</v>
      </c>
      <c r="ADY21" s="1030">
        <v>14952.005590898283</v>
      </c>
      <c r="ADZ21" s="1030">
        <v>318.12777852975074</v>
      </c>
      <c r="AEA21" s="1030">
        <v>954.38333558925217</v>
      </c>
      <c r="AEB21" s="1030">
        <v>0</v>
      </c>
      <c r="AEC21" s="1030">
        <v>0</v>
      </c>
      <c r="AED21" s="1030">
        <v>8271.3222417735196</v>
      </c>
      <c r="AEE21" s="1030">
        <v>2545.0222282380059</v>
      </c>
      <c r="AEF21" s="1030">
        <v>3386.2698040318851</v>
      </c>
      <c r="AEG21" s="1030">
        <v>10610.312052633239</v>
      </c>
      <c r="AEH21" s="1030">
        <v>225.75132026879234</v>
      </c>
      <c r="AEI21" s="1030">
        <v>677.25396080637699</v>
      </c>
      <c r="AEJ21" s="1030">
        <v>0</v>
      </c>
      <c r="AEK21" s="1030">
        <v>0</v>
      </c>
      <c r="AEL21" s="1030">
        <v>5869.5343269886007</v>
      </c>
      <c r="AEM21" s="1030">
        <v>1806.0105621503387</v>
      </c>
      <c r="AEN21" s="1030">
        <v>3642.7580513029598</v>
      </c>
      <c r="AEO21" s="1030">
        <v>11413.97522741594</v>
      </c>
      <c r="AEP21" s="1030">
        <v>242.85053675353066</v>
      </c>
      <c r="AEQ21" s="1030">
        <v>728.55161026059193</v>
      </c>
      <c r="AER21" s="1030">
        <v>0</v>
      </c>
      <c r="AES21" s="1030">
        <v>0</v>
      </c>
      <c r="AET21" s="1030">
        <v>6314.1139555917971</v>
      </c>
      <c r="AEU21" s="1030">
        <v>1942.8042940282453</v>
      </c>
      <c r="AEV21" s="1030">
        <v>3816.2227204126239</v>
      </c>
      <c r="AEW21" s="1030">
        <v>11957.497857292889</v>
      </c>
      <c r="AEX21" s="1030">
        <v>254.41484802750827</v>
      </c>
      <c r="AEY21" s="1030">
        <v>763.24454408252473</v>
      </c>
      <c r="AEZ21" s="1030">
        <v>0</v>
      </c>
      <c r="AFA21" s="1030">
        <v>0</v>
      </c>
      <c r="AFB21" s="1030">
        <v>6614.7860487152157</v>
      </c>
      <c r="AFC21" s="1030">
        <v>2035.3187842200662</v>
      </c>
      <c r="AFD21" s="1030">
        <v>5863.1058159066688</v>
      </c>
      <c r="AFE21" s="1030">
        <v>18371.064889840894</v>
      </c>
      <c r="AFF21" s="1030">
        <v>390.87372106044461</v>
      </c>
      <c r="AFG21" s="1030">
        <v>1172.6211631813337</v>
      </c>
      <c r="AFH21" s="1030">
        <v>0</v>
      </c>
      <c r="AFI21" s="1030">
        <v>0</v>
      </c>
      <c r="AFJ21" s="1030">
        <v>10162.71674757156</v>
      </c>
      <c r="AFK21" s="1030">
        <v>3126.9897684835569</v>
      </c>
      <c r="AFL21" s="1023">
        <v>3905.0576570172707</v>
      </c>
      <c r="AFM21" s="1023">
        <v>12235.847325320781</v>
      </c>
      <c r="AFN21" s="1023">
        <v>260.33717713448476</v>
      </c>
      <c r="AFO21" s="1023">
        <v>781.01153140345423</v>
      </c>
      <c r="AFP21" s="1023">
        <v>0</v>
      </c>
      <c r="AFQ21" s="1023">
        <v>0</v>
      </c>
      <c r="AFR21" s="1023">
        <v>6768.766605496603</v>
      </c>
      <c r="AFS21" s="1023">
        <v>2082.6974170758781</v>
      </c>
      <c r="AFT21" s="1023">
        <v>4148.6966695394813</v>
      </c>
      <c r="AFU21" s="1023">
        <v>12999.249564557042</v>
      </c>
      <c r="AFV21" s="1023">
        <v>276.57977796929879</v>
      </c>
      <c r="AFW21" s="1023">
        <v>829.73933390789625</v>
      </c>
      <c r="AFX21" s="1023">
        <v>0</v>
      </c>
      <c r="AFY21" s="1023">
        <v>0</v>
      </c>
      <c r="AFZ21" s="1023">
        <v>7191.0742272017687</v>
      </c>
      <c r="AGA21" s="1023">
        <v>2212.6382237543903</v>
      </c>
      <c r="AGB21" s="1023">
        <v>4346.2536538032655</v>
      </c>
      <c r="AGC21" s="1023">
        <v>13618.261448583566</v>
      </c>
      <c r="AGD21" s="1023">
        <v>289.75024358688438</v>
      </c>
      <c r="AGE21" s="1023">
        <v>869.25073076065314</v>
      </c>
      <c r="AGF21" s="1023">
        <v>0</v>
      </c>
      <c r="AGG21" s="1023">
        <v>0</v>
      </c>
      <c r="AGH21" s="1023">
        <v>7533.5063332589943</v>
      </c>
      <c r="AGI21" s="1023">
        <v>2318.001948695075</v>
      </c>
      <c r="AGJ21" s="1023">
        <v>6677.4260681159276</v>
      </c>
      <c r="AGK21" s="1023">
        <v>20922.601680096574</v>
      </c>
      <c r="AGL21" s="1023">
        <v>445.16173787439521</v>
      </c>
      <c r="AGM21" s="1023">
        <v>1335.4852136231855</v>
      </c>
      <c r="AGN21" s="1023">
        <v>0</v>
      </c>
      <c r="AGO21" s="1023">
        <v>0</v>
      </c>
      <c r="AGP21" s="1023">
        <v>11574.205184734275</v>
      </c>
      <c r="AGQ21" s="1023">
        <v>3561.2939029951617</v>
      </c>
      <c r="AGR21" s="1030">
        <v>1556.3635589561586</v>
      </c>
      <c r="AGS21" s="1030">
        <v>4876.6058180626305</v>
      </c>
      <c r="AGT21" s="1030">
        <v>103.75757059707725</v>
      </c>
      <c r="AGU21" s="1030">
        <v>311.27271179123176</v>
      </c>
      <c r="AGV21" s="1030">
        <v>0</v>
      </c>
      <c r="AGW21" s="1030">
        <v>0</v>
      </c>
      <c r="AGX21" s="1030">
        <v>2697.6968355240083</v>
      </c>
      <c r="AGY21" s="1030">
        <v>830.06056477661798</v>
      </c>
      <c r="AGZ21" s="1030">
        <v>1720.1913020041754</v>
      </c>
      <c r="AHA21" s="1030">
        <v>5389.9327462797492</v>
      </c>
      <c r="AHB21" s="1030">
        <v>114.6794201336117</v>
      </c>
      <c r="AHC21" s="1030">
        <v>344.03826040083504</v>
      </c>
      <c r="AHD21" s="1030">
        <v>0</v>
      </c>
      <c r="AHE21" s="1030">
        <v>0</v>
      </c>
      <c r="AHF21" s="1030">
        <v>2981.6649234739043</v>
      </c>
      <c r="AHG21" s="1030">
        <v>917.4353610688936</v>
      </c>
      <c r="AHH21" s="1030">
        <v>1802.1051735281835</v>
      </c>
      <c r="AHI21" s="1030">
        <v>5646.5962103883085</v>
      </c>
      <c r="AHJ21" s="1030">
        <v>120.1403449018789</v>
      </c>
      <c r="AHK21" s="1030">
        <v>360.42103470563671</v>
      </c>
      <c r="AHL21" s="1030">
        <v>0</v>
      </c>
      <c r="AHM21" s="1030">
        <v>0</v>
      </c>
      <c r="AHN21" s="1030">
        <v>3123.6489674488516</v>
      </c>
      <c r="AHO21" s="1030">
        <v>961.12275921503124</v>
      </c>
      <c r="AHP21" s="1030">
        <v>2768.6888575114822</v>
      </c>
      <c r="AHQ21" s="1030">
        <v>8675.22508686931</v>
      </c>
      <c r="AHR21" s="1030">
        <v>184.57925716743216</v>
      </c>
      <c r="AHS21" s="1030">
        <v>553.73777150229648</v>
      </c>
      <c r="AHT21" s="1030">
        <v>0</v>
      </c>
      <c r="AHU21" s="1030">
        <v>0</v>
      </c>
      <c r="AHV21" s="1030">
        <v>4799.0606863532357</v>
      </c>
      <c r="AHW21" s="1030">
        <v>1476.6340573394573</v>
      </c>
      <c r="AHX21" s="1013">
        <v>165</v>
      </c>
      <c r="AHY21" s="1023">
        <v>0</v>
      </c>
      <c r="AHZ21" s="1023">
        <v>0</v>
      </c>
      <c r="AIA21" s="1023">
        <v>0</v>
      </c>
      <c r="AIB21" s="1023">
        <v>0</v>
      </c>
      <c r="AIC21" s="1023">
        <v>0</v>
      </c>
      <c r="AID21" s="1023">
        <v>0</v>
      </c>
      <c r="AIE21" s="1023">
        <v>0</v>
      </c>
      <c r="AIF21" s="1013">
        <v>420</v>
      </c>
      <c r="AIG21" s="1013">
        <v>32.409999999999997</v>
      </c>
      <c r="AIH21" s="1013">
        <v>27.01</v>
      </c>
      <c r="AII21" s="1013">
        <v>0</v>
      </c>
      <c r="AIJ21" s="1013">
        <v>2.52</v>
      </c>
      <c r="AIK21" s="1013">
        <v>3.06</v>
      </c>
      <c r="AIL21" s="1013">
        <v>0</v>
      </c>
      <c r="AIM21" s="1013">
        <v>0</v>
      </c>
      <c r="AIN21" s="1016">
        <v>350</v>
      </c>
      <c r="AIO21" s="1016">
        <v>64.819999999999993</v>
      </c>
      <c r="AIP21" s="1017">
        <v>54.02</v>
      </c>
      <c r="AIQ21" s="1017">
        <v>0</v>
      </c>
      <c r="AIR21" s="1017">
        <v>5.04</v>
      </c>
      <c r="AIS21" s="1017">
        <v>6.12</v>
      </c>
      <c r="AIT21" s="1017">
        <v>0</v>
      </c>
      <c r="AIU21" s="1017">
        <v>0</v>
      </c>
      <c r="AIV21" s="1013">
        <v>120</v>
      </c>
      <c r="AIW21" s="1013">
        <v>47.37</v>
      </c>
      <c r="AIX21" s="1013">
        <v>39.47</v>
      </c>
      <c r="AIY21" s="1013">
        <v>0</v>
      </c>
      <c r="AIZ21" s="1013">
        <v>3.68</v>
      </c>
      <c r="AJA21" s="1013">
        <v>4.4800000000000004</v>
      </c>
      <c r="AJB21" s="1013">
        <v>0</v>
      </c>
      <c r="AJC21" s="1013">
        <v>0</v>
      </c>
      <c r="AJD21" s="1013">
        <v>129.6</v>
      </c>
      <c r="AJE21" s="1013">
        <v>96.93</v>
      </c>
      <c r="AJF21" s="1013">
        <v>80.78</v>
      </c>
      <c r="AJG21" s="1013">
        <v>0</v>
      </c>
      <c r="AJH21" s="1013">
        <v>7.54</v>
      </c>
      <c r="AJI21" s="1013">
        <v>9.15</v>
      </c>
      <c r="AJJ21" s="1013">
        <v>0</v>
      </c>
      <c r="AJK21" s="1013">
        <v>0</v>
      </c>
      <c r="AJL21" s="1013">
        <v>160</v>
      </c>
      <c r="AJM21" s="1013">
        <v>17.45</v>
      </c>
      <c r="AJN21" s="1013">
        <v>14.54</v>
      </c>
      <c r="AJO21" s="1013">
        <v>0</v>
      </c>
      <c r="AJP21" s="1013">
        <v>1.36</v>
      </c>
      <c r="AJQ21" s="1013">
        <v>1.65</v>
      </c>
      <c r="AJR21" s="1013">
        <v>0</v>
      </c>
      <c r="AJS21" s="1013">
        <v>0</v>
      </c>
      <c r="AJT21" s="1029" t="s">
        <v>858</v>
      </c>
      <c r="AJU21" s="988" t="s">
        <v>861</v>
      </c>
      <c r="AJV21" s="988" t="s">
        <v>860</v>
      </c>
      <c r="AJW21" s="988" t="s">
        <v>859</v>
      </c>
      <c r="AJX21" s="988" t="s">
        <v>870</v>
      </c>
      <c r="AJY21" s="988" t="s">
        <v>871</v>
      </c>
      <c r="AJZ21" s="988" t="s">
        <v>872</v>
      </c>
      <c r="AKA21" s="988" t="s">
        <v>873</v>
      </c>
      <c r="AKB21" s="988" t="s">
        <v>874</v>
      </c>
      <c r="AKC21" s="988" t="s">
        <v>875</v>
      </c>
      <c r="AKD21" s="1013">
        <v>78.475609756097569</v>
      </c>
      <c r="AKE21" s="1013">
        <v>0</v>
      </c>
      <c r="AKF21" s="1013">
        <v>0</v>
      </c>
      <c r="AKG21" s="1013">
        <v>0</v>
      </c>
      <c r="AKH21" s="1013">
        <v>0</v>
      </c>
      <c r="AKI21" s="1013">
        <v>0</v>
      </c>
      <c r="AKJ21" s="1013">
        <v>27.164634146341463</v>
      </c>
      <c r="AKK21" s="1013">
        <v>18.109756097560975</v>
      </c>
      <c r="AKL21" s="1013">
        <v>230.67073170731703</v>
      </c>
      <c r="AKM21" s="1013">
        <v>0</v>
      </c>
      <c r="AKN21" s="1013">
        <v>0</v>
      </c>
      <c r="AKO21" s="1013">
        <v>0</v>
      </c>
      <c r="AKP21" s="1013">
        <v>0</v>
      </c>
      <c r="AKQ21" s="1013">
        <v>0</v>
      </c>
      <c r="AKR21" s="1013">
        <v>79.847560975609738</v>
      </c>
      <c r="AKS21" s="1013">
        <v>53.231707317073159</v>
      </c>
      <c r="AKT21" s="1016">
        <v>228.29268292682926</v>
      </c>
      <c r="AKU21" s="1016">
        <v>0</v>
      </c>
      <c r="AKV21" s="1017">
        <v>0</v>
      </c>
      <c r="AKW21" s="1017">
        <v>0</v>
      </c>
      <c r="AKX21" s="1017">
        <v>0</v>
      </c>
      <c r="AKY21" s="1017">
        <v>0</v>
      </c>
      <c r="AKZ21" s="1017">
        <v>79.024390243902445</v>
      </c>
      <c r="ALA21" s="1017">
        <v>52.68292682926829</v>
      </c>
      <c r="ALB21" s="1013">
        <v>102.2560975609756</v>
      </c>
      <c r="ALC21" s="1013">
        <v>0</v>
      </c>
      <c r="ALD21" s="1013">
        <v>0</v>
      </c>
      <c r="ALE21" s="1013">
        <v>0</v>
      </c>
      <c r="ALF21" s="1013">
        <v>0</v>
      </c>
      <c r="ALG21" s="1013">
        <v>0</v>
      </c>
      <c r="ALH21" s="1013">
        <v>35.396341463414636</v>
      </c>
      <c r="ALI21" s="1013">
        <v>23.597560975609756</v>
      </c>
      <c r="ALJ21" s="1013">
        <v>154.09756097560975</v>
      </c>
      <c r="ALK21" s="1013">
        <v>0</v>
      </c>
      <c r="ALL21" s="1013">
        <v>0</v>
      </c>
      <c r="ALM21" s="1013">
        <v>0</v>
      </c>
      <c r="ALN21" s="1013">
        <v>0</v>
      </c>
      <c r="ALO21" s="1013">
        <v>0</v>
      </c>
      <c r="ALP21" s="1013">
        <v>53.341463414634148</v>
      </c>
      <c r="ALQ21" s="1013">
        <v>35.560975609756099</v>
      </c>
      <c r="ALR21" s="1013">
        <v>92.743902439024396</v>
      </c>
      <c r="ALS21" s="1013">
        <v>0</v>
      </c>
      <c r="ALT21" s="1013">
        <v>0</v>
      </c>
      <c r="ALU21" s="1013">
        <v>0</v>
      </c>
      <c r="ALV21" s="1013">
        <v>0</v>
      </c>
      <c r="ALW21" s="1013">
        <v>0</v>
      </c>
      <c r="ALX21" s="1013">
        <v>32.103658536585364</v>
      </c>
      <c r="ALY21" s="1013">
        <v>21.402439024390244</v>
      </c>
    </row>
    <row r="22" spans="1:1013" ht="18" customHeight="1">
      <c r="A22" s="1259" t="s">
        <v>29</v>
      </c>
      <c r="B22" s="1260" t="s">
        <v>3063</v>
      </c>
      <c r="C22" s="1260">
        <v>2022</v>
      </c>
      <c r="D22" s="1269"/>
      <c r="E22" s="1274">
        <v>0.1</v>
      </c>
      <c r="F22" s="72">
        <v>0.1</v>
      </c>
      <c r="G22" s="72">
        <v>0.1</v>
      </c>
      <c r="H22" s="76">
        <v>0</v>
      </c>
      <c r="I22" s="75">
        <v>-3.5</v>
      </c>
      <c r="J22" s="1273">
        <v>-4.5</v>
      </c>
      <c r="K22" s="1273">
        <v>-4.5</v>
      </c>
      <c r="L22" s="1265">
        <v>350</v>
      </c>
      <c r="M22" s="1262">
        <v>0</v>
      </c>
      <c r="N22" s="1262">
        <v>0</v>
      </c>
      <c r="O22" s="1262">
        <v>0</v>
      </c>
      <c r="P22" s="76">
        <v>2536.3380231691531</v>
      </c>
      <c r="Q22" s="75">
        <v>12</v>
      </c>
      <c r="R22" s="72">
        <v>0.6</v>
      </c>
      <c r="S22" s="72">
        <v>0.5</v>
      </c>
      <c r="T22" s="72">
        <v>0.5</v>
      </c>
      <c r="U22" s="1271">
        <v>1.3</v>
      </c>
      <c r="V22" s="1271">
        <v>0</v>
      </c>
      <c r="W22" s="1271">
        <v>93.6</v>
      </c>
      <c r="X22" s="1271">
        <v>5.2</v>
      </c>
      <c r="Y22" s="1272">
        <v>0</v>
      </c>
      <c r="Z22" s="75">
        <v>2</v>
      </c>
      <c r="AA22" s="72">
        <v>1.5</v>
      </c>
      <c r="AB22" s="75">
        <v>1</v>
      </c>
      <c r="AC22" s="72">
        <v>0.8</v>
      </c>
      <c r="AD22" s="72">
        <v>0.5</v>
      </c>
      <c r="AE22" s="390">
        <v>433.01922201480062</v>
      </c>
      <c r="AF22" s="390">
        <v>470.67306740739195</v>
      </c>
      <c r="AG22" s="390">
        <v>433.37222681535616</v>
      </c>
      <c r="AH22" s="390">
        <v>649.0581599547935</v>
      </c>
      <c r="AI22" s="400">
        <v>0.82209484106305364</v>
      </c>
      <c r="AJ22" s="390">
        <v>261.91600618637949</v>
      </c>
      <c r="AK22" s="390">
        <v>284.69131107215162</v>
      </c>
      <c r="AL22" s="390">
        <v>262.12952466968363</v>
      </c>
      <c r="AM22" s="390">
        <v>392.58931796849708</v>
      </c>
      <c r="AN22" s="400">
        <v>0.96717040125065135</v>
      </c>
      <c r="AO22" s="1275">
        <v>0.2</v>
      </c>
      <c r="AP22" s="1275">
        <v>0.4</v>
      </c>
      <c r="AQ22" s="1275">
        <v>0.9</v>
      </c>
      <c r="AR22" s="1275">
        <v>1.2</v>
      </c>
      <c r="AS22" s="1275">
        <v>1.5</v>
      </c>
      <c r="AT22" s="1275">
        <v>1.9</v>
      </c>
      <c r="AU22" s="1275">
        <v>2.2999999999999998</v>
      </c>
      <c r="AV22" s="1268">
        <v>0</v>
      </c>
      <c r="AW22" s="1268">
        <v>10</v>
      </c>
      <c r="AX22" s="1268">
        <v>20</v>
      </c>
      <c r="AY22" s="1268">
        <v>70</v>
      </c>
      <c r="AZ22" s="1268">
        <v>100</v>
      </c>
      <c r="BA22" s="1019">
        <v>16080.5781381099</v>
      </c>
      <c r="BB22" s="1031">
        <v>2.06</v>
      </c>
      <c r="BC22" s="988">
        <v>0.8</v>
      </c>
      <c r="BD22" s="988">
        <v>0.5</v>
      </c>
      <c r="BE22" s="988">
        <v>0.5</v>
      </c>
      <c r="BF22" s="1021">
        <v>0.19156923089066447</v>
      </c>
      <c r="BG22" s="1021">
        <v>0.1807891790858096</v>
      </c>
      <c r="BH22" s="1020">
        <v>0</v>
      </c>
      <c r="BI22" s="1020">
        <v>0</v>
      </c>
      <c r="BJ22" s="1020">
        <v>8.6</v>
      </c>
      <c r="BK22" s="1020">
        <v>33.700000000000003</v>
      </c>
      <c r="BL22" s="1020">
        <v>3.5</v>
      </c>
      <c r="BM22" s="1020">
        <v>3.5</v>
      </c>
      <c r="BN22" s="1020">
        <v>41.9</v>
      </c>
      <c r="BO22" s="1020">
        <v>0.1</v>
      </c>
      <c r="BP22" s="1020">
        <v>0.2</v>
      </c>
      <c r="BQ22" s="1020">
        <v>0</v>
      </c>
      <c r="BR22" s="1020">
        <v>0</v>
      </c>
      <c r="BS22" s="1020">
        <v>0</v>
      </c>
      <c r="BT22" s="1020">
        <v>0</v>
      </c>
      <c r="BU22" s="1020">
        <v>0</v>
      </c>
      <c r="BV22" s="1020">
        <v>8.5</v>
      </c>
      <c r="BW22" s="993">
        <v>261.13475999999997</v>
      </c>
      <c r="BX22" s="993">
        <v>96.5</v>
      </c>
      <c r="BY22" s="993">
        <v>63.215999999999994</v>
      </c>
      <c r="BZ22" s="993">
        <v>233.35949490734063</v>
      </c>
      <c r="CA22" s="993">
        <v>157.40783999999999</v>
      </c>
      <c r="CB22" s="990"/>
      <c r="CC22" s="993">
        <v>256.20808011776955</v>
      </c>
      <c r="CD22" s="993">
        <v>165.17663999999999</v>
      </c>
      <c r="CE22" s="990"/>
      <c r="CF22" s="989">
        <v>0</v>
      </c>
      <c r="CG22" s="993">
        <v>6.585</v>
      </c>
      <c r="CH22" s="993">
        <v>1.3169999999999999</v>
      </c>
      <c r="CI22" s="993">
        <v>38</v>
      </c>
      <c r="CJ22" s="993">
        <v>225.83915999999996</v>
      </c>
      <c r="CK22" s="990">
        <v>0.2</v>
      </c>
      <c r="CL22" s="993">
        <v>175.08124000000001</v>
      </c>
      <c r="CM22" s="993">
        <v>60.4</v>
      </c>
      <c r="CN22" s="993">
        <v>42.384</v>
      </c>
      <c r="CO22" s="993">
        <v>156.45894761061641</v>
      </c>
      <c r="CP22" s="993">
        <v>105.53616</v>
      </c>
      <c r="CQ22" s="990"/>
      <c r="CR22" s="993">
        <v>159.24945066654416</v>
      </c>
      <c r="CS22" s="993">
        <v>102.66767999999999</v>
      </c>
      <c r="CT22" s="990"/>
      <c r="CU22" s="993">
        <v>0</v>
      </c>
      <c r="CV22" s="993">
        <v>4.415</v>
      </c>
      <c r="CW22" s="993">
        <v>0.88300000000000001</v>
      </c>
      <c r="CX22" s="993">
        <v>27</v>
      </c>
      <c r="CY22" s="993">
        <v>151.41683999999998</v>
      </c>
      <c r="CZ22" s="990">
        <v>0.2</v>
      </c>
      <c r="DA22" s="988">
        <v>0.3</v>
      </c>
      <c r="DB22" s="988">
        <v>0.7</v>
      </c>
      <c r="DC22" s="988">
        <v>1.2</v>
      </c>
      <c r="DD22" s="988">
        <v>1.2</v>
      </c>
      <c r="DE22" s="1022">
        <v>3</v>
      </c>
      <c r="DF22" s="995">
        <v>0</v>
      </c>
      <c r="DG22" s="995">
        <v>10</v>
      </c>
      <c r="DH22" s="995">
        <v>20</v>
      </c>
      <c r="DI22" s="995">
        <v>70</v>
      </c>
      <c r="DJ22" s="995">
        <v>100</v>
      </c>
      <c r="DK22" s="1017"/>
      <c r="DL22" s="1022">
        <v>18</v>
      </c>
      <c r="DM22" s="989">
        <v>12</v>
      </c>
      <c r="DN22" s="1022">
        <v>0</v>
      </c>
      <c r="DO22" s="1022">
        <v>0</v>
      </c>
      <c r="DP22" s="1022">
        <v>0</v>
      </c>
      <c r="DQ22" s="1032" t="s">
        <v>643</v>
      </c>
      <c r="DR22" s="988" t="s">
        <v>640</v>
      </c>
      <c r="DS22" s="988" t="s">
        <v>640</v>
      </c>
      <c r="DT22" s="988" t="s">
        <v>640</v>
      </c>
      <c r="DU22" s="988" t="s">
        <v>640</v>
      </c>
      <c r="DV22" s="988" t="s">
        <v>640</v>
      </c>
      <c r="DW22" s="988" t="s">
        <v>640</v>
      </c>
      <c r="DX22" s="997">
        <v>0</v>
      </c>
      <c r="DY22" s="997">
        <v>0</v>
      </c>
      <c r="DZ22" s="997">
        <v>0</v>
      </c>
      <c r="EA22" s="997">
        <v>0</v>
      </c>
      <c r="EB22" s="997">
        <v>0</v>
      </c>
      <c r="EC22" s="997">
        <v>0</v>
      </c>
      <c r="ED22" s="997">
        <v>0</v>
      </c>
      <c r="EE22" s="1022">
        <v>0</v>
      </c>
      <c r="EF22" s="1022">
        <v>18</v>
      </c>
      <c r="EG22" s="991">
        <v>5</v>
      </c>
      <c r="EH22" s="1034">
        <v>1.6</v>
      </c>
      <c r="EI22" s="1034">
        <v>1.2</v>
      </c>
      <c r="EJ22" s="1034">
        <v>1.2</v>
      </c>
      <c r="EK22" s="1032" t="s">
        <v>682</v>
      </c>
      <c r="EL22" s="988" t="s">
        <v>640</v>
      </c>
      <c r="EM22" s="988" t="s">
        <v>640</v>
      </c>
      <c r="EN22" s="988" t="s">
        <v>640</v>
      </c>
      <c r="EO22" s="988" t="s">
        <v>640</v>
      </c>
      <c r="EP22" s="988" t="s">
        <v>640</v>
      </c>
      <c r="EQ22" s="988" t="s">
        <v>640</v>
      </c>
      <c r="ER22" s="988" t="s">
        <v>640</v>
      </c>
      <c r="ES22" s="988" t="s">
        <v>640</v>
      </c>
      <c r="ET22" s="988" t="s">
        <v>640</v>
      </c>
      <c r="EU22" s="988" t="s">
        <v>640</v>
      </c>
      <c r="EV22" s="988" t="s">
        <v>640</v>
      </c>
      <c r="EW22" s="988" t="s">
        <v>640</v>
      </c>
      <c r="EX22" s="988" t="s">
        <v>640</v>
      </c>
      <c r="EY22" s="988" t="s">
        <v>640</v>
      </c>
      <c r="EZ22" s="988" t="s">
        <v>640</v>
      </c>
      <c r="FA22" s="988" t="s">
        <v>640</v>
      </c>
      <c r="FB22" s="988" t="s">
        <v>640</v>
      </c>
      <c r="FC22" s="988" t="s">
        <v>640</v>
      </c>
      <c r="FD22" s="988" t="s">
        <v>640</v>
      </c>
      <c r="FE22" s="988" t="s">
        <v>640</v>
      </c>
      <c r="FF22" s="988" t="s">
        <v>640</v>
      </c>
      <c r="FG22" s="988" t="s">
        <v>640</v>
      </c>
      <c r="FH22" s="988" t="s">
        <v>640</v>
      </c>
      <c r="FI22" s="988" t="s">
        <v>640</v>
      </c>
      <c r="FJ22" s="988" t="s">
        <v>640</v>
      </c>
      <c r="FK22" s="988" t="s">
        <v>640</v>
      </c>
      <c r="FL22" s="988" t="s">
        <v>640</v>
      </c>
      <c r="FM22" s="988" t="s">
        <v>640</v>
      </c>
      <c r="FN22" s="988" t="s">
        <v>640</v>
      </c>
      <c r="FO22" s="988" t="s">
        <v>640</v>
      </c>
      <c r="FP22" s="988" t="s">
        <v>640</v>
      </c>
      <c r="FQ22" s="988" t="s">
        <v>640</v>
      </c>
      <c r="FR22" s="988" t="s">
        <v>640</v>
      </c>
      <c r="FS22" s="988" t="s">
        <v>640</v>
      </c>
      <c r="FT22" s="988" t="s">
        <v>640</v>
      </c>
      <c r="FU22" s="988" t="s">
        <v>640</v>
      </c>
      <c r="FV22" s="988" t="s">
        <v>640</v>
      </c>
      <c r="FW22" s="988" t="s">
        <v>640</v>
      </c>
      <c r="FX22" s="988" t="s">
        <v>640</v>
      </c>
      <c r="FY22" s="988" t="s">
        <v>640</v>
      </c>
      <c r="FZ22" s="988" t="s">
        <v>640</v>
      </c>
      <c r="GA22" s="988" t="s">
        <v>640</v>
      </c>
      <c r="GB22" s="988" t="s">
        <v>640</v>
      </c>
      <c r="GC22" s="988" t="s">
        <v>640</v>
      </c>
      <c r="GD22" s="988" t="s">
        <v>640</v>
      </c>
      <c r="GE22" s="988" t="s">
        <v>640</v>
      </c>
      <c r="GF22" s="988" t="s">
        <v>640</v>
      </c>
      <c r="GG22" s="988" t="s">
        <v>640</v>
      </c>
      <c r="GH22" s="988" t="s">
        <v>640</v>
      </c>
      <c r="GI22" s="988" t="s">
        <v>640</v>
      </c>
      <c r="GJ22" s="988" t="s">
        <v>640</v>
      </c>
      <c r="GK22" s="988" t="s">
        <v>640</v>
      </c>
      <c r="GL22" s="988" t="s">
        <v>640</v>
      </c>
      <c r="GM22" s="988" t="s">
        <v>640</v>
      </c>
      <c r="GN22" s="988" t="s">
        <v>640</v>
      </c>
      <c r="GO22" s="988" t="s">
        <v>640</v>
      </c>
      <c r="GP22" s="988" t="s">
        <v>640</v>
      </c>
      <c r="GQ22" s="997">
        <v>0</v>
      </c>
      <c r="GR22" s="997">
        <v>0</v>
      </c>
      <c r="GS22" s="997">
        <v>0</v>
      </c>
      <c r="GT22" s="997">
        <v>0</v>
      </c>
      <c r="GU22" s="997">
        <v>0</v>
      </c>
      <c r="GV22" s="997">
        <v>0</v>
      </c>
      <c r="GW22" s="997">
        <v>0</v>
      </c>
      <c r="GX22" s="997">
        <v>0</v>
      </c>
      <c r="GY22" s="997">
        <v>0</v>
      </c>
      <c r="GZ22" s="997">
        <v>0</v>
      </c>
      <c r="HA22" s="997">
        <v>0</v>
      </c>
      <c r="HB22" s="997">
        <v>0</v>
      </c>
      <c r="HC22" s="997">
        <v>0</v>
      </c>
      <c r="HD22" s="997">
        <v>0</v>
      </c>
      <c r="HE22" s="997">
        <v>0</v>
      </c>
      <c r="HF22" s="997">
        <v>0</v>
      </c>
      <c r="HG22" s="997">
        <v>0</v>
      </c>
      <c r="HH22" s="997">
        <v>0</v>
      </c>
      <c r="HI22" s="997">
        <v>0</v>
      </c>
      <c r="HJ22" s="997">
        <v>0</v>
      </c>
      <c r="HK22" s="997">
        <v>0</v>
      </c>
      <c r="HL22" s="997">
        <v>0</v>
      </c>
      <c r="HM22" s="997">
        <v>0</v>
      </c>
      <c r="HN22" s="997">
        <v>0</v>
      </c>
      <c r="HO22" s="997">
        <v>0</v>
      </c>
      <c r="HP22" s="997">
        <v>0</v>
      </c>
      <c r="HQ22" s="997">
        <v>0</v>
      </c>
      <c r="HR22" s="997">
        <v>0</v>
      </c>
      <c r="HS22" s="997">
        <v>0</v>
      </c>
      <c r="HT22" s="997">
        <v>0</v>
      </c>
      <c r="HU22" s="997">
        <v>0</v>
      </c>
      <c r="HV22" s="997">
        <v>0</v>
      </c>
      <c r="HW22" s="997">
        <v>0</v>
      </c>
      <c r="HX22" s="997">
        <v>0</v>
      </c>
      <c r="HY22" s="997">
        <v>0</v>
      </c>
      <c r="HZ22" s="997">
        <v>0</v>
      </c>
      <c r="IA22" s="997">
        <v>0</v>
      </c>
      <c r="IB22" s="997">
        <v>0</v>
      </c>
      <c r="IC22" s="997">
        <v>0</v>
      </c>
      <c r="ID22" s="997">
        <v>0</v>
      </c>
      <c r="IE22" s="997">
        <v>0</v>
      </c>
      <c r="IF22" s="997">
        <v>0</v>
      </c>
      <c r="IG22" s="997">
        <v>0</v>
      </c>
      <c r="IH22" s="997">
        <v>0</v>
      </c>
      <c r="II22" s="997">
        <v>0</v>
      </c>
      <c r="IJ22" s="997">
        <v>0</v>
      </c>
      <c r="IK22" s="997">
        <v>0</v>
      </c>
      <c r="IL22" s="997">
        <v>0</v>
      </c>
      <c r="IM22" s="997">
        <v>0</v>
      </c>
      <c r="IN22" s="997">
        <v>0</v>
      </c>
      <c r="IO22" s="997">
        <v>0</v>
      </c>
      <c r="IP22" s="997">
        <v>0</v>
      </c>
      <c r="IQ22" s="997">
        <v>0</v>
      </c>
      <c r="IR22" s="997">
        <v>0</v>
      </c>
      <c r="IS22" s="997">
        <v>0</v>
      </c>
      <c r="IT22" s="997">
        <v>0</v>
      </c>
      <c r="IU22" s="997">
        <v>0</v>
      </c>
      <c r="IV22" s="997">
        <v>0</v>
      </c>
      <c r="IW22" s="1019">
        <v>0</v>
      </c>
      <c r="IX22" s="1022">
        <v>179.9</v>
      </c>
      <c r="IY22" s="998">
        <v>2647.0800000000199</v>
      </c>
      <c r="IZ22" s="429">
        <v>12.64</v>
      </c>
      <c r="JA22" s="1022">
        <v>50</v>
      </c>
      <c r="JB22" s="1022">
        <v>0</v>
      </c>
      <c r="JC22" s="1022">
        <v>0</v>
      </c>
      <c r="JD22" s="1022">
        <v>0</v>
      </c>
      <c r="JE22" s="998">
        <v>2</v>
      </c>
      <c r="JF22" s="1023">
        <v>1.5</v>
      </c>
      <c r="JG22" s="1023">
        <v>0.7</v>
      </c>
      <c r="JH22" s="1023">
        <v>0.7</v>
      </c>
      <c r="JI22" s="1023">
        <v>0.5</v>
      </c>
      <c r="JJ22" s="1019">
        <v>0</v>
      </c>
      <c r="JK22" s="998">
        <v>2647.0800000000199</v>
      </c>
      <c r="JL22" s="429">
        <v>12.64</v>
      </c>
      <c r="JM22" s="1022">
        <v>50</v>
      </c>
      <c r="JN22" s="1022">
        <v>0</v>
      </c>
      <c r="JO22" s="1022">
        <v>0</v>
      </c>
      <c r="JP22" s="1022">
        <v>0</v>
      </c>
      <c r="JQ22" s="998">
        <v>2</v>
      </c>
      <c r="JR22" s="998">
        <v>2</v>
      </c>
      <c r="JS22" s="998">
        <v>1</v>
      </c>
      <c r="JT22" s="998">
        <v>1</v>
      </c>
      <c r="JU22" s="1023">
        <v>0.5</v>
      </c>
      <c r="JV22" s="1004">
        <v>2000</v>
      </c>
      <c r="JW22" s="1019"/>
      <c r="JX22" s="1019">
        <v>500</v>
      </c>
      <c r="JY22" s="1022">
        <v>1.5</v>
      </c>
      <c r="JZ22" s="1022">
        <v>0.7</v>
      </c>
      <c r="KA22" s="1022">
        <v>0.7</v>
      </c>
      <c r="KB22" s="1023">
        <v>2</v>
      </c>
      <c r="KC22" s="1023">
        <v>1.5</v>
      </c>
      <c r="KD22" s="1023">
        <v>0.5</v>
      </c>
      <c r="KE22" s="1023">
        <v>1</v>
      </c>
      <c r="KF22" s="1023">
        <v>0.5</v>
      </c>
      <c r="KG22" s="997"/>
      <c r="KH22" s="997"/>
      <c r="KI22" s="997"/>
      <c r="KJ22" s="997"/>
      <c r="KK22" s="997"/>
      <c r="KL22" s="997"/>
      <c r="KM22" s="997"/>
      <c r="KN22" s="997"/>
      <c r="KO22" s="997"/>
      <c r="KP22" s="1006">
        <v>580</v>
      </c>
      <c r="KQ22" s="1006">
        <v>580</v>
      </c>
      <c r="KR22" s="1006">
        <v>580</v>
      </c>
      <c r="KS22" s="1006">
        <v>580</v>
      </c>
      <c r="KT22" s="1006"/>
      <c r="KU22" s="1006">
        <v>580</v>
      </c>
      <c r="KV22" s="1006">
        <v>580</v>
      </c>
      <c r="KW22" s="1006">
        <v>580</v>
      </c>
      <c r="KX22" s="1006">
        <v>580</v>
      </c>
      <c r="KY22" s="993">
        <v>370</v>
      </c>
      <c r="KZ22" s="993">
        <v>370</v>
      </c>
      <c r="LA22" s="993">
        <v>370</v>
      </c>
      <c r="LB22" s="993">
        <v>370</v>
      </c>
      <c r="LC22" s="993"/>
      <c r="LD22" s="993">
        <v>370</v>
      </c>
      <c r="LE22" s="993">
        <v>370</v>
      </c>
      <c r="LF22" s="993">
        <v>370</v>
      </c>
      <c r="LG22" s="993">
        <v>370</v>
      </c>
      <c r="LH22" s="995">
        <v>0</v>
      </c>
      <c r="LI22" s="995">
        <v>10</v>
      </c>
      <c r="LJ22" s="995">
        <v>20</v>
      </c>
      <c r="LK22" s="995">
        <v>70</v>
      </c>
      <c r="LL22" s="995">
        <v>100</v>
      </c>
      <c r="LM22" s="1004">
        <v>1000</v>
      </c>
      <c r="LN22" s="1019"/>
      <c r="LO22" s="988">
        <v>29</v>
      </c>
      <c r="LP22" s="1022">
        <v>1</v>
      </c>
      <c r="LQ22" s="988">
        <v>0.7</v>
      </c>
      <c r="LR22" s="988">
        <v>0.7</v>
      </c>
      <c r="LS22" s="1023">
        <v>2</v>
      </c>
      <c r="LT22" s="1023">
        <v>1</v>
      </c>
      <c r="LU22" s="1023">
        <v>0.5</v>
      </c>
      <c r="LV22" s="1023">
        <v>0.7</v>
      </c>
      <c r="LW22" s="1023">
        <v>0.2</v>
      </c>
      <c r="LX22" s="1004">
        <v>1500</v>
      </c>
      <c r="LY22" s="1008">
        <v>500</v>
      </c>
      <c r="LZ22" s="1008">
        <v>1</v>
      </c>
      <c r="MA22" s="997" t="s">
        <v>2914</v>
      </c>
      <c r="MB22" s="1023" t="s">
        <v>905</v>
      </c>
      <c r="MC22" s="1023" t="s">
        <v>2932</v>
      </c>
      <c r="MD22" s="1024" t="s">
        <v>906</v>
      </c>
      <c r="ME22" s="1009">
        <v>0.5</v>
      </c>
      <c r="MF22" s="1010">
        <v>0.75</v>
      </c>
      <c r="MG22" s="1010">
        <v>1</v>
      </c>
      <c r="MH22" s="1010">
        <v>2</v>
      </c>
      <c r="MI22" s="1010">
        <v>0.5</v>
      </c>
      <c r="MJ22" s="1010">
        <v>0.75</v>
      </c>
      <c r="MK22" s="1010">
        <v>1</v>
      </c>
      <c r="ML22" s="1010">
        <v>2</v>
      </c>
      <c r="MM22" s="1010">
        <v>0</v>
      </c>
      <c r="MN22" s="1010">
        <v>0.5</v>
      </c>
      <c r="MO22" s="1010">
        <v>1</v>
      </c>
      <c r="MP22" s="1010">
        <v>2</v>
      </c>
      <c r="MQ22" s="1010">
        <v>0</v>
      </c>
      <c r="MR22" s="1010">
        <v>0.5</v>
      </c>
      <c r="MS22" s="1010">
        <v>1</v>
      </c>
      <c r="MT22" s="1010">
        <v>2</v>
      </c>
      <c r="MU22" s="1001">
        <v>0</v>
      </c>
      <c r="MV22" s="1001">
        <v>0</v>
      </c>
      <c r="MW22" s="1001">
        <v>0</v>
      </c>
      <c r="MX22" s="1025">
        <v>0</v>
      </c>
      <c r="MY22" s="1025">
        <v>0</v>
      </c>
      <c r="MZ22" s="1025">
        <v>0</v>
      </c>
      <c r="NA22" s="1025">
        <v>0</v>
      </c>
      <c r="NB22" s="1025">
        <v>0</v>
      </c>
      <c r="NC22" s="1025">
        <v>0</v>
      </c>
      <c r="ND22" s="1025">
        <v>0</v>
      </c>
      <c r="NE22" s="1025">
        <v>0</v>
      </c>
      <c r="NF22" s="1025">
        <v>0</v>
      </c>
      <c r="NG22" s="1025">
        <v>0</v>
      </c>
      <c r="NH22" s="1025">
        <v>0</v>
      </c>
      <c r="NI22" s="1025">
        <v>0</v>
      </c>
      <c r="NJ22" s="1025">
        <v>0</v>
      </c>
      <c r="NK22" s="1025">
        <v>0</v>
      </c>
      <c r="NL22" s="1025">
        <v>0</v>
      </c>
      <c r="NM22" s="1025">
        <v>0</v>
      </c>
      <c r="NN22" s="1025">
        <v>0</v>
      </c>
      <c r="NO22" s="1025">
        <v>0</v>
      </c>
      <c r="NP22" s="1025">
        <v>0</v>
      </c>
      <c r="NQ22" s="1025">
        <v>0</v>
      </c>
      <c r="NR22" s="1025">
        <v>0</v>
      </c>
      <c r="NS22" s="1025">
        <v>0</v>
      </c>
      <c r="NT22" s="1025">
        <v>0</v>
      </c>
      <c r="NU22" s="1025">
        <v>0</v>
      </c>
      <c r="NV22" s="1025">
        <v>0</v>
      </c>
      <c r="NW22" s="1025">
        <v>0</v>
      </c>
      <c r="NX22" s="1025">
        <v>0</v>
      </c>
      <c r="NY22" s="1025">
        <v>0</v>
      </c>
      <c r="NZ22" s="1025">
        <v>0</v>
      </c>
      <c r="OA22" s="1025">
        <v>0</v>
      </c>
      <c r="OB22" s="1025">
        <v>1.7896052723526501</v>
      </c>
      <c r="OC22" s="1025">
        <v>0</v>
      </c>
      <c r="OD22" s="1025">
        <v>0</v>
      </c>
      <c r="OE22" s="1025">
        <v>0.14099999999999999</v>
      </c>
      <c r="OF22" s="1025">
        <v>0.36545454545453998</v>
      </c>
      <c r="OG22" s="1025">
        <v>-0.37</v>
      </c>
      <c r="OH22" s="1025">
        <v>0</v>
      </c>
      <c r="OI22" s="1025">
        <v>0</v>
      </c>
      <c r="OJ22" s="1025">
        <v>0</v>
      </c>
      <c r="OK22" s="1025">
        <v>0</v>
      </c>
      <c r="OL22" s="1025">
        <v>0</v>
      </c>
      <c r="OM22" s="1025">
        <v>0</v>
      </c>
      <c r="ON22" s="1025">
        <v>0</v>
      </c>
      <c r="OO22" s="1025">
        <v>0</v>
      </c>
      <c r="OP22" s="1025">
        <v>0</v>
      </c>
      <c r="OQ22" s="1025">
        <v>0</v>
      </c>
      <c r="OR22" s="1025">
        <v>0</v>
      </c>
      <c r="OS22" s="1025">
        <v>0</v>
      </c>
      <c r="OT22" s="1025">
        <v>1.2442639749117701</v>
      </c>
      <c r="OU22" s="1025">
        <v>0</v>
      </c>
      <c r="OV22" s="1025">
        <v>0</v>
      </c>
      <c r="OW22" s="1025">
        <v>0.14099999999999999</v>
      </c>
      <c r="OX22" s="1025">
        <v>0.51300000000000001</v>
      </c>
      <c r="OY22" s="1025">
        <v>0</v>
      </c>
      <c r="OZ22" s="1025">
        <v>-11.83</v>
      </c>
      <c r="PA22" s="1025">
        <v>-2.96</v>
      </c>
      <c r="PB22" s="1025">
        <v>0</v>
      </c>
      <c r="PC22" s="1025">
        <v>0</v>
      </c>
      <c r="PD22" s="1025">
        <v>0</v>
      </c>
      <c r="PE22" s="1025">
        <v>-7.9</v>
      </c>
      <c r="PF22" s="1025">
        <v>-0.52916329146937002</v>
      </c>
      <c r="PG22" s="1025">
        <v>0</v>
      </c>
      <c r="PH22" s="1025">
        <v>0</v>
      </c>
      <c r="PI22" s="1025">
        <v>0</v>
      </c>
      <c r="PJ22" s="1025">
        <v>0.1040846516346</v>
      </c>
      <c r="PK22" s="1025">
        <v>0</v>
      </c>
      <c r="PL22" s="1025">
        <v>-0.79641694062066004</v>
      </c>
      <c r="PM22" s="1025">
        <v>0</v>
      </c>
      <c r="PN22" s="1025">
        <v>0</v>
      </c>
      <c r="PO22" s="1025">
        <v>0</v>
      </c>
      <c r="PP22" s="1025">
        <v>0</v>
      </c>
      <c r="PQ22" s="1025">
        <v>-7.8999999999999897</v>
      </c>
      <c r="PR22" s="1025">
        <v>0</v>
      </c>
      <c r="PS22" s="1025">
        <v>0</v>
      </c>
      <c r="PT22" s="1025">
        <v>0</v>
      </c>
      <c r="PU22" s="1025">
        <v>0</v>
      </c>
      <c r="PV22" s="1025">
        <v>0</v>
      </c>
      <c r="PW22" s="1025">
        <v>0</v>
      </c>
      <c r="PX22" s="1025">
        <v>0</v>
      </c>
      <c r="PY22" s="1025">
        <v>0</v>
      </c>
      <c r="PZ22" s="1025">
        <v>0</v>
      </c>
      <c r="QA22" s="1025">
        <v>0</v>
      </c>
      <c r="QB22" s="1025">
        <v>0</v>
      </c>
      <c r="QC22" s="1025">
        <v>0</v>
      </c>
      <c r="QD22" s="1025">
        <v>-11.83</v>
      </c>
      <c r="QE22" s="1025">
        <v>-2.96</v>
      </c>
      <c r="QF22" s="1025">
        <v>0</v>
      </c>
      <c r="QG22" s="1025">
        <v>0</v>
      </c>
      <c r="QH22" s="1025">
        <v>0</v>
      </c>
      <c r="QI22" s="1025">
        <v>0</v>
      </c>
      <c r="QJ22" s="1025">
        <v>0.52916329146937002</v>
      </c>
      <c r="QK22" s="1025">
        <v>0</v>
      </c>
      <c r="QL22" s="1025">
        <v>0</v>
      </c>
      <c r="QM22" s="1025">
        <v>0</v>
      </c>
      <c r="QN22" s="1025">
        <v>-0.10408465163461</v>
      </c>
      <c r="QO22" s="1025">
        <v>-5.7</v>
      </c>
      <c r="QP22" s="1025">
        <v>0</v>
      </c>
      <c r="QQ22" s="1025">
        <v>0</v>
      </c>
      <c r="QR22" s="1025">
        <v>0</v>
      </c>
      <c r="QS22" s="1025">
        <v>0</v>
      </c>
      <c r="QT22" s="1025">
        <v>0</v>
      </c>
      <c r="QU22" s="1025">
        <v>-5.7</v>
      </c>
      <c r="QV22" s="1025">
        <v>0</v>
      </c>
      <c r="QW22" s="1025">
        <v>0</v>
      </c>
      <c r="QX22" s="1025">
        <v>0</v>
      </c>
      <c r="QY22" s="1025">
        <v>0</v>
      </c>
      <c r="QZ22" s="1025">
        <v>0</v>
      </c>
      <c r="RA22" s="1025">
        <v>0</v>
      </c>
      <c r="RB22" s="1025">
        <v>5.8667792776030001E-2</v>
      </c>
      <c r="RC22" s="1025">
        <v>0</v>
      </c>
      <c r="RD22" s="1025">
        <v>1.49425754676E-3</v>
      </c>
      <c r="RE22" s="1025">
        <v>0</v>
      </c>
      <c r="RF22" s="1025">
        <v>0.51300000000000001</v>
      </c>
      <c r="RG22" s="1025">
        <v>0</v>
      </c>
      <c r="RH22" s="1011">
        <v>0</v>
      </c>
      <c r="RI22" s="1026">
        <v>0</v>
      </c>
      <c r="RJ22" s="1026">
        <v>0</v>
      </c>
      <c r="RK22" s="1026">
        <v>0</v>
      </c>
      <c r="RL22" s="1026">
        <v>0</v>
      </c>
      <c r="RM22" s="1011">
        <v>0</v>
      </c>
      <c r="RN22" s="1011">
        <v>0</v>
      </c>
      <c r="RO22" s="1011">
        <v>0</v>
      </c>
      <c r="RP22" s="1011">
        <v>0</v>
      </c>
      <c r="RQ22" s="1011">
        <v>0</v>
      </c>
      <c r="RR22" s="1011">
        <v>0</v>
      </c>
      <c r="RS22" s="1011">
        <v>0</v>
      </c>
      <c r="RT22" s="1011">
        <v>0</v>
      </c>
      <c r="RU22" s="1011">
        <v>0</v>
      </c>
      <c r="RV22" s="1011">
        <v>0</v>
      </c>
      <c r="RW22" s="1011">
        <v>0</v>
      </c>
      <c r="RX22" s="1011">
        <v>0</v>
      </c>
      <c r="RY22" s="1011">
        <v>0</v>
      </c>
      <c r="RZ22" s="1026">
        <v>0</v>
      </c>
      <c r="SA22" s="1026">
        <v>0</v>
      </c>
      <c r="SB22" s="1026">
        <v>0</v>
      </c>
      <c r="SC22" s="1026">
        <v>0</v>
      </c>
      <c r="SD22" s="1026">
        <v>0</v>
      </c>
      <c r="SE22" s="1026">
        <v>0</v>
      </c>
      <c r="SF22" s="1026">
        <v>0</v>
      </c>
      <c r="SG22" s="1026">
        <v>0</v>
      </c>
      <c r="SH22" s="1026">
        <v>0</v>
      </c>
      <c r="SI22" s="1026">
        <v>0</v>
      </c>
      <c r="SJ22" s="1026">
        <v>-0.23972853770339</v>
      </c>
      <c r="SK22" s="1026">
        <v>0</v>
      </c>
      <c r="SL22" s="1025">
        <v>-11.83</v>
      </c>
      <c r="SM22" s="1025">
        <v>-2.96</v>
      </c>
      <c r="SN22" s="1025">
        <v>0</v>
      </c>
      <c r="SO22" s="1025">
        <v>0</v>
      </c>
      <c r="SP22" s="1025">
        <v>-0.61550155023644004</v>
      </c>
      <c r="SQ22" s="1025">
        <v>0</v>
      </c>
      <c r="SR22" s="1025">
        <v>0</v>
      </c>
      <c r="SS22" s="1025">
        <v>0</v>
      </c>
      <c r="ST22" s="1025">
        <v>0</v>
      </c>
      <c r="SU22" s="1025">
        <v>0</v>
      </c>
      <c r="SV22" s="1025">
        <v>0</v>
      </c>
      <c r="SW22" s="1025">
        <v>0</v>
      </c>
      <c r="SX22" s="1025">
        <v>-8.6181985426020908</v>
      </c>
      <c r="SY22" s="1025">
        <v>0</v>
      </c>
      <c r="SZ22" s="1025">
        <v>0</v>
      </c>
      <c r="TA22" s="1025">
        <v>0</v>
      </c>
      <c r="TB22" s="1025">
        <v>0</v>
      </c>
      <c r="TC22" s="1025">
        <v>0</v>
      </c>
      <c r="TD22" s="1025">
        <v>0</v>
      </c>
      <c r="TE22" s="1025">
        <v>0</v>
      </c>
      <c r="TF22" s="1025">
        <v>0</v>
      </c>
      <c r="TG22" s="1025">
        <v>0</v>
      </c>
      <c r="TH22" s="1025">
        <v>0</v>
      </c>
      <c r="TI22" s="1025">
        <v>0</v>
      </c>
      <c r="TJ22" s="1025">
        <v>0</v>
      </c>
      <c r="TK22" s="1025">
        <v>0</v>
      </c>
      <c r="TL22" s="1025">
        <v>0</v>
      </c>
      <c r="TM22" s="1025">
        <v>0</v>
      </c>
      <c r="TN22" s="1025">
        <v>0</v>
      </c>
      <c r="TO22" s="1025">
        <v>0</v>
      </c>
      <c r="TP22" s="1025">
        <v>-11.83</v>
      </c>
      <c r="TQ22" s="1025">
        <v>-2.96</v>
      </c>
      <c r="TR22" s="1025">
        <v>0</v>
      </c>
      <c r="TS22" s="1025">
        <v>0</v>
      </c>
      <c r="TT22" s="1025">
        <v>0</v>
      </c>
      <c r="TU22" s="1025">
        <v>0</v>
      </c>
      <c r="TV22" s="1025">
        <v>0</v>
      </c>
      <c r="TW22" s="1025">
        <v>0</v>
      </c>
      <c r="TX22" s="1025">
        <v>0</v>
      </c>
      <c r="TY22" s="1025">
        <v>0</v>
      </c>
      <c r="TZ22" s="1025">
        <v>0</v>
      </c>
      <c r="UA22" s="1025">
        <v>0</v>
      </c>
      <c r="UB22" s="1025">
        <v>0</v>
      </c>
      <c r="UC22" s="1025">
        <v>0</v>
      </c>
      <c r="UD22" s="1025">
        <v>0</v>
      </c>
      <c r="UE22" s="1025">
        <v>0</v>
      </c>
      <c r="UF22" s="1025">
        <v>0</v>
      </c>
      <c r="UG22" s="1025">
        <v>0</v>
      </c>
      <c r="UH22" s="1025">
        <v>0</v>
      </c>
      <c r="UI22" s="1025">
        <v>0</v>
      </c>
      <c r="UJ22" s="1025">
        <v>0</v>
      </c>
      <c r="UK22" s="1025">
        <v>0</v>
      </c>
      <c r="UL22" s="1025">
        <v>0</v>
      </c>
      <c r="UM22" s="1025">
        <v>0</v>
      </c>
      <c r="UN22" s="1025">
        <v>0</v>
      </c>
      <c r="UO22" s="1025">
        <v>0</v>
      </c>
      <c r="UP22" s="1025">
        <v>0</v>
      </c>
      <c r="UQ22" s="1025">
        <v>0</v>
      </c>
      <c r="UR22" s="1025">
        <v>0</v>
      </c>
      <c r="US22" s="1025">
        <v>0</v>
      </c>
      <c r="UT22" s="1025">
        <v>0.10672205733723999</v>
      </c>
      <c r="UU22" s="1025">
        <v>0</v>
      </c>
      <c r="UV22" s="1025">
        <v>0</v>
      </c>
      <c r="UW22" s="1025">
        <v>0</v>
      </c>
      <c r="UX22" s="1025">
        <v>0</v>
      </c>
      <c r="UY22" s="1025">
        <v>-0.37000000000004002</v>
      </c>
      <c r="UZ22" s="1025">
        <v>0</v>
      </c>
      <c r="VA22" s="1025">
        <v>0</v>
      </c>
      <c r="VB22" s="1025">
        <v>0</v>
      </c>
      <c r="VC22" s="1025">
        <v>0</v>
      </c>
      <c r="VD22" s="1025">
        <v>0.17080000000000001</v>
      </c>
      <c r="VE22" s="1025">
        <v>-7.9</v>
      </c>
      <c r="VF22" s="1025">
        <v>2.9214636085999999E-4</v>
      </c>
      <c r="VG22" s="1025">
        <v>0</v>
      </c>
      <c r="VH22" s="1025">
        <v>7.2977559019999998E-5</v>
      </c>
      <c r="VI22" s="1025">
        <v>0</v>
      </c>
      <c r="VJ22" s="1025">
        <v>1.8104991192000001E-4</v>
      </c>
      <c r="VK22" s="1025">
        <v>-5.6895208072337899</v>
      </c>
      <c r="VL22" s="1025">
        <v>0</v>
      </c>
      <c r="VM22" s="1025">
        <v>0</v>
      </c>
      <c r="VN22" s="1025">
        <v>0</v>
      </c>
      <c r="VO22" s="1025">
        <v>0</v>
      </c>
      <c r="VP22" s="1025">
        <v>0</v>
      </c>
      <c r="VQ22" s="1025">
        <v>0</v>
      </c>
      <c r="VR22" s="1010">
        <v>0</v>
      </c>
      <c r="VS22" s="1010">
        <v>0</v>
      </c>
      <c r="VT22" s="1010">
        <v>0</v>
      </c>
      <c r="VU22" s="1010">
        <v>0</v>
      </c>
      <c r="VV22" s="1010">
        <v>0</v>
      </c>
      <c r="VW22" s="1010">
        <v>0.54793614268282997</v>
      </c>
      <c r="VX22" s="1025">
        <v>0</v>
      </c>
      <c r="VY22" s="1025">
        <v>0</v>
      </c>
      <c r="VZ22" s="1025">
        <v>0</v>
      </c>
      <c r="WA22" s="1025">
        <v>0</v>
      </c>
      <c r="WB22" s="1025">
        <v>0</v>
      </c>
      <c r="WC22" s="1025">
        <v>0</v>
      </c>
      <c r="WD22" s="995">
        <v>202</v>
      </c>
      <c r="WE22" s="995">
        <v>267</v>
      </c>
      <c r="WF22" s="995">
        <v>354</v>
      </c>
      <c r="WG22" s="995">
        <v>382</v>
      </c>
      <c r="WH22" s="995">
        <v>403</v>
      </c>
      <c r="WI22" s="995">
        <v>0</v>
      </c>
      <c r="WJ22" s="995">
        <v>1300</v>
      </c>
      <c r="WK22" s="1001">
        <v>0</v>
      </c>
      <c r="WL22" s="1001">
        <v>0</v>
      </c>
      <c r="WM22" s="1001">
        <v>0</v>
      </c>
      <c r="WN22" s="1001">
        <v>0</v>
      </c>
      <c r="WO22" s="1001">
        <v>0</v>
      </c>
      <c r="WP22" s="1001">
        <v>0</v>
      </c>
      <c r="WQ22" s="1001">
        <v>0</v>
      </c>
      <c r="WR22" s="1001">
        <v>0</v>
      </c>
      <c r="WS22" s="1001">
        <v>0</v>
      </c>
      <c r="WT22" s="1001">
        <v>0</v>
      </c>
      <c r="WU22" s="1001">
        <v>0</v>
      </c>
      <c r="WV22" s="1001">
        <v>0</v>
      </c>
      <c r="WW22" s="1001">
        <v>0</v>
      </c>
      <c r="WX22" s="1001">
        <v>0</v>
      </c>
      <c r="WY22" s="1001">
        <v>0</v>
      </c>
      <c r="WZ22" s="1001">
        <v>0</v>
      </c>
      <c r="XA22" s="1001">
        <v>0</v>
      </c>
      <c r="XB22" s="1001">
        <v>0</v>
      </c>
      <c r="XC22" s="1001">
        <v>0</v>
      </c>
      <c r="XD22" s="1001">
        <v>0</v>
      </c>
      <c r="XE22" s="1001">
        <v>0</v>
      </c>
      <c r="XF22" s="1001">
        <v>0</v>
      </c>
      <c r="XG22" s="1001">
        <v>0</v>
      </c>
      <c r="XH22" s="1001">
        <v>0</v>
      </c>
      <c r="XI22" s="1001">
        <v>0</v>
      </c>
      <c r="XJ22" s="1001">
        <v>0</v>
      </c>
      <c r="XK22" s="1001">
        <v>0</v>
      </c>
      <c r="XL22" s="1001">
        <v>0</v>
      </c>
      <c r="XM22" s="1001">
        <v>0</v>
      </c>
      <c r="XN22" s="1001">
        <v>0</v>
      </c>
      <c r="XO22" s="1001">
        <v>0</v>
      </c>
      <c r="XP22" s="1001">
        <v>0</v>
      </c>
      <c r="XQ22" s="1001">
        <v>0</v>
      </c>
      <c r="XR22" s="1027">
        <v>87.807500000000005</v>
      </c>
      <c r="XS22" s="1013">
        <v>69.65939457202505</v>
      </c>
      <c r="XT22" s="1013">
        <v>76.991962421711904</v>
      </c>
      <c r="XU22" s="1013">
        <v>80.65824634655533</v>
      </c>
      <c r="XV22" s="1013">
        <v>123.92039665970773</v>
      </c>
      <c r="XW22" s="1028">
        <v>14318.32</v>
      </c>
      <c r="XX22" s="1013">
        <v>78</v>
      </c>
      <c r="XY22" s="1013">
        <v>15</v>
      </c>
      <c r="XZ22" s="1013">
        <v>7.0000000000000009</v>
      </c>
      <c r="YA22" s="1029">
        <v>0</v>
      </c>
      <c r="YB22" s="1030">
        <v>1486.996527614348</v>
      </c>
      <c r="YC22" s="1030">
        <v>0</v>
      </c>
      <c r="YD22" s="1030">
        <v>0</v>
      </c>
      <c r="YE22" s="1030">
        <v>0</v>
      </c>
      <c r="YF22" s="1030">
        <v>0</v>
      </c>
      <c r="YG22" s="1030">
        <v>0</v>
      </c>
      <c r="YH22" s="1030">
        <v>1115.2473957107609</v>
      </c>
      <c r="YI22" s="1030">
        <v>495.66550920478267</v>
      </c>
      <c r="YJ22" s="1030">
        <v>1595.1835814810265</v>
      </c>
      <c r="YK22" s="1030">
        <v>0</v>
      </c>
      <c r="YL22" s="1030">
        <v>0</v>
      </c>
      <c r="YM22" s="1030">
        <v>0</v>
      </c>
      <c r="YN22" s="1030">
        <v>0</v>
      </c>
      <c r="YO22" s="1030">
        <v>0</v>
      </c>
      <c r="YP22" s="1030">
        <v>1196.3876861107699</v>
      </c>
      <c r="YQ22" s="1030">
        <v>531.72786049367551</v>
      </c>
      <c r="YR22" s="1030">
        <v>1671.1447044086947</v>
      </c>
      <c r="YS22" s="1030">
        <v>0</v>
      </c>
      <c r="YT22" s="1030">
        <v>0</v>
      </c>
      <c r="YU22" s="1030">
        <v>0</v>
      </c>
      <c r="YV22" s="1030">
        <v>0</v>
      </c>
      <c r="YW22" s="1030">
        <v>0</v>
      </c>
      <c r="YX22" s="1030">
        <v>1253.3585283065211</v>
      </c>
      <c r="YY22" s="1030">
        <v>557.04823480289826</v>
      </c>
      <c r="YZ22" s="1030">
        <v>2567.4859549551761</v>
      </c>
      <c r="ZA22" s="1030">
        <v>0</v>
      </c>
      <c r="ZB22" s="1030">
        <v>0</v>
      </c>
      <c r="ZC22" s="1030">
        <v>0</v>
      </c>
      <c r="ZD22" s="1030">
        <v>0</v>
      </c>
      <c r="ZE22" s="1030">
        <v>0</v>
      </c>
      <c r="ZF22" s="1030">
        <v>1925.614466216382</v>
      </c>
      <c r="ZG22" s="1030">
        <v>855.82865165172541</v>
      </c>
      <c r="ZH22" s="1030">
        <v>1024.3753856898841</v>
      </c>
      <c r="ZI22" s="1030">
        <v>1536.5630785348262</v>
      </c>
      <c r="ZJ22" s="1030">
        <v>469.50538510786362</v>
      </c>
      <c r="ZK22" s="1030">
        <v>128.04692321123551</v>
      </c>
      <c r="ZL22" s="1030">
        <v>0</v>
      </c>
      <c r="ZM22" s="1030">
        <v>0</v>
      </c>
      <c r="ZN22" s="1030">
        <v>768.28153926741311</v>
      </c>
      <c r="ZO22" s="1030">
        <v>341.45846189662808</v>
      </c>
      <c r="ZP22" s="1030">
        <v>1098.9042450202628</v>
      </c>
      <c r="ZQ22" s="1030">
        <v>1648.356367530394</v>
      </c>
      <c r="ZR22" s="1030">
        <v>503.66444563428712</v>
      </c>
      <c r="ZS22" s="1030">
        <v>137.36303062753285</v>
      </c>
      <c r="ZT22" s="1030">
        <v>0</v>
      </c>
      <c r="ZU22" s="1030">
        <v>0</v>
      </c>
      <c r="ZV22" s="1030">
        <v>824.17818376519699</v>
      </c>
      <c r="ZW22" s="1030">
        <v>366.30141500675427</v>
      </c>
      <c r="ZX22" s="1030">
        <v>1151.2330185926562</v>
      </c>
      <c r="ZY22" s="1030">
        <v>1726.8495278889843</v>
      </c>
      <c r="ZZ22" s="1030">
        <v>527.64846685496741</v>
      </c>
      <c r="AAA22" s="1030">
        <v>143.90412732408203</v>
      </c>
      <c r="AAB22" s="1030">
        <v>0</v>
      </c>
      <c r="AAC22" s="1030">
        <v>0</v>
      </c>
      <c r="AAD22" s="1030">
        <v>863.42476394449216</v>
      </c>
      <c r="AAE22" s="1030">
        <v>383.74433953088544</v>
      </c>
      <c r="AAF22" s="1030">
        <v>1768.7125467468989</v>
      </c>
      <c r="AAG22" s="1030">
        <v>2653.0688201203484</v>
      </c>
      <c r="AAH22" s="1030">
        <v>810.65991725899528</v>
      </c>
      <c r="AAI22" s="1030">
        <v>221.08906834336236</v>
      </c>
      <c r="AAJ22" s="1030">
        <v>0</v>
      </c>
      <c r="AAK22" s="1030">
        <v>0</v>
      </c>
      <c r="AAL22" s="1030">
        <v>1326.5344100601742</v>
      </c>
      <c r="AAM22" s="1030">
        <v>589.57084891563295</v>
      </c>
      <c r="AAN22" s="1030">
        <v>2726.1603006263049</v>
      </c>
      <c r="AAO22" s="1030">
        <v>4089.2404509394569</v>
      </c>
      <c r="AAP22" s="1030">
        <v>1249.4901377870565</v>
      </c>
      <c r="AAQ22" s="1030">
        <v>340.77003757828811</v>
      </c>
      <c r="AAR22" s="1030">
        <v>0</v>
      </c>
      <c r="AAS22" s="1030">
        <v>0</v>
      </c>
      <c r="AAT22" s="1030">
        <v>2044.6202254697284</v>
      </c>
      <c r="AAU22" s="1030">
        <v>908.72010020876826</v>
      </c>
      <c r="AAV22" s="1030">
        <v>3013.1245427974945</v>
      </c>
      <c r="AAW22" s="1030">
        <v>4519.6868141962423</v>
      </c>
      <c r="AAX22" s="1030">
        <v>1381.0154154488519</v>
      </c>
      <c r="AAY22" s="1030">
        <v>376.64056784968682</v>
      </c>
      <c r="AAZ22" s="1030">
        <v>0</v>
      </c>
      <c r="ABA22" s="1030">
        <v>0</v>
      </c>
      <c r="ABB22" s="1030">
        <v>2259.8434070981211</v>
      </c>
      <c r="ABC22" s="1030">
        <v>1004.3748475991649</v>
      </c>
      <c r="ABD22" s="1030">
        <v>3156.6066638830898</v>
      </c>
      <c r="ABE22" s="1030">
        <v>4734.9099958246343</v>
      </c>
      <c r="ABF22" s="1030">
        <v>1446.7780542797495</v>
      </c>
      <c r="ABG22" s="1030">
        <v>394.57583298538623</v>
      </c>
      <c r="ABH22" s="1030">
        <v>0</v>
      </c>
      <c r="ABI22" s="1030">
        <v>0</v>
      </c>
      <c r="ABJ22" s="1030">
        <v>2367.4549979123171</v>
      </c>
      <c r="ABK22" s="1030">
        <v>1052.2022212943632</v>
      </c>
      <c r="ABL22" s="1030">
        <v>4849.6956926931098</v>
      </c>
      <c r="ABM22" s="1030">
        <v>7274.5435390396651</v>
      </c>
      <c r="ABN22" s="1030">
        <v>2222.7771924843423</v>
      </c>
      <c r="ABO22" s="1030">
        <v>606.21196158663872</v>
      </c>
      <c r="ABP22" s="1030">
        <v>0</v>
      </c>
      <c r="ABQ22" s="1030">
        <v>0</v>
      </c>
      <c r="ABR22" s="1030">
        <v>3637.2717695198326</v>
      </c>
      <c r="ABS22" s="1030">
        <v>1616.5652308977035</v>
      </c>
      <c r="ABT22" s="1030">
        <v>3750.5356863161887</v>
      </c>
      <c r="ABU22" s="1030">
        <v>5625.8035294742831</v>
      </c>
      <c r="ABV22" s="1030">
        <v>1718.99552289492</v>
      </c>
      <c r="ABW22" s="1030">
        <v>468.81696078952359</v>
      </c>
      <c r="ABX22" s="1030">
        <v>0</v>
      </c>
      <c r="ABY22" s="1030">
        <v>0</v>
      </c>
      <c r="ABZ22" s="1030">
        <v>2812.9017647371415</v>
      </c>
      <c r="ACA22" s="1030">
        <v>1250.1785621053964</v>
      </c>
      <c r="ACB22" s="1030">
        <v>3970.2346916861111</v>
      </c>
      <c r="ACC22" s="1030">
        <v>5955.3520375291664</v>
      </c>
      <c r="ACD22" s="1030">
        <v>1819.6909003561343</v>
      </c>
      <c r="ACE22" s="1030">
        <v>496.27933646076389</v>
      </c>
      <c r="ACF22" s="1030">
        <v>0</v>
      </c>
      <c r="ACG22" s="1030">
        <v>0</v>
      </c>
      <c r="ACH22" s="1030">
        <v>2977.6760187645832</v>
      </c>
      <c r="ACI22" s="1030">
        <v>1323.4115638953704</v>
      </c>
      <c r="ACJ22" s="1030">
        <v>4159.2934865283069</v>
      </c>
      <c r="ACK22" s="1030">
        <v>6238.9402297924598</v>
      </c>
      <c r="ACL22" s="1030">
        <v>1906.3428479921406</v>
      </c>
      <c r="ACM22" s="1030">
        <v>519.91168581603836</v>
      </c>
      <c r="ACN22" s="1030">
        <v>0</v>
      </c>
      <c r="ACO22" s="1030">
        <v>0</v>
      </c>
      <c r="ACP22" s="1030">
        <v>3119.4701148962299</v>
      </c>
      <c r="ACQ22" s="1030">
        <v>1386.4311621761024</v>
      </c>
      <c r="ACR22" s="1030">
        <v>6390.1872656662163</v>
      </c>
      <c r="ACS22" s="1030">
        <v>9585.2808984993244</v>
      </c>
      <c r="ACT22" s="1030">
        <v>2928.8358300970158</v>
      </c>
      <c r="ACU22" s="1030">
        <v>798.77340820827703</v>
      </c>
      <c r="ACV22" s="1030">
        <v>0</v>
      </c>
      <c r="ACW22" s="1030">
        <v>0</v>
      </c>
      <c r="ACX22" s="1030">
        <v>4792.6404492496622</v>
      </c>
      <c r="ACY22" s="1030">
        <v>2130.0624218887388</v>
      </c>
      <c r="ACZ22" s="1030">
        <v>4857.5219902068702</v>
      </c>
      <c r="ADA22" s="1030">
        <v>7286.2829853103058</v>
      </c>
      <c r="ADB22" s="1030">
        <v>2226.3642455114823</v>
      </c>
      <c r="ADC22" s="1030">
        <v>607.19024877585878</v>
      </c>
      <c r="ADD22" s="1030">
        <v>0</v>
      </c>
      <c r="ADE22" s="1030">
        <v>0</v>
      </c>
      <c r="ADF22" s="1030">
        <v>3643.1414926551529</v>
      </c>
      <c r="ADG22" s="1030">
        <v>1619.1739967356236</v>
      </c>
      <c r="ADH22" s="1030">
        <v>5193.208770821564</v>
      </c>
      <c r="ADI22" s="1030">
        <v>7789.813156232347</v>
      </c>
      <c r="ADJ22" s="1030">
        <v>2380.2206866265506</v>
      </c>
      <c r="ADK22" s="1030">
        <v>649.1510963526955</v>
      </c>
      <c r="ADL22" s="1030">
        <v>0</v>
      </c>
      <c r="ADM22" s="1030">
        <v>0</v>
      </c>
      <c r="ADN22" s="1030">
        <v>3894.9065781161735</v>
      </c>
      <c r="ADO22" s="1030">
        <v>1731.0695902738548</v>
      </c>
      <c r="ADP22" s="1030">
        <v>5440.5044265749721</v>
      </c>
      <c r="ADQ22" s="1030">
        <v>8160.7566398624585</v>
      </c>
      <c r="ADR22" s="1030">
        <v>2493.5645288468622</v>
      </c>
      <c r="ADS22" s="1030">
        <v>680.06305332187151</v>
      </c>
      <c r="ADT22" s="1030">
        <v>0</v>
      </c>
      <c r="ADU22" s="1030">
        <v>0</v>
      </c>
      <c r="ADV22" s="1030">
        <v>4080.3783199312293</v>
      </c>
      <c r="ADW22" s="1030">
        <v>1813.5014755249908</v>
      </c>
      <c r="ADX22" s="1030">
        <v>8358.5931644651846</v>
      </c>
      <c r="ADY22" s="1030">
        <v>12537.889746697776</v>
      </c>
      <c r="ADZ22" s="1030">
        <v>3831.0218670465429</v>
      </c>
      <c r="AEA22" s="1030">
        <v>1044.8241455581481</v>
      </c>
      <c r="AEB22" s="1030">
        <v>0</v>
      </c>
      <c r="AEC22" s="1030">
        <v>0</v>
      </c>
      <c r="AED22" s="1030">
        <v>6268.944873348888</v>
      </c>
      <c r="AEE22" s="1030">
        <v>2786.197721488395</v>
      </c>
      <c r="AEF22" s="1030">
        <v>5931.4639268172323</v>
      </c>
      <c r="AEG22" s="1030">
        <v>8897.1958902258484</v>
      </c>
      <c r="AEH22" s="1030">
        <v>2718.5876331245649</v>
      </c>
      <c r="AEI22" s="1030">
        <v>741.43299085215403</v>
      </c>
      <c r="AEJ22" s="1030">
        <v>0</v>
      </c>
      <c r="AEK22" s="1030">
        <v>0</v>
      </c>
      <c r="AEL22" s="1030">
        <v>4448.5979451129242</v>
      </c>
      <c r="AEM22" s="1030">
        <v>1977.1546422724109</v>
      </c>
      <c r="AEN22" s="1030">
        <v>6380.7343259241061</v>
      </c>
      <c r="AEO22" s="1030">
        <v>9571.1014888861591</v>
      </c>
      <c r="AEP22" s="1030">
        <v>2924.5032327152153</v>
      </c>
      <c r="AEQ22" s="1030">
        <v>797.59179074051326</v>
      </c>
      <c r="AER22" s="1030">
        <v>0</v>
      </c>
      <c r="AES22" s="1030">
        <v>0</v>
      </c>
      <c r="AET22" s="1030">
        <v>4785.5507444430796</v>
      </c>
      <c r="AEU22" s="1030">
        <v>2126.911441974702</v>
      </c>
      <c r="AEV22" s="1030">
        <v>6684.5788176347787</v>
      </c>
      <c r="AEW22" s="1030">
        <v>10026.868226452169</v>
      </c>
      <c r="AEX22" s="1030">
        <v>3063.7652914159403</v>
      </c>
      <c r="AEY22" s="1030">
        <v>835.57235220434734</v>
      </c>
      <c r="AEZ22" s="1030">
        <v>0</v>
      </c>
      <c r="AFA22" s="1030">
        <v>0</v>
      </c>
      <c r="AFB22" s="1030">
        <v>5013.4341132260843</v>
      </c>
      <c r="AFC22" s="1030">
        <v>2228.1929392115931</v>
      </c>
      <c r="AFD22" s="1030">
        <v>10269.943819820704</v>
      </c>
      <c r="AFE22" s="1030">
        <v>15404.915729731056</v>
      </c>
      <c r="AFF22" s="1030">
        <v>4707.0575840844895</v>
      </c>
      <c r="AFG22" s="1030">
        <v>1283.7429774775881</v>
      </c>
      <c r="AFH22" s="1030">
        <v>0</v>
      </c>
      <c r="AFI22" s="1030">
        <v>0</v>
      </c>
      <c r="AFJ22" s="1030">
        <v>7702.4578648655279</v>
      </c>
      <c r="AFK22" s="1030">
        <v>3423.3146066069016</v>
      </c>
      <c r="AFL22" s="1023">
        <v>6840.1840270260018</v>
      </c>
      <c r="AFM22" s="1023">
        <v>10260.276040539002</v>
      </c>
      <c r="AFN22" s="1023">
        <v>3135.0843457202509</v>
      </c>
      <c r="AFO22" s="1023">
        <v>855.02300337825022</v>
      </c>
      <c r="AFP22" s="1023">
        <v>0</v>
      </c>
      <c r="AFQ22" s="1023">
        <v>0</v>
      </c>
      <c r="AFR22" s="1023">
        <v>5130.1380202695009</v>
      </c>
      <c r="AFS22" s="1023">
        <v>2280.0613423420004</v>
      </c>
      <c r="AFT22" s="1023">
        <v>7266.9474267468986</v>
      </c>
      <c r="AFU22" s="1023">
        <v>10900.421140120348</v>
      </c>
      <c r="AFV22" s="1023">
        <v>3330.6842372589954</v>
      </c>
      <c r="AFW22" s="1023">
        <v>908.36842834336232</v>
      </c>
      <c r="AFX22" s="1023">
        <v>0</v>
      </c>
      <c r="AFY22" s="1023">
        <v>0</v>
      </c>
      <c r="AFZ22" s="1023">
        <v>5450.2105700601742</v>
      </c>
      <c r="AGA22" s="1023">
        <v>2422.3158089156332</v>
      </c>
      <c r="AGB22" s="1023">
        <v>7612.9925423062741</v>
      </c>
      <c r="AGC22" s="1023">
        <v>11419.488813459411</v>
      </c>
      <c r="AGD22" s="1023">
        <v>3489.2882485570426</v>
      </c>
      <c r="AGE22" s="1023">
        <v>951.62406778828426</v>
      </c>
      <c r="AGF22" s="1023">
        <v>0</v>
      </c>
      <c r="AGG22" s="1023">
        <v>0</v>
      </c>
      <c r="AGH22" s="1023">
        <v>5709.7444067297056</v>
      </c>
      <c r="AGI22" s="1023">
        <v>2537.6641807687583</v>
      </c>
      <c r="AGJ22" s="1023">
        <v>11696.324905906913</v>
      </c>
      <c r="AGK22" s="1023">
        <v>17544.48735886037</v>
      </c>
      <c r="AGL22" s="1023">
        <v>5360.8155818740024</v>
      </c>
      <c r="AGM22" s="1023">
        <v>1462.0406132383641</v>
      </c>
      <c r="AGN22" s="1023">
        <v>0</v>
      </c>
      <c r="AGO22" s="1023">
        <v>0</v>
      </c>
      <c r="AGP22" s="1023">
        <v>8772.2436794301848</v>
      </c>
      <c r="AGQ22" s="1023">
        <v>3898.7749686356378</v>
      </c>
      <c r="AGR22" s="1030">
        <v>2726.1603006263049</v>
      </c>
      <c r="AGS22" s="1030">
        <v>4089.2404509394569</v>
      </c>
      <c r="AGT22" s="1030">
        <v>1249.4901377870565</v>
      </c>
      <c r="AGU22" s="1030">
        <v>340.77003757828811</v>
      </c>
      <c r="AGV22" s="1030">
        <v>0</v>
      </c>
      <c r="AGW22" s="1030">
        <v>0</v>
      </c>
      <c r="AGX22" s="1030">
        <v>2044.6202254697284</v>
      </c>
      <c r="AGY22" s="1030">
        <v>908.72010020876826</v>
      </c>
      <c r="AGZ22" s="1030">
        <v>3013.1245427974945</v>
      </c>
      <c r="AHA22" s="1030">
        <v>4519.6868141962423</v>
      </c>
      <c r="AHB22" s="1030">
        <v>1381.0154154488519</v>
      </c>
      <c r="AHC22" s="1030">
        <v>376.64056784968682</v>
      </c>
      <c r="AHD22" s="1030">
        <v>0</v>
      </c>
      <c r="AHE22" s="1030">
        <v>0</v>
      </c>
      <c r="AHF22" s="1030">
        <v>2259.8434070981211</v>
      </c>
      <c r="AHG22" s="1030">
        <v>1004.3748475991649</v>
      </c>
      <c r="AHH22" s="1030">
        <v>3156.6066638830898</v>
      </c>
      <c r="AHI22" s="1030">
        <v>4734.9099958246343</v>
      </c>
      <c r="AHJ22" s="1030">
        <v>1446.7780542797495</v>
      </c>
      <c r="AHK22" s="1030">
        <v>394.57583298538623</v>
      </c>
      <c r="AHL22" s="1030">
        <v>0</v>
      </c>
      <c r="AHM22" s="1030">
        <v>0</v>
      </c>
      <c r="AHN22" s="1030">
        <v>2367.4549979123171</v>
      </c>
      <c r="AHO22" s="1030">
        <v>1052.2022212943632</v>
      </c>
      <c r="AHP22" s="1030">
        <v>4849.6956926931098</v>
      </c>
      <c r="AHQ22" s="1030">
        <v>7274.5435390396651</v>
      </c>
      <c r="AHR22" s="1030">
        <v>2222.7771924843423</v>
      </c>
      <c r="AHS22" s="1030">
        <v>606.21196158663872</v>
      </c>
      <c r="AHT22" s="1030">
        <v>0</v>
      </c>
      <c r="AHU22" s="1030">
        <v>0</v>
      </c>
      <c r="AHV22" s="1030">
        <v>3637.2717695198326</v>
      </c>
      <c r="AHW22" s="1030">
        <v>1616.5652308977035</v>
      </c>
      <c r="AHX22" s="1013">
        <v>165</v>
      </c>
      <c r="AHY22" s="1023">
        <v>0</v>
      </c>
      <c r="AHZ22" s="1023">
        <v>0</v>
      </c>
      <c r="AIA22" s="1023">
        <v>0</v>
      </c>
      <c r="AIB22" s="1023">
        <v>0</v>
      </c>
      <c r="AIC22" s="1023">
        <v>0</v>
      </c>
      <c r="AID22" s="1023">
        <v>0</v>
      </c>
      <c r="AIE22" s="1023">
        <v>0</v>
      </c>
      <c r="AIF22" s="1017">
        <v>420</v>
      </c>
      <c r="AIG22" s="1017">
        <v>32.409999999999997</v>
      </c>
      <c r="AIH22" s="1017">
        <v>27.01</v>
      </c>
      <c r="AII22" s="1017">
        <v>0</v>
      </c>
      <c r="AIJ22" s="1017">
        <v>2.52</v>
      </c>
      <c r="AIK22" s="1017">
        <v>3.06</v>
      </c>
      <c r="AIL22" s="1017">
        <v>0</v>
      </c>
      <c r="AIM22" s="1017">
        <v>0</v>
      </c>
      <c r="AIN22" s="1016">
        <v>350</v>
      </c>
      <c r="AIO22" s="1016">
        <v>64.819999999999993</v>
      </c>
      <c r="AIP22" s="1017">
        <v>54.02</v>
      </c>
      <c r="AIQ22" s="1017">
        <v>0</v>
      </c>
      <c r="AIR22" s="1017">
        <v>5.04</v>
      </c>
      <c r="AIS22" s="1017">
        <v>6.12</v>
      </c>
      <c r="AIT22" s="1017">
        <v>0</v>
      </c>
      <c r="AIU22" s="1017">
        <v>0</v>
      </c>
      <c r="AIV22" s="1013">
        <v>120</v>
      </c>
      <c r="AIW22" s="1013">
        <v>47.37</v>
      </c>
      <c r="AIX22" s="1013">
        <v>39.47</v>
      </c>
      <c r="AIY22" s="1013">
        <v>0</v>
      </c>
      <c r="AIZ22" s="1013">
        <v>3.68</v>
      </c>
      <c r="AJA22" s="1013">
        <v>4.4800000000000004</v>
      </c>
      <c r="AJB22" s="1013">
        <v>0</v>
      </c>
      <c r="AJC22" s="1013">
        <v>0</v>
      </c>
      <c r="AJD22" s="1013">
        <v>129.6</v>
      </c>
      <c r="AJE22" s="1013">
        <v>96.93</v>
      </c>
      <c r="AJF22" s="1013">
        <v>80.78</v>
      </c>
      <c r="AJG22" s="1013">
        <v>0</v>
      </c>
      <c r="AJH22" s="1013">
        <v>7.54</v>
      </c>
      <c r="AJI22" s="1013">
        <v>9.15</v>
      </c>
      <c r="AJJ22" s="1013">
        <v>0</v>
      </c>
      <c r="AJK22" s="1013">
        <v>0</v>
      </c>
      <c r="AJL22" s="1013">
        <v>160</v>
      </c>
      <c r="AJM22" s="1013">
        <v>17.45</v>
      </c>
      <c r="AJN22" s="1013">
        <v>14.54</v>
      </c>
      <c r="AJO22" s="1013">
        <v>0</v>
      </c>
      <c r="AJP22" s="1013">
        <v>1.36</v>
      </c>
      <c r="AJQ22" s="1013">
        <v>1.65</v>
      </c>
      <c r="AJR22" s="1013">
        <v>0</v>
      </c>
      <c r="AJS22" s="1013">
        <v>0</v>
      </c>
      <c r="AJT22" s="1029" t="s">
        <v>858</v>
      </c>
      <c r="AJU22" s="988" t="s">
        <v>861</v>
      </c>
      <c r="AJV22" s="988" t="s">
        <v>860</v>
      </c>
      <c r="AJW22" s="988" t="s">
        <v>859</v>
      </c>
      <c r="AJX22" s="988" t="s">
        <v>870</v>
      </c>
      <c r="AJY22" s="988" t="s">
        <v>871</v>
      </c>
      <c r="AJZ22" s="988" t="s">
        <v>872</v>
      </c>
      <c r="AKA22" s="988" t="s">
        <v>873</v>
      </c>
      <c r="AKB22" s="988" t="s">
        <v>874</v>
      </c>
      <c r="AKC22" s="988" t="s">
        <v>875</v>
      </c>
      <c r="AKD22" s="1013">
        <v>103.5</v>
      </c>
      <c r="AKE22" s="1013">
        <v>0</v>
      </c>
      <c r="AKF22" s="1013">
        <v>0</v>
      </c>
      <c r="AKG22" s="1013">
        <v>0</v>
      </c>
      <c r="AKH22" s="1013">
        <v>0</v>
      </c>
      <c r="AKI22" s="1013">
        <v>0</v>
      </c>
      <c r="AKJ22" s="1013">
        <v>4.5</v>
      </c>
      <c r="AKK22" s="1013">
        <v>15.750000000000002</v>
      </c>
      <c r="AKL22" s="1017">
        <v>304.22727272727263</v>
      </c>
      <c r="AKM22" s="1017">
        <v>0</v>
      </c>
      <c r="AKN22" s="1017">
        <v>0</v>
      </c>
      <c r="AKO22" s="1017">
        <v>0</v>
      </c>
      <c r="AKP22" s="1017">
        <v>0</v>
      </c>
      <c r="AKQ22" s="1017">
        <v>0</v>
      </c>
      <c r="AKR22" s="1017">
        <v>13.227272727272725</v>
      </c>
      <c r="AKS22" s="1017">
        <v>46.295454545454547</v>
      </c>
      <c r="AKT22" s="1016">
        <v>301.09090909090907</v>
      </c>
      <c r="AKU22" s="1016">
        <v>0</v>
      </c>
      <c r="AKV22" s="1017">
        <v>0</v>
      </c>
      <c r="AKW22" s="1017">
        <v>0</v>
      </c>
      <c r="AKX22" s="1017">
        <v>0</v>
      </c>
      <c r="AKY22" s="1017">
        <v>0</v>
      </c>
      <c r="AKZ22" s="1017">
        <v>13.09090909090909</v>
      </c>
      <c r="ALA22" s="1017">
        <v>45.81818181818182</v>
      </c>
      <c r="ALB22" s="1013">
        <v>134.86363636363635</v>
      </c>
      <c r="ALC22" s="1013">
        <v>0</v>
      </c>
      <c r="ALD22" s="1013">
        <v>0</v>
      </c>
      <c r="ALE22" s="1013">
        <v>0</v>
      </c>
      <c r="ALF22" s="1013">
        <v>0</v>
      </c>
      <c r="ALG22" s="1013">
        <v>0</v>
      </c>
      <c r="ALH22" s="1013">
        <v>5.8636363636363633</v>
      </c>
      <c r="ALI22" s="1013">
        <v>20.522727272727273</v>
      </c>
      <c r="ALJ22" s="1013">
        <v>203.23636363636362</v>
      </c>
      <c r="ALK22" s="1013">
        <v>0</v>
      </c>
      <c r="ALL22" s="1013">
        <v>0</v>
      </c>
      <c r="ALM22" s="1013">
        <v>0</v>
      </c>
      <c r="ALN22" s="1013">
        <v>0</v>
      </c>
      <c r="ALO22" s="1013">
        <v>0</v>
      </c>
      <c r="ALP22" s="1013">
        <v>8.836363636363636</v>
      </c>
      <c r="ALQ22" s="1013">
        <v>30.927272727272729</v>
      </c>
      <c r="ALR22" s="1013">
        <v>122.31818181818181</v>
      </c>
      <c r="ALS22" s="1013">
        <v>0</v>
      </c>
      <c r="ALT22" s="1013">
        <v>0</v>
      </c>
      <c r="ALU22" s="1013">
        <v>0</v>
      </c>
      <c r="ALV22" s="1013">
        <v>0</v>
      </c>
      <c r="ALW22" s="1013">
        <v>0</v>
      </c>
      <c r="ALX22" s="1013">
        <v>5.3181818181818183</v>
      </c>
      <c r="ALY22" s="1013">
        <v>18.613636363636367</v>
      </c>
    </row>
    <row r="23" spans="1:1013" ht="18" customHeight="1">
      <c r="A23" s="1259" t="s">
        <v>13</v>
      </c>
      <c r="B23" s="1260" t="s">
        <v>3063</v>
      </c>
      <c r="C23" s="1260">
        <v>2022</v>
      </c>
      <c r="D23" s="1269"/>
      <c r="E23" s="1270">
        <v>0</v>
      </c>
      <c r="F23" s="1271">
        <v>0.4</v>
      </c>
      <c r="G23" s="1271">
        <v>0.4</v>
      </c>
      <c r="H23" s="76">
        <v>364.08695652173913</v>
      </c>
      <c r="I23" s="72">
        <v>-1.5</v>
      </c>
      <c r="J23" s="1271">
        <v>-3.8</v>
      </c>
      <c r="K23" s="1271">
        <v>-3.8</v>
      </c>
      <c r="L23" s="1265">
        <v>350</v>
      </c>
      <c r="M23" s="1262">
        <v>0</v>
      </c>
      <c r="N23" s="1262">
        <v>0</v>
      </c>
      <c r="O23" s="1262">
        <v>0</v>
      </c>
      <c r="P23" s="76">
        <v>2124.3106214374661</v>
      </c>
      <c r="Q23" s="75">
        <v>12</v>
      </c>
      <c r="R23" s="72">
        <v>0.7</v>
      </c>
      <c r="S23" s="72">
        <v>0.7</v>
      </c>
      <c r="T23" s="72">
        <v>0.7</v>
      </c>
      <c r="U23" s="1271">
        <v>0.1</v>
      </c>
      <c r="V23" s="1271">
        <v>0</v>
      </c>
      <c r="W23" s="1271">
        <v>99.9</v>
      </c>
      <c r="X23" s="1271">
        <v>0</v>
      </c>
      <c r="Y23" s="1272">
        <v>0</v>
      </c>
      <c r="Z23" s="75">
        <v>2</v>
      </c>
      <c r="AA23" s="72">
        <v>1.5</v>
      </c>
      <c r="AB23" s="75">
        <v>1</v>
      </c>
      <c r="AC23" s="72">
        <v>0.8</v>
      </c>
      <c r="AD23" s="72">
        <v>0.5</v>
      </c>
      <c r="AE23" s="390">
        <v>433.01922201480062</v>
      </c>
      <c r="AF23" s="390">
        <v>470.67306740739195</v>
      </c>
      <c r="AG23" s="390">
        <v>433.37222681535616</v>
      </c>
      <c r="AH23" s="390">
        <v>649.0581599547935</v>
      </c>
      <c r="AI23" s="400">
        <v>0.82209484106305364</v>
      </c>
      <c r="AJ23" s="390">
        <v>261.91600618637949</v>
      </c>
      <c r="AK23" s="390">
        <v>284.69131107215162</v>
      </c>
      <c r="AL23" s="390">
        <v>262.12952466968363</v>
      </c>
      <c r="AM23" s="390">
        <v>392.58931796849708</v>
      </c>
      <c r="AN23" s="400">
        <v>0.96717040125065135</v>
      </c>
      <c r="AO23" s="77">
        <v>0.2</v>
      </c>
      <c r="AP23" s="77">
        <v>0.3</v>
      </c>
      <c r="AQ23" s="77">
        <v>0.7</v>
      </c>
      <c r="AR23" s="77">
        <v>1</v>
      </c>
      <c r="AS23" s="77">
        <v>1.3</v>
      </c>
      <c r="AT23" s="77">
        <v>1.6</v>
      </c>
      <c r="AU23" s="77">
        <v>1.9</v>
      </c>
      <c r="AV23" s="1268">
        <v>0</v>
      </c>
      <c r="AW23" s="1268">
        <v>10</v>
      </c>
      <c r="AX23" s="1268">
        <v>20</v>
      </c>
      <c r="AY23" s="1268">
        <v>70</v>
      </c>
      <c r="AZ23" s="1268">
        <v>100</v>
      </c>
      <c r="BA23" s="1019">
        <v>11785.626724936825</v>
      </c>
      <c r="BB23" s="1031">
        <v>1.5</v>
      </c>
      <c r="BC23" s="988">
        <v>1.8</v>
      </c>
      <c r="BD23" s="988">
        <v>0.8</v>
      </c>
      <c r="BE23" s="988">
        <v>0.8</v>
      </c>
      <c r="BF23" s="1021">
        <v>0.16458882635095481</v>
      </c>
      <c r="BG23" s="1021">
        <v>0.17241435895653787</v>
      </c>
      <c r="BH23" s="1020"/>
      <c r="BI23" s="1020"/>
      <c r="BJ23" s="1020">
        <v>3.1069255412930827</v>
      </c>
      <c r="BK23" s="1020">
        <v>38.101872755810703</v>
      </c>
      <c r="BL23" s="1020"/>
      <c r="BM23" s="1020"/>
      <c r="BN23" s="1020">
        <v>55.68427616160313</v>
      </c>
      <c r="BO23" s="1020"/>
      <c r="BP23" s="1020"/>
      <c r="BQ23" s="1020"/>
      <c r="BR23" s="1020"/>
      <c r="BS23" s="1020"/>
      <c r="BT23" s="1020"/>
      <c r="BU23" s="1020">
        <v>2.7375346707088952</v>
      </c>
      <c r="BV23" s="1020">
        <v>0.36939087058418801</v>
      </c>
      <c r="BW23" s="993">
        <v>261.13475999999997</v>
      </c>
      <c r="BX23" s="993">
        <v>96.5</v>
      </c>
      <c r="BY23" s="993">
        <v>63.215999999999994</v>
      </c>
      <c r="BZ23" s="993">
        <v>233.35949490734063</v>
      </c>
      <c r="CA23" s="993">
        <v>157.40783999999999</v>
      </c>
      <c r="CB23" s="990"/>
      <c r="CC23" s="993">
        <v>256.20808011776955</v>
      </c>
      <c r="CD23" s="993">
        <v>165.17663999999999</v>
      </c>
      <c r="CE23" s="990"/>
      <c r="CF23" s="989">
        <v>0</v>
      </c>
      <c r="CG23" s="993">
        <v>6.585</v>
      </c>
      <c r="CH23" s="993">
        <v>1.3169999999999999</v>
      </c>
      <c r="CI23" s="993">
        <v>38</v>
      </c>
      <c r="CJ23" s="993">
        <v>225.83915999999996</v>
      </c>
      <c r="CK23" s="990">
        <v>0.2</v>
      </c>
      <c r="CL23" s="993">
        <v>175.08124000000001</v>
      </c>
      <c r="CM23" s="993">
        <v>60.4</v>
      </c>
      <c r="CN23" s="993">
        <v>42.384</v>
      </c>
      <c r="CO23" s="993">
        <v>156.45894761061641</v>
      </c>
      <c r="CP23" s="993">
        <v>105.53616</v>
      </c>
      <c r="CQ23" s="990"/>
      <c r="CR23" s="993">
        <v>159.24945066654416</v>
      </c>
      <c r="CS23" s="993">
        <v>102.66767999999999</v>
      </c>
      <c r="CT23" s="990"/>
      <c r="CU23" s="993">
        <v>0</v>
      </c>
      <c r="CV23" s="993">
        <v>4.415</v>
      </c>
      <c r="CW23" s="993">
        <v>0.88300000000000001</v>
      </c>
      <c r="CX23" s="993">
        <v>27</v>
      </c>
      <c r="CY23" s="993">
        <v>151.41683999999998</v>
      </c>
      <c r="CZ23" s="990">
        <v>0.2</v>
      </c>
      <c r="DA23" s="988">
        <v>0.3</v>
      </c>
      <c r="DB23" s="988">
        <v>0.7</v>
      </c>
      <c r="DC23" s="988">
        <v>1.2</v>
      </c>
      <c r="DD23" s="988">
        <v>1.2</v>
      </c>
      <c r="DE23" s="1022">
        <v>3</v>
      </c>
      <c r="DF23" s="995">
        <v>0</v>
      </c>
      <c r="DG23" s="995">
        <v>10</v>
      </c>
      <c r="DH23" s="995">
        <v>20</v>
      </c>
      <c r="DI23" s="995">
        <v>70</v>
      </c>
      <c r="DJ23" s="995">
        <v>100</v>
      </c>
      <c r="DK23" s="1017"/>
      <c r="DL23" s="1022">
        <v>18</v>
      </c>
      <c r="DM23" s="989">
        <v>12</v>
      </c>
      <c r="DN23" s="988">
        <v>0.8</v>
      </c>
      <c r="DO23" s="988">
        <v>0.6</v>
      </c>
      <c r="DP23" s="988">
        <v>0.6</v>
      </c>
      <c r="DQ23" s="1032" t="s">
        <v>643</v>
      </c>
      <c r="DR23" s="988" t="s">
        <v>640</v>
      </c>
      <c r="DS23" s="988" t="s">
        <v>640</v>
      </c>
      <c r="DT23" s="988" t="s">
        <v>640</v>
      </c>
      <c r="DU23" s="988" t="s">
        <v>640</v>
      </c>
      <c r="DV23" s="988" t="s">
        <v>640</v>
      </c>
      <c r="DW23" s="988" t="s">
        <v>640</v>
      </c>
      <c r="DX23" s="997">
        <v>0</v>
      </c>
      <c r="DY23" s="997">
        <v>0</v>
      </c>
      <c r="DZ23" s="997">
        <v>0</v>
      </c>
      <c r="EA23" s="997">
        <v>0</v>
      </c>
      <c r="EB23" s="997">
        <v>0</v>
      </c>
      <c r="EC23" s="997">
        <v>0</v>
      </c>
      <c r="ED23" s="997">
        <v>0</v>
      </c>
      <c r="EE23" s="1022">
        <v>0.1585</v>
      </c>
      <c r="EF23" s="1022">
        <v>18</v>
      </c>
      <c r="EG23" s="991">
        <v>5</v>
      </c>
      <c r="EH23" s="1023">
        <v>0.8</v>
      </c>
      <c r="EI23" s="1023">
        <v>0.6</v>
      </c>
      <c r="EJ23" s="1023">
        <v>0.6</v>
      </c>
      <c r="EK23" s="988" t="s">
        <v>688</v>
      </c>
      <c r="EL23" s="988" t="s">
        <v>640</v>
      </c>
      <c r="EM23" s="988" t="s">
        <v>640</v>
      </c>
      <c r="EN23" s="988" t="s">
        <v>640</v>
      </c>
      <c r="EO23" s="988" t="s">
        <v>640</v>
      </c>
      <c r="EP23" s="988" t="s">
        <v>640</v>
      </c>
      <c r="EQ23" s="988" t="s">
        <v>640</v>
      </c>
      <c r="ER23" s="988" t="s">
        <v>640</v>
      </c>
      <c r="ES23" s="988" t="s">
        <v>640</v>
      </c>
      <c r="ET23" s="988" t="s">
        <v>640</v>
      </c>
      <c r="EU23" s="988" t="s">
        <v>640</v>
      </c>
      <c r="EV23" s="988" t="s">
        <v>640</v>
      </c>
      <c r="EW23" s="988" t="s">
        <v>640</v>
      </c>
      <c r="EX23" s="988" t="s">
        <v>640</v>
      </c>
      <c r="EY23" s="988" t="s">
        <v>640</v>
      </c>
      <c r="EZ23" s="988" t="s">
        <v>640</v>
      </c>
      <c r="FA23" s="988" t="s">
        <v>640</v>
      </c>
      <c r="FB23" s="988" t="s">
        <v>640</v>
      </c>
      <c r="FC23" s="988" t="s">
        <v>640</v>
      </c>
      <c r="FD23" s="988" t="s">
        <v>640</v>
      </c>
      <c r="FE23" s="988" t="s">
        <v>640</v>
      </c>
      <c r="FF23" s="988" t="s">
        <v>640</v>
      </c>
      <c r="FG23" s="988" t="s">
        <v>640</v>
      </c>
      <c r="FH23" s="988" t="s">
        <v>640</v>
      </c>
      <c r="FI23" s="988" t="s">
        <v>640</v>
      </c>
      <c r="FJ23" s="988" t="s">
        <v>640</v>
      </c>
      <c r="FK23" s="988" t="s">
        <v>640</v>
      </c>
      <c r="FL23" s="988" t="s">
        <v>640</v>
      </c>
      <c r="FM23" s="988" t="s">
        <v>640</v>
      </c>
      <c r="FN23" s="988" t="s">
        <v>640</v>
      </c>
      <c r="FO23" s="988" t="s">
        <v>640</v>
      </c>
      <c r="FP23" s="988" t="s">
        <v>640</v>
      </c>
      <c r="FQ23" s="988" t="s">
        <v>640</v>
      </c>
      <c r="FR23" s="988" t="s">
        <v>640</v>
      </c>
      <c r="FS23" s="988" t="s">
        <v>640</v>
      </c>
      <c r="FT23" s="988" t="s">
        <v>640</v>
      </c>
      <c r="FU23" s="988" t="s">
        <v>640</v>
      </c>
      <c r="FV23" s="988" t="s">
        <v>640</v>
      </c>
      <c r="FW23" s="988" t="s">
        <v>640</v>
      </c>
      <c r="FX23" s="988" t="s">
        <v>640</v>
      </c>
      <c r="FY23" s="988" t="s">
        <v>640</v>
      </c>
      <c r="FZ23" s="988" t="s">
        <v>640</v>
      </c>
      <c r="GA23" s="988" t="s">
        <v>640</v>
      </c>
      <c r="GB23" s="988" t="s">
        <v>640</v>
      </c>
      <c r="GC23" s="988" t="s">
        <v>640</v>
      </c>
      <c r="GD23" s="988" t="s">
        <v>640</v>
      </c>
      <c r="GE23" s="988" t="s">
        <v>640</v>
      </c>
      <c r="GF23" s="988" t="s">
        <v>640</v>
      </c>
      <c r="GG23" s="988" t="s">
        <v>640</v>
      </c>
      <c r="GH23" s="988" t="s">
        <v>640</v>
      </c>
      <c r="GI23" s="988" t="s">
        <v>640</v>
      </c>
      <c r="GJ23" s="988" t="s">
        <v>640</v>
      </c>
      <c r="GK23" s="988" t="s">
        <v>640</v>
      </c>
      <c r="GL23" s="988" t="s">
        <v>640</v>
      </c>
      <c r="GM23" s="988" t="s">
        <v>640</v>
      </c>
      <c r="GN23" s="988" t="s">
        <v>640</v>
      </c>
      <c r="GO23" s="988" t="s">
        <v>640</v>
      </c>
      <c r="GP23" s="988" t="s">
        <v>640</v>
      </c>
      <c r="GQ23" s="997">
        <v>158.5</v>
      </c>
      <c r="GR23" s="997">
        <v>0</v>
      </c>
      <c r="GS23" s="997">
        <v>0</v>
      </c>
      <c r="GT23" s="997">
        <v>0</v>
      </c>
      <c r="GU23" s="997">
        <v>0</v>
      </c>
      <c r="GV23" s="997">
        <v>0</v>
      </c>
      <c r="GW23" s="997">
        <v>0</v>
      </c>
      <c r="GX23" s="997">
        <v>0</v>
      </c>
      <c r="GY23" s="997">
        <v>0</v>
      </c>
      <c r="GZ23" s="997">
        <v>0</v>
      </c>
      <c r="HA23" s="997">
        <v>0</v>
      </c>
      <c r="HB23" s="997">
        <v>0</v>
      </c>
      <c r="HC23" s="997">
        <v>0</v>
      </c>
      <c r="HD23" s="997">
        <v>0</v>
      </c>
      <c r="HE23" s="997">
        <v>0</v>
      </c>
      <c r="HF23" s="997">
        <v>0</v>
      </c>
      <c r="HG23" s="997">
        <v>0</v>
      </c>
      <c r="HH23" s="997">
        <v>0</v>
      </c>
      <c r="HI23" s="997">
        <v>0</v>
      </c>
      <c r="HJ23" s="997">
        <v>0</v>
      </c>
      <c r="HK23" s="997">
        <v>0</v>
      </c>
      <c r="HL23" s="997">
        <v>0</v>
      </c>
      <c r="HM23" s="997">
        <v>0</v>
      </c>
      <c r="HN23" s="997">
        <v>0</v>
      </c>
      <c r="HO23" s="997">
        <v>0</v>
      </c>
      <c r="HP23" s="997">
        <v>0</v>
      </c>
      <c r="HQ23" s="997">
        <v>0</v>
      </c>
      <c r="HR23" s="997">
        <v>0</v>
      </c>
      <c r="HS23" s="997">
        <v>0</v>
      </c>
      <c r="HT23" s="997">
        <v>0</v>
      </c>
      <c r="HU23" s="997">
        <v>0</v>
      </c>
      <c r="HV23" s="997">
        <v>0</v>
      </c>
      <c r="HW23" s="997">
        <v>0</v>
      </c>
      <c r="HX23" s="997">
        <v>0</v>
      </c>
      <c r="HY23" s="997">
        <v>0</v>
      </c>
      <c r="HZ23" s="997">
        <v>0</v>
      </c>
      <c r="IA23" s="997">
        <v>0</v>
      </c>
      <c r="IB23" s="997">
        <v>0</v>
      </c>
      <c r="IC23" s="997">
        <v>0</v>
      </c>
      <c r="ID23" s="997">
        <v>0</v>
      </c>
      <c r="IE23" s="997">
        <v>0</v>
      </c>
      <c r="IF23" s="997">
        <v>0</v>
      </c>
      <c r="IG23" s="997">
        <v>0</v>
      </c>
      <c r="IH23" s="997">
        <v>0</v>
      </c>
      <c r="II23" s="997">
        <v>0</v>
      </c>
      <c r="IJ23" s="997">
        <v>0</v>
      </c>
      <c r="IK23" s="997">
        <v>0</v>
      </c>
      <c r="IL23" s="997">
        <v>0</v>
      </c>
      <c r="IM23" s="997">
        <v>0</v>
      </c>
      <c r="IN23" s="997">
        <v>0</v>
      </c>
      <c r="IO23" s="997">
        <v>0</v>
      </c>
      <c r="IP23" s="997">
        <v>0</v>
      </c>
      <c r="IQ23" s="997">
        <v>0</v>
      </c>
      <c r="IR23" s="997">
        <v>0</v>
      </c>
      <c r="IS23" s="997">
        <v>0</v>
      </c>
      <c r="IT23" s="997">
        <v>0</v>
      </c>
      <c r="IU23" s="997">
        <v>0</v>
      </c>
      <c r="IV23" s="997">
        <v>0</v>
      </c>
      <c r="IW23" s="1019">
        <v>455.57067467001087</v>
      </c>
      <c r="IX23" s="1022">
        <v>179.9</v>
      </c>
      <c r="IY23" s="998">
        <v>2647.0800000000199</v>
      </c>
      <c r="IZ23" s="429">
        <v>12.64</v>
      </c>
      <c r="JA23" s="1022">
        <v>50</v>
      </c>
      <c r="JB23" s="988">
        <v>0.8</v>
      </c>
      <c r="JC23" s="988">
        <v>0.6</v>
      </c>
      <c r="JD23" s="988">
        <v>0.6</v>
      </c>
      <c r="JE23" s="998">
        <v>2</v>
      </c>
      <c r="JF23" s="1023">
        <v>1.5</v>
      </c>
      <c r="JG23" s="1023">
        <v>0.7</v>
      </c>
      <c r="JH23" s="1023">
        <v>0.7</v>
      </c>
      <c r="JI23" s="1023">
        <v>0.5</v>
      </c>
      <c r="JJ23" s="1019">
        <v>2.4643245884135658</v>
      </c>
      <c r="JK23" s="998">
        <v>2647.0800000000199</v>
      </c>
      <c r="JL23" s="429">
        <v>12.64</v>
      </c>
      <c r="JM23" s="1022">
        <v>50</v>
      </c>
      <c r="JN23" s="988">
        <v>1.4</v>
      </c>
      <c r="JO23" s="988">
        <v>1.1000000000000001</v>
      </c>
      <c r="JP23" s="988">
        <v>1.1000000000000001</v>
      </c>
      <c r="JQ23" s="998">
        <v>2</v>
      </c>
      <c r="JR23" s="998">
        <v>2</v>
      </c>
      <c r="JS23" s="998">
        <v>1</v>
      </c>
      <c r="JT23" s="998">
        <v>1</v>
      </c>
      <c r="JU23" s="1023">
        <v>0.5</v>
      </c>
      <c r="JV23" s="1004">
        <v>2000</v>
      </c>
      <c r="JW23" s="1019">
        <v>417.57875862283845</v>
      </c>
      <c r="JX23" s="1019">
        <v>500</v>
      </c>
      <c r="JY23" s="1022">
        <v>2.5</v>
      </c>
      <c r="JZ23" s="1022">
        <v>1.3</v>
      </c>
      <c r="KA23" s="1022">
        <v>1.3</v>
      </c>
      <c r="KB23" s="1023">
        <v>2</v>
      </c>
      <c r="KC23" s="1023">
        <v>1.5</v>
      </c>
      <c r="KD23" s="1023">
        <v>0.5</v>
      </c>
      <c r="KE23" s="1023">
        <v>1</v>
      </c>
      <c r="KF23" s="1023">
        <v>0.5</v>
      </c>
      <c r="KG23" s="997">
        <v>2.5937250163252101E-2</v>
      </c>
      <c r="KH23" s="997"/>
      <c r="KI23" s="997">
        <v>99.682039827410478</v>
      </c>
      <c r="KJ23" s="997"/>
      <c r="KK23" s="997">
        <v>0.13823028616415531</v>
      </c>
      <c r="KL23" s="997">
        <v>0.1537926362621066</v>
      </c>
      <c r="KM23" s="997"/>
      <c r="KN23" s="997"/>
      <c r="KO23" s="997"/>
      <c r="KP23" s="1006">
        <v>580</v>
      </c>
      <c r="KQ23" s="1006">
        <v>580</v>
      </c>
      <c r="KR23" s="1006">
        <v>580</v>
      </c>
      <c r="KS23" s="1006">
        <v>580</v>
      </c>
      <c r="KT23" s="1006"/>
      <c r="KU23" s="1006">
        <v>580</v>
      </c>
      <c r="KV23" s="1006">
        <v>580</v>
      </c>
      <c r="KW23" s="1006">
        <v>580</v>
      </c>
      <c r="KX23" s="1006">
        <v>580</v>
      </c>
      <c r="KY23" s="993">
        <v>370</v>
      </c>
      <c r="KZ23" s="993">
        <v>370</v>
      </c>
      <c r="LA23" s="993">
        <v>370</v>
      </c>
      <c r="LB23" s="993">
        <v>370</v>
      </c>
      <c r="LC23" s="993"/>
      <c r="LD23" s="993">
        <v>370</v>
      </c>
      <c r="LE23" s="993">
        <v>370</v>
      </c>
      <c r="LF23" s="993">
        <v>370</v>
      </c>
      <c r="LG23" s="993">
        <v>370</v>
      </c>
      <c r="LH23" s="995">
        <v>0</v>
      </c>
      <c r="LI23" s="995">
        <v>10</v>
      </c>
      <c r="LJ23" s="995">
        <v>20</v>
      </c>
      <c r="LK23" s="995">
        <v>70</v>
      </c>
      <c r="LL23" s="995">
        <v>100</v>
      </c>
      <c r="LM23" s="1004">
        <v>1000</v>
      </c>
      <c r="LN23" s="1019"/>
      <c r="LO23" s="988">
        <v>29</v>
      </c>
      <c r="LP23" s="988">
        <v>1.6</v>
      </c>
      <c r="LQ23" s="988">
        <v>1.2</v>
      </c>
      <c r="LR23" s="988">
        <v>1.2</v>
      </c>
      <c r="LS23" s="1023">
        <v>2</v>
      </c>
      <c r="LT23" s="1023">
        <v>1</v>
      </c>
      <c r="LU23" s="1023">
        <v>0.5</v>
      </c>
      <c r="LV23" s="1023">
        <v>0.7</v>
      </c>
      <c r="LW23" s="1023">
        <v>0.2</v>
      </c>
      <c r="LX23" s="1004">
        <v>1500</v>
      </c>
      <c r="LY23" s="1008">
        <v>500</v>
      </c>
      <c r="LZ23" s="1008">
        <v>1</v>
      </c>
      <c r="MA23" s="997" t="s">
        <v>2914</v>
      </c>
      <c r="MB23" s="1023" t="s">
        <v>905</v>
      </c>
      <c r="MC23" s="1023" t="s">
        <v>2932</v>
      </c>
      <c r="MD23" s="1024" t="s">
        <v>906</v>
      </c>
      <c r="ME23" s="1009">
        <v>0.5</v>
      </c>
      <c r="MF23" s="1010">
        <v>0.75</v>
      </c>
      <c r="MG23" s="1010">
        <v>1</v>
      </c>
      <c r="MH23" s="1010">
        <v>2</v>
      </c>
      <c r="MI23" s="1010">
        <v>0.5</v>
      </c>
      <c r="MJ23" s="1010">
        <v>0.75</v>
      </c>
      <c r="MK23" s="1010">
        <v>1</v>
      </c>
      <c r="ML23" s="1010">
        <v>2</v>
      </c>
      <c r="MM23" s="1010">
        <v>0</v>
      </c>
      <c r="MN23" s="1010">
        <v>0.5</v>
      </c>
      <c r="MO23" s="1010">
        <v>1</v>
      </c>
      <c r="MP23" s="1010">
        <v>2</v>
      </c>
      <c r="MQ23" s="1010">
        <v>0</v>
      </c>
      <c r="MR23" s="1010">
        <v>0.5</v>
      </c>
      <c r="MS23" s="1010">
        <v>1</v>
      </c>
      <c r="MT23" s="1010">
        <v>2</v>
      </c>
      <c r="MU23" s="1001">
        <v>0</v>
      </c>
      <c r="MV23" s="1001">
        <v>0</v>
      </c>
      <c r="MW23" s="1001">
        <v>0</v>
      </c>
      <c r="MX23" s="1025">
        <v>0</v>
      </c>
      <c r="MY23" s="1025">
        <v>0</v>
      </c>
      <c r="MZ23" s="1025">
        <v>0</v>
      </c>
      <c r="NA23" s="1025">
        <v>0</v>
      </c>
      <c r="NB23" s="1025">
        <v>0</v>
      </c>
      <c r="NC23" s="1025">
        <v>0</v>
      </c>
      <c r="ND23" s="1025">
        <v>0</v>
      </c>
      <c r="NE23" s="1025">
        <v>0</v>
      </c>
      <c r="NF23" s="1025">
        <v>0</v>
      </c>
      <c r="NG23" s="1025">
        <v>0</v>
      </c>
      <c r="NH23" s="1025">
        <v>0</v>
      </c>
      <c r="NI23" s="1025">
        <v>0</v>
      </c>
      <c r="NJ23" s="1025">
        <v>0</v>
      </c>
      <c r="NK23" s="1025">
        <v>0</v>
      </c>
      <c r="NL23" s="1025">
        <v>0</v>
      </c>
      <c r="NM23" s="1025">
        <v>0</v>
      </c>
      <c r="NN23" s="1025">
        <v>0</v>
      </c>
      <c r="NO23" s="1025">
        <v>0</v>
      </c>
      <c r="NP23" s="1025">
        <v>0</v>
      </c>
      <c r="NQ23" s="1025">
        <v>0</v>
      </c>
      <c r="NR23" s="1025">
        <v>0</v>
      </c>
      <c r="NS23" s="1025">
        <v>0</v>
      </c>
      <c r="NT23" s="1025">
        <v>0</v>
      </c>
      <c r="NU23" s="1025">
        <v>0</v>
      </c>
      <c r="NV23" s="1025">
        <v>0</v>
      </c>
      <c r="NW23" s="1025">
        <v>0</v>
      </c>
      <c r="NX23" s="1025">
        <v>0</v>
      </c>
      <c r="NY23" s="1025">
        <v>0</v>
      </c>
      <c r="NZ23" s="1025">
        <v>0</v>
      </c>
      <c r="OA23" s="1025">
        <v>0</v>
      </c>
      <c r="OB23" s="1025">
        <v>2.3331596698950001</v>
      </c>
      <c r="OC23" s="1025">
        <v>0</v>
      </c>
      <c r="OD23" s="1025">
        <v>0</v>
      </c>
      <c r="OE23" s="1025">
        <v>0.98609088910742004</v>
      </c>
      <c r="OF23" s="1025">
        <v>9.6999770847580005E-2</v>
      </c>
      <c r="OG23" s="1025">
        <v>-0.74905005460903995</v>
      </c>
      <c r="OH23" s="1025">
        <v>2.3331596698949899</v>
      </c>
      <c r="OI23" s="1025">
        <v>0</v>
      </c>
      <c r="OJ23" s="1025">
        <v>0</v>
      </c>
      <c r="OK23" s="1025">
        <v>0.98609088910742004</v>
      </c>
      <c r="OL23" s="1025">
        <v>0</v>
      </c>
      <c r="OM23" s="1025">
        <v>-0.74905005460903995</v>
      </c>
      <c r="ON23" s="1025">
        <v>0</v>
      </c>
      <c r="OO23" s="1025">
        <v>0</v>
      </c>
      <c r="OP23" s="1025">
        <v>0</v>
      </c>
      <c r="OQ23" s="1025">
        <v>0</v>
      </c>
      <c r="OR23" s="1025">
        <v>0</v>
      </c>
      <c r="OS23" s="1025">
        <v>0</v>
      </c>
      <c r="OT23" s="1025">
        <v>0</v>
      </c>
      <c r="OU23" s="1025">
        <v>0</v>
      </c>
      <c r="OV23" s="1025">
        <v>0</v>
      </c>
      <c r="OW23" s="1025">
        <v>0</v>
      </c>
      <c r="OX23" s="1025">
        <v>0</v>
      </c>
      <c r="OY23" s="1025">
        <v>0</v>
      </c>
      <c r="OZ23" s="1025">
        <v>0</v>
      </c>
      <c r="PA23" s="1025">
        <v>0</v>
      </c>
      <c r="PB23" s="1025">
        <v>0</v>
      </c>
      <c r="PC23" s="1025">
        <v>0</v>
      </c>
      <c r="PD23" s="1025">
        <v>0</v>
      </c>
      <c r="PE23" s="1025">
        <v>0</v>
      </c>
      <c r="PF23" s="1025">
        <v>0</v>
      </c>
      <c r="PG23" s="1025">
        <v>0</v>
      </c>
      <c r="PH23" s="1025">
        <v>0</v>
      </c>
      <c r="PI23" s="1025">
        <v>0</v>
      </c>
      <c r="PJ23" s="1025">
        <v>0</v>
      </c>
      <c r="PK23" s="1025">
        <v>0</v>
      </c>
      <c r="PL23" s="1025">
        <v>0</v>
      </c>
      <c r="PM23" s="1025">
        <v>0</v>
      </c>
      <c r="PN23" s="1025">
        <v>0</v>
      </c>
      <c r="PO23" s="1025">
        <v>0</v>
      </c>
      <c r="PP23" s="1025">
        <v>0</v>
      </c>
      <c r="PQ23" s="1025">
        <v>0</v>
      </c>
      <c r="PR23" s="1025">
        <v>0</v>
      </c>
      <c r="PS23" s="1025">
        <v>0</v>
      </c>
      <c r="PT23" s="1025">
        <v>0</v>
      </c>
      <c r="PU23" s="1025">
        <v>0</v>
      </c>
      <c r="PV23" s="1025">
        <v>0</v>
      </c>
      <c r="PW23" s="1025">
        <v>0</v>
      </c>
      <c r="PX23" s="1025">
        <v>0</v>
      </c>
      <c r="PY23" s="1025">
        <v>0</v>
      </c>
      <c r="PZ23" s="1025">
        <v>0</v>
      </c>
      <c r="QA23" s="1025">
        <v>0</v>
      </c>
      <c r="QB23" s="1025">
        <v>0</v>
      </c>
      <c r="QC23" s="1025">
        <v>0</v>
      </c>
      <c r="QD23" s="1025">
        <v>-55.82</v>
      </c>
      <c r="QE23" s="1025">
        <v>-11.99</v>
      </c>
      <c r="QF23" s="1025">
        <v>-19.61</v>
      </c>
      <c r="QG23" s="1025">
        <v>-12.92</v>
      </c>
      <c r="QH23" s="1025">
        <v>4.6060068064949999E-2</v>
      </c>
      <c r="QI23" s="1025">
        <v>-3.91</v>
      </c>
      <c r="QJ23" s="1025">
        <v>0</v>
      </c>
      <c r="QK23" s="1025">
        <v>0</v>
      </c>
      <c r="QL23" s="1025">
        <v>0</v>
      </c>
      <c r="QM23" s="1025">
        <v>0</v>
      </c>
      <c r="QN23" s="1025">
        <v>0</v>
      </c>
      <c r="QO23" s="1025">
        <v>0</v>
      </c>
      <c r="QP23" s="1025">
        <v>0</v>
      </c>
      <c r="QQ23" s="1025">
        <v>0</v>
      </c>
      <c r="QR23" s="1025">
        <v>0</v>
      </c>
      <c r="QS23" s="1025">
        <v>0</v>
      </c>
      <c r="QT23" s="1025">
        <v>0</v>
      </c>
      <c r="QU23" s="1025">
        <v>0</v>
      </c>
      <c r="QV23" s="1025">
        <v>0</v>
      </c>
      <c r="QW23" s="1025">
        <v>0</v>
      </c>
      <c r="QX23" s="1025">
        <v>0</v>
      </c>
      <c r="QY23" s="1025">
        <v>0</v>
      </c>
      <c r="QZ23" s="1025">
        <v>0</v>
      </c>
      <c r="RA23" s="1025">
        <v>0</v>
      </c>
      <c r="RB23" s="1025">
        <v>0</v>
      </c>
      <c r="RC23" s="1025">
        <v>0</v>
      </c>
      <c r="RD23" s="1025">
        <v>0</v>
      </c>
      <c r="RE23" s="1025">
        <v>0</v>
      </c>
      <c r="RF23" s="1025">
        <v>0</v>
      </c>
      <c r="RG23" s="1025">
        <v>0</v>
      </c>
      <c r="RH23" s="1011">
        <v>-0.6</v>
      </c>
      <c r="RI23" s="1026">
        <v>0</v>
      </c>
      <c r="RJ23" s="1026">
        <v>0</v>
      </c>
      <c r="RK23" s="1026">
        <v>0</v>
      </c>
      <c r="RL23" s="1026">
        <v>0</v>
      </c>
      <c r="RM23" s="1011">
        <v>-3.1108822695035498</v>
      </c>
      <c r="RN23" s="1011">
        <v>0.1</v>
      </c>
      <c r="RO23" s="1011">
        <v>0</v>
      </c>
      <c r="RP23" s="1011">
        <v>0</v>
      </c>
      <c r="RQ23" s="1011">
        <v>0</v>
      </c>
      <c r="RR23" s="1011">
        <v>0</v>
      </c>
      <c r="RS23" s="1011">
        <v>0.23</v>
      </c>
      <c r="RT23" s="1011">
        <v>-9.0767508396599993E-3</v>
      </c>
      <c r="RU23" s="1011">
        <v>0</v>
      </c>
      <c r="RV23" s="1011">
        <v>0</v>
      </c>
      <c r="RW23" s="1011">
        <v>-2.3954794799700002E-3</v>
      </c>
      <c r="RX23" s="1011">
        <v>0</v>
      </c>
      <c r="RY23" s="1011">
        <v>-0.47</v>
      </c>
      <c r="RZ23" s="1026">
        <v>0</v>
      </c>
      <c r="SA23" s="1026">
        <v>0</v>
      </c>
      <c r="SB23" s="1026">
        <v>0</v>
      </c>
      <c r="SC23" s="1026">
        <v>0</v>
      </c>
      <c r="SD23" s="1026">
        <v>0</v>
      </c>
      <c r="SE23" s="1026">
        <v>0</v>
      </c>
      <c r="SF23" s="1026">
        <v>0</v>
      </c>
      <c r="SG23" s="1026">
        <v>0</v>
      </c>
      <c r="SH23" s="1026">
        <v>0</v>
      </c>
      <c r="SI23" s="1026">
        <v>0</v>
      </c>
      <c r="SJ23" s="1026">
        <v>0</v>
      </c>
      <c r="SK23" s="1026">
        <v>0</v>
      </c>
      <c r="SL23" s="1025">
        <v>-55.82</v>
      </c>
      <c r="SM23" s="1025">
        <v>-11.99</v>
      </c>
      <c r="SN23" s="1025">
        <v>-19.61</v>
      </c>
      <c r="SO23" s="1025">
        <v>-12.92</v>
      </c>
      <c r="SP23" s="1025">
        <v>-1.07225369578546</v>
      </c>
      <c r="SQ23" s="1025">
        <v>-0.59</v>
      </c>
      <c r="SR23" s="1025">
        <v>-0.12913436945737</v>
      </c>
      <c r="SS23" s="1025">
        <v>0</v>
      </c>
      <c r="ST23" s="1025">
        <v>0</v>
      </c>
      <c r="SU23" s="1025">
        <v>0</v>
      </c>
      <c r="SV23" s="1025">
        <v>-0.75737307686747002</v>
      </c>
      <c r="SW23" s="1025">
        <v>0</v>
      </c>
      <c r="SX23" s="1025">
        <v>-0.15496124334884001</v>
      </c>
      <c r="SY23" s="1025">
        <v>0</v>
      </c>
      <c r="SZ23" s="1025">
        <v>0</v>
      </c>
      <c r="TA23" s="1025">
        <v>0</v>
      </c>
      <c r="TB23" s="1025">
        <v>-1.39367584496439</v>
      </c>
      <c r="TC23" s="1025">
        <v>0</v>
      </c>
      <c r="TD23" s="1025">
        <v>0</v>
      </c>
      <c r="TE23" s="1025">
        <v>0</v>
      </c>
      <c r="TF23" s="1025">
        <v>0</v>
      </c>
      <c r="TG23" s="1025">
        <v>0</v>
      </c>
      <c r="TH23" s="1025">
        <v>0</v>
      </c>
      <c r="TI23" s="1025">
        <v>0</v>
      </c>
      <c r="TJ23" s="1025">
        <v>-0.15496124334885</v>
      </c>
      <c r="TK23" s="1025">
        <v>0</v>
      </c>
      <c r="TL23" s="1025">
        <v>0</v>
      </c>
      <c r="TM23" s="1025">
        <v>0</v>
      </c>
      <c r="TN23" s="1025">
        <v>-1.3435541332540599</v>
      </c>
      <c r="TO23" s="1025">
        <v>0</v>
      </c>
      <c r="TP23" s="1025">
        <v>-55.82</v>
      </c>
      <c r="TQ23" s="1025">
        <v>-11.99</v>
      </c>
      <c r="TR23" s="1025">
        <v>-19.61</v>
      </c>
      <c r="TS23" s="1025">
        <v>-12.92</v>
      </c>
      <c r="TT23" s="1025">
        <v>-0.84497718120804999</v>
      </c>
      <c r="TU23" s="1025">
        <v>-0.9</v>
      </c>
      <c r="TV23" s="1025">
        <v>0</v>
      </c>
      <c r="TW23" s="1025">
        <v>0</v>
      </c>
      <c r="TX23" s="1025">
        <v>0</v>
      </c>
      <c r="TY23" s="1025">
        <v>0</v>
      </c>
      <c r="TZ23" s="1025">
        <v>0</v>
      </c>
      <c r="UA23" s="1025">
        <v>0</v>
      </c>
      <c r="UB23" s="1025">
        <v>0</v>
      </c>
      <c r="UC23" s="1025">
        <v>0</v>
      </c>
      <c r="UD23" s="1025">
        <v>0</v>
      </c>
      <c r="UE23" s="1025">
        <v>0</v>
      </c>
      <c r="UF23" s="1025">
        <v>0</v>
      </c>
      <c r="UG23" s="1025">
        <v>0</v>
      </c>
      <c r="UH23" s="1025">
        <v>0</v>
      </c>
      <c r="UI23" s="1025">
        <v>0</v>
      </c>
      <c r="UJ23" s="1025">
        <v>0</v>
      </c>
      <c r="UK23" s="1025">
        <v>0</v>
      </c>
      <c r="UL23" s="1025">
        <v>0</v>
      </c>
      <c r="UM23" s="1025">
        <v>0</v>
      </c>
      <c r="UN23" s="1025">
        <v>0</v>
      </c>
      <c r="UO23" s="1025">
        <v>0</v>
      </c>
      <c r="UP23" s="1025">
        <v>0</v>
      </c>
      <c r="UQ23" s="1025">
        <v>0</v>
      </c>
      <c r="UR23" s="1025">
        <v>0</v>
      </c>
      <c r="US23" s="1025">
        <v>0</v>
      </c>
      <c r="UT23" s="1025">
        <v>1.0046888903139199</v>
      </c>
      <c r="UU23" s="1025">
        <v>0.16710577309979999</v>
      </c>
      <c r="UV23" s="1025">
        <v>-0.20275762945598999</v>
      </c>
      <c r="UW23" s="1025">
        <v>1.2390474038300001E-2</v>
      </c>
      <c r="UX23" s="1025">
        <v>-5.5329298001249999E-2</v>
      </c>
      <c r="UY23" s="1025">
        <v>-0.44750344212965998</v>
      </c>
      <c r="UZ23" s="1025">
        <v>-2.6800558377699998E-3</v>
      </c>
      <c r="VA23" s="1025">
        <v>0</v>
      </c>
      <c r="VB23" s="1025">
        <v>0</v>
      </c>
      <c r="VC23" s="1025">
        <v>0</v>
      </c>
      <c r="VD23" s="1025">
        <v>4.3345790606010001E-2</v>
      </c>
      <c r="VE23" s="1025">
        <v>0</v>
      </c>
      <c r="VF23" s="1025">
        <v>0</v>
      </c>
      <c r="VG23" s="1025">
        <v>0</v>
      </c>
      <c r="VH23" s="1025">
        <v>0</v>
      </c>
      <c r="VI23" s="1025">
        <v>0</v>
      </c>
      <c r="VJ23" s="1025">
        <v>0.14138326334163001</v>
      </c>
      <c r="VK23" s="1025">
        <v>-6.76163329988798</v>
      </c>
      <c r="VL23" s="1025">
        <v>0.12020443037641</v>
      </c>
      <c r="VM23" s="1025">
        <v>0</v>
      </c>
      <c r="VN23" s="1025">
        <v>0</v>
      </c>
      <c r="VO23" s="1025">
        <v>0</v>
      </c>
      <c r="VP23" s="1025">
        <v>0</v>
      </c>
      <c r="VQ23" s="1025">
        <v>-3.11</v>
      </c>
      <c r="VR23" s="1010">
        <v>0</v>
      </c>
      <c r="VS23" s="1010">
        <v>0</v>
      </c>
      <c r="VT23" s="1010">
        <v>0</v>
      </c>
      <c r="VU23" s="1010">
        <v>0</v>
      </c>
      <c r="VV23" s="1010">
        <v>0</v>
      </c>
      <c r="VW23" s="1010">
        <v>0</v>
      </c>
      <c r="VX23" s="1025">
        <v>0</v>
      </c>
      <c r="VY23" s="1025">
        <v>0</v>
      </c>
      <c r="VZ23" s="1025">
        <v>0</v>
      </c>
      <c r="WA23" s="1025">
        <v>0</v>
      </c>
      <c r="WB23" s="1025">
        <v>0</v>
      </c>
      <c r="WC23" s="1025">
        <v>0</v>
      </c>
      <c r="WD23" s="995">
        <v>202</v>
      </c>
      <c r="WE23" s="995">
        <v>267</v>
      </c>
      <c r="WF23" s="995">
        <v>354</v>
      </c>
      <c r="WG23" s="995">
        <v>382</v>
      </c>
      <c r="WH23" s="995">
        <v>403</v>
      </c>
      <c r="WI23" s="995">
        <v>0</v>
      </c>
      <c r="WJ23" s="995">
        <v>1300</v>
      </c>
      <c r="WK23" s="1001">
        <v>0</v>
      </c>
      <c r="WL23" s="1001">
        <v>0</v>
      </c>
      <c r="WM23" s="1001">
        <v>0</v>
      </c>
      <c r="WN23" s="1001">
        <v>0</v>
      </c>
      <c r="WO23" s="1001">
        <v>0</v>
      </c>
      <c r="WP23" s="1001">
        <v>0</v>
      </c>
      <c r="WQ23" s="1001">
        <v>0</v>
      </c>
      <c r="WR23" s="1001">
        <v>0</v>
      </c>
      <c r="WS23" s="1001">
        <v>0</v>
      </c>
      <c r="WT23" s="1001">
        <v>0</v>
      </c>
      <c r="WU23" s="1001">
        <v>0</v>
      </c>
      <c r="WV23" s="1001">
        <v>0</v>
      </c>
      <c r="WW23" s="1001">
        <v>0</v>
      </c>
      <c r="WX23" s="1001">
        <v>0</v>
      </c>
      <c r="WY23" s="1001">
        <v>0</v>
      </c>
      <c r="WZ23" s="1001">
        <v>0</v>
      </c>
      <c r="XA23" s="1001">
        <v>0</v>
      </c>
      <c r="XB23" s="1001">
        <v>0</v>
      </c>
      <c r="XC23" s="1001">
        <v>0</v>
      </c>
      <c r="XD23" s="1001">
        <v>0</v>
      </c>
      <c r="XE23" s="1001">
        <v>0</v>
      </c>
      <c r="XF23" s="1001">
        <v>0</v>
      </c>
      <c r="XG23" s="1001">
        <v>0</v>
      </c>
      <c r="XH23" s="1001">
        <v>0</v>
      </c>
      <c r="XI23" s="1001">
        <v>0</v>
      </c>
      <c r="XJ23" s="1001">
        <v>0</v>
      </c>
      <c r="XK23" s="1001">
        <v>0</v>
      </c>
      <c r="XL23" s="1001">
        <v>0</v>
      </c>
      <c r="XM23" s="1001">
        <v>0</v>
      </c>
      <c r="XN23" s="1001">
        <v>0</v>
      </c>
      <c r="XO23" s="1001">
        <v>0</v>
      </c>
      <c r="XP23" s="1001">
        <v>0</v>
      </c>
      <c r="XQ23" s="1001">
        <v>0</v>
      </c>
      <c r="XR23" s="1027">
        <v>119.6103</v>
      </c>
      <c r="XS23" s="1013">
        <v>95</v>
      </c>
      <c r="XT23" s="1013">
        <v>105</v>
      </c>
      <c r="XU23" s="1013">
        <v>110</v>
      </c>
      <c r="XV23" s="1013">
        <v>169</v>
      </c>
      <c r="XW23" s="1028"/>
      <c r="XX23" s="1030">
        <v>76</v>
      </c>
      <c r="XY23" s="1030">
        <v>19</v>
      </c>
      <c r="XZ23" s="1030">
        <v>5</v>
      </c>
      <c r="YA23" s="1029">
        <v>0</v>
      </c>
      <c r="YB23" s="1030">
        <v>4275</v>
      </c>
      <c r="YC23" s="1030">
        <v>0</v>
      </c>
      <c r="YD23" s="1030">
        <v>0</v>
      </c>
      <c r="YE23" s="1030">
        <v>0</v>
      </c>
      <c r="YF23" s="1030">
        <v>0</v>
      </c>
      <c r="YG23" s="1030">
        <v>0</v>
      </c>
      <c r="YH23" s="1030">
        <v>0</v>
      </c>
      <c r="YI23" s="1030">
        <v>0</v>
      </c>
      <c r="YJ23" s="1030">
        <v>4725</v>
      </c>
      <c r="YK23" s="1030">
        <v>0</v>
      </c>
      <c r="YL23" s="1030">
        <v>0</v>
      </c>
      <c r="YM23" s="1030">
        <v>0</v>
      </c>
      <c r="YN23" s="1030">
        <v>0</v>
      </c>
      <c r="YO23" s="1030">
        <v>0</v>
      </c>
      <c r="YP23" s="1030">
        <v>0</v>
      </c>
      <c r="YQ23" s="1030">
        <v>0</v>
      </c>
      <c r="YR23" s="1030">
        <v>4950</v>
      </c>
      <c r="YS23" s="1030">
        <v>0</v>
      </c>
      <c r="YT23" s="1030">
        <v>0</v>
      </c>
      <c r="YU23" s="1030">
        <v>0</v>
      </c>
      <c r="YV23" s="1030">
        <v>0</v>
      </c>
      <c r="YW23" s="1030">
        <v>0</v>
      </c>
      <c r="YX23" s="1030">
        <v>0</v>
      </c>
      <c r="YY23" s="1030">
        <v>0</v>
      </c>
      <c r="YZ23" s="1030">
        <v>7605</v>
      </c>
      <c r="ZA23" s="1030">
        <v>0</v>
      </c>
      <c r="ZB23" s="1030">
        <v>0</v>
      </c>
      <c r="ZC23" s="1030">
        <v>0</v>
      </c>
      <c r="ZD23" s="1030">
        <v>0</v>
      </c>
      <c r="ZE23" s="1030">
        <v>0</v>
      </c>
      <c r="ZF23" s="1030">
        <v>0</v>
      </c>
      <c r="ZG23" s="1030">
        <v>0</v>
      </c>
      <c r="ZH23" s="1030">
        <v>2061.5</v>
      </c>
      <c r="ZI23" s="1030">
        <v>3769.6</v>
      </c>
      <c r="ZJ23" s="1030">
        <v>58.9</v>
      </c>
      <c r="ZK23" s="1030">
        <v>0</v>
      </c>
      <c r="ZL23" s="1030">
        <v>0</v>
      </c>
      <c r="ZM23" s="1030">
        <v>0</v>
      </c>
      <c r="ZN23" s="1030"/>
      <c r="ZO23" s="1030">
        <v>0</v>
      </c>
      <c r="ZP23" s="1030">
        <v>2278.5</v>
      </c>
      <c r="ZQ23" s="1030">
        <v>4166.3999999999996</v>
      </c>
      <c r="ZR23" s="1030">
        <v>65.099999999999994</v>
      </c>
      <c r="ZS23" s="1030">
        <v>0</v>
      </c>
      <c r="ZT23" s="1030">
        <v>0</v>
      </c>
      <c r="ZU23" s="1030">
        <v>0</v>
      </c>
      <c r="ZV23" s="1030">
        <v>0</v>
      </c>
      <c r="ZW23" s="1030">
        <v>0</v>
      </c>
      <c r="ZX23" s="1030">
        <v>2387</v>
      </c>
      <c r="ZY23" s="1030">
        <v>4364.8</v>
      </c>
      <c r="ZZ23" s="1030">
        <v>68.2</v>
      </c>
      <c r="AAA23" s="1030">
        <v>0</v>
      </c>
      <c r="AAB23" s="1030">
        <v>0</v>
      </c>
      <c r="AAC23" s="1030">
        <v>0</v>
      </c>
      <c r="AAD23" s="1030">
        <v>0</v>
      </c>
      <c r="AAE23" s="1030">
        <v>0</v>
      </c>
      <c r="AAF23" s="1030">
        <v>3667.2999999999997</v>
      </c>
      <c r="AAG23" s="1030">
        <v>6705.92</v>
      </c>
      <c r="AAH23" s="1030">
        <v>104.78</v>
      </c>
      <c r="AAI23" s="1030">
        <v>0</v>
      </c>
      <c r="AAJ23" s="1030">
        <v>0</v>
      </c>
      <c r="AAK23" s="1030">
        <v>0</v>
      </c>
      <c r="AAL23" s="1030">
        <v>0</v>
      </c>
      <c r="AAM23" s="1030">
        <v>0</v>
      </c>
      <c r="AAN23" s="1030">
        <v>3605.25</v>
      </c>
      <c r="AAO23" s="1030">
        <v>11599.5</v>
      </c>
      <c r="AAP23" s="1030">
        <v>470.25</v>
      </c>
      <c r="AAQ23" s="1030">
        <v>0</v>
      </c>
      <c r="AAR23" s="1030">
        <v>0</v>
      </c>
      <c r="AAS23" s="1030">
        <v>0</v>
      </c>
      <c r="AAT23" s="1030">
        <v>0</v>
      </c>
      <c r="AAU23" s="1030"/>
      <c r="AAV23" s="1030">
        <v>1071</v>
      </c>
      <c r="AAW23" s="1030">
        <v>11959.5</v>
      </c>
      <c r="AAX23" s="1030">
        <v>4819.5</v>
      </c>
      <c r="AAY23" s="1030">
        <v>0</v>
      </c>
      <c r="AAZ23" s="1030">
        <v>0</v>
      </c>
      <c r="ABA23" s="1030">
        <v>0</v>
      </c>
      <c r="ABB23" s="1030">
        <v>0</v>
      </c>
      <c r="ABC23" s="1030"/>
      <c r="ABD23" s="1030">
        <v>1122</v>
      </c>
      <c r="ABE23" s="1030">
        <v>12529</v>
      </c>
      <c r="ABF23" s="1030">
        <v>5049</v>
      </c>
      <c r="ABG23" s="1030">
        <v>0</v>
      </c>
      <c r="ABH23" s="1030">
        <v>0</v>
      </c>
      <c r="ABI23" s="1030">
        <v>0</v>
      </c>
      <c r="ABJ23" s="1030">
        <v>0</v>
      </c>
      <c r="ABK23" s="1030"/>
      <c r="ABL23" s="1030">
        <v>1723.8</v>
      </c>
      <c r="ABM23" s="1030">
        <v>19249.100000000002</v>
      </c>
      <c r="ABN23" s="1030">
        <v>7757.1</v>
      </c>
      <c r="ABO23" s="1030">
        <v>0</v>
      </c>
      <c r="ABP23" s="1030">
        <v>0</v>
      </c>
      <c r="ABQ23" s="1030">
        <v>0</v>
      </c>
      <c r="ABR23" s="1030">
        <v>0</v>
      </c>
      <c r="ABS23" s="1030"/>
      <c r="ABT23" s="1030">
        <v>12076.400000000001</v>
      </c>
      <c r="ABU23" s="1030">
        <v>8410.35</v>
      </c>
      <c r="ABV23" s="1030">
        <v>1078.25</v>
      </c>
      <c r="ABW23" s="1030">
        <v>0</v>
      </c>
      <c r="ABX23" s="1030">
        <v>0</v>
      </c>
      <c r="ABY23" s="1030">
        <v>0</v>
      </c>
      <c r="ABZ23" s="1030">
        <v>0</v>
      </c>
      <c r="ACA23" s="1030"/>
      <c r="ACB23" s="1030">
        <v>1176</v>
      </c>
      <c r="ACC23" s="1030">
        <v>14112</v>
      </c>
      <c r="ACD23" s="1030">
        <v>8232</v>
      </c>
      <c r="ACE23" s="1030">
        <v>0</v>
      </c>
      <c r="ACF23" s="1030">
        <v>0</v>
      </c>
      <c r="ACG23" s="1030">
        <v>0</v>
      </c>
      <c r="ACH23" s="1030">
        <v>0</v>
      </c>
      <c r="ACI23" s="1030"/>
      <c r="ACJ23" s="1030">
        <v>1232</v>
      </c>
      <c r="ACK23" s="1030">
        <v>14784</v>
      </c>
      <c r="ACL23" s="1030">
        <v>8624</v>
      </c>
      <c r="ACM23" s="1030">
        <v>0</v>
      </c>
      <c r="ACN23" s="1030">
        <v>0</v>
      </c>
      <c r="ACO23" s="1030">
        <v>0</v>
      </c>
      <c r="ACP23" s="1030">
        <v>0</v>
      </c>
      <c r="ACQ23" s="1030"/>
      <c r="ACR23" s="1030">
        <v>1892.8000000000002</v>
      </c>
      <c r="ACS23" s="1030">
        <v>22713.599999999999</v>
      </c>
      <c r="ACT23" s="1030">
        <v>13249.599999999999</v>
      </c>
      <c r="ACU23" s="1030">
        <v>0</v>
      </c>
      <c r="ACV23" s="1030">
        <v>0</v>
      </c>
      <c r="ACW23" s="1030">
        <v>0</v>
      </c>
      <c r="ACX23" s="1030">
        <v>0</v>
      </c>
      <c r="ACY23" s="1030"/>
      <c r="ACZ23" s="1030">
        <v>7411.150085218751</v>
      </c>
      <c r="ADA23" s="1030">
        <v>5877.8086882769412</v>
      </c>
      <c r="ADB23" s="1030">
        <v>10477.832879102372</v>
      </c>
      <c r="ADC23" s="1030">
        <v>1277.784497451509</v>
      </c>
      <c r="ADD23" s="1030">
        <v>0</v>
      </c>
      <c r="ADE23" s="1030">
        <v>0</v>
      </c>
      <c r="ADF23" s="1030">
        <v>511.11379898060352</v>
      </c>
      <c r="ADG23" s="1030">
        <v>0</v>
      </c>
      <c r="ADH23" s="1030">
        <v>7923.309395619206</v>
      </c>
      <c r="ADI23" s="1030">
        <v>6284.0040034221302</v>
      </c>
      <c r="ADJ23" s="1030">
        <v>11201.920180013361</v>
      </c>
      <c r="ADK23" s="1030">
        <v>1366.0878268308979</v>
      </c>
      <c r="ADL23" s="1030">
        <v>0</v>
      </c>
      <c r="ADM23" s="1030">
        <v>0</v>
      </c>
      <c r="ADN23" s="1030">
        <v>546.43513073235908</v>
      </c>
      <c r="ADO23" s="1030">
        <v>0</v>
      </c>
      <c r="ADP23" s="1030">
        <v>8300.6098430296443</v>
      </c>
      <c r="ADQ23" s="1030">
        <v>6583.2422892993736</v>
      </c>
      <c r="ADR23" s="1030">
        <v>11735.344950490186</v>
      </c>
      <c r="ADS23" s="1030">
        <v>1431.1396281085595</v>
      </c>
      <c r="ADT23" s="1030">
        <v>0</v>
      </c>
      <c r="ADU23" s="1030">
        <v>0</v>
      </c>
      <c r="ADV23" s="1030">
        <v>572.45585124342381</v>
      </c>
      <c r="ADW23" s="1030">
        <v>0</v>
      </c>
      <c r="ADX23" s="1030">
        <v>12752.755122472819</v>
      </c>
      <c r="ADY23" s="1030">
        <v>10114.254062650858</v>
      </c>
      <c r="ADZ23" s="1030">
        <v>18029.757242116742</v>
      </c>
      <c r="AEA23" s="1030">
        <v>2198.7508831849691</v>
      </c>
      <c r="AEB23" s="1030">
        <v>0</v>
      </c>
      <c r="AEC23" s="1030">
        <v>0</v>
      </c>
      <c r="AED23" s="1030">
        <v>879.50035327398757</v>
      </c>
      <c r="AEE23" s="1030">
        <v>0</v>
      </c>
      <c r="AEF23" s="1030">
        <v>9049.6696618827609</v>
      </c>
      <c r="AEG23" s="1030">
        <v>7177.3242145966733</v>
      </c>
      <c r="AEH23" s="1030">
        <v>12794.360556454938</v>
      </c>
      <c r="AEI23" s="1030">
        <v>1560.2878727384073</v>
      </c>
      <c r="AEJ23" s="1030">
        <v>0</v>
      </c>
      <c r="AEK23" s="1030">
        <v>0</v>
      </c>
      <c r="AEL23" s="1030">
        <v>624.11514909536288</v>
      </c>
      <c r="AEM23" s="1030">
        <v>0</v>
      </c>
      <c r="AEN23" s="1030">
        <v>9735.1241720918588</v>
      </c>
      <c r="AEO23" s="1030">
        <v>7720.9605502797504</v>
      </c>
      <c r="AEP23" s="1030">
        <v>13763.451415716076</v>
      </c>
      <c r="AEQ23" s="1030">
        <v>1678.4696848434241</v>
      </c>
      <c r="AER23" s="1030">
        <v>0</v>
      </c>
      <c r="AES23" s="1030">
        <v>0</v>
      </c>
      <c r="AET23" s="1030">
        <v>671.38787393736959</v>
      </c>
      <c r="AEU23" s="1030">
        <v>0</v>
      </c>
      <c r="AEV23" s="1030">
        <v>10198.701513620039</v>
      </c>
      <c r="AEW23" s="1030">
        <v>8088.6253383883086</v>
      </c>
      <c r="AEX23" s="1030">
        <v>14418.853864083505</v>
      </c>
      <c r="AEY23" s="1030">
        <v>1758.3968126931104</v>
      </c>
      <c r="AEZ23" s="1030">
        <v>0</v>
      </c>
      <c r="AFA23" s="1030">
        <v>0</v>
      </c>
      <c r="AFB23" s="1030">
        <v>703.35872507724423</v>
      </c>
      <c r="AFC23" s="1030">
        <v>0</v>
      </c>
      <c r="AFD23" s="1030">
        <v>15668.91414365261</v>
      </c>
      <c r="AFE23" s="1030">
        <v>12427.069838069312</v>
      </c>
      <c r="AFF23" s="1030">
        <v>22152.602754819207</v>
      </c>
      <c r="AFG23" s="1030">
        <v>2701.5369213194158</v>
      </c>
      <c r="AFH23" s="1030">
        <v>0</v>
      </c>
      <c r="AFI23" s="1030">
        <v>0</v>
      </c>
      <c r="AFJ23" s="1030">
        <v>1080.6147685277663</v>
      </c>
      <c r="AFK23" s="1030">
        <v>0</v>
      </c>
      <c r="AFL23" s="1023">
        <v>10436.109303675385</v>
      </c>
      <c r="AFM23" s="1023">
        <v>8276.9142753287542</v>
      </c>
      <c r="AFN23" s="1023">
        <v>14754.499360368647</v>
      </c>
      <c r="AFO23" s="1023">
        <v>1799.3291902888595</v>
      </c>
      <c r="AFP23" s="1023">
        <v>0</v>
      </c>
      <c r="AFQ23" s="1023">
        <v>0</v>
      </c>
      <c r="AFR23" s="1023">
        <v>719.73167611554379</v>
      </c>
      <c r="AFS23" s="1023">
        <v>0</v>
      </c>
      <c r="AFT23" s="1023">
        <v>11087.224751549058</v>
      </c>
      <c r="AFU23" s="1023">
        <v>8793.3161822630464</v>
      </c>
      <c r="AFV23" s="1023">
        <v>15675.041890121083</v>
      </c>
      <c r="AFW23" s="1023">
        <v>1911.5904744050104</v>
      </c>
      <c r="AFX23" s="1023">
        <v>0</v>
      </c>
      <c r="AFY23" s="1023">
        <v>0</v>
      </c>
      <c r="AFZ23" s="1023">
        <v>764.63618976200405</v>
      </c>
      <c r="AGA23" s="1023">
        <v>0</v>
      </c>
      <c r="AGB23" s="1023">
        <v>11615.187834956156</v>
      </c>
      <c r="AGC23" s="1023">
        <v>9212.0455242755725</v>
      </c>
      <c r="AGD23" s="1023">
        <v>16421.472456317326</v>
      </c>
      <c r="AGE23" s="1023">
        <v>2002.6185922338202</v>
      </c>
      <c r="AGF23" s="1023">
        <v>0</v>
      </c>
      <c r="AGG23" s="1023">
        <v>0</v>
      </c>
      <c r="AGH23" s="1023">
        <v>801.04743689352813</v>
      </c>
      <c r="AGI23" s="1023">
        <v>0</v>
      </c>
      <c r="AGJ23" s="1023">
        <v>17845.152219159914</v>
      </c>
      <c r="AGK23" s="1023">
        <v>14153.051760023382</v>
      </c>
      <c r="AGL23" s="1023">
        <v>25229.353137432983</v>
      </c>
      <c r="AGM23" s="1023">
        <v>3076.7503826137786</v>
      </c>
      <c r="AGN23" s="1023">
        <v>0</v>
      </c>
      <c r="AGO23" s="1023">
        <v>0</v>
      </c>
      <c r="AGP23" s="1023">
        <v>1230.7001530455113</v>
      </c>
      <c r="AGQ23" s="1023">
        <v>0</v>
      </c>
      <c r="AGR23" s="1030">
        <v>4159.3189253778701</v>
      </c>
      <c r="AGS23" s="1030">
        <v>3298.7701821962423</v>
      </c>
      <c r="AGT23" s="1030">
        <v>5880.4164117411274</v>
      </c>
      <c r="AGU23" s="1030">
        <v>717.12395265135706</v>
      </c>
      <c r="AGV23" s="1030">
        <v>0</v>
      </c>
      <c r="AGW23" s="1030">
        <v>0</v>
      </c>
      <c r="AGX23" s="1030">
        <v>286.84958106054279</v>
      </c>
      <c r="AGY23" s="1030">
        <v>0</v>
      </c>
      <c r="AGZ23" s="1030">
        <v>4597.1419701544883</v>
      </c>
      <c r="AHA23" s="1030">
        <v>3646.0091487432151</v>
      </c>
      <c r="AHB23" s="1030">
        <v>6499.4076129770347</v>
      </c>
      <c r="AHC23" s="1030">
        <v>792.61068450939456</v>
      </c>
      <c r="AHD23" s="1030">
        <v>0</v>
      </c>
      <c r="AHE23" s="1030">
        <v>0</v>
      </c>
      <c r="AHF23" s="1030">
        <v>317.04427380375785</v>
      </c>
      <c r="AHG23" s="1030">
        <v>0</v>
      </c>
      <c r="AHH23" s="1030">
        <v>4816.0534925427964</v>
      </c>
      <c r="AHI23" s="1030">
        <v>3819.6286320167014</v>
      </c>
      <c r="AHJ23" s="1030">
        <v>6808.9032135949883</v>
      </c>
      <c r="AHK23" s="1030">
        <v>830.35405043841331</v>
      </c>
      <c r="AHL23" s="1030">
        <v>0</v>
      </c>
      <c r="AHM23" s="1030">
        <v>0</v>
      </c>
      <c r="AHN23" s="1030">
        <v>332.14162017536535</v>
      </c>
      <c r="AHO23" s="1030">
        <v>0</v>
      </c>
      <c r="AHP23" s="1030">
        <v>7399.2094567248432</v>
      </c>
      <c r="AHQ23" s="1030">
        <v>5868.3385346438417</v>
      </c>
      <c r="AHR23" s="1030">
        <v>10460.951300886847</v>
      </c>
      <c r="AHS23" s="1030">
        <v>1275.7257684008352</v>
      </c>
      <c r="AHT23" s="1030">
        <v>0</v>
      </c>
      <c r="AHU23" s="1030">
        <v>0</v>
      </c>
      <c r="AHV23" s="1030">
        <v>510.29030736033405</v>
      </c>
      <c r="AHW23" s="1030">
        <v>0</v>
      </c>
      <c r="AHX23" s="1013">
        <v>165</v>
      </c>
      <c r="AHY23" s="1023">
        <v>0</v>
      </c>
      <c r="AHZ23" s="1023">
        <v>0</v>
      </c>
      <c r="AIA23" s="1023">
        <v>0</v>
      </c>
      <c r="AIB23" s="1023">
        <v>0</v>
      </c>
      <c r="AIC23" s="1023">
        <v>0</v>
      </c>
      <c r="AID23" s="1023">
        <v>0</v>
      </c>
      <c r="AIE23" s="1023">
        <v>0</v>
      </c>
      <c r="AIF23" s="1017">
        <v>420</v>
      </c>
      <c r="AIG23" s="1017">
        <v>32.409999999999997</v>
      </c>
      <c r="AIH23" s="1017">
        <v>27.01</v>
      </c>
      <c r="AII23" s="1017">
        <v>0</v>
      </c>
      <c r="AIJ23" s="1017">
        <v>2.52</v>
      </c>
      <c r="AIK23" s="1017">
        <v>3.06</v>
      </c>
      <c r="AIL23" s="1017">
        <v>0</v>
      </c>
      <c r="AIM23" s="1017"/>
      <c r="AIN23" s="1016">
        <v>350</v>
      </c>
      <c r="AIO23" s="1016">
        <v>64.819999999999993</v>
      </c>
      <c r="AIP23" s="1017">
        <v>54.02</v>
      </c>
      <c r="AIQ23" s="1017">
        <v>0</v>
      </c>
      <c r="AIR23" s="1017">
        <v>5.04</v>
      </c>
      <c r="AIS23" s="1017">
        <v>6.12</v>
      </c>
      <c r="AIT23" s="1017">
        <v>0</v>
      </c>
      <c r="AIU23" s="1017">
        <v>0</v>
      </c>
      <c r="AIV23" s="1017">
        <v>120</v>
      </c>
      <c r="AIW23" s="1017">
        <v>47.37</v>
      </c>
      <c r="AIX23" s="1017">
        <v>39.47</v>
      </c>
      <c r="AIY23" s="1017">
        <v>0</v>
      </c>
      <c r="AIZ23" s="1017">
        <v>3.68</v>
      </c>
      <c r="AJA23" s="1017">
        <v>4.4800000000000004</v>
      </c>
      <c r="AJB23" s="1017">
        <v>0</v>
      </c>
      <c r="AJC23" s="1013">
        <v>0</v>
      </c>
      <c r="AJD23" s="1017">
        <v>129.6</v>
      </c>
      <c r="AJE23" s="1017">
        <v>96.93</v>
      </c>
      <c r="AJF23" s="1017">
        <v>80.78</v>
      </c>
      <c r="AJG23" s="1017">
        <v>0</v>
      </c>
      <c r="AJH23" s="1017">
        <v>7.54</v>
      </c>
      <c r="AJI23" s="1017">
        <v>9.15</v>
      </c>
      <c r="AJJ23" s="1017">
        <v>0</v>
      </c>
      <c r="AJK23" s="1013">
        <v>0</v>
      </c>
      <c r="AJL23" s="1013">
        <v>160</v>
      </c>
      <c r="AJM23" s="1013">
        <v>17.45</v>
      </c>
      <c r="AJN23" s="1013">
        <v>14.54</v>
      </c>
      <c r="AJO23" s="1013">
        <v>0</v>
      </c>
      <c r="AJP23" s="1013">
        <v>1.36</v>
      </c>
      <c r="AJQ23" s="1013">
        <v>1.65</v>
      </c>
      <c r="AJR23" s="1013">
        <v>0</v>
      </c>
      <c r="AJS23" s="1013"/>
      <c r="AJT23" s="1029" t="s">
        <v>858</v>
      </c>
      <c r="AJU23" s="988" t="s">
        <v>861</v>
      </c>
      <c r="AJV23" s="988" t="s">
        <v>860</v>
      </c>
      <c r="AJW23" s="988" t="s">
        <v>859</v>
      </c>
      <c r="AJX23" s="988" t="s">
        <v>870</v>
      </c>
      <c r="AJY23" s="988" t="s">
        <v>871</v>
      </c>
      <c r="AJZ23" s="988" t="s">
        <v>872</v>
      </c>
      <c r="AKA23" s="988" t="s">
        <v>873</v>
      </c>
      <c r="AKB23" s="988" t="s">
        <v>874</v>
      </c>
      <c r="AKC23" s="988" t="s">
        <v>875</v>
      </c>
      <c r="AKD23" s="1013">
        <v>123.75</v>
      </c>
      <c r="AKE23" s="1013">
        <v>0</v>
      </c>
      <c r="AKF23" s="1013">
        <v>0</v>
      </c>
      <c r="AKG23" s="1013">
        <v>0</v>
      </c>
      <c r="AKH23" s="1013">
        <v>0</v>
      </c>
      <c r="AKI23" s="1013">
        <v>0</v>
      </c>
      <c r="AKJ23" s="1013">
        <v>0</v>
      </c>
      <c r="AKK23" s="1013">
        <v>0</v>
      </c>
      <c r="AKL23" s="1017">
        <v>363.74999999999994</v>
      </c>
      <c r="AKM23" s="1017">
        <v>0</v>
      </c>
      <c r="AKN23" s="1017">
        <v>0</v>
      </c>
      <c r="AKO23" s="1017">
        <v>0</v>
      </c>
      <c r="AKP23" s="1017">
        <v>0</v>
      </c>
      <c r="AKQ23" s="1017">
        <v>0</v>
      </c>
      <c r="AKR23" s="1017">
        <v>0</v>
      </c>
      <c r="AKS23" s="1017">
        <v>0</v>
      </c>
      <c r="AKT23" s="1016">
        <v>360</v>
      </c>
      <c r="AKU23" s="1016">
        <v>0</v>
      </c>
      <c r="AKV23" s="1017">
        <v>0</v>
      </c>
      <c r="AKW23" s="1017">
        <v>0</v>
      </c>
      <c r="AKX23" s="1017">
        <v>0</v>
      </c>
      <c r="AKY23" s="1017">
        <v>0</v>
      </c>
      <c r="AKZ23" s="1017">
        <v>0</v>
      </c>
      <c r="ALA23" s="1017">
        <v>0</v>
      </c>
      <c r="ALB23" s="1017">
        <v>161.25</v>
      </c>
      <c r="ALC23" s="1017">
        <v>0</v>
      </c>
      <c r="ALD23" s="1017">
        <v>0</v>
      </c>
      <c r="ALE23" s="1017">
        <v>0</v>
      </c>
      <c r="ALF23" s="1017">
        <v>0</v>
      </c>
      <c r="ALG23" s="1017">
        <v>0</v>
      </c>
      <c r="ALH23" s="1017">
        <v>0</v>
      </c>
      <c r="ALI23" s="1013">
        <v>0</v>
      </c>
      <c r="ALJ23" s="1017">
        <v>243</v>
      </c>
      <c r="ALK23" s="1017">
        <v>0</v>
      </c>
      <c r="ALL23" s="1017">
        <v>0</v>
      </c>
      <c r="ALM23" s="1017">
        <v>0</v>
      </c>
      <c r="ALN23" s="1017">
        <v>0</v>
      </c>
      <c r="ALO23" s="1017">
        <v>0</v>
      </c>
      <c r="ALP23" s="1017">
        <v>0</v>
      </c>
      <c r="ALQ23" s="1013">
        <v>0</v>
      </c>
      <c r="ALR23" s="1013">
        <v>146.25</v>
      </c>
      <c r="ALS23" s="1013">
        <v>0</v>
      </c>
      <c r="ALT23" s="1013">
        <v>0</v>
      </c>
      <c r="ALU23" s="1013">
        <v>0</v>
      </c>
      <c r="ALV23" s="1013">
        <v>0</v>
      </c>
      <c r="ALW23" s="1013">
        <v>0</v>
      </c>
      <c r="ALX23" s="1013">
        <v>0</v>
      </c>
      <c r="ALY23" s="1013">
        <v>0</v>
      </c>
    </row>
    <row r="24" spans="1:1013" ht="18" customHeight="1">
      <c r="A24" s="1259" t="s">
        <v>14</v>
      </c>
      <c r="B24" s="1260" t="s">
        <v>3063</v>
      </c>
      <c r="C24" s="1260">
        <v>2022</v>
      </c>
      <c r="D24" s="1269"/>
      <c r="E24" s="1270">
        <v>0.3</v>
      </c>
      <c r="F24" s="1271">
        <v>0.2</v>
      </c>
      <c r="G24" s="1271">
        <v>0.2</v>
      </c>
      <c r="H24" s="76">
        <v>308.95970695970692</v>
      </c>
      <c r="I24" s="72">
        <v>-2.7</v>
      </c>
      <c r="J24" s="1271">
        <v>-3.9</v>
      </c>
      <c r="K24" s="1271">
        <v>-3.9</v>
      </c>
      <c r="L24" s="1265">
        <v>350</v>
      </c>
      <c r="M24" s="1262">
        <v>0</v>
      </c>
      <c r="N24" s="1262">
        <v>0</v>
      </c>
      <c r="O24" s="1262">
        <v>0</v>
      </c>
      <c r="P24" s="76">
        <v>1762.0233173515765</v>
      </c>
      <c r="Q24" s="75">
        <v>12</v>
      </c>
      <c r="R24" s="72">
        <v>0.4</v>
      </c>
      <c r="S24" s="72">
        <v>0.5</v>
      </c>
      <c r="T24" s="72">
        <v>0.5</v>
      </c>
      <c r="U24" s="1271">
        <v>0.5</v>
      </c>
      <c r="V24" s="1271">
        <v>0.3</v>
      </c>
      <c r="W24" s="1271">
        <v>94.5</v>
      </c>
      <c r="X24" s="1271">
        <v>4.7</v>
      </c>
      <c r="Y24" s="1272">
        <v>0</v>
      </c>
      <c r="Z24" s="75">
        <v>2</v>
      </c>
      <c r="AA24" s="72">
        <v>1.5</v>
      </c>
      <c r="AB24" s="75">
        <v>1</v>
      </c>
      <c r="AC24" s="72">
        <v>0.8</v>
      </c>
      <c r="AD24" s="72">
        <v>0.5</v>
      </c>
      <c r="AE24" s="390">
        <v>433.01922201480062</v>
      </c>
      <c r="AF24" s="390">
        <v>470.67306740739195</v>
      </c>
      <c r="AG24" s="390">
        <v>433.37222681535616</v>
      </c>
      <c r="AH24" s="390">
        <v>649.0581599547935</v>
      </c>
      <c r="AI24" s="400">
        <v>0.82209484106305364</v>
      </c>
      <c r="AJ24" s="390">
        <v>261.91600618637949</v>
      </c>
      <c r="AK24" s="390">
        <v>284.69131107215162</v>
      </c>
      <c r="AL24" s="390">
        <v>262.12952466968363</v>
      </c>
      <c r="AM24" s="390">
        <v>392.58931796849708</v>
      </c>
      <c r="AN24" s="400">
        <v>0.96717040125065135</v>
      </c>
      <c r="AO24" s="77">
        <v>0.1</v>
      </c>
      <c r="AP24" s="77">
        <v>0.2</v>
      </c>
      <c r="AQ24" s="77">
        <v>0.5</v>
      </c>
      <c r="AR24" s="77">
        <v>0.8</v>
      </c>
      <c r="AS24" s="77">
        <v>1.2</v>
      </c>
      <c r="AT24" s="77">
        <v>1.4</v>
      </c>
      <c r="AU24" s="77">
        <v>1.6</v>
      </c>
      <c r="AV24" s="1268">
        <v>0</v>
      </c>
      <c r="AW24" s="1268">
        <v>10</v>
      </c>
      <c r="AX24" s="1268">
        <v>20</v>
      </c>
      <c r="AY24" s="1268">
        <v>70</v>
      </c>
      <c r="AZ24" s="1268">
        <v>100</v>
      </c>
      <c r="BA24" s="1019">
        <v>12444.794601128844</v>
      </c>
      <c r="BB24" s="1031">
        <v>1.71</v>
      </c>
      <c r="BC24" s="988">
        <v>0.6</v>
      </c>
      <c r="BD24" s="988">
        <v>0.4</v>
      </c>
      <c r="BE24" s="988">
        <v>0.4</v>
      </c>
      <c r="BF24" s="1021">
        <v>0.17662031856602187</v>
      </c>
      <c r="BG24" s="1021">
        <v>0.17483623993638389</v>
      </c>
      <c r="BH24" s="1020">
        <v>5.9709143586614601</v>
      </c>
      <c r="BI24" s="1020">
        <v>2.2390520042987645</v>
      </c>
      <c r="BJ24" s="1020">
        <v>8.2770516397749549</v>
      </c>
      <c r="BK24" s="1020">
        <v>42.15435797304908</v>
      </c>
      <c r="BL24" s="1020">
        <v>0.73342904596029179</v>
      </c>
      <c r="BM24" s="1020"/>
      <c r="BN24" s="1020">
        <v>40.515527030312484</v>
      </c>
      <c r="BO24" s="1020">
        <v>4.2582671128225308E-2</v>
      </c>
      <c r="BP24" s="1020"/>
      <c r="BQ24" s="1020"/>
      <c r="BR24" s="1020"/>
      <c r="BS24" s="1020"/>
      <c r="BT24" s="1020"/>
      <c r="BU24" s="1020">
        <v>1.4368955152206316E-2</v>
      </c>
      <c r="BV24" s="1020">
        <v>5.2716321662525448E-2</v>
      </c>
      <c r="BW24" s="993">
        <v>261.13475999999997</v>
      </c>
      <c r="BX24" s="993">
        <v>96.5</v>
      </c>
      <c r="BY24" s="993">
        <v>63.215999999999994</v>
      </c>
      <c r="BZ24" s="993">
        <v>233.35949490734063</v>
      </c>
      <c r="CA24" s="993">
        <v>157.40783999999999</v>
      </c>
      <c r="CB24" s="990"/>
      <c r="CC24" s="993">
        <v>256.20808011776955</v>
      </c>
      <c r="CD24" s="993">
        <v>165.17663999999999</v>
      </c>
      <c r="CE24" s="990"/>
      <c r="CF24" s="989">
        <v>0</v>
      </c>
      <c r="CG24" s="993">
        <v>6.585</v>
      </c>
      <c r="CH24" s="993">
        <v>1.3169999999999999</v>
      </c>
      <c r="CI24" s="993">
        <v>38</v>
      </c>
      <c r="CJ24" s="993">
        <v>225.83915999999996</v>
      </c>
      <c r="CK24" s="990">
        <v>0.2</v>
      </c>
      <c r="CL24" s="993">
        <v>175.08124000000001</v>
      </c>
      <c r="CM24" s="993">
        <v>60.4</v>
      </c>
      <c r="CN24" s="993">
        <v>42.384</v>
      </c>
      <c r="CO24" s="993">
        <v>156.45894761061641</v>
      </c>
      <c r="CP24" s="993">
        <v>105.53616</v>
      </c>
      <c r="CQ24" s="990"/>
      <c r="CR24" s="993">
        <v>159.24945066654416</v>
      </c>
      <c r="CS24" s="993">
        <v>102.66767999999999</v>
      </c>
      <c r="CT24" s="990"/>
      <c r="CU24" s="993">
        <v>0</v>
      </c>
      <c r="CV24" s="993">
        <v>4.415</v>
      </c>
      <c r="CW24" s="993">
        <v>0.88300000000000001</v>
      </c>
      <c r="CX24" s="993">
        <v>27</v>
      </c>
      <c r="CY24" s="993">
        <v>151.41683999999998</v>
      </c>
      <c r="CZ24" s="990">
        <v>0.2</v>
      </c>
      <c r="DA24" s="988">
        <v>0.3</v>
      </c>
      <c r="DB24" s="988">
        <v>0.7</v>
      </c>
      <c r="DC24" s="988">
        <v>1.2</v>
      </c>
      <c r="DD24" s="988">
        <v>1.2</v>
      </c>
      <c r="DE24" s="1022">
        <v>3</v>
      </c>
      <c r="DF24" s="995">
        <v>0</v>
      </c>
      <c r="DG24" s="995">
        <v>10</v>
      </c>
      <c r="DH24" s="995">
        <v>20</v>
      </c>
      <c r="DI24" s="995">
        <v>70</v>
      </c>
      <c r="DJ24" s="995">
        <v>100</v>
      </c>
      <c r="DK24" s="1017">
        <v>57.925092637115739</v>
      </c>
      <c r="DL24" s="1022">
        <v>18</v>
      </c>
      <c r="DM24" s="989">
        <v>12</v>
      </c>
      <c r="DN24" s="988">
        <v>1.4</v>
      </c>
      <c r="DO24" s="988">
        <v>0.9</v>
      </c>
      <c r="DP24" s="988">
        <v>0.9</v>
      </c>
      <c r="DQ24" s="988" t="s">
        <v>659</v>
      </c>
      <c r="DR24" s="988" t="s">
        <v>660</v>
      </c>
      <c r="DS24" s="988" t="s">
        <v>661</v>
      </c>
      <c r="DT24" s="988" t="s">
        <v>662</v>
      </c>
      <c r="DU24" s="988" t="s">
        <v>663</v>
      </c>
      <c r="DV24" s="988" t="s">
        <v>664</v>
      </c>
      <c r="DW24" s="988" t="s">
        <v>665</v>
      </c>
      <c r="DX24" s="997">
        <v>144.57072932062391</v>
      </c>
      <c r="DY24" s="997">
        <v>80.021714619943978</v>
      </c>
      <c r="DZ24" s="997">
        <v>86.51835265463005</v>
      </c>
      <c r="EA24" s="997">
        <v>1547.9680224671793</v>
      </c>
      <c r="EB24" s="997">
        <v>243.44746313707105</v>
      </c>
      <c r="EC24" s="997">
        <v>1125.378694160313</v>
      </c>
      <c r="ED24" s="997">
        <v>204.59502364023862</v>
      </c>
      <c r="EE24" s="1022">
        <v>3.4325000000000001</v>
      </c>
      <c r="EF24" s="1022">
        <v>18</v>
      </c>
      <c r="EG24" s="991">
        <v>5</v>
      </c>
      <c r="EH24" s="1023">
        <v>1.4</v>
      </c>
      <c r="EI24" s="1023">
        <v>0.9</v>
      </c>
      <c r="EJ24" s="1023">
        <v>0.9</v>
      </c>
      <c r="EK24" s="988" t="s">
        <v>689</v>
      </c>
      <c r="EL24" s="988" t="s">
        <v>708</v>
      </c>
      <c r="EM24" s="988" t="s">
        <v>720</v>
      </c>
      <c r="EN24" s="988" t="s">
        <v>736</v>
      </c>
      <c r="EO24" s="988" t="s">
        <v>747</v>
      </c>
      <c r="EP24" s="988" t="s">
        <v>662</v>
      </c>
      <c r="EQ24" s="988" t="s">
        <v>663</v>
      </c>
      <c r="ER24" s="988" t="s">
        <v>768</v>
      </c>
      <c r="ES24" s="988" t="s">
        <v>774</v>
      </c>
      <c r="ET24" s="988" t="s">
        <v>664</v>
      </c>
      <c r="EU24" s="988" t="s">
        <v>784</v>
      </c>
      <c r="EV24" s="988" t="s">
        <v>665</v>
      </c>
      <c r="EW24" s="988" t="s">
        <v>792</v>
      </c>
      <c r="EX24" s="988" t="s">
        <v>640</v>
      </c>
      <c r="EY24" s="988" t="s">
        <v>640</v>
      </c>
      <c r="EZ24" s="988" t="s">
        <v>640</v>
      </c>
      <c r="FA24" s="988" t="s">
        <v>640</v>
      </c>
      <c r="FB24" s="988" t="s">
        <v>640</v>
      </c>
      <c r="FC24" s="988" t="s">
        <v>640</v>
      </c>
      <c r="FD24" s="988" t="s">
        <v>640</v>
      </c>
      <c r="FE24" s="988" t="s">
        <v>640</v>
      </c>
      <c r="FF24" s="988" t="s">
        <v>640</v>
      </c>
      <c r="FG24" s="988" t="s">
        <v>640</v>
      </c>
      <c r="FH24" s="988" t="s">
        <v>640</v>
      </c>
      <c r="FI24" s="988" t="s">
        <v>640</v>
      </c>
      <c r="FJ24" s="988" t="s">
        <v>640</v>
      </c>
      <c r="FK24" s="988" t="s">
        <v>640</v>
      </c>
      <c r="FL24" s="988" t="s">
        <v>640</v>
      </c>
      <c r="FM24" s="988" t="s">
        <v>640</v>
      </c>
      <c r="FN24" s="988" t="s">
        <v>640</v>
      </c>
      <c r="FO24" s="988" t="s">
        <v>640</v>
      </c>
      <c r="FP24" s="988" t="s">
        <v>640</v>
      </c>
      <c r="FQ24" s="988" t="s">
        <v>640</v>
      </c>
      <c r="FR24" s="988" t="s">
        <v>640</v>
      </c>
      <c r="FS24" s="988" t="s">
        <v>640</v>
      </c>
      <c r="FT24" s="988" t="s">
        <v>640</v>
      </c>
      <c r="FU24" s="988" t="s">
        <v>640</v>
      </c>
      <c r="FV24" s="988" t="s">
        <v>640</v>
      </c>
      <c r="FW24" s="988" t="s">
        <v>640</v>
      </c>
      <c r="FX24" s="988" t="s">
        <v>640</v>
      </c>
      <c r="FY24" s="988" t="s">
        <v>640</v>
      </c>
      <c r="FZ24" s="988" t="s">
        <v>640</v>
      </c>
      <c r="GA24" s="988" t="s">
        <v>640</v>
      </c>
      <c r="GB24" s="988" t="s">
        <v>640</v>
      </c>
      <c r="GC24" s="988" t="s">
        <v>640</v>
      </c>
      <c r="GD24" s="988" t="s">
        <v>640</v>
      </c>
      <c r="GE24" s="988" t="s">
        <v>640</v>
      </c>
      <c r="GF24" s="988" t="s">
        <v>640</v>
      </c>
      <c r="GG24" s="988" t="s">
        <v>640</v>
      </c>
      <c r="GH24" s="988" t="s">
        <v>640</v>
      </c>
      <c r="GI24" s="988" t="s">
        <v>640</v>
      </c>
      <c r="GJ24" s="988" t="s">
        <v>640</v>
      </c>
      <c r="GK24" s="988" t="s">
        <v>640</v>
      </c>
      <c r="GL24" s="988" t="s">
        <v>640</v>
      </c>
      <c r="GM24" s="988" t="s">
        <v>640</v>
      </c>
      <c r="GN24" s="988" t="s">
        <v>640</v>
      </c>
      <c r="GO24" s="988" t="s">
        <v>640</v>
      </c>
      <c r="GP24" s="988" t="s">
        <v>640</v>
      </c>
      <c r="GQ24" s="997">
        <v>114.63064386855464</v>
      </c>
      <c r="GR24" s="997">
        <v>110.04541811381245</v>
      </c>
      <c r="GS24" s="997">
        <v>69.695431472081225</v>
      </c>
      <c r="GT24" s="997">
        <v>70.612476623029664</v>
      </c>
      <c r="GU24" s="997">
        <v>57.773844509751541</v>
      </c>
      <c r="GV24" s="997">
        <v>1667.1880844242587</v>
      </c>
      <c r="GW24" s="997">
        <v>108.21132781191555</v>
      </c>
      <c r="GX24" s="997">
        <v>95.372695698637457</v>
      </c>
      <c r="GY24" s="997">
        <v>162.31699171787338</v>
      </c>
      <c r="GZ24" s="997">
        <v>357.64760886989046</v>
      </c>
      <c r="HA24" s="997">
        <v>39.432941490782788</v>
      </c>
      <c r="HB24" s="997">
        <v>531.8861875500935</v>
      </c>
      <c r="HC24" s="997">
        <v>47.686347849318729</v>
      </c>
      <c r="HD24" s="997">
        <v>0</v>
      </c>
      <c r="HE24" s="997">
        <v>0</v>
      </c>
      <c r="HF24" s="997">
        <v>0</v>
      </c>
      <c r="HG24" s="997">
        <v>0</v>
      </c>
      <c r="HH24" s="997">
        <v>0</v>
      </c>
      <c r="HI24" s="997">
        <v>0</v>
      </c>
      <c r="HJ24" s="997">
        <v>0</v>
      </c>
      <c r="HK24" s="997">
        <v>0</v>
      </c>
      <c r="HL24" s="997">
        <v>0</v>
      </c>
      <c r="HM24" s="997">
        <v>0</v>
      </c>
      <c r="HN24" s="997">
        <v>0</v>
      </c>
      <c r="HO24" s="997">
        <v>0</v>
      </c>
      <c r="HP24" s="997">
        <v>0</v>
      </c>
      <c r="HQ24" s="997">
        <v>0</v>
      </c>
      <c r="HR24" s="997">
        <v>0</v>
      </c>
      <c r="HS24" s="997">
        <v>0</v>
      </c>
      <c r="HT24" s="997">
        <v>0</v>
      </c>
      <c r="HU24" s="997">
        <v>0</v>
      </c>
      <c r="HV24" s="997">
        <v>0</v>
      </c>
      <c r="HW24" s="997">
        <v>0</v>
      </c>
      <c r="HX24" s="997">
        <v>0</v>
      </c>
      <c r="HY24" s="997">
        <v>0</v>
      </c>
      <c r="HZ24" s="997">
        <v>0</v>
      </c>
      <c r="IA24" s="997">
        <v>0</v>
      </c>
      <c r="IB24" s="997">
        <v>0</v>
      </c>
      <c r="IC24" s="997">
        <v>0</v>
      </c>
      <c r="ID24" s="997">
        <v>0</v>
      </c>
      <c r="IE24" s="997">
        <v>0</v>
      </c>
      <c r="IF24" s="997">
        <v>0</v>
      </c>
      <c r="IG24" s="997">
        <v>0</v>
      </c>
      <c r="IH24" s="997">
        <v>0</v>
      </c>
      <c r="II24" s="997">
        <v>0</v>
      </c>
      <c r="IJ24" s="997">
        <v>0</v>
      </c>
      <c r="IK24" s="997">
        <v>0</v>
      </c>
      <c r="IL24" s="997">
        <v>0</v>
      </c>
      <c r="IM24" s="997">
        <v>0</v>
      </c>
      <c r="IN24" s="997">
        <v>0</v>
      </c>
      <c r="IO24" s="997">
        <v>0</v>
      </c>
      <c r="IP24" s="997">
        <v>0</v>
      </c>
      <c r="IQ24" s="997">
        <v>0</v>
      </c>
      <c r="IR24" s="997">
        <v>0</v>
      </c>
      <c r="IS24" s="997">
        <v>0</v>
      </c>
      <c r="IT24" s="997">
        <v>0</v>
      </c>
      <c r="IU24" s="997">
        <v>0</v>
      </c>
      <c r="IV24" s="997">
        <v>0</v>
      </c>
      <c r="IW24" s="1019">
        <v>936.47113349205063</v>
      </c>
      <c r="IX24" s="1022">
        <v>179.9</v>
      </c>
      <c r="IY24" s="998">
        <v>2647.0800000000199</v>
      </c>
      <c r="IZ24" s="429">
        <v>12.64</v>
      </c>
      <c r="JA24" s="1022">
        <v>50</v>
      </c>
      <c r="JB24" s="988">
        <v>1.4</v>
      </c>
      <c r="JC24" s="988">
        <v>0.9</v>
      </c>
      <c r="JD24" s="988">
        <v>0.9</v>
      </c>
      <c r="JE24" s="998">
        <v>2</v>
      </c>
      <c r="JF24" s="1023">
        <v>1.5</v>
      </c>
      <c r="JG24" s="1023">
        <v>0.7</v>
      </c>
      <c r="JH24" s="1023">
        <v>0.7</v>
      </c>
      <c r="JI24" s="1023">
        <v>0.5</v>
      </c>
      <c r="JJ24" s="1019"/>
      <c r="JK24" s="998">
        <v>2647.0800000000199</v>
      </c>
      <c r="JL24" s="429">
        <v>12.64</v>
      </c>
      <c r="JM24" s="1022">
        <v>50</v>
      </c>
      <c r="JN24" s="988">
        <v>1.2</v>
      </c>
      <c r="JO24" s="988">
        <v>0.7</v>
      </c>
      <c r="JP24" s="988">
        <v>0.7</v>
      </c>
      <c r="JQ24" s="998">
        <v>2</v>
      </c>
      <c r="JR24" s="998">
        <v>2</v>
      </c>
      <c r="JS24" s="998">
        <v>1</v>
      </c>
      <c r="JT24" s="998">
        <v>1</v>
      </c>
      <c r="JU24" s="1023">
        <v>0.5</v>
      </c>
      <c r="JV24" s="1004">
        <v>2000</v>
      </c>
      <c r="JW24" s="1019"/>
      <c r="JX24" s="1019">
        <v>500</v>
      </c>
      <c r="JY24" s="1022">
        <v>1.1000000000000001</v>
      </c>
      <c r="JZ24" s="1022">
        <v>0.7</v>
      </c>
      <c r="KA24" s="1022">
        <v>0.7</v>
      </c>
      <c r="KB24" s="1023">
        <v>2</v>
      </c>
      <c r="KC24" s="1023">
        <v>1.5</v>
      </c>
      <c r="KD24" s="1023">
        <v>0.5</v>
      </c>
      <c r="KE24" s="1023">
        <v>1</v>
      </c>
      <c r="KF24" s="1023">
        <v>0.5</v>
      </c>
      <c r="KG24" s="997">
        <v>5.2605587888264047</v>
      </c>
      <c r="KH24" s="997">
        <v>1.3395857880544375</v>
      </c>
      <c r="KI24" s="997">
        <v>89.269652243791199</v>
      </c>
      <c r="KJ24" s="997"/>
      <c r="KK24" s="997">
        <v>0.13827788810861971</v>
      </c>
      <c r="KL24" s="997">
        <v>3.9919252912193408</v>
      </c>
      <c r="KM24" s="997"/>
      <c r="KN24" s="997"/>
      <c r="KO24" s="997"/>
      <c r="KP24" s="1006">
        <v>580</v>
      </c>
      <c r="KQ24" s="1006">
        <v>580</v>
      </c>
      <c r="KR24" s="1006">
        <v>580</v>
      </c>
      <c r="KS24" s="1006">
        <v>580</v>
      </c>
      <c r="KT24" s="1006"/>
      <c r="KU24" s="1006">
        <v>580</v>
      </c>
      <c r="KV24" s="1006">
        <v>580</v>
      </c>
      <c r="KW24" s="1006">
        <v>580</v>
      </c>
      <c r="KX24" s="1006">
        <v>580</v>
      </c>
      <c r="KY24" s="993">
        <v>370</v>
      </c>
      <c r="KZ24" s="993">
        <v>370</v>
      </c>
      <c r="LA24" s="993">
        <v>370</v>
      </c>
      <c r="LB24" s="993">
        <v>370</v>
      </c>
      <c r="LC24" s="993"/>
      <c r="LD24" s="993">
        <v>370</v>
      </c>
      <c r="LE24" s="993">
        <v>370</v>
      </c>
      <c r="LF24" s="993">
        <v>370</v>
      </c>
      <c r="LG24" s="993">
        <v>370</v>
      </c>
      <c r="LH24" s="995">
        <v>0</v>
      </c>
      <c r="LI24" s="995">
        <v>10</v>
      </c>
      <c r="LJ24" s="995">
        <v>20</v>
      </c>
      <c r="LK24" s="995">
        <v>70</v>
      </c>
      <c r="LL24" s="995">
        <v>100</v>
      </c>
      <c r="LM24" s="1004">
        <v>1000</v>
      </c>
      <c r="LN24" s="1019"/>
      <c r="LO24" s="988">
        <v>29</v>
      </c>
      <c r="LP24" s="988">
        <v>0.9</v>
      </c>
      <c r="LQ24" s="988">
        <v>0.7</v>
      </c>
      <c r="LR24" s="988">
        <v>0.7</v>
      </c>
      <c r="LS24" s="1023">
        <v>2</v>
      </c>
      <c r="LT24" s="1023">
        <v>1</v>
      </c>
      <c r="LU24" s="1023">
        <v>0.5</v>
      </c>
      <c r="LV24" s="1023">
        <v>0.7</v>
      </c>
      <c r="LW24" s="1023">
        <v>0.2</v>
      </c>
      <c r="LX24" s="1004">
        <v>1500</v>
      </c>
      <c r="LY24" s="1008">
        <v>500</v>
      </c>
      <c r="LZ24" s="1008">
        <v>1</v>
      </c>
      <c r="MA24" s="997" t="s">
        <v>2914</v>
      </c>
      <c r="MB24" s="1023" t="s">
        <v>905</v>
      </c>
      <c r="MC24" s="1023" t="s">
        <v>2932</v>
      </c>
      <c r="MD24" s="1024" t="s">
        <v>906</v>
      </c>
      <c r="ME24" s="1009">
        <v>0.5</v>
      </c>
      <c r="MF24" s="1010">
        <v>0.75</v>
      </c>
      <c r="MG24" s="1010">
        <v>1</v>
      </c>
      <c r="MH24" s="1010">
        <v>2</v>
      </c>
      <c r="MI24" s="1010">
        <v>0.5</v>
      </c>
      <c r="MJ24" s="1010">
        <v>0.75</v>
      </c>
      <c r="MK24" s="1010">
        <v>1</v>
      </c>
      <c r="ML24" s="1010">
        <v>2</v>
      </c>
      <c r="MM24" s="1010">
        <v>0</v>
      </c>
      <c r="MN24" s="1010">
        <v>0.5</v>
      </c>
      <c r="MO24" s="1010">
        <v>1</v>
      </c>
      <c r="MP24" s="1010">
        <v>2</v>
      </c>
      <c r="MQ24" s="1010">
        <v>0</v>
      </c>
      <c r="MR24" s="1010">
        <v>0.5</v>
      </c>
      <c r="MS24" s="1010">
        <v>1</v>
      </c>
      <c r="MT24" s="1010">
        <v>2</v>
      </c>
      <c r="MU24" s="1001">
        <v>0</v>
      </c>
      <c r="MV24" s="1001">
        <v>0</v>
      </c>
      <c r="MW24" s="1001">
        <v>0</v>
      </c>
      <c r="MX24" s="1025">
        <v>0</v>
      </c>
      <c r="MY24" s="1025">
        <v>0</v>
      </c>
      <c r="MZ24" s="1025">
        <v>0</v>
      </c>
      <c r="NA24" s="1025">
        <v>0</v>
      </c>
      <c r="NB24" s="1025">
        <v>0</v>
      </c>
      <c r="NC24" s="1025">
        <v>0</v>
      </c>
      <c r="ND24" s="1025">
        <v>0</v>
      </c>
      <c r="NE24" s="1025">
        <v>0</v>
      </c>
      <c r="NF24" s="1025">
        <v>0</v>
      </c>
      <c r="NG24" s="1025">
        <v>0</v>
      </c>
      <c r="NH24" s="1025">
        <v>0</v>
      </c>
      <c r="NI24" s="1025">
        <v>0</v>
      </c>
      <c r="NJ24" s="1025">
        <v>0</v>
      </c>
      <c r="NK24" s="1025">
        <v>0</v>
      </c>
      <c r="NL24" s="1025">
        <v>0</v>
      </c>
      <c r="NM24" s="1025">
        <v>0</v>
      </c>
      <c r="NN24" s="1025">
        <v>0</v>
      </c>
      <c r="NO24" s="1025">
        <v>0</v>
      </c>
      <c r="NP24" s="1025">
        <v>0</v>
      </c>
      <c r="NQ24" s="1025">
        <v>0</v>
      </c>
      <c r="NR24" s="1025">
        <v>0</v>
      </c>
      <c r="NS24" s="1025">
        <v>0</v>
      </c>
      <c r="NT24" s="1025">
        <v>0</v>
      </c>
      <c r="NU24" s="1025">
        <v>0</v>
      </c>
      <c r="NV24" s="1025">
        <v>0</v>
      </c>
      <c r="NW24" s="1025">
        <v>0</v>
      </c>
      <c r="NX24" s="1025">
        <v>0</v>
      </c>
      <c r="NY24" s="1025">
        <v>0</v>
      </c>
      <c r="NZ24" s="1025">
        <v>0</v>
      </c>
      <c r="OA24" s="1025">
        <v>0</v>
      </c>
      <c r="OB24" s="1025">
        <v>1.0844793248812901</v>
      </c>
      <c r="OC24" s="1025">
        <v>0</v>
      </c>
      <c r="OD24" s="1025">
        <v>8.2298926280600006E-3</v>
      </c>
      <c r="OE24" s="1025">
        <v>1.372290001748E-2</v>
      </c>
      <c r="OF24" s="1025">
        <v>0.18237836930487999</v>
      </c>
      <c r="OG24" s="1025">
        <v>0</v>
      </c>
      <c r="OH24" s="1025">
        <v>0</v>
      </c>
      <c r="OI24" s="1025">
        <v>0</v>
      </c>
      <c r="OJ24" s="1025">
        <v>0</v>
      </c>
      <c r="OK24" s="1025">
        <v>0</v>
      </c>
      <c r="OL24" s="1025">
        <v>0</v>
      </c>
      <c r="OM24" s="1025">
        <v>0</v>
      </c>
      <c r="ON24" s="1025">
        <v>0</v>
      </c>
      <c r="OO24" s="1025">
        <v>0</v>
      </c>
      <c r="OP24" s="1025">
        <v>0</v>
      </c>
      <c r="OQ24" s="1025">
        <v>0</v>
      </c>
      <c r="OR24" s="1025">
        <v>0</v>
      </c>
      <c r="OS24" s="1025">
        <v>0</v>
      </c>
      <c r="OT24" s="1025">
        <v>0</v>
      </c>
      <c r="OU24" s="1025">
        <v>0</v>
      </c>
      <c r="OV24" s="1025">
        <v>0</v>
      </c>
      <c r="OW24" s="1025">
        <v>0</v>
      </c>
      <c r="OX24" s="1025">
        <v>0</v>
      </c>
      <c r="OY24" s="1025">
        <v>0</v>
      </c>
      <c r="OZ24" s="1025">
        <v>-55.3</v>
      </c>
      <c r="PA24" s="1025">
        <v>-13.7</v>
      </c>
      <c r="PB24" s="1025">
        <v>0</v>
      </c>
      <c r="PC24" s="1025">
        <v>0</v>
      </c>
      <c r="PD24" s="1025">
        <v>0</v>
      </c>
      <c r="PE24" s="1025">
        <v>0</v>
      </c>
      <c r="PF24" s="1025">
        <v>-0.19175</v>
      </c>
      <c r="PG24" s="1025">
        <v>0</v>
      </c>
      <c r="PH24" s="1025">
        <v>0</v>
      </c>
      <c r="PI24" s="1025">
        <v>0</v>
      </c>
      <c r="PJ24" s="1025">
        <v>-1.7482223284297</v>
      </c>
      <c r="PK24" s="1025">
        <v>0</v>
      </c>
      <c r="PL24" s="1025">
        <v>0</v>
      </c>
      <c r="PM24" s="1025">
        <v>0</v>
      </c>
      <c r="PN24" s="1025">
        <v>0</v>
      </c>
      <c r="PO24" s="1025">
        <v>0</v>
      </c>
      <c r="PP24" s="1025">
        <v>0</v>
      </c>
      <c r="PQ24" s="1025">
        <v>0</v>
      </c>
      <c r="PR24" s="1025">
        <v>0</v>
      </c>
      <c r="PS24" s="1025">
        <v>0</v>
      </c>
      <c r="PT24" s="1025">
        <v>0</v>
      </c>
      <c r="PU24" s="1025">
        <v>0</v>
      </c>
      <c r="PV24" s="1025">
        <v>0</v>
      </c>
      <c r="PW24" s="1025">
        <v>0</v>
      </c>
      <c r="PX24" s="1025">
        <v>0</v>
      </c>
      <c r="PY24" s="1025">
        <v>0</v>
      </c>
      <c r="PZ24" s="1025">
        <v>0</v>
      </c>
      <c r="QA24" s="1025">
        <v>0</v>
      </c>
      <c r="QB24" s="1025">
        <v>0</v>
      </c>
      <c r="QC24" s="1025">
        <v>0</v>
      </c>
      <c r="QD24" s="1025">
        <v>-55.3</v>
      </c>
      <c r="QE24" s="1025">
        <v>-13.7</v>
      </c>
      <c r="QF24" s="1025">
        <v>0</v>
      </c>
      <c r="QG24" s="1025">
        <v>0</v>
      </c>
      <c r="QH24" s="1025">
        <v>0</v>
      </c>
      <c r="QI24" s="1025">
        <v>0</v>
      </c>
      <c r="QJ24" s="1025">
        <v>0</v>
      </c>
      <c r="QK24" s="1025">
        <v>0</v>
      </c>
      <c r="QL24" s="1025">
        <v>0</v>
      </c>
      <c r="QM24" s="1025">
        <v>0</v>
      </c>
      <c r="QN24" s="1025">
        <v>1.2251844783362</v>
      </c>
      <c r="QO24" s="1025">
        <v>0</v>
      </c>
      <c r="QP24" s="1025">
        <v>0</v>
      </c>
      <c r="QQ24" s="1025">
        <v>0</v>
      </c>
      <c r="QR24" s="1025">
        <v>0</v>
      </c>
      <c r="QS24" s="1025">
        <v>0</v>
      </c>
      <c r="QT24" s="1025">
        <v>0</v>
      </c>
      <c r="QU24" s="1025">
        <v>0</v>
      </c>
      <c r="QV24" s="1025">
        <v>0</v>
      </c>
      <c r="QW24" s="1025">
        <v>0</v>
      </c>
      <c r="QX24" s="1025">
        <v>0</v>
      </c>
      <c r="QY24" s="1025">
        <v>0</v>
      </c>
      <c r="QZ24" s="1025">
        <v>0</v>
      </c>
      <c r="RA24" s="1025">
        <v>0</v>
      </c>
      <c r="RB24" s="1025">
        <v>0</v>
      </c>
      <c r="RC24" s="1025">
        <v>0</v>
      </c>
      <c r="RD24" s="1025">
        <v>0</v>
      </c>
      <c r="RE24" s="1025">
        <v>0</v>
      </c>
      <c r="RF24" s="1025">
        <v>0</v>
      </c>
      <c r="RG24" s="1025">
        <v>0</v>
      </c>
      <c r="RH24" s="1011">
        <v>0</v>
      </c>
      <c r="RI24" s="1026">
        <v>0</v>
      </c>
      <c r="RJ24" s="1026">
        <v>0</v>
      </c>
      <c r="RK24" s="1026">
        <v>0</v>
      </c>
      <c r="RL24" s="1026">
        <v>0</v>
      </c>
      <c r="RM24" s="1011">
        <v>0</v>
      </c>
      <c r="RN24" s="1011">
        <v>0</v>
      </c>
      <c r="RO24" s="1011">
        <v>0</v>
      </c>
      <c r="RP24" s="1011">
        <v>0</v>
      </c>
      <c r="RQ24" s="1011">
        <v>0</v>
      </c>
      <c r="RR24" s="1011">
        <v>0</v>
      </c>
      <c r="RS24" s="1011">
        <v>0</v>
      </c>
      <c r="RT24" s="1011">
        <v>0</v>
      </c>
      <c r="RU24" s="1011">
        <v>0</v>
      </c>
      <c r="RV24" s="1011">
        <v>0</v>
      </c>
      <c r="RW24" s="1011">
        <v>0</v>
      </c>
      <c r="RX24" s="1011">
        <v>0</v>
      </c>
      <c r="RY24" s="1011">
        <v>0</v>
      </c>
      <c r="RZ24" s="1026">
        <v>0</v>
      </c>
      <c r="SA24" s="1026">
        <v>0</v>
      </c>
      <c r="SB24" s="1026">
        <v>0</v>
      </c>
      <c r="SC24" s="1026">
        <v>0</v>
      </c>
      <c r="SD24" s="1026">
        <v>0</v>
      </c>
      <c r="SE24" s="1026">
        <v>0</v>
      </c>
      <c r="SF24" s="1026">
        <v>0</v>
      </c>
      <c r="SG24" s="1026">
        <v>0</v>
      </c>
      <c r="SH24" s="1026">
        <v>0</v>
      </c>
      <c r="SI24" s="1026">
        <v>0</v>
      </c>
      <c r="SJ24" s="1026">
        <v>0</v>
      </c>
      <c r="SK24" s="1026">
        <v>0</v>
      </c>
      <c r="SL24" s="1025">
        <v>-55.3</v>
      </c>
      <c r="SM24" s="1025">
        <v>-13.7</v>
      </c>
      <c r="SN24" s="1025">
        <v>-0.26004559921005999</v>
      </c>
      <c r="SO24" s="1025">
        <v>0</v>
      </c>
      <c r="SP24" s="1025">
        <v>-5.1455535438768099</v>
      </c>
      <c r="SQ24" s="1025">
        <v>0</v>
      </c>
      <c r="SR24" s="1025">
        <v>0</v>
      </c>
      <c r="SS24" s="1025">
        <v>0</v>
      </c>
      <c r="ST24" s="1025">
        <v>0</v>
      </c>
      <c r="SU24" s="1025">
        <v>0</v>
      </c>
      <c r="SV24" s="1025">
        <v>0</v>
      </c>
      <c r="SW24" s="1025">
        <v>0</v>
      </c>
      <c r="SX24" s="1025">
        <v>-0.71675000000003997</v>
      </c>
      <c r="SY24" s="1025">
        <v>0</v>
      </c>
      <c r="SZ24" s="1025">
        <v>0</v>
      </c>
      <c r="TA24" s="1025">
        <v>0</v>
      </c>
      <c r="TB24" s="1025">
        <v>-19.522917182464671</v>
      </c>
      <c r="TC24" s="1025">
        <v>0</v>
      </c>
      <c r="TD24" s="1025">
        <v>0</v>
      </c>
      <c r="TE24" s="1025">
        <v>0</v>
      </c>
      <c r="TF24" s="1025">
        <v>0</v>
      </c>
      <c r="TG24" s="1025">
        <v>0</v>
      </c>
      <c r="TH24" s="1025">
        <v>0</v>
      </c>
      <c r="TI24" s="1025">
        <v>0</v>
      </c>
      <c r="TJ24" s="1025">
        <v>0</v>
      </c>
      <c r="TK24" s="1025">
        <v>0</v>
      </c>
      <c r="TL24" s="1025">
        <v>0</v>
      </c>
      <c r="TM24" s="1025">
        <v>0</v>
      </c>
      <c r="TN24" s="1025">
        <v>0</v>
      </c>
      <c r="TO24" s="1025">
        <v>0</v>
      </c>
      <c r="TP24" s="1025">
        <v>-55.3</v>
      </c>
      <c r="TQ24" s="1025">
        <v>-13.7</v>
      </c>
      <c r="TR24" s="1025">
        <v>0</v>
      </c>
      <c r="TS24" s="1025">
        <v>0</v>
      </c>
      <c r="TT24" s="1025">
        <v>0</v>
      </c>
      <c r="TU24" s="1025">
        <v>0</v>
      </c>
      <c r="TV24" s="1025">
        <v>0</v>
      </c>
      <c r="TW24" s="1025">
        <v>0</v>
      </c>
      <c r="TX24" s="1025">
        <v>0</v>
      </c>
      <c r="TY24" s="1025">
        <v>0</v>
      </c>
      <c r="TZ24" s="1025">
        <v>0</v>
      </c>
      <c r="UA24" s="1025">
        <v>0</v>
      </c>
      <c r="UB24" s="1025">
        <v>0</v>
      </c>
      <c r="UC24" s="1025">
        <v>0</v>
      </c>
      <c r="UD24" s="1025">
        <v>0</v>
      </c>
      <c r="UE24" s="1025">
        <v>0</v>
      </c>
      <c r="UF24" s="1025">
        <v>0</v>
      </c>
      <c r="UG24" s="1025">
        <v>0</v>
      </c>
      <c r="UH24" s="1025">
        <v>0</v>
      </c>
      <c r="UI24" s="1025">
        <v>0</v>
      </c>
      <c r="UJ24" s="1025">
        <v>0</v>
      </c>
      <c r="UK24" s="1025">
        <v>0</v>
      </c>
      <c r="UL24" s="1025">
        <v>0</v>
      </c>
      <c r="UM24" s="1025">
        <v>0</v>
      </c>
      <c r="UN24" s="1025">
        <v>0</v>
      </c>
      <c r="UO24" s="1025">
        <v>0</v>
      </c>
      <c r="UP24" s="1025">
        <v>0</v>
      </c>
      <c r="UQ24" s="1025">
        <v>0</v>
      </c>
      <c r="UR24" s="1025">
        <v>0</v>
      </c>
      <c r="US24" s="1025">
        <v>0</v>
      </c>
      <c r="UT24" s="1025">
        <v>1.01045951382652</v>
      </c>
      <c r="UU24" s="1025">
        <v>0</v>
      </c>
      <c r="UV24" s="1025">
        <v>8.2298926280600006E-3</v>
      </c>
      <c r="UW24" s="1025">
        <v>1.372290001748E-2</v>
      </c>
      <c r="UX24" s="1025">
        <v>0</v>
      </c>
      <c r="UY24" s="1025">
        <v>0</v>
      </c>
      <c r="UZ24" s="1025">
        <v>-2.302131373796E-2</v>
      </c>
      <c r="VA24" s="1025">
        <v>0</v>
      </c>
      <c r="VB24" s="1025">
        <v>0</v>
      </c>
      <c r="VC24" s="1025">
        <v>0</v>
      </c>
      <c r="VD24" s="1025">
        <v>8.5949049755689996E-2</v>
      </c>
      <c r="VE24" s="1025">
        <v>-10</v>
      </c>
      <c r="VF24" s="1025">
        <v>7.601780773762E-2</v>
      </c>
      <c r="VG24" s="1025">
        <v>0</v>
      </c>
      <c r="VH24" s="1025">
        <v>3.8214742709299998E-3</v>
      </c>
      <c r="VI24" s="1025">
        <v>0</v>
      </c>
      <c r="VJ24" s="1025">
        <v>2.6062367412770002E-2</v>
      </c>
      <c r="VK24" s="1025">
        <v>2.5</v>
      </c>
      <c r="VL24" s="1025">
        <v>0</v>
      </c>
      <c r="VM24" s="1025">
        <v>0</v>
      </c>
      <c r="VN24" s="1025">
        <v>0</v>
      </c>
      <c r="VO24" s="1025">
        <v>0</v>
      </c>
      <c r="VP24" s="1025">
        <v>0</v>
      </c>
      <c r="VQ24" s="1025">
        <v>0</v>
      </c>
      <c r="VR24" s="1010">
        <v>0</v>
      </c>
      <c r="VS24" s="1010">
        <v>0</v>
      </c>
      <c r="VT24" s="1010">
        <v>0</v>
      </c>
      <c r="VU24" s="1010">
        <v>0</v>
      </c>
      <c r="VV24" s="1010">
        <v>0</v>
      </c>
      <c r="VW24" s="1010">
        <v>0</v>
      </c>
      <c r="VX24" s="1025">
        <v>0</v>
      </c>
      <c r="VY24" s="1025">
        <v>0</v>
      </c>
      <c r="VZ24" s="1025">
        <v>0</v>
      </c>
      <c r="WA24" s="1025">
        <v>0</v>
      </c>
      <c r="WB24" s="1025">
        <v>0</v>
      </c>
      <c r="WC24" s="1025">
        <v>0</v>
      </c>
      <c r="WD24" s="995">
        <v>202</v>
      </c>
      <c r="WE24" s="995">
        <v>267</v>
      </c>
      <c r="WF24" s="995">
        <v>354</v>
      </c>
      <c r="WG24" s="995">
        <v>382</v>
      </c>
      <c r="WH24" s="995">
        <v>403</v>
      </c>
      <c r="WI24" s="995">
        <v>0</v>
      </c>
      <c r="WJ24" s="995">
        <v>1300</v>
      </c>
      <c r="WK24" s="1001">
        <v>0</v>
      </c>
      <c r="WL24" s="1001">
        <v>0</v>
      </c>
      <c r="WM24" s="1001">
        <v>0</v>
      </c>
      <c r="WN24" s="1001">
        <v>0</v>
      </c>
      <c r="WO24" s="1001">
        <v>0</v>
      </c>
      <c r="WP24" s="1001">
        <v>0</v>
      </c>
      <c r="WQ24" s="1001">
        <v>0</v>
      </c>
      <c r="WR24" s="1001">
        <v>0</v>
      </c>
      <c r="WS24" s="1001">
        <v>0</v>
      </c>
      <c r="WT24" s="1001">
        <v>0</v>
      </c>
      <c r="WU24" s="1001">
        <v>0</v>
      </c>
      <c r="WV24" s="1001">
        <v>0</v>
      </c>
      <c r="WW24" s="1001">
        <v>0</v>
      </c>
      <c r="WX24" s="1001">
        <v>0</v>
      </c>
      <c r="WY24" s="1001">
        <v>0</v>
      </c>
      <c r="WZ24" s="1001">
        <v>0</v>
      </c>
      <c r="XA24" s="1001">
        <v>0</v>
      </c>
      <c r="XB24" s="1001">
        <v>0</v>
      </c>
      <c r="XC24" s="1001">
        <v>0</v>
      </c>
      <c r="XD24" s="1001">
        <v>0</v>
      </c>
      <c r="XE24" s="1001">
        <v>0</v>
      </c>
      <c r="XF24" s="1001">
        <v>0</v>
      </c>
      <c r="XG24" s="1001">
        <v>0</v>
      </c>
      <c r="XH24" s="1001">
        <v>0</v>
      </c>
      <c r="XI24" s="1001">
        <v>0</v>
      </c>
      <c r="XJ24" s="1001">
        <v>0</v>
      </c>
      <c r="XK24" s="1001">
        <v>0</v>
      </c>
      <c r="XL24" s="1001">
        <v>0</v>
      </c>
      <c r="XM24" s="1001">
        <v>0</v>
      </c>
      <c r="XN24" s="1001">
        <v>0</v>
      </c>
      <c r="XO24" s="1001">
        <v>0</v>
      </c>
      <c r="XP24" s="1001">
        <v>0</v>
      </c>
      <c r="XQ24" s="1001">
        <v>0</v>
      </c>
      <c r="XR24" s="1027">
        <v>94.671000000000006</v>
      </c>
      <c r="XS24" s="1013">
        <v>75.104342379958254</v>
      </c>
      <c r="XT24" s="1013">
        <v>83.010062630480178</v>
      </c>
      <c r="XU24" s="1013">
        <v>86.962922755741133</v>
      </c>
      <c r="XV24" s="1013">
        <v>133.60667223382046</v>
      </c>
      <c r="XW24" s="1028">
        <v>13828.50459</v>
      </c>
      <c r="XX24" s="1013">
        <v>78</v>
      </c>
      <c r="XY24" s="1013">
        <v>15</v>
      </c>
      <c r="XZ24" s="1013">
        <v>7.0000000000000009</v>
      </c>
      <c r="YA24" s="1029">
        <v>0</v>
      </c>
      <c r="YB24" s="1013">
        <v>1304.1759442223745</v>
      </c>
      <c r="YC24" s="1013">
        <v>0</v>
      </c>
      <c r="YD24" s="1013">
        <v>0</v>
      </c>
      <c r="YE24" s="1013">
        <v>0</v>
      </c>
      <c r="YF24" s="1013">
        <v>0</v>
      </c>
      <c r="YG24" s="1013">
        <v>0</v>
      </c>
      <c r="YH24" s="1013">
        <v>1534.3246402616171</v>
      </c>
      <c r="YI24" s="1013">
        <v>153.43246402616171</v>
      </c>
      <c r="YJ24" s="1013">
        <v>1399.0618101332907</v>
      </c>
      <c r="YK24" s="1013">
        <v>0</v>
      </c>
      <c r="YL24" s="1013">
        <v>0</v>
      </c>
      <c r="YM24" s="1013">
        <v>0</v>
      </c>
      <c r="YN24" s="1013">
        <v>0</v>
      </c>
      <c r="YO24" s="1013">
        <v>0</v>
      </c>
      <c r="YP24" s="1013">
        <v>1645.955070745048</v>
      </c>
      <c r="YQ24" s="1013">
        <v>164.59550707450478</v>
      </c>
      <c r="YR24" s="1013">
        <v>1465.6838010920187</v>
      </c>
      <c r="YS24" s="1013">
        <v>0</v>
      </c>
      <c r="YT24" s="1013">
        <v>0</v>
      </c>
      <c r="YU24" s="1013">
        <v>0</v>
      </c>
      <c r="YV24" s="1013">
        <v>0</v>
      </c>
      <c r="YW24" s="1013">
        <v>0</v>
      </c>
      <c r="YX24" s="1013">
        <v>1724.3338836376695</v>
      </c>
      <c r="YY24" s="1013">
        <v>172.43338836376691</v>
      </c>
      <c r="YZ24" s="1013">
        <v>2251.823294405011</v>
      </c>
      <c r="ZA24" s="1013">
        <v>0</v>
      </c>
      <c r="ZB24" s="1013">
        <v>0</v>
      </c>
      <c r="ZC24" s="1013">
        <v>0</v>
      </c>
      <c r="ZD24" s="1013">
        <v>0</v>
      </c>
      <c r="ZE24" s="1013">
        <v>0</v>
      </c>
      <c r="ZF24" s="1013">
        <v>2649.2038757706014</v>
      </c>
      <c r="ZG24" s="1013">
        <v>264.92038757706007</v>
      </c>
      <c r="ZH24" s="1013">
        <v>700.77720736215599</v>
      </c>
      <c r="ZI24" s="1013">
        <v>2184.7759994231924</v>
      </c>
      <c r="ZJ24" s="1013">
        <v>329.77750934689692</v>
      </c>
      <c r="ZK24" s="1013">
        <v>0</v>
      </c>
      <c r="ZL24" s="1013">
        <v>0</v>
      </c>
      <c r="ZM24" s="1013">
        <v>0</v>
      </c>
      <c r="ZN24" s="1013">
        <v>824.44377336724233</v>
      </c>
      <c r="ZO24" s="1013">
        <v>82.44437733672423</v>
      </c>
      <c r="ZP24" s="1013">
        <v>751.76254597828802</v>
      </c>
      <c r="ZQ24" s="1013">
        <v>2343.7302904028979</v>
      </c>
      <c r="ZR24" s="1013">
        <v>353.77060987213554</v>
      </c>
      <c r="ZS24" s="1013">
        <v>0</v>
      </c>
      <c r="ZT24" s="1013">
        <v>0</v>
      </c>
      <c r="ZU24" s="1013">
        <v>0</v>
      </c>
      <c r="ZV24" s="1013">
        <v>884.42652468033884</v>
      </c>
      <c r="ZW24" s="1013">
        <v>88.442652468033884</v>
      </c>
      <c r="ZX24" s="1013">
        <v>787.56076245344468</v>
      </c>
      <c r="ZY24" s="1013">
        <v>2455.336494707798</v>
      </c>
      <c r="ZZ24" s="1013">
        <v>370.61682938985626</v>
      </c>
      <c r="AAA24" s="1013">
        <v>0</v>
      </c>
      <c r="AAB24" s="1013">
        <v>0</v>
      </c>
      <c r="AAC24" s="1013">
        <v>0</v>
      </c>
      <c r="AAD24" s="1013">
        <v>926.5420734746408</v>
      </c>
      <c r="AAE24" s="1013">
        <v>92.654207347464066</v>
      </c>
      <c r="AAF24" s="1013">
        <v>1209.9797168602925</v>
      </c>
      <c r="AAG24" s="1013">
        <v>3772.2897055056178</v>
      </c>
      <c r="AAH24" s="1013">
        <v>569.40221969896118</v>
      </c>
      <c r="AAI24" s="1013">
        <v>0</v>
      </c>
      <c r="AAJ24" s="1013">
        <v>0</v>
      </c>
      <c r="AAK24" s="1013">
        <v>0</v>
      </c>
      <c r="AAL24" s="1013">
        <v>1423.505549247403</v>
      </c>
      <c r="AAM24" s="1013">
        <v>142.35055492474029</v>
      </c>
      <c r="AAN24" s="1013">
        <v>1864.9716002379957</v>
      </c>
      <c r="AAO24" s="1013">
        <v>5814.3232242713984</v>
      </c>
      <c r="AAP24" s="1013">
        <v>877.63369422964502</v>
      </c>
      <c r="AAQ24" s="1013">
        <v>0</v>
      </c>
      <c r="AAR24" s="1013">
        <v>0</v>
      </c>
      <c r="AAS24" s="1013">
        <v>0</v>
      </c>
      <c r="AAT24" s="1013">
        <v>2194.0842355741129</v>
      </c>
      <c r="AAU24" s="1013">
        <v>219.40842355741125</v>
      </c>
      <c r="AAV24" s="1013">
        <v>2061.2844002630482</v>
      </c>
      <c r="AAW24" s="1013">
        <v>6426.3572478789147</v>
      </c>
      <c r="AAX24" s="1013">
        <v>970.01618835908141</v>
      </c>
      <c r="AAY24" s="1013">
        <v>0</v>
      </c>
      <c r="AAZ24" s="1013">
        <v>0</v>
      </c>
      <c r="ABA24" s="1013">
        <v>0</v>
      </c>
      <c r="ABB24" s="1013">
        <v>2425.0404708977035</v>
      </c>
      <c r="ABC24" s="1013">
        <v>242.50404708977035</v>
      </c>
      <c r="ABD24" s="1013">
        <v>2159.4408002755745</v>
      </c>
      <c r="ABE24" s="1013">
        <v>6732.3742596826723</v>
      </c>
      <c r="ABF24" s="1013">
        <v>1016.2074354237997</v>
      </c>
      <c r="ABG24" s="1013">
        <v>0</v>
      </c>
      <c r="ABH24" s="1013">
        <v>0</v>
      </c>
      <c r="ABI24" s="1013">
        <v>0</v>
      </c>
      <c r="ABJ24" s="1013">
        <v>2540.5185885594992</v>
      </c>
      <c r="ABK24" s="1013">
        <v>254.05185885594992</v>
      </c>
      <c r="ABL24" s="1013">
        <v>3317.6863204233828</v>
      </c>
      <c r="ABM24" s="1013">
        <v>10343.374998967016</v>
      </c>
      <c r="ABN24" s="1013">
        <v>1561.2641507874741</v>
      </c>
      <c r="ABO24" s="1013">
        <v>0</v>
      </c>
      <c r="ABP24" s="1013">
        <v>0</v>
      </c>
      <c r="ABQ24" s="1013">
        <v>0</v>
      </c>
      <c r="ABR24" s="1013">
        <v>3903.1603769686853</v>
      </c>
      <c r="ABS24" s="1013">
        <v>390.31603769686853</v>
      </c>
      <c r="ABT24" s="1013">
        <v>2565.7488076001518</v>
      </c>
      <c r="ABU24" s="1013">
        <v>7999.0992236945904</v>
      </c>
      <c r="ABV24" s="1013">
        <v>1207.411203576542</v>
      </c>
      <c r="ABW24" s="1013">
        <v>0</v>
      </c>
      <c r="ABX24" s="1013">
        <v>0</v>
      </c>
      <c r="ABY24" s="1013">
        <v>0</v>
      </c>
      <c r="ABZ24" s="1013">
        <v>3018.528008941355</v>
      </c>
      <c r="ACA24" s="1013">
        <v>301.8528008941355</v>
      </c>
      <c r="ACB24" s="1013">
        <v>2716.0453274054285</v>
      </c>
      <c r="ACC24" s="1013">
        <v>8467.6707266169233</v>
      </c>
      <c r="ACD24" s="1013">
        <v>1278.1389776025544</v>
      </c>
      <c r="ACE24" s="1013">
        <v>0</v>
      </c>
      <c r="ACF24" s="1013">
        <v>0</v>
      </c>
      <c r="ACG24" s="1013">
        <v>0</v>
      </c>
      <c r="ACH24" s="1013">
        <v>3195.347444006386</v>
      </c>
      <c r="ACI24" s="1013">
        <v>319.5347444006386</v>
      </c>
      <c r="ACJ24" s="1013">
        <v>2845.3808191866392</v>
      </c>
      <c r="ACK24" s="1013">
        <v>8870.8931421701109</v>
      </c>
      <c r="ACL24" s="1013">
        <v>1339.0027384407713</v>
      </c>
      <c r="ACM24" s="1013">
        <v>0</v>
      </c>
      <c r="ACN24" s="1013">
        <v>0</v>
      </c>
      <c r="ACO24" s="1013">
        <v>0</v>
      </c>
      <c r="ACP24" s="1013">
        <v>3347.5068461019287</v>
      </c>
      <c r="ACQ24" s="1013">
        <v>334.75068461019282</v>
      </c>
      <c r="ACR24" s="1013">
        <v>4371.5396222049276</v>
      </c>
      <c r="ACS24" s="1013">
        <v>13628.917645697715</v>
      </c>
      <c r="ACT24" s="1013">
        <v>2057.1951163317303</v>
      </c>
      <c r="ACU24" s="1013">
        <v>0</v>
      </c>
      <c r="ACV24" s="1013">
        <v>0</v>
      </c>
      <c r="ACW24" s="1013">
        <v>0</v>
      </c>
      <c r="ACX24" s="1013">
        <v>5142.9877908293265</v>
      </c>
      <c r="ACY24" s="1013">
        <v>514.29877908293258</v>
      </c>
      <c r="ACZ24" s="1013">
        <v>3323.0403058786105</v>
      </c>
      <c r="ADA24" s="1013">
        <v>10360.066835974492</v>
      </c>
      <c r="ADB24" s="1013">
        <v>1563.7836733546403</v>
      </c>
      <c r="ADC24" s="1013">
        <v>0</v>
      </c>
      <c r="ADD24" s="1013">
        <v>0</v>
      </c>
      <c r="ADE24" s="1013">
        <v>0</v>
      </c>
      <c r="ADF24" s="1013">
        <v>3909.4591833866007</v>
      </c>
      <c r="ADG24" s="1013">
        <v>390.94591833866008</v>
      </c>
      <c r="ADH24" s="1013">
        <v>3552.6842898651362</v>
      </c>
      <c r="ADI24" s="1013">
        <v>11076.015727226601</v>
      </c>
      <c r="ADJ24" s="1013">
        <v>1671.85143052477</v>
      </c>
      <c r="ADK24" s="1013">
        <v>0</v>
      </c>
      <c r="ADL24" s="1013">
        <v>0</v>
      </c>
      <c r="ADM24" s="1013">
        <v>0</v>
      </c>
      <c r="ADN24" s="1013">
        <v>4179.6285763119249</v>
      </c>
      <c r="ADO24" s="1013">
        <v>417.96285763119249</v>
      </c>
      <c r="ADP24" s="1013">
        <v>3721.8597322396668</v>
      </c>
      <c r="ADQ24" s="1013">
        <v>11603.445047570725</v>
      </c>
      <c r="ADR24" s="1013">
        <v>1751.463403406902</v>
      </c>
      <c r="ADS24" s="1013">
        <v>0</v>
      </c>
      <c r="ADT24" s="1013">
        <v>0</v>
      </c>
      <c r="ADU24" s="1013">
        <v>0</v>
      </c>
      <c r="ADV24" s="1013">
        <v>4378.6585085172546</v>
      </c>
      <c r="ADW24" s="1013">
        <v>437.8658508517255</v>
      </c>
      <c r="ADX24" s="1013">
        <v>5718.1299522591244</v>
      </c>
      <c r="ADY24" s="1013">
        <v>17827.111027631388</v>
      </c>
      <c r="ADZ24" s="1013">
        <v>2690.8846834160586</v>
      </c>
      <c r="AEA24" s="1013">
        <v>0</v>
      </c>
      <c r="AEB24" s="1013">
        <v>0</v>
      </c>
      <c r="AEC24" s="1013">
        <v>0</v>
      </c>
      <c r="AED24" s="1013">
        <v>6727.2117085401469</v>
      </c>
      <c r="AEE24" s="1013">
        <v>672.72117085401464</v>
      </c>
      <c r="AEF24" s="1013">
        <v>4057.7260877905487</v>
      </c>
      <c r="AEG24" s="1013">
        <v>12650.557803111709</v>
      </c>
      <c r="AEH24" s="1013">
        <v>1909.518158960258</v>
      </c>
      <c r="AEI24" s="1013">
        <v>0</v>
      </c>
      <c r="AEJ24" s="1013">
        <v>0</v>
      </c>
      <c r="AEK24" s="1013">
        <v>0</v>
      </c>
      <c r="AEL24" s="1013">
        <v>4773.795397400645</v>
      </c>
      <c r="AEM24" s="1013">
        <v>477.3795397400645</v>
      </c>
      <c r="AEN24" s="1013">
        <v>4365.0728476158674</v>
      </c>
      <c r="AEO24" s="1013">
        <v>13608.756524920056</v>
      </c>
      <c r="AEP24" s="1013">
        <v>2054.1519282898198</v>
      </c>
      <c r="AEQ24" s="1013">
        <v>0</v>
      </c>
      <c r="AER24" s="1013">
        <v>0</v>
      </c>
      <c r="AES24" s="1013">
        <v>0</v>
      </c>
      <c r="AET24" s="1013">
        <v>5135.3798207245491</v>
      </c>
      <c r="AEU24" s="1013">
        <v>513.53798207245495</v>
      </c>
      <c r="AEV24" s="1013">
        <v>4572.9334594070988</v>
      </c>
      <c r="AEW24" s="1013">
        <v>14256.792549916248</v>
      </c>
      <c r="AEX24" s="1013">
        <v>2151.9686867798109</v>
      </c>
      <c r="AEY24" s="1013">
        <v>0</v>
      </c>
      <c r="AEZ24" s="1013">
        <v>0</v>
      </c>
      <c r="AFA24" s="1013">
        <v>0</v>
      </c>
      <c r="AFB24" s="1013">
        <v>5379.9217169495278</v>
      </c>
      <c r="AFC24" s="1013">
        <v>537.99217169495273</v>
      </c>
      <c r="AFD24" s="1013">
        <v>7025.6886785436345</v>
      </c>
      <c r="AFE24" s="1013">
        <v>21903.61764487133</v>
      </c>
      <c r="AFF24" s="1013">
        <v>3306.2064369617101</v>
      </c>
      <c r="AFG24" s="1013">
        <v>0</v>
      </c>
      <c r="AFH24" s="1013">
        <v>0</v>
      </c>
      <c r="AFI24" s="1013">
        <v>0</v>
      </c>
      <c r="AFJ24" s="1013">
        <v>8265.5160924042757</v>
      </c>
      <c r="AFK24" s="1013">
        <v>826.55160924042752</v>
      </c>
      <c r="AFL24" s="1023">
        <v>4679.3832878698804</v>
      </c>
      <c r="AFM24" s="1023">
        <v>14588.66554453551</v>
      </c>
      <c r="AFN24" s="1023">
        <v>2202.0627237034732</v>
      </c>
      <c r="AFO24" s="1023">
        <v>0</v>
      </c>
      <c r="AFP24" s="1023">
        <v>0</v>
      </c>
      <c r="AFQ24" s="1023">
        <v>0</v>
      </c>
      <c r="AFR24" s="1023">
        <v>5505.1568092586831</v>
      </c>
      <c r="AFS24" s="1023">
        <v>550.51568092586831</v>
      </c>
      <c r="AFT24" s="1023">
        <v>4971.3329653402925</v>
      </c>
      <c r="AFU24" s="1023">
        <v>15498.861597825617</v>
      </c>
      <c r="AFV24" s="1023">
        <v>2339.450807218961</v>
      </c>
      <c r="AFW24" s="1023">
        <v>0</v>
      </c>
      <c r="AFX24" s="1023">
        <v>0</v>
      </c>
      <c r="AFY24" s="1023">
        <v>0</v>
      </c>
      <c r="AFZ24" s="1023">
        <v>5848.6270180474021</v>
      </c>
      <c r="AGA24" s="1023">
        <v>584.86270180474025</v>
      </c>
      <c r="AGB24" s="1023">
        <v>5208.0631065469734</v>
      </c>
      <c r="AGC24" s="1023">
        <v>16236.902626293504</v>
      </c>
      <c r="AGD24" s="1023">
        <v>2450.8532266103402</v>
      </c>
      <c r="AGE24" s="1023">
        <v>0</v>
      </c>
      <c r="AGF24" s="1023">
        <v>0</v>
      </c>
      <c r="AGG24" s="1023">
        <v>0</v>
      </c>
      <c r="AGH24" s="1023">
        <v>6127.1330665258502</v>
      </c>
      <c r="AGI24" s="1023">
        <v>612.71330665258506</v>
      </c>
      <c r="AGJ24" s="1023">
        <v>8001.4787727858047</v>
      </c>
      <c r="AGK24" s="1023">
        <v>24945.786762214568</v>
      </c>
      <c r="AGL24" s="1023">
        <v>3765.4017754286137</v>
      </c>
      <c r="AGM24" s="1023">
        <v>0</v>
      </c>
      <c r="AGN24" s="1023">
        <v>0</v>
      </c>
      <c r="AGO24" s="1023">
        <v>0</v>
      </c>
      <c r="AGP24" s="1023">
        <v>9413.5044385715355</v>
      </c>
      <c r="AGQ24" s="1023">
        <v>941.35044385715344</v>
      </c>
      <c r="AGR24" s="1030">
        <v>1864.9716002379957</v>
      </c>
      <c r="AGS24" s="1030">
        <v>5814.3232242713984</v>
      </c>
      <c r="AGT24" s="1030">
        <v>877.63369422964502</v>
      </c>
      <c r="AGU24" s="1030">
        <v>0</v>
      </c>
      <c r="AGV24" s="1030">
        <v>0</v>
      </c>
      <c r="AGW24" s="1030">
        <v>0</v>
      </c>
      <c r="AGX24" s="1030">
        <v>2194.0842355741129</v>
      </c>
      <c r="AGY24" s="1030">
        <v>219.40842355741125</v>
      </c>
      <c r="AGZ24" s="1030">
        <v>2061.2844002630482</v>
      </c>
      <c r="AHA24" s="1030">
        <v>6426.3572478789147</v>
      </c>
      <c r="AHB24" s="1030">
        <v>970.01618835908141</v>
      </c>
      <c r="AHC24" s="1030">
        <v>0</v>
      </c>
      <c r="AHD24" s="1030">
        <v>0</v>
      </c>
      <c r="AHE24" s="1030">
        <v>0</v>
      </c>
      <c r="AHF24" s="1030">
        <v>2425.0404708977035</v>
      </c>
      <c r="AHG24" s="1030">
        <v>242.50404708977035</v>
      </c>
      <c r="AHH24" s="1030">
        <v>2159.4408002755745</v>
      </c>
      <c r="AHI24" s="1030">
        <v>6732.3742596826723</v>
      </c>
      <c r="AHJ24" s="1030">
        <v>1016.2074354237997</v>
      </c>
      <c r="AHK24" s="1030">
        <v>0</v>
      </c>
      <c r="AHL24" s="1030">
        <v>0</v>
      </c>
      <c r="AHM24" s="1030">
        <v>0</v>
      </c>
      <c r="AHN24" s="1030">
        <v>2540.5185885594992</v>
      </c>
      <c r="AHO24" s="1030">
        <v>254.05185885594992</v>
      </c>
      <c r="AHP24" s="1030">
        <v>3317.6863204233828</v>
      </c>
      <c r="AHQ24" s="1030">
        <v>10343.374998967016</v>
      </c>
      <c r="AHR24" s="1030">
        <v>1561.2641507874741</v>
      </c>
      <c r="AHS24" s="1030">
        <v>0</v>
      </c>
      <c r="AHT24" s="1030">
        <v>0</v>
      </c>
      <c r="AHU24" s="1030">
        <v>0</v>
      </c>
      <c r="AHV24" s="1030">
        <v>3903.1603769686853</v>
      </c>
      <c r="AHW24" s="1030">
        <v>390.31603769686853</v>
      </c>
      <c r="AHX24" s="1013">
        <v>165</v>
      </c>
      <c r="AHY24" s="1023">
        <v>0</v>
      </c>
      <c r="AHZ24" s="1023">
        <v>0</v>
      </c>
      <c r="AIA24" s="1023">
        <v>0</v>
      </c>
      <c r="AIB24" s="1023">
        <v>0</v>
      </c>
      <c r="AIC24" s="1023">
        <v>0</v>
      </c>
      <c r="AID24" s="1023">
        <v>0</v>
      </c>
      <c r="AIE24" s="1023">
        <v>0</v>
      </c>
      <c r="AIF24" s="1017">
        <v>420</v>
      </c>
      <c r="AIG24" s="1017">
        <v>32.409999999999997</v>
      </c>
      <c r="AIH24" s="1017">
        <v>27.01</v>
      </c>
      <c r="AII24" s="1017">
        <v>0</v>
      </c>
      <c r="AIJ24" s="1017">
        <v>2.52</v>
      </c>
      <c r="AIK24" s="1017">
        <v>3.06</v>
      </c>
      <c r="AIL24" s="1017">
        <v>0</v>
      </c>
      <c r="AIM24" s="1017">
        <v>0</v>
      </c>
      <c r="AIN24" s="1016">
        <v>350</v>
      </c>
      <c r="AIO24" s="1016">
        <v>64.819999999999993</v>
      </c>
      <c r="AIP24" s="1017">
        <v>54.02</v>
      </c>
      <c r="AIQ24" s="1017">
        <v>0</v>
      </c>
      <c r="AIR24" s="1017">
        <v>5.04</v>
      </c>
      <c r="AIS24" s="1017">
        <v>6.12</v>
      </c>
      <c r="AIT24" s="1017">
        <v>0</v>
      </c>
      <c r="AIU24" s="1017">
        <v>0</v>
      </c>
      <c r="AIV24" s="1017">
        <v>120</v>
      </c>
      <c r="AIW24" s="1017">
        <v>47.37</v>
      </c>
      <c r="AIX24" s="1017">
        <v>39.47</v>
      </c>
      <c r="AIY24" s="1017">
        <v>0</v>
      </c>
      <c r="AIZ24" s="1017">
        <v>3.68</v>
      </c>
      <c r="AJA24" s="1017">
        <v>4.4800000000000004</v>
      </c>
      <c r="AJB24" s="1017">
        <v>0</v>
      </c>
      <c r="AJC24" s="1017">
        <v>0</v>
      </c>
      <c r="AJD24" s="1017">
        <v>129.6</v>
      </c>
      <c r="AJE24" s="1017">
        <v>96.93</v>
      </c>
      <c r="AJF24" s="1017">
        <v>80.78</v>
      </c>
      <c r="AJG24" s="1017">
        <v>0</v>
      </c>
      <c r="AJH24" s="1017">
        <v>7.54</v>
      </c>
      <c r="AJI24" s="1017">
        <v>9.15</v>
      </c>
      <c r="AJJ24" s="1017">
        <v>0</v>
      </c>
      <c r="AJK24" s="1013">
        <v>0</v>
      </c>
      <c r="AJL24" s="1013">
        <v>160</v>
      </c>
      <c r="AJM24" s="1013">
        <v>17.45</v>
      </c>
      <c r="AJN24" s="1013">
        <v>14.54</v>
      </c>
      <c r="AJO24" s="1013">
        <v>0</v>
      </c>
      <c r="AJP24" s="1013">
        <v>1.36</v>
      </c>
      <c r="AJQ24" s="1013">
        <v>1.65</v>
      </c>
      <c r="AJR24" s="1013">
        <v>0</v>
      </c>
      <c r="AJS24" s="1013">
        <v>0</v>
      </c>
      <c r="AJT24" s="1029" t="s">
        <v>858</v>
      </c>
      <c r="AJU24" s="988" t="s">
        <v>861</v>
      </c>
      <c r="AJV24" s="988" t="s">
        <v>860</v>
      </c>
      <c r="AJW24" s="988" t="s">
        <v>859</v>
      </c>
      <c r="AJX24" s="988" t="s">
        <v>870</v>
      </c>
      <c r="AJY24" s="988" t="s">
        <v>871</v>
      </c>
      <c r="AJZ24" s="988" t="s">
        <v>872</v>
      </c>
      <c r="AKA24" s="988" t="s">
        <v>873</v>
      </c>
      <c r="AKB24" s="988" t="s">
        <v>874</v>
      </c>
      <c r="AKC24" s="988" t="s">
        <v>875</v>
      </c>
      <c r="AKD24" s="1013">
        <v>118.8</v>
      </c>
      <c r="AKE24" s="1013">
        <v>0</v>
      </c>
      <c r="AKF24" s="1013">
        <v>0</v>
      </c>
      <c r="AKG24" s="1013">
        <v>0</v>
      </c>
      <c r="AKH24" s="1013">
        <v>0</v>
      </c>
      <c r="AKI24" s="1013">
        <v>0</v>
      </c>
      <c r="AKJ24" s="1013">
        <v>2.4750000000000001</v>
      </c>
      <c r="AKK24" s="1013">
        <v>2.4750000000000001</v>
      </c>
      <c r="AKL24" s="1017">
        <v>349.19999999999993</v>
      </c>
      <c r="AKM24" s="1017">
        <v>0</v>
      </c>
      <c r="AKN24" s="1017">
        <v>0</v>
      </c>
      <c r="AKO24" s="1017">
        <v>0</v>
      </c>
      <c r="AKP24" s="1017">
        <v>0</v>
      </c>
      <c r="AKQ24" s="1017">
        <v>0</v>
      </c>
      <c r="AKR24" s="1017">
        <v>7.2749999999999986</v>
      </c>
      <c r="AKS24" s="1017">
        <v>7.2749999999999986</v>
      </c>
      <c r="AKT24" s="1016">
        <v>345.59999999999997</v>
      </c>
      <c r="AKU24" s="1016">
        <v>0</v>
      </c>
      <c r="AKV24" s="1017">
        <v>0</v>
      </c>
      <c r="AKW24" s="1017">
        <v>0</v>
      </c>
      <c r="AKX24" s="1017">
        <v>0</v>
      </c>
      <c r="AKY24" s="1017">
        <v>0</v>
      </c>
      <c r="AKZ24" s="1017">
        <v>7.2</v>
      </c>
      <c r="ALA24" s="1017">
        <v>7.2</v>
      </c>
      <c r="ALB24" s="1017">
        <v>154.79999999999998</v>
      </c>
      <c r="ALC24" s="1017">
        <v>0</v>
      </c>
      <c r="ALD24" s="1017">
        <v>0</v>
      </c>
      <c r="ALE24" s="1017">
        <v>0</v>
      </c>
      <c r="ALF24" s="1017">
        <v>0</v>
      </c>
      <c r="ALG24" s="1017">
        <v>0</v>
      </c>
      <c r="ALH24" s="1017">
        <v>3.2250000000000001</v>
      </c>
      <c r="ALI24" s="1017">
        <v>3.2250000000000001</v>
      </c>
      <c r="ALJ24" s="1017">
        <v>233.28</v>
      </c>
      <c r="ALK24" s="1017">
        <v>0</v>
      </c>
      <c r="ALL24" s="1017">
        <v>0</v>
      </c>
      <c r="ALM24" s="1017">
        <v>0</v>
      </c>
      <c r="ALN24" s="1017">
        <v>0</v>
      </c>
      <c r="ALO24" s="1017">
        <v>0</v>
      </c>
      <c r="ALP24" s="1017">
        <v>4.8600000000000003</v>
      </c>
      <c r="ALQ24" s="1013">
        <v>4.8600000000000003</v>
      </c>
      <c r="ALR24" s="1013">
        <v>140.4</v>
      </c>
      <c r="ALS24" s="1013">
        <v>0</v>
      </c>
      <c r="ALT24" s="1013">
        <v>0</v>
      </c>
      <c r="ALU24" s="1013">
        <v>0</v>
      </c>
      <c r="ALV24" s="1013">
        <v>0</v>
      </c>
      <c r="ALW24" s="1013">
        <v>0</v>
      </c>
      <c r="ALX24" s="1013">
        <v>2.9250000000000003</v>
      </c>
      <c r="ALY24" s="1013">
        <v>2.9250000000000003</v>
      </c>
    </row>
    <row r="25" spans="1:1013" ht="18" customHeight="1">
      <c r="A25" s="1259" t="s">
        <v>17</v>
      </c>
      <c r="B25" s="1260" t="s">
        <v>3063</v>
      </c>
      <c r="C25" s="1260">
        <v>2022</v>
      </c>
      <c r="D25" s="1269"/>
      <c r="E25" s="1270">
        <v>-1.4</v>
      </c>
      <c r="F25" s="1271">
        <v>-0.6</v>
      </c>
      <c r="G25" s="1271">
        <v>-0.6</v>
      </c>
      <c r="H25" s="76">
        <v>1357.1428571428571</v>
      </c>
      <c r="I25" s="72">
        <v>1.6</v>
      </c>
      <c r="J25" s="1271">
        <v>-2.1</v>
      </c>
      <c r="K25" s="1271">
        <v>-2.1</v>
      </c>
      <c r="L25" s="1265">
        <v>350</v>
      </c>
      <c r="M25" s="1262">
        <v>0</v>
      </c>
      <c r="N25" s="1262">
        <v>0</v>
      </c>
      <c r="O25" s="1262">
        <v>0</v>
      </c>
      <c r="P25" s="76">
        <v>1161.7265276536368</v>
      </c>
      <c r="Q25" s="75">
        <v>12</v>
      </c>
      <c r="R25" s="72">
        <v>0.6</v>
      </c>
      <c r="S25" s="72">
        <v>0.4</v>
      </c>
      <c r="T25" s="72">
        <v>0.4</v>
      </c>
      <c r="U25" s="1271">
        <v>0.5</v>
      </c>
      <c r="V25" s="1271">
        <v>0</v>
      </c>
      <c r="W25" s="1271">
        <v>99.4</v>
      </c>
      <c r="X25" s="1271">
        <v>0.2</v>
      </c>
      <c r="Y25" s="1272">
        <v>0</v>
      </c>
      <c r="Z25" s="75">
        <v>2</v>
      </c>
      <c r="AA25" s="72">
        <v>1.5</v>
      </c>
      <c r="AB25" s="75">
        <v>1</v>
      </c>
      <c r="AC25" s="72">
        <v>0.8</v>
      </c>
      <c r="AD25" s="72">
        <v>0.5</v>
      </c>
      <c r="AE25" s="390">
        <v>433.01922201480062</v>
      </c>
      <c r="AF25" s="390">
        <v>470.67306740739195</v>
      </c>
      <c r="AG25" s="390">
        <v>433.37222681535616</v>
      </c>
      <c r="AH25" s="390">
        <v>649.0581599547935</v>
      </c>
      <c r="AI25" s="400">
        <v>0.82209484106305364</v>
      </c>
      <c r="AJ25" s="390">
        <v>261.91600618637949</v>
      </c>
      <c r="AK25" s="390">
        <v>284.69131107215162</v>
      </c>
      <c r="AL25" s="390">
        <v>262.12952466968363</v>
      </c>
      <c r="AM25" s="390">
        <v>392.58931796849708</v>
      </c>
      <c r="AN25" s="400">
        <v>0.96717040125065135</v>
      </c>
      <c r="AO25" s="77">
        <v>0.1</v>
      </c>
      <c r="AP25" s="77">
        <v>0.2</v>
      </c>
      <c r="AQ25" s="77">
        <v>0.7</v>
      </c>
      <c r="AR25" s="77">
        <v>1.2</v>
      </c>
      <c r="AS25" s="77">
        <v>1.5</v>
      </c>
      <c r="AT25" s="77">
        <v>1.7</v>
      </c>
      <c r="AU25" s="77">
        <v>1.8</v>
      </c>
      <c r="AV25" s="1268">
        <v>0</v>
      </c>
      <c r="AW25" s="1268">
        <v>10</v>
      </c>
      <c r="AX25" s="1268">
        <v>20</v>
      </c>
      <c r="AY25" s="1268">
        <v>70</v>
      </c>
      <c r="AZ25" s="1268">
        <v>100</v>
      </c>
      <c r="BA25" s="1019">
        <v>8228.6259277475547</v>
      </c>
      <c r="BB25" s="1031">
        <v>1.43</v>
      </c>
      <c r="BC25" s="988">
        <v>0.7</v>
      </c>
      <c r="BD25" s="988">
        <v>0.4</v>
      </c>
      <c r="BE25" s="988">
        <v>0.4</v>
      </c>
      <c r="BF25" s="1021">
        <v>0.19488356370085466</v>
      </c>
      <c r="BG25" s="1021">
        <v>0.18504125998064766</v>
      </c>
      <c r="BH25" s="1020">
        <v>2.6202622967715339</v>
      </c>
      <c r="BI25" s="1020">
        <v>2.8342480224678571E-2</v>
      </c>
      <c r="BJ25" s="1020">
        <v>6.3198577722810541</v>
      </c>
      <c r="BK25" s="1020">
        <v>29.695962484862537</v>
      </c>
      <c r="BL25" s="1020">
        <v>1.4300069567906007E-2</v>
      </c>
      <c r="BM25" s="1020">
        <v>0</v>
      </c>
      <c r="BN25" s="1020">
        <v>57.647058823529406</v>
      </c>
      <c r="BO25" s="1020">
        <v>2.9630774780345778E-3</v>
      </c>
      <c r="BP25" s="1020">
        <v>0</v>
      </c>
      <c r="BQ25" s="1020">
        <v>0</v>
      </c>
      <c r="BR25" s="1020">
        <v>0</v>
      </c>
      <c r="BS25" s="1020">
        <v>0</v>
      </c>
      <c r="BT25" s="1020">
        <v>0</v>
      </c>
      <c r="BU25" s="1020">
        <v>3.5864832135219396</v>
      </c>
      <c r="BV25" s="1020">
        <v>8.4769781762902272E-2</v>
      </c>
      <c r="BW25" s="993">
        <v>261.13475999999997</v>
      </c>
      <c r="BX25" s="993">
        <v>96.5</v>
      </c>
      <c r="BY25" s="993">
        <v>63.215999999999994</v>
      </c>
      <c r="BZ25" s="993">
        <v>233.35949490734063</v>
      </c>
      <c r="CA25" s="993">
        <v>157.40783999999999</v>
      </c>
      <c r="CB25" s="990"/>
      <c r="CC25" s="993">
        <v>256.20808011776955</v>
      </c>
      <c r="CD25" s="993">
        <v>165.17663999999999</v>
      </c>
      <c r="CE25" s="990"/>
      <c r="CF25" s="989">
        <v>0</v>
      </c>
      <c r="CG25" s="993">
        <v>6.585</v>
      </c>
      <c r="CH25" s="993">
        <v>1.3169999999999999</v>
      </c>
      <c r="CI25" s="993">
        <v>38</v>
      </c>
      <c r="CJ25" s="993">
        <v>225.83915999999996</v>
      </c>
      <c r="CK25" s="990">
        <v>0.2</v>
      </c>
      <c r="CL25" s="993">
        <v>175.08124000000001</v>
      </c>
      <c r="CM25" s="993">
        <v>60.4</v>
      </c>
      <c r="CN25" s="993">
        <v>42.384</v>
      </c>
      <c r="CO25" s="993">
        <v>156.45894761061641</v>
      </c>
      <c r="CP25" s="993">
        <v>105.53616</v>
      </c>
      <c r="CQ25" s="990"/>
      <c r="CR25" s="993">
        <v>159.24945066654416</v>
      </c>
      <c r="CS25" s="993">
        <v>102.66767999999999</v>
      </c>
      <c r="CT25" s="990"/>
      <c r="CU25" s="993">
        <v>0</v>
      </c>
      <c r="CV25" s="993">
        <v>4.415</v>
      </c>
      <c r="CW25" s="993">
        <v>0.88300000000000001</v>
      </c>
      <c r="CX25" s="993">
        <v>27</v>
      </c>
      <c r="CY25" s="993">
        <v>151.41683999999998</v>
      </c>
      <c r="CZ25" s="990">
        <v>0.2</v>
      </c>
      <c r="DA25" s="988">
        <v>0.3</v>
      </c>
      <c r="DB25" s="988">
        <v>0.7</v>
      </c>
      <c r="DC25" s="988">
        <v>1.2</v>
      </c>
      <c r="DD25" s="988">
        <v>1.2</v>
      </c>
      <c r="DE25" s="1022">
        <v>3</v>
      </c>
      <c r="DF25" s="995">
        <v>0</v>
      </c>
      <c r="DG25" s="995">
        <v>10</v>
      </c>
      <c r="DH25" s="995">
        <v>20</v>
      </c>
      <c r="DI25" s="995">
        <v>70</v>
      </c>
      <c r="DJ25" s="995">
        <v>100</v>
      </c>
      <c r="DK25" s="1017"/>
      <c r="DL25" s="1022">
        <v>18</v>
      </c>
      <c r="DM25" s="989">
        <v>12</v>
      </c>
      <c r="DN25" s="988">
        <v>2.6</v>
      </c>
      <c r="DO25" s="988">
        <v>1.4</v>
      </c>
      <c r="DP25" s="988">
        <v>1.4</v>
      </c>
      <c r="DQ25" s="1032" t="s">
        <v>643</v>
      </c>
      <c r="DR25" s="988" t="s">
        <v>640</v>
      </c>
      <c r="DS25" s="988" t="s">
        <v>640</v>
      </c>
      <c r="DT25" s="988" t="s">
        <v>640</v>
      </c>
      <c r="DU25" s="988" t="s">
        <v>640</v>
      </c>
      <c r="DV25" s="988" t="s">
        <v>640</v>
      </c>
      <c r="DW25" s="988" t="s">
        <v>640</v>
      </c>
      <c r="DX25" s="997">
        <v>0</v>
      </c>
      <c r="DY25" s="997">
        <v>0</v>
      </c>
      <c r="DZ25" s="997">
        <v>0</v>
      </c>
      <c r="EA25" s="997">
        <v>0</v>
      </c>
      <c r="EB25" s="997">
        <v>0</v>
      </c>
      <c r="EC25" s="997">
        <v>0</v>
      </c>
      <c r="ED25" s="997">
        <v>0</v>
      </c>
      <c r="EE25" s="1022">
        <v>6.3372000000000012E-2</v>
      </c>
      <c r="EF25" s="1022">
        <v>18</v>
      </c>
      <c r="EG25" s="991">
        <v>5</v>
      </c>
      <c r="EH25" s="1023">
        <v>2.6</v>
      </c>
      <c r="EI25" s="1023">
        <v>1.4</v>
      </c>
      <c r="EJ25" s="1023">
        <v>1.4</v>
      </c>
      <c r="EK25" s="988" t="s">
        <v>690</v>
      </c>
      <c r="EL25" s="988" t="s">
        <v>709</v>
      </c>
      <c r="EM25" s="987" t="s">
        <v>721</v>
      </c>
      <c r="EN25" s="988" t="s">
        <v>640</v>
      </c>
      <c r="EO25" s="988" t="s">
        <v>640</v>
      </c>
      <c r="EP25" s="988" t="s">
        <v>640</v>
      </c>
      <c r="EQ25" s="988" t="s">
        <v>640</v>
      </c>
      <c r="ER25" s="988" t="s">
        <v>640</v>
      </c>
      <c r="ES25" s="988" t="s">
        <v>640</v>
      </c>
      <c r="ET25" s="988" t="s">
        <v>640</v>
      </c>
      <c r="EU25" s="988" t="s">
        <v>640</v>
      </c>
      <c r="EV25" s="988" t="s">
        <v>640</v>
      </c>
      <c r="EW25" s="988" t="s">
        <v>640</v>
      </c>
      <c r="EX25" s="988" t="s">
        <v>640</v>
      </c>
      <c r="EY25" s="988" t="s">
        <v>640</v>
      </c>
      <c r="EZ25" s="988" t="s">
        <v>640</v>
      </c>
      <c r="FA25" s="988" t="s">
        <v>640</v>
      </c>
      <c r="FB25" s="988" t="s">
        <v>640</v>
      </c>
      <c r="FC25" s="988" t="s">
        <v>640</v>
      </c>
      <c r="FD25" s="988" t="s">
        <v>640</v>
      </c>
      <c r="FE25" s="988" t="s">
        <v>640</v>
      </c>
      <c r="FF25" s="988" t="s">
        <v>640</v>
      </c>
      <c r="FG25" s="988" t="s">
        <v>640</v>
      </c>
      <c r="FH25" s="988" t="s">
        <v>640</v>
      </c>
      <c r="FI25" s="988" t="s">
        <v>640</v>
      </c>
      <c r="FJ25" s="988" t="s">
        <v>640</v>
      </c>
      <c r="FK25" s="988" t="s">
        <v>640</v>
      </c>
      <c r="FL25" s="988" t="s">
        <v>640</v>
      </c>
      <c r="FM25" s="988" t="s">
        <v>640</v>
      </c>
      <c r="FN25" s="988" t="s">
        <v>640</v>
      </c>
      <c r="FO25" s="988" t="s">
        <v>640</v>
      </c>
      <c r="FP25" s="988" t="s">
        <v>640</v>
      </c>
      <c r="FQ25" s="988" t="s">
        <v>640</v>
      </c>
      <c r="FR25" s="988" t="s">
        <v>640</v>
      </c>
      <c r="FS25" s="988" t="s">
        <v>640</v>
      </c>
      <c r="FT25" s="988" t="s">
        <v>640</v>
      </c>
      <c r="FU25" s="988" t="s">
        <v>640</v>
      </c>
      <c r="FV25" s="988" t="s">
        <v>640</v>
      </c>
      <c r="FW25" s="988" t="s">
        <v>640</v>
      </c>
      <c r="FX25" s="988" t="s">
        <v>640</v>
      </c>
      <c r="FY25" s="988" t="s">
        <v>640</v>
      </c>
      <c r="FZ25" s="988" t="s">
        <v>640</v>
      </c>
      <c r="GA25" s="988" t="s">
        <v>640</v>
      </c>
      <c r="GB25" s="988" t="s">
        <v>640</v>
      </c>
      <c r="GC25" s="988" t="s">
        <v>640</v>
      </c>
      <c r="GD25" s="988" t="s">
        <v>640</v>
      </c>
      <c r="GE25" s="988" t="s">
        <v>640</v>
      </c>
      <c r="GF25" s="988" t="s">
        <v>640</v>
      </c>
      <c r="GG25" s="988" t="s">
        <v>640</v>
      </c>
      <c r="GH25" s="988" t="s">
        <v>640</v>
      </c>
      <c r="GI25" s="988" t="s">
        <v>640</v>
      </c>
      <c r="GJ25" s="988" t="s">
        <v>640</v>
      </c>
      <c r="GK25" s="988" t="s">
        <v>640</v>
      </c>
      <c r="GL25" s="988" t="s">
        <v>640</v>
      </c>
      <c r="GM25" s="988" t="s">
        <v>640</v>
      </c>
      <c r="GN25" s="988" t="s">
        <v>640</v>
      </c>
      <c r="GO25" s="988" t="s">
        <v>640</v>
      </c>
      <c r="GP25" s="988" t="s">
        <v>640</v>
      </c>
      <c r="GQ25" s="997">
        <v>7.4067321178120622</v>
      </c>
      <c r="GR25" s="997">
        <v>2.044258064516129</v>
      </c>
      <c r="GS25" s="997">
        <v>53.921009817671809</v>
      </c>
      <c r="GT25" s="997">
        <v>0</v>
      </c>
      <c r="GU25" s="997">
        <v>0</v>
      </c>
      <c r="GV25" s="997">
        <v>0</v>
      </c>
      <c r="GW25" s="997">
        <v>0</v>
      </c>
      <c r="GX25" s="997">
        <v>0</v>
      </c>
      <c r="GY25" s="997">
        <v>0</v>
      </c>
      <c r="GZ25" s="997">
        <v>0</v>
      </c>
      <c r="HA25" s="997">
        <v>0</v>
      </c>
      <c r="HB25" s="997">
        <v>0</v>
      </c>
      <c r="HC25" s="997">
        <v>0</v>
      </c>
      <c r="HD25" s="997">
        <v>0</v>
      </c>
      <c r="HE25" s="997">
        <v>0</v>
      </c>
      <c r="HF25" s="997">
        <v>0</v>
      </c>
      <c r="HG25" s="997">
        <v>0</v>
      </c>
      <c r="HH25" s="997">
        <v>0</v>
      </c>
      <c r="HI25" s="997">
        <v>0</v>
      </c>
      <c r="HJ25" s="997">
        <v>0</v>
      </c>
      <c r="HK25" s="997">
        <v>0</v>
      </c>
      <c r="HL25" s="997">
        <v>0</v>
      </c>
      <c r="HM25" s="997">
        <v>0</v>
      </c>
      <c r="HN25" s="997">
        <v>0</v>
      </c>
      <c r="HO25" s="997">
        <v>0</v>
      </c>
      <c r="HP25" s="997">
        <v>0</v>
      </c>
      <c r="HQ25" s="997">
        <v>0</v>
      </c>
      <c r="HR25" s="997">
        <v>0</v>
      </c>
      <c r="HS25" s="997">
        <v>0</v>
      </c>
      <c r="HT25" s="997">
        <v>0</v>
      </c>
      <c r="HU25" s="997">
        <v>0</v>
      </c>
      <c r="HV25" s="997">
        <v>0</v>
      </c>
      <c r="HW25" s="997">
        <v>0</v>
      </c>
      <c r="HX25" s="997">
        <v>0</v>
      </c>
      <c r="HY25" s="997">
        <v>0</v>
      </c>
      <c r="HZ25" s="997">
        <v>0</v>
      </c>
      <c r="IA25" s="997">
        <v>0</v>
      </c>
      <c r="IB25" s="997">
        <v>0</v>
      </c>
      <c r="IC25" s="997">
        <v>0</v>
      </c>
      <c r="ID25" s="997">
        <v>0</v>
      </c>
      <c r="IE25" s="997">
        <v>0</v>
      </c>
      <c r="IF25" s="997">
        <v>0</v>
      </c>
      <c r="IG25" s="997">
        <v>0</v>
      </c>
      <c r="IH25" s="997">
        <v>0</v>
      </c>
      <c r="II25" s="997">
        <v>0</v>
      </c>
      <c r="IJ25" s="997">
        <v>0</v>
      </c>
      <c r="IK25" s="997">
        <v>0</v>
      </c>
      <c r="IL25" s="997">
        <v>0</v>
      </c>
      <c r="IM25" s="997">
        <v>0</v>
      </c>
      <c r="IN25" s="997">
        <v>0</v>
      </c>
      <c r="IO25" s="997">
        <v>0</v>
      </c>
      <c r="IP25" s="997">
        <v>0</v>
      </c>
      <c r="IQ25" s="997">
        <v>0</v>
      </c>
      <c r="IR25" s="997">
        <v>0</v>
      </c>
      <c r="IS25" s="997">
        <v>0</v>
      </c>
      <c r="IT25" s="997">
        <v>0</v>
      </c>
      <c r="IU25" s="997">
        <v>0</v>
      </c>
      <c r="IV25" s="997">
        <v>0</v>
      </c>
      <c r="IW25" s="1019">
        <v>329.59667191873331</v>
      </c>
      <c r="IX25" s="1022">
        <v>179.9</v>
      </c>
      <c r="IY25" s="998">
        <v>2647.0800000000199</v>
      </c>
      <c r="IZ25" s="429">
        <v>12.64</v>
      </c>
      <c r="JA25" s="1022">
        <v>60.030658161499282</v>
      </c>
      <c r="JB25" s="988">
        <v>2.6</v>
      </c>
      <c r="JC25" s="988">
        <v>1.4</v>
      </c>
      <c r="JD25" s="988">
        <v>1.4</v>
      </c>
      <c r="JE25" s="998">
        <v>2</v>
      </c>
      <c r="JF25" s="1023">
        <v>1.5</v>
      </c>
      <c r="JG25" s="1023">
        <v>0.7</v>
      </c>
      <c r="JH25" s="1023">
        <v>0.7</v>
      </c>
      <c r="JI25" s="1023">
        <v>0.5</v>
      </c>
      <c r="JJ25" s="1019">
        <v>502.77337566256062</v>
      </c>
      <c r="JK25" s="998">
        <v>2647.0800000000199</v>
      </c>
      <c r="JL25" s="429">
        <v>12.64</v>
      </c>
      <c r="JM25" s="1022">
        <v>60.030658161499282</v>
      </c>
      <c r="JN25" s="988">
        <v>2.2999999999999998</v>
      </c>
      <c r="JO25" s="988">
        <v>1.2</v>
      </c>
      <c r="JP25" s="988">
        <v>1.2</v>
      </c>
      <c r="JQ25" s="998">
        <v>2</v>
      </c>
      <c r="JR25" s="998">
        <v>2</v>
      </c>
      <c r="JS25" s="998">
        <v>1</v>
      </c>
      <c r="JT25" s="998">
        <v>1</v>
      </c>
      <c r="JU25" s="1023">
        <v>0.5</v>
      </c>
      <c r="JV25" s="1004">
        <v>2000</v>
      </c>
      <c r="JW25" s="1019">
        <v>179.46118387955354</v>
      </c>
      <c r="JX25" s="1019">
        <v>500</v>
      </c>
      <c r="JY25" s="1022">
        <v>1.8</v>
      </c>
      <c r="JZ25" s="1022">
        <v>1.1000000000000001</v>
      </c>
      <c r="KA25" s="1022">
        <v>1.1000000000000001</v>
      </c>
      <c r="KB25" s="1023">
        <v>2</v>
      </c>
      <c r="KC25" s="1023">
        <v>1.5</v>
      </c>
      <c r="KD25" s="1023">
        <v>0.5</v>
      </c>
      <c r="KE25" s="1023">
        <v>1</v>
      </c>
      <c r="KF25" s="1023">
        <v>0.5</v>
      </c>
      <c r="KG25" s="997">
        <v>3.1928779410288164</v>
      </c>
      <c r="KH25" s="997">
        <v>0.7580574985775963</v>
      </c>
      <c r="KI25" s="997">
        <v>94.149737273670482</v>
      </c>
      <c r="KJ25" s="997"/>
      <c r="KK25" s="997">
        <v>2.3427825563104521E-2</v>
      </c>
      <c r="KL25" s="997">
        <v>1.8758994611600119</v>
      </c>
      <c r="KM25" s="997">
        <v>0</v>
      </c>
      <c r="KN25" s="997">
        <v>0</v>
      </c>
      <c r="KO25" s="997"/>
      <c r="KP25" s="1006">
        <v>580</v>
      </c>
      <c r="KQ25" s="1006">
        <v>580</v>
      </c>
      <c r="KR25" s="1006">
        <v>580</v>
      </c>
      <c r="KS25" s="1006">
        <v>580</v>
      </c>
      <c r="KT25" s="1006"/>
      <c r="KU25" s="1006">
        <v>580</v>
      </c>
      <c r="KV25" s="1006">
        <v>580</v>
      </c>
      <c r="KW25" s="1006">
        <v>580</v>
      </c>
      <c r="KX25" s="1006">
        <v>580</v>
      </c>
      <c r="KY25" s="993">
        <v>370</v>
      </c>
      <c r="KZ25" s="993">
        <v>370</v>
      </c>
      <c r="LA25" s="993">
        <v>370</v>
      </c>
      <c r="LB25" s="993">
        <v>370</v>
      </c>
      <c r="LC25" s="993"/>
      <c r="LD25" s="993">
        <v>370</v>
      </c>
      <c r="LE25" s="993">
        <v>370</v>
      </c>
      <c r="LF25" s="993">
        <v>370</v>
      </c>
      <c r="LG25" s="993">
        <v>370</v>
      </c>
      <c r="LH25" s="995">
        <v>0</v>
      </c>
      <c r="LI25" s="995">
        <v>10</v>
      </c>
      <c r="LJ25" s="995">
        <v>20</v>
      </c>
      <c r="LK25" s="995">
        <v>70</v>
      </c>
      <c r="LL25" s="995">
        <v>100</v>
      </c>
      <c r="LM25" s="1004">
        <v>1000</v>
      </c>
      <c r="LN25" s="1019"/>
      <c r="LO25" s="988">
        <v>29</v>
      </c>
      <c r="LP25" s="988">
        <v>1.5</v>
      </c>
      <c r="LQ25" s="1022">
        <v>1</v>
      </c>
      <c r="LR25" s="1022">
        <v>1</v>
      </c>
      <c r="LS25" s="1023">
        <v>2</v>
      </c>
      <c r="LT25" s="1023">
        <v>1</v>
      </c>
      <c r="LU25" s="1023">
        <v>0.5</v>
      </c>
      <c r="LV25" s="1023">
        <v>0.7</v>
      </c>
      <c r="LW25" s="1023">
        <v>0.2</v>
      </c>
      <c r="LX25" s="1004">
        <v>1500</v>
      </c>
      <c r="LY25" s="1008">
        <v>500</v>
      </c>
      <c r="LZ25" s="1008">
        <v>1</v>
      </c>
      <c r="MA25" s="997" t="s">
        <v>2914</v>
      </c>
      <c r="MB25" s="1023" t="s">
        <v>905</v>
      </c>
      <c r="MC25" s="1023" t="s">
        <v>2932</v>
      </c>
      <c r="MD25" s="1024" t="s">
        <v>906</v>
      </c>
      <c r="ME25" s="1009">
        <v>0.5</v>
      </c>
      <c r="MF25" s="1010">
        <v>0.75</v>
      </c>
      <c r="MG25" s="1010">
        <v>1</v>
      </c>
      <c r="MH25" s="1010">
        <v>2</v>
      </c>
      <c r="MI25" s="1010">
        <v>0.5</v>
      </c>
      <c r="MJ25" s="1010">
        <v>0.75</v>
      </c>
      <c r="MK25" s="1010">
        <v>1</v>
      </c>
      <c r="ML25" s="1010">
        <v>2</v>
      </c>
      <c r="MM25" s="1010">
        <v>0</v>
      </c>
      <c r="MN25" s="1010">
        <v>0.5</v>
      </c>
      <c r="MO25" s="1010">
        <v>1</v>
      </c>
      <c r="MP25" s="1010">
        <v>2</v>
      </c>
      <c r="MQ25" s="1010">
        <v>0</v>
      </c>
      <c r="MR25" s="1010">
        <v>0.5</v>
      </c>
      <c r="MS25" s="1010">
        <v>1</v>
      </c>
      <c r="MT25" s="1010">
        <v>2</v>
      </c>
      <c r="MU25" s="1001">
        <v>0</v>
      </c>
      <c r="MV25" s="1001">
        <v>0</v>
      </c>
      <c r="MW25" s="1001">
        <v>0</v>
      </c>
      <c r="MX25" s="1025">
        <v>0</v>
      </c>
      <c r="MY25" s="1025">
        <v>0</v>
      </c>
      <c r="MZ25" s="1025">
        <v>0</v>
      </c>
      <c r="NA25" s="1025">
        <v>0</v>
      </c>
      <c r="NB25" s="1025">
        <v>0</v>
      </c>
      <c r="NC25" s="1025">
        <v>0</v>
      </c>
      <c r="ND25" s="1025">
        <v>0</v>
      </c>
      <c r="NE25" s="1025">
        <v>0</v>
      </c>
      <c r="NF25" s="1025">
        <v>0</v>
      </c>
      <c r="NG25" s="1025">
        <v>0</v>
      </c>
      <c r="NH25" s="1025">
        <v>0</v>
      </c>
      <c r="NI25" s="1025">
        <v>0</v>
      </c>
      <c r="NJ25" s="1025">
        <v>0</v>
      </c>
      <c r="NK25" s="1025">
        <v>0</v>
      </c>
      <c r="NL25" s="1025">
        <v>0</v>
      </c>
      <c r="NM25" s="1025">
        <v>0</v>
      </c>
      <c r="NN25" s="1025">
        <v>0</v>
      </c>
      <c r="NO25" s="1025">
        <v>0</v>
      </c>
      <c r="NP25" s="1025">
        <v>0</v>
      </c>
      <c r="NQ25" s="1025">
        <v>0</v>
      </c>
      <c r="NR25" s="1025">
        <v>0</v>
      </c>
      <c r="NS25" s="1025">
        <v>0</v>
      </c>
      <c r="NT25" s="1025">
        <v>0</v>
      </c>
      <c r="NU25" s="1025">
        <v>0</v>
      </c>
      <c r="NV25" s="1025">
        <v>0.29674116862651001</v>
      </c>
      <c r="NW25" s="1025">
        <v>0</v>
      </c>
      <c r="NX25" s="1025">
        <v>8.5038180398629995E-2</v>
      </c>
      <c r="NY25" s="1025">
        <v>8.0909603120779994E-2</v>
      </c>
      <c r="NZ25" s="1025">
        <v>0</v>
      </c>
      <c r="OA25" s="1025">
        <v>-0.52000153281798001</v>
      </c>
      <c r="OB25" s="1025">
        <v>0.29674115861946998</v>
      </c>
      <c r="OC25" s="1025">
        <v>0</v>
      </c>
      <c r="OD25" s="1025">
        <v>8.5038184275519998E-2</v>
      </c>
      <c r="OE25" s="1025">
        <v>8.0909616730519995E-2</v>
      </c>
      <c r="OF25" s="1025">
        <v>0</v>
      </c>
      <c r="OG25" s="1025">
        <v>-0.51999956638155997</v>
      </c>
      <c r="OH25" s="1025">
        <v>0.29674114681768998</v>
      </c>
      <c r="OI25" s="1025">
        <v>0</v>
      </c>
      <c r="OJ25" s="1025">
        <v>8.5038161827740003E-2</v>
      </c>
      <c r="OK25" s="1025">
        <v>8.090964826706E-2</v>
      </c>
      <c r="OL25" s="1025">
        <v>0</v>
      </c>
      <c r="OM25" s="1025">
        <v>-0.52000446492640995</v>
      </c>
      <c r="ON25" s="1025">
        <v>0.29674116869143002</v>
      </c>
      <c r="OO25" s="1025">
        <v>0</v>
      </c>
      <c r="OP25" s="1025">
        <v>8.5038160755390002E-2</v>
      </c>
      <c r="OQ25" s="1025">
        <v>8.0909602480600001E-2</v>
      </c>
      <c r="OR25" s="1025">
        <v>0</v>
      </c>
      <c r="OS25" s="1025">
        <v>0</v>
      </c>
      <c r="OT25" s="1025">
        <v>0</v>
      </c>
      <c r="OU25" s="1025">
        <v>0</v>
      </c>
      <c r="OV25" s="1025">
        <v>0</v>
      </c>
      <c r="OW25" s="1025">
        <v>0</v>
      </c>
      <c r="OX25" s="1025">
        <v>0</v>
      </c>
      <c r="OY25" s="1025">
        <v>0</v>
      </c>
      <c r="OZ25" s="1025">
        <v>-64.06</v>
      </c>
      <c r="PA25" s="1025">
        <v>-20.5</v>
      </c>
      <c r="PB25" s="1025">
        <v>-2.3684264942101598</v>
      </c>
      <c r="PC25" s="1025">
        <v>0</v>
      </c>
      <c r="PD25" s="1025">
        <v>-0.1634535974746</v>
      </c>
      <c r="PE25" s="1025">
        <v>-4.8000003955629698</v>
      </c>
      <c r="PF25" s="1025">
        <v>0</v>
      </c>
      <c r="PG25" s="1025">
        <v>0</v>
      </c>
      <c r="PH25" s="1025">
        <v>0</v>
      </c>
      <c r="PI25" s="1025">
        <v>0</v>
      </c>
      <c r="PJ25" s="1025">
        <v>0</v>
      </c>
      <c r="PK25" s="1025">
        <v>-4.8000001479478502</v>
      </c>
      <c r="PL25" s="1025">
        <v>0</v>
      </c>
      <c r="PM25" s="1025">
        <v>0</v>
      </c>
      <c r="PN25" s="1025">
        <v>0</v>
      </c>
      <c r="PO25" s="1025">
        <v>0</v>
      </c>
      <c r="PP25" s="1025">
        <v>0</v>
      </c>
      <c r="PQ25" s="1025">
        <v>-4.7999991849584802</v>
      </c>
      <c r="PR25" s="1025">
        <v>0</v>
      </c>
      <c r="PS25" s="1025">
        <v>0</v>
      </c>
      <c r="PT25" s="1025">
        <v>0</v>
      </c>
      <c r="PU25" s="1025">
        <v>0</v>
      </c>
      <c r="PV25" s="1025">
        <v>0</v>
      </c>
      <c r="PW25" s="1025">
        <v>0</v>
      </c>
      <c r="PX25" s="1025">
        <v>0</v>
      </c>
      <c r="PY25" s="1025">
        <v>0</v>
      </c>
      <c r="PZ25" s="1025">
        <v>0</v>
      </c>
      <c r="QA25" s="1025">
        <v>0</v>
      </c>
      <c r="QB25" s="1025">
        <v>0</v>
      </c>
      <c r="QC25" s="1025">
        <v>0</v>
      </c>
      <c r="QD25" s="1025">
        <v>-64.06</v>
      </c>
      <c r="QE25" s="1025">
        <v>-20.5</v>
      </c>
      <c r="QF25" s="1025">
        <v>-0.39560483850567002</v>
      </c>
      <c r="QG25" s="1025">
        <v>0</v>
      </c>
      <c r="QH25" s="1025">
        <v>0</v>
      </c>
      <c r="QI25" s="1025">
        <v>-4.4000000227039404</v>
      </c>
      <c r="QJ25" s="1025">
        <v>0</v>
      </c>
      <c r="QK25" s="1025">
        <v>0</v>
      </c>
      <c r="QL25" s="1025">
        <v>0</v>
      </c>
      <c r="QM25" s="1025">
        <v>0</v>
      </c>
      <c r="QN25" s="1025">
        <v>0</v>
      </c>
      <c r="QO25" s="1025">
        <v>-4.3477140332346096</v>
      </c>
      <c r="QP25" s="1025">
        <v>0.20445725872255999</v>
      </c>
      <c r="QQ25" s="1025">
        <v>0</v>
      </c>
      <c r="QR25" s="1025">
        <v>0</v>
      </c>
      <c r="QS25" s="1025">
        <v>0</v>
      </c>
      <c r="QT25" s="1025">
        <v>0</v>
      </c>
      <c r="QU25" s="1025">
        <v>4.4000001103780502</v>
      </c>
      <c r="QV25" s="1025">
        <v>0</v>
      </c>
      <c r="QW25" s="1025">
        <v>0</v>
      </c>
      <c r="QX25" s="1025">
        <v>0</v>
      </c>
      <c r="QY25" s="1025">
        <v>0</v>
      </c>
      <c r="QZ25" s="1025">
        <v>0</v>
      </c>
      <c r="RA25" s="1025">
        <v>0</v>
      </c>
      <c r="RB25" s="1025">
        <v>0</v>
      </c>
      <c r="RC25" s="1025">
        <v>0</v>
      </c>
      <c r="RD25" s="1025">
        <v>0</v>
      </c>
      <c r="RE25" s="1025">
        <v>0</v>
      </c>
      <c r="RF25" s="1025">
        <v>0</v>
      </c>
      <c r="RG25" s="1025">
        <v>0</v>
      </c>
      <c r="RH25" s="1011">
        <v>0</v>
      </c>
      <c r="RI25" s="1026">
        <v>0</v>
      </c>
      <c r="RJ25" s="1026">
        <v>0</v>
      </c>
      <c r="RK25" s="1026">
        <v>0</v>
      </c>
      <c r="RL25" s="1026">
        <v>0</v>
      </c>
      <c r="RM25" s="1011">
        <v>0</v>
      </c>
      <c r="RN25" s="1011">
        <v>0</v>
      </c>
      <c r="RO25" s="1011">
        <v>0</v>
      </c>
      <c r="RP25" s="1011">
        <v>0</v>
      </c>
      <c r="RQ25" s="1011">
        <v>0</v>
      </c>
      <c r="RR25" s="1011">
        <v>0</v>
      </c>
      <c r="RS25" s="1011">
        <v>0</v>
      </c>
      <c r="RT25" s="1011">
        <v>0</v>
      </c>
      <c r="RU25" s="1011">
        <v>0</v>
      </c>
      <c r="RV25" s="1011">
        <v>0</v>
      </c>
      <c r="RW25" s="1011">
        <v>0</v>
      </c>
      <c r="RX25" s="1011">
        <v>0</v>
      </c>
      <c r="RY25" s="1011">
        <v>0</v>
      </c>
      <c r="RZ25" s="1026">
        <v>0</v>
      </c>
      <c r="SA25" s="1026">
        <v>0</v>
      </c>
      <c r="SB25" s="1026">
        <v>0</v>
      </c>
      <c r="SC25" s="1026">
        <v>0</v>
      </c>
      <c r="SD25" s="1026">
        <v>0</v>
      </c>
      <c r="SE25" s="1026">
        <v>0</v>
      </c>
      <c r="SF25" s="1026">
        <v>0</v>
      </c>
      <c r="SG25" s="1026">
        <v>0</v>
      </c>
      <c r="SH25" s="1026">
        <v>0</v>
      </c>
      <c r="SI25" s="1026">
        <v>0</v>
      </c>
      <c r="SJ25" s="1026">
        <v>0</v>
      </c>
      <c r="SK25" s="1026">
        <v>0</v>
      </c>
      <c r="SL25" s="1025">
        <v>-64.06</v>
      </c>
      <c r="SM25" s="1025">
        <v>-20.5</v>
      </c>
      <c r="SN25" s="1025">
        <v>-2.2821516439642302</v>
      </c>
      <c r="SO25" s="1025">
        <v>0</v>
      </c>
      <c r="SP25" s="1025">
        <v>-0.82619066686556997</v>
      </c>
      <c r="SQ25" s="1025">
        <v>-7.8999999241327297</v>
      </c>
      <c r="SR25" s="1025">
        <v>-0.35897397629453998</v>
      </c>
      <c r="SS25" s="1025">
        <v>0</v>
      </c>
      <c r="ST25" s="1025">
        <v>0</v>
      </c>
      <c r="SU25" s="1025">
        <v>0</v>
      </c>
      <c r="SV25" s="1025">
        <v>-0.85600001155687</v>
      </c>
      <c r="SW25" s="1025">
        <v>-7.9000046087676603</v>
      </c>
      <c r="SX25" s="1025">
        <v>-0.78119571993218995</v>
      </c>
      <c r="SY25" s="1025">
        <v>0</v>
      </c>
      <c r="SZ25" s="1025">
        <v>0</v>
      </c>
      <c r="TA25" s="1025">
        <v>0</v>
      </c>
      <c r="TB25" s="1025">
        <v>-0.85600001526582004</v>
      </c>
      <c r="TC25" s="1025">
        <v>-7.9</v>
      </c>
      <c r="TD25" s="1025">
        <v>0</v>
      </c>
      <c r="TE25" s="1025">
        <v>0</v>
      </c>
      <c r="TF25" s="1025">
        <v>0</v>
      </c>
      <c r="TG25" s="1025">
        <v>0</v>
      </c>
      <c r="TH25" s="1025">
        <v>0</v>
      </c>
      <c r="TI25" s="1025">
        <v>-7.9000016995418401</v>
      </c>
      <c r="TJ25" s="1025">
        <v>0</v>
      </c>
      <c r="TK25" s="1025">
        <v>0</v>
      </c>
      <c r="TL25" s="1025">
        <v>0</v>
      </c>
      <c r="TM25" s="1025">
        <v>0</v>
      </c>
      <c r="TN25" s="1025">
        <v>0</v>
      </c>
      <c r="TO25" s="1025">
        <v>0</v>
      </c>
      <c r="TP25" s="1025">
        <v>-64.06</v>
      </c>
      <c r="TQ25" s="1025">
        <v>-20.5</v>
      </c>
      <c r="TR25" s="1025">
        <v>0</v>
      </c>
      <c r="TS25" s="1025">
        <v>0</v>
      </c>
      <c r="TT25" s="1025">
        <v>0</v>
      </c>
      <c r="TU25" s="1025">
        <v>0</v>
      </c>
      <c r="TV25" s="1025">
        <v>0</v>
      </c>
      <c r="TW25" s="1025">
        <v>0</v>
      </c>
      <c r="TX25" s="1025">
        <v>0</v>
      </c>
      <c r="TY25" s="1025">
        <v>0</v>
      </c>
      <c r="TZ25" s="1025">
        <v>0</v>
      </c>
      <c r="UA25" s="1025">
        <v>0</v>
      </c>
      <c r="UB25" s="1025">
        <v>0</v>
      </c>
      <c r="UC25" s="1025">
        <v>0</v>
      </c>
      <c r="UD25" s="1025">
        <v>0</v>
      </c>
      <c r="UE25" s="1025">
        <v>0</v>
      </c>
      <c r="UF25" s="1025">
        <v>0</v>
      </c>
      <c r="UG25" s="1025">
        <v>0</v>
      </c>
      <c r="UH25" s="1025">
        <v>0</v>
      </c>
      <c r="UI25" s="1025">
        <v>0</v>
      </c>
      <c r="UJ25" s="1025">
        <v>0</v>
      </c>
      <c r="UK25" s="1025">
        <v>0</v>
      </c>
      <c r="UL25" s="1025">
        <v>0</v>
      </c>
      <c r="UM25" s="1025">
        <v>0</v>
      </c>
      <c r="UN25" s="1025">
        <v>0</v>
      </c>
      <c r="UO25" s="1025">
        <v>0</v>
      </c>
      <c r="UP25" s="1025">
        <v>0</v>
      </c>
      <c r="UQ25" s="1025">
        <v>0</v>
      </c>
      <c r="UR25" s="1025">
        <v>0</v>
      </c>
      <c r="US25" s="1025">
        <v>0</v>
      </c>
      <c r="UT25" s="1025">
        <v>0.31989679691690998</v>
      </c>
      <c r="UU25" s="1025">
        <v>0</v>
      </c>
      <c r="UV25" s="1025">
        <v>0.16819587959514001</v>
      </c>
      <c r="UW25" s="1025">
        <v>0</v>
      </c>
      <c r="UX25" s="1025">
        <v>0</v>
      </c>
      <c r="UY25" s="1025">
        <v>-0.52000000041672001</v>
      </c>
      <c r="UZ25" s="1025">
        <v>1.18717559824E-3</v>
      </c>
      <c r="VA25" s="1025">
        <v>0</v>
      </c>
      <c r="VB25" s="1025">
        <v>-3.0149923283000001E-4</v>
      </c>
      <c r="VC25" s="1025">
        <v>0</v>
      </c>
      <c r="VD25" s="1025">
        <v>0</v>
      </c>
      <c r="VE25" s="1025">
        <v>-4.80000002683897</v>
      </c>
      <c r="VF25" s="1025">
        <v>9.2245339024199999E-2</v>
      </c>
      <c r="VG25" s="1025">
        <v>0</v>
      </c>
      <c r="VH25" s="1025">
        <v>1.1222824411740001E-2</v>
      </c>
      <c r="VI25" s="1025">
        <v>0</v>
      </c>
      <c r="VJ25" s="1025">
        <v>0</v>
      </c>
      <c r="VK25" s="1025">
        <v>-4.4000000461020798</v>
      </c>
      <c r="VL25" s="1025">
        <v>0</v>
      </c>
      <c r="VM25" s="1025">
        <v>0</v>
      </c>
      <c r="VN25" s="1025">
        <v>0</v>
      </c>
      <c r="VO25" s="1025">
        <v>0</v>
      </c>
      <c r="VP25" s="1025">
        <v>0</v>
      </c>
      <c r="VQ25" s="1025">
        <v>-1.2136363467912099</v>
      </c>
      <c r="VR25" s="1010">
        <v>2.0514416714919999E-2</v>
      </c>
      <c r="VS25" s="1010">
        <v>0</v>
      </c>
      <c r="VT25" s="1010">
        <v>-4.0733997263199997E-2</v>
      </c>
      <c r="VU25" s="1010">
        <v>0</v>
      </c>
      <c r="VV25" s="1010">
        <v>0</v>
      </c>
      <c r="VW25" s="1010">
        <v>-0.11312037841524999</v>
      </c>
      <c r="VX25" s="1025">
        <v>0.19128168721929001</v>
      </c>
      <c r="VY25" s="1025">
        <v>0</v>
      </c>
      <c r="VZ25" s="1025">
        <v>2.5679577467769998E-2</v>
      </c>
      <c r="WA25" s="1025">
        <v>0</v>
      </c>
      <c r="WB25" s="1025">
        <v>0</v>
      </c>
      <c r="WC25" s="1025">
        <v>-7.90000216590078</v>
      </c>
      <c r="WD25" s="995">
        <v>202</v>
      </c>
      <c r="WE25" s="995">
        <v>267</v>
      </c>
      <c r="WF25" s="995">
        <v>354</v>
      </c>
      <c r="WG25" s="995">
        <v>382</v>
      </c>
      <c r="WH25" s="995">
        <v>403</v>
      </c>
      <c r="WI25" s="995">
        <v>0</v>
      </c>
      <c r="WJ25" s="995">
        <v>1300</v>
      </c>
      <c r="WK25" s="1001">
        <v>0</v>
      </c>
      <c r="WL25" s="1001">
        <v>0</v>
      </c>
      <c r="WM25" s="1001">
        <v>0</v>
      </c>
      <c r="WN25" s="1001">
        <v>0</v>
      </c>
      <c r="WO25" s="1001">
        <v>0</v>
      </c>
      <c r="WP25" s="1001">
        <v>0</v>
      </c>
      <c r="WQ25" s="1001">
        <v>0</v>
      </c>
      <c r="WR25" s="1001">
        <v>0</v>
      </c>
      <c r="WS25" s="1001">
        <v>0</v>
      </c>
      <c r="WT25" s="1001">
        <v>0</v>
      </c>
      <c r="WU25" s="1001">
        <v>0</v>
      </c>
      <c r="WV25" s="1001">
        <v>0</v>
      </c>
      <c r="WW25" s="1001">
        <v>0</v>
      </c>
      <c r="WX25" s="1001">
        <v>0</v>
      </c>
      <c r="WY25" s="1001">
        <v>0</v>
      </c>
      <c r="WZ25" s="1001">
        <v>0</v>
      </c>
      <c r="XA25" s="1001">
        <v>0</v>
      </c>
      <c r="XB25" s="1001">
        <v>0</v>
      </c>
      <c r="XC25" s="1001">
        <v>0</v>
      </c>
      <c r="XD25" s="1001">
        <v>0</v>
      </c>
      <c r="XE25" s="1001">
        <v>0</v>
      </c>
      <c r="XF25" s="1001">
        <v>0</v>
      </c>
      <c r="XG25" s="1001">
        <v>0</v>
      </c>
      <c r="XH25" s="1001">
        <v>0</v>
      </c>
      <c r="XI25" s="1001">
        <v>0</v>
      </c>
      <c r="XJ25" s="1001">
        <v>0</v>
      </c>
      <c r="XK25" s="1001">
        <v>0</v>
      </c>
      <c r="XL25" s="1001">
        <v>0</v>
      </c>
      <c r="XM25" s="1001">
        <v>0</v>
      </c>
      <c r="XN25" s="1001">
        <v>0</v>
      </c>
      <c r="XO25" s="1001">
        <v>0</v>
      </c>
      <c r="XP25" s="1001">
        <v>0</v>
      </c>
      <c r="XQ25" s="1001">
        <v>0</v>
      </c>
      <c r="XR25" s="1027">
        <v>62.5</v>
      </c>
      <c r="XS25" s="1013">
        <v>49.582463465553232</v>
      </c>
      <c r="XT25" s="1013">
        <v>54.801670146137788</v>
      </c>
      <c r="XU25" s="1013">
        <v>57.411273486430062</v>
      </c>
      <c r="XV25" s="1013">
        <v>88.204592901878911</v>
      </c>
      <c r="XW25" s="1028">
        <v>17883.326079999999</v>
      </c>
      <c r="XX25" s="1013">
        <v>78</v>
      </c>
      <c r="XY25" s="1013">
        <v>15</v>
      </c>
      <c r="XZ25" s="1013">
        <v>7.0000000000000009</v>
      </c>
      <c r="YA25" s="1029">
        <v>0</v>
      </c>
      <c r="YB25" s="1013">
        <v>546.24474065711752</v>
      </c>
      <c r="YC25" s="1013">
        <v>0</v>
      </c>
      <c r="YD25" s="1013">
        <v>0</v>
      </c>
      <c r="YE25" s="1013">
        <v>0</v>
      </c>
      <c r="YF25" s="1013">
        <v>0</v>
      </c>
      <c r="YG25" s="1013">
        <v>0</v>
      </c>
      <c r="YH25" s="1013">
        <v>1911.8565922999112</v>
      </c>
      <c r="YI25" s="1013">
        <v>1411.1322466975537</v>
      </c>
      <c r="YJ25" s="1013">
        <v>585.98700507025137</v>
      </c>
      <c r="YK25" s="1013">
        <v>0</v>
      </c>
      <c r="YL25" s="1013">
        <v>0</v>
      </c>
      <c r="YM25" s="1013">
        <v>0</v>
      </c>
      <c r="YN25" s="1013">
        <v>0</v>
      </c>
      <c r="YO25" s="1013">
        <v>0</v>
      </c>
      <c r="YP25" s="1013">
        <v>2050.9545177458799</v>
      </c>
      <c r="YQ25" s="1013">
        <v>1513.7997630981497</v>
      </c>
      <c r="YR25" s="1013">
        <v>613.891148168835</v>
      </c>
      <c r="YS25" s="1013">
        <v>0</v>
      </c>
      <c r="YT25" s="1013">
        <v>0</v>
      </c>
      <c r="YU25" s="1013">
        <v>0</v>
      </c>
      <c r="YV25" s="1013">
        <v>0</v>
      </c>
      <c r="YW25" s="1013">
        <v>0</v>
      </c>
      <c r="YX25" s="1013">
        <v>2148.6190185909222</v>
      </c>
      <c r="YY25" s="1013">
        <v>1585.8854661028238</v>
      </c>
      <c r="YZ25" s="1013">
        <v>943.16003673211901</v>
      </c>
      <c r="ZA25" s="1013">
        <v>0</v>
      </c>
      <c r="ZB25" s="1013">
        <v>0</v>
      </c>
      <c r="ZC25" s="1013">
        <v>0</v>
      </c>
      <c r="ZD25" s="1013">
        <v>0</v>
      </c>
      <c r="ZE25" s="1013">
        <v>0</v>
      </c>
      <c r="ZF25" s="1013">
        <v>3301.0601285624166</v>
      </c>
      <c r="ZG25" s="1013">
        <v>2436.4967615579744</v>
      </c>
      <c r="ZH25" s="1013">
        <v>639.71328516955771</v>
      </c>
      <c r="ZI25" s="1013">
        <v>479.78496387716825</v>
      </c>
      <c r="ZJ25" s="1013">
        <v>266.54720215398237</v>
      </c>
      <c r="ZK25" s="1013">
        <v>53.309440430796478</v>
      </c>
      <c r="ZL25" s="1013">
        <v>0</v>
      </c>
      <c r="ZM25" s="1013">
        <v>0</v>
      </c>
      <c r="ZN25" s="1013">
        <v>2238.9964980934519</v>
      </c>
      <c r="ZO25" s="1013">
        <v>1652.5926533546908</v>
      </c>
      <c r="ZP25" s="1013">
        <v>686.25589260449453</v>
      </c>
      <c r="ZQ25" s="1013">
        <v>514.69191945337093</v>
      </c>
      <c r="ZR25" s="1013">
        <v>285.93995525187273</v>
      </c>
      <c r="ZS25" s="1013">
        <v>57.187991050374549</v>
      </c>
      <c r="ZT25" s="1013">
        <v>0</v>
      </c>
      <c r="ZU25" s="1013">
        <v>0</v>
      </c>
      <c r="ZV25" s="1013">
        <v>2401.8956241157312</v>
      </c>
      <c r="ZW25" s="1013">
        <v>1772.8277225616109</v>
      </c>
      <c r="ZX25" s="1013">
        <v>718.93474463328005</v>
      </c>
      <c r="ZY25" s="1013">
        <v>539.20105847496006</v>
      </c>
      <c r="ZZ25" s="1013">
        <v>299.55614359720005</v>
      </c>
      <c r="AAA25" s="1013">
        <v>59.911228719440004</v>
      </c>
      <c r="AAB25" s="1013">
        <v>0</v>
      </c>
      <c r="AAC25" s="1013">
        <v>0</v>
      </c>
      <c r="AAD25" s="1013">
        <v>2516.27160621648</v>
      </c>
      <c r="AAE25" s="1013">
        <v>1857.2480903026401</v>
      </c>
      <c r="AAF25" s="1013">
        <v>1104.5451985729485</v>
      </c>
      <c r="AAG25" s="1013">
        <v>828.40889892971131</v>
      </c>
      <c r="AAH25" s="1013">
        <v>460.22716607206189</v>
      </c>
      <c r="AAI25" s="1013">
        <v>92.04543321441237</v>
      </c>
      <c r="AAJ25" s="1013">
        <v>0</v>
      </c>
      <c r="AAK25" s="1013">
        <v>0</v>
      </c>
      <c r="AAL25" s="1013">
        <v>3865.9081950053192</v>
      </c>
      <c r="AAM25" s="1013">
        <v>2853.4084296467836</v>
      </c>
      <c r="AAN25" s="1013">
        <v>1702.4627750480165</v>
      </c>
      <c r="AAO25" s="1013">
        <v>1276.8470812860123</v>
      </c>
      <c r="AAP25" s="1013">
        <v>709.35948960334031</v>
      </c>
      <c r="AAQ25" s="1013">
        <v>141.87189792066806</v>
      </c>
      <c r="AAR25" s="1013">
        <v>0</v>
      </c>
      <c r="AAS25" s="1013">
        <v>0</v>
      </c>
      <c r="AAT25" s="1013">
        <v>5958.6197126680581</v>
      </c>
      <c r="AAU25" s="1013">
        <v>4398.0288355407092</v>
      </c>
      <c r="AAV25" s="1013">
        <v>1881.6693829478077</v>
      </c>
      <c r="AAW25" s="1013">
        <v>1411.2520372108556</v>
      </c>
      <c r="AAX25" s="1013">
        <v>784.0289095615866</v>
      </c>
      <c r="AAY25" s="1013">
        <v>156.80578191231731</v>
      </c>
      <c r="AAZ25" s="1013">
        <v>0</v>
      </c>
      <c r="ABA25" s="1013">
        <v>0</v>
      </c>
      <c r="ABB25" s="1013">
        <v>6585.8428403173266</v>
      </c>
      <c r="ABC25" s="1013">
        <v>4860.9792392818363</v>
      </c>
      <c r="ABD25" s="1013">
        <v>1971.2726868977034</v>
      </c>
      <c r="ABE25" s="1013">
        <v>1478.4545151732775</v>
      </c>
      <c r="ABF25" s="1013">
        <v>821.36361954070981</v>
      </c>
      <c r="ABG25" s="1013">
        <v>164.27272390814196</v>
      </c>
      <c r="ABH25" s="1013">
        <v>0</v>
      </c>
      <c r="ABI25" s="1013">
        <v>0</v>
      </c>
      <c r="ABJ25" s="1013">
        <v>6899.4544041419622</v>
      </c>
      <c r="ABK25" s="1013">
        <v>5092.4544411524012</v>
      </c>
      <c r="ABL25" s="1013">
        <v>3028.5916735064716</v>
      </c>
      <c r="ABM25" s="1013">
        <v>2271.4437551298538</v>
      </c>
      <c r="ABN25" s="1013">
        <v>1261.9131972943633</v>
      </c>
      <c r="ABO25" s="1013">
        <v>252.38263945887266</v>
      </c>
      <c r="ABP25" s="1013">
        <v>0</v>
      </c>
      <c r="ABQ25" s="1013">
        <v>0</v>
      </c>
      <c r="ABR25" s="1013">
        <v>10600.070857272651</v>
      </c>
      <c r="ABS25" s="1013">
        <v>7823.8618232250519</v>
      </c>
      <c r="ABT25" s="1013">
        <v>2342.1760602175746</v>
      </c>
      <c r="ABU25" s="1013">
        <v>1756.6320451631809</v>
      </c>
      <c r="ABV25" s="1013">
        <v>975.90669175732273</v>
      </c>
      <c r="ABW25" s="1013">
        <v>195.18133835146455</v>
      </c>
      <c r="ABX25" s="1013">
        <v>0</v>
      </c>
      <c r="ABY25" s="1013">
        <v>0</v>
      </c>
      <c r="ABZ25" s="1013">
        <v>8197.616210761511</v>
      </c>
      <c r="ACA25" s="1013">
        <v>6050.6214888954009</v>
      </c>
      <c r="ACB25" s="1013">
        <v>2479.3761281194638</v>
      </c>
      <c r="ACC25" s="1013">
        <v>1859.5320960895981</v>
      </c>
      <c r="ACD25" s="1013">
        <v>1033.0733867164433</v>
      </c>
      <c r="ACE25" s="1013">
        <v>206.61467734328869</v>
      </c>
      <c r="ACF25" s="1013">
        <v>0</v>
      </c>
      <c r="ACG25" s="1013">
        <v>0</v>
      </c>
      <c r="ACH25" s="1013">
        <v>8677.8164484181234</v>
      </c>
      <c r="ACI25" s="1013">
        <v>6405.0549976419488</v>
      </c>
      <c r="ACJ25" s="1013">
        <v>2597.4416580299153</v>
      </c>
      <c r="ACK25" s="1013">
        <v>1948.0812435224364</v>
      </c>
      <c r="ACL25" s="1013">
        <v>1082.2673575124647</v>
      </c>
      <c r="ACM25" s="1013">
        <v>216.45347150249293</v>
      </c>
      <c r="ACN25" s="1013">
        <v>0</v>
      </c>
      <c r="ACO25" s="1013">
        <v>0</v>
      </c>
      <c r="ACP25" s="1013">
        <v>9091.0458031047037</v>
      </c>
      <c r="ACQ25" s="1013">
        <v>6710.0576165772809</v>
      </c>
      <c r="ACR25" s="1013">
        <v>3990.6149109732332</v>
      </c>
      <c r="ACS25" s="1013">
        <v>2992.9611832299247</v>
      </c>
      <c r="ACT25" s="1013">
        <v>1662.7562129055141</v>
      </c>
      <c r="ACU25" s="1013">
        <v>332.55124258110277</v>
      </c>
      <c r="ACV25" s="1013">
        <v>0</v>
      </c>
      <c r="ACW25" s="1013">
        <v>0</v>
      </c>
      <c r="ACX25" s="1013">
        <v>13967.152188406317</v>
      </c>
      <c r="ACY25" s="1013">
        <v>10309.088520014186</v>
      </c>
      <c r="ACZ25" s="1013">
        <v>3033.4791264491932</v>
      </c>
      <c r="ADA25" s="1013">
        <v>2275.1093448368947</v>
      </c>
      <c r="ADB25" s="1013">
        <v>1263.9496360204973</v>
      </c>
      <c r="ADC25" s="1013">
        <v>252.78992720409946</v>
      </c>
      <c r="ADD25" s="1013">
        <v>0</v>
      </c>
      <c r="ADE25" s="1013">
        <v>0</v>
      </c>
      <c r="ADF25" s="1013">
        <v>10617.176942572176</v>
      </c>
      <c r="ADG25" s="1013">
        <v>7836.4877433270822</v>
      </c>
      <c r="ADH25" s="1013">
        <v>3243.1125247276923</v>
      </c>
      <c r="ADI25" s="1013">
        <v>2432.3343935457692</v>
      </c>
      <c r="ADJ25" s="1013">
        <v>1351.2968853032053</v>
      </c>
      <c r="ADK25" s="1013">
        <v>270.25937706064104</v>
      </c>
      <c r="ADL25" s="1013">
        <v>0</v>
      </c>
      <c r="ADM25" s="1013">
        <v>0</v>
      </c>
      <c r="ADN25" s="1013">
        <v>11350.893836546922</v>
      </c>
      <c r="ADO25" s="1013">
        <v>8378.0406888798716</v>
      </c>
      <c r="ADP25" s="1013">
        <v>3397.5464544766305</v>
      </c>
      <c r="ADQ25" s="1013">
        <v>2548.1598408574728</v>
      </c>
      <c r="ADR25" s="1013">
        <v>1415.6443560319294</v>
      </c>
      <c r="ADS25" s="1013">
        <v>283.1288712063859</v>
      </c>
      <c r="ADT25" s="1013">
        <v>0</v>
      </c>
      <c r="ADU25" s="1013">
        <v>0</v>
      </c>
      <c r="ADV25" s="1013">
        <v>11891.412590668207</v>
      </c>
      <c r="ADW25" s="1013">
        <v>8776.9950073979617</v>
      </c>
      <c r="ADX25" s="1013">
        <v>5219.8668255140956</v>
      </c>
      <c r="ADY25" s="1013">
        <v>3914.9001191355719</v>
      </c>
      <c r="ADZ25" s="1013">
        <v>2174.9445106308735</v>
      </c>
      <c r="AEA25" s="1013">
        <v>434.98890212617465</v>
      </c>
      <c r="AEB25" s="1013">
        <v>0</v>
      </c>
      <c r="AEC25" s="1013">
        <v>0</v>
      </c>
      <c r="AED25" s="1013">
        <v>18269.533889299335</v>
      </c>
      <c r="AEE25" s="1013">
        <v>13484.655965911414</v>
      </c>
      <c r="AEF25" s="1013">
        <v>3704.1462802559877</v>
      </c>
      <c r="AEG25" s="1013">
        <v>2778.1097101919909</v>
      </c>
      <c r="AEH25" s="1013">
        <v>1543.394283439995</v>
      </c>
      <c r="AEI25" s="1013">
        <v>308.67885668799903</v>
      </c>
      <c r="AEJ25" s="1013">
        <v>0</v>
      </c>
      <c r="AEK25" s="1013">
        <v>0</v>
      </c>
      <c r="AEL25" s="1013">
        <v>12964.511980895957</v>
      </c>
      <c r="AEM25" s="1013">
        <v>9569.0445573279685</v>
      </c>
      <c r="AEN25" s="1013">
        <v>3984.71163447771</v>
      </c>
      <c r="AEO25" s="1013">
        <v>2988.5337258582827</v>
      </c>
      <c r="AEP25" s="1013">
        <v>1660.2965143657127</v>
      </c>
      <c r="AEQ25" s="1013">
        <v>332.05930287314254</v>
      </c>
      <c r="AER25" s="1013">
        <v>0</v>
      </c>
      <c r="AES25" s="1013">
        <v>0</v>
      </c>
      <c r="AET25" s="1013">
        <v>13946.490720671985</v>
      </c>
      <c r="AEU25" s="1013">
        <v>10293.838389067418</v>
      </c>
      <c r="AEV25" s="1013">
        <v>4174.4598075480781</v>
      </c>
      <c r="AEW25" s="1013">
        <v>3130.8448556610588</v>
      </c>
      <c r="AEX25" s="1013">
        <v>1739.3582531450329</v>
      </c>
      <c r="AEY25" s="1013">
        <v>347.87165062900652</v>
      </c>
      <c r="AEZ25" s="1013">
        <v>0</v>
      </c>
      <c r="AFA25" s="1013">
        <v>0</v>
      </c>
      <c r="AFB25" s="1013">
        <v>14610.609326418275</v>
      </c>
      <c r="AFC25" s="1013">
        <v>10784.021169499203</v>
      </c>
      <c r="AFD25" s="1013">
        <v>6413.4882497784101</v>
      </c>
      <c r="AFE25" s="1013">
        <v>4810.1161873338078</v>
      </c>
      <c r="AFF25" s="1013">
        <v>2672.2867707410046</v>
      </c>
      <c r="AFG25" s="1013">
        <v>534.45735414820092</v>
      </c>
      <c r="AFH25" s="1013">
        <v>0</v>
      </c>
      <c r="AFI25" s="1013">
        <v>0</v>
      </c>
      <c r="AFJ25" s="1013">
        <v>22447.208874224438</v>
      </c>
      <c r="AFK25" s="1013">
        <v>16568.177978594227</v>
      </c>
      <c r="AFL25" s="1023">
        <v>4271.6338719386604</v>
      </c>
      <c r="AFM25" s="1023">
        <v>3203.7254039539948</v>
      </c>
      <c r="AFN25" s="1023">
        <v>1779.8474466411085</v>
      </c>
      <c r="AFO25" s="1023">
        <v>355.9694893282217</v>
      </c>
      <c r="AFP25" s="1023">
        <v>0</v>
      </c>
      <c r="AFQ25" s="1023">
        <v>0</v>
      </c>
      <c r="AFR25" s="1023">
        <v>14950.71855178531</v>
      </c>
      <c r="AFS25" s="1023">
        <v>11035.054169174871</v>
      </c>
      <c r="AFT25" s="1023">
        <v>4538.1438059329475</v>
      </c>
      <c r="AFU25" s="1023">
        <v>3403.6078544497104</v>
      </c>
      <c r="AFV25" s="1023">
        <v>1890.8932524720615</v>
      </c>
      <c r="AFW25" s="1023">
        <v>378.1786504944123</v>
      </c>
      <c r="AFX25" s="1023">
        <v>0</v>
      </c>
      <c r="AFY25" s="1023">
        <v>0</v>
      </c>
      <c r="AFZ25" s="1023">
        <v>15883.503320765316</v>
      </c>
      <c r="AGA25" s="1023">
        <v>11723.538165326781</v>
      </c>
      <c r="AGB25" s="1023">
        <v>4754.2458919297551</v>
      </c>
      <c r="AGC25" s="1023">
        <v>3565.6844189473163</v>
      </c>
      <c r="AGD25" s="1023">
        <v>1980.9357883040648</v>
      </c>
      <c r="AGE25" s="1023">
        <v>396.18715766081294</v>
      </c>
      <c r="AGF25" s="1023">
        <v>0</v>
      </c>
      <c r="AGG25" s="1023">
        <v>0</v>
      </c>
      <c r="AGH25" s="1023">
        <v>16639.860621754142</v>
      </c>
      <c r="AGI25" s="1023">
        <v>12281.801887485202</v>
      </c>
      <c r="AGJ25" s="1023">
        <v>7304.2505066920785</v>
      </c>
      <c r="AGK25" s="1023">
        <v>5478.1878800190589</v>
      </c>
      <c r="AGL25" s="1023">
        <v>3043.4377111217</v>
      </c>
      <c r="AGM25" s="1023">
        <v>608.68754222433995</v>
      </c>
      <c r="AGN25" s="1023">
        <v>0</v>
      </c>
      <c r="AGO25" s="1023">
        <v>0</v>
      </c>
      <c r="AGP25" s="1023">
        <v>25564.876773422275</v>
      </c>
      <c r="AGQ25" s="1023">
        <v>18869.313808954539</v>
      </c>
      <c r="AGR25" s="1030">
        <v>1702.4627750480165</v>
      </c>
      <c r="AGS25" s="1030">
        <v>1276.8470812860123</v>
      </c>
      <c r="AGT25" s="1030">
        <v>709.35948960334031</v>
      </c>
      <c r="AGU25" s="1030">
        <v>141.87189792066806</v>
      </c>
      <c r="AGV25" s="1030">
        <v>0</v>
      </c>
      <c r="AGW25" s="1030">
        <v>0</v>
      </c>
      <c r="AGX25" s="1030">
        <v>5958.6197126680581</v>
      </c>
      <c r="AGY25" s="1030">
        <v>4398.0288355407092</v>
      </c>
      <c r="AGZ25" s="1030">
        <v>1881.6693829478077</v>
      </c>
      <c r="AHA25" s="1030">
        <v>1411.2520372108556</v>
      </c>
      <c r="AHB25" s="1030">
        <v>784.0289095615866</v>
      </c>
      <c r="AHC25" s="1030">
        <v>156.80578191231731</v>
      </c>
      <c r="AHD25" s="1030">
        <v>0</v>
      </c>
      <c r="AHE25" s="1030">
        <v>0</v>
      </c>
      <c r="AHF25" s="1030">
        <v>6585.8428403173266</v>
      </c>
      <c r="AHG25" s="1030">
        <v>4860.9792392818363</v>
      </c>
      <c r="AHH25" s="1030">
        <v>1971.2726868977034</v>
      </c>
      <c r="AHI25" s="1030">
        <v>1478.4545151732775</v>
      </c>
      <c r="AHJ25" s="1030">
        <v>821.36361954070981</v>
      </c>
      <c r="AHK25" s="1030">
        <v>164.27272390814196</v>
      </c>
      <c r="AHL25" s="1030">
        <v>0</v>
      </c>
      <c r="AHM25" s="1030">
        <v>0</v>
      </c>
      <c r="AHN25" s="1030">
        <v>6899.4544041419622</v>
      </c>
      <c r="AHO25" s="1030">
        <v>5092.4544411524012</v>
      </c>
      <c r="AHP25" s="1030">
        <v>3028.5916735064716</v>
      </c>
      <c r="AHQ25" s="1030">
        <v>2271.4437551298538</v>
      </c>
      <c r="AHR25" s="1030">
        <v>1261.9131972943633</v>
      </c>
      <c r="AHS25" s="1030">
        <v>252.38263945887266</v>
      </c>
      <c r="AHT25" s="1030">
        <v>0</v>
      </c>
      <c r="AHU25" s="1030">
        <v>0</v>
      </c>
      <c r="AHV25" s="1030">
        <v>10600.070857272651</v>
      </c>
      <c r="AHW25" s="1030">
        <v>7823.8618232250519</v>
      </c>
      <c r="AHX25" s="1013">
        <v>165</v>
      </c>
      <c r="AHY25" s="1023">
        <v>0</v>
      </c>
      <c r="AHZ25" s="1023">
        <v>0</v>
      </c>
      <c r="AIA25" s="1023">
        <v>0</v>
      </c>
      <c r="AIB25" s="1023">
        <v>0</v>
      </c>
      <c r="AIC25" s="1023">
        <v>0</v>
      </c>
      <c r="AID25" s="1023">
        <v>0</v>
      </c>
      <c r="AIE25" s="1023">
        <v>0</v>
      </c>
      <c r="AIF25" s="1017">
        <v>420</v>
      </c>
      <c r="AIG25" s="1017">
        <v>32.409999999999997</v>
      </c>
      <c r="AIH25" s="1017">
        <v>27.01</v>
      </c>
      <c r="AII25" s="1017">
        <v>0</v>
      </c>
      <c r="AIJ25" s="1017">
        <v>2.52</v>
      </c>
      <c r="AIK25" s="1017">
        <v>3.06</v>
      </c>
      <c r="AIL25" s="1017">
        <v>0</v>
      </c>
      <c r="AIM25" s="1017">
        <v>0</v>
      </c>
      <c r="AIN25" s="1016">
        <v>350</v>
      </c>
      <c r="AIO25" s="1016">
        <v>64.819999999999993</v>
      </c>
      <c r="AIP25" s="1017">
        <v>54.02</v>
      </c>
      <c r="AIQ25" s="1017">
        <v>0</v>
      </c>
      <c r="AIR25" s="1017">
        <v>5.04</v>
      </c>
      <c r="AIS25" s="1017">
        <v>6.12</v>
      </c>
      <c r="AIT25" s="1017">
        <v>0</v>
      </c>
      <c r="AIU25" s="1017">
        <v>0</v>
      </c>
      <c r="AIV25" s="1017">
        <v>120</v>
      </c>
      <c r="AIW25" s="1017">
        <v>47.37</v>
      </c>
      <c r="AIX25" s="1017">
        <v>39.47</v>
      </c>
      <c r="AIY25" s="1017">
        <v>0</v>
      </c>
      <c r="AIZ25" s="1017">
        <v>3.68</v>
      </c>
      <c r="AJA25" s="1017">
        <v>4.4800000000000004</v>
      </c>
      <c r="AJB25" s="1017">
        <v>0</v>
      </c>
      <c r="AJC25" s="1017">
        <v>0</v>
      </c>
      <c r="AJD25" s="1017">
        <v>129.6</v>
      </c>
      <c r="AJE25" s="1017">
        <v>96.93</v>
      </c>
      <c r="AJF25" s="1017">
        <v>80.78</v>
      </c>
      <c r="AJG25" s="1017">
        <v>0</v>
      </c>
      <c r="AJH25" s="1017">
        <v>7.54</v>
      </c>
      <c r="AJI25" s="1017">
        <v>9.15</v>
      </c>
      <c r="AJJ25" s="1017">
        <v>0</v>
      </c>
      <c r="AJK25" s="1013">
        <v>0</v>
      </c>
      <c r="AJL25" s="1013">
        <v>160</v>
      </c>
      <c r="AJM25" s="1013">
        <v>17.45</v>
      </c>
      <c r="AJN25" s="1013">
        <v>14.54</v>
      </c>
      <c r="AJO25" s="1013">
        <v>0</v>
      </c>
      <c r="AJP25" s="1013">
        <v>1.36</v>
      </c>
      <c r="AJQ25" s="1013">
        <v>1.65</v>
      </c>
      <c r="AJR25" s="1013">
        <v>0</v>
      </c>
      <c r="AJS25" s="1013">
        <v>0</v>
      </c>
      <c r="AJT25" s="1029" t="s">
        <v>858</v>
      </c>
      <c r="AJU25" s="988" t="s">
        <v>861</v>
      </c>
      <c r="AJV25" s="988" t="s">
        <v>860</v>
      </c>
      <c r="AJW25" s="988" t="s">
        <v>859</v>
      </c>
      <c r="AJX25" s="988" t="s">
        <v>870</v>
      </c>
      <c r="AJY25" s="988" t="s">
        <v>871</v>
      </c>
      <c r="AJZ25" s="988" t="s">
        <v>872</v>
      </c>
      <c r="AKA25" s="988" t="s">
        <v>873</v>
      </c>
      <c r="AKB25" s="988" t="s">
        <v>874</v>
      </c>
      <c r="AKC25" s="988" t="s">
        <v>875</v>
      </c>
      <c r="AKD25" s="1013">
        <v>62.678571428571438</v>
      </c>
      <c r="AKE25" s="1013">
        <v>0</v>
      </c>
      <c r="AKF25" s="1013">
        <v>0</v>
      </c>
      <c r="AKG25" s="1013">
        <v>0</v>
      </c>
      <c r="AKH25" s="1013">
        <v>0</v>
      </c>
      <c r="AKI25" s="1013">
        <v>0</v>
      </c>
      <c r="AKJ25" s="1013">
        <v>25.714285714285712</v>
      </c>
      <c r="AKK25" s="1013">
        <v>35.357142857142854</v>
      </c>
      <c r="AKL25" s="1017">
        <v>184.23701298701297</v>
      </c>
      <c r="AKM25" s="1017">
        <v>0</v>
      </c>
      <c r="AKN25" s="1017">
        <v>0</v>
      </c>
      <c r="AKO25" s="1017">
        <v>0</v>
      </c>
      <c r="AKP25" s="1017">
        <v>0</v>
      </c>
      <c r="AKQ25" s="1017">
        <v>0</v>
      </c>
      <c r="AKR25" s="1017">
        <v>75.584415584415567</v>
      </c>
      <c r="AKS25" s="1017">
        <v>103.9285714285714</v>
      </c>
      <c r="AKT25" s="1016">
        <v>182.33766233766235</v>
      </c>
      <c r="AKU25" s="1016">
        <v>0</v>
      </c>
      <c r="AKV25" s="1017">
        <v>0</v>
      </c>
      <c r="AKW25" s="1017">
        <v>0</v>
      </c>
      <c r="AKX25" s="1017">
        <v>0</v>
      </c>
      <c r="AKY25" s="1017">
        <v>0</v>
      </c>
      <c r="AKZ25" s="1017">
        <v>74.805194805194802</v>
      </c>
      <c r="ALA25" s="1017">
        <v>102.85714285714285</v>
      </c>
      <c r="ALB25" s="1017">
        <v>81.672077922077932</v>
      </c>
      <c r="ALC25" s="1017">
        <v>0</v>
      </c>
      <c r="ALD25" s="1017">
        <v>0</v>
      </c>
      <c r="ALE25" s="1017">
        <v>0</v>
      </c>
      <c r="ALF25" s="1017">
        <v>0</v>
      </c>
      <c r="ALG25" s="1017">
        <v>0</v>
      </c>
      <c r="ALH25" s="1017">
        <v>33.506493506493506</v>
      </c>
      <c r="ALI25" s="1017">
        <v>46.071428571428569</v>
      </c>
      <c r="ALJ25" s="1017">
        <v>123.0779220779221</v>
      </c>
      <c r="ALK25" s="1017">
        <v>0</v>
      </c>
      <c r="ALL25" s="1017">
        <v>0</v>
      </c>
      <c r="ALM25" s="1017">
        <v>0</v>
      </c>
      <c r="ALN25" s="1017">
        <v>0</v>
      </c>
      <c r="ALO25" s="1017">
        <v>0</v>
      </c>
      <c r="ALP25" s="1017">
        <v>50.493506493506487</v>
      </c>
      <c r="ALQ25" s="1013">
        <v>69.428571428571431</v>
      </c>
      <c r="ALR25" s="1013">
        <v>74.07467532467534</v>
      </c>
      <c r="ALS25" s="1013">
        <v>0</v>
      </c>
      <c r="ALT25" s="1013">
        <v>0</v>
      </c>
      <c r="ALU25" s="1013">
        <v>0</v>
      </c>
      <c r="ALV25" s="1013">
        <v>0</v>
      </c>
      <c r="ALW25" s="1013">
        <v>0</v>
      </c>
      <c r="ALX25" s="1013">
        <v>30.389610389610386</v>
      </c>
      <c r="ALY25" s="1013">
        <v>41.785714285714285</v>
      </c>
    </row>
    <row r="26" spans="1:1013" ht="18" customHeight="1">
      <c r="A26" s="1259" t="s">
        <v>32</v>
      </c>
      <c r="B26" s="1260" t="s">
        <v>3063</v>
      </c>
      <c r="C26" s="1260">
        <v>2022</v>
      </c>
      <c r="D26" s="1269"/>
      <c r="E26" s="1274">
        <v>0.1</v>
      </c>
      <c r="F26" s="72">
        <v>0.1</v>
      </c>
      <c r="G26" s="72">
        <v>0.1</v>
      </c>
      <c r="H26" s="76">
        <v>0</v>
      </c>
      <c r="I26" s="75">
        <v>-3.5</v>
      </c>
      <c r="J26" s="1273">
        <v>-4.5</v>
      </c>
      <c r="K26" s="1273">
        <v>-4.5</v>
      </c>
      <c r="L26" s="1265">
        <v>350</v>
      </c>
      <c r="M26" s="1262">
        <v>0</v>
      </c>
      <c r="N26" s="1262">
        <v>0</v>
      </c>
      <c r="O26" s="1262">
        <v>0</v>
      </c>
      <c r="P26" s="76">
        <v>1935.7159196896396</v>
      </c>
      <c r="Q26" s="75">
        <v>12</v>
      </c>
      <c r="R26" s="72">
        <v>0.6</v>
      </c>
      <c r="S26" s="72">
        <v>0.5</v>
      </c>
      <c r="T26" s="72">
        <v>0.5</v>
      </c>
      <c r="U26" s="72">
        <v>0.1</v>
      </c>
      <c r="V26" s="75">
        <v>0</v>
      </c>
      <c r="W26" s="72">
        <v>98.5</v>
      </c>
      <c r="X26" s="72">
        <v>1.3</v>
      </c>
      <c r="Y26" s="1271">
        <v>0</v>
      </c>
      <c r="Z26" s="75">
        <v>2</v>
      </c>
      <c r="AA26" s="72">
        <v>1.5</v>
      </c>
      <c r="AB26" s="75">
        <v>1</v>
      </c>
      <c r="AC26" s="72">
        <v>0.8</v>
      </c>
      <c r="AD26" s="72">
        <v>0.5</v>
      </c>
      <c r="AE26" s="390">
        <v>433.01922201480062</v>
      </c>
      <c r="AF26" s="390">
        <v>470.67306740739195</v>
      </c>
      <c r="AG26" s="390">
        <v>433.37222681535616</v>
      </c>
      <c r="AH26" s="390">
        <v>649.0581599547935</v>
      </c>
      <c r="AI26" s="400">
        <v>0.82209484106305364</v>
      </c>
      <c r="AJ26" s="390">
        <v>261.91600618637949</v>
      </c>
      <c r="AK26" s="390">
        <v>284.69131107215162</v>
      </c>
      <c r="AL26" s="390">
        <v>262.12952466968363</v>
      </c>
      <c r="AM26" s="390">
        <v>392.58931796849708</v>
      </c>
      <c r="AN26" s="400">
        <v>0.96717040125065135</v>
      </c>
      <c r="AO26" s="1275">
        <v>0.2</v>
      </c>
      <c r="AP26" s="1275">
        <v>0.4</v>
      </c>
      <c r="AQ26" s="1275">
        <v>0.9</v>
      </c>
      <c r="AR26" s="1275">
        <v>1.2</v>
      </c>
      <c r="AS26" s="1275">
        <v>1.5</v>
      </c>
      <c r="AT26" s="1275">
        <v>1.9</v>
      </c>
      <c r="AU26" s="1275">
        <v>2.2999999999999998</v>
      </c>
      <c r="AV26" s="1268">
        <v>0</v>
      </c>
      <c r="AW26" s="1268">
        <v>10</v>
      </c>
      <c r="AX26" s="1268">
        <v>20</v>
      </c>
      <c r="AY26" s="1268">
        <v>70</v>
      </c>
      <c r="AZ26" s="1268">
        <v>100</v>
      </c>
      <c r="BA26" s="1019"/>
      <c r="BB26" s="1031">
        <f>BB19</f>
        <v>1.49</v>
      </c>
      <c r="BC26" s="988">
        <v>0.8</v>
      </c>
      <c r="BD26" s="988">
        <v>0.5</v>
      </c>
      <c r="BE26" s="988">
        <v>0.5</v>
      </c>
      <c r="BF26" s="1021">
        <v>0.20334101477037858</v>
      </c>
      <c r="BG26" s="1021">
        <v>0.18486326469412234</v>
      </c>
      <c r="BH26" s="1020">
        <v>0</v>
      </c>
      <c r="BI26" s="1020">
        <v>0.10764613778705637</v>
      </c>
      <c r="BJ26" s="1020">
        <v>1.3276356993736951</v>
      </c>
      <c r="BK26" s="1020">
        <v>62.614170146137781</v>
      </c>
      <c r="BL26" s="1020">
        <v>2.0942066805845512</v>
      </c>
      <c r="BM26" s="1020"/>
      <c r="BN26" s="1020">
        <v>32.505871607515658</v>
      </c>
      <c r="BO26" s="1020">
        <v>0.12721816283924844</v>
      </c>
      <c r="BP26" s="1020"/>
      <c r="BQ26" s="1020">
        <v>0</v>
      </c>
      <c r="BR26" s="1020">
        <v>0</v>
      </c>
      <c r="BS26" s="1020">
        <v>0</v>
      </c>
      <c r="BT26" s="1020">
        <v>0.21529227557411273</v>
      </c>
      <c r="BU26" s="1020">
        <v>3.262004175365344E-3</v>
      </c>
      <c r="BV26" s="1020">
        <v>1.0046972860125261</v>
      </c>
      <c r="BW26" s="993">
        <v>261.13475999999997</v>
      </c>
      <c r="BX26" s="993">
        <v>96.5</v>
      </c>
      <c r="BY26" s="993">
        <v>63.215999999999994</v>
      </c>
      <c r="BZ26" s="993">
        <v>233.35949490734063</v>
      </c>
      <c r="CA26" s="993">
        <v>157.40783999999999</v>
      </c>
      <c r="CB26" s="990"/>
      <c r="CC26" s="993">
        <v>256.20808011776955</v>
      </c>
      <c r="CD26" s="993">
        <v>165.17663999999999</v>
      </c>
      <c r="CE26" s="990"/>
      <c r="CF26" s="989">
        <v>0</v>
      </c>
      <c r="CG26" s="993">
        <v>6.585</v>
      </c>
      <c r="CH26" s="993">
        <v>1.3169999999999999</v>
      </c>
      <c r="CI26" s="993">
        <v>38</v>
      </c>
      <c r="CJ26" s="993">
        <v>225.83915999999996</v>
      </c>
      <c r="CK26" s="990">
        <v>0.2</v>
      </c>
      <c r="CL26" s="993">
        <v>175.08124000000001</v>
      </c>
      <c r="CM26" s="993">
        <v>60.4</v>
      </c>
      <c r="CN26" s="993">
        <v>42.384</v>
      </c>
      <c r="CO26" s="993">
        <v>156.45894761061641</v>
      </c>
      <c r="CP26" s="993">
        <v>105.53616</v>
      </c>
      <c r="CQ26" s="990"/>
      <c r="CR26" s="993">
        <v>159.24945066654416</v>
      </c>
      <c r="CS26" s="993">
        <v>102.66767999999999</v>
      </c>
      <c r="CT26" s="990"/>
      <c r="CU26" s="993">
        <v>0</v>
      </c>
      <c r="CV26" s="993">
        <v>4.415</v>
      </c>
      <c r="CW26" s="993">
        <v>0.88300000000000001</v>
      </c>
      <c r="CX26" s="993">
        <v>27</v>
      </c>
      <c r="CY26" s="993">
        <v>151.41683999999998</v>
      </c>
      <c r="CZ26" s="990">
        <v>0.2</v>
      </c>
      <c r="DA26" s="988">
        <v>0.3</v>
      </c>
      <c r="DB26" s="988">
        <v>0.7</v>
      </c>
      <c r="DC26" s="988">
        <v>1.2</v>
      </c>
      <c r="DD26" s="988">
        <v>1.2</v>
      </c>
      <c r="DE26" s="1022">
        <v>3</v>
      </c>
      <c r="DF26" s="995">
        <v>0</v>
      </c>
      <c r="DG26" s="995">
        <v>10</v>
      </c>
      <c r="DH26" s="995">
        <v>20</v>
      </c>
      <c r="DI26" s="995">
        <v>70</v>
      </c>
      <c r="DJ26" s="995">
        <v>100</v>
      </c>
      <c r="DK26" s="1017"/>
      <c r="DL26" s="1022">
        <v>0</v>
      </c>
      <c r="DM26" s="989">
        <v>12</v>
      </c>
      <c r="DN26" s="988">
        <v>1.6</v>
      </c>
      <c r="DO26" s="988">
        <v>1.2</v>
      </c>
      <c r="DP26" s="988">
        <v>1.2</v>
      </c>
      <c r="DQ26" s="1032" t="s">
        <v>643</v>
      </c>
      <c r="DR26" s="988" t="s">
        <v>640</v>
      </c>
      <c r="DS26" s="988" t="s">
        <v>640</v>
      </c>
      <c r="DT26" s="988" t="s">
        <v>640</v>
      </c>
      <c r="DU26" s="988" t="s">
        <v>640</v>
      </c>
      <c r="DV26" s="988" t="s">
        <v>640</v>
      </c>
      <c r="DW26" s="988" t="s">
        <v>640</v>
      </c>
      <c r="DX26" s="997">
        <v>0</v>
      </c>
      <c r="DY26" s="997">
        <v>0</v>
      </c>
      <c r="DZ26" s="997">
        <v>0</v>
      </c>
      <c r="EA26" s="997">
        <v>0</v>
      </c>
      <c r="EB26" s="997">
        <v>0</v>
      </c>
      <c r="EC26" s="997">
        <v>0</v>
      </c>
      <c r="ED26" s="997">
        <v>0</v>
      </c>
      <c r="EE26" s="1022">
        <v>0</v>
      </c>
      <c r="EF26" s="1022">
        <v>18</v>
      </c>
      <c r="EG26" s="991">
        <v>5</v>
      </c>
      <c r="EH26" s="998">
        <v>0</v>
      </c>
      <c r="EI26" s="998">
        <v>0</v>
      </c>
      <c r="EJ26" s="998">
        <v>0</v>
      </c>
      <c r="EK26" s="1032" t="s">
        <v>682</v>
      </c>
      <c r="EL26" s="988" t="s">
        <v>640</v>
      </c>
      <c r="EM26" s="988" t="s">
        <v>640</v>
      </c>
      <c r="EN26" s="988" t="s">
        <v>640</v>
      </c>
      <c r="EO26" s="988" t="s">
        <v>640</v>
      </c>
      <c r="EP26" s="988" t="s">
        <v>640</v>
      </c>
      <c r="EQ26" s="988" t="s">
        <v>640</v>
      </c>
      <c r="ER26" s="988" t="s">
        <v>640</v>
      </c>
      <c r="ES26" s="988" t="s">
        <v>640</v>
      </c>
      <c r="ET26" s="988" t="s">
        <v>640</v>
      </c>
      <c r="EU26" s="988" t="s">
        <v>640</v>
      </c>
      <c r="EV26" s="988" t="s">
        <v>640</v>
      </c>
      <c r="EW26" s="988" t="s">
        <v>640</v>
      </c>
      <c r="EX26" s="988" t="s">
        <v>640</v>
      </c>
      <c r="EY26" s="988" t="s">
        <v>640</v>
      </c>
      <c r="EZ26" s="988" t="s">
        <v>640</v>
      </c>
      <c r="FA26" s="988" t="s">
        <v>640</v>
      </c>
      <c r="FB26" s="988" t="s">
        <v>640</v>
      </c>
      <c r="FC26" s="988" t="s">
        <v>640</v>
      </c>
      <c r="FD26" s="988" t="s">
        <v>640</v>
      </c>
      <c r="FE26" s="988" t="s">
        <v>640</v>
      </c>
      <c r="FF26" s="988" t="s">
        <v>640</v>
      </c>
      <c r="FG26" s="988" t="s">
        <v>640</v>
      </c>
      <c r="FH26" s="988" t="s">
        <v>640</v>
      </c>
      <c r="FI26" s="988" t="s">
        <v>640</v>
      </c>
      <c r="FJ26" s="988" t="s">
        <v>640</v>
      </c>
      <c r="FK26" s="988" t="s">
        <v>640</v>
      </c>
      <c r="FL26" s="988" t="s">
        <v>640</v>
      </c>
      <c r="FM26" s="988" t="s">
        <v>640</v>
      </c>
      <c r="FN26" s="988" t="s">
        <v>640</v>
      </c>
      <c r="FO26" s="988" t="s">
        <v>640</v>
      </c>
      <c r="FP26" s="988" t="s">
        <v>640</v>
      </c>
      <c r="FQ26" s="988" t="s">
        <v>640</v>
      </c>
      <c r="FR26" s="988" t="s">
        <v>640</v>
      </c>
      <c r="FS26" s="988" t="s">
        <v>640</v>
      </c>
      <c r="FT26" s="988" t="s">
        <v>640</v>
      </c>
      <c r="FU26" s="988" t="s">
        <v>640</v>
      </c>
      <c r="FV26" s="988" t="s">
        <v>640</v>
      </c>
      <c r="FW26" s="988" t="s">
        <v>640</v>
      </c>
      <c r="FX26" s="988" t="s">
        <v>640</v>
      </c>
      <c r="FY26" s="988" t="s">
        <v>640</v>
      </c>
      <c r="FZ26" s="988" t="s">
        <v>640</v>
      </c>
      <c r="GA26" s="988" t="s">
        <v>640</v>
      </c>
      <c r="GB26" s="988" t="s">
        <v>640</v>
      </c>
      <c r="GC26" s="988" t="s">
        <v>640</v>
      </c>
      <c r="GD26" s="988" t="s">
        <v>640</v>
      </c>
      <c r="GE26" s="988" t="s">
        <v>640</v>
      </c>
      <c r="GF26" s="988" t="s">
        <v>640</v>
      </c>
      <c r="GG26" s="988" t="s">
        <v>640</v>
      </c>
      <c r="GH26" s="988" t="s">
        <v>640</v>
      </c>
      <c r="GI26" s="988" t="s">
        <v>640</v>
      </c>
      <c r="GJ26" s="988" t="s">
        <v>640</v>
      </c>
      <c r="GK26" s="988" t="s">
        <v>640</v>
      </c>
      <c r="GL26" s="988" t="s">
        <v>640</v>
      </c>
      <c r="GM26" s="988" t="s">
        <v>640</v>
      </c>
      <c r="GN26" s="988" t="s">
        <v>640</v>
      </c>
      <c r="GO26" s="988" t="s">
        <v>640</v>
      </c>
      <c r="GP26" s="988" t="s">
        <v>640</v>
      </c>
      <c r="GQ26" s="997">
        <v>0</v>
      </c>
      <c r="GR26" s="997">
        <v>0</v>
      </c>
      <c r="GS26" s="997">
        <v>0</v>
      </c>
      <c r="GT26" s="997">
        <v>0</v>
      </c>
      <c r="GU26" s="997">
        <v>0</v>
      </c>
      <c r="GV26" s="997">
        <v>0</v>
      </c>
      <c r="GW26" s="997">
        <v>0</v>
      </c>
      <c r="GX26" s="997">
        <v>0</v>
      </c>
      <c r="GY26" s="997">
        <v>0</v>
      </c>
      <c r="GZ26" s="997">
        <v>0</v>
      </c>
      <c r="HA26" s="997">
        <v>0</v>
      </c>
      <c r="HB26" s="997">
        <v>0</v>
      </c>
      <c r="HC26" s="997">
        <v>0</v>
      </c>
      <c r="HD26" s="997">
        <v>0</v>
      </c>
      <c r="HE26" s="997">
        <v>0</v>
      </c>
      <c r="HF26" s="997">
        <v>0</v>
      </c>
      <c r="HG26" s="997">
        <v>0</v>
      </c>
      <c r="HH26" s="997">
        <v>0</v>
      </c>
      <c r="HI26" s="997">
        <v>0</v>
      </c>
      <c r="HJ26" s="997">
        <v>0</v>
      </c>
      <c r="HK26" s="997">
        <v>0</v>
      </c>
      <c r="HL26" s="997">
        <v>0</v>
      </c>
      <c r="HM26" s="997">
        <v>0</v>
      </c>
      <c r="HN26" s="997">
        <v>0</v>
      </c>
      <c r="HO26" s="997">
        <v>0</v>
      </c>
      <c r="HP26" s="997">
        <v>0</v>
      </c>
      <c r="HQ26" s="997">
        <v>0</v>
      </c>
      <c r="HR26" s="997">
        <v>0</v>
      </c>
      <c r="HS26" s="997">
        <v>0</v>
      </c>
      <c r="HT26" s="997">
        <v>0</v>
      </c>
      <c r="HU26" s="997">
        <v>0</v>
      </c>
      <c r="HV26" s="997">
        <v>0</v>
      </c>
      <c r="HW26" s="997">
        <v>0</v>
      </c>
      <c r="HX26" s="997">
        <v>0</v>
      </c>
      <c r="HY26" s="997">
        <v>0</v>
      </c>
      <c r="HZ26" s="997">
        <v>0</v>
      </c>
      <c r="IA26" s="997">
        <v>0</v>
      </c>
      <c r="IB26" s="997">
        <v>0</v>
      </c>
      <c r="IC26" s="997">
        <v>0</v>
      </c>
      <c r="ID26" s="997">
        <v>0</v>
      </c>
      <c r="IE26" s="997">
        <v>0</v>
      </c>
      <c r="IF26" s="997">
        <v>0</v>
      </c>
      <c r="IG26" s="997">
        <v>0</v>
      </c>
      <c r="IH26" s="997">
        <v>0</v>
      </c>
      <c r="II26" s="997">
        <v>0</v>
      </c>
      <c r="IJ26" s="997">
        <v>0</v>
      </c>
      <c r="IK26" s="997">
        <v>0</v>
      </c>
      <c r="IL26" s="997">
        <v>0</v>
      </c>
      <c r="IM26" s="997">
        <v>0</v>
      </c>
      <c r="IN26" s="997">
        <v>0</v>
      </c>
      <c r="IO26" s="997">
        <v>0</v>
      </c>
      <c r="IP26" s="997">
        <v>0</v>
      </c>
      <c r="IQ26" s="997">
        <v>0</v>
      </c>
      <c r="IR26" s="997">
        <v>0</v>
      </c>
      <c r="IS26" s="997">
        <v>0</v>
      </c>
      <c r="IT26" s="997">
        <v>0</v>
      </c>
      <c r="IU26" s="997">
        <v>0</v>
      </c>
      <c r="IV26" s="997">
        <v>0</v>
      </c>
      <c r="IW26" s="1019">
        <v>0</v>
      </c>
      <c r="IX26" s="1022">
        <v>179.9</v>
      </c>
      <c r="IY26" s="998">
        <v>2647.0800000000199</v>
      </c>
      <c r="IZ26" s="429">
        <v>12.64</v>
      </c>
      <c r="JA26" s="1022">
        <v>50</v>
      </c>
      <c r="JB26" s="988">
        <v>1.6</v>
      </c>
      <c r="JC26" s="988">
        <v>1.2</v>
      </c>
      <c r="JD26" s="988">
        <v>1.2</v>
      </c>
      <c r="JE26" s="998">
        <v>2</v>
      </c>
      <c r="JF26" s="1023">
        <v>1.5</v>
      </c>
      <c r="JG26" s="1023">
        <v>0.7</v>
      </c>
      <c r="JH26" s="1023">
        <v>0.7</v>
      </c>
      <c r="JI26" s="1023">
        <v>0.5</v>
      </c>
      <c r="JJ26" s="1019"/>
      <c r="JK26" s="998">
        <v>2647.0800000000199</v>
      </c>
      <c r="JL26" s="429">
        <v>12.64</v>
      </c>
      <c r="JM26" s="1022">
        <v>50</v>
      </c>
      <c r="JN26" s="988">
        <v>1.9</v>
      </c>
      <c r="JO26" s="988">
        <v>1.1000000000000001</v>
      </c>
      <c r="JP26" s="988">
        <v>1.1000000000000001</v>
      </c>
      <c r="JQ26" s="998">
        <v>2</v>
      </c>
      <c r="JR26" s="998">
        <v>2</v>
      </c>
      <c r="JS26" s="998">
        <v>1</v>
      </c>
      <c r="JT26" s="998">
        <v>1</v>
      </c>
      <c r="JU26" s="1023">
        <v>0.5</v>
      </c>
      <c r="JV26" s="1004">
        <v>2000</v>
      </c>
      <c r="JW26" s="1019"/>
      <c r="JX26" s="1019">
        <v>500</v>
      </c>
      <c r="JY26" s="988">
        <v>1.5</v>
      </c>
      <c r="JZ26" s="988">
        <v>0.7</v>
      </c>
      <c r="KA26" s="988">
        <v>0.7</v>
      </c>
      <c r="KB26" s="1023">
        <v>2</v>
      </c>
      <c r="KC26" s="1023">
        <v>1.5</v>
      </c>
      <c r="KD26" s="1023">
        <v>0.5</v>
      </c>
      <c r="KE26" s="1023">
        <v>1</v>
      </c>
      <c r="KF26" s="1023">
        <v>0.5</v>
      </c>
      <c r="KG26" s="997">
        <v>20.817843866171003</v>
      </c>
      <c r="KH26" s="997">
        <v>0</v>
      </c>
      <c r="KI26" s="997">
        <v>77.762757688408243</v>
      </c>
      <c r="KJ26" s="997"/>
      <c r="KK26" s="997">
        <v>0.43933761405880367</v>
      </c>
      <c r="KL26" s="997">
        <v>0.98006083136194655</v>
      </c>
      <c r="KM26" s="997">
        <v>0</v>
      </c>
      <c r="KN26" s="997">
        <v>0</v>
      </c>
      <c r="KO26" s="997"/>
      <c r="KP26" s="1006">
        <v>580</v>
      </c>
      <c r="KQ26" s="1006">
        <v>580</v>
      </c>
      <c r="KR26" s="1006">
        <v>580</v>
      </c>
      <c r="KS26" s="1006">
        <v>580</v>
      </c>
      <c r="KT26" s="1006"/>
      <c r="KU26" s="1006">
        <v>580</v>
      </c>
      <c r="KV26" s="1006">
        <v>580</v>
      </c>
      <c r="KW26" s="1006">
        <v>580</v>
      </c>
      <c r="KX26" s="1006">
        <v>580</v>
      </c>
      <c r="KY26" s="993">
        <v>370</v>
      </c>
      <c r="KZ26" s="993">
        <v>370</v>
      </c>
      <c r="LA26" s="993">
        <v>370</v>
      </c>
      <c r="LB26" s="993">
        <v>370</v>
      </c>
      <c r="LC26" s="993"/>
      <c r="LD26" s="993">
        <v>370</v>
      </c>
      <c r="LE26" s="993">
        <v>370</v>
      </c>
      <c r="LF26" s="993">
        <v>370</v>
      </c>
      <c r="LG26" s="993">
        <v>370</v>
      </c>
      <c r="LH26" s="995">
        <v>0</v>
      </c>
      <c r="LI26" s="995">
        <v>10</v>
      </c>
      <c r="LJ26" s="995">
        <v>20</v>
      </c>
      <c r="LK26" s="995">
        <v>70</v>
      </c>
      <c r="LL26" s="995">
        <v>100</v>
      </c>
      <c r="LM26" s="1004">
        <v>1000</v>
      </c>
      <c r="LN26" s="1019"/>
      <c r="LO26" s="988">
        <v>29</v>
      </c>
      <c r="LP26" s="1022">
        <v>1</v>
      </c>
      <c r="LQ26" s="988">
        <v>0.7</v>
      </c>
      <c r="LR26" s="988">
        <v>0.7</v>
      </c>
      <c r="LS26" s="1023">
        <v>2</v>
      </c>
      <c r="LT26" s="1023">
        <v>1</v>
      </c>
      <c r="LU26" s="1023">
        <v>0.5</v>
      </c>
      <c r="LV26" s="1023">
        <v>0.7</v>
      </c>
      <c r="LW26" s="1023">
        <v>0.2</v>
      </c>
      <c r="LX26" s="1004">
        <v>1500</v>
      </c>
      <c r="LY26" s="1008">
        <v>500</v>
      </c>
      <c r="LZ26" s="1008">
        <v>1</v>
      </c>
      <c r="MA26" s="997" t="s">
        <v>2914</v>
      </c>
      <c r="MB26" s="1023" t="s">
        <v>905</v>
      </c>
      <c r="MC26" s="1023" t="s">
        <v>2932</v>
      </c>
      <c r="MD26" s="1024" t="s">
        <v>906</v>
      </c>
      <c r="ME26" s="1009">
        <v>0.5</v>
      </c>
      <c r="MF26" s="1010">
        <v>0.75</v>
      </c>
      <c r="MG26" s="1010">
        <v>1</v>
      </c>
      <c r="MH26" s="1010">
        <v>2</v>
      </c>
      <c r="MI26" s="1010">
        <v>0.5</v>
      </c>
      <c r="MJ26" s="1010">
        <v>0.75</v>
      </c>
      <c r="MK26" s="1010">
        <v>1</v>
      </c>
      <c r="ML26" s="1010">
        <v>2</v>
      </c>
      <c r="MM26" s="1010">
        <v>0</v>
      </c>
      <c r="MN26" s="1010">
        <v>0.5</v>
      </c>
      <c r="MO26" s="1010">
        <v>1</v>
      </c>
      <c r="MP26" s="1010">
        <v>2</v>
      </c>
      <c r="MQ26" s="1010">
        <v>0</v>
      </c>
      <c r="MR26" s="1010">
        <v>0.5</v>
      </c>
      <c r="MS26" s="1010">
        <v>1</v>
      </c>
      <c r="MT26" s="1010">
        <v>2</v>
      </c>
      <c r="MU26" s="1001">
        <v>0</v>
      </c>
      <c r="MV26" s="1001">
        <v>0</v>
      </c>
      <c r="MW26" s="1001">
        <v>0</v>
      </c>
      <c r="MX26" s="1025">
        <v>0</v>
      </c>
      <c r="MY26" s="1025">
        <v>0</v>
      </c>
      <c r="MZ26" s="1025">
        <v>0</v>
      </c>
      <c r="NA26" s="1025">
        <v>0</v>
      </c>
      <c r="NB26" s="1025">
        <v>0</v>
      </c>
      <c r="NC26" s="1025">
        <v>0</v>
      </c>
      <c r="ND26" s="1025">
        <v>0</v>
      </c>
      <c r="NE26" s="1025">
        <v>0</v>
      </c>
      <c r="NF26" s="1025">
        <v>0</v>
      </c>
      <c r="NG26" s="1025">
        <v>0</v>
      </c>
      <c r="NH26" s="1025">
        <v>0</v>
      </c>
      <c r="NI26" s="1025">
        <v>0</v>
      </c>
      <c r="NJ26" s="1025">
        <v>0</v>
      </c>
      <c r="NK26" s="1025">
        <v>0</v>
      </c>
      <c r="NL26" s="1025">
        <v>0</v>
      </c>
      <c r="NM26" s="1025">
        <v>0</v>
      </c>
      <c r="NN26" s="1025">
        <v>0</v>
      </c>
      <c r="NO26" s="1025">
        <v>0</v>
      </c>
      <c r="NP26" s="1025">
        <v>0</v>
      </c>
      <c r="NQ26" s="1025">
        <v>0</v>
      </c>
      <c r="NR26" s="1025">
        <v>0</v>
      </c>
      <c r="NS26" s="1025">
        <v>0</v>
      </c>
      <c r="NT26" s="1025">
        <v>0</v>
      </c>
      <c r="NU26" s="1025">
        <v>0</v>
      </c>
      <c r="NV26" s="1025">
        <v>0</v>
      </c>
      <c r="NW26" s="1025">
        <v>0</v>
      </c>
      <c r="NX26" s="1025">
        <v>0</v>
      </c>
      <c r="NY26" s="1025">
        <v>0</v>
      </c>
      <c r="NZ26" s="1025">
        <v>0</v>
      </c>
      <c r="OA26" s="1025">
        <v>0</v>
      </c>
      <c r="OB26" s="1025">
        <v>-3.9745054771700003E-3</v>
      </c>
      <c r="OC26" s="1025">
        <v>0</v>
      </c>
      <c r="OD26" s="1025">
        <v>0</v>
      </c>
      <c r="OE26" s="1025">
        <v>0</v>
      </c>
      <c r="OF26" s="1025">
        <v>0</v>
      </c>
      <c r="OG26" s="1025">
        <v>0</v>
      </c>
      <c r="OH26" s="1025">
        <v>-0.18918333333333001</v>
      </c>
      <c r="OI26" s="1025">
        <v>0</v>
      </c>
      <c r="OJ26" s="1025">
        <v>0</v>
      </c>
      <c r="OK26" s="1025">
        <v>0</v>
      </c>
      <c r="OL26" s="1025">
        <v>0</v>
      </c>
      <c r="OM26" s="1025">
        <v>0</v>
      </c>
      <c r="ON26" s="1025">
        <v>0.94923846153887004</v>
      </c>
      <c r="OO26" s="1025">
        <v>0</v>
      </c>
      <c r="OP26" s="1025">
        <v>0</v>
      </c>
      <c r="OQ26" s="1025">
        <v>0</v>
      </c>
      <c r="OR26" s="1025">
        <v>0</v>
      </c>
      <c r="OS26" s="1025">
        <v>0</v>
      </c>
      <c r="OT26" s="1025">
        <v>0.32429141716766002</v>
      </c>
      <c r="OU26" s="1025">
        <v>0</v>
      </c>
      <c r="OV26" s="1025">
        <v>0</v>
      </c>
      <c r="OW26" s="1025">
        <v>0</v>
      </c>
      <c r="OX26" s="1025">
        <v>0</v>
      </c>
      <c r="OY26" s="1025">
        <v>0</v>
      </c>
      <c r="OZ26" s="1025">
        <v>-113.94</v>
      </c>
      <c r="PA26" s="1025">
        <v>-21.47</v>
      </c>
      <c r="PB26" s="1025">
        <v>-0.76402153845999998</v>
      </c>
      <c r="PC26" s="1025">
        <v>0</v>
      </c>
      <c r="PD26" s="1025">
        <v>-0.78239000000000003</v>
      </c>
      <c r="PE26" s="1025">
        <v>0</v>
      </c>
      <c r="PF26" s="1025">
        <v>4.430891090275E-2</v>
      </c>
      <c r="PG26" s="1025">
        <v>0</v>
      </c>
      <c r="PH26" s="1025">
        <v>0</v>
      </c>
      <c r="PI26" s="1025">
        <v>0</v>
      </c>
      <c r="PJ26" s="1025">
        <v>-0.38715432234031999</v>
      </c>
      <c r="PK26" s="1025">
        <v>-9.52</v>
      </c>
      <c r="PL26" s="1025">
        <v>0</v>
      </c>
      <c r="PM26" s="1025">
        <v>0</v>
      </c>
      <c r="PN26" s="1025">
        <v>0</v>
      </c>
      <c r="PO26" s="1025">
        <v>0</v>
      </c>
      <c r="PP26" s="1025">
        <v>0</v>
      </c>
      <c r="PQ26" s="1025">
        <v>0</v>
      </c>
      <c r="PR26" s="1025">
        <v>0.24446590909102001</v>
      </c>
      <c r="PS26" s="1025">
        <v>0</v>
      </c>
      <c r="PT26" s="1025">
        <v>0</v>
      </c>
      <c r="PU26" s="1025">
        <v>0</v>
      </c>
      <c r="PV26" s="1025">
        <v>1.0303433674545599</v>
      </c>
      <c r="PW26" s="1025">
        <v>0</v>
      </c>
      <c r="PX26" s="1025">
        <v>0.34050000000000002</v>
      </c>
      <c r="PY26" s="1025">
        <v>0</v>
      </c>
      <c r="PZ26" s="1025">
        <v>0</v>
      </c>
      <c r="QA26" s="1025">
        <v>0</v>
      </c>
      <c r="QB26" s="1025">
        <v>2.5225</v>
      </c>
      <c r="QC26" s="1025">
        <v>0</v>
      </c>
      <c r="QD26" s="1025">
        <v>-113.94</v>
      </c>
      <c r="QE26" s="1025">
        <v>-21.47</v>
      </c>
      <c r="QF26" s="1025">
        <v>-1.3114110761020801</v>
      </c>
      <c r="QG26" s="1025">
        <v>0</v>
      </c>
      <c r="QH26" s="1025">
        <v>-1.2204196230965301</v>
      </c>
      <c r="QI26" s="1025">
        <v>0</v>
      </c>
      <c r="QJ26" s="1025">
        <v>-3.6731675605339999E-2</v>
      </c>
      <c r="QK26" s="1025">
        <v>0</v>
      </c>
      <c r="QL26" s="1025">
        <v>0</v>
      </c>
      <c r="QM26" s="1025">
        <v>0</v>
      </c>
      <c r="QN26" s="1025">
        <v>0.39887582801054999</v>
      </c>
      <c r="QO26" s="1025">
        <v>-9.3559751895280296</v>
      </c>
      <c r="QP26" s="1025">
        <v>-1.3721945135929999E-2</v>
      </c>
      <c r="QQ26" s="1025">
        <v>0</v>
      </c>
      <c r="QR26" s="1025">
        <v>0</v>
      </c>
      <c r="QS26" s="1025">
        <v>0</v>
      </c>
      <c r="QT26" s="1025">
        <v>-6.9827629290609997E-2</v>
      </c>
      <c r="QU26" s="1025">
        <v>0</v>
      </c>
      <c r="QV26" s="1025">
        <v>0.21477267286068</v>
      </c>
      <c r="QW26" s="1025">
        <v>0</v>
      </c>
      <c r="QX26" s="1025">
        <v>0</v>
      </c>
      <c r="QY26" s="1025">
        <v>0</v>
      </c>
      <c r="QZ26" s="1025">
        <v>1.7411319054315599</v>
      </c>
      <c r="RA26" s="1025">
        <v>0</v>
      </c>
      <c r="RB26" s="1025">
        <v>0.23056438907588001</v>
      </c>
      <c r="RC26" s="1025">
        <v>0</v>
      </c>
      <c r="RD26" s="1025">
        <v>0</v>
      </c>
      <c r="RE26" s="1025">
        <v>0</v>
      </c>
      <c r="RF26" s="1025">
        <v>1.1249847089037199</v>
      </c>
      <c r="RG26" s="1025">
        <v>0</v>
      </c>
      <c r="RH26" s="1011">
        <v>0</v>
      </c>
      <c r="RI26" s="1026">
        <v>0</v>
      </c>
      <c r="RJ26" s="1026">
        <v>0</v>
      </c>
      <c r="RK26" s="1026">
        <v>0</v>
      </c>
      <c r="RL26" s="1026">
        <v>0</v>
      </c>
      <c r="RM26" s="1011">
        <v>0</v>
      </c>
      <c r="RN26" s="1011">
        <v>0</v>
      </c>
      <c r="RO26" s="1011">
        <v>0</v>
      </c>
      <c r="RP26" s="1011">
        <v>0</v>
      </c>
      <c r="RQ26" s="1011">
        <v>0</v>
      </c>
      <c r="RR26" s="1011">
        <v>0</v>
      </c>
      <c r="RS26" s="1011">
        <v>0</v>
      </c>
      <c r="RT26" s="1011">
        <v>-5.8314843882105398</v>
      </c>
      <c r="RU26" s="1011">
        <v>0</v>
      </c>
      <c r="RV26" s="1011">
        <v>-0.99942732079088004</v>
      </c>
      <c r="RW26" s="1011">
        <v>0</v>
      </c>
      <c r="RX26" s="1011">
        <v>-1.57756256920988</v>
      </c>
      <c r="RY26" s="1011">
        <v>0</v>
      </c>
      <c r="RZ26" s="1026">
        <v>-0.1484117647058</v>
      </c>
      <c r="SA26" s="1026">
        <v>0</v>
      </c>
      <c r="SB26" s="1026">
        <v>0</v>
      </c>
      <c r="SC26" s="1026">
        <v>0</v>
      </c>
      <c r="SD26" s="1026">
        <v>-0.71013588202545996</v>
      </c>
      <c r="SE26" s="1026">
        <v>0</v>
      </c>
      <c r="SF26" s="1026">
        <v>-0.22680687724875001</v>
      </c>
      <c r="SG26" s="1026">
        <v>0</v>
      </c>
      <c r="SH26" s="1026">
        <v>0</v>
      </c>
      <c r="SI26" s="1026">
        <v>0</v>
      </c>
      <c r="SJ26" s="1026">
        <v>-0.72735117815029005</v>
      </c>
      <c r="SK26" s="1026">
        <v>0</v>
      </c>
      <c r="SL26" s="1025">
        <v>-113.94</v>
      </c>
      <c r="SM26" s="1025">
        <v>-21.47</v>
      </c>
      <c r="SN26" s="1025">
        <v>-0.84304410144301001</v>
      </c>
      <c r="SO26" s="1025">
        <v>0</v>
      </c>
      <c r="SP26" s="1025">
        <v>-1.4898788170953301</v>
      </c>
      <c r="SQ26" s="1025">
        <v>0</v>
      </c>
      <c r="SR26" s="1025">
        <v>-0.19082941877290999</v>
      </c>
      <c r="SS26" s="1025">
        <v>0</v>
      </c>
      <c r="ST26" s="1025">
        <v>0</v>
      </c>
      <c r="SU26" s="1025">
        <v>0</v>
      </c>
      <c r="SV26" s="1025">
        <v>-0.87016021963467005</v>
      </c>
      <c r="SW26" s="1025">
        <v>0</v>
      </c>
      <c r="SX26" s="1025">
        <v>-0.23366545765905</v>
      </c>
      <c r="SY26" s="1025">
        <v>0</v>
      </c>
      <c r="SZ26" s="1025">
        <v>0</v>
      </c>
      <c r="TA26" s="1025">
        <v>0</v>
      </c>
      <c r="TB26" s="1025">
        <v>-1.0936433724107799</v>
      </c>
      <c r="TC26" s="1025">
        <v>0</v>
      </c>
      <c r="TD26" s="1025">
        <v>-0.16269140164841001</v>
      </c>
      <c r="TE26" s="1025">
        <v>0</v>
      </c>
      <c r="TF26" s="1025">
        <v>0</v>
      </c>
      <c r="TG26" s="1025">
        <v>0</v>
      </c>
      <c r="TH26" s="1025">
        <v>-0.78669468998587</v>
      </c>
      <c r="TI26" s="1025">
        <v>0</v>
      </c>
      <c r="TJ26" s="1025">
        <v>0</v>
      </c>
      <c r="TK26" s="1025">
        <v>0</v>
      </c>
      <c r="TL26" s="1025">
        <v>0</v>
      </c>
      <c r="TM26" s="1025">
        <v>0</v>
      </c>
      <c r="TN26" s="1025">
        <v>0</v>
      </c>
      <c r="TO26" s="1025">
        <v>0</v>
      </c>
      <c r="TP26" s="1025">
        <v>-113.94</v>
      </c>
      <c r="TQ26" s="1025">
        <v>-21.47</v>
      </c>
      <c r="TR26" s="1025">
        <v>-1.27545802781231</v>
      </c>
      <c r="TS26" s="1025">
        <v>0</v>
      </c>
      <c r="TT26" s="1025">
        <v>-4.0103239650135301</v>
      </c>
      <c r="TU26" s="1025">
        <v>0</v>
      </c>
      <c r="TV26" s="1025">
        <v>-0.29185714285755998</v>
      </c>
      <c r="TW26" s="1025">
        <v>0</v>
      </c>
      <c r="TX26" s="1025">
        <v>0</v>
      </c>
      <c r="TY26" s="1025">
        <v>0</v>
      </c>
      <c r="TZ26" s="1025">
        <v>-2.16214285714595</v>
      </c>
      <c r="UA26" s="1025">
        <v>0</v>
      </c>
      <c r="UB26" s="1025">
        <v>-0.25900849341166998</v>
      </c>
      <c r="UC26" s="1025">
        <v>0</v>
      </c>
      <c r="UD26" s="1025">
        <v>0</v>
      </c>
      <c r="UE26" s="1025">
        <v>0</v>
      </c>
      <c r="UF26" s="1025">
        <v>-1.4817838678805699</v>
      </c>
      <c r="UG26" s="1025">
        <v>0</v>
      </c>
      <c r="UH26" s="1025">
        <v>0</v>
      </c>
      <c r="UI26" s="1025">
        <v>0</v>
      </c>
      <c r="UJ26" s="1025">
        <v>0</v>
      </c>
      <c r="UK26" s="1025">
        <v>0</v>
      </c>
      <c r="UL26" s="1025">
        <v>0</v>
      </c>
      <c r="UM26" s="1025">
        <v>0</v>
      </c>
      <c r="UN26" s="1025">
        <v>-0.77149999911425005</v>
      </c>
      <c r="UO26" s="1025">
        <v>0</v>
      </c>
      <c r="UP26" s="1025">
        <v>0</v>
      </c>
      <c r="UQ26" s="1025">
        <v>0</v>
      </c>
      <c r="UR26" s="1025">
        <v>-2.5288538012355701</v>
      </c>
      <c r="US26" s="1025">
        <v>0</v>
      </c>
      <c r="UT26" s="1025">
        <v>4.4389195029420001E-2</v>
      </c>
      <c r="UU26" s="1025">
        <v>0</v>
      </c>
      <c r="UV26" s="1025">
        <v>1.278199435141E-2</v>
      </c>
      <c r="UW26" s="1025">
        <v>-4.73141662096E-3</v>
      </c>
      <c r="UX26" s="1025">
        <v>0</v>
      </c>
      <c r="UY26" s="1025">
        <v>0</v>
      </c>
      <c r="UZ26" s="1025">
        <v>0</v>
      </c>
      <c r="VA26" s="1025">
        <v>0</v>
      </c>
      <c r="VB26" s="1025">
        <v>0</v>
      </c>
      <c r="VC26" s="1025">
        <v>0</v>
      </c>
      <c r="VD26" s="1025">
        <v>0</v>
      </c>
      <c r="VE26" s="1025">
        <v>-9.52</v>
      </c>
      <c r="VF26" s="1025">
        <v>2.6527775270100001E-3</v>
      </c>
      <c r="VG26" s="1025">
        <v>0</v>
      </c>
      <c r="VH26" s="1025">
        <v>0</v>
      </c>
      <c r="VI26" s="1025">
        <v>0</v>
      </c>
      <c r="VJ26" s="1025">
        <v>2.0627190073559998E-2</v>
      </c>
      <c r="VK26" s="1025">
        <v>-7.8031745839667099</v>
      </c>
      <c r="VL26" s="1025">
        <v>0</v>
      </c>
      <c r="VM26" s="1025">
        <v>0</v>
      </c>
      <c r="VN26" s="1025">
        <v>0</v>
      </c>
      <c r="VO26" s="1025">
        <v>0</v>
      </c>
      <c r="VP26" s="1025">
        <v>0</v>
      </c>
      <c r="VQ26" s="1025">
        <v>0</v>
      </c>
      <c r="VR26" s="1010">
        <v>0</v>
      </c>
      <c r="VS26" s="1010">
        <v>0</v>
      </c>
      <c r="VT26" s="1010">
        <v>0</v>
      </c>
      <c r="VU26" s="1010">
        <v>0</v>
      </c>
      <c r="VV26" s="1010">
        <v>0</v>
      </c>
      <c r="VW26" s="1010">
        <v>0</v>
      </c>
      <c r="VX26" s="1025">
        <v>-2.9642530477759998E-2</v>
      </c>
      <c r="VY26" s="1025">
        <v>0</v>
      </c>
      <c r="VZ26" s="1025">
        <v>0</v>
      </c>
      <c r="WA26" s="1025">
        <v>0</v>
      </c>
      <c r="WB26" s="1025">
        <v>-4.8893950957149997E-2</v>
      </c>
      <c r="WC26" s="1025">
        <v>0</v>
      </c>
      <c r="WD26" s="995">
        <v>202</v>
      </c>
      <c r="WE26" s="995">
        <v>267</v>
      </c>
      <c r="WF26" s="995">
        <v>354</v>
      </c>
      <c r="WG26" s="995">
        <v>382</v>
      </c>
      <c r="WH26" s="995">
        <v>403</v>
      </c>
      <c r="WI26" s="995">
        <v>0</v>
      </c>
      <c r="WJ26" s="995">
        <v>1300</v>
      </c>
      <c r="WK26" s="1001">
        <v>0</v>
      </c>
      <c r="WL26" s="1001">
        <v>0</v>
      </c>
      <c r="WM26" s="1001">
        <v>0</v>
      </c>
      <c r="WN26" s="1001">
        <v>0</v>
      </c>
      <c r="WO26" s="1001">
        <v>0</v>
      </c>
      <c r="WP26" s="1001">
        <v>0</v>
      </c>
      <c r="WQ26" s="1001">
        <v>0</v>
      </c>
      <c r="WR26" s="1001">
        <v>0</v>
      </c>
      <c r="WS26" s="1001">
        <v>0</v>
      </c>
      <c r="WT26" s="1001">
        <v>0</v>
      </c>
      <c r="WU26" s="1001">
        <v>0</v>
      </c>
      <c r="WV26" s="1001">
        <v>0</v>
      </c>
      <c r="WW26" s="1001">
        <v>0</v>
      </c>
      <c r="WX26" s="1001">
        <v>0</v>
      </c>
      <c r="WY26" s="1001">
        <v>0</v>
      </c>
      <c r="WZ26" s="1001">
        <v>0</v>
      </c>
      <c r="XA26" s="1001">
        <v>0</v>
      </c>
      <c r="XB26" s="1001">
        <v>0</v>
      </c>
      <c r="XC26" s="1001">
        <v>0</v>
      </c>
      <c r="XD26" s="1001">
        <v>0</v>
      </c>
      <c r="XE26" s="1001">
        <v>0</v>
      </c>
      <c r="XF26" s="1001">
        <v>0</v>
      </c>
      <c r="XG26" s="1001">
        <v>0</v>
      </c>
      <c r="XH26" s="1001">
        <v>0</v>
      </c>
      <c r="XI26" s="1001">
        <v>0</v>
      </c>
      <c r="XJ26" s="1001">
        <v>0</v>
      </c>
      <c r="XK26" s="1001">
        <v>0</v>
      </c>
      <c r="XL26" s="1001">
        <v>0</v>
      </c>
      <c r="XM26" s="1001">
        <v>0</v>
      </c>
      <c r="XN26" s="1001">
        <v>0</v>
      </c>
      <c r="XO26" s="1001">
        <v>0</v>
      </c>
      <c r="XP26" s="1001">
        <v>0</v>
      </c>
      <c r="XQ26" s="1001">
        <v>0</v>
      </c>
      <c r="XR26" s="1027">
        <v>87.807500000000005</v>
      </c>
      <c r="XS26" s="1013">
        <v>69.65939457202505</v>
      </c>
      <c r="XT26" s="1013">
        <v>76.991962421711904</v>
      </c>
      <c r="XU26" s="1013">
        <v>80.65824634655533</v>
      </c>
      <c r="XV26" s="1013">
        <v>123.92039665970773</v>
      </c>
      <c r="XW26" s="1028">
        <v>14318.32</v>
      </c>
      <c r="XX26" s="1013">
        <v>78</v>
      </c>
      <c r="XY26" s="1013">
        <v>15</v>
      </c>
      <c r="XZ26" s="1013">
        <v>7.0000000000000009</v>
      </c>
      <c r="YA26" s="1029">
        <v>0</v>
      </c>
      <c r="YB26" s="1013">
        <v>1486.996527614348</v>
      </c>
      <c r="YC26" s="1013">
        <v>0</v>
      </c>
      <c r="YD26" s="1013">
        <v>0</v>
      </c>
      <c r="YE26" s="1013">
        <v>0</v>
      </c>
      <c r="YF26" s="1013">
        <v>0</v>
      </c>
      <c r="YG26" s="1013">
        <v>0</v>
      </c>
      <c r="YH26" s="1013">
        <v>1115.2473957107609</v>
      </c>
      <c r="YI26" s="1013">
        <v>495.66550920478267</v>
      </c>
      <c r="YJ26" s="1013">
        <v>1595.1835814810265</v>
      </c>
      <c r="YK26" s="1013">
        <v>0</v>
      </c>
      <c r="YL26" s="1013">
        <v>0</v>
      </c>
      <c r="YM26" s="1013">
        <v>0</v>
      </c>
      <c r="YN26" s="1013">
        <v>0</v>
      </c>
      <c r="YO26" s="1013">
        <v>0</v>
      </c>
      <c r="YP26" s="1013">
        <v>1196.3876861107699</v>
      </c>
      <c r="YQ26" s="1013">
        <v>531.72786049367551</v>
      </c>
      <c r="YR26" s="1013">
        <v>1671.1447044086947</v>
      </c>
      <c r="YS26" s="1013">
        <v>0</v>
      </c>
      <c r="YT26" s="1013">
        <v>0</v>
      </c>
      <c r="YU26" s="1013">
        <v>0</v>
      </c>
      <c r="YV26" s="1013">
        <v>0</v>
      </c>
      <c r="YW26" s="1013">
        <v>0</v>
      </c>
      <c r="YX26" s="1013">
        <v>1253.3585283065211</v>
      </c>
      <c r="YY26" s="1013">
        <v>557.04823480289826</v>
      </c>
      <c r="YZ26" s="1013">
        <v>2567.4859549551761</v>
      </c>
      <c r="ZA26" s="1013">
        <v>0</v>
      </c>
      <c r="ZB26" s="1013">
        <v>0</v>
      </c>
      <c r="ZC26" s="1013">
        <v>0</v>
      </c>
      <c r="ZD26" s="1013">
        <v>0</v>
      </c>
      <c r="ZE26" s="1013">
        <v>0</v>
      </c>
      <c r="ZF26" s="1013">
        <v>1925.614466216382</v>
      </c>
      <c r="ZG26" s="1013">
        <v>855.82865165172541</v>
      </c>
      <c r="ZH26" s="1013">
        <v>1024.3753856898841</v>
      </c>
      <c r="ZI26" s="1013">
        <v>1536.5630785348262</v>
      </c>
      <c r="ZJ26" s="1013">
        <v>469.50538510786362</v>
      </c>
      <c r="ZK26" s="1013">
        <v>128.04692321123551</v>
      </c>
      <c r="ZL26" s="1013">
        <v>0</v>
      </c>
      <c r="ZM26" s="1013">
        <v>0</v>
      </c>
      <c r="ZN26" s="1013">
        <v>768.28153926741311</v>
      </c>
      <c r="ZO26" s="1013">
        <v>341.45846189662808</v>
      </c>
      <c r="ZP26" s="1013">
        <v>1098.9042450202628</v>
      </c>
      <c r="ZQ26" s="1013">
        <v>1648.356367530394</v>
      </c>
      <c r="ZR26" s="1013">
        <v>503.66444563428712</v>
      </c>
      <c r="ZS26" s="1013">
        <v>137.36303062753285</v>
      </c>
      <c r="ZT26" s="1013">
        <v>0</v>
      </c>
      <c r="ZU26" s="1013">
        <v>0</v>
      </c>
      <c r="ZV26" s="1013">
        <v>824.17818376519699</v>
      </c>
      <c r="ZW26" s="1013">
        <v>366.30141500675427</v>
      </c>
      <c r="ZX26" s="1013">
        <v>1151.2330185926562</v>
      </c>
      <c r="ZY26" s="1013">
        <v>1726.8495278889843</v>
      </c>
      <c r="ZZ26" s="1013">
        <v>527.64846685496741</v>
      </c>
      <c r="AAA26" s="1013">
        <v>143.90412732408203</v>
      </c>
      <c r="AAB26" s="1013">
        <v>0</v>
      </c>
      <c r="AAC26" s="1013">
        <v>0</v>
      </c>
      <c r="AAD26" s="1013">
        <v>863.42476394449216</v>
      </c>
      <c r="AAE26" s="1013">
        <v>383.74433953088544</v>
      </c>
      <c r="AAF26" s="1013">
        <v>1768.7125467468989</v>
      </c>
      <c r="AAG26" s="1013">
        <v>2653.0688201203484</v>
      </c>
      <c r="AAH26" s="1013">
        <v>810.65991725899528</v>
      </c>
      <c r="AAI26" s="1013">
        <v>221.08906834336236</v>
      </c>
      <c r="AAJ26" s="1013">
        <v>0</v>
      </c>
      <c r="AAK26" s="1013">
        <v>0</v>
      </c>
      <c r="AAL26" s="1013">
        <v>1326.5344100601742</v>
      </c>
      <c r="AAM26" s="1013">
        <v>589.57084891563295</v>
      </c>
      <c r="AAN26" s="1013">
        <v>2726.1603006263049</v>
      </c>
      <c r="AAO26" s="1013">
        <v>4089.2404509394569</v>
      </c>
      <c r="AAP26" s="1013">
        <v>1249.4901377870565</v>
      </c>
      <c r="AAQ26" s="1013">
        <v>340.77003757828811</v>
      </c>
      <c r="AAR26" s="1013">
        <v>0</v>
      </c>
      <c r="AAS26" s="1013">
        <v>0</v>
      </c>
      <c r="AAT26" s="1013">
        <v>2044.6202254697284</v>
      </c>
      <c r="AAU26" s="1013">
        <v>908.72010020876826</v>
      </c>
      <c r="AAV26" s="1013">
        <v>3013.1245427974945</v>
      </c>
      <c r="AAW26" s="1013">
        <v>4519.6868141962423</v>
      </c>
      <c r="AAX26" s="1013">
        <v>1381.0154154488519</v>
      </c>
      <c r="AAY26" s="1013">
        <v>376.64056784968682</v>
      </c>
      <c r="AAZ26" s="1013">
        <v>0</v>
      </c>
      <c r="ABA26" s="1013">
        <v>0</v>
      </c>
      <c r="ABB26" s="1013">
        <v>2259.8434070981211</v>
      </c>
      <c r="ABC26" s="1013">
        <v>1004.3748475991649</v>
      </c>
      <c r="ABD26" s="1013">
        <v>3156.6066638830898</v>
      </c>
      <c r="ABE26" s="1013">
        <v>4734.9099958246343</v>
      </c>
      <c r="ABF26" s="1013">
        <v>1446.7780542797495</v>
      </c>
      <c r="ABG26" s="1013">
        <v>394.57583298538623</v>
      </c>
      <c r="ABH26" s="1013">
        <v>0</v>
      </c>
      <c r="ABI26" s="1013">
        <v>0</v>
      </c>
      <c r="ABJ26" s="1013">
        <v>2367.4549979123171</v>
      </c>
      <c r="ABK26" s="1013">
        <v>1052.2022212943632</v>
      </c>
      <c r="ABL26" s="1013">
        <v>4849.6956926931098</v>
      </c>
      <c r="ABM26" s="1013">
        <v>7274.5435390396651</v>
      </c>
      <c r="ABN26" s="1013">
        <v>2222.7771924843423</v>
      </c>
      <c r="ABO26" s="1013">
        <v>606.21196158663872</v>
      </c>
      <c r="ABP26" s="1013">
        <v>0</v>
      </c>
      <c r="ABQ26" s="1013">
        <v>0</v>
      </c>
      <c r="ABR26" s="1013">
        <v>3637.2717695198326</v>
      </c>
      <c r="ABS26" s="1013">
        <v>1616.5652308977035</v>
      </c>
      <c r="ABT26" s="1013">
        <v>3750.5356863161887</v>
      </c>
      <c r="ABU26" s="1013">
        <v>5625.8035294742831</v>
      </c>
      <c r="ABV26" s="1013">
        <v>1718.99552289492</v>
      </c>
      <c r="ABW26" s="1013">
        <v>468.81696078952359</v>
      </c>
      <c r="ABX26" s="1013">
        <v>0</v>
      </c>
      <c r="ABY26" s="1013">
        <v>0</v>
      </c>
      <c r="ABZ26" s="1013">
        <v>2812.9017647371415</v>
      </c>
      <c r="ACA26" s="1013">
        <v>1250.1785621053964</v>
      </c>
      <c r="ACB26" s="1013">
        <v>3970.2346916861111</v>
      </c>
      <c r="ACC26" s="1013">
        <v>5955.3520375291664</v>
      </c>
      <c r="ACD26" s="1013">
        <v>1819.6909003561343</v>
      </c>
      <c r="ACE26" s="1013">
        <v>496.27933646076389</v>
      </c>
      <c r="ACF26" s="1013">
        <v>0</v>
      </c>
      <c r="ACG26" s="1013">
        <v>0</v>
      </c>
      <c r="ACH26" s="1013">
        <v>2977.6760187645832</v>
      </c>
      <c r="ACI26" s="1013">
        <v>1323.4115638953704</v>
      </c>
      <c r="ACJ26" s="1013">
        <v>4159.2934865283069</v>
      </c>
      <c r="ACK26" s="1013">
        <v>6238.9402297924598</v>
      </c>
      <c r="ACL26" s="1013">
        <v>1906.3428479921406</v>
      </c>
      <c r="ACM26" s="1013">
        <v>519.91168581603836</v>
      </c>
      <c r="ACN26" s="1013">
        <v>0</v>
      </c>
      <c r="ACO26" s="1013">
        <v>0</v>
      </c>
      <c r="ACP26" s="1013">
        <v>3119.4701148962299</v>
      </c>
      <c r="ACQ26" s="1013">
        <v>1386.4311621761024</v>
      </c>
      <c r="ACR26" s="1013">
        <v>6390.1872656662163</v>
      </c>
      <c r="ACS26" s="1013">
        <v>9585.2808984993244</v>
      </c>
      <c r="ACT26" s="1013">
        <v>2928.8358300970158</v>
      </c>
      <c r="ACU26" s="1013">
        <v>798.77340820827703</v>
      </c>
      <c r="ACV26" s="1013">
        <v>0</v>
      </c>
      <c r="ACW26" s="1013">
        <v>0</v>
      </c>
      <c r="ACX26" s="1013">
        <v>4792.6404492496622</v>
      </c>
      <c r="ACY26" s="1013">
        <v>2130.0624218887388</v>
      </c>
      <c r="ACZ26" s="1013">
        <v>4857.5219902068702</v>
      </c>
      <c r="ADA26" s="1013">
        <v>7286.2829853103058</v>
      </c>
      <c r="ADB26" s="1013">
        <v>2226.3642455114823</v>
      </c>
      <c r="ADC26" s="1013">
        <v>607.19024877585878</v>
      </c>
      <c r="ADD26" s="1013">
        <v>0</v>
      </c>
      <c r="ADE26" s="1013">
        <v>0</v>
      </c>
      <c r="ADF26" s="1013">
        <v>3643.1414926551529</v>
      </c>
      <c r="ADG26" s="1013">
        <v>1619.1739967356236</v>
      </c>
      <c r="ADH26" s="1013">
        <v>5193.208770821564</v>
      </c>
      <c r="ADI26" s="1013">
        <v>7789.813156232347</v>
      </c>
      <c r="ADJ26" s="1013">
        <v>2380.2206866265506</v>
      </c>
      <c r="ADK26" s="1013">
        <v>649.1510963526955</v>
      </c>
      <c r="ADL26" s="1013">
        <v>0</v>
      </c>
      <c r="ADM26" s="1013">
        <v>0</v>
      </c>
      <c r="ADN26" s="1013">
        <v>3894.9065781161735</v>
      </c>
      <c r="ADO26" s="1013">
        <v>1731.0695902738548</v>
      </c>
      <c r="ADP26" s="1013">
        <v>5440.5044265749721</v>
      </c>
      <c r="ADQ26" s="1013">
        <v>8160.7566398624585</v>
      </c>
      <c r="ADR26" s="1013">
        <v>2493.5645288468622</v>
      </c>
      <c r="ADS26" s="1013">
        <v>680.06305332187151</v>
      </c>
      <c r="ADT26" s="1013">
        <v>0</v>
      </c>
      <c r="ADU26" s="1013">
        <v>0</v>
      </c>
      <c r="ADV26" s="1013">
        <v>4080.3783199312293</v>
      </c>
      <c r="ADW26" s="1013">
        <v>1813.5014755249908</v>
      </c>
      <c r="ADX26" s="1013">
        <v>8358.5931644651846</v>
      </c>
      <c r="ADY26" s="1013">
        <v>12537.889746697776</v>
      </c>
      <c r="ADZ26" s="1013">
        <v>3831.0218670465429</v>
      </c>
      <c r="AEA26" s="1013">
        <v>1044.8241455581481</v>
      </c>
      <c r="AEB26" s="1013">
        <v>0</v>
      </c>
      <c r="AEC26" s="1013">
        <v>0</v>
      </c>
      <c r="AED26" s="1013">
        <v>6268.944873348888</v>
      </c>
      <c r="AEE26" s="1013">
        <v>2786.197721488395</v>
      </c>
      <c r="AEF26" s="1013">
        <v>5931.4639268172323</v>
      </c>
      <c r="AEG26" s="1013">
        <v>8897.1958902258484</v>
      </c>
      <c r="AEH26" s="1013">
        <v>2718.5876331245649</v>
      </c>
      <c r="AEI26" s="1013">
        <v>741.43299085215403</v>
      </c>
      <c r="AEJ26" s="1013">
        <v>0</v>
      </c>
      <c r="AEK26" s="1013">
        <v>0</v>
      </c>
      <c r="AEL26" s="1013">
        <v>4448.5979451129242</v>
      </c>
      <c r="AEM26" s="1013">
        <v>1977.1546422724109</v>
      </c>
      <c r="AEN26" s="1013">
        <v>6380.7343259241061</v>
      </c>
      <c r="AEO26" s="1013">
        <v>9571.1014888861591</v>
      </c>
      <c r="AEP26" s="1013">
        <v>2924.5032327152153</v>
      </c>
      <c r="AEQ26" s="1013">
        <v>797.59179074051326</v>
      </c>
      <c r="AER26" s="1013">
        <v>0</v>
      </c>
      <c r="AES26" s="1013">
        <v>0</v>
      </c>
      <c r="AET26" s="1013">
        <v>4785.5507444430796</v>
      </c>
      <c r="AEU26" s="1013">
        <v>2126.911441974702</v>
      </c>
      <c r="AEV26" s="1013">
        <v>6684.5788176347787</v>
      </c>
      <c r="AEW26" s="1013">
        <v>10026.868226452169</v>
      </c>
      <c r="AEX26" s="1013">
        <v>3063.7652914159403</v>
      </c>
      <c r="AEY26" s="1013">
        <v>835.57235220434734</v>
      </c>
      <c r="AEZ26" s="1013">
        <v>0</v>
      </c>
      <c r="AFA26" s="1013">
        <v>0</v>
      </c>
      <c r="AFB26" s="1013">
        <v>5013.4341132260843</v>
      </c>
      <c r="AFC26" s="1013">
        <v>2228.1929392115931</v>
      </c>
      <c r="AFD26" s="1013">
        <v>10269.943819820704</v>
      </c>
      <c r="AFE26" s="1013">
        <v>15404.915729731056</v>
      </c>
      <c r="AFF26" s="1013">
        <v>4707.0575840844895</v>
      </c>
      <c r="AFG26" s="1013">
        <v>1283.7429774775881</v>
      </c>
      <c r="AFH26" s="1013">
        <v>0</v>
      </c>
      <c r="AFI26" s="1013">
        <v>0</v>
      </c>
      <c r="AFJ26" s="1013">
        <v>7702.4578648655279</v>
      </c>
      <c r="AFK26" s="1013">
        <v>3423.3146066069016</v>
      </c>
      <c r="AFL26" s="1023">
        <v>6840.1840270260018</v>
      </c>
      <c r="AFM26" s="1023">
        <v>10260.276040539002</v>
      </c>
      <c r="AFN26" s="1023">
        <v>3135.0843457202509</v>
      </c>
      <c r="AFO26" s="1023">
        <v>855.02300337825022</v>
      </c>
      <c r="AFP26" s="1023">
        <v>0</v>
      </c>
      <c r="AFQ26" s="1023">
        <v>0</v>
      </c>
      <c r="AFR26" s="1023">
        <v>5130.1380202695009</v>
      </c>
      <c r="AFS26" s="1023">
        <v>2280.0613423420004</v>
      </c>
      <c r="AFT26" s="1023">
        <v>7266.9474267468986</v>
      </c>
      <c r="AFU26" s="1023">
        <v>10900.421140120348</v>
      </c>
      <c r="AFV26" s="1023">
        <v>3330.6842372589954</v>
      </c>
      <c r="AFW26" s="1023">
        <v>908.36842834336232</v>
      </c>
      <c r="AFX26" s="1023">
        <v>0</v>
      </c>
      <c r="AFY26" s="1023">
        <v>0</v>
      </c>
      <c r="AFZ26" s="1023">
        <v>5450.2105700601742</v>
      </c>
      <c r="AGA26" s="1023">
        <v>2422.3158089156332</v>
      </c>
      <c r="AGB26" s="1023">
        <v>7612.9925423062741</v>
      </c>
      <c r="AGC26" s="1023">
        <v>11419.488813459411</v>
      </c>
      <c r="AGD26" s="1023">
        <v>3489.2882485570426</v>
      </c>
      <c r="AGE26" s="1023">
        <v>951.62406778828426</v>
      </c>
      <c r="AGF26" s="1023">
        <v>0</v>
      </c>
      <c r="AGG26" s="1023">
        <v>0</v>
      </c>
      <c r="AGH26" s="1023">
        <v>5709.7444067297056</v>
      </c>
      <c r="AGI26" s="1023">
        <v>2537.6641807687583</v>
      </c>
      <c r="AGJ26" s="1023">
        <v>11696.324905906913</v>
      </c>
      <c r="AGK26" s="1023">
        <v>17544.48735886037</v>
      </c>
      <c r="AGL26" s="1023">
        <v>5360.8155818740024</v>
      </c>
      <c r="AGM26" s="1023">
        <v>1462.0406132383641</v>
      </c>
      <c r="AGN26" s="1023">
        <v>0</v>
      </c>
      <c r="AGO26" s="1023">
        <v>0</v>
      </c>
      <c r="AGP26" s="1023">
        <v>8772.2436794301848</v>
      </c>
      <c r="AGQ26" s="1023">
        <v>3898.7749686356378</v>
      </c>
      <c r="AGR26" s="1030">
        <v>2726.1603006263049</v>
      </c>
      <c r="AGS26" s="1030">
        <v>4089.2404509394569</v>
      </c>
      <c r="AGT26" s="1030">
        <v>1249.4901377870565</v>
      </c>
      <c r="AGU26" s="1030">
        <v>340.77003757828811</v>
      </c>
      <c r="AGV26" s="1030">
        <v>0</v>
      </c>
      <c r="AGW26" s="1030">
        <v>0</v>
      </c>
      <c r="AGX26" s="1030">
        <v>2044.6202254697284</v>
      </c>
      <c r="AGY26" s="1030">
        <v>908.72010020876826</v>
      </c>
      <c r="AGZ26" s="1030">
        <v>3013.1245427974945</v>
      </c>
      <c r="AHA26" s="1030">
        <v>4519.6868141962423</v>
      </c>
      <c r="AHB26" s="1030">
        <v>1381.0154154488519</v>
      </c>
      <c r="AHC26" s="1030">
        <v>376.64056784968682</v>
      </c>
      <c r="AHD26" s="1030">
        <v>0</v>
      </c>
      <c r="AHE26" s="1030">
        <v>0</v>
      </c>
      <c r="AHF26" s="1030">
        <v>2259.8434070981211</v>
      </c>
      <c r="AHG26" s="1030">
        <v>1004.3748475991649</v>
      </c>
      <c r="AHH26" s="1030">
        <v>3156.6066638830898</v>
      </c>
      <c r="AHI26" s="1030">
        <v>4734.9099958246343</v>
      </c>
      <c r="AHJ26" s="1030">
        <v>1446.7780542797495</v>
      </c>
      <c r="AHK26" s="1030">
        <v>394.57583298538623</v>
      </c>
      <c r="AHL26" s="1030">
        <v>0</v>
      </c>
      <c r="AHM26" s="1030">
        <v>0</v>
      </c>
      <c r="AHN26" s="1030">
        <v>2367.4549979123171</v>
      </c>
      <c r="AHO26" s="1030">
        <v>1052.2022212943632</v>
      </c>
      <c r="AHP26" s="1030">
        <v>4849.6956926931098</v>
      </c>
      <c r="AHQ26" s="1030">
        <v>7274.5435390396651</v>
      </c>
      <c r="AHR26" s="1030">
        <v>2222.7771924843423</v>
      </c>
      <c r="AHS26" s="1030">
        <v>606.21196158663872</v>
      </c>
      <c r="AHT26" s="1030">
        <v>0</v>
      </c>
      <c r="AHU26" s="1030">
        <v>0</v>
      </c>
      <c r="AHV26" s="1030">
        <v>3637.2717695198326</v>
      </c>
      <c r="AHW26" s="1030">
        <v>1616.5652308977035</v>
      </c>
      <c r="AHX26" s="1013">
        <v>165</v>
      </c>
      <c r="AHY26" s="1023">
        <v>0</v>
      </c>
      <c r="AHZ26" s="1023">
        <v>0</v>
      </c>
      <c r="AIA26" s="1023">
        <v>0</v>
      </c>
      <c r="AIB26" s="1023">
        <v>0</v>
      </c>
      <c r="AIC26" s="1023">
        <v>0</v>
      </c>
      <c r="AID26" s="1023">
        <v>0</v>
      </c>
      <c r="AIE26" s="1023">
        <v>0</v>
      </c>
      <c r="AIF26" s="1017">
        <v>420</v>
      </c>
      <c r="AIG26" s="1017">
        <v>32.409999999999997</v>
      </c>
      <c r="AIH26" s="1017">
        <v>27.01</v>
      </c>
      <c r="AII26" s="1017">
        <v>0</v>
      </c>
      <c r="AIJ26" s="1017">
        <v>2.52</v>
      </c>
      <c r="AIK26" s="1017">
        <v>3.06</v>
      </c>
      <c r="AIL26" s="1017">
        <v>0</v>
      </c>
      <c r="AIM26" s="1017">
        <v>0</v>
      </c>
      <c r="AIN26" s="1016">
        <v>350</v>
      </c>
      <c r="AIO26" s="1016">
        <v>64.819999999999993</v>
      </c>
      <c r="AIP26" s="1017">
        <v>54.02</v>
      </c>
      <c r="AIQ26" s="1017">
        <v>0</v>
      </c>
      <c r="AIR26" s="1017">
        <v>5.04</v>
      </c>
      <c r="AIS26" s="1017">
        <v>6.12</v>
      </c>
      <c r="AIT26" s="1017">
        <v>0</v>
      </c>
      <c r="AIU26" s="1017">
        <v>0</v>
      </c>
      <c r="AIV26" s="1017">
        <v>120</v>
      </c>
      <c r="AIW26" s="1017">
        <v>47.37</v>
      </c>
      <c r="AIX26" s="1017">
        <v>39.47</v>
      </c>
      <c r="AIY26" s="1017">
        <v>0</v>
      </c>
      <c r="AIZ26" s="1017">
        <v>3.68</v>
      </c>
      <c r="AJA26" s="1017">
        <v>4.4800000000000004</v>
      </c>
      <c r="AJB26" s="1017">
        <v>0</v>
      </c>
      <c r="AJC26" s="1017">
        <v>0</v>
      </c>
      <c r="AJD26" s="1017">
        <v>129.6</v>
      </c>
      <c r="AJE26" s="1017">
        <v>96.93</v>
      </c>
      <c r="AJF26" s="1017">
        <v>80.78</v>
      </c>
      <c r="AJG26" s="1017">
        <v>0</v>
      </c>
      <c r="AJH26" s="1017">
        <v>7.54</v>
      </c>
      <c r="AJI26" s="1017">
        <v>9.15</v>
      </c>
      <c r="AJJ26" s="1017">
        <v>0</v>
      </c>
      <c r="AJK26" s="1013">
        <v>0</v>
      </c>
      <c r="AJL26" s="1013">
        <v>160</v>
      </c>
      <c r="AJM26" s="1013">
        <v>17.45</v>
      </c>
      <c r="AJN26" s="1013">
        <v>14.54</v>
      </c>
      <c r="AJO26" s="1013">
        <v>0</v>
      </c>
      <c r="AJP26" s="1013">
        <v>1.36</v>
      </c>
      <c r="AJQ26" s="1013">
        <v>1.65</v>
      </c>
      <c r="AJR26" s="1013">
        <v>0</v>
      </c>
      <c r="AJS26" s="1013">
        <v>0</v>
      </c>
      <c r="AJT26" s="1029" t="s">
        <v>858</v>
      </c>
      <c r="AJU26" s="988" t="s">
        <v>861</v>
      </c>
      <c r="AJV26" s="988" t="s">
        <v>860</v>
      </c>
      <c r="AJW26" s="988" t="s">
        <v>859</v>
      </c>
      <c r="AJX26" s="988" t="s">
        <v>870</v>
      </c>
      <c r="AJY26" s="988" t="s">
        <v>871</v>
      </c>
      <c r="AJZ26" s="988" t="s">
        <v>872</v>
      </c>
      <c r="AKA26" s="988" t="s">
        <v>873</v>
      </c>
      <c r="AKB26" s="988" t="s">
        <v>874</v>
      </c>
      <c r="AKC26" s="988" t="s">
        <v>875</v>
      </c>
      <c r="AKD26" s="1013">
        <v>103.5</v>
      </c>
      <c r="AKE26" s="1013">
        <v>0</v>
      </c>
      <c r="AKF26" s="1013">
        <v>0</v>
      </c>
      <c r="AKG26" s="1013">
        <v>0</v>
      </c>
      <c r="AKH26" s="1013">
        <v>0</v>
      </c>
      <c r="AKI26" s="1013">
        <v>0</v>
      </c>
      <c r="AKJ26" s="1013">
        <v>4.5</v>
      </c>
      <c r="AKK26" s="1013">
        <v>15.750000000000002</v>
      </c>
      <c r="AKL26" s="1017">
        <v>304.22727272727263</v>
      </c>
      <c r="AKM26" s="1017">
        <v>0</v>
      </c>
      <c r="AKN26" s="1017">
        <v>0</v>
      </c>
      <c r="AKO26" s="1017">
        <v>0</v>
      </c>
      <c r="AKP26" s="1017">
        <v>0</v>
      </c>
      <c r="AKQ26" s="1017">
        <v>0</v>
      </c>
      <c r="AKR26" s="1017">
        <v>13.227272727272725</v>
      </c>
      <c r="AKS26" s="1017">
        <v>46.295454545454547</v>
      </c>
      <c r="AKT26" s="1016">
        <v>301.09090909090907</v>
      </c>
      <c r="AKU26" s="1016">
        <v>0</v>
      </c>
      <c r="AKV26" s="1017">
        <v>0</v>
      </c>
      <c r="AKW26" s="1017">
        <v>0</v>
      </c>
      <c r="AKX26" s="1017">
        <v>0</v>
      </c>
      <c r="AKY26" s="1017">
        <v>0</v>
      </c>
      <c r="AKZ26" s="1017">
        <v>13.09090909090909</v>
      </c>
      <c r="ALA26" s="1017">
        <v>45.81818181818182</v>
      </c>
      <c r="ALB26" s="1017">
        <v>134.86363636363635</v>
      </c>
      <c r="ALC26" s="1017">
        <v>0</v>
      </c>
      <c r="ALD26" s="1017">
        <v>0</v>
      </c>
      <c r="ALE26" s="1017">
        <v>0</v>
      </c>
      <c r="ALF26" s="1017">
        <v>0</v>
      </c>
      <c r="ALG26" s="1017">
        <v>0</v>
      </c>
      <c r="ALH26" s="1017">
        <v>5.8636363636363633</v>
      </c>
      <c r="ALI26" s="1017">
        <v>20.522727272727273</v>
      </c>
      <c r="ALJ26" s="1017">
        <v>203.23636363636362</v>
      </c>
      <c r="ALK26" s="1017">
        <v>0</v>
      </c>
      <c r="ALL26" s="1017">
        <v>0</v>
      </c>
      <c r="ALM26" s="1017">
        <v>0</v>
      </c>
      <c r="ALN26" s="1017">
        <v>0</v>
      </c>
      <c r="ALO26" s="1017">
        <v>0</v>
      </c>
      <c r="ALP26" s="1017">
        <v>8.836363636363636</v>
      </c>
      <c r="ALQ26" s="1013">
        <v>30.927272727272729</v>
      </c>
      <c r="ALR26" s="1013">
        <v>122.31818181818181</v>
      </c>
      <c r="ALS26" s="1013">
        <v>0</v>
      </c>
      <c r="ALT26" s="1013">
        <v>0</v>
      </c>
      <c r="ALU26" s="1013">
        <v>0</v>
      </c>
      <c r="ALV26" s="1013">
        <v>0</v>
      </c>
      <c r="ALW26" s="1013">
        <v>0</v>
      </c>
      <c r="ALX26" s="1013">
        <v>5.3181818181818183</v>
      </c>
      <c r="ALY26" s="1013">
        <v>18.613636363636367</v>
      </c>
    </row>
    <row r="27" spans="1:1013" ht="18" customHeight="1">
      <c r="A27" s="1259" t="s">
        <v>15</v>
      </c>
      <c r="B27" s="1260" t="s">
        <v>3063</v>
      </c>
      <c r="C27" s="1260">
        <v>2022</v>
      </c>
      <c r="D27" s="1269"/>
      <c r="E27" s="1270">
        <v>-1.8</v>
      </c>
      <c r="F27" s="1271">
        <v>-0.7</v>
      </c>
      <c r="G27" s="1271">
        <v>-0.7</v>
      </c>
      <c r="H27" s="76">
        <v>134.67156862745097</v>
      </c>
      <c r="I27" s="72">
        <v>-5.4</v>
      </c>
      <c r="J27" s="1271">
        <v>-1.4</v>
      </c>
      <c r="K27" s="1271">
        <v>-1.4</v>
      </c>
      <c r="L27" s="1265">
        <v>350</v>
      </c>
      <c r="M27" s="1262">
        <v>0</v>
      </c>
      <c r="N27" s="1262">
        <v>0</v>
      </c>
      <c r="O27" s="1262">
        <v>0</v>
      </c>
      <c r="P27" s="76">
        <v>1031.8215536906946</v>
      </c>
      <c r="Q27" s="75">
        <v>12</v>
      </c>
      <c r="R27" s="72">
        <v>0.2</v>
      </c>
      <c r="S27" s="72">
        <v>0.3</v>
      </c>
      <c r="T27" s="72">
        <v>0.3</v>
      </c>
      <c r="U27" s="1271">
        <v>0.4</v>
      </c>
      <c r="V27" s="1271">
        <v>1</v>
      </c>
      <c r="W27" s="1271">
        <v>95.9</v>
      </c>
      <c r="X27" s="1271">
        <v>2.6</v>
      </c>
      <c r="Y27" s="1272">
        <v>0</v>
      </c>
      <c r="Z27" s="75">
        <v>2</v>
      </c>
      <c r="AA27" s="72">
        <v>1.5</v>
      </c>
      <c r="AB27" s="75">
        <v>1</v>
      </c>
      <c r="AC27" s="72">
        <v>0.8</v>
      </c>
      <c r="AD27" s="72">
        <v>0.5</v>
      </c>
      <c r="AE27" s="390">
        <v>433.01922201480062</v>
      </c>
      <c r="AF27" s="390">
        <v>470.67306740739195</v>
      </c>
      <c r="AG27" s="390">
        <v>433.37222681535616</v>
      </c>
      <c r="AH27" s="390">
        <v>649.0581599547935</v>
      </c>
      <c r="AI27" s="400">
        <v>0.82209484106305364</v>
      </c>
      <c r="AJ27" s="390">
        <v>261.91600618637949</v>
      </c>
      <c r="AK27" s="390">
        <v>284.69131107215162</v>
      </c>
      <c r="AL27" s="390">
        <v>262.12952466968363</v>
      </c>
      <c r="AM27" s="390">
        <v>392.58931796849708</v>
      </c>
      <c r="AN27" s="400">
        <v>0.96717040125065135</v>
      </c>
      <c r="AO27" s="77">
        <v>0</v>
      </c>
      <c r="AP27" s="77">
        <v>0.1</v>
      </c>
      <c r="AQ27" s="77">
        <v>0.3</v>
      </c>
      <c r="AR27" s="77">
        <v>0.5</v>
      </c>
      <c r="AS27" s="77">
        <v>0.6</v>
      </c>
      <c r="AT27" s="77">
        <v>0.7</v>
      </c>
      <c r="AU27" s="77">
        <v>0.8</v>
      </c>
      <c r="AV27" s="1268">
        <v>0</v>
      </c>
      <c r="AW27" s="1268">
        <v>10</v>
      </c>
      <c r="AX27" s="1268">
        <v>20</v>
      </c>
      <c r="AY27" s="1268">
        <v>70</v>
      </c>
      <c r="AZ27" s="1268">
        <v>100</v>
      </c>
      <c r="BA27" s="1019">
        <v>11001.236487658462</v>
      </c>
      <c r="BB27" s="1031">
        <v>2</v>
      </c>
      <c r="BC27" s="988">
        <v>0.7</v>
      </c>
      <c r="BD27" s="988">
        <v>0.1</v>
      </c>
      <c r="BE27" s="988">
        <v>0.1</v>
      </c>
      <c r="BF27" s="1021">
        <v>0.19488356370085466</v>
      </c>
      <c r="BG27" s="1021">
        <v>0.18504125998064766</v>
      </c>
      <c r="BH27" s="1020">
        <v>3.6565994492789374E-3</v>
      </c>
      <c r="BI27" s="1020">
        <v>2.6649792596439713E-3</v>
      </c>
      <c r="BJ27" s="1020">
        <v>7.1169200772720025</v>
      </c>
      <c r="BK27" s="1020">
        <v>21.484566981154877</v>
      </c>
      <c r="BL27" s="1020">
        <v>0</v>
      </c>
      <c r="BM27" s="1020">
        <v>1.2995182585166229</v>
      </c>
      <c r="BN27" s="1020">
        <v>62.981454843165977</v>
      </c>
      <c r="BO27" s="1020">
        <v>0</v>
      </c>
      <c r="BP27" s="1020">
        <v>6.1976261852185368E-4</v>
      </c>
      <c r="BQ27" s="1020">
        <v>0</v>
      </c>
      <c r="BR27" s="1020">
        <v>0</v>
      </c>
      <c r="BS27" s="1020">
        <v>0</v>
      </c>
      <c r="BT27" s="1020">
        <v>0</v>
      </c>
      <c r="BU27" s="1020">
        <v>7.0241416132792818</v>
      </c>
      <c r="BV27" s="1020">
        <v>8.6456885283798607E-2</v>
      </c>
      <c r="BW27" s="993">
        <v>261.13475999999997</v>
      </c>
      <c r="BX27" s="993">
        <v>96.5</v>
      </c>
      <c r="BY27" s="993">
        <v>63.215999999999994</v>
      </c>
      <c r="BZ27" s="993">
        <v>233.35949490734063</v>
      </c>
      <c r="CA27" s="993">
        <v>157.40783999999999</v>
      </c>
      <c r="CB27" s="990"/>
      <c r="CC27" s="993">
        <v>256.20808011776955</v>
      </c>
      <c r="CD27" s="993">
        <v>165.17663999999999</v>
      </c>
      <c r="CE27" s="990"/>
      <c r="CF27" s="989">
        <v>0</v>
      </c>
      <c r="CG27" s="993">
        <v>6.585</v>
      </c>
      <c r="CH27" s="993">
        <v>1.3169999999999999</v>
      </c>
      <c r="CI27" s="993">
        <v>38</v>
      </c>
      <c r="CJ27" s="993">
        <v>225.83915999999996</v>
      </c>
      <c r="CK27" s="990">
        <v>0.2</v>
      </c>
      <c r="CL27" s="993">
        <v>175.08124000000001</v>
      </c>
      <c r="CM27" s="993">
        <v>60.4</v>
      </c>
      <c r="CN27" s="993">
        <v>42.384</v>
      </c>
      <c r="CO27" s="993">
        <v>156.45894761061641</v>
      </c>
      <c r="CP27" s="993">
        <v>105.53616</v>
      </c>
      <c r="CQ27" s="990"/>
      <c r="CR27" s="993">
        <v>159.24945066654416</v>
      </c>
      <c r="CS27" s="993">
        <v>102.66767999999999</v>
      </c>
      <c r="CT27" s="990"/>
      <c r="CU27" s="993">
        <v>0</v>
      </c>
      <c r="CV27" s="993">
        <v>4.415</v>
      </c>
      <c r="CW27" s="993">
        <v>0.88300000000000001</v>
      </c>
      <c r="CX27" s="993">
        <v>27</v>
      </c>
      <c r="CY27" s="993">
        <v>151.41683999999998</v>
      </c>
      <c r="CZ27" s="990">
        <v>0.2</v>
      </c>
      <c r="DA27" s="988">
        <v>0.3</v>
      </c>
      <c r="DB27" s="988">
        <v>0.7</v>
      </c>
      <c r="DC27" s="988">
        <v>1.2</v>
      </c>
      <c r="DD27" s="988">
        <v>1.2</v>
      </c>
      <c r="DE27" s="1022">
        <v>3</v>
      </c>
      <c r="DF27" s="995">
        <v>0</v>
      </c>
      <c r="DG27" s="995">
        <v>10</v>
      </c>
      <c r="DH27" s="995">
        <v>20</v>
      </c>
      <c r="DI27" s="995">
        <v>70</v>
      </c>
      <c r="DJ27" s="995">
        <v>100</v>
      </c>
      <c r="DK27" s="1017"/>
      <c r="DL27" s="1022">
        <v>18</v>
      </c>
      <c r="DM27" s="989">
        <v>12</v>
      </c>
      <c r="DN27" s="988">
        <v>1.2</v>
      </c>
      <c r="DO27" s="988">
        <v>0.9</v>
      </c>
      <c r="DP27" s="988">
        <v>0.9</v>
      </c>
      <c r="DQ27" s="1032" t="s">
        <v>643</v>
      </c>
      <c r="DR27" s="988" t="s">
        <v>640</v>
      </c>
      <c r="DS27" s="988" t="s">
        <v>640</v>
      </c>
      <c r="DT27" s="988" t="s">
        <v>640</v>
      </c>
      <c r="DU27" s="988" t="s">
        <v>640</v>
      </c>
      <c r="DV27" s="988" t="s">
        <v>640</v>
      </c>
      <c r="DW27" s="988" t="s">
        <v>640</v>
      </c>
      <c r="DX27" s="997">
        <v>0</v>
      </c>
      <c r="DY27" s="997">
        <v>0</v>
      </c>
      <c r="DZ27" s="997">
        <v>0</v>
      </c>
      <c r="EA27" s="997">
        <v>0</v>
      </c>
      <c r="EB27" s="997">
        <v>0</v>
      </c>
      <c r="EC27" s="997">
        <v>0</v>
      </c>
      <c r="ED27" s="997">
        <v>0</v>
      </c>
      <c r="EE27" s="1022">
        <v>0</v>
      </c>
      <c r="EF27" s="1022">
        <v>18</v>
      </c>
      <c r="EG27" s="991">
        <v>5</v>
      </c>
      <c r="EH27" s="1023">
        <v>1.2</v>
      </c>
      <c r="EI27" s="1023">
        <v>0.9</v>
      </c>
      <c r="EJ27" s="1023">
        <v>0.9</v>
      </c>
      <c r="EK27" s="1032" t="s">
        <v>682</v>
      </c>
      <c r="EL27" s="988" t="s">
        <v>640</v>
      </c>
      <c r="EM27" s="988" t="s">
        <v>640</v>
      </c>
      <c r="EN27" s="988" t="s">
        <v>640</v>
      </c>
      <c r="EO27" s="988" t="s">
        <v>640</v>
      </c>
      <c r="EP27" s="988" t="s">
        <v>640</v>
      </c>
      <c r="EQ27" s="988" t="s">
        <v>640</v>
      </c>
      <c r="ER27" s="988" t="s">
        <v>640</v>
      </c>
      <c r="ES27" s="988" t="s">
        <v>640</v>
      </c>
      <c r="ET27" s="988" t="s">
        <v>640</v>
      </c>
      <c r="EU27" s="988" t="s">
        <v>640</v>
      </c>
      <c r="EV27" s="988" t="s">
        <v>640</v>
      </c>
      <c r="EW27" s="988" t="s">
        <v>640</v>
      </c>
      <c r="EX27" s="988" t="s">
        <v>640</v>
      </c>
      <c r="EY27" s="988" t="s">
        <v>640</v>
      </c>
      <c r="EZ27" s="988" t="s">
        <v>640</v>
      </c>
      <c r="FA27" s="988" t="s">
        <v>640</v>
      </c>
      <c r="FB27" s="988" t="s">
        <v>640</v>
      </c>
      <c r="FC27" s="988" t="s">
        <v>640</v>
      </c>
      <c r="FD27" s="988" t="s">
        <v>640</v>
      </c>
      <c r="FE27" s="988" t="s">
        <v>640</v>
      </c>
      <c r="FF27" s="988" t="s">
        <v>640</v>
      </c>
      <c r="FG27" s="988" t="s">
        <v>640</v>
      </c>
      <c r="FH27" s="988" t="s">
        <v>640</v>
      </c>
      <c r="FI27" s="988" t="s">
        <v>640</v>
      </c>
      <c r="FJ27" s="988" t="s">
        <v>640</v>
      </c>
      <c r="FK27" s="988" t="s">
        <v>640</v>
      </c>
      <c r="FL27" s="988" t="s">
        <v>640</v>
      </c>
      <c r="FM27" s="988" t="s">
        <v>640</v>
      </c>
      <c r="FN27" s="988" t="s">
        <v>640</v>
      </c>
      <c r="FO27" s="988" t="s">
        <v>640</v>
      </c>
      <c r="FP27" s="988" t="s">
        <v>640</v>
      </c>
      <c r="FQ27" s="988" t="s">
        <v>640</v>
      </c>
      <c r="FR27" s="988" t="s">
        <v>640</v>
      </c>
      <c r="FS27" s="988" t="s">
        <v>640</v>
      </c>
      <c r="FT27" s="988" t="s">
        <v>640</v>
      </c>
      <c r="FU27" s="988" t="s">
        <v>640</v>
      </c>
      <c r="FV27" s="988" t="s">
        <v>640</v>
      </c>
      <c r="FW27" s="988" t="s">
        <v>640</v>
      </c>
      <c r="FX27" s="988" t="s">
        <v>640</v>
      </c>
      <c r="FY27" s="988" t="s">
        <v>640</v>
      </c>
      <c r="FZ27" s="988" t="s">
        <v>640</v>
      </c>
      <c r="GA27" s="988" t="s">
        <v>640</v>
      </c>
      <c r="GB27" s="988" t="s">
        <v>640</v>
      </c>
      <c r="GC27" s="988" t="s">
        <v>640</v>
      </c>
      <c r="GD27" s="988" t="s">
        <v>640</v>
      </c>
      <c r="GE27" s="988" t="s">
        <v>640</v>
      </c>
      <c r="GF27" s="988" t="s">
        <v>640</v>
      </c>
      <c r="GG27" s="988" t="s">
        <v>640</v>
      </c>
      <c r="GH27" s="988" t="s">
        <v>640</v>
      </c>
      <c r="GI27" s="988" t="s">
        <v>640</v>
      </c>
      <c r="GJ27" s="988" t="s">
        <v>640</v>
      </c>
      <c r="GK27" s="988" t="s">
        <v>640</v>
      </c>
      <c r="GL27" s="988" t="s">
        <v>640</v>
      </c>
      <c r="GM27" s="988" t="s">
        <v>640</v>
      </c>
      <c r="GN27" s="988" t="s">
        <v>640</v>
      </c>
      <c r="GO27" s="988" t="s">
        <v>640</v>
      </c>
      <c r="GP27" s="988" t="s">
        <v>640</v>
      </c>
      <c r="GQ27" s="997">
        <v>0</v>
      </c>
      <c r="GR27" s="997">
        <v>0</v>
      </c>
      <c r="GS27" s="997">
        <v>0</v>
      </c>
      <c r="GT27" s="997">
        <v>0</v>
      </c>
      <c r="GU27" s="997">
        <v>0</v>
      </c>
      <c r="GV27" s="997">
        <v>0</v>
      </c>
      <c r="GW27" s="997">
        <v>0</v>
      </c>
      <c r="GX27" s="997">
        <v>0</v>
      </c>
      <c r="GY27" s="997">
        <v>0</v>
      </c>
      <c r="GZ27" s="997">
        <v>0</v>
      </c>
      <c r="HA27" s="997">
        <v>0</v>
      </c>
      <c r="HB27" s="997">
        <v>0</v>
      </c>
      <c r="HC27" s="997">
        <v>0</v>
      </c>
      <c r="HD27" s="997">
        <v>0</v>
      </c>
      <c r="HE27" s="997">
        <v>0</v>
      </c>
      <c r="HF27" s="997">
        <v>0</v>
      </c>
      <c r="HG27" s="997">
        <v>0</v>
      </c>
      <c r="HH27" s="997">
        <v>0</v>
      </c>
      <c r="HI27" s="997">
        <v>0</v>
      </c>
      <c r="HJ27" s="997">
        <v>0</v>
      </c>
      <c r="HK27" s="997">
        <v>0</v>
      </c>
      <c r="HL27" s="997">
        <v>0</v>
      </c>
      <c r="HM27" s="997">
        <v>0</v>
      </c>
      <c r="HN27" s="997">
        <v>0</v>
      </c>
      <c r="HO27" s="997">
        <v>0</v>
      </c>
      <c r="HP27" s="997">
        <v>0</v>
      </c>
      <c r="HQ27" s="997">
        <v>0</v>
      </c>
      <c r="HR27" s="997">
        <v>0</v>
      </c>
      <c r="HS27" s="997">
        <v>0</v>
      </c>
      <c r="HT27" s="997">
        <v>0</v>
      </c>
      <c r="HU27" s="997">
        <v>0</v>
      </c>
      <c r="HV27" s="997">
        <v>0</v>
      </c>
      <c r="HW27" s="997">
        <v>0</v>
      </c>
      <c r="HX27" s="997">
        <v>0</v>
      </c>
      <c r="HY27" s="997">
        <v>0</v>
      </c>
      <c r="HZ27" s="997">
        <v>0</v>
      </c>
      <c r="IA27" s="997">
        <v>0</v>
      </c>
      <c r="IB27" s="997">
        <v>0</v>
      </c>
      <c r="IC27" s="997">
        <v>0</v>
      </c>
      <c r="ID27" s="997">
        <v>0</v>
      </c>
      <c r="IE27" s="997">
        <v>0</v>
      </c>
      <c r="IF27" s="997">
        <v>0</v>
      </c>
      <c r="IG27" s="997">
        <v>0</v>
      </c>
      <c r="IH27" s="997">
        <v>0</v>
      </c>
      <c r="II27" s="997">
        <v>0</v>
      </c>
      <c r="IJ27" s="997">
        <v>0</v>
      </c>
      <c r="IK27" s="997">
        <v>0</v>
      </c>
      <c r="IL27" s="997">
        <v>0</v>
      </c>
      <c r="IM27" s="997">
        <v>0</v>
      </c>
      <c r="IN27" s="997">
        <v>0</v>
      </c>
      <c r="IO27" s="997">
        <v>0</v>
      </c>
      <c r="IP27" s="997">
        <v>0</v>
      </c>
      <c r="IQ27" s="997">
        <v>0</v>
      </c>
      <c r="IR27" s="997">
        <v>0</v>
      </c>
      <c r="IS27" s="997">
        <v>0</v>
      </c>
      <c r="IT27" s="997">
        <v>0</v>
      </c>
      <c r="IU27" s="997">
        <v>0</v>
      </c>
      <c r="IV27" s="997">
        <v>0</v>
      </c>
      <c r="IW27" s="1019">
        <v>126.62393406970754</v>
      </c>
      <c r="IX27" s="1022">
        <v>179.9</v>
      </c>
      <c r="IY27" s="998">
        <v>2647.0800000000199</v>
      </c>
      <c r="IZ27" s="429">
        <v>12.64</v>
      </c>
      <c r="JA27" s="1022">
        <v>24.695253119173959</v>
      </c>
      <c r="JB27" s="988">
        <v>1.2</v>
      </c>
      <c r="JC27" s="988">
        <v>0.9</v>
      </c>
      <c r="JD27" s="988">
        <v>0.9</v>
      </c>
      <c r="JE27" s="998">
        <v>2</v>
      </c>
      <c r="JF27" s="1023">
        <v>1.5</v>
      </c>
      <c r="JG27" s="1023">
        <v>0.7</v>
      </c>
      <c r="JH27" s="1023">
        <v>0.7</v>
      </c>
      <c r="JI27" s="1023">
        <v>0.5</v>
      </c>
      <c r="JJ27" s="1019">
        <v>962.50300007511589</v>
      </c>
      <c r="JK27" s="998">
        <v>2647.0800000000199</v>
      </c>
      <c r="JL27" s="429">
        <v>12.64</v>
      </c>
      <c r="JM27" s="1022">
        <v>24.695253119173959</v>
      </c>
      <c r="JN27" s="988">
        <v>1.3</v>
      </c>
      <c r="JO27" s="988">
        <v>1.3</v>
      </c>
      <c r="JP27" s="988">
        <v>1.3</v>
      </c>
      <c r="JQ27" s="998">
        <v>2</v>
      </c>
      <c r="JR27" s="998">
        <v>2</v>
      </c>
      <c r="JS27" s="998">
        <v>1</v>
      </c>
      <c r="JT27" s="998">
        <v>1</v>
      </c>
      <c r="JU27" s="1023">
        <v>0.5</v>
      </c>
      <c r="JV27" s="1004">
        <v>2000</v>
      </c>
      <c r="JW27" s="1019">
        <v>463.67916319464319</v>
      </c>
      <c r="JX27" s="1019">
        <v>500</v>
      </c>
      <c r="JY27" s="1022">
        <v>0.6</v>
      </c>
      <c r="JZ27" s="1022">
        <v>0.7</v>
      </c>
      <c r="KA27" s="1022">
        <v>0.7</v>
      </c>
      <c r="KB27" s="1023">
        <v>2</v>
      </c>
      <c r="KC27" s="1023">
        <v>1.5</v>
      </c>
      <c r="KD27" s="1023">
        <v>0.5</v>
      </c>
      <c r="KE27" s="1023">
        <v>1</v>
      </c>
      <c r="KF27" s="1023">
        <v>0.5</v>
      </c>
      <c r="KG27" s="997"/>
      <c r="KH27" s="997"/>
      <c r="KI27" s="997"/>
      <c r="KJ27" s="997"/>
      <c r="KK27" s="997"/>
      <c r="KL27" s="997"/>
      <c r="KM27" s="997"/>
      <c r="KN27" s="997"/>
      <c r="KO27" s="997"/>
      <c r="KP27" s="1006">
        <v>580</v>
      </c>
      <c r="KQ27" s="1006">
        <v>580</v>
      </c>
      <c r="KR27" s="1006">
        <v>580</v>
      </c>
      <c r="KS27" s="1006">
        <v>580</v>
      </c>
      <c r="KT27" s="1006"/>
      <c r="KU27" s="1006">
        <v>580</v>
      </c>
      <c r="KV27" s="1006">
        <v>580</v>
      </c>
      <c r="KW27" s="1006">
        <v>580</v>
      </c>
      <c r="KX27" s="1006">
        <v>580</v>
      </c>
      <c r="KY27" s="993">
        <v>370</v>
      </c>
      <c r="KZ27" s="993">
        <v>370</v>
      </c>
      <c r="LA27" s="993">
        <v>370</v>
      </c>
      <c r="LB27" s="993">
        <v>370</v>
      </c>
      <c r="LC27" s="993"/>
      <c r="LD27" s="993">
        <v>370</v>
      </c>
      <c r="LE27" s="993">
        <v>370</v>
      </c>
      <c r="LF27" s="993">
        <v>370</v>
      </c>
      <c r="LG27" s="993">
        <v>370</v>
      </c>
      <c r="LH27" s="995">
        <v>0</v>
      </c>
      <c r="LI27" s="995">
        <v>10</v>
      </c>
      <c r="LJ27" s="995">
        <v>20</v>
      </c>
      <c r="LK27" s="995">
        <v>70</v>
      </c>
      <c r="LL27" s="995">
        <v>100</v>
      </c>
      <c r="LM27" s="1004">
        <v>1000</v>
      </c>
      <c r="LN27" s="1019"/>
      <c r="LO27" s="988">
        <v>29</v>
      </c>
      <c r="LP27" s="988">
        <v>0.6</v>
      </c>
      <c r="LQ27" s="988">
        <v>0.9</v>
      </c>
      <c r="LR27" s="988">
        <v>0.9</v>
      </c>
      <c r="LS27" s="1023">
        <v>2</v>
      </c>
      <c r="LT27" s="1023">
        <v>1</v>
      </c>
      <c r="LU27" s="1023">
        <v>0.5</v>
      </c>
      <c r="LV27" s="1023">
        <v>0.7</v>
      </c>
      <c r="LW27" s="1023">
        <v>0.2</v>
      </c>
      <c r="LX27" s="1004">
        <v>1500</v>
      </c>
      <c r="LY27" s="1008">
        <v>500</v>
      </c>
      <c r="LZ27" s="1008">
        <v>1</v>
      </c>
      <c r="MA27" s="997" t="s">
        <v>2914</v>
      </c>
      <c r="MB27" s="1023" t="s">
        <v>905</v>
      </c>
      <c r="MC27" s="1023" t="s">
        <v>2932</v>
      </c>
      <c r="MD27" s="1024" t="s">
        <v>906</v>
      </c>
      <c r="ME27" s="1009">
        <v>0.5</v>
      </c>
      <c r="MF27" s="1010">
        <v>0.75</v>
      </c>
      <c r="MG27" s="1010">
        <v>1</v>
      </c>
      <c r="MH27" s="1010">
        <v>2</v>
      </c>
      <c r="MI27" s="1010">
        <v>0.5</v>
      </c>
      <c r="MJ27" s="1010">
        <v>0.75</v>
      </c>
      <c r="MK27" s="1010">
        <v>1</v>
      </c>
      <c r="ML27" s="1010">
        <v>2</v>
      </c>
      <c r="MM27" s="1010">
        <v>0</v>
      </c>
      <c r="MN27" s="1010">
        <v>0.5</v>
      </c>
      <c r="MO27" s="1010">
        <v>1</v>
      </c>
      <c r="MP27" s="1010">
        <v>2</v>
      </c>
      <c r="MQ27" s="1010">
        <v>0</v>
      </c>
      <c r="MR27" s="1010">
        <v>0.5</v>
      </c>
      <c r="MS27" s="1010">
        <v>1</v>
      </c>
      <c r="MT27" s="1010">
        <v>2</v>
      </c>
      <c r="MU27" s="1001">
        <v>0</v>
      </c>
      <c r="MV27" s="1001">
        <v>0</v>
      </c>
      <c r="MW27" s="1001">
        <v>0</v>
      </c>
      <c r="MX27" s="1025">
        <v>0</v>
      </c>
      <c r="MY27" s="1025">
        <v>0</v>
      </c>
      <c r="MZ27" s="1025">
        <v>0</v>
      </c>
      <c r="NA27" s="1025">
        <v>0</v>
      </c>
      <c r="NB27" s="1025">
        <v>0</v>
      </c>
      <c r="NC27" s="1025">
        <v>0</v>
      </c>
      <c r="ND27" s="1025">
        <v>0</v>
      </c>
      <c r="NE27" s="1025">
        <v>0</v>
      </c>
      <c r="NF27" s="1025">
        <v>0</v>
      </c>
      <c r="NG27" s="1025">
        <v>0</v>
      </c>
      <c r="NH27" s="1025">
        <v>0</v>
      </c>
      <c r="NI27" s="1025">
        <v>0</v>
      </c>
      <c r="NJ27" s="1025">
        <v>0</v>
      </c>
      <c r="NK27" s="1025">
        <v>0</v>
      </c>
      <c r="NL27" s="1025">
        <v>0</v>
      </c>
      <c r="NM27" s="1025">
        <v>0</v>
      </c>
      <c r="NN27" s="1025">
        <v>0</v>
      </c>
      <c r="NO27" s="1025">
        <v>0</v>
      </c>
      <c r="NP27" s="1025">
        <v>0</v>
      </c>
      <c r="NQ27" s="1025">
        <v>0</v>
      </c>
      <c r="NR27" s="1025">
        <v>0</v>
      </c>
      <c r="NS27" s="1025">
        <v>0</v>
      </c>
      <c r="NT27" s="1025">
        <v>0</v>
      </c>
      <c r="NU27" s="1025">
        <v>0</v>
      </c>
      <c r="NV27" s="1025">
        <v>1.71113395824334</v>
      </c>
      <c r="NW27" s="1025">
        <v>0</v>
      </c>
      <c r="NX27" s="1025">
        <v>0</v>
      </c>
      <c r="NY27" s="1025">
        <v>0.12923076923077001</v>
      </c>
      <c r="NZ27" s="1025">
        <v>1.08230769230769</v>
      </c>
      <c r="OA27" s="1025">
        <v>0</v>
      </c>
      <c r="OB27" s="1025">
        <v>1.6828792472041501</v>
      </c>
      <c r="OC27" s="1025">
        <v>0</v>
      </c>
      <c r="OD27" s="1025">
        <v>0</v>
      </c>
      <c r="OE27" s="1025">
        <v>0.11463203463203001</v>
      </c>
      <c r="OF27" s="1025">
        <v>0.56120580808081</v>
      </c>
      <c r="OG27" s="1025">
        <v>0</v>
      </c>
      <c r="OH27" s="1025">
        <v>1.75571824210327</v>
      </c>
      <c r="OI27" s="1025">
        <v>0</v>
      </c>
      <c r="OJ27" s="1025">
        <v>0</v>
      </c>
      <c r="OK27" s="1025">
        <v>0.13061224489796</v>
      </c>
      <c r="OL27" s="1025">
        <v>0</v>
      </c>
      <c r="OM27" s="1025">
        <v>0</v>
      </c>
      <c r="ON27" s="1025">
        <v>1.71409416137225</v>
      </c>
      <c r="OO27" s="1025">
        <v>0</v>
      </c>
      <c r="OP27" s="1025">
        <v>0</v>
      </c>
      <c r="OQ27" s="1025">
        <v>0.12666666666667001</v>
      </c>
      <c r="OR27" s="1025">
        <v>3.7108912037037101</v>
      </c>
      <c r="OS27" s="1025">
        <v>0</v>
      </c>
      <c r="OT27" s="1025">
        <v>2.3682990528616998</v>
      </c>
      <c r="OU27" s="1025">
        <v>0</v>
      </c>
      <c r="OV27" s="1025">
        <v>0</v>
      </c>
      <c r="OW27" s="1025">
        <v>0.14000000000000001</v>
      </c>
      <c r="OX27" s="1025">
        <v>0.34149305555554998</v>
      </c>
      <c r="OY27" s="1025">
        <v>0</v>
      </c>
      <c r="OZ27" s="1025">
        <v>-66.599999999999994</v>
      </c>
      <c r="PA27" s="1025">
        <v>-15.5</v>
      </c>
      <c r="PB27" s="1025">
        <v>0</v>
      </c>
      <c r="PC27" s="1025">
        <v>0</v>
      </c>
      <c r="PD27" s="1025">
        <v>0</v>
      </c>
      <c r="PE27" s="1025">
        <v>0</v>
      </c>
      <c r="PF27" s="1025">
        <v>-8.2250000000000004E-2</v>
      </c>
      <c r="PG27" s="1025">
        <v>0</v>
      </c>
      <c r="PH27" s="1025">
        <v>-3.9016941754790001E-2</v>
      </c>
      <c r="PI27" s="1025">
        <v>0</v>
      </c>
      <c r="PJ27" s="1025">
        <v>-0.245</v>
      </c>
      <c r="PK27" s="1025">
        <v>0</v>
      </c>
      <c r="PL27" s="1025">
        <v>0</v>
      </c>
      <c r="PM27" s="1025">
        <v>0</v>
      </c>
      <c r="PN27" s="1025">
        <v>0</v>
      </c>
      <c r="PO27" s="1025">
        <v>0</v>
      </c>
      <c r="PP27" s="1025">
        <v>0</v>
      </c>
      <c r="PQ27" s="1025">
        <v>0</v>
      </c>
      <c r="PR27" s="1025">
        <v>0</v>
      </c>
      <c r="PS27" s="1025">
        <v>0</v>
      </c>
      <c r="PT27" s="1025">
        <v>0</v>
      </c>
      <c r="PU27" s="1025">
        <v>0</v>
      </c>
      <c r="PV27" s="1025">
        <v>3.8050000000000002</v>
      </c>
      <c r="PW27" s="1025">
        <v>0</v>
      </c>
      <c r="PX27" s="1025">
        <v>0</v>
      </c>
      <c r="PY27" s="1025">
        <v>0</v>
      </c>
      <c r="PZ27" s="1025">
        <v>0</v>
      </c>
      <c r="QA27" s="1025">
        <v>0</v>
      </c>
      <c r="QB27" s="1025">
        <v>0</v>
      </c>
      <c r="QC27" s="1025">
        <v>0</v>
      </c>
      <c r="QD27" s="1025">
        <v>-66.599999999999994</v>
      </c>
      <c r="QE27" s="1025">
        <v>-15.5</v>
      </c>
      <c r="QF27" s="1025">
        <v>-0.890625</v>
      </c>
      <c r="QG27" s="1025">
        <v>0</v>
      </c>
      <c r="QH27" s="1025">
        <v>-0.45037993180816999</v>
      </c>
      <c r="QI27" s="1025">
        <v>0</v>
      </c>
      <c r="QJ27" s="1025">
        <v>2.802499122751E-2</v>
      </c>
      <c r="QK27" s="1025">
        <v>0</v>
      </c>
      <c r="QL27" s="1025">
        <v>4.0131711519220001E-2</v>
      </c>
      <c r="QM27" s="1025">
        <v>0</v>
      </c>
      <c r="QN27" s="1025">
        <v>0.245</v>
      </c>
      <c r="QO27" s="1025">
        <v>0</v>
      </c>
      <c r="QP27" s="1025">
        <v>0</v>
      </c>
      <c r="QQ27" s="1025">
        <v>0</v>
      </c>
      <c r="QR27" s="1025">
        <v>4.0131711519220001E-2</v>
      </c>
      <c r="QS27" s="1025">
        <v>0</v>
      </c>
      <c r="QT27" s="1025">
        <v>0</v>
      </c>
      <c r="QU27" s="1025">
        <v>0</v>
      </c>
      <c r="QV27" s="1025">
        <v>0</v>
      </c>
      <c r="QW27" s="1025">
        <v>0</v>
      </c>
      <c r="QX27" s="1025">
        <v>4.0409489296990002E-2</v>
      </c>
      <c r="QY27" s="1025">
        <v>0</v>
      </c>
      <c r="QZ27" s="1025">
        <v>4.05</v>
      </c>
      <c r="RA27" s="1025">
        <v>0</v>
      </c>
      <c r="RB27" s="1025">
        <v>0</v>
      </c>
      <c r="RC27" s="1025">
        <v>0</v>
      </c>
      <c r="RD27" s="1025">
        <v>4.0131711519220001E-2</v>
      </c>
      <c r="RE27" s="1025">
        <v>0</v>
      </c>
      <c r="RF27" s="1025">
        <v>4.05</v>
      </c>
      <c r="RG27" s="1025">
        <v>0</v>
      </c>
      <c r="RH27" s="1011">
        <v>0</v>
      </c>
      <c r="RI27" s="1026">
        <v>0</v>
      </c>
      <c r="RJ27" s="1026">
        <v>0</v>
      </c>
      <c r="RK27" s="1026">
        <v>0</v>
      </c>
      <c r="RL27" s="1026">
        <v>0</v>
      </c>
      <c r="RM27" s="1011">
        <v>0</v>
      </c>
      <c r="RN27" s="1011">
        <v>0</v>
      </c>
      <c r="RO27" s="1011">
        <v>0</v>
      </c>
      <c r="RP27" s="1011">
        <v>0</v>
      </c>
      <c r="RQ27" s="1011">
        <v>0</v>
      </c>
      <c r="RR27" s="1011">
        <v>0</v>
      </c>
      <c r="RS27" s="1011">
        <v>0</v>
      </c>
      <c r="RT27" s="1011">
        <v>0</v>
      </c>
      <c r="RU27" s="1011">
        <v>0</v>
      </c>
      <c r="RV27" s="1011">
        <v>0</v>
      </c>
      <c r="RW27" s="1011">
        <v>0</v>
      </c>
      <c r="RX27" s="1011">
        <v>0</v>
      </c>
      <c r="RY27" s="1011">
        <v>0</v>
      </c>
      <c r="RZ27" s="1026">
        <v>-2.7099415583978401</v>
      </c>
      <c r="SA27" s="1026">
        <v>0</v>
      </c>
      <c r="SB27" s="1026">
        <v>0</v>
      </c>
      <c r="SC27" s="1026">
        <v>0</v>
      </c>
      <c r="SD27" s="1026">
        <v>0</v>
      </c>
      <c r="SE27" s="1026">
        <v>0</v>
      </c>
      <c r="SF27" s="1026">
        <v>0</v>
      </c>
      <c r="SG27" s="1026">
        <v>0</v>
      </c>
      <c r="SH27" s="1026">
        <v>0</v>
      </c>
      <c r="SI27" s="1026">
        <v>0</v>
      </c>
      <c r="SJ27" s="1026">
        <v>0</v>
      </c>
      <c r="SK27" s="1026">
        <v>0</v>
      </c>
      <c r="SL27" s="1025">
        <v>-66.599999999999994</v>
      </c>
      <c r="SM27" s="1025">
        <v>-15.5</v>
      </c>
      <c r="SN27" s="1025">
        <v>-1.52943820224719</v>
      </c>
      <c r="SO27" s="1025">
        <v>0</v>
      </c>
      <c r="SP27" s="1025">
        <v>-16.617096028892782</v>
      </c>
      <c r="SQ27" s="1025">
        <v>-32.336435991880627</v>
      </c>
      <c r="SR27" s="1025">
        <v>0</v>
      </c>
      <c r="SS27" s="1025">
        <v>0</v>
      </c>
      <c r="ST27" s="1025">
        <v>0</v>
      </c>
      <c r="SU27" s="1025">
        <v>0</v>
      </c>
      <c r="SV27" s="1025">
        <v>-3.8050000000000002</v>
      </c>
      <c r="SW27" s="1025">
        <v>-5</v>
      </c>
      <c r="SX27" s="1025">
        <v>-0.42613333333332998</v>
      </c>
      <c r="SY27" s="1025">
        <v>0</v>
      </c>
      <c r="SZ27" s="1025">
        <v>-5.3508948692289997E-2</v>
      </c>
      <c r="TA27" s="1025">
        <v>0</v>
      </c>
      <c r="TB27" s="1025">
        <v>-4.05</v>
      </c>
      <c r="TC27" s="1025">
        <v>-0.24621212121211999</v>
      </c>
      <c r="TD27" s="1025">
        <v>0</v>
      </c>
      <c r="TE27" s="1025">
        <v>0</v>
      </c>
      <c r="TF27" s="1025">
        <v>0</v>
      </c>
      <c r="TG27" s="1025">
        <v>0</v>
      </c>
      <c r="TH27" s="1025">
        <v>0</v>
      </c>
      <c r="TI27" s="1025">
        <v>0</v>
      </c>
      <c r="TJ27" s="1025">
        <v>0</v>
      </c>
      <c r="TK27" s="1025">
        <v>0</v>
      </c>
      <c r="TL27" s="1025">
        <v>0</v>
      </c>
      <c r="TM27" s="1025">
        <v>0</v>
      </c>
      <c r="TN27" s="1025">
        <v>0</v>
      </c>
      <c r="TO27" s="1025">
        <v>0</v>
      </c>
      <c r="TP27" s="1025">
        <v>-66.599999999999994</v>
      </c>
      <c r="TQ27" s="1025">
        <v>-15.5</v>
      </c>
      <c r="TR27" s="1025">
        <v>-7.6471910543258703</v>
      </c>
      <c r="TS27" s="1025">
        <v>0</v>
      </c>
      <c r="TT27" s="1025">
        <v>-83.085479780482245</v>
      </c>
      <c r="TU27" s="1025">
        <v>-161.6821756986964</v>
      </c>
      <c r="TV27" s="1025">
        <v>0</v>
      </c>
      <c r="TW27" s="1025">
        <v>0</v>
      </c>
      <c r="TX27" s="1025">
        <v>0</v>
      </c>
      <c r="TY27" s="1025">
        <v>0</v>
      </c>
      <c r="TZ27" s="1025">
        <v>0</v>
      </c>
      <c r="UA27" s="1025">
        <v>0</v>
      </c>
      <c r="UB27" s="1025">
        <v>0</v>
      </c>
      <c r="UC27" s="1025">
        <v>0</v>
      </c>
      <c r="UD27" s="1025">
        <v>0</v>
      </c>
      <c r="UE27" s="1025">
        <v>0</v>
      </c>
      <c r="UF27" s="1025">
        <v>-4.05</v>
      </c>
      <c r="UG27" s="1025">
        <v>-0.23484848484848</v>
      </c>
      <c r="UH27" s="1025">
        <v>0</v>
      </c>
      <c r="UI27" s="1025">
        <v>0</v>
      </c>
      <c r="UJ27" s="1025">
        <v>0</v>
      </c>
      <c r="UK27" s="1025">
        <v>0</v>
      </c>
      <c r="UL27" s="1025">
        <v>0</v>
      </c>
      <c r="UM27" s="1025">
        <v>0</v>
      </c>
      <c r="UN27" s="1025">
        <v>0</v>
      </c>
      <c r="UO27" s="1025">
        <v>0</v>
      </c>
      <c r="UP27" s="1025">
        <v>0</v>
      </c>
      <c r="UQ27" s="1025">
        <v>0</v>
      </c>
      <c r="UR27" s="1025">
        <v>0</v>
      </c>
      <c r="US27" s="1025">
        <v>0</v>
      </c>
      <c r="UT27" s="1025">
        <v>0.73296266515386999</v>
      </c>
      <c r="UU27" s="1025">
        <v>0</v>
      </c>
      <c r="UV27" s="1025">
        <v>4.6871812646769997E-2</v>
      </c>
      <c r="UW27" s="1025">
        <v>0</v>
      </c>
      <c r="UX27" s="1025">
        <v>0</v>
      </c>
      <c r="UY27" s="1025">
        <v>0</v>
      </c>
      <c r="UZ27" s="1025">
        <v>-1.515790158136E-2</v>
      </c>
      <c r="VA27" s="1025">
        <v>0</v>
      </c>
      <c r="VB27" s="1025">
        <v>0</v>
      </c>
      <c r="VC27" s="1025">
        <v>0</v>
      </c>
      <c r="VD27" s="1025">
        <v>0.24340487382727999</v>
      </c>
      <c r="VE27" s="1025">
        <v>0</v>
      </c>
      <c r="VF27" s="1025">
        <v>0</v>
      </c>
      <c r="VG27" s="1025">
        <v>0</v>
      </c>
      <c r="VH27" s="1025">
        <v>0</v>
      </c>
      <c r="VI27" s="1025">
        <v>0</v>
      </c>
      <c r="VJ27" s="1025">
        <v>0</v>
      </c>
      <c r="VK27" s="1025">
        <v>0</v>
      </c>
      <c r="VL27" s="1025">
        <v>0</v>
      </c>
      <c r="VM27" s="1025">
        <v>0</v>
      </c>
      <c r="VN27" s="1025">
        <v>0</v>
      </c>
      <c r="VO27" s="1025">
        <v>0</v>
      </c>
      <c r="VP27" s="1025">
        <v>0</v>
      </c>
      <c r="VQ27" s="1025">
        <v>-16.100146533651412</v>
      </c>
      <c r="VR27" s="1010">
        <v>0</v>
      </c>
      <c r="VS27" s="1010">
        <v>0</v>
      </c>
      <c r="VT27" s="1010">
        <v>0</v>
      </c>
      <c r="VU27" s="1010">
        <v>0</v>
      </c>
      <c r="VV27" s="1010">
        <v>0</v>
      </c>
      <c r="VW27" s="1010">
        <v>-0.63666359857266996</v>
      </c>
      <c r="VX27" s="1025">
        <v>0</v>
      </c>
      <c r="VY27" s="1025">
        <v>0</v>
      </c>
      <c r="VZ27" s="1025">
        <v>0</v>
      </c>
      <c r="WA27" s="1025">
        <v>0</v>
      </c>
      <c r="WB27" s="1025">
        <v>0</v>
      </c>
      <c r="WC27" s="1025">
        <v>0</v>
      </c>
      <c r="WD27" s="995">
        <v>202</v>
      </c>
      <c r="WE27" s="995">
        <v>267</v>
      </c>
      <c r="WF27" s="995">
        <v>354</v>
      </c>
      <c r="WG27" s="995">
        <v>382</v>
      </c>
      <c r="WH27" s="995">
        <v>403</v>
      </c>
      <c r="WI27" s="995">
        <v>0</v>
      </c>
      <c r="WJ27" s="995">
        <v>1300</v>
      </c>
      <c r="WK27" s="1001">
        <v>0</v>
      </c>
      <c r="WL27" s="1001">
        <v>0</v>
      </c>
      <c r="WM27" s="1001">
        <v>0</v>
      </c>
      <c r="WN27" s="1001">
        <v>0</v>
      </c>
      <c r="WO27" s="1001">
        <v>0</v>
      </c>
      <c r="WP27" s="1001">
        <v>0</v>
      </c>
      <c r="WQ27" s="1001">
        <v>0</v>
      </c>
      <c r="WR27" s="1001">
        <v>0</v>
      </c>
      <c r="WS27" s="1001">
        <v>0</v>
      </c>
      <c r="WT27" s="1001">
        <v>0</v>
      </c>
      <c r="WU27" s="1001">
        <v>0</v>
      </c>
      <c r="WV27" s="1001">
        <v>0</v>
      </c>
      <c r="WW27" s="1001">
        <v>0</v>
      </c>
      <c r="WX27" s="1001">
        <v>0</v>
      </c>
      <c r="WY27" s="1001">
        <v>0</v>
      </c>
      <c r="WZ27" s="1001">
        <v>0</v>
      </c>
      <c r="XA27" s="1001">
        <v>0</v>
      </c>
      <c r="XB27" s="1001">
        <v>0</v>
      </c>
      <c r="XC27" s="1001">
        <v>0</v>
      </c>
      <c r="XD27" s="1001">
        <v>0</v>
      </c>
      <c r="XE27" s="1001">
        <v>0</v>
      </c>
      <c r="XF27" s="1001">
        <v>0</v>
      </c>
      <c r="XG27" s="1001">
        <v>0</v>
      </c>
      <c r="XH27" s="1001">
        <v>0</v>
      </c>
      <c r="XI27" s="1001">
        <v>0</v>
      </c>
      <c r="XJ27" s="1001">
        <v>0</v>
      </c>
      <c r="XK27" s="1001">
        <v>0</v>
      </c>
      <c r="XL27" s="1001">
        <v>0</v>
      </c>
      <c r="XM27" s="1001">
        <v>0</v>
      </c>
      <c r="XN27" s="1001">
        <v>0</v>
      </c>
      <c r="XO27" s="1001">
        <v>0</v>
      </c>
      <c r="XP27" s="1001">
        <v>0</v>
      </c>
      <c r="XQ27" s="1001">
        <v>0</v>
      </c>
      <c r="XR27" s="1027">
        <v>66.599999999999994</v>
      </c>
      <c r="XS27" s="1013">
        <v>52.835073068893522</v>
      </c>
      <c r="XT27" s="1013">
        <v>58.396659707724417</v>
      </c>
      <c r="XU27" s="1013">
        <v>61.177453027139869</v>
      </c>
      <c r="XV27" s="1013">
        <v>93.990814196242169</v>
      </c>
      <c r="XW27" s="1028">
        <v>12613.49042</v>
      </c>
      <c r="XX27" s="1013">
        <v>78</v>
      </c>
      <c r="XY27" s="1013">
        <v>15</v>
      </c>
      <c r="XZ27" s="1013">
        <v>7.0000000000000009</v>
      </c>
      <c r="YA27" s="1029">
        <v>0</v>
      </c>
      <c r="YB27" s="1013">
        <v>565.77923412967698</v>
      </c>
      <c r="YC27" s="1013">
        <v>0</v>
      </c>
      <c r="YD27" s="1013">
        <v>0</v>
      </c>
      <c r="YE27" s="1013">
        <v>0</v>
      </c>
      <c r="YF27" s="1013">
        <v>0</v>
      </c>
      <c r="YG27" s="1013">
        <v>0</v>
      </c>
      <c r="YH27" s="1013">
        <v>1064.9962054205685</v>
      </c>
      <c r="YI27" s="1013">
        <v>1098.2773368399612</v>
      </c>
      <c r="YJ27" s="1013">
        <v>606.94273877997853</v>
      </c>
      <c r="YK27" s="1013">
        <v>0</v>
      </c>
      <c r="YL27" s="1013">
        <v>0</v>
      </c>
      <c r="YM27" s="1013">
        <v>0</v>
      </c>
      <c r="YN27" s="1013">
        <v>0</v>
      </c>
      <c r="YO27" s="1013">
        <v>0</v>
      </c>
      <c r="YP27" s="1013">
        <v>1142.4804494681948</v>
      </c>
      <c r="YQ27" s="1013">
        <v>1178.1829635140759</v>
      </c>
      <c r="YR27" s="1013">
        <v>635.8447739599776</v>
      </c>
      <c r="YS27" s="1013">
        <v>0</v>
      </c>
      <c r="YT27" s="1013">
        <v>0</v>
      </c>
      <c r="YU27" s="1013">
        <v>0</v>
      </c>
      <c r="YV27" s="1013">
        <v>0</v>
      </c>
      <c r="YW27" s="1013">
        <v>0</v>
      </c>
      <c r="YX27" s="1013">
        <v>1196.8842803952518</v>
      </c>
      <c r="YY27" s="1013">
        <v>1234.2869141576036</v>
      </c>
      <c r="YZ27" s="1013">
        <v>976.88878908396555</v>
      </c>
      <c r="ZA27" s="1013">
        <v>0</v>
      </c>
      <c r="ZB27" s="1013">
        <v>0</v>
      </c>
      <c r="ZC27" s="1013">
        <v>0</v>
      </c>
      <c r="ZD27" s="1013">
        <v>0</v>
      </c>
      <c r="ZE27" s="1013">
        <v>0</v>
      </c>
      <c r="ZF27" s="1013">
        <v>1838.8494853345235</v>
      </c>
      <c r="ZG27" s="1013">
        <v>1896.3135317512274</v>
      </c>
      <c r="ZH27" s="1013">
        <v>639.20480584783968</v>
      </c>
      <c r="ZI27" s="1013">
        <v>413.60310966624917</v>
      </c>
      <c r="ZJ27" s="1013">
        <v>150.40113078772697</v>
      </c>
      <c r="ZK27" s="1013">
        <v>112.80084809079521</v>
      </c>
      <c r="ZL27" s="1013">
        <v>0</v>
      </c>
      <c r="ZM27" s="1013">
        <v>0</v>
      </c>
      <c r="ZN27" s="1013">
        <v>1203.2090463018158</v>
      </c>
      <c r="ZO27" s="1013">
        <v>1240.8093289987476</v>
      </c>
      <c r="ZP27" s="1013">
        <v>685.71041865720247</v>
      </c>
      <c r="ZQ27" s="1013">
        <v>443.69497677818981</v>
      </c>
      <c r="ZR27" s="1013">
        <v>161.34362791934174</v>
      </c>
      <c r="ZS27" s="1013">
        <v>121.0077209395063</v>
      </c>
      <c r="ZT27" s="1013">
        <v>0</v>
      </c>
      <c r="ZU27" s="1013">
        <v>0</v>
      </c>
      <c r="ZV27" s="1013">
        <v>1290.7490233547339</v>
      </c>
      <c r="ZW27" s="1013">
        <v>1331.0849303345694</v>
      </c>
      <c r="ZX27" s="1013">
        <v>718.36329573611704</v>
      </c>
      <c r="ZY27" s="1013">
        <v>464.82330900572271</v>
      </c>
      <c r="ZZ27" s="1013">
        <v>169.02665782026281</v>
      </c>
      <c r="AAA27" s="1013">
        <v>126.7699933651971</v>
      </c>
      <c r="AAB27" s="1013">
        <v>0</v>
      </c>
      <c r="AAC27" s="1013">
        <v>0</v>
      </c>
      <c r="AAD27" s="1013">
        <v>1352.2132625621025</v>
      </c>
      <c r="AAE27" s="1013">
        <v>1394.4699270171682</v>
      </c>
      <c r="AAF27" s="1013">
        <v>1103.667245267307</v>
      </c>
      <c r="AAG27" s="1013">
        <v>714.13762929061033</v>
      </c>
      <c r="AAH27" s="1013">
        <v>259.68641065113104</v>
      </c>
      <c r="AAI27" s="1013">
        <v>194.76480798834828</v>
      </c>
      <c r="AAJ27" s="1013">
        <v>0</v>
      </c>
      <c r="AAK27" s="1013">
        <v>0</v>
      </c>
      <c r="AAL27" s="1013">
        <v>2077.4912852090483</v>
      </c>
      <c r="AAM27" s="1013">
        <v>2142.4128878718311</v>
      </c>
      <c r="AAN27" s="1013">
        <v>1701.1095639498958</v>
      </c>
      <c r="AAO27" s="1013">
        <v>1100.7179531440502</v>
      </c>
      <c r="AAP27" s="1013">
        <v>400.26107387056373</v>
      </c>
      <c r="AAQ27" s="1013">
        <v>300.19580540292276</v>
      </c>
      <c r="AAR27" s="1013">
        <v>0</v>
      </c>
      <c r="AAS27" s="1013">
        <v>0</v>
      </c>
      <c r="AAT27" s="1013">
        <v>3202.0885909645099</v>
      </c>
      <c r="AAU27" s="1013">
        <v>3302.1538594321505</v>
      </c>
      <c r="AAV27" s="1013">
        <v>1880.1737285762003</v>
      </c>
      <c r="AAW27" s="1013">
        <v>1216.5830008434236</v>
      </c>
      <c r="AAX27" s="1013">
        <v>442.39381848851775</v>
      </c>
      <c r="AAY27" s="1013">
        <v>331.7953638663883</v>
      </c>
      <c r="AAZ27" s="1013">
        <v>0</v>
      </c>
      <c r="ABA27" s="1013">
        <v>0</v>
      </c>
      <c r="ABB27" s="1013">
        <v>3539.150547908142</v>
      </c>
      <c r="ABC27" s="1013">
        <v>3649.7490025302714</v>
      </c>
      <c r="ABD27" s="1013">
        <v>1969.705810889353</v>
      </c>
      <c r="ABE27" s="1013">
        <v>1274.5155246931106</v>
      </c>
      <c r="ABF27" s="1013">
        <v>463.46019079749482</v>
      </c>
      <c r="ABG27" s="1013">
        <v>347.59514309812107</v>
      </c>
      <c r="ABH27" s="1013">
        <v>0</v>
      </c>
      <c r="ABI27" s="1013">
        <v>0</v>
      </c>
      <c r="ABJ27" s="1013">
        <v>3707.6815263799585</v>
      </c>
      <c r="ABK27" s="1013">
        <v>3823.5465740793325</v>
      </c>
      <c r="ABL27" s="1013">
        <v>3026.1843821845519</v>
      </c>
      <c r="ABM27" s="1013">
        <v>1958.1193061194156</v>
      </c>
      <c r="ABN27" s="1013">
        <v>712.04338404342388</v>
      </c>
      <c r="ABO27" s="1013">
        <v>534.03253803256791</v>
      </c>
      <c r="ABP27" s="1013">
        <v>0</v>
      </c>
      <c r="ABQ27" s="1013">
        <v>0</v>
      </c>
      <c r="ABR27" s="1013">
        <v>5696.3470723473911</v>
      </c>
      <c r="ABS27" s="1013">
        <v>5874.3579183582469</v>
      </c>
      <c r="ABT27" s="1013">
        <v>2340.3143697977353</v>
      </c>
      <c r="ABU27" s="1013">
        <v>1514.3210628102993</v>
      </c>
      <c r="ABV27" s="1013">
        <v>550.66220465829065</v>
      </c>
      <c r="ABW27" s="1013">
        <v>412.99665349371799</v>
      </c>
      <c r="ABX27" s="1013">
        <v>0</v>
      </c>
      <c r="ABY27" s="1013">
        <v>0</v>
      </c>
      <c r="ABZ27" s="1013">
        <v>4405.2976372663252</v>
      </c>
      <c r="ACA27" s="1013">
        <v>4542.9631884308983</v>
      </c>
      <c r="ACB27" s="1013">
        <v>2477.4053835356995</v>
      </c>
      <c r="ACC27" s="1013">
        <v>1603.0270128760405</v>
      </c>
      <c r="ACD27" s="1013">
        <v>582.91891377310571</v>
      </c>
      <c r="ACE27" s="1013">
        <v>437.18918532982923</v>
      </c>
      <c r="ACF27" s="1013">
        <v>0</v>
      </c>
      <c r="ACG27" s="1013">
        <v>0</v>
      </c>
      <c r="ACH27" s="1013">
        <v>4663.3513101848457</v>
      </c>
      <c r="ACI27" s="1013">
        <v>4809.0810386281219</v>
      </c>
      <c r="ACJ27" s="1013">
        <v>2595.3770684659708</v>
      </c>
      <c r="ACK27" s="1013">
        <v>1679.3616325368046</v>
      </c>
      <c r="ACL27" s="1013">
        <v>610.67695728611079</v>
      </c>
      <c r="ACM27" s="1013">
        <v>458.00771796458304</v>
      </c>
      <c r="ACN27" s="1013">
        <v>0</v>
      </c>
      <c r="ACO27" s="1013">
        <v>0</v>
      </c>
      <c r="ACP27" s="1013">
        <v>4885.4156582888863</v>
      </c>
      <c r="ACQ27" s="1013">
        <v>5038.0848976104144</v>
      </c>
      <c r="ACR27" s="1013">
        <v>3987.4429506431738</v>
      </c>
      <c r="ACS27" s="1013">
        <v>2580.1101445338181</v>
      </c>
      <c r="ACT27" s="1013">
        <v>938.22187073957036</v>
      </c>
      <c r="ACU27" s="1013">
        <v>703.66640305467774</v>
      </c>
      <c r="ACV27" s="1013">
        <v>0</v>
      </c>
      <c r="ACW27" s="1013">
        <v>0</v>
      </c>
      <c r="ACX27" s="1013">
        <v>7505.7749659165629</v>
      </c>
      <c r="ACY27" s="1013">
        <v>7740.3304336014553</v>
      </c>
      <c r="ACZ27" s="1013">
        <v>3031.0679503107235</v>
      </c>
      <c r="ADA27" s="1013">
        <v>1961.2792619657621</v>
      </c>
      <c r="ADB27" s="1013">
        <v>713.1924588966408</v>
      </c>
      <c r="ADC27" s="1013">
        <v>534.89434417248049</v>
      </c>
      <c r="ADD27" s="1013">
        <v>0</v>
      </c>
      <c r="ADE27" s="1013">
        <v>0</v>
      </c>
      <c r="ADF27" s="1013">
        <v>5705.5396711731264</v>
      </c>
      <c r="ADG27" s="1013">
        <v>5883.8377858972863</v>
      </c>
      <c r="ADH27" s="1013">
        <v>3240.5347204283926</v>
      </c>
      <c r="ADI27" s="1013">
        <v>2096.816583806607</v>
      </c>
      <c r="ADJ27" s="1013">
        <v>762.478757747857</v>
      </c>
      <c r="ADK27" s="1013">
        <v>571.85906831089278</v>
      </c>
      <c r="ADL27" s="1013">
        <v>0</v>
      </c>
      <c r="ADM27" s="1013">
        <v>0</v>
      </c>
      <c r="ADN27" s="1013">
        <v>6099.830061982856</v>
      </c>
      <c r="ADO27" s="1013">
        <v>6290.449751419821</v>
      </c>
      <c r="ADP27" s="1013">
        <v>3394.8458975916496</v>
      </c>
      <c r="ADQ27" s="1013">
        <v>2196.6649925593028</v>
      </c>
      <c r="ADR27" s="1013">
        <v>798.78727002156461</v>
      </c>
      <c r="ADS27" s="1013">
        <v>599.0904525161734</v>
      </c>
      <c r="ADT27" s="1013">
        <v>0</v>
      </c>
      <c r="ADU27" s="1013">
        <v>0</v>
      </c>
      <c r="ADV27" s="1013">
        <v>6390.2981601725169</v>
      </c>
      <c r="ADW27" s="1013">
        <v>6589.9949776779085</v>
      </c>
      <c r="ADX27" s="1013">
        <v>5215.7177881180805</v>
      </c>
      <c r="ADY27" s="1013">
        <v>3374.8762158411105</v>
      </c>
      <c r="ADZ27" s="1013">
        <v>1227.2277148513128</v>
      </c>
      <c r="AEA27" s="1013">
        <v>920.42078613848469</v>
      </c>
      <c r="AEB27" s="1013">
        <v>0</v>
      </c>
      <c r="AEC27" s="1013">
        <v>0</v>
      </c>
      <c r="AED27" s="1013">
        <v>9817.8217188105027</v>
      </c>
      <c r="AEE27" s="1013">
        <v>10124.628647523332</v>
      </c>
      <c r="AEF27" s="1013">
        <v>3701.2020209576522</v>
      </c>
      <c r="AEG27" s="1013">
        <v>2394.8954253255397</v>
      </c>
      <c r="AEH27" s="1013">
        <v>870.87106375474161</v>
      </c>
      <c r="AEI27" s="1013">
        <v>653.15329781605624</v>
      </c>
      <c r="AEJ27" s="1013">
        <v>0</v>
      </c>
      <c r="AEK27" s="1013">
        <v>0</v>
      </c>
      <c r="AEL27" s="1013">
        <v>6966.9685100379329</v>
      </c>
      <c r="AEM27" s="1013">
        <v>7184.6862759766191</v>
      </c>
      <c r="AEN27" s="1013">
        <v>3981.5443663966598</v>
      </c>
      <c r="AEO27" s="1013">
        <v>2576.2934135507799</v>
      </c>
      <c r="AEP27" s="1013">
        <v>936.83396856391994</v>
      </c>
      <c r="AEQ27" s="1013">
        <v>702.62547642293987</v>
      </c>
      <c r="AER27" s="1013">
        <v>0</v>
      </c>
      <c r="AES27" s="1013">
        <v>0</v>
      </c>
      <c r="AET27" s="1013">
        <v>7494.6717485113595</v>
      </c>
      <c r="AEU27" s="1013">
        <v>7728.88024065234</v>
      </c>
      <c r="AEV27" s="1013">
        <v>4171.1417171774538</v>
      </c>
      <c r="AEW27" s="1013">
        <v>2698.9740522912934</v>
      </c>
      <c r="AEX27" s="1013">
        <v>981.44510992410665</v>
      </c>
      <c r="AEY27" s="1013">
        <v>736.08383244307993</v>
      </c>
      <c r="AEZ27" s="1013">
        <v>0</v>
      </c>
      <c r="AFA27" s="1013">
        <v>0</v>
      </c>
      <c r="AFB27" s="1013">
        <v>7851.5608793928532</v>
      </c>
      <c r="AFC27" s="1013">
        <v>8096.9221568738803</v>
      </c>
      <c r="AFD27" s="1013">
        <v>6408.3904563908154</v>
      </c>
      <c r="AFE27" s="1013">
        <v>4146.6055894293504</v>
      </c>
      <c r="AFF27" s="1013">
        <v>1507.8565779743094</v>
      </c>
      <c r="AFG27" s="1013">
        <v>1130.8924334807321</v>
      </c>
      <c r="AFH27" s="1013">
        <v>0</v>
      </c>
      <c r="AFI27" s="1013">
        <v>0</v>
      </c>
      <c r="AFJ27" s="1013">
        <v>12062.852623794475</v>
      </c>
      <c r="AFK27" s="1013">
        <v>12439.816768288052</v>
      </c>
      <c r="AFL27" s="1023">
        <v>4268.2385422742846</v>
      </c>
      <c r="AFM27" s="1023">
        <v>2761.8014097068899</v>
      </c>
      <c r="AFN27" s="1023">
        <v>1004.2914217115964</v>
      </c>
      <c r="AFO27" s="1023">
        <v>753.21856628369721</v>
      </c>
      <c r="AFP27" s="1023">
        <v>0</v>
      </c>
      <c r="AFQ27" s="1023">
        <v>0</v>
      </c>
      <c r="AFR27" s="1023">
        <v>8034.3313736927712</v>
      </c>
      <c r="AFS27" s="1023">
        <v>8285.4042291206697</v>
      </c>
      <c r="AFT27" s="1023">
        <v>4534.536639507307</v>
      </c>
      <c r="AFU27" s="1023">
        <v>2934.1119432106102</v>
      </c>
      <c r="AFV27" s="1023">
        <v>1066.949797531131</v>
      </c>
      <c r="AFW27" s="1023">
        <v>800.21234814834816</v>
      </c>
      <c r="AFX27" s="1023">
        <v>0</v>
      </c>
      <c r="AFY27" s="1023">
        <v>0</v>
      </c>
      <c r="AFZ27" s="1023">
        <v>8535.5983802490482</v>
      </c>
      <c r="AGA27" s="1023">
        <v>8802.3358296318311</v>
      </c>
      <c r="AGB27" s="1023">
        <v>4750.466955674322</v>
      </c>
      <c r="AGC27" s="1023">
        <v>3073.8315595539725</v>
      </c>
      <c r="AGD27" s="1023">
        <v>1117.7569307468991</v>
      </c>
      <c r="AGE27" s="1023">
        <v>838.31769806017439</v>
      </c>
      <c r="AGF27" s="1023">
        <v>0</v>
      </c>
      <c r="AGG27" s="1023">
        <v>0</v>
      </c>
      <c r="AGH27" s="1023">
        <v>8942.0554459751929</v>
      </c>
      <c r="AGI27" s="1023">
        <v>9221.4946786619184</v>
      </c>
      <c r="AGJ27" s="1023">
        <v>7298.4446864450947</v>
      </c>
      <c r="AGK27" s="1023">
        <v>4722.5230324056492</v>
      </c>
      <c r="AGL27" s="1023">
        <v>1717.2811026929633</v>
      </c>
      <c r="AGM27" s="1023">
        <v>1287.9608270197225</v>
      </c>
      <c r="AGN27" s="1023">
        <v>0</v>
      </c>
      <c r="AGO27" s="1023">
        <v>0</v>
      </c>
      <c r="AGP27" s="1023">
        <v>13738.248821543706</v>
      </c>
      <c r="AGQ27" s="1023">
        <v>14167.569097216949</v>
      </c>
      <c r="AGR27" s="1030">
        <v>1701.1095639498958</v>
      </c>
      <c r="AGS27" s="1030">
        <v>1100.7179531440502</v>
      </c>
      <c r="AGT27" s="1030">
        <v>400.26107387056373</v>
      </c>
      <c r="AGU27" s="1030">
        <v>300.19580540292276</v>
      </c>
      <c r="AGV27" s="1030">
        <v>0</v>
      </c>
      <c r="AGW27" s="1030">
        <v>0</v>
      </c>
      <c r="AGX27" s="1030">
        <v>3202.0885909645099</v>
      </c>
      <c r="AGY27" s="1030">
        <v>3302.1538594321505</v>
      </c>
      <c r="AGZ27" s="1030">
        <v>1880.1737285762003</v>
      </c>
      <c r="AHA27" s="1030">
        <v>1216.5830008434236</v>
      </c>
      <c r="AHB27" s="1030">
        <v>442.39381848851775</v>
      </c>
      <c r="AHC27" s="1030">
        <v>331.7953638663883</v>
      </c>
      <c r="AHD27" s="1030">
        <v>0</v>
      </c>
      <c r="AHE27" s="1030">
        <v>0</v>
      </c>
      <c r="AHF27" s="1030">
        <v>3539.150547908142</v>
      </c>
      <c r="AHG27" s="1030">
        <v>3649.7490025302714</v>
      </c>
      <c r="AHH27" s="1030">
        <v>1969.705810889353</v>
      </c>
      <c r="AHI27" s="1030">
        <v>1274.5155246931106</v>
      </c>
      <c r="AHJ27" s="1030">
        <v>463.46019079749482</v>
      </c>
      <c r="AHK27" s="1030">
        <v>347.59514309812107</v>
      </c>
      <c r="AHL27" s="1030">
        <v>0</v>
      </c>
      <c r="AHM27" s="1030">
        <v>0</v>
      </c>
      <c r="AHN27" s="1030">
        <v>3707.6815263799585</v>
      </c>
      <c r="AHO27" s="1030">
        <v>3823.5465740793325</v>
      </c>
      <c r="AHP27" s="1030">
        <v>3026.1843821845519</v>
      </c>
      <c r="AHQ27" s="1030">
        <v>1958.1193061194156</v>
      </c>
      <c r="AHR27" s="1030">
        <v>712.04338404342388</v>
      </c>
      <c r="AHS27" s="1030">
        <v>534.03253803256791</v>
      </c>
      <c r="AHT27" s="1030">
        <v>0</v>
      </c>
      <c r="AHU27" s="1030">
        <v>0</v>
      </c>
      <c r="AHV27" s="1030">
        <v>5696.3470723473911</v>
      </c>
      <c r="AHW27" s="1030">
        <v>5874.3579183582469</v>
      </c>
      <c r="AHX27" s="1013">
        <v>165</v>
      </c>
      <c r="AHY27" s="1023">
        <v>0</v>
      </c>
      <c r="AHZ27" s="1023">
        <v>0</v>
      </c>
      <c r="AIA27" s="1023">
        <v>0</v>
      </c>
      <c r="AIB27" s="1023">
        <v>0</v>
      </c>
      <c r="AIC27" s="1023">
        <v>0</v>
      </c>
      <c r="AID27" s="1023">
        <v>0</v>
      </c>
      <c r="AIE27" s="1023">
        <v>0</v>
      </c>
      <c r="AIF27" s="1017">
        <v>420</v>
      </c>
      <c r="AIG27" s="1017">
        <v>32.409999999999997</v>
      </c>
      <c r="AIH27" s="1017">
        <v>27.01</v>
      </c>
      <c r="AII27" s="1017">
        <v>0</v>
      </c>
      <c r="AIJ27" s="1017">
        <v>2.52</v>
      </c>
      <c r="AIK27" s="1017">
        <v>3.06</v>
      </c>
      <c r="AIL27" s="1017">
        <v>0</v>
      </c>
      <c r="AIM27" s="1017">
        <v>0</v>
      </c>
      <c r="AIN27" s="1016">
        <v>350</v>
      </c>
      <c r="AIO27" s="1016">
        <v>64.819999999999993</v>
      </c>
      <c r="AIP27" s="1017">
        <v>54.02</v>
      </c>
      <c r="AIQ27" s="1017">
        <v>0</v>
      </c>
      <c r="AIR27" s="1017">
        <v>5.04</v>
      </c>
      <c r="AIS27" s="1017">
        <v>6.12</v>
      </c>
      <c r="AIT27" s="1017">
        <v>0</v>
      </c>
      <c r="AIU27" s="1017">
        <v>0</v>
      </c>
      <c r="AIV27" s="1017">
        <v>120</v>
      </c>
      <c r="AIW27" s="1017">
        <v>47.37</v>
      </c>
      <c r="AIX27" s="1017">
        <v>39.47</v>
      </c>
      <c r="AIY27" s="1017">
        <v>0</v>
      </c>
      <c r="AIZ27" s="1017">
        <v>3.68</v>
      </c>
      <c r="AJA27" s="1017">
        <v>4.4800000000000004</v>
      </c>
      <c r="AJB27" s="1017">
        <v>0</v>
      </c>
      <c r="AJC27" s="1017">
        <v>0</v>
      </c>
      <c r="AJD27" s="1017">
        <v>129.6</v>
      </c>
      <c r="AJE27" s="1017">
        <v>96.93</v>
      </c>
      <c r="AJF27" s="1017">
        <v>80.78</v>
      </c>
      <c r="AJG27" s="1017">
        <v>0</v>
      </c>
      <c r="AJH27" s="1017">
        <v>7.54</v>
      </c>
      <c r="AJI27" s="1017">
        <v>9.15</v>
      </c>
      <c r="AJJ27" s="1017">
        <v>0</v>
      </c>
      <c r="AJK27" s="1013">
        <v>0</v>
      </c>
      <c r="AJL27" s="1013">
        <v>160</v>
      </c>
      <c r="AJM27" s="1013">
        <v>17.45</v>
      </c>
      <c r="AJN27" s="1013">
        <v>14.54</v>
      </c>
      <c r="AJO27" s="1013">
        <v>0</v>
      </c>
      <c r="AJP27" s="1013">
        <v>1.36</v>
      </c>
      <c r="AJQ27" s="1013">
        <v>1.65</v>
      </c>
      <c r="AJR27" s="1013">
        <v>0</v>
      </c>
      <c r="AJS27" s="1013">
        <v>0</v>
      </c>
      <c r="AJT27" s="1029" t="s">
        <v>858</v>
      </c>
      <c r="AJU27" s="988" t="s">
        <v>861</v>
      </c>
      <c r="AJV27" s="988" t="s">
        <v>860</v>
      </c>
      <c r="AJW27" s="988" t="s">
        <v>859</v>
      </c>
      <c r="AJX27" s="988" t="s">
        <v>870</v>
      </c>
      <c r="AJY27" s="988" t="s">
        <v>871</v>
      </c>
      <c r="AJZ27" s="988" t="s">
        <v>872</v>
      </c>
      <c r="AKA27" s="988" t="s">
        <v>873</v>
      </c>
      <c r="AKB27" s="988" t="s">
        <v>874</v>
      </c>
      <c r="AKC27" s="988" t="s">
        <v>875</v>
      </c>
      <c r="AKD27" s="1013">
        <v>70.490506329113927</v>
      </c>
      <c r="AKE27" s="1013">
        <v>0</v>
      </c>
      <c r="AKF27" s="1013">
        <v>0</v>
      </c>
      <c r="AKG27" s="1013">
        <v>0</v>
      </c>
      <c r="AKH27" s="1013">
        <v>0</v>
      </c>
      <c r="AKI27" s="1013">
        <v>0</v>
      </c>
      <c r="AKJ27" s="1013">
        <v>7.8322784810126587</v>
      </c>
      <c r="AKK27" s="1013">
        <v>45.427215189873415</v>
      </c>
      <c r="AKL27" s="1017">
        <v>207.19936708860757</v>
      </c>
      <c r="AKM27" s="1017">
        <v>0</v>
      </c>
      <c r="AKN27" s="1017">
        <v>0</v>
      </c>
      <c r="AKO27" s="1017">
        <v>0</v>
      </c>
      <c r="AKP27" s="1017">
        <v>0</v>
      </c>
      <c r="AKQ27" s="1017">
        <v>0</v>
      </c>
      <c r="AKR27" s="1017">
        <v>23.022151898734176</v>
      </c>
      <c r="AKS27" s="1017">
        <v>133.5284810126582</v>
      </c>
      <c r="AKT27" s="1016">
        <v>205.06329113924053</v>
      </c>
      <c r="AKU27" s="1016">
        <v>0</v>
      </c>
      <c r="AKV27" s="1017">
        <v>0</v>
      </c>
      <c r="AKW27" s="1017">
        <v>0</v>
      </c>
      <c r="AKX27" s="1017">
        <v>0</v>
      </c>
      <c r="AKY27" s="1017">
        <v>0</v>
      </c>
      <c r="AKZ27" s="1017">
        <v>22.784810126582279</v>
      </c>
      <c r="ALA27" s="1017">
        <v>132.15189873417719</v>
      </c>
      <c r="ALB27" s="1017">
        <v>91.851265822784811</v>
      </c>
      <c r="ALC27" s="1017">
        <v>0</v>
      </c>
      <c r="ALD27" s="1017">
        <v>0</v>
      </c>
      <c r="ALE27" s="1017">
        <v>0</v>
      </c>
      <c r="ALF27" s="1017">
        <v>0</v>
      </c>
      <c r="ALG27" s="1017">
        <v>0</v>
      </c>
      <c r="ALH27" s="1017">
        <v>10.205696202531646</v>
      </c>
      <c r="ALI27" s="1017">
        <v>59.193037974683534</v>
      </c>
      <c r="ALJ27" s="1017">
        <v>138.41772151898735</v>
      </c>
      <c r="ALK27" s="1017">
        <v>0</v>
      </c>
      <c r="ALL27" s="1017">
        <v>0</v>
      </c>
      <c r="ALM27" s="1017">
        <v>0</v>
      </c>
      <c r="ALN27" s="1017">
        <v>0</v>
      </c>
      <c r="ALO27" s="1017">
        <v>0</v>
      </c>
      <c r="ALP27" s="1017">
        <v>15.379746835443038</v>
      </c>
      <c r="ALQ27" s="1013">
        <v>89.202531645569607</v>
      </c>
      <c r="ALR27" s="1013">
        <v>83.306962025316466</v>
      </c>
      <c r="ALS27" s="1013">
        <v>0</v>
      </c>
      <c r="ALT27" s="1013">
        <v>0</v>
      </c>
      <c r="ALU27" s="1013">
        <v>0</v>
      </c>
      <c r="ALV27" s="1013">
        <v>0</v>
      </c>
      <c r="ALW27" s="1013">
        <v>0</v>
      </c>
      <c r="ALX27" s="1013">
        <v>9.2563291139240516</v>
      </c>
      <c r="ALY27" s="1013">
        <v>53.686708860759488</v>
      </c>
    </row>
    <row r="28" spans="1:1013" ht="18" customHeight="1">
      <c r="A28" s="1259" t="s">
        <v>16</v>
      </c>
      <c r="B28" s="1260" t="s">
        <v>3063</v>
      </c>
      <c r="C28" s="1260">
        <v>2022</v>
      </c>
      <c r="D28" s="1269"/>
      <c r="E28" s="1270">
        <v>2.2000000000000002</v>
      </c>
      <c r="F28" s="1271">
        <v>1.4</v>
      </c>
      <c r="G28" s="1271">
        <v>1.4</v>
      </c>
      <c r="H28" s="76">
        <v>204.61340206185568</v>
      </c>
      <c r="I28" s="72">
        <v>0.9</v>
      </c>
      <c r="J28" s="1271">
        <v>0</v>
      </c>
      <c r="K28" s="1271">
        <v>0</v>
      </c>
      <c r="L28" s="1265">
        <v>350</v>
      </c>
      <c r="M28" s="1262">
        <v>0</v>
      </c>
      <c r="N28" s="1262">
        <v>0</v>
      </c>
      <c r="O28" s="1262">
        <v>0</v>
      </c>
      <c r="P28" s="76">
        <v>1935.7159196896396</v>
      </c>
      <c r="Q28" s="75">
        <v>12</v>
      </c>
      <c r="R28" s="72">
        <v>1.5</v>
      </c>
      <c r="S28" s="72">
        <v>1.2</v>
      </c>
      <c r="T28" s="72">
        <v>1.2</v>
      </c>
      <c r="U28" s="1271">
        <v>0.1</v>
      </c>
      <c r="V28" s="1271">
        <v>0</v>
      </c>
      <c r="W28" s="1271">
        <v>99.9</v>
      </c>
      <c r="X28" s="1271">
        <v>0</v>
      </c>
      <c r="Y28" s="1272">
        <v>0</v>
      </c>
      <c r="Z28" s="75">
        <v>2</v>
      </c>
      <c r="AA28" s="72">
        <v>1.5</v>
      </c>
      <c r="AB28" s="75">
        <v>1</v>
      </c>
      <c r="AC28" s="72">
        <v>0.8</v>
      </c>
      <c r="AD28" s="72">
        <v>0.5</v>
      </c>
      <c r="AE28" s="390">
        <v>433.01922201480062</v>
      </c>
      <c r="AF28" s="390">
        <v>470.67306740739195</v>
      </c>
      <c r="AG28" s="390">
        <v>433.37222681535616</v>
      </c>
      <c r="AH28" s="390">
        <v>649.0581599547935</v>
      </c>
      <c r="AI28" s="400">
        <v>0.82209484106305364</v>
      </c>
      <c r="AJ28" s="390">
        <v>261.91600618637949</v>
      </c>
      <c r="AK28" s="390">
        <v>284.69131107215162</v>
      </c>
      <c r="AL28" s="390">
        <v>262.12952466968363</v>
      </c>
      <c r="AM28" s="390">
        <v>392.58931796849708</v>
      </c>
      <c r="AN28" s="400">
        <v>0.96717040125065135</v>
      </c>
      <c r="AO28" s="77">
        <v>0.1</v>
      </c>
      <c r="AP28" s="77">
        <v>0.2</v>
      </c>
      <c r="AQ28" s="77">
        <v>0.5</v>
      </c>
      <c r="AR28" s="77">
        <v>0.4</v>
      </c>
      <c r="AS28" s="77">
        <v>0.6</v>
      </c>
      <c r="AT28" s="77">
        <v>0.9</v>
      </c>
      <c r="AU28" s="77">
        <v>1</v>
      </c>
      <c r="AV28" s="1268">
        <v>0</v>
      </c>
      <c r="AW28" s="1268">
        <v>10</v>
      </c>
      <c r="AX28" s="1268">
        <v>20</v>
      </c>
      <c r="AY28" s="1268">
        <v>70</v>
      </c>
      <c r="AZ28" s="1268">
        <v>100</v>
      </c>
      <c r="BA28" s="1019">
        <v>12765.498891072868</v>
      </c>
      <c r="BB28" s="1031">
        <v>1.51</v>
      </c>
      <c r="BC28" s="1022">
        <v>2</v>
      </c>
      <c r="BD28" s="988">
        <v>1.6</v>
      </c>
      <c r="BE28" s="988">
        <v>1.6</v>
      </c>
      <c r="BF28" s="1021">
        <f>BF39</f>
        <v>0.19257506503275143</v>
      </c>
      <c r="BG28" s="1021">
        <v>0.18193358900561235</v>
      </c>
      <c r="BH28" s="1020">
        <v>6.7718733821462915E-2</v>
      </c>
      <c r="BI28" s="1020">
        <v>2.8428000887508322E-2</v>
      </c>
      <c r="BJ28" s="1020">
        <v>1.471784631314252</v>
      </c>
      <c r="BK28" s="1020">
        <v>40.979309962280894</v>
      </c>
      <c r="BL28" s="1020">
        <v>1.1627745728866208</v>
      </c>
      <c r="BM28" s="1020"/>
      <c r="BN28" s="1020">
        <v>54.924053324458256</v>
      </c>
      <c r="BO28" s="1020"/>
      <c r="BP28" s="1020"/>
      <c r="BQ28" s="1020"/>
      <c r="BR28" s="1020"/>
      <c r="BS28" s="1020"/>
      <c r="BT28" s="1020"/>
      <c r="BU28" s="1020">
        <v>0.85861807558612524</v>
      </c>
      <c r="BV28" s="1020">
        <v>0.50731269876488427</v>
      </c>
      <c r="BW28" s="993">
        <v>261.13475999999997</v>
      </c>
      <c r="BX28" s="993">
        <v>96.5</v>
      </c>
      <c r="BY28" s="993">
        <v>63.215999999999994</v>
      </c>
      <c r="BZ28" s="993">
        <v>233.35949490734063</v>
      </c>
      <c r="CA28" s="993">
        <v>157.40783999999999</v>
      </c>
      <c r="CB28" s="990"/>
      <c r="CC28" s="993">
        <v>256.20808011776955</v>
      </c>
      <c r="CD28" s="993">
        <v>165.17663999999999</v>
      </c>
      <c r="CE28" s="990"/>
      <c r="CF28" s="989">
        <v>0</v>
      </c>
      <c r="CG28" s="993">
        <v>6.585</v>
      </c>
      <c r="CH28" s="993">
        <v>1.3169999999999999</v>
      </c>
      <c r="CI28" s="993">
        <v>38</v>
      </c>
      <c r="CJ28" s="993">
        <v>225.83915999999996</v>
      </c>
      <c r="CK28" s="990">
        <v>0.2</v>
      </c>
      <c r="CL28" s="993">
        <v>175.08124000000001</v>
      </c>
      <c r="CM28" s="993">
        <v>60.4</v>
      </c>
      <c r="CN28" s="993">
        <v>42.384</v>
      </c>
      <c r="CO28" s="993">
        <v>156.45894761061641</v>
      </c>
      <c r="CP28" s="993">
        <v>105.53616</v>
      </c>
      <c r="CQ28" s="990"/>
      <c r="CR28" s="993">
        <v>159.24945066654416</v>
      </c>
      <c r="CS28" s="993">
        <v>102.66767999999999</v>
      </c>
      <c r="CT28" s="990"/>
      <c r="CU28" s="993">
        <v>0</v>
      </c>
      <c r="CV28" s="993">
        <v>4.415</v>
      </c>
      <c r="CW28" s="993">
        <v>0.88300000000000001</v>
      </c>
      <c r="CX28" s="993">
        <v>27</v>
      </c>
      <c r="CY28" s="993">
        <v>151.41683999999998</v>
      </c>
      <c r="CZ28" s="990">
        <v>0.2</v>
      </c>
      <c r="DA28" s="988">
        <v>0.3</v>
      </c>
      <c r="DB28" s="988">
        <v>0.7</v>
      </c>
      <c r="DC28" s="988">
        <v>1.2</v>
      </c>
      <c r="DD28" s="988">
        <v>1.2</v>
      </c>
      <c r="DE28" s="1022">
        <v>3</v>
      </c>
      <c r="DF28" s="995">
        <v>0</v>
      </c>
      <c r="DG28" s="995">
        <v>10</v>
      </c>
      <c r="DH28" s="995">
        <v>20</v>
      </c>
      <c r="DI28" s="995">
        <v>70</v>
      </c>
      <c r="DJ28" s="995">
        <v>100</v>
      </c>
      <c r="DK28" s="1017"/>
      <c r="DL28" s="1022">
        <v>18</v>
      </c>
      <c r="DM28" s="989">
        <v>12</v>
      </c>
      <c r="DN28" s="1022">
        <v>2.5</v>
      </c>
      <c r="DO28" s="988">
        <v>1.7</v>
      </c>
      <c r="DP28" s="988">
        <v>1.7</v>
      </c>
      <c r="DQ28" s="1032" t="s">
        <v>643</v>
      </c>
      <c r="DR28" s="988" t="s">
        <v>640</v>
      </c>
      <c r="DS28" s="988" t="s">
        <v>640</v>
      </c>
      <c r="DT28" s="988" t="s">
        <v>640</v>
      </c>
      <c r="DU28" s="988" t="s">
        <v>640</v>
      </c>
      <c r="DV28" s="988" t="s">
        <v>640</v>
      </c>
      <c r="DW28" s="988" t="s">
        <v>640</v>
      </c>
      <c r="DX28" s="997">
        <v>0</v>
      </c>
      <c r="DY28" s="997">
        <v>0</v>
      </c>
      <c r="DZ28" s="997">
        <v>0</v>
      </c>
      <c r="EA28" s="997">
        <v>0</v>
      </c>
      <c r="EB28" s="997">
        <v>0</v>
      </c>
      <c r="EC28" s="997">
        <v>0</v>
      </c>
      <c r="ED28" s="997">
        <v>0</v>
      </c>
      <c r="EE28" s="1022">
        <v>9.6000000000000002E-2</v>
      </c>
      <c r="EF28" s="1022">
        <v>18</v>
      </c>
      <c r="EG28" s="991">
        <v>5</v>
      </c>
      <c r="EH28" s="998">
        <v>2.5</v>
      </c>
      <c r="EI28" s="1023">
        <v>1.7</v>
      </c>
      <c r="EJ28" s="1023">
        <v>1.7</v>
      </c>
      <c r="EK28" s="988" t="s">
        <v>16</v>
      </c>
      <c r="EL28" s="988" t="s">
        <v>640</v>
      </c>
      <c r="EM28" s="988" t="s">
        <v>640</v>
      </c>
      <c r="EN28" s="988" t="s">
        <v>640</v>
      </c>
      <c r="EO28" s="988" t="s">
        <v>640</v>
      </c>
      <c r="EP28" s="988" t="s">
        <v>640</v>
      </c>
      <c r="EQ28" s="988" t="s">
        <v>640</v>
      </c>
      <c r="ER28" s="988" t="s">
        <v>640</v>
      </c>
      <c r="ES28" s="988" t="s">
        <v>640</v>
      </c>
      <c r="ET28" s="988" t="s">
        <v>640</v>
      </c>
      <c r="EU28" s="988" t="s">
        <v>640</v>
      </c>
      <c r="EV28" s="988" t="s">
        <v>640</v>
      </c>
      <c r="EW28" s="988" t="s">
        <v>640</v>
      </c>
      <c r="EX28" s="988" t="s">
        <v>640</v>
      </c>
      <c r="EY28" s="988" t="s">
        <v>640</v>
      </c>
      <c r="EZ28" s="988" t="s">
        <v>640</v>
      </c>
      <c r="FA28" s="988" t="s">
        <v>640</v>
      </c>
      <c r="FB28" s="988" t="s">
        <v>640</v>
      </c>
      <c r="FC28" s="988" t="s">
        <v>640</v>
      </c>
      <c r="FD28" s="988" t="s">
        <v>640</v>
      </c>
      <c r="FE28" s="988" t="s">
        <v>640</v>
      </c>
      <c r="FF28" s="988" t="s">
        <v>640</v>
      </c>
      <c r="FG28" s="988" t="s">
        <v>640</v>
      </c>
      <c r="FH28" s="988" t="s">
        <v>640</v>
      </c>
      <c r="FI28" s="988" t="s">
        <v>640</v>
      </c>
      <c r="FJ28" s="988" t="s">
        <v>640</v>
      </c>
      <c r="FK28" s="988" t="s">
        <v>640</v>
      </c>
      <c r="FL28" s="988" t="s">
        <v>640</v>
      </c>
      <c r="FM28" s="988" t="s">
        <v>640</v>
      </c>
      <c r="FN28" s="988" t="s">
        <v>640</v>
      </c>
      <c r="FO28" s="988" t="s">
        <v>640</v>
      </c>
      <c r="FP28" s="988" t="s">
        <v>640</v>
      </c>
      <c r="FQ28" s="988" t="s">
        <v>640</v>
      </c>
      <c r="FR28" s="988" t="s">
        <v>640</v>
      </c>
      <c r="FS28" s="988" t="s">
        <v>640</v>
      </c>
      <c r="FT28" s="988" t="s">
        <v>640</v>
      </c>
      <c r="FU28" s="988" t="s">
        <v>640</v>
      </c>
      <c r="FV28" s="988" t="s">
        <v>640</v>
      </c>
      <c r="FW28" s="988" t="s">
        <v>640</v>
      </c>
      <c r="FX28" s="988" t="s">
        <v>640</v>
      </c>
      <c r="FY28" s="988" t="s">
        <v>640</v>
      </c>
      <c r="FZ28" s="988" t="s">
        <v>640</v>
      </c>
      <c r="GA28" s="988" t="s">
        <v>640</v>
      </c>
      <c r="GB28" s="988" t="s">
        <v>640</v>
      </c>
      <c r="GC28" s="988" t="s">
        <v>640</v>
      </c>
      <c r="GD28" s="988" t="s">
        <v>640</v>
      </c>
      <c r="GE28" s="988" t="s">
        <v>640</v>
      </c>
      <c r="GF28" s="988" t="s">
        <v>640</v>
      </c>
      <c r="GG28" s="988" t="s">
        <v>640</v>
      </c>
      <c r="GH28" s="988" t="s">
        <v>640</v>
      </c>
      <c r="GI28" s="988" t="s">
        <v>640</v>
      </c>
      <c r="GJ28" s="988" t="s">
        <v>640</v>
      </c>
      <c r="GK28" s="988" t="s">
        <v>640</v>
      </c>
      <c r="GL28" s="988" t="s">
        <v>640</v>
      </c>
      <c r="GM28" s="988" t="s">
        <v>640</v>
      </c>
      <c r="GN28" s="988" t="s">
        <v>640</v>
      </c>
      <c r="GO28" s="988" t="s">
        <v>640</v>
      </c>
      <c r="GP28" s="988" t="s">
        <v>640</v>
      </c>
      <c r="GQ28" s="997">
        <v>96</v>
      </c>
      <c r="GR28" s="997">
        <v>0</v>
      </c>
      <c r="GS28" s="997">
        <v>0</v>
      </c>
      <c r="GT28" s="997">
        <v>0</v>
      </c>
      <c r="GU28" s="997">
        <v>0</v>
      </c>
      <c r="GV28" s="997">
        <v>0</v>
      </c>
      <c r="GW28" s="997">
        <v>0</v>
      </c>
      <c r="GX28" s="997">
        <v>0</v>
      </c>
      <c r="GY28" s="997">
        <v>0</v>
      </c>
      <c r="GZ28" s="997">
        <v>0</v>
      </c>
      <c r="HA28" s="997">
        <v>0</v>
      </c>
      <c r="HB28" s="997">
        <v>0</v>
      </c>
      <c r="HC28" s="997">
        <v>0</v>
      </c>
      <c r="HD28" s="997">
        <v>0</v>
      </c>
      <c r="HE28" s="997">
        <v>0</v>
      </c>
      <c r="HF28" s="997">
        <v>0</v>
      </c>
      <c r="HG28" s="997">
        <v>0</v>
      </c>
      <c r="HH28" s="997">
        <v>0</v>
      </c>
      <c r="HI28" s="997">
        <v>0</v>
      </c>
      <c r="HJ28" s="997">
        <v>0</v>
      </c>
      <c r="HK28" s="997">
        <v>0</v>
      </c>
      <c r="HL28" s="997">
        <v>0</v>
      </c>
      <c r="HM28" s="997">
        <v>0</v>
      </c>
      <c r="HN28" s="997">
        <v>0</v>
      </c>
      <c r="HO28" s="997">
        <v>0</v>
      </c>
      <c r="HP28" s="997">
        <v>0</v>
      </c>
      <c r="HQ28" s="997">
        <v>0</v>
      </c>
      <c r="HR28" s="997">
        <v>0</v>
      </c>
      <c r="HS28" s="997">
        <v>0</v>
      </c>
      <c r="HT28" s="997">
        <v>0</v>
      </c>
      <c r="HU28" s="997">
        <v>0</v>
      </c>
      <c r="HV28" s="997">
        <v>0</v>
      </c>
      <c r="HW28" s="997">
        <v>0</v>
      </c>
      <c r="HX28" s="997">
        <v>0</v>
      </c>
      <c r="HY28" s="997">
        <v>0</v>
      </c>
      <c r="HZ28" s="997">
        <v>0</v>
      </c>
      <c r="IA28" s="997">
        <v>0</v>
      </c>
      <c r="IB28" s="997">
        <v>0</v>
      </c>
      <c r="IC28" s="997">
        <v>0</v>
      </c>
      <c r="ID28" s="997">
        <v>0</v>
      </c>
      <c r="IE28" s="997">
        <v>0</v>
      </c>
      <c r="IF28" s="997">
        <v>0</v>
      </c>
      <c r="IG28" s="997">
        <v>0</v>
      </c>
      <c r="IH28" s="997">
        <v>0</v>
      </c>
      <c r="II28" s="997">
        <v>0</v>
      </c>
      <c r="IJ28" s="997">
        <v>0</v>
      </c>
      <c r="IK28" s="997">
        <v>0</v>
      </c>
      <c r="IL28" s="997">
        <v>0</v>
      </c>
      <c r="IM28" s="997">
        <v>0</v>
      </c>
      <c r="IN28" s="997">
        <v>0</v>
      </c>
      <c r="IO28" s="997">
        <v>0</v>
      </c>
      <c r="IP28" s="997">
        <v>0</v>
      </c>
      <c r="IQ28" s="997">
        <v>0</v>
      </c>
      <c r="IR28" s="997">
        <v>0</v>
      </c>
      <c r="IS28" s="997">
        <v>0</v>
      </c>
      <c r="IT28" s="997">
        <v>0</v>
      </c>
      <c r="IU28" s="997">
        <v>0</v>
      </c>
      <c r="IV28" s="997">
        <v>0</v>
      </c>
      <c r="IW28" s="1019">
        <v>697.93455485009372</v>
      </c>
      <c r="IX28" s="1022">
        <v>179.9</v>
      </c>
      <c r="IY28" s="998">
        <v>2647.0800000000199</v>
      </c>
      <c r="IZ28" s="429">
        <v>12.64</v>
      </c>
      <c r="JA28" s="1022">
        <v>50</v>
      </c>
      <c r="JB28" s="1022">
        <v>2.5</v>
      </c>
      <c r="JC28" s="988">
        <v>1.7</v>
      </c>
      <c r="JD28" s="988">
        <v>1.7</v>
      </c>
      <c r="JE28" s="998">
        <v>2</v>
      </c>
      <c r="JF28" s="1023">
        <v>1.5</v>
      </c>
      <c r="JG28" s="1023">
        <v>0.7</v>
      </c>
      <c r="JH28" s="1023">
        <v>0.7</v>
      </c>
      <c r="JI28" s="1023">
        <v>0.5</v>
      </c>
      <c r="JJ28" s="1019">
        <v>67.447515762607736</v>
      </c>
      <c r="JK28" s="998">
        <v>2647.0800000000199</v>
      </c>
      <c r="JL28" s="429">
        <v>12.64</v>
      </c>
      <c r="JM28" s="1022">
        <v>50</v>
      </c>
      <c r="JN28" s="1022">
        <v>3.2</v>
      </c>
      <c r="JO28" s="988">
        <v>2.7</v>
      </c>
      <c r="JP28" s="988">
        <v>2.7</v>
      </c>
      <c r="JQ28" s="998">
        <v>2</v>
      </c>
      <c r="JR28" s="998">
        <v>2</v>
      </c>
      <c r="JS28" s="998">
        <v>1</v>
      </c>
      <c r="JT28" s="998">
        <v>1</v>
      </c>
      <c r="JU28" s="1023">
        <v>0.5</v>
      </c>
      <c r="JV28" s="1004">
        <v>2000</v>
      </c>
      <c r="JW28" s="1019">
        <v>835.65371732862798</v>
      </c>
      <c r="JX28" s="1019">
        <v>500</v>
      </c>
      <c r="JY28" s="1022">
        <v>1.6</v>
      </c>
      <c r="JZ28" s="1022">
        <v>1.4</v>
      </c>
      <c r="KA28" s="1022">
        <v>1.4</v>
      </c>
      <c r="KB28" s="1023">
        <v>2</v>
      </c>
      <c r="KC28" s="1023">
        <v>1.5</v>
      </c>
      <c r="KD28" s="1023">
        <v>0.5</v>
      </c>
      <c r="KE28" s="1023">
        <v>1</v>
      </c>
      <c r="KF28" s="1023">
        <v>0.5</v>
      </c>
      <c r="KG28" s="997">
        <v>3.5424374620354517</v>
      </c>
      <c r="KH28" s="997">
        <v>0.27886686178143466</v>
      </c>
      <c r="KI28" s="997">
        <v>95.54641338560937</v>
      </c>
      <c r="KJ28" s="997"/>
      <c r="KK28" s="997">
        <v>0.63228229057374785</v>
      </c>
      <c r="KL28" s="997"/>
      <c r="KM28" s="997"/>
      <c r="KN28" s="997"/>
      <c r="KO28" s="997"/>
      <c r="KP28" s="1006">
        <v>580</v>
      </c>
      <c r="KQ28" s="1006">
        <v>580</v>
      </c>
      <c r="KR28" s="1006">
        <v>580</v>
      </c>
      <c r="KS28" s="1006">
        <v>580</v>
      </c>
      <c r="KT28" s="1006"/>
      <c r="KU28" s="1006">
        <v>580</v>
      </c>
      <c r="KV28" s="1006">
        <v>580</v>
      </c>
      <c r="KW28" s="1006">
        <v>580</v>
      </c>
      <c r="KX28" s="1006">
        <v>580</v>
      </c>
      <c r="KY28" s="993">
        <v>370</v>
      </c>
      <c r="KZ28" s="993">
        <v>370</v>
      </c>
      <c r="LA28" s="993">
        <v>370</v>
      </c>
      <c r="LB28" s="993">
        <v>370</v>
      </c>
      <c r="LC28" s="993"/>
      <c r="LD28" s="993">
        <v>370</v>
      </c>
      <c r="LE28" s="993">
        <v>370</v>
      </c>
      <c r="LF28" s="993">
        <v>370</v>
      </c>
      <c r="LG28" s="993">
        <v>370</v>
      </c>
      <c r="LH28" s="995">
        <v>0</v>
      </c>
      <c r="LI28" s="995">
        <v>10</v>
      </c>
      <c r="LJ28" s="995">
        <v>20</v>
      </c>
      <c r="LK28" s="995">
        <v>70</v>
      </c>
      <c r="LL28" s="995">
        <v>100</v>
      </c>
      <c r="LM28" s="1004">
        <v>1000</v>
      </c>
      <c r="LN28" s="1019">
        <v>316.67008019157754</v>
      </c>
      <c r="LO28" s="988">
        <v>29</v>
      </c>
      <c r="LP28" s="1022">
        <v>1.6</v>
      </c>
      <c r="LQ28" s="988">
        <v>1.3</v>
      </c>
      <c r="LR28" s="988">
        <v>1.3</v>
      </c>
      <c r="LS28" s="1023">
        <v>2</v>
      </c>
      <c r="LT28" s="1023">
        <v>1</v>
      </c>
      <c r="LU28" s="1023">
        <v>0.5</v>
      </c>
      <c r="LV28" s="1023">
        <v>0.7</v>
      </c>
      <c r="LW28" s="1023">
        <v>0.2</v>
      </c>
      <c r="LX28" s="1004">
        <v>1500</v>
      </c>
      <c r="LY28" s="1008">
        <v>500</v>
      </c>
      <c r="LZ28" s="1008">
        <v>1</v>
      </c>
      <c r="MA28" s="997" t="s">
        <v>2914</v>
      </c>
      <c r="MB28" s="1023" t="s">
        <v>905</v>
      </c>
      <c r="MC28" s="1023" t="s">
        <v>2932</v>
      </c>
      <c r="MD28" s="1024" t="s">
        <v>906</v>
      </c>
      <c r="ME28" s="1009">
        <v>0.5</v>
      </c>
      <c r="MF28" s="1010">
        <v>0.75</v>
      </c>
      <c r="MG28" s="1010">
        <v>1</v>
      </c>
      <c r="MH28" s="1010">
        <v>2</v>
      </c>
      <c r="MI28" s="1010">
        <v>0.5</v>
      </c>
      <c r="MJ28" s="1010">
        <v>0.75</v>
      </c>
      <c r="MK28" s="1010">
        <v>1</v>
      </c>
      <c r="ML28" s="1010">
        <v>2</v>
      </c>
      <c r="MM28" s="1010">
        <v>0</v>
      </c>
      <c r="MN28" s="1010">
        <v>0.5</v>
      </c>
      <c r="MO28" s="1010">
        <v>1</v>
      </c>
      <c r="MP28" s="1010">
        <v>2</v>
      </c>
      <c r="MQ28" s="1010">
        <v>0</v>
      </c>
      <c r="MR28" s="1010">
        <v>0.5</v>
      </c>
      <c r="MS28" s="1010">
        <v>1</v>
      </c>
      <c r="MT28" s="1010">
        <v>2</v>
      </c>
      <c r="MU28" s="1001">
        <v>0</v>
      </c>
      <c r="MV28" s="1001">
        <v>0</v>
      </c>
      <c r="MW28" s="1001">
        <v>0</v>
      </c>
      <c r="MX28" s="1025">
        <v>0</v>
      </c>
      <c r="MY28" s="1025">
        <v>0</v>
      </c>
      <c r="MZ28" s="1025">
        <v>0</v>
      </c>
      <c r="NA28" s="1025">
        <v>0</v>
      </c>
      <c r="NB28" s="1025">
        <v>0</v>
      </c>
      <c r="NC28" s="1025">
        <v>0</v>
      </c>
      <c r="ND28" s="1025">
        <v>0</v>
      </c>
      <c r="NE28" s="1025">
        <v>0</v>
      </c>
      <c r="NF28" s="1025">
        <v>0</v>
      </c>
      <c r="NG28" s="1025">
        <v>0</v>
      </c>
      <c r="NH28" s="1025">
        <v>0</v>
      </c>
      <c r="NI28" s="1025">
        <v>0</v>
      </c>
      <c r="NJ28" s="1025">
        <v>0</v>
      </c>
      <c r="NK28" s="1025">
        <v>0</v>
      </c>
      <c r="NL28" s="1025">
        <v>0</v>
      </c>
      <c r="NM28" s="1025">
        <v>0</v>
      </c>
      <c r="NN28" s="1025">
        <v>0</v>
      </c>
      <c r="NO28" s="1025">
        <v>0</v>
      </c>
      <c r="NP28" s="1025">
        <v>0</v>
      </c>
      <c r="NQ28" s="1025">
        <v>0</v>
      </c>
      <c r="NR28" s="1025">
        <v>0</v>
      </c>
      <c r="NS28" s="1025">
        <v>0</v>
      </c>
      <c r="NT28" s="1025">
        <v>0</v>
      </c>
      <c r="NU28" s="1025">
        <v>0</v>
      </c>
      <c r="NV28" s="1025">
        <v>2.9384850190166798</v>
      </c>
      <c r="NW28" s="1025">
        <v>0</v>
      </c>
      <c r="NX28" s="1025">
        <v>0.32823136010656001</v>
      </c>
      <c r="NY28" s="1025">
        <v>0.95999999999997998</v>
      </c>
      <c r="NZ28" s="1025">
        <v>1.6241600380185699</v>
      </c>
      <c r="OA28" s="1025">
        <v>0</v>
      </c>
      <c r="OB28" s="1025">
        <v>2.9252779137978799</v>
      </c>
      <c r="OC28" s="1025">
        <v>0</v>
      </c>
      <c r="OD28" s="1025">
        <v>0.32823136010657999</v>
      </c>
      <c r="OE28" s="1025">
        <v>0.96</v>
      </c>
      <c r="OF28" s="1025">
        <v>0.47572651625175</v>
      </c>
      <c r="OG28" s="1025">
        <v>0</v>
      </c>
      <c r="OH28" s="1025">
        <v>3.1236143837908599</v>
      </c>
      <c r="OI28" s="1025">
        <v>0</v>
      </c>
      <c r="OJ28" s="1025">
        <v>0.32823136010630999</v>
      </c>
      <c r="OK28" s="1025">
        <v>0.96</v>
      </c>
      <c r="OL28" s="1025">
        <v>5.5544716037520399</v>
      </c>
      <c r="OM28" s="1025">
        <v>0</v>
      </c>
      <c r="ON28" s="1025">
        <v>3.1078455681796702</v>
      </c>
      <c r="OO28" s="1025">
        <v>0</v>
      </c>
      <c r="OP28" s="1025">
        <v>0.32823136010657999</v>
      </c>
      <c r="OQ28" s="1025">
        <v>0.96</v>
      </c>
      <c r="OR28" s="1025">
        <v>3.3926924929534099</v>
      </c>
      <c r="OS28" s="1025">
        <v>0</v>
      </c>
      <c r="OT28" s="1025">
        <v>3.1236143837896599</v>
      </c>
      <c r="OU28" s="1025">
        <v>0</v>
      </c>
      <c r="OV28" s="1025">
        <v>0.32823136010673998</v>
      </c>
      <c r="OW28" s="1025">
        <v>0.96000000000026997</v>
      </c>
      <c r="OX28" s="1025">
        <v>5.5544716037497501</v>
      </c>
      <c r="OY28" s="1025">
        <v>0</v>
      </c>
      <c r="OZ28" s="1025">
        <v>-84.93</v>
      </c>
      <c r="PA28" s="1025">
        <v>-16.989999999999998</v>
      </c>
      <c r="PB28" s="1025">
        <v>-0.71131642500633996</v>
      </c>
      <c r="PC28" s="1025">
        <v>0</v>
      </c>
      <c r="PD28" s="1025">
        <v>-1.6326079651501499</v>
      </c>
      <c r="PE28" s="1025">
        <v>0</v>
      </c>
      <c r="PF28" s="1025">
        <v>-4.5432352120979999E-2</v>
      </c>
      <c r="PG28" s="1025">
        <v>0</v>
      </c>
      <c r="PH28" s="1025">
        <v>0</v>
      </c>
      <c r="PI28" s="1025">
        <v>0</v>
      </c>
      <c r="PJ28" s="1025">
        <v>-1.3240720656532901</v>
      </c>
      <c r="PK28" s="1025">
        <v>0</v>
      </c>
      <c r="PL28" s="1025">
        <v>1.9592923831650001E-2</v>
      </c>
      <c r="PM28" s="1025">
        <v>0</v>
      </c>
      <c r="PN28" s="1025">
        <v>0</v>
      </c>
      <c r="PO28" s="1025">
        <v>0</v>
      </c>
      <c r="PP28" s="1025">
        <v>3.77089512175387</v>
      </c>
      <c r="PQ28" s="1025">
        <v>0</v>
      </c>
      <c r="PR28" s="1025">
        <v>8.2309626014040002E-2</v>
      </c>
      <c r="PS28" s="1025">
        <v>0</v>
      </c>
      <c r="PT28" s="1025">
        <v>0</v>
      </c>
      <c r="PU28" s="1025">
        <v>0</v>
      </c>
      <c r="PV28" s="1025">
        <v>1.6122084744224801</v>
      </c>
      <c r="PW28" s="1025">
        <v>0</v>
      </c>
      <c r="PX28" s="1025">
        <v>0</v>
      </c>
      <c r="PY28" s="1025">
        <v>0</v>
      </c>
      <c r="PZ28" s="1025">
        <v>0</v>
      </c>
      <c r="QA28" s="1025">
        <v>0</v>
      </c>
      <c r="QB28" s="1025">
        <v>0</v>
      </c>
      <c r="QC28" s="1025">
        <v>0</v>
      </c>
      <c r="QD28" s="1025">
        <v>-84.93</v>
      </c>
      <c r="QE28" s="1025">
        <v>-16.989999999999998</v>
      </c>
      <c r="QF28" s="1025">
        <v>-0.75473379425353004</v>
      </c>
      <c r="QG28" s="1025">
        <v>0</v>
      </c>
      <c r="QH28" s="1025">
        <v>-0.47572651625175999</v>
      </c>
      <c r="QI28" s="1025">
        <v>0</v>
      </c>
      <c r="QJ28" s="1025">
        <v>0.13995275729695</v>
      </c>
      <c r="QK28" s="1025">
        <v>0</v>
      </c>
      <c r="QL28" s="1025">
        <v>0</v>
      </c>
      <c r="QM28" s="1025">
        <v>0</v>
      </c>
      <c r="QN28" s="1025">
        <v>1.31328415802264</v>
      </c>
      <c r="QO28" s="1025">
        <v>0</v>
      </c>
      <c r="QP28" s="1025">
        <v>1.367498143036E-2</v>
      </c>
      <c r="QQ28" s="1025">
        <v>0</v>
      </c>
      <c r="QR28" s="1025">
        <v>0</v>
      </c>
      <c r="QS28" s="1025">
        <v>0</v>
      </c>
      <c r="QT28" s="1025">
        <v>5.0787450875007298</v>
      </c>
      <c r="QU28" s="1025">
        <v>0</v>
      </c>
      <c r="QV28" s="1025">
        <v>5.1414270343499999E-3</v>
      </c>
      <c r="QW28" s="1025">
        <v>0</v>
      </c>
      <c r="QX28" s="1025">
        <v>0</v>
      </c>
      <c r="QY28" s="1025">
        <v>0</v>
      </c>
      <c r="QZ28" s="1025">
        <v>2.91696597670167</v>
      </c>
      <c r="RA28" s="1025">
        <v>0</v>
      </c>
      <c r="RB28" s="1025">
        <v>0</v>
      </c>
      <c r="RC28" s="1025">
        <v>0</v>
      </c>
      <c r="RD28" s="1025">
        <v>0</v>
      </c>
      <c r="RE28" s="1025">
        <v>0</v>
      </c>
      <c r="RF28" s="1025">
        <v>5.0787450875444904</v>
      </c>
      <c r="RG28" s="1025">
        <v>0</v>
      </c>
      <c r="RH28" s="1011">
        <v>0</v>
      </c>
      <c r="RI28" s="1026">
        <v>0</v>
      </c>
      <c r="RJ28" s="1026">
        <v>0</v>
      </c>
      <c r="RK28" s="1026">
        <v>0</v>
      </c>
      <c r="RL28" s="1026">
        <v>0</v>
      </c>
      <c r="RM28" s="1011">
        <v>0</v>
      </c>
      <c r="RN28" s="1011">
        <v>0</v>
      </c>
      <c r="RO28" s="1011">
        <v>0</v>
      </c>
      <c r="RP28" s="1011">
        <v>0</v>
      </c>
      <c r="RQ28" s="1011">
        <v>0</v>
      </c>
      <c r="RR28" s="1011">
        <v>0</v>
      </c>
      <c r="RS28" s="1011">
        <v>0</v>
      </c>
      <c r="RT28" s="1011">
        <v>-1.0851591941733101</v>
      </c>
      <c r="RU28" s="1011">
        <v>0</v>
      </c>
      <c r="RV28" s="1011">
        <v>-0.21722187733081999</v>
      </c>
      <c r="RW28" s="1011">
        <v>0</v>
      </c>
      <c r="RX28" s="1011">
        <v>-5.5544716037531598</v>
      </c>
      <c r="RY28" s="1011">
        <v>0</v>
      </c>
      <c r="RZ28" s="1026">
        <v>-3.1127276059340001E-2</v>
      </c>
      <c r="SA28" s="1026">
        <v>0</v>
      </c>
      <c r="SB28" s="1026">
        <v>0</v>
      </c>
      <c r="SC28" s="1026">
        <v>0</v>
      </c>
      <c r="SD28" s="1026">
        <v>-3.7707303405524502</v>
      </c>
      <c r="SE28" s="1026">
        <v>0</v>
      </c>
      <c r="SF28" s="1026">
        <v>-7.8375219646000006E-3</v>
      </c>
      <c r="SG28" s="1026">
        <v>0</v>
      </c>
      <c r="SH28" s="1026">
        <v>0</v>
      </c>
      <c r="SI28" s="1026">
        <v>0</v>
      </c>
      <c r="SJ28" s="1026">
        <v>-5.0787450875008204</v>
      </c>
      <c r="SK28" s="1026">
        <v>0</v>
      </c>
      <c r="SL28" s="1025">
        <v>-84.93</v>
      </c>
      <c r="SM28" s="1025">
        <v>-16.989999999999998</v>
      </c>
      <c r="SN28" s="1025">
        <v>-0.54775109632098995</v>
      </c>
      <c r="SO28" s="1025">
        <v>0</v>
      </c>
      <c r="SP28" s="1025">
        <v>-3.3926924929534099</v>
      </c>
      <c r="SQ28" s="1025">
        <v>0</v>
      </c>
      <c r="SR28" s="1025">
        <v>2.060767301146E-2</v>
      </c>
      <c r="SS28" s="1025">
        <v>0</v>
      </c>
      <c r="ST28" s="1025">
        <v>0</v>
      </c>
      <c r="SU28" s="1025">
        <v>0</v>
      </c>
      <c r="SV28" s="1025">
        <v>-1.61010161122111</v>
      </c>
      <c r="SW28" s="1025">
        <v>0</v>
      </c>
      <c r="SX28" s="1025">
        <v>-5.7487579023499996E-3</v>
      </c>
      <c r="SY28" s="1025">
        <v>0</v>
      </c>
      <c r="SZ28" s="1025">
        <v>0</v>
      </c>
      <c r="TA28" s="1025">
        <v>0</v>
      </c>
      <c r="TB28" s="1025">
        <v>-2.91696597670167</v>
      </c>
      <c r="TC28" s="1025">
        <v>0</v>
      </c>
      <c r="TD28" s="1025">
        <v>0.18611553964405</v>
      </c>
      <c r="TE28" s="1025">
        <v>0</v>
      </c>
      <c r="TF28" s="1025">
        <v>0</v>
      </c>
      <c r="TG28" s="1025">
        <v>0</v>
      </c>
      <c r="TH28" s="1025">
        <v>2.1617791107987498</v>
      </c>
      <c r="TI28" s="1025">
        <v>0</v>
      </c>
      <c r="TJ28" s="1025">
        <v>0.15243993273434001</v>
      </c>
      <c r="TK28" s="1025">
        <v>0</v>
      </c>
      <c r="TL28" s="1025">
        <v>0</v>
      </c>
      <c r="TM28" s="1025">
        <v>0</v>
      </c>
      <c r="TN28" s="1025">
        <v>2.1617791107923998</v>
      </c>
      <c r="TO28" s="1025">
        <v>0</v>
      </c>
      <c r="TP28" s="1025">
        <v>-84.93</v>
      </c>
      <c r="TQ28" s="1025">
        <v>-16.989999999999998</v>
      </c>
      <c r="TR28" s="1025">
        <v>-0.75326673910252995</v>
      </c>
      <c r="TS28" s="1025">
        <v>0</v>
      </c>
      <c r="TT28" s="1025">
        <v>-5.5544716037510797</v>
      </c>
      <c r="TU28" s="1025">
        <v>0</v>
      </c>
      <c r="TV28" s="1025">
        <v>0</v>
      </c>
      <c r="TW28" s="1025">
        <v>0</v>
      </c>
      <c r="TX28" s="1025">
        <v>0</v>
      </c>
      <c r="TY28" s="1025">
        <v>0</v>
      </c>
      <c r="TZ28" s="1025">
        <v>-3.77186847029252</v>
      </c>
      <c r="UA28" s="1025">
        <v>0</v>
      </c>
      <c r="UB28" s="1025">
        <v>0</v>
      </c>
      <c r="UC28" s="1025">
        <v>0</v>
      </c>
      <c r="UD28" s="1025">
        <v>0</v>
      </c>
      <c r="UE28" s="1025">
        <v>0</v>
      </c>
      <c r="UF28" s="1025">
        <v>-5.0787450875013</v>
      </c>
      <c r="UG28" s="1025">
        <v>0</v>
      </c>
      <c r="UH28" s="1025">
        <v>0</v>
      </c>
      <c r="UI28" s="1025">
        <v>0</v>
      </c>
      <c r="UJ28" s="1025">
        <v>0</v>
      </c>
      <c r="UK28" s="1025">
        <v>0</v>
      </c>
      <c r="UL28" s="1025">
        <v>0</v>
      </c>
      <c r="UM28" s="1025">
        <v>0</v>
      </c>
      <c r="UN28" s="1025">
        <v>0</v>
      </c>
      <c r="UO28" s="1025">
        <v>0</v>
      </c>
      <c r="UP28" s="1025">
        <v>0</v>
      </c>
      <c r="UQ28" s="1025">
        <v>0</v>
      </c>
      <c r="UR28" s="1025">
        <v>-2.16177911078998</v>
      </c>
      <c r="US28" s="1025">
        <v>0</v>
      </c>
      <c r="UT28" s="1025">
        <v>0.86319425106004</v>
      </c>
      <c r="UU28" s="1025">
        <v>0</v>
      </c>
      <c r="UV28" s="1025">
        <v>0.10652247385344001</v>
      </c>
      <c r="UW28" s="1025">
        <v>0</v>
      </c>
      <c r="UX28" s="1025">
        <v>0</v>
      </c>
      <c r="UY28" s="1025">
        <v>0</v>
      </c>
      <c r="UZ28" s="1025">
        <v>-5.0734108002500004E-3</v>
      </c>
      <c r="VA28" s="1025">
        <v>0</v>
      </c>
      <c r="VB28" s="1025">
        <v>0</v>
      </c>
      <c r="VC28" s="1025">
        <v>0</v>
      </c>
      <c r="VD28" s="1025">
        <v>4.4045074863999998E-4</v>
      </c>
      <c r="VE28" s="1025">
        <v>0</v>
      </c>
      <c r="VF28" s="1025">
        <v>0</v>
      </c>
      <c r="VG28" s="1025">
        <v>0</v>
      </c>
      <c r="VH28" s="1025">
        <v>0</v>
      </c>
      <c r="VI28" s="1025">
        <v>0</v>
      </c>
      <c r="VJ28" s="1025">
        <v>0</v>
      </c>
      <c r="VK28" s="1025">
        <v>0</v>
      </c>
      <c r="VL28" s="1025">
        <v>0</v>
      </c>
      <c r="VM28" s="1025">
        <v>0</v>
      </c>
      <c r="VN28" s="1025">
        <v>0</v>
      </c>
      <c r="VO28" s="1025">
        <v>0</v>
      </c>
      <c r="VP28" s="1025">
        <v>0</v>
      </c>
      <c r="VQ28" s="1025">
        <v>0</v>
      </c>
      <c r="VR28" s="1010">
        <v>0</v>
      </c>
      <c r="VS28" s="1010">
        <v>0</v>
      </c>
      <c r="VT28" s="1010">
        <v>0</v>
      </c>
      <c r="VU28" s="1010">
        <v>0</v>
      </c>
      <c r="VV28" s="1010">
        <v>0</v>
      </c>
      <c r="VW28" s="1010">
        <v>0</v>
      </c>
      <c r="VX28" s="1025">
        <v>0</v>
      </c>
      <c r="VY28" s="1025">
        <v>0</v>
      </c>
      <c r="VZ28" s="1025">
        <v>0</v>
      </c>
      <c r="WA28" s="1025">
        <v>0</v>
      </c>
      <c r="WB28" s="1025">
        <v>0</v>
      </c>
      <c r="WC28" s="1025">
        <v>0</v>
      </c>
      <c r="WD28" s="995">
        <v>202</v>
      </c>
      <c r="WE28" s="995">
        <v>267</v>
      </c>
      <c r="WF28" s="995">
        <v>354</v>
      </c>
      <c r="WG28" s="995">
        <v>382</v>
      </c>
      <c r="WH28" s="995">
        <v>403</v>
      </c>
      <c r="WI28" s="995">
        <v>0</v>
      </c>
      <c r="WJ28" s="995">
        <v>1300</v>
      </c>
      <c r="WK28" s="1001">
        <v>0</v>
      </c>
      <c r="WL28" s="1001">
        <v>0</v>
      </c>
      <c r="WM28" s="1001">
        <v>0</v>
      </c>
      <c r="WN28" s="1001">
        <v>0</v>
      </c>
      <c r="WO28" s="1001">
        <v>0</v>
      </c>
      <c r="WP28" s="1001">
        <v>0</v>
      </c>
      <c r="WQ28" s="1001">
        <v>0</v>
      </c>
      <c r="WR28" s="1001">
        <v>0</v>
      </c>
      <c r="WS28" s="1001">
        <v>0</v>
      </c>
      <c r="WT28" s="1001">
        <v>0</v>
      </c>
      <c r="WU28" s="1001">
        <v>0</v>
      </c>
      <c r="WV28" s="1001">
        <v>0</v>
      </c>
      <c r="WW28" s="1001">
        <v>0</v>
      </c>
      <c r="WX28" s="1001">
        <v>0</v>
      </c>
      <c r="WY28" s="1001">
        <v>0</v>
      </c>
      <c r="WZ28" s="1001">
        <v>0</v>
      </c>
      <c r="XA28" s="1001">
        <v>0</v>
      </c>
      <c r="XB28" s="1001">
        <v>0</v>
      </c>
      <c r="XC28" s="1001">
        <v>0</v>
      </c>
      <c r="XD28" s="1001">
        <v>0</v>
      </c>
      <c r="XE28" s="1001">
        <v>0</v>
      </c>
      <c r="XF28" s="1001">
        <v>0</v>
      </c>
      <c r="XG28" s="1001">
        <v>0</v>
      </c>
      <c r="XH28" s="1001">
        <v>0</v>
      </c>
      <c r="XI28" s="1001">
        <v>0</v>
      </c>
      <c r="XJ28" s="1001">
        <v>0</v>
      </c>
      <c r="XK28" s="1001">
        <v>0</v>
      </c>
      <c r="XL28" s="1001">
        <v>0</v>
      </c>
      <c r="XM28" s="1001">
        <v>0</v>
      </c>
      <c r="XN28" s="1001">
        <v>0</v>
      </c>
      <c r="XO28" s="1001">
        <v>0</v>
      </c>
      <c r="XP28" s="1001">
        <v>0</v>
      </c>
      <c r="XQ28" s="1001">
        <v>0</v>
      </c>
      <c r="XR28" s="1027">
        <v>146</v>
      </c>
      <c r="XS28" s="1013">
        <v>115.82463465553236</v>
      </c>
      <c r="XT28" s="1013">
        <v>128.01670146137786</v>
      </c>
      <c r="XU28" s="1013">
        <v>134.11273486430062</v>
      </c>
      <c r="XV28" s="1013">
        <v>206.04592901878914</v>
      </c>
      <c r="XW28" s="1028">
        <v>24898.30082</v>
      </c>
      <c r="XX28" s="1013">
        <v>78</v>
      </c>
      <c r="XY28" s="1013">
        <v>15</v>
      </c>
      <c r="XZ28" s="1013">
        <v>7.0000000000000009</v>
      </c>
      <c r="YA28" s="1029">
        <v>0</v>
      </c>
      <c r="YB28" s="1013">
        <v>3847.8517114659871</v>
      </c>
      <c r="YC28" s="1013">
        <v>0</v>
      </c>
      <c r="YD28" s="1013">
        <v>0</v>
      </c>
      <c r="YE28" s="1013">
        <v>0</v>
      </c>
      <c r="YF28" s="1013">
        <v>0</v>
      </c>
      <c r="YG28" s="1013">
        <v>0</v>
      </c>
      <c r="YH28" s="1013">
        <v>1539.1406845863949</v>
      </c>
      <c r="YI28" s="1013">
        <v>0</v>
      </c>
      <c r="YJ28" s="1013">
        <v>4127.8037709689306</v>
      </c>
      <c r="YK28" s="1013">
        <v>0</v>
      </c>
      <c r="YL28" s="1013">
        <v>0</v>
      </c>
      <c r="YM28" s="1013">
        <v>0</v>
      </c>
      <c r="YN28" s="1013">
        <v>0</v>
      </c>
      <c r="YO28" s="1013">
        <v>0</v>
      </c>
      <c r="YP28" s="1013">
        <v>1651.1215083875722</v>
      </c>
      <c r="YQ28" s="1013">
        <v>0</v>
      </c>
      <c r="YR28" s="1013">
        <v>4324.3658553007845</v>
      </c>
      <c r="YS28" s="1013">
        <v>0</v>
      </c>
      <c r="YT28" s="1013">
        <v>0</v>
      </c>
      <c r="YU28" s="1013">
        <v>0</v>
      </c>
      <c r="YV28" s="1013">
        <v>0</v>
      </c>
      <c r="YW28" s="1013">
        <v>0</v>
      </c>
      <c r="YX28" s="1013">
        <v>1729.7463421203138</v>
      </c>
      <c r="YY28" s="1013">
        <v>0</v>
      </c>
      <c r="YZ28" s="1013">
        <v>6643.7984504166589</v>
      </c>
      <c r="ZA28" s="1013">
        <v>0</v>
      </c>
      <c r="ZB28" s="1013">
        <v>0</v>
      </c>
      <c r="ZC28" s="1013">
        <v>0</v>
      </c>
      <c r="ZD28" s="1013">
        <v>0</v>
      </c>
      <c r="ZE28" s="1013">
        <v>0</v>
      </c>
      <c r="ZF28" s="1013">
        <v>2657.5193801666633</v>
      </c>
      <c r="ZG28" s="1013">
        <v>0</v>
      </c>
      <c r="ZH28" s="1013">
        <v>1113.3117618508254</v>
      </c>
      <c r="ZI28" s="1013">
        <v>3414.1560696758652</v>
      </c>
      <c r="ZJ28" s="1013">
        <v>2449.2858760718163</v>
      </c>
      <c r="ZK28" s="1013">
        <v>0</v>
      </c>
      <c r="ZL28" s="1013">
        <v>0</v>
      </c>
      <c r="ZM28" s="1013">
        <v>0</v>
      </c>
      <c r="ZN28" s="1013">
        <v>445.32470474033016</v>
      </c>
      <c r="ZO28" s="1013">
        <v>0</v>
      </c>
      <c r="ZP28" s="1013">
        <v>1194.3112244003437</v>
      </c>
      <c r="ZQ28" s="1013">
        <v>3662.554421494388</v>
      </c>
      <c r="ZR28" s="1013">
        <v>2627.4846936807567</v>
      </c>
      <c r="ZS28" s="1013">
        <v>0</v>
      </c>
      <c r="ZT28" s="1013">
        <v>0</v>
      </c>
      <c r="ZU28" s="1013">
        <v>0</v>
      </c>
      <c r="ZV28" s="1013">
        <v>477.72448976013749</v>
      </c>
      <c r="ZW28" s="1013">
        <v>0</v>
      </c>
      <c r="ZX28" s="1013">
        <v>1251.1831874670268</v>
      </c>
      <c r="ZY28" s="1013">
        <v>3836.9617748988826</v>
      </c>
      <c r="ZZ28" s="1013">
        <v>2752.6030124274594</v>
      </c>
      <c r="AAA28" s="1013">
        <v>0</v>
      </c>
      <c r="AAB28" s="1013">
        <v>0</v>
      </c>
      <c r="AAC28" s="1013">
        <v>0</v>
      </c>
      <c r="AAD28" s="1013">
        <v>500.47327498681074</v>
      </c>
      <c r="AAE28" s="1013">
        <v>0</v>
      </c>
      <c r="AAF28" s="1013">
        <v>1922.2723516538865</v>
      </c>
      <c r="AAG28" s="1013">
        <v>5894.9685450719189</v>
      </c>
      <c r="AAH28" s="1013">
        <v>4228.9991736385509</v>
      </c>
      <c r="AAI28" s="1013">
        <v>0</v>
      </c>
      <c r="AAJ28" s="1013">
        <v>0</v>
      </c>
      <c r="AAK28" s="1013">
        <v>0</v>
      </c>
      <c r="AAL28" s="1013">
        <v>768.90894066155465</v>
      </c>
      <c r="AAM28" s="1013">
        <v>0</v>
      </c>
      <c r="AAN28" s="1013">
        <v>2962.8458178288101</v>
      </c>
      <c r="AAO28" s="1013">
        <v>9086.0605080083515</v>
      </c>
      <c r="AAP28" s="1013">
        <v>6518.2607992233825</v>
      </c>
      <c r="AAQ28" s="1013">
        <v>0</v>
      </c>
      <c r="AAR28" s="1013">
        <v>0</v>
      </c>
      <c r="AAS28" s="1013">
        <v>0</v>
      </c>
      <c r="AAT28" s="1013">
        <v>1185.138327131524</v>
      </c>
      <c r="AAU28" s="1013">
        <v>0</v>
      </c>
      <c r="AAV28" s="1013">
        <v>3274.7243249686849</v>
      </c>
      <c r="AAW28" s="1013">
        <v>10042.487929903968</v>
      </c>
      <c r="AAX28" s="1013">
        <v>7204.3935149311064</v>
      </c>
      <c r="AAY28" s="1013">
        <v>0</v>
      </c>
      <c r="AAZ28" s="1013">
        <v>0</v>
      </c>
      <c r="ABA28" s="1013">
        <v>0</v>
      </c>
      <c r="ABB28" s="1013">
        <v>1309.8897299874739</v>
      </c>
      <c r="ABC28" s="1013">
        <v>0</v>
      </c>
      <c r="ABD28" s="1013">
        <v>3430.663578538622</v>
      </c>
      <c r="ABE28" s="1013">
        <v>10520.701640851776</v>
      </c>
      <c r="ABF28" s="1013">
        <v>7547.4598727849689</v>
      </c>
      <c r="ABG28" s="1013">
        <v>0</v>
      </c>
      <c r="ABH28" s="1013">
        <v>0</v>
      </c>
      <c r="ABI28" s="1013">
        <v>0</v>
      </c>
      <c r="ABJ28" s="1013">
        <v>1372.2654314154488</v>
      </c>
      <c r="ABK28" s="1013">
        <v>0</v>
      </c>
      <c r="ABL28" s="1013">
        <v>5270.7467706638827</v>
      </c>
      <c r="ABM28" s="1013">
        <v>16163.62343003591</v>
      </c>
      <c r="ABN28" s="1013">
        <v>11595.642895460544</v>
      </c>
      <c r="ABO28" s="1013">
        <v>0</v>
      </c>
      <c r="ABP28" s="1013">
        <v>0</v>
      </c>
      <c r="ABQ28" s="1013">
        <v>0</v>
      </c>
      <c r="ABR28" s="1013">
        <v>2108.2987082655532</v>
      </c>
      <c r="ABS28" s="1013">
        <v>0</v>
      </c>
      <c r="ABT28" s="1013">
        <v>4076.1575796796355</v>
      </c>
      <c r="ABU28" s="1013">
        <v>12500.216577684216</v>
      </c>
      <c r="ABV28" s="1013">
        <v>8967.5466752951979</v>
      </c>
      <c r="ABW28" s="1013">
        <v>0</v>
      </c>
      <c r="ABX28" s="1013">
        <v>0</v>
      </c>
      <c r="ABY28" s="1013">
        <v>0</v>
      </c>
      <c r="ABZ28" s="1013">
        <v>1630.4630318718541</v>
      </c>
      <c r="ACA28" s="1013">
        <v>0</v>
      </c>
      <c r="ACB28" s="1013">
        <v>4314.930875252855</v>
      </c>
      <c r="ACC28" s="1013">
        <v>13232.454684108756</v>
      </c>
      <c r="ACD28" s="1013">
        <v>9492.8479255562816</v>
      </c>
      <c r="ACE28" s="1013">
        <v>0</v>
      </c>
      <c r="ACF28" s="1013">
        <v>0</v>
      </c>
      <c r="ACG28" s="1013">
        <v>0</v>
      </c>
      <c r="ACH28" s="1013">
        <v>1725.972350101142</v>
      </c>
      <c r="ACI28" s="1013">
        <v>0</v>
      </c>
      <c r="ACJ28" s="1013">
        <v>4520.4037740744197</v>
      </c>
      <c r="ACK28" s="1013">
        <v>13862.57157382822</v>
      </c>
      <c r="ACL28" s="1013">
        <v>9944.8883029637236</v>
      </c>
      <c r="ACM28" s="1013">
        <v>0</v>
      </c>
      <c r="ACN28" s="1013">
        <v>0</v>
      </c>
      <c r="ACO28" s="1013">
        <v>0</v>
      </c>
      <c r="ACP28" s="1013">
        <v>1808.1615096297678</v>
      </c>
      <c r="ACQ28" s="1013">
        <v>0</v>
      </c>
      <c r="ACR28" s="1013">
        <v>6944.9839801688804</v>
      </c>
      <c r="ACS28" s="1013">
        <v>21297.950872517904</v>
      </c>
      <c r="ACT28" s="1013">
        <v>15278.964756371539</v>
      </c>
      <c r="ACU28" s="1013">
        <v>0</v>
      </c>
      <c r="ACV28" s="1013">
        <v>0</v>
      </c>
      <c r="ACW28" s="1013">
        <v>0</v>
      </c>
      <c r="ACX28" s="1013">
        <v>2777.9935920675521</v>
      </c>
      <c r="ACY28" s="1013">
        <v>0</v>
      </c>
      <c r="ACZ28" s="1013">
        <v>5279.2525481313342</v>
      </c>
      <c r="ADA28" s="1013">
        <v>16189.707814269426</v>
      </c>
      <c r="ADB28" s="1013">
        <v>11614.355605888935</v>
      </c>
      <c r="ADC28" s="1013">
        <v>0</v>
      </c>
      <c r="ADD28" s="1013">
        <v>0</v>
      </c>
      <c r="ADE28" s="1013">
        <v>0</v>
      </c>
      <c r="ADF28" s="1013">
        <v>2111.7010192525336</v>
      </c>
      <c r="ADG28" s="1013">
        <v>0</v>
      </c>
      <c r="ADH28" s="1013">
        <v>5644.0836895048515</v>
      </c>
      <c r="ADI28" s="1013">
        <v>17308.523314481543</v>
      </c>
      <c r="ADJ28" s="1013">
        <v>12416.984116910673</v>
      </c>
      <c r="ADK28" s="1013">
        <v>0</v>
      </c>
      <c r="ADL28" s="1013">
        <v>0</v>
      </c>
      <c r="ADM28" s="1013">
        <v>0</v>
      </c>
      <c r="ADN28" s="1013">
        <v>2257.6334758019402</v>
      </c>
      <c r="ADO28" s="1013">
        <v>0</v>
      </c>
      <c r="ADP28" s="1013">
        <v>5912.8495794812725</v>
      </c>
      <c r="ADQ28" s="1013">
        <v>18132.738710409234</v>
      </c>
      <c r="ADR28" s="1013">
        <v>13008.269074858799</v>
      </c>
      <c r="ADS28" s="1013">
        <v>0</v>
      </c>
      <c r="ADT28" s="1013">
        <v>0</v>
      </c>
      <c r="ADU28" s="1013">
        <v>0</v>
      </c>
      <c r="ADV28" s="1013">
        <v>2365.1398317925086</v>
      </c>
      <c r="ADW28" s="1013">
        <v>0</v>
      </c>
      <c r="ADX28" s="1013">
        <v>9084.2870812030451</v>
      </c>
      <c r="ADY28" s="1013">
        <v>27858.480382356007</v>
      </c>
      <c r="ADZ28" s="1013">
        <v>19985.431578646701</v>
      </c>
      <c r="AEA28" s="1013">
        <v>0</v>
      </c>
      <c r="AEB28" s="1013">
        <v>0</v>
      </c>
      <c r="AEC28" s="1013">
        <v>0</v>
      </c>
      <c r="AED28" s="1013">
        <v>3633.7148324812183</v>
      </c>
      <c r="AEE28" s="1013">
        <v>0</v>
      </c>
      <c r="AEF28" s="1013">
        <v>6446.4342339426839</v>
      </c>
      <c r="AEG28" s="1013">
        <v>19769.064984090899</v>
      </c>
      <c r="AEH28" s="1013">
        <v>14182.155314673906</v>
      </c>
      <c r="AEI28" s="1013">
        <v>0</v>
      </c>
      <c r="AEJ28" s="1013">
        <v>0</v>
      </c>
      <c r="AEK28" s="1013">
        <v>0</v>
      </c>
      <c r="AEL28" s="1013">
        <v>2578.5736935770738</v>
      </c>
      <c r="AEM28" s="1013">
        <v>0</v>
      </c>
      <c r="AEN28" s="1013">
        <v>6934.7103352278036</v>
      </c>
      <c r="AEO28" s="1013">
        <v>21266.445028031932</v>
      </c>
      <c r="AEP28" s="1013">
        <v>15256.362737501167</v>
      </c>
      <c r="AEQ28" s="1013">
        <v>0</v>
      </c>
      <c r="AER28" s="1013">
        <v>0</v>
      </c>
      <c r="AES28" s="1013">
        <v>0</v>
      </c>
      <c r="AET28" s="1013">
        <v>2773.8841340911213</v>
      </c>
      <c r="AEU28" s="1013">
        <v>0</v>
      </c>
      <c r="AEV28" s="1013">
        <v>7264.9346369053173</v>
      </c>
      <c r="AEW28" s="1013">
        <v>22279.132886509644</v>
      </c>
      <c r="AEX28" s="1013">
        <v>15982.8562011917</v>
      </c>
      <c r="AEY28" s="1013">
        <v>0</v>
      </c>
      <c r="AEZ28" s="1013">
        <v>0</v>
      </c>
      <c r="AFA28" s="1013">
        <v>0</v>
      </c>
      <c r="AFB28" s="1013">
        <v>2905.9738547621268</v>
      </c>
      <c r="AFC28" s="1013">
        <v>0</v>
      </c>
      <c r="AFD28" s="1013">
        <v>11161.581396699987</v>
      </c>
      <c r="AFE28" s="1013">
        <v>34228.849616546628</v>
      </c>
      <c r="AFF28" s="1013">
        <v>24555.479072739974</v>
      </c>
      <c r="AFG28" s="1013">
        <v>0</v>
      </c>
      <c r="AFH28" s="1013">
        <v>0</v>
      </c>
      <c r="AFI28" s="1013">
        <v>0</v>
      </c>
      <c r="AFJ28" s="1013">
        <v>4464.6325586799949</v>
      </c>
      <c r="AFK28" s="1013">
        <v>0</v>
      </c>
      <c r="AFL28" s="1023">
        <v>7434.0495065522873</v>
      </c>
      <c r="AFM28" s="1023">
        <v>22797.751820093683</v>
      </c>
      <c r="AFN28" s="1023">
        <v>16354.908914415035</v>
      </c>
      <c r="AFO28" s="1023">
        <v>0</v>
      </c>
      <c r="AFP28" s="1023">
        <v>0</v>
      </c>
      <c r="AFQ28" s="1023">
        <v>0</v>
      </c>
      <c r="AFR28" s="1023">
        <v>2973.6198026209149</v>
      </c>
      <c r="AFS28" s="1023">
        <v>0</v>
      </c>
      <c r="AFT28" s="1023">
        <v>7897.8645484538865</v>
      </c>
      <c r="AFU28" s="1023">
        <v>24220.11794859192</v>
      </c>
      <c r="AFV28" s="1023">
        <v>17375.302006598551</v>
      </c>
      <c r="AFW28" s="1023">
        <v>0</v>
      </c>
      <c r="AFX28" s="1023">
        <v>0</v>
      </c>
      <c r="AFY28" s="1023">
        <v>0</v>
      </c>
      <c r="AFZ28" s="1023">
        <v>3159.1458193815547</v>
      </c>
      <c r="AGA28" s="1023">
        <v>0</v>
      </c>
      <c r="AGB28" s="1023">
        <v>8273.9533364754989</v>
      </c>
      <c r="AGC28" s="1023">
        <v>25373.456898524866</v>
      </c>
      <c r="AGD28" s="1023">
        <v>18202.697340246101</v>
      </c>
      <c r="AGE28" s="1023">
        <v>0</v>
      </c>
      <c r="AGF28" s="1023">
        <v>0</v>
      </c>
      <c r="AGG28" s="1023">
        <v>0</v>
      </c>
      <c r="AGH28" s="1023">
        <v>3309.5813345901997</v>
      </c>
      <c r="AGI28" s="1023">
        <v>0</v>
      </c>
      <c r="AGJ28" s="1023">
        <v>12711.801035130542</v>
      </c>
      <c r="AGK28" s="1023">
        <v>38982.856507733661</v>
      </c>
      <c r="AGL28" s="1023">
        <v>27965.962277287195</v>
      </c>
      <c r="AGM28" s="1023">
        <v>0</v>
      </c>
      <c r="AGN28" s="1023">
        <v>0</v>
      </c>
      <c r="AGO28" s="1023">
        <v>0</v>
      </c>
      <c r="AGP28" s="1023">
        <v>5084.7204140522163</v>
      </c>
      <c r="AGQ28" s="1023">
        <v>0</v>
      </c>
      <c r="AGR28" s="1030">
        <v>2962.8458178288101</v>
      </c>
      <c r="AGS28" s="1030">
        <v>9086.0605080083515</v>
      </c>
      <c r="AGT28" s="1030">
        <v>6518.2607992233825</v>
      </c>
      <c r="AGU28" s="1030">
        <v>0</v>
      </c>
      <c r="AGV28" s="1030">
        <v>0</v>
      </c>
      <c r="AGW28" s="1030">
        <v>0</v>
      </c>
      <c r="AGX28" s="1030">
        <v>1185.138327131524</v>
      </c>
      <c r="AGY28" s="1030">
        <v>0</v>
      </c>
      <c r="AGZ28" s="1030">
        <v>3274.7243249686849</v>
      </c>
      <c r="AHA28" s="1030">
        <v>10042.487929903968</v>
      </c>
      <c r="AHB28" s="1030">
        <v>7204.3935149311064</v>
      </c>
      <c r="AHC28" s="1030">
        <v>0</v>
      </c>
      <c r="AHD28" s="1030">
        <v>0</v>
      </c>
      <c r="AHE28" s="1030">
        <v>0</v>
      </c>
      <c r="AHF28" s="1030">
        <v>1309.8897299874739</v>
      </c>
      <c r="AHG28" s="1030">
        <v>0</v>
      </c>
      <c r="AHH28" s="1030">
        <v>3430.663578538622</v>
      </c>
      <c r="AHI28" s="1030">
        <v>10520.701640851776</v>
      </c>
      <c r="AHJ28" s="1030">
        <v>7547.4598727849689</v>
      </c>
      <c r="AHK28" s="1030">
        <v>0</v>
      </c>
      <c r="AHL28" s="1030">
        <v>0</v>
      </c>
      <c r="AHM28" s="1030">
        <v>0</v>
      </c>
      <c r="AHN28" s="1030">
        <v>1372.2654314154488</v>
      </c>
      <c r="AHO28" s="1030">
        <v>0</v>
      </c>
      <c r="AHP28" s="1030">
        <v>5270.7467706638827</v>
      </c>
      <c r="AHQ28" s="1030">
        <v>16163.62343003591</v>
      </c>
      <c r="AHR28" s="1030">
        <v>11595.642895460544</v>
      </c>
      <c r="AHS28" s="1030">
        <v>0</v>
      </c>
      <c r="AHT28" s="1030">
        <v>0</v>
      </c>
      <c r="AHU28" s="1030">
        <v>0</v>
      </c>
      <c r="AHV28" s="1030">
        <v>2108.2987082655532</v>
      </c>
      <c r="AHW28" s="1030">
        <v>0</v>
      </c>
      <c r="AHX28" s="1013">
        <v>165</v>
      </c>
      <c r="AHY28" s="1023">
        <v>0</v>
      </c>
      <c r="AHZ28" s="1023">
        <v>0</v>
      </c>
      <c r="AIA28" s="1023">
        <v>0</v>
      </c>
      <c r="AIB28" s="1023">
        <v>0</v>
      </c>
      <c r="AIC28" s="1023">
        <v>0</v>
      </c>
      <c r="AID28" s="1023">
        <v>0</v>
      </c>
      <c r="AIE28" s="1023">
        <v>0</v>
      </c>
      <c r="AIF28" s="1017">
        <v>420</v>
      </c>
      <c r="AIG28" s="1017">
        <v>32.409999999999997</v>
      </c>
      <c r="AIH28" s="1017">
        <v>27.01</v>
      </c>
      <c r="AII28" s="1017">
        <v>0</v>
      </c>
      <c r="AIJ28" s="1017">
        <v>2.52</v>
      </c>
      <c r="AIK28" s="1017">
        <v>3.06</v>
      </c>
      <c r="AIL28" s="1017">
        <v>0</v>
      </c>
      <c r="AIM28" s="1017">
        <v>0</v>
      </c>
      <c r="AIN28" s="1016">
        <v>350</v>
      </c>
      <c r="AIO28" s="1016">
        <v>64.819999999999993</v>
      </c>
      <c r="AIP28" s="1017">
        <v>54.02</v>
      </c>
      <c r="AIQ28" s="1017">
        <v>0</v>
      </c>
      <c r="AIR28" s="1017">
        <v>5.04</v>
      </c>
      <c r="AIS28" s="1017">
        <v>6.12</v>
      </c>
      <c r="AIT28" s="1017">
        <v>0</v>
      </c>
      <c r="AIU28" s="1017">
        <v>0</v>
      </c>
      <c r="AIV28" s="1017">
        <v>120</v>
      </c>
      <c r="AIW28" s="1017">
        <v>47.37</v>
      </c>
      <c r="AIX28" s="1017">
        <v>39.47</v>
      </c>
      <c r="AIY28" s="1017">
        <v>0</v>
      </c>
      <c r="AIZ28" s="1017">
        <v>3.68</v>
      </c>
      <c r="AJA28" s="1017">
        <v>4.4800000000000004</v>
      </c>
      <c r="AJB28" s="1017">
        <v>0</v>
      </c>
      <c r="AJC28" s="1017">
        <v>0</v>
      </c>
      <c r="AJD28" s="1017">
        <v>129.6</v>
      </c>
      <c r="AJE28" s="1017">
        <v>96.93</v>
      </c>
      <c r="AJF28" s="1017">
        <v>80.78</v>
      </c>
      <c r="AJG28" s="1017">
        <v>0</v>
      </c>
      <c r="AJH28" s="1017">
        <v>7.54</v>
      </c>
      <c r="AJI28" s="1017">
        <v>9.15</v>
      </c>
      <c r="AJJ28" s="1017">
        <v>0</v>
      </c>
      <c r="AJK28" s="1013">
        <v>0</v>
      </c>
      <c r="AJL28" s="1013">
        <v>160</v>
      </c>
      <c r="AJM28" s="1013">
        <v>17.45</v>
      </c>
      <c r="AJN28" s="1013">
        <v>14.54</v>
      </c>
      <c r="AJO28" s="1013">
        <v>0</v>
      </c>
      <c r="AJP28" s="1013">
        <v>1.36</v>
      </c>
      <c r="AJQ28" s="1013">
        <v>1.65</v>
      </c>
      <c r="AJR28" s="1013">
        <v>0</v>
      </c>
      <c r="AJS28" s="1013">
        <v>0</v>
      </c>
      <c r="AJT28" s="1029" t="s">
        <v>858</v>
      </c>
      <c r="AJU28" s="988" t="s">
        <v>861</v>
      </c>
      <c r="AJV28" s="988" t="s">
        <v>860</v>
      </c>
      <c r="AJW28" s="988" t="s">
        <v>859</v>
      </c>
      <c r="AJX28" s="988" t="s">
        <v>870</v>
      </c>
      <c r="AJY28" s="988" t="s">
        <v>871</v>
      </c>
      <c r="AJZ28" s="988" t="s">
        <v>872</v>
      </c>
      <c r="AKA28" s="988" t="s">
        <v>873</v>
      </c>
      <c r="AKB28" s="988" t="s">
        <v>874</v>
      </c>
      <c r="AKC28" s="988" t="s">
        <v>875</v>
      </c>
      <c r="AKD28" s="1013">
        <v>91.666666666666657</v>
      </c>
      <c r="AKE28" s="1013">
        <v>0</v>
      </c>
      <c r="AKF28" s="1013">
        <v>0</v>
      </c>
      <c r="AKG28" s="1013">
        <v>0</v>
      </c>
      <c r="AKH28" s="1013">
        <v>0</v>
      </c>
      <c r="AKI28" s="1013">
        <v>0</v>
      </c>
      <c r="AKJ28" s="1013">
        <v>0</v>
      </c>
      <c r="AKK28" s="1013">
        <v>32.083333333333329</v>
      </c>
      <c r="AKL28" s="1017">
        <v>269.4444444444444</v>
      </c>
      <c r="AKM28" s="1017">
        <v>0</v>
      </c>
      <c r="AKN28" s="1017">
        <v>0</v>
      </c>
      <c r="AKO28" s="1017">
        <v>0</v>
      </c>
      <c r="AKP28" s="1017">
        <v>0</v>
      </c>
      <c r="AKQ28" s="1017">
        <v>0</v>
      </c>
      <c r="AKR28" s="1017">
        <v>0</v>
      </c>
      <c r="AKS28" s="1017">
        <v>94.305555555555529</v>
      </c>
      <c r="AKT28" s="1016">
        <v>266.66666666666663</v>
      </c>
      <c r="AKU28" s="1016">
        <v>0</v>
      </c>
      <c r="AKV28" s="1017">
        <v>0</v>
      </c>
      <c r="AKW28" s="1017">
        <v>0</v>
      </c>
      <c r="AKX28" s="1017">
        <v>0</v>
      </c>
      <c r="AKY28" s="1017">
        <v>0</v>
      </c>
      <c r="AKZ28" s="1017">
        <v>0</v>
      </c>
      <c r="ALA28" s="1017">
        <v>93.333333333333329</v>
      </c>
      <c r="ALB28" s="1017">
        <v>119.44444444444444</v>
      </c>
      <c r="ALC28" s="1017">
        <v>0</v>
      </c>
      <c r="ALD28" s="1017">
        <v>0</v>
      </c>
      <c r="ALE28" s="1017">
        <v>0</v>
      </c>
      <c r="ALF28" s="1017">
        <v>0</v>
      </c>
      <c r="ALG28" s="1017">
        <v>0</v>
      </c>
      <c r="ALH28" s="1017">
        <v>0</v>
      </c>
      <c r="ALI28" s="1017">
        <v>41.80555555555555</v>
      </c>
      <c r="ALJ28" s="1017">
        <v>180</v>
      </c>
      <c r="ALK28" s="1017">
        <v>0</v>
      </c>
      <c r="ALL28" s="1017">
        <v>0</v>
      </c>
      <c r="ALM28" s="1017">
        <v>0</v>
      </c>
      <c r="ALN28" s="1017">
        <v>0</v>
      </c>
      <c r="ALO28" s="1017">
        <v>0</v>
      </c>
      <c r="ALP28" s="1017">
        <v>0</v>
      </c>
      <c r="ALQ28" s="1013">
        <v>63</v>
      </c>
      <c r="ALR28" s="1013">
        <v>108.33333333333333</v>
      </c>
      <c r="ALS28" s="1013">
        <v>0</v>
      </c>
      <c r="ALT28" s="1013">
        <v>0</v>
      </c>
      <c r="ALU28" s="1013">
        <v>0</v>
      </c>
      <c r="ALV28" s="1013">
        <v>0</v>
      </c>
      <c r="ALW28" s="1013">
        <v>0</v>
      </c>
      <c r="ALX28" s="1013">
        <v>0</v>
      </c>
      <c r="ALY28" s="1013">
        <v>37.916666666666664</v>
      </c>
    </row>
    <row r="29" spans="1:1013" ht="18" customHeight="1">
      <c r="A29" s="1259" t="s">
        <v>18</v>
      </c>
      <c r="B29" s="1260" t="s">
        <v>3063</v>
      </c>
      <c r="C29" s="1260">
        <v>2022</v>
      </c>
      <c r="D29" s="1269"/>
      <c r="E29" s="1270">
        <v>0.4</v>
      </c>
      <c r="F29" s="1271">
        <v>0.1</v>
      </c>
      <c r="G29" s="1271">
        <v>0.1</v>
      </c>
      <c r="H29" s="76">
        <v>443.44186046511624</v>
      </c>
      <c r="I29" s="72">
        <v>-1.2</v>
      </c>
      <c r="J29" s="1271">
        <v>-0.5</v>
      </c>
      <c r="K29" s="1271">
        <v>-0.5</v>
      </c>
      <c r="L29" s="1265">
        <v>350</v>
      </c>
      <c r="M29" s="1262">
        <v>0</v>
      </c>
      <c r="N29" s="1262">
        <v>0</v>
      </c>
      <c r="O29" s="1262">
        <v>0</v>
      </c>
      <c r="P29" s="76">
        <v>1115.0423678962534</v>
      </c>
      <c r="Q29" s="75">
        <v>12</v>
      </c>
      <c r="R29" s="72">
        <v>0.3</v>
      </c>
      <c r="S29" s="72">
        <v>0.1</v>
      </c>
      <c r="T29" s="72">
        <v>0.1</v>
      </c>
      <c r="U29" s="1271">
        <v>0.6</v>
      </c>
      <c r="V29" s="1271">
        <v>0</v>
      </c>
      <c r="W29" s="1271">
        <v>99.4</v>
      </c>
      <c r="X29" s="1271">
        <v>0</v>
      </c>
      <c r="Y29" s="1272">
        <v>0</v>
      </c>
      <c r="Z29" s="75">
        <v>2</v>
      </c>
      <c r="AA29" s="72">
        <v>1.5</v>
      </c>
      <c r="AB29" s="75">
        <v>1</v>
      </c>
      <c r="AC29" s="72">
        <v>0.8</v>
      </c>
      <c r="AD29" s="72">
        <v>0.5</v>
      </c>
      <c r="AE29" s="390">
        <v>433.01922201480062</v>
      </c>
      <c r="AF29" s="390">
        <v>470.67306740739195</v>
      </c>
      <c r="AG29" s="390">
        <v>433.37222681535616</v>
      </c>
      <c r="AH29" s="390">
        <v>649.0581599547935</v>
      </c>
      <c r="AI29" s="400">
        <v>0.82209484106305364</v>
      </c>
      <c r="AJ29" s="390">
        <v>261.91600618637949</v>
      </c>
      <c r="AK29" s="390">
        <v>284.69131107215162</v>
      </c>
      <c r="AL29" s="390">
        <v>262.12952466968363</v>
      </c>
      <c r="AM29" s="390">
        <v>392.58931796849708</v>
      </c>
      <c r="AN29" s="400">
        <v>0.96717040125065135</v>
      </c>
      <c r="AO29" s="77">
        <v>0.1</v>
      </c>
      <c r="AP29" s="77">
        <v>0.2</v>
      </c>
      <c r="AQ29" s="77">
        <v>0.5</v>
      </c>
      <c r="AR29" s="77">
        <v>0.8</v>
      </c>
      <c r="AS29" s="77">
        <v>1</v>
      </c>
      <c r="AT29" s="77">
        <v>1.4</v>
      </c>
      <c r="AU29" s="77">
        <v>1.7</v>
      </c>
      <c r="AV29" s="1268">
        <v>0</v>
      </c>
      <c r="AW29" s="1268">
        <v>10</v>
      </c>
      <c r="AX29" s="1268">
        <v>20</v>
      </c>
      <c r="AY29" s="1268">
        <v>70</v>
      </c>
      <c r="AZ29" s="1268">
        <v>100</v>
      </c>
      <c r="BA29" s="1019">
        <v>5270.8573058485272</v>
      </c>
      <c r="BB29" s="1031">
        <v>1.51</v>
      </c>
      <c r="BC29" s="1022">
        <v>0.4</v>
      </c>
      <c r="BD29" s="1022">
        <v>0.3</v>
      </c>
      <c r="BE29" s="1022">
        <v>0.3</v>
      </c>
      <c r="BF29" s="1021">
        <v>0.16268213204308543</v>
      </c>
      <c r="BG29" s="1021">
        <v>0.17432127713198234</v>
      </c>
      <c r="BH29" s="1020">
        <v>1.614736733322999E-3</v>
      </c>
      <c r="BI29" s="1020">
        <v>0</v>
      </c>
      <c r="BJ29" s="1020">
        <v>0.81318141890146223</v>
      </c>
      <c r="BK29" s="1020">
        <v>66.199361856042998</v>
      </c>
      <c r="BL29" s="1020">
        <v>0.69239911124890197</v>
      </c>
      <c r="BM29" s="1020">
        <v>8.8164625639435751E-2</v>
      </c>
      <c r="BN29" s="1020">
        <v>31.376272412545859</v>
      </c>
      <c r="BO29" s="1020">
        <v>1.7439156719888389E-2</v>
      </c>
      <c r="BP29" s="1020">
        <v>0</v>
      </c>
      <c r="BQ29" s="1020">
        <v>0</v>
      </c>
      <c r="BR29" s="1020">
        <v>0</v>
      </c>
      <c r="BS29" s="1020">
        <v>0</v>
      </c>
      <c r="BT29" s="1020">
        <v>0.49410944039683768</v>
      </c>
      <c r="BU29" s="1020">
        <v>0</v>
      </c>
      <c r="BV29" s="1020">
        <v>0.31745724177130163</v>
      </c>
      <c r="BW29" s="993">
        <v>261.13475999999997</v>
      </c>
      <c r="BX29" s="993">
        <v>96.5</v>
      </c>
      <c r="BY29" s="993">
        <v>63.215999999999994</v>
      </c>
      <c r="BZ29" s="993">
        <v>233.35949490734063</v>
      </c>
      <c r="CA29" s="993">
        <v>157.40783999999999</v>
      </c>
      <c r="CB29" s="990"/>
      <c r="CC29" s="993">
        <v>256.20808011776955</v>
      </c>
      <c r="CD29" s="993">
        <v>165.17663999999999</v>
      </c>
      <c r="CE29" s="990"/>
      <c r="CF29" s="989">
        <v>0</v>
      </c>
      <c r="CG29" s="993">
        <v>6.585</v>
      </c>
      <c r="CH29" s="993">
        <v>1.3169999999999999</v>
      </c>
      <c r="CI29" s="993">
        <v>38</v>
      </c>
      <c r="CJ29" s="993">
        <v>225.83915999999996</v>
      </c>
      <c r="CK29" s="990">
        <v>0.2</v>
      </c>
      <c r="CL29" s="993">
        <v>175.08124000000001</v>
      </c>
      <c r="CM29" s="993">
        <v>60.4</v>
      </c>
      <c r="CN29" s="993">
        <v>42.384</v>
      </c>
      <c r="CO29" s="993">
        <v>156.45894761061641</v>
      </c>
      <c r="CP29" s="993">
        <v>105.53616</v>
      </c>
      <c r="CQ29" s="990"/>
      <c r="CR29" s="993">
        <v>159.24945066654416</v>
      </c>
      <c r="CS29" s="993">
        <v>102.66767999999999</v>
      </c>
      <c r="CT29" s="990"/>
      <c r="CU29" s="993">
        <v>0</v>
      </c>
      <c r="CV29" s="993">
        <v>4.415</v>
      </c>
      <c r="CW29" s="993">
        <v>0.88300000000000001</v>
      </c>
      <c r="CX29" s="993">
        <v>27</v>
      </c>
      <c r="CY29" s="993">
        <v>151.41683999999998</v>
      </c>
      <c r="CZ29" s="990">
        <v>0.2</v>
      </c>
      <c r="DA29" s="988">
        <v>0.3</v>
      </c>
      <c r="DB29" s="988">
        <v>0.7</v>
      </c>
      <c r="DC29" s="988">
        <v>1.2</v>
      </c>
      <c r="DD29" s="988">
        <v>1.2</v>
      </c>
      <c r="DE29" s="1022">
        <v>3</v>
      </c>
      <c r="DF29" s="995">
        <v>0</v>
      </c>
      <c r="DG29" s="995">
        <v>10</v>
      </c>
      <c r="DH29" s="995">
        <v>20</v>
      </c>
      <c r="DI29" s="995">
        <v>70</v>
      </c>
      <c r="DJ29" s="995">
        <v>100</v>
      </c>
      <c r="DK29" s="1017"/>
      <c r="DL29" s="1022">
        <v>18</v>
      </c>
      <c r="DM29" s="989">
        <v>12</v>
      </c>
      <c r="DN29" s="1022">
        <v>0</v>
      </c>
      <c r="DO29" s="1022">
        <v>0</v>
      </c>
      <c r="DP29" s="1022">
        <v>0</v>
      </c>
      <c r="DQ29" s="1032" t="s">
        <v>643</v>
      </c>
      <c r="DR29" s="988" t="s">
        <v>640</v>
      </c>
      <c r="DS29" s="988" t="s">
        <v>640</v>
      </c>
      <c r="DT29" s="988" t="s">
        <v>640</v>
      </c>
      <c r="DU29" s="988" t="s">
        <v>640</v>
      </c>
      <c r="DV29" s="988" t="s">
        <v>640</v>
      </c>
      <c r="DW29" s="988" t="s">
        <v>640</v>
      </c>
      <c r="DX29" s="997">
        <v>0</v>
      </c>
      <c r="DY29" s="997">
        <v>0</v>
      </c>
      <c r="DZ29" s="997">
        <v>0</v>
      </c>
      <c r="EA29" s="997">
        <v>0</v>
      </c>
      <c r="EB29" s="997">
        <v>0</v>
      </c>
      <c r="EC29" s="997">
        <v>0</v>
      </c>
      <c r="ED29" s="997">
        <v>0</v>
      </c>
      <c r="EE29" s="1022">
        <v>0</v>
      </c>
      <c r="EF29" s="1022">
        <v>18</v>
      </c>
      <c r="EG29" s="991">
        <v>5</v>
      </c>
      <c r="EH29" s="998">
        <v>0</v>
      </c>
      <c r="EI29" s="998">
        <v>0</v>
      </c>
      <c r="EJ29" s="998">
        <v>0</v>
      </c>
      <c r="EK29" s="1032" t="s">
        <v>682</v>
      </c>
      <c r="EL29" s="988" t="s">
        <v>640</v>
      </c>
      <c r="EM29" s="988" t="s">
        <v>640</v>
      </c>
      <c r="EN29" s="988" t="s">
        <v>640</v>
      </c>
      <c r="EO29" s="988" t="s">
        <v>640</v>
      </c>
      <c r="EP29" s="988" t="s">
        <v>640</v>
      </c>
      <c r="EQ29" s="988" t="s">
        <v>640</v>
      </c>
      <c r="ER29" s="988" t="s">
        <v>640</v>
      </c>
      <c r="ES29" s="988" t="s">
        <v>640</v>
      </c>
      <c r="ET29" s="988" t="s">
        <v>640</v>
      </c>
      <c r="EU29" s="988" t="s">
        <v>640</v>
      </c>
      <c r="EV29" s="988" t="s">
        <v>640</v>
      </c>
      <c r="EW29" s="988" t="s">
        <v>640</v>
      </c>
      <c r="EX29" s="988" t="s">
        <v>640</v>
      </c>
      <c r="EY29" s="988" t="s">
        <v>640</v>
      </c>
      <c r="EZ29" s="988" t="s">
        <v>640</v>
      </c>
      <c r="FA29" s="988" t="s">
        <v>640</v>
      </c>
      <c r="FB29" s="988" t="s">
        <v>640</v>
      </c>
      <c r="FC29" s="988" t="s">
        <v>640</v>
      </c>
      <c r="FD29" s="988" t="s">
        <v>640</v>
      </c>
      <c r="FE29" s="988" t="s">
        <v>640</v>
      </c>
      <c r="FF29" s="988" t="s">
        <v>640</v>
      </c>
      <c r="FG29" s="988" t="s">
        <v>640</v>
      </c>
      <c r="FH29" s="988" t="s">
        <v>640</v>
      </c>
      <c r="FI29" s="988" t="s">
        <v>640</v>
      </c>
      <c r="FJ29" s="988" t="s">
        <v>640</v>
      </c>
      <c r="FK29" s="988" t="s">
        <v>640</v>
      </c>
      <c r="FL29" s="988" t="s">
        <v>640</v>
      </c>
      <c r="FM29" s="988" t="s">
        <v>640</v>
      </c>
      <c r="FN29" s="988" t="s">
        <v>640</v>
      </c>
      <c r="FO29" s="988" t="s">
        <v>640</v>
      </c>
      <c r="FP29" s="988" t="s">
        <v>640</v>
      </c>
      <c r="FQ29" s="988" t="s">
        <v>640</v>
      </c>
      <c r="FR29" s="988" t="s">
        <v>640</v>
      </c>
      <c r="FS29" s="988" t="s">
        <v>640</v>
      </c>
      <c r="FT29" s="988" t="s">
        <v>640</v>
      </c>
      <c r="FU29" s="988" t="s">
        <v>640</v>
      </c>
      <c r="FV29" s="988" t="s">
        <v>640</v>
      </c>
      <c r="FW29" s="988" t="s">
        <v>640</v>
      </c>
      <c r="FX29" s="988" t="s">
        <v>640</v>
      </c>
      <c r="FY29" s="988" t="s">
        <v>640</v>
      </c>
      <c r="FZ29" s="988" t="s">
        <v>640</v>
      </c>
      <c r="GA29" s="988" t="s">
        <v>640</v>
      </c>
      <c r="GB29" s="988" t="s">
        <v>640</v>
      </c>
      <c r="GC29" s="988" t="s">
        <v>640</v>
      </c>
      <c r="GD29" s="988" t="s">
        <v>640</v>
      </c>
      <c r="GE29" s="988" t="s">
        <v>640</v>
      </c>
      <c r="GF29" s="988" t="s">
        <v>640</v>
      </c>
      <c r="GG29" s="988" t="s">
        <v>640</v>
      </c>
      <c r="GH29" s="988" t="s">
        <v>640</v>
      </c>
      <c r="GI29" s="988" t="s">
        <v>640</v>
      </c>
      <c r="GJ29" s="988" t="s">
        <v>640</v>
      </c>
      <c r="GK29" s="988" t="s">
        <v>640</v>
      </c>
      <c r="GL29" s="988" t="s">
        <v>640</v>
      </c>
      <c r="GM29" s="988" t="s">
        <v>640</v>
      </c>
      <c r="GN29" s="988" t="s">
        <v>640</v>
      </c>
      <c r="GO29" s="988" t="s">
        <v>640</v>
      </c>
      <c r="GP29" s="988" t="s">
        <v>640</v>
      </c>
      <c r="GQ29" s="997">
        <v>0</v>
      </c>
      <c r="GR29" s="997">
        <v>0</v>
      </c>
      <c r="GS29" s="997">
        <v>0</v>
      </c>
      <c r="GT29" s="997">
        <v>0</v>
      </c>
      <c r="GU29" s="997">
        <v>0</v>
      </c>
      <c r="GV29" s="997">
        <v>0</v>
      </c>
      <c r="GW29" s="997">
        <v>0</v>
      </c>
      <c r="GX29" s="997">
        <v>0</v>
      </c>
      <c r="GY29" s="997">
        <v>0</v>
      </c>
      <c r="GZ29" s="997">
        <v>0</v>
      </c>
      <c r="HA29" s="997">
        <v>0</v>
      </c>
      <c r="HB29" s="997">
        <v>0</v>
      </c>
      <c r="HC29" s="997">
        <v>0</v>
      </c>
      <c r="HD29" s="997">
        <v>0</v>
      </c>
      <c r="HE29" s="997">
        <v>0</v>
      </c>
      <c r="HF29" s="997">
        <v>0</v>
      </c>
      <c r="HG29" s="997">
        <v>0</v>
      </c>
      <c r="HH29" s="997">
        <v>0</v>
      </c>
      <c r="HI29" s="997">
        <v>0</v>
      </c>
      <c r="HJ29" s="997">
        <v>0</v>
      </c>
      <c r="HK29" s="997">
        <v>0</v>
      </c>
      <c r="HL29" s="997">
        <v>0</v>
      </c>
      <c r="HM29" s="997">
        <v>0</v>
      </c>
      <c r="HN29" s="997">
        <v>0</v>
      </c>
      <c r="HO29" s="997">
        <v>0</v>
      </c>
      <c r="HP29" s="997">
        <v>0</v>
      </c>
      <c r="HQ29" s="997">
        <v>0</v>
      </c>
      <c r="HR29" s="997">
        <v>0</v>
      </c>
      <c r="HS29" s="997">
        <v>0</v>
      </c>
      <c r="HT29" s="997">
        <v>0</v>
      </c>
      <c r="HU29" s="997">
        <v>0</v>
      </c>
      <c r="HV29" s="997">
        <v>0</v>
      </c>
      <c r="HW29" s="997">
        <v>0</v>
      </c>
      <c r="HX29" s="997">
        <v>0</v>
      </c>
      <c r="HY29" s="997">
        <v>0</v>
      </c>
      <c r="HZ29" s="997">
        <v>0</v>
      </c>
      <c r="IA29" s="997">
        <v>0</v>
      </c>
      <c r="IB29" s="997">
        <v>0</v>
      </c>
      <c r="IC29" s="997">
        <v>0</v>
      </c>
      <c r="ID29" s="997">
        <v>0</v>
      </c>
      <c r="IE29" s="997">
        <v>0</v>
      </c>
      <c r="IF29" s="997">
        <v>0</v>
      </c>
      <c r="IG29" s="997">
        <v>0</v>
      </c>
      <c r="IH29" s="997">
        <v>0</v>
      </c>
      <c r="II29" s="997">
        <v>0</v>
      </c>
      <c r="IJ29" s="997">
        <v>0</v>
      </c>
      <c r="IK29" s="997">
        <v>0</v>
      </c>
      <c r="IL29" s="997">
        <v>0</v>
      </c>
      <c r="IM29" s="997">
        <v>0</v>
      </c>
      <c r="IN29" s="997">
        <v>0</v>
      </c>
      <c r="IO29" s="997">
        <v>0</v>
      </c>
      <c r="IP29" s="997">
        <v>0</v>
      </c>
      <c r="IQ29" s="997">
        <v>0</v>
      </c>
      <c r="IR29" s="997">
        <v>0</v>
      </c>
      <c r="IS29" s="997">
        <v>0</v>
      </c>
      <c r="IT29" s="997">
        <v>0</v>
      </c>
      <c r="IU29" s="997">
        <v>0</v>
      </c>
      <c r="IV29" s="997">
        <v>0</v>
      </c>
      <c r="IW29" s="1019">
        <v>0</v>
      </c>
      <c r="IX29" s="1022">
        <v>179.9</v>
      </c>
      <c r="IY29" s="998">
        <v>2647.0800000000199</v>
      </c>
      <c r="IZ29" s="429">
        <v>12.64</v>
      </c>
      <c r="JA29" s="1022">
        <v>50</v>
      </c>
      <c r="JB29" s="1022">
        <v>0</v>
      </c>
      <c r="JC29" s="1022">
        <v>0</v>
      </c>
      <c r="JD29" s="1022">
        <v>0</v>
      </c>
      <c r="JE29" s="998">
        <v>2</v>
      </c>
      <c r="JF29" s="1023">
        <v>1.5</v>
      </c>
      <c r="JG29" s="1023">
        <v>0.7</v>
      </c>
      <c r="JH29" s="1023">
        <v>0.7</v>
      </c>
      <c r="JI29" s="1023">
        <v>0.5</v>
      </c>
      <c r="JJ29" s="1019">
        <v>0</v>
      </c>
      <c r="JK29" s="998">
        <v>2647.0800000000199</v>
      </c>
      <c r="JL29" s="429">
        <v>12.64</v>
      </c>
      <c r="JM29" s="1022">
        <v>50</v>
      </c>
      <c r="JN29" s="1022">
        <v>0</v>
      </c>
      <c r="JO29" s="1022">
        <v>0</v>
      </c>
      <c r="JP29" s="1022">
        <v>0</v>
      </c>
      <c r="JQ29" s="998">
        <v>2</v>
      </c>
      <c r="JR29" s="998">
        <v>2</v>
      </c>
      <c r="JS29" s="998">
        <v>1</v>
      </c>
      <c r="JT29" s="998">
        <v>1</v>
      </c>
      <c r="JU29" s="1023">
        <v>0.5</v>
      </c>
      <c r="JV29" s="1004">
        <v>2000</v>
      </c>
      <c r="JW29" s="1019"/>
      <c r="JX29" s="1019">
        <v>500</v>
      </c>
      <c r="JY29" s="1022">
        <v>1.6</v>
      </c>
      <c r="JZ29" s="1022">
        <v>1.5</v>
      </c>
      <c r="KA29" s="1022">
        <v>1.5</v>
      </c>
      <c r="KB29" s="1023">
        <v>2</v>
      </c>
      <c r="KC29" s="1023">
        <v>1.5</v>
      </c>
      <c r="KD29" s="1023">
        <v>0.5</v>
      </c>
      <c r="KE29" s="1023">
        <v>1</v>
      </c>
      <c r="KF29" s="1023">
        <v>0.5</v>
      </c>
      <c r="KG29" s="997">
        <v>3.1507245614496493</v>
      </c>
      <c r="KH29" s="997">
        <v>1.0519948452252584E-2</v>
      </c>
      <c r="KI29" s="997">
        <v>96.420587539121058</v>
      </c>
      <c r="KJ29" s="997"/>
      <c r="KK29" s="997">
        <v>0.17357914946216763</v>
      </c>
      <c r="KL29" s="997">
        <v>0.24458880151487258</v>
      </c>
      <c r="KM29" s="997">
        <v>0</v>
      </c>
      <c r="KN29" s="997">
        <v>0</v>
      </c>
      <c r="KO29" s="997"/>
      <c r="KP29" s="1006">
        <v>580</v>
      </c>
      <c r="KQ29" s="1006">
        <v>580</v>
      </c>
      <c r="KR29" s="1006">
        <v>580</v>
      </c>
      <c r="KS29" s="1006">
        <v>580</v>
      </c>
      <c r="KT29" s="1006"/>
      <c r="KU29" s="1006">
        <v>580</v>
      </c>
      <c r="KV29" s="1006">
        <v>580</v>
      </c>
      <c r="KW29" s="1006">
        <v>580</v>
      </c>
      <c r="KX29" s="1006">
        <v>580</v>
      </c>
      <c r="KY29" s="993">
        <v>370</v>
      </c>
      <c r="KZ29" s="993">
        <v>370</v>
      </c>
      <c r="LA29" s="993">
        <v>370</v>
      </c>
      <c r="LB29" s="993">
        <v>370</v>
      </c>
      <c r="LC29" s="993"/>
      <c r="LD29" s="993">
        <v>370</v>
      </c>
      <c r="LE29" s="993">
        <v>370</v>
      </c>
      <c r="LF29" s="993">
        <v>370</v>
      </c>
      <c r="LG29" s="993">
        <v>370</v>
      </c>
      <c r="LH29" s="995">
        <v>0</v>
      </c>
      <c r="LI29" s="995">
        <v>10</v>
      </c>
      <c r="LJ29" s="995">
        <v>20</v>
      </c>
      <c r="LK29" s="995">
        <v>70</v>
      </c>
      <c r="LL29" s="995">
        <v>100</v>
      </c>
      <c r="LM29" s="1004">
        <v>1000</v>
      </c>
      <c r="LN29" s="1019"/>
      <c r="LO29" s="988">
        <v>29</v>
      </c>
      <c r="LP29" s="1022">
        <v>0</v>
      </c>
      <c r="LQ29" s="1022">
        <v>0</v>
      </c>
      <c r="LR29" s="1022">
        <v>0</v>
      </c>
      <c r="LS29" s="1023">
        <v>2</v>
      </c>
      <c r="LT29" s="1023">
        <v>1</v>
      </c>
      <c r="LU29" s="1023">
        <v>0.5</v>
      </c>
      <c r="LV29" s="1023">
        <v>0.7</v>
      </c>
      <c r="LW29" s="1023">
        <v>0.2</v>
      </c>
      <c r="LX29" s="1004">
        <v>1500</v>
      </c>
      <c r="LY29" s="1008">
        <v>500</v>
      </c>
      <c r="LZ29" s="1008">
        <v>1</v>
      </c>
      <c r="MA29" s="997" t="s">
        <v>2914</v>
      </c>
      <c r="MB29" s="1023" t="s">
        <v>905</v>
      </c>
      <c r="MC29" s="1023" t="s">
        <v>2932</v>
      </c>
      <c r="MD29" s="1024" t="s">
        <v>906</v>
      </c>
      <c r="ME29" s="1009">
        <v>0.5</v>
      </c>
      <c r="MF29" s="1010">
        <v>0.75</v>
      </c>
      <c r="MG29" s="1010">
        <v>1</v>
      </c>
      <c r="MH29" s="1010">
        <v>2</v>
      </c>
      <c r="MI29" s="1010">
        <v>0.5</v>
      </c>
      <c r="MJ29" s="1010">
        <v>0.75</v>
      </c>
      <c r="MK29" s="1010">
        <v>1</v>
      </c>
      <c r="ML29" s="1010">
        <v>2</v>
      </c>
      <c r="MM29" s="1010">
        <v>0</v>
      </c>
      <c r="MN29" s="1010">
        <v>0.5</v>
      </c>
      <c r="MO29" s="1010">
        <v>1</v>
      </c>
      <c r="MP29" s="1010">
        <v>2</v>
      </c>
      <c r="MQ29" s="1010">
        <v>0</v>
      </c>
      <c r="MR29" s="1010">
        <v>0.5</v>
      </c>
      <c r="MS29" s="1010">
        <v>1</v>
      </c>
      <c r="MT29" s="1010">
        <v>2</v>
      </c>
      <c r="MU29" s="1001">
        <v>0</v>
      </c>
      <c r="MV29" s="1001">
        <v>0</v>
      </c>
      <c r="MW29" s="1001">
        <v>0</v>
      </c>
      <c r="MX29" s="1025">
        <v>0</v>
      </c>
      <c r="MY29" s="1025">
        <v>0</v>
      </c>
      <c r="MZ29" s="1025">
        <v>0</v>
      </c>
      <c r="NA29" s="1025">
        <v>0</v>
      </c>
      <c r="NB29" s="1025">
        <v>0</v>
      </c>
      <c r="NC29" s="1025">
        <v>0</v>
      </c>
      <c r="ND29" s="1025">
        <v>0</v>
      </c>
      <c r="NE29" s="1025">
        <v>0</v>
      </c>
      <c r="NF29" s="1025">
        <v>0</v>
      </c>
      <c r="NG29" s="1025">
        <v>0</v>
      </c>
      <c r="NH29" s="1025">
        <v>0</v>
      </c>
      <c r="NI29" s="1025">
        <v>0</v>
      </c>
      <c r="NJ29" s="1025">
        <v>0</v>
      </c>
      <c r="NK29" s="1025">
        <v>0</v>
      </c>
      <c r="NL29" s="1025">
        <v>0</v>
      </c>
      <c r="NM29" s="1025">
        <v>0</v>
      </c>
      <c r="NN29" s="1025">
        <v>0</v>
      </c>
      <c r="NO29" s="1025">
        <v>0</v>
      </c>
      <c r="NP29" s="1025">
        <v>0</v>
      </c>
      <c r="NQ29" s="1025">
        <v>0</v>
      </c>
      <c r="NR29" s="1025">
        <v>0</v>
      </c>
      <c r="NS29" s="1025">
        <v>0</v>
      </c>
      <c r="NT29" s="1025">
        <v>0</v>
      </c>
      <c r="NU29" s="1025">
        <v>0</v>
      </c>
      <c r="NV29" s="1025">
        <v>0</v>
      </c>
      <c r="NW29" s="1025">
        <v>0</v>
      </c>
      <c r="NX29" s="1025">
        <v>0</v>
      </c>
      <c r="NY29" s="1025">
        <v>0</v>
      </c>
      <c r="NZ29" s="1025">
        <v>0</v>
      </c>
      <c r="OA29" s="1025">
        <v>0</v>
      </c>
      <c r="OB29" s="1025">
        <v>0</v>
      </c>
      <c r="OC29" s="1025">
        <v>0</v>
      </c>
      <c r="OD29" s="1025">
        <v>0</v>
      </c>
      <c r="OE29" s="1025">
        <v>0</v>
      </c>
      <c r="OF29" s="1025">
        <v>0</v>
      </c>
      <c r="OG29" s="1025">
        <v>0</v>
      </c>
      <c r="OH29" s="1025">
        <v>0</v>
      </c>
      <c r="OI29" s="1025">
        <v>0</v>
      </c>
      <c r="OJ29" s="1025">
        <v>0</v>
      </c>
      <c r="OK29" s="1025">
        <v>0</v>
      </c>
      <c r="OL29" s="1025">
        <v>0</v>
      </c>
      <c r="OM29" s="1025">
        <v>0</v>
      </c>
      <c r="ON29" s="1025">
        <v>0</v>
      </c>
      <c r="OO29" s="1025">
        <v>0</v>
      </c>
      <c r="OP29" s="1025">
        <v>0</v>
      </c>
      <c r="OQ29" s="1025">
        <v>0</v>
      </c>
      <c r="OR29" s="1025">
        <v>0</v>
      </c>
      <c r="OS29" s="1025">
        <v>0</v>
      </c>
      <c r="OT29" s="1025">
        <v>0</v>
      </c>
      <c r="OU29" s="1025">
        <v>0</v>
      </c>
      <c r="OV29" s="1025">
        <v>0</v>
      </c>
      <c r="OW29" s="1025">
        <v>0</v>
      </c>
      <c r="OX29" s="1025">
        <v>0</v>
      </c>
      <c r="OY29" s="1025">
        <v>0</v>
      </c>
      <c r="OZ29" s="1025">
        <v>0</v>
      </c>
      <c r="PA29" s="1025">
        <v>0</v>
      </c>
      <c r="PB29" s="1025">
        <v>0</v>
      </c>
      <c r="PC29" s="1025">
        <v>0</v>
      </c>
      <c r="PD29" s="1025">
        <v>0</v>
      </c>
      <c r="PE29" s="1025">
        <v>0</v>
      </c>
      <c r="PF29" s="1025">
        <v>2.9262068965499998E-3</v>
      </c>
      <c r="PG29" s="1025">
        <v>0</v>
      </c>
      <c r="PH29" s="1025">
        <v>0</v>
      </c>
      <c r="PI29" s="1025">
        <v>0</v>
      </c>
      <c r="PJ29" s="1025">
        <v>6.3836206896549993E-2</v>
      </c>
      <c r="PK29" s="1025">
        <v>0</v>
      </c>
      <c r="PL29" s="1025">
        <v>0</v>
      </c>
      <c r="PM29" s="1025">
        <v>0</v>
      </c>
      <c r="PN29" s="1025">
        <v>0</v>
      </c>
      <c r="PO29" s="1025">
        <v>0</v>
      </c>
      <c r="PP29" s="1025">
        <v>0</v>
      </c>
      <c r="PQ29" s="1025">
        <v>0</v>
      </c>
      <c r="PR29" s="1025">
        <v>0</v>
      </c>
      <c r="PS29" s="1025">
        <v>0</v>
      </c>
      <c r="PT29" s="1025">
        <v>0</v>
      </c>
      <c r="PU29" s="1025">
        <v>0</v>
      </c>
      <c r="PV29" s="1025">
        <v>0</v>
      </c>
      <c r="PW29" s="1025">
        <v>0</v>
      </c>
      <c r="PX29" s="1025">
        <v>0</v>
      </c>
      <c r="PY29" s="1025">
        <v>0</v>
      </c>
      <c r="PZ29" s="1025">
        <v>0</v>
      </c>
      <c r="QA29" s="1025">
        <v>0</v>
      </c>
      <c r="QB29" s="1025">
        <v>0</v>
      </c>
      <c r="QC29" s="1025">
        <v>0</v>
      </c>
      <c r="QD29" s="1025">
        <v>0</v>
      </c>
      <c r="QE29" s="1025">
        <v>0</v>
      </c>
      <c r="QF29" s="1025">
        <v>0</v>
      </c>
      <c r="QG29" s="1025">
        <v>0</v>
      </c>
      <c r="QH29" s="1025">
        <v>0</v>
      </c>
      <c r="QI29" s="1025">
        <v>0</v>
      </c>
      <c r="QJ29" s="1025">
        <v>0</v>
      </c>
      <c r="QK29" s="1025">
        <v>0</v>
      </c>
      <c r="QL29" s="1025">
        <v>0</v>
      </c>
      <c r="QM29" s="1025">
        <v>0</v>
      </c>
      <c r="QN29" s="1025">
        <v>-1.01</v>
      </c>
      <c r="QO29" s="1025">
        <v>0</v>
      </c>
      <c r="QP29" s="1025">
        <v>0</v>
      </c>
      <c r="QQ29" s="1025">
        <v>0</v>
      </c>
      <c r="QR29" s="1025">
        <v>0</v>
      </c>
      <c r="QS29" s="1025">
        <v>0</v>
      </c>
      <c r="QT29" s="1025">
        <v>0</v>
      </c>
      <c r="QU29" s="1025">
        <v>0</v>
      </c>
      <c r="QV29" s="1025">
        <v>0</v>
      </c>
      <c r="QW29" s="1025">
        <v>0</v>
      </c>
      <c r="QX29" s="1025">
        <v>0</v>
      </c>
      <c r="QY29" s="1025">
        <v>0</v>
      </c>
      <c r="QZ29" s="1025">
        <v>0</v>
      </c>
      <c r="RA29" s="1025">
        <v>0</v>
      </c>
      <c r="RB29" s="1025">
        <v>0</v>
      </c>
      <c r="RC29" s="1025">
        <v>0</v>
      </c>
      <c r="RD29" s="1025">
        <v>0</v>
      </c>
      <c r="RE29" s="1025">
        <v>0</v>
      </c>
      <c r="RF29" s="1025">
        <v>0</v>
      </c>
      <c r="RG29" s="1025">
        <v>0</v>
      </c>
      <c r="RH29" s="1011">
        <v>0</v>
      </c>
      <c r="RI29" s="1026">
        <v>0</v>
      </c>
      <c r="RJ29" s="1026">
        <v>0</v>
      </c>
      <c r="RK29" s="1026">
        <v>0</v>
      </c>
      <c r="RL29" s="1026">
        <v>0</v>
      </c>
      <c r="RM29" s="1011">
        <v>0</v>
      </c>
      <c r="RN29" s="1011">
        <v>0</v>
      </c>
      <c r="RO29" s="1011">
        <v>0</v>
      </c>
      <c r="RP29" s="1011">
        <v>0</v>
      </c>
      <c r="RQ29" s="1011">
        <v>0</v>
      </c>
      <c r="RR29" s="1011">
        <v>0</v>
      </c>
      <c r="RS29" s="1011">
        <v>0</v>
      </c>
      <c r="RT29" s="1011">
        <v>0</v>
      </c>
      <c r="RU29" s="1011">
        <v>0</v>
      </c>
      <c r="RV29" s="1011">
        <v>0</v>
      </c>
      <c r="RW29" s="1011">
        <v>0</v>
      </c>
      <c r="RX29" s="1011">
        <v>0</v>
      </c>
      <c r="RY29" s="1011">
        <v>0</v>
      </c>
      <c r="RZ29" s="1026">
        <v>0</v>
      </c>
      <c r="SA29" s="1026">
        <v>0</v>
      </c>
      <c r="SB29" s="1026">
        <v>0</v>
      </c>
      <c r="SC29" s="1026">
        <v>0</v>
      </c>
      <c r="SD29" s="1026">
        <v>0</v>
      </c>
      <c r="SE29" s="1026">
        <v>0</v>
      </c>
      <c r="SF29" s="1026">
        <v>0</v>
      </c>
      <c r="SG29" s="1026">
        <v>0</v>
      </c>
      <c r="SH29" s="1026">
        <v>0</v>
      </c>
      <c r="SI29" s="1026">
        <v>0</v>
      </c>
      <c r="SJ29" s="1026">
        <v>0</v>
      </c>
      <c r="SK29" s="1026">
        <v>0</v>
      </c>
      <c r="SL29" s="1025">
        <v>0</v>
      </c>
      <c r="SM29" s="1025">
        <v>0</v>
      </c>
      <c r="SN29" s="1025">
        <v>0</v>
      </c>
      <c r="SO29" s="1025">
        <v>0</v>
      </c>
      <c r="SP29" s="1025">
        <v>0</v>
      </c>
      <c r="SQ29" s="1025">
        <v>0</v>
      </c>
      <c r="SR29" s="1025">
        <v>0</v>
      </c>
      <c r="SS29" s="1025">
        <v>0</v>
      </c>
      <c r="ST29" s="1025">
        <v>0</v>
      </c>
      <c r="SU29" s="1025">
        <v>0</v>
      </c>
      <c r="SV29" s="1025">
        <v>-1.768</v>
      </c>
      <c r="SW29" s="1025">
        <v>0</v>
      </c>
      <c r="SX29" s="1025">
        <v>-2.2352941175999999E-4</v>
      </c>
      <c r="SY29" s="1025">
        <v>0</v>
      </c>
      <c r="SZ29" s="1025">
        <v>0</v>
      </c>
      <c r="TA29" s="1025">
        <v>0</v>
      </c>
      <c r="TB29" s="1025">
        <v>-1.788</v>
      </c>
      <c r="TC29" s="1025">
        <v>0</v>
      </c>
      <c r="TD29" s="1025">
        <v>0</v>
      </c>
      <c r="TE29" s="1025">
        <v>0</v>
      </c>
      <c r="TF29" s="1025">
        <v>0</v>
      </c>
      <c r="TG29" s="1025">
        <v>0</v>
      </c>
      <c r="TH29" s="1025">
        <v>0</v>
      </c>
      <c r="TI29" s="1025">
        <v>0</v>
      </c>
      <c r="TJ29" s="1025">
        <v>0</v>
      </c>
      <c r="TK29" s="1025">
        <v>0</v>
      </c>
      <c r="TL29" s="1025">
        <v>0</v>
      </c>
      <c r="TM29" s="1025">
        <v>0</v>
      </c>
      <c r="TN29" s="1025">
        <v>0</v>
      </c>
      <c r="TO29" s="1025">
        <v>0</v>
      </c>
      <c r="TP29" s="1025">
        <v>0</v>
      </c>
      <c r="TQ29" s="1025">
        <v>0</v>
      </c>
      <c r="TR29" s="1025">
        <v>0</v>
      </c>
      <c r="TS29" s="1025">
        <v>0</v>
      </c>
      <c r="TT29" s="1025">
        <v>0</v>
      </c>
      <c r="TU29" s="1025">
        <v>0</v>
      </c>
      <c r="TV29" s="1025">
        <v>0</v>
      </c>
      <c r="TW29" s="1025">
        <v>0</v>
      </c>
      <c r="TX29" s="1025">
        <v>0</v>
      </c>
      <c r="TY29" s="1025">
        <v>0</v>
      </c>
      <c r="TZ29" s="1025">
        <v>0</v>
      </c>
      <c r="UA29" s="1025">
        <v>0</v>
      </c>
      <c r="UB29" s="1025">
        <v>-9.9122807018000008E-4</v>
      </c>
      <c r="UC29" s="1025">
        <v>0</v>
      </c>
      <c r="UD29" s="1025">
        <v>0</v>
      </c>
      <c r="UE29" s="1025">
        <v>0</v>
      </c>
      <c r="UF29" s="1025">
        <v>-2.2349999999999999</v>
      </c>
      <c r="UG29" s="1025">
        <v>0</v>
      </c>
      <c r="UH29" s="1025">
        <v>0</v>
      </c>
      <c r="UI29" s="1025">
        <v>0</v>
      </c>
      <c r="UJ29" s="1025">
        <v>0</v>
      </c>
      <c r="UK29" s="1025">
        <v>0</v>
      </c>
      <c r="UL29" s="1025">
        <v>0</v>
      </c>
      <c r="UM29" s="1025">
        <v>0</v>
      </c>
      <c r="UN29" s="1025">
        <v>0</v>
      </c>
      <c r="UO29" s="1025">
        <v>0</v>
      </c>
      <c r="UP29" s="1025">
        <v>0</v>
      </c>
      <c r="UQ29" s="1025">
        <v>0</v>
      </c>
      <c r="UR29" s="1025">
        <v>0</v>
      </c>
      <c r="US29" s="1025">
        <v>0</v>
      </c>
      <c r="UT29" s="1025">
        <v>0</v>
      </c>
      <c r="UU29" s="1025">
        <v>0</v>
      </c>
      <c r="UV29" s="1025">
        <v>0</v>
      </c>
      <c r="UW29" s="1025">
        <v>0</v>
      </c>
      <c r="UX29" s="1025">
        <v>0</v>
      </c>
      <c r="UY29" s="1025">
        <v>0</v>
      </c>
      <c r="UZ29" s="1025">
        <v>2.439119007569E-2</v>
      </c>
      <c r="VA29" s="1025">
        <v>0</v>
      </c>
      <c r="VB29" s="1025">
        <v>0</v>
      </c>
      <c r="VC29" s="1025">
        <v>0</v>
      </c>
      <c r="VD29" s="1025">
        <v>-8.9886459209000005E-4</v>
      </c>
      <c r="VE29" s="1025">
        <v>0</v>
      </c>
      <c r="VF29" s="1025">
        <v>7.7993254600000005E-6</v>
      </c>
      <c r="VG29" s="1025">
        <v>0</v>
      </c>
      <c r="VH29" s="1025">
        <v>0</v>
      </c>
      <c r="VI29" s="1025">
        <v>0</v>
      </c>
      <c r="VJ29" s="1025">
        <v>8.6177276559900005E-3</v>
      </c>
      <c r="VK29" s="1025">
        <v>0</v>
      </c>
      <c r="VL29" s="1025">
        <v>0</v>
      </c>
      <c r="VM29" s="1025">
        <v>0</v>
      </c>
      <c r="VN29" s="1025">
        <v>0</v>
      </c>
      <c r="VO29" s="1025">
        <v>0</v>
      </c>
      <c r="VP29" s="1025">
        <v>0</v>
      </c>
      <c r="VQ29" s="1025">
        <v>0</v>
      </c>
      <c r="VR29" s="1010">
        <v>0</v>
      </c>
      <c r="VS29" s="1010">
        <v>0</v>
      </c>
      <c r="VT29" s="1010">
        <v>0</v>
      </c>
      <c r="VU29" s="1010">
        <v>0</v>
      </c>
      <c r="VV29" s="1010">
        <v>0</v>
      </c>
      <c r="VW29" s="1010">
        <v>0</v>
      </c>
      <c r="VX29" s="1025">
        <v>0</v>
      </c>
      <c r="VY29" s="1025">
        <v>0</v>
      </c>
      <c r="VZ29" s="1025">
        <v>0</v>
      </c>
      <c r="WA29" s="1025">
        <v>0</v>
      </c>
      <c r="WB29" s="1025">
        <v>0</v>
      </c>
      <c r="WC29" s="1025">
        <v>0</v>
      </c>
      <c r="WD29" s="995">
        <v>202</v>
      </c>
      <c r="WE29" s="995">
        <v>267</v>
      </c>
      <c r="WF29" s="995">
        <v>354</v>
      </c>
      <c r="WG29" s="995">
        <v>382</v>
      </c>
      <c r="WH29" s="995">
        <v>403</v>
      </c>
      <c r="WI29" s="995">
        <v>0</v>
      </c>
      <c r="WJ29" s="995">
        <v>1300</v>
      </c>
      <c r="WK29" s="1001">
        <v>0</v>
      </c>
      <c r="WL29" s="1001">
        <v>0</v>
      </c>
      <c r="WM29" s="1001">
        <v>0</v>
      </c>
      <c r="WN29" s="1001">
        <v>0</v>
      </c>
      <c r="WO29" s="1001">
        <v>0</v>
      </c>
      <c r="WP29" s="1001">
        <v>0</v>
      </c>
      <c r="WQ29" s="1001">
        <v>0</v>
      </c>
      <c r="WR29" s="1001">
        <v>0</v>
      </c>
      <c r="WS29" s="1001">
        <v>0</v>
      </c>
      <c r="WT29" s="1001">
        <v>0</v>
      </c>
      <c r="WU29" s="1001">
        <v>0</v>
      </c>
      <c r="WV29" s="1001">
        <v>0</v>
      </c>
      <c r="WW29" s="1001">
        <v>0</v>
      </c>
      <c r="WX29" s="1001">
        <v>0</v>
      </c>
      <c r="WY29" s="1001">
        <v>0</v>
      </c>
      <c r="WZ29" s="1001">
        <v>0</v>
      </c>
      <c r="XA29" s="1001">
        <v>0</v>
      </c>
      <c r="XB29" s="1001">
        <v>0</v>
      </c>
      <c r="XC29" s="1001">
        <v>0</v>
      </c>
      <c r="XD29" s="1001">
        <v>0</v>
      </c>
      <c r="XE29" s="1001">
        <v>0</v>
      </c>
      <c r="XF29" s="1001">
        <v>0</v>
      </c>
      <c r="XG29" s="1001">
        <v>0</v>
      </c>
      <c r="XH29" s="1001">
        <v>0</v>
      </c>
      <c r="XI29" s="1001">
        <v>0</v>
      </c>
      <c r="XJ29" s="1001">
        <v>0</v>
      </c>
      <c r="XK29" s="1001">
        <v>0</v>
      </c>
      <c r="XL29" s="1001">
        <v>0</v>
      </c>
      <c r="XM29" s="1001">
        <v>0</v>
      </c>
      <c r="XN29" s="1001">
        <v>0</v>
      </c>
      <c r="XO29" s="1001">
        <v>0</v>
      </c>
      <c r="XP29" s="1001">
        <v>0</v>
      </c>
      <c r="XQ29" s="1001">
        <v>0</v>
      </c>
      <c r="XR29" s="1027">
        <v>106.4</v>
      </c>
      <c r="XS29" s="1013">
        <v>84.409185803757836</v>
      </c>
      <c r="XT29" s="1013">
        <v>93.294363256784976</v>
      </c>
      <c r="XU29" s="1013">
        <v>97.736951983298539</v>
      </c>
      <c r="XV29" s="1013">
        <v>150.15949895615867</v>
      </c>
      <c r="XW29" s="1028">
        <v>4848.0304169999999</v>
      </c>
      <c r="XX29" s="1013">
        <v>38</v>
      </c>
      <c r="XY29" s="1013">
        <v>24</v>
      </c>
      <c r="XZ29" s="1013">
        <v>38</v>
      </c>
      <c r="YA29" s="1029">
        <v>0</v>
      </c>
      <c r="YB29" s="1013">
        <v>884.63055625790287</v>
      </c>
      <c r="YC29" s="1013">
        <v>0</v>
      </c>
      <c r="YD29" s="1013">
        <v>0</v>
      </c>
      <c r="YE29" s="1013">
        <v>0</v>
      </c>
      <c r="YF29" s="1013">
        <v>0</v>
      </c>
      <c r="YG29" s="1013">
        <v>0</v>
      </c>
      <c r="YH29" s="1013">
        <v>164.28853187646769</v>
      </c>
      <c r="YI29" s="1013">
        <v>0</v>
      </c>
      <c r="YJ29" s="1013">
        <v>948.99222211567621</v>
      </c>
      <c r="YK29" s="1013">
        <v>0</v>
      </c>
      <c r="YL29" s="1013">
        <v>0</v>
      </c>
      <c r="YM29" s="1013">
        <v>0</v>
      </c>
      <c r="YN29" s="1013">
        <v>0</v>
      </c>
      <c r="YO29" s="1013">
        <v>0</v>
      </c>
      <c r="YP29" s="1013">
        <v>176.24141267862561</v>
      </c>
      <c r="YQ29" s="1013">
        <v>0</v>
      </c>
      <c r="YR29" s="1013">
        <v>994.18232793070842</v>
      </c>
      <c r="YS29" s="1013">
        <v>0</v>
      </c>
      <c r="YT29" s="1013">
        <v>0</v>
      </c>
      <c r="YU29" s="1013">
        <v>0</v>
      </c>
      <c r="YV29" s="1013">
        <v>0</v>
      </c>
      <c r="YW29" s="1013">
        <v>0</v>
      </c>
      <c r="YX29" s="1013">
        <v>184.63386090141731</v>
      </c>
      <c r="YY29" s="1013">
        <v>0</v>
      </c>
      <c r="YZ29" s="1013">
        <v>1527.4255765480884</v>
      </c>
      <c r="ZA29" s="1013">
        <v>0</v>
      </c>
      <c r="ZB29" s="1013">
        <v>0</v>
      </c>
      <c r="ZC29" s="1013">
        <v>0</v>
      </c>
      <c r="ZD29" s="1013">
        <v>0</v>
      </c>
      <c r="ZE29" s="1013">
        <v>0</v>
      </c>
      <c r="ZF29" s="1013">
        <v>283.66474993035933</v>
      </c>
      <c r="ZG29" s="1013">
        <v>0</v>
      </c>
      <c r="ZH29" s="1013">
        <v>1011.6241872229264</v>
      </c>
      <c r="ZI29" s="1013">
        <v>0</v>
      </c>
      <c r="ZJ29" s="1013">
        <v>245.68015975413931</v>
      </c>
      <c r="ZK29" s="1013">
        <v>0</v>
      </c>
      <c r="ZL29" s="1013">
        <v>0</v>
      </c>
      <c r="ZM29" s="1013">
        <v>0</v>
      </c>
      <c r="ZN29" s="1013">
        <v>187.87306334140064</v>
      </c>
      <c r="ZO29" s="1013">
        <v>0</v>
      </c>
      <c r="ZP29" s="1013">
        <v>1085.2253277793934</v>
      </c>
      <c r="ZQ29" s="1013">
        <v>0</v>
      </c>
      <c r="ZR29" s="1013">
        <v>263.55472246070985</v>
      </c>
      <c r="ZS29" s="1013">
        <v>0</v>
      </c>
      <c r="ZT29" s="1013">
        <v>0</v>
      </c>
      <c r="ZU29" s="1013">
        <v>0</v>
      </c>
      <c r="ZV29" s="1013">
        <v>201.54184658760164</v>
      </c>
      <c r="ZW29" s="1013">
        <v>0</v>
      </c>
      <c r="ZX29" s="1013">
        <v>1136.9027243403166</v>
      </c>
      <c r="ZY29" s="1013">
        <v>0</v>
      </c>
      <c r="ZZ29" s="1013">
        <v>276.10494733979124</v>
      </c>
      <c r="AAA29" s="1013">
        <v>0</v>
      </c>
      <c r="AAB29" s="1013">
        <v>0</v>
      </c>
      <c r="AAC29" s="1013">
        <v>0</v>
      </c>
      <c r="AAD29" s="1013">
        <v>211.13907737748741</v>
      </c>
      <c r="AAE29" s="1013">
        <v>0</v>
      </c>
      <c r="AAF29" s="1013">
        <v>1746.6960037592139</v>
      </c>
      <c r="AAG29" s="1013">
        <v>0</v>
      </c>
      <c r="AAH29" s="1013">
        <v>424.197600912952</v>
      </c>
      <c r="AAI29" s="1013">
        <v>0</v>
      </c>
      <c r="AAJ29" s="1013">
        <v>0</v>
      </c>
      <c r="AAK29" s="1013">
        <v>0</v>
      </c>
      <c r="AAL29" s="1013">
        <v>324.38640069813977</v>
      </c>
      <c r="AAM29" s="1013">
        <v>0</v>
      </c>
      <c r="AAN29" s="1013">
        <v>2692.2256595448848</v>
      </c>
      <c r="AAO29" s="1013">
        <v>0</v>
      </c>
      <c r="AAP29" s="1013">
        <v>653.82623160375783</v>
      </c>
      <c r="AAQ29" s="1013">
        <v>0</v>
      </c>
      <c r="AAR29" s="1013">
        <v>0</v>
      </c>
      <c r="AAS29" s="1013">
        <v>0</v>
      </c>
      <c r="AAT29" s="1013">
        <v>499.98476534405012</v>
      </c>
      <c r="AAU29" s="1013">
        <v>0</v>
      </c>
      <c r="AAV29" s="1013">
        <v>2975.6178342338203</v>
      </c>
      <c r="AAW29" s="1013">
        <v>0</v>
      </c>
      <c r="AAX29" s="1013">
        <v>722.65004545678505</v>
      </c>
      <c r="AAY29" s="1013">
        <v>0</v>
      </c>
      <c r="AAZ29" s="1013">
        <v>0</v>
      </c>
      <c r="ABA29" s="1013">
        <v>0</v>
      </c>
      <c r="ABB29" s="1013">
        <v>552.61474064342383</v>
      </c>
      <c r="ABC29" s="1013">
        <v>0</v>
      </c>
      <c r="ABD29" s="1013">
        <v>3117.3139215782876</v>
      </c>
      <c r="ABE29" s="1013">
        <v>0</v>
      </c>
      <c r="ABF29" s="1013">
        <v>757.0619523832986</v>
      </c>
      <c r="ABG29" s="1013">
        <v>0</v>
      </c>
      <c r="ABH29" s="1013">
        <v>0</v>
      </c>
      <c r="ABI29" s="1013">
        <v>0</v>
      </c>
      <c r="ABJ29" s="1013">
        <v>578.92972829311066</v>
      </c>
      <c r="ABK29" s="1013">
        <v>0</v>
      </c>
      <c r="ABL29" s="1013">
        <v>4789.3277522430062</v>
      </c>
      <c r="ABM29" s="1013">
        <v>0</v>
      </c>
      <c r="ABN29" s="1013">
        <v>1163.1224541161587</v>
      </c>
      <c r="ABO29" s="1013">
        <v>0</v>
      </c>
      <c r="ABP29" s="1013">
        <v>0</v>
      </c>
      <c r="ABQ29" s="1013">
        <v>0</v>
      </c>
      <c r="ABR29" s="1013">
        <v>889.44658255941556</v>
      </c>
      <c r="ABS29" s="1013">
        <v>0</v>
      </c>
      <c r="ABT29" s="1013">
        <v>3703.8498467678114</v>
      </c>
      <c r="ABU29" s="1013">
        <v>0</v>
      </c>
      <c r="ABV29" s="1013">
        <v>899.5063913578972</v>
      </c>
      <c r="ABW29" s="1013">
        <v>0</v>
      </c>
      <c r="ABX29" s="1013">
        <v>0</v>
      </c>
      <c r="ABY29" s="1013">
        <v>0</v>
      </c>
      <c r="ABZ29" s="1013">
        <v>687.85782868545073</v>
      </c>
      <c r="ACA29" s="1013">
        <v>0</v>
      </c>
      <c r="ACB29" s="1013">
        <v>3920.8140874610344</v>
      </c>
      <c r="ACC29" s="1013">
        <v>0</v>
      </c>
      <c r="ACD29" s="1013">
        <v>952.19770695482271</v>
      </c>
      <c r="ACE29" s="1013">
        <v>0</v>
      </c>
      <c r="ACF29" s="1013">
        <v>0</v>
      </c>
      <c r="ACG29" s="1013">
        <v>0</v>
      </c>
      <c r="ACH29" s="1013">
        <v>728.15118767133504</v>
      </c>
      <c r="ACI29" s="1013">
        <v>0</v>
      </c>
      <c r="ACJ29" s="1013">
        <v>4107.5195201972729</v>
      </c>
      <c r="ACK29" s="1013">
        <v>0</v>
      </c>
      <c r="ACL29" s="1013">
        <v>997.54045490505212</v>
      </c>
      <c r="ACM29" s="1013">
        <v>0</v>
      </c>
      <c r="ACN29" s="1013">
        <v>0</v>
      </c>
      <c r="ACO29" s="1013">
        <v>0</v>
      </c>
      <c r="ACP29" s="1013">
        <v>762.82505375092217</v>
      </c>
      <c r="ACQ29" s="1013">
        <v>0</v>
      </c>
      <c r="ACR29" s="1013">
        <v>6310.6436264849017</v>
      </c>
      <c r="ACS29" s="1013">
        <v>0</v>
      </c>
      <c r="ACT29" s="1013">
        <v>1532.5848807177622</v>
      </c>
      <c r="ACU29" s="1013">
        <v>0</v>
      </c>
      <c r="ACV29" s="1013">
        <v>0</v>
      </c>
      <c r="ACW29" s="1013">
        <v>0</v>
      </c>
      <c r="ACX29" s="1013">
        <v>1171.9766734900534</v>
      </c>
      <c r="ACY29" s="1013">
        <v>0</v>
      </c>
      <c r="ACZ29" s="1013">
        <v>4797.0566297345222</v>
      </c>
      <c r="ADA29" s="1013">
        <v>0</v>
      </c>
      <c r="ADB29" s="1013">
        <v>1164.9994672212413</v>
      </c>
      <c r="ADC29" s="1013">
        <v>0</v>
      </c>
      <c r="ADD29" s="1013">
        <v>0</v>
      </c>
      <c r="ADE29" s="1013">
        <v>0</v>
      </c>
      <c r="ADF29" s="1013">
        <v>890.88194552212565</v>
      </c>
      <c r="ADG29" s="1013">
        <v>0</v>
      </c>
      <c r="ADH29" s="1013">
        <v>5128.5648554735844</v>
      </c>
      <c r="ADI29" s="1013">
        <v>0</v>
      </c>
      <c r="ADJ29" s="1013">
        <v>1245.5086077578708</v>
      </c>
      <c r="ADK29" s="1013">
        <v>0</v>
      </c>
      <c r="ADL29" s="1013">
        <v>0</v>
      </c>
      <c r="ADM29" s="1013">
        <v>0</v>
      </c>
      <c r="ADN29" s="1013">
        <v>952.44775887366586</v>
      </c>
      <c r="ADO29" s="1013">
        <v>0</v>
      </c>
      <c r="ADP29" s="1013">
        <v>5372.7822295437554</v>
      </c>
      <c r="ADQ29" s="1013">
        <v>0</v>
      </c>
      <c r="ADR29" s="1013">
        <v>1304.8185414606264</v>
      </c>
      <c r="ADS29" s="1013">
        <v>0</v>
      </c>
      <c r="ADT29" s="1013">
        <v>0</v>
      </c>
      <c r="ADU29" s="1013">
        <v>0</v>
      </c>
      <c r="ADV29" s="1013">
        <v>997.80241405812603</v>
      </c>
      <c r="ADW29" s="1013">
        <v>0</v>
      </c>
      <c r="ADX29" s="1013">
        <v>8254.5472435717693</v>
      </c>
      <c r="ADY29" s="1013">
        <v>0</v>
      </c>
      <c r="ADZ29" s="1013">
        <v>2004.6757591531443</v>
      </c>
      <c r="AEA29" s="1013">
        <v>0</v>
      </c>
      <c r="AEB29" s="1013">
        <v>0</v>
      </c>
      <c r="AEC29" s="1013">
        <v>0</v>
      </c>
      <c r="AED29" s="1013">
        <v>1532.9873452347574</v>
      </c>
      <c r="AEE29" s="1013">
        <v>0</v>
      </c>
      <c r="AEF29" s="1013">
        <v>5857.6303744037195</v>
      </c>
      <c r="AEG29" s="1013">
        <v>0</v>
      </c>
      <c r="AEH29" s="1013">
        <v>1422.5673766409036</v>
      </c>
      <c r="AEI29" s="1013">
        <v>0</v>
      </c>
      <c r="AEJ29" s="1013">
        <v>0</v>
      </c>
      <c r="AEK29" s="1013">
        <v>0</v>
      </c>
      <c r="AEL29" s="1013">
        <v>1087.8456409606908</v>
      </c>
      <c r="AEM29" s="1013">
        <v>0</v>
      </c>
      <c r="AEN29" s="1013">
        <v>6301.3083548480899</v>
      </c>
      <c r="AEO29" s="1013">
        <v>0</v>
      </c>
      <c r="AEP29" s="1013">
        <v>1530.3177433202507</v>
      </c>
      <c r="AEQ29" s="1013">
        <v>0</v>
      </c>
      <c r="AER29" s="1013">
        <v>0</v>
      </c>
      <c r="AES29" s="1013">
        <v>0</v>
      </c>
      <c r="AET29" s="1013">
        <v>1170.242980186074</v>
      </c>
      <c r="AEU29" s="1013">
        <v>0</v>
      </c>
      <c r="AEV29" s="1013">
        <v>6601.3706574599046</v>
      </c>
      <c r="AEW29" s="1013">
        <v>0</v>
      </c>
      <c r="AEX29" s="1013">
        <v>1603.1900168116913</v>
      </c>
      <c r="AEY29" s="1013">
        <v>0</v>
      </c>
      <c r="AEZ29" s="1013">
        <v>0</v>
      </c>
      <c r="AFA29" s="1013">
        <v>0</v>
      </c>
      <c r="AFB29" s="1013">
        <v>1225.9688363854109</v>
      </c>
      <c r="AFC29" s="1013">
        <v>0</v>
      </c>
      <c r="AFD29" s="1013">
        <v>10142.105828279307</v>
      </c>
      <c r="AFE29" s="1013">
        <v>0</v>
      </c>
      <c r="AFF29" s="1013">
        <v>2463.0828440106893</v>
      </c>
      <c r="AFG29" s="1013">
        <v>0</v>
      </c>
      <c r="AFH29" s="1013">
        <v>0</v>
      </c>
      <c r="AFI29" s="1013">
        <v>0</v>
      </c>
      <c r="AFJ29" s="1013">
        <v>1883.5339395375859</v>
      </c>
      <c r="AFK29" s="1013">
        <v>0</v>
      </c>
      <c r="AFL29" s="1023">
        <v>6755.0389275853486</v>
      </c>
      <c r="AFM29" s="1023">
        <v>0</v>
      </c>
      <c r="AFN29" s="1023">
        <v>1640.5094538421563</v>
      </c>
      <c r="AFO29" s="1023">
        <v>0</v>
      </c>
      <c r="AFP29" s="1023">
        <v>0</v>
      </c>
      <c r="AFQ29" s="1023">
        <v>0</v>
      </c>
      <c r="AFR29" s="1023">
        <v>1254.5072294087076</v>
      </c>
      <c r="AFS29" s="1023">
        <v>0</v>
      </c>
      <c r="AFT29" s="1023">
        <v>7176.4900707992138</v>
      </c>
      <c r="AFU29" s="1023">
        <v>0</v>
      </c>
      <c r="AFV29" s="1023">
        <v>1742.8618743369523</v>
      </c>
      <c r="AFW29" s="1023">
        <v>0</v>
      </c>
      <c r="AFX29" s="1023">
        <v>0</v>
      </c>
      <c r="AFY29" s="1023">
        <v>0</v>
      </c>
      <c r="AFZ29" s="1023">
        <v>1332.77672743414</v>
      </c>
      <c r="AGA29" s="1023">
        <v>0</v>
      </c>
      <c r="AGB29" s="1023">
        <v>7518.2276932182222</v>
      </c>
      <c r="AGC29" s="1023">
        <v>0</v>
      </c>
      <c r="AGD29" s="1023">
        <v>1825.8552969244258</v>
      </c>
      <c r="AGE29" s="1023">
        <v>0</v>
      </c>
      <c r="AGF29" s="1023">
        <v>0</v>
      </c>
      <c r="AGG29" s="1023">
        <v>0</v>
      </c>
      <c r="AGH29" s="1023">
        <v>1396.2422858833843</v>
      </c>
      <c r="AGI29" s="1023">
        <v>0</v>
      </c>
      <c r="AGJ29" s="1023">
        <v>11550.731637762545</v>
      </c>
      <c r="AGK29" s="1023">
        <v>0</v>
      </c>
      <c r="AGL29" s="1023">
        <v>2805.1776834566185</v>
      </c>
      <c r="AGM29" s="1023">
        <v>0</v>
      </c>
      <c r="AGN29" s="1023">
        <v>0</v>
      </c>
      <c r="AGO29" s="1023">
        <v>0</v>
      </c>
      <c r="AGP29" s="1023">
        <v>2145.1358755844726</v>
      </c>
      <c r="AGQ29" s="1023">
        <v>0</v>
      </c>
      <c r="AGR29" s="1030">
        <v>2692.2256595448848</v>
      </c>
      <c r="AGS29" s="1030">
        <v>0</v>
      </c>
      <c r="AGT29" s="1030">
        <v>653.82623160375783</v>
      </c>
      <c r="AGU29" s="1030">
        <v>0</v>
      </c>
      <c r="AGV29" s="1030">
        <v>0</v>
      </c>
      <c r="AGW29" s="1030">
        <v>0</v>
      </c>
      <c r="AGX29" s="1030">
        <v>499.98476534405012</v>
      </c>
      <c r="AGY29" s="1030">
        <v>0</v>
      </c>
      <c r="AGZ29" s="1030">
        <v>2975.6178342338203</v>
      </c>
      <c r="AHA29" s="1030">
        <v>0</v>
      </c>
      <c r="AHB29" s="1030">
        <v>722.65004545678505</v>
      </c>
      <c r="AHC29" s="1030">
        <v>0</v>
      </c>
      <c r="AHD29" s="1030">
        <v>0</v>
      </c>
      <c r="AHE29" s="1030">
        <v>0</v>
      </c>
      <c r="AHF29" s="1030">
        <v>552.61474064342383</v>
      </c>
      <c r="AHG29" s="1030">
        <v>0</v>
      </c>
      <c r="AHH29" s="1030">
        <v>3117.3139215782876</v>
      </c>
      <c r="AHI29" s="1030">
        <v>0</v>
      </c>
      <c r="AHJ29" s="1030">
        <v>757.0619523832986</v>
      </c>
      <c r="AHK29" s="1030">
        <v>0</v>
      </c>
      <c r="AHL29" s="1030">
        <v>0</v>
      </c>
      <c r="AHM29" s="1030">
        <v>0</v>
      </c>
      <c r="AHN29" s="1030">
        <v>578.92972829311066</v>
      </c>
      <c r="AHO29" s="1030">
        <v>0</v>
      </c>
      <c r="AHP29" s="1030">
        <v>4789.3277522430062</v>
      </c>
      <c r="AHQ29" s="1030">
        <v>0</v>
      </c>
      <c r="AHR29" s="1030">
        <v>1163.1224541161587</v>
      </c>
      <c r="AHS29" s="1030">
        <v>0</v>
      </c>
      <c r="AHT29" s="1030">
        <v>0</v>
      </c>
      <c r="AHU29" s="1030">
        <v>0</v>
      </c>
      <c r="AHV29" s="1030">
        <v>889.44658255941556</v>
      </c>
      <c r="AHW29" s="1030">
        <v>0</v>
      </c>
      <c r="AHX29" s="1013">
        <v>165</v>
      </c>
      <c r="AHY29" s="1023">
        <v>0</v>
      </c>
      <c r="AHZ29" s="1023">
        <v>0</v>
      </c>
      <c r="AIA29" s="1023">
        <v>0</v>
      </c>
      <c r="AIB29" s="1023">
        <v>0</v>
      </c>
      <c r="AIC29" s="1023">
        <v>0</v>
      </c>
      <c r="AID29" s="1023">
        <v>0</v>
      </c>
      <c r="AIE29" s="1023">
        <v>0</v>
      </c>
      <c r="AIF29" s="1017">
        <v>420</v>
      </c>
      <c r="AIG29" s="1017">
        <v>32.409999999999997</v>
      </c>
      <c r="AIH29" s="1017">
        <v>27.01</v>
      </c>
      <c r="AII29" s="1017">
        <v>0</v>
      </c>
      <c r="AIJ29" s="1017">
        <v>2.52</v>
      </c>
      <c r="AIK29" s="1017">
        <v>3.06</v>
      </c>
      <c r="AIL29" s="1017">
        <v>0</v>
      </c>
      <c r="AIM29" s="1017">
        <v>0</v>
      </c>
      <c r="AIN29" s="1016">
        <v>350</v>
      </c>
      <c r="AIO29" s="1016">
        <v>64.819999999999993</v>
      </c>
      <c r="AIP29" s="1017">
        <v>54.02</v>
      </c>
      <c r="AIQ29" s="1017">
        <v>0</v>
      </c>
      <c r="AIR29" s="1017">
        <v>5.04</v>
      </c>
      <c r="AIS29" s="1017">
        <v>6.12</v>
      </c>
      <c r="AIT29" s="1017">
        <v>0</v>
      </c>
      <c r="AIU29" s="1017">
        <v>0</v>
      </c>
      <c r="AIV29" s="1017">
        <v>377.49165362646158</v>
      </c>
      <c r="AIW29" s="1017">
        <v>0</v>
      </c>
      <c r="AIX29" s="1017">
        <v>94.372913406615396</v>
      </c>
      <c r="AIY29" s="1017">
        <v>0</v>
      </c>
      <c r="AIZ29" s="1017">
        <v>0</v>
      </c>
      <c r="AJA29" s="1017">
        <v>0</v>
      </c>
      <c r="AJB29" s="1017">
        <v>0</v>
      </c>
      <c r="AJC29" s="1017">
        <v>0</v>
      </c>
      <c r="AJD29" s="1017">
        <v>129.6</v>
      </c>
      <c r="AJE29" s="1017">
        <v>96.93</v>
      </c>
      <c r="AJF29" s="1017">
        <v>80.78</v>
      </c>
      <c r="AJG29" s="1017">
        <v>0</v>
      </c>
      <c r="AJH29" s="1017">
        <v>7.54</v>
      </c>
      <c r="AJI29" s="1017">
        <v>9.15</v>
      </c>
      <c r="AJJ29" s="1017">
        <v>0</v>
      </c>
      <c r="AJK29" s="1013">
        <v>0</v>
      </c>
      <c r="AJL29" s="1013">
        <v>160</v>
      </c>
      <c r="AJM29" s="1013">
        <v>17.45</v>
      </c>
      <c r="AJN29" s="1013">
        <v>14.54</v>
      </c>
      <c r="AJO29" s="1013">
        <v>0</v>
      </c>
      <c r="AJP29" s="1013">
        <v>1.36</v>
      </c>
      <c r="AJQ29" s="1013">
        <v>1.65</v>
      </c>
      <c r="AJR29" s="1013">
        <v>0</v>
      </c>
      <c r="AJS29" s="1013">
        <v>0</v>
      </c>
      <c r="AJT29" s="1029" t="s">
        <v>858</v>
      </c>
      <c r="AJU29" s="988" t="s">
        <v>861</v>
      </c>
      <c r="AJV29" s="988" t="s">
        <v>860</v>
      </c>
      <c r="AJW29" s="988" t="s">
        <v>859</v>
      </c>
      <c r="AJX29" s="988" t="s">
        <v>870</v>
      </c>
      <c r="AJY29" s="988" t="s">
        <v>871</v>
      </c>
      <c r="AJZ29" s="988" t="s">
        <v>872</v>
      </c>
      <c r="AKA29" s="988" t="s">
        <v>873</v>
      </c>
      <c r="AKB29" s="988" t="s">
        <v>874</v>
      </c>
      <c r="AKC29" s="988" t="s">
        <v>875</v>
      </c>
      <c r="AKD29" s="1013">
        <v>123.75</v>
      </c>
      <c r="AKE29" s="1013">
        <v>0</v>
      </c>
      <c r="AKF29" s="1013">
        <v>0</v>
      </c>
      <c r="AKG29" s="1013">
        <v>0</v>
      </c>
      <c r="AKH29" s="1013">
        <v>0</v>
      </c>
      <c r="AKI29" s="1013">
        <v>0</v>
      </c>
      <c r="AKJ29" s="1013">
        <v>0</v>
      </c>
      <c r="AKK29" s="1013">
        <v>0</v>
      </c>
      <c r="AKL29" s="1017">
        <v>363.74999999999994</v>
      </c>
      <c r="AKM29" s="1017">
        <v>0</v>
      </c>
      <c r="AKN29" s="1017">
        <v>0</v>
      </c>
      <c r="AKO29" s="1017">
        <v>0</v>
      </c>
      <c r="AKP29" s="1017">
        <v>0</v>
      </c>
      <c r="AKQ29" s="1017">
        <v>0</v>
      </c>
      <c r="AKR29" s="1017">
        <v>0</v>
      </c>
      <c r="AKS29" s="1017">
        <v>0</v>
      </c>
      <c r="AKT29" s="1016">
        <v>360</v>
      </c>
      <c r="AKU29" s="1016">
        <v>0</v>
      </c>
      <c r="AKV29" s="1017">
        <v>0</v>
      </c>
      <c r="AKW29" s="1017">
        <v>0</v>
      </c>
      <c r="AKX29" s="1017">
        <v>0</v>
      </c>
      <c r="AKY29" s="1017">
        <v>0</v>
      </c>
      <c r="AKZ29" s="1017">
        <v>0</v>
      </c>
      <c r="ALA29" s="1017">
        <v>0</v>
      </c>
      <c r="ALB29" s="1017">
        <v>353.89842527480772</v>
      </c>
      <c r="ALC29" s="1017">
        <v>0</v>
      </c>
      <c r="ALD29" s="1017">
        <v>0</v>
      </c>
      <c r="ALE29" s="1017">
        <v>0</v>
      </c>
      <c r="ALF29" s="1017">
        <v>0</v>
      </c>
      <c r="ALG29" s="1017">
        <v>0</v>
      </c>
      <c r="ALH29" s="1017">
        <v>0</v>
      </c>
      <c r="ALI29" s="1017">
        <v>0</v>
      </c>
      <c r="ALJ29" s="1017">
        <v>243</v>
      </c>
      <c r="ALK29" s="1017">
        <v>0</v>
      </c>
      <c r="ALL29" s="1017">
        <v>0</v>
      </c>
      <c r="ALM29" s="1017">
        <v>0</v>
      </c>
      <c r="ALN29" s="1017">
        <v>0</v>
      </c>
      <c r="ALO29" s="1017">
        <v>0</v>
      </c>
      <c r="ALP29" s="1017">
        <v>0</v>
      </c>
      <c r="ALQ29" s="1013">
        <v>0</v>
      </c>
      <c r="ALR29" s="1013">
        <v>146.25</v>
      </c>
      <c r="ALS29" s="1013">
        <v>0</v>
      </c>
      <c r="ALT29" s="1013">
        <v>0</v>
      </c>
      <c r="ALU29" s="1013">
        <v>0</v>
      </c>
      <c r="ALV29" s="1013">
        <v>0</v>
      </c>
      <c r="ALW29" s="1013">
        <v>0</v>
      </c>
      <c r="ALX29" s="1013">
        <v>0</v>
      </c>
      <c r="ALY29" s="1013">
        <v>0</v>
      </c>
    </row>
    <row r="30" spans="1:1013" ht="18" customHeight="1">
      <c r="A30" s="1259" t="s">
        <v>19</v>
      </c>
      <c r="B30" s="1260" t="s">
        <v>3063</v>
      </c>
      <c r="C30" s="1260">
        <v>2022</v>
      </c>
      <c r="D30" s="1269"/>
      <c r="E30" s="1270">
        <v>0.2</v>
      </c>
      <c r="F30" s="1271">
        <v>-0.1</v>
      </c>
      <c r="G30" s="1271">
        <v>-0.1</v>
      </c>
      <c r="H30" s="76">
        <v>408.17796610169495</v>
      </c>
      <c r="I30" s="72">
        <v>-1.1000000000000001</v>
      </c>
      <c r="J30" s="1271">
        <v>-2.2000000000000002</v>
      </c>
      <c r="K30" s="1271">
        <v>-2.2000000000000002</v>
      </c>
      <c r="L30" s="1265">
        <v>350</v>
      </c>
      <c r="M30" s="1262">
        <v>0</v>
      </c>
      <c r="N30" s="1262">
        <v>0</v>
      </c>
      <c r="O30" s="1262">
        <v>0</v>
      </c>
      <c r="P30" s="76">
        <v>308.46428466997793</v>
      </c>
      <c r="Q30" s="75">
        <v>12</v>
      </c>
      <c r="R30" s="72">
        <v>0.7</v>
      </c>
      <c r="S30" s="72">
        <v>0.6</v>
      </c>
      <c r="T30" s="72">
        <v>0.6</v>
      </c>
      <c r="U30" s="1271">
        <v>1.3</v>
      </c>
      <c r="V30" s="1271">
        <v>0</v>
      </c>
      <c r="W30" s="1271">
        <v>92.1</v>
      </c>
      <c r="X30" s="1271">
        <v>6.6</v>
      </c>
      <c r="Y30" s="1272">
        <v>0</v>
      </c>
      <c r="Z30" s="75">
        <v>2</v>
      </c>
      <c r="AA30" s="72">
        <v>1.5</v>
      </c>
      <c r="AB30" s="75">
        <v>1</v>
      </c>
      <c r="AC30" s="72">
        <v>0.8</v>
      </c>
      <c r="AD30" s="72">
        <v>0.5</v>
      </c>
      <c r="AE30" s="390">
        <v>433.01922201480062</v>
      </c>
      <c r="AF30" s="390">
        <v>470.67306740739195</v>
      </c>
      <c r="AG30" s="390">
        <v>433.37222681535616</v>
      </c>
      <c r="AH30" s="390">
        <v>649.0581599547935</v>
      </c>
      <c r="AI30" s="400">
        <v>0.82209484106305364</v>
      </c>
      <c r="AJ30" s="390">
        <v>261.91600618637949</v>
      </c>
      <c r="AK30" s="390">
        <v>284.69131107215162</v>
      </c>
      <c r="AL30" s="390">
        <v>262.12952466968363</v>
      </c>
      <c r="AM30" s="390">
        <v>392.58931796849708</v>
      </c>
      <c r="AN30" s="400">
        <v>0.96717040125065135</v>
      </c>
      <c r="AO30" s="77">
        <v>0.4</v>
      </c>
      <c r="AP30" s="77">
        <v>0.7</v>
      </c>
      <c r="AQ30" s="77">
        <v>1.1000000000000001</v>
      </c>
      <c r="AR30" s="77">
        <v>1.5</v>
      </c>
      <c r="AS30" s="77">
        <v>1.9</v>
      </c>
      <c r="AT30" s="77">
        <v>2.2999999999999998</v>
      </c>
      <c r="AU30" s="77">
        <v>2.6</v>
      </c>
      <c r="AV30" s="1268">
        <v>0</v>
      </c>
      <c r="AW30" s="1268">
        <v>10</v>
      </c>
      <c r="AX30" s="1268">
        <v>20</v>
      </c>
      <c r="AY30" s="1268">
        <v>70</v>
      </c>
      <c r="AZ30" s="1268">
        <v>100</v>
      </c>
      <c r="BA30" s="1019">
        <v>8446.9117123570486</v>
      </c>
      <c r="BB30" s="1031">
        <v>1.33</v>
      </c>
      <c r="BC30" s="988">
        <v>0.6</v>
      </c>
      <c r="BD30" s="988">
        <v>0.4</v>
      </c>
      <c r="BE30" s="988">
        <v>0.4</v>
      </c>
      <c r="BF30" s="1021">
        <v>0.17424004435335025</v>
      </c>
      <c r="BG30" s="1021">
        <v>0.17685328942052908</v>
      </c>
      <c r="BH30" s="1020">
        <v>1.2907215009659738</v>
      </c>
      <c r="BI30" s="1020">
        <v>0.11006682885348625</v>
      </c>
      <c r="BJ30" s="1020">
        <v>2.6350627139697469</v>
      </c>
      <c r="BK30" s="1020">
        <v>78.025948619547663</v>
      </c>
      <c r="BL30" s="1020">
        <v>2.224370950121326</v>
      </c>
      <c r="BM30" s="1020">
        <v>0.87060505452459369</v>
      </c>
      <c r="BN30" s="1020">
        <v>13.38681915503906</v>
      </c>
      <c r="BO30" s="1020">
        <v>7.1851984911083175E-2</v>
      </c>
      <c r="BP30" s="1020">
        <v>0.15027880791677825</v>
      </c>
      <c r="BQ30" s="1020">
        <v>2.0195748413483712E-4</v>
      </c>
      <c r="BR30" s="1020">
        <v>3.8506560308375612E-2</v>
      </c>
      <c r="BS30" s="1020">
        <v>0</v>
      </c>
      <c r="BT30" s="1020">
        <v>0</v>
      </c>
      <c r="BU30" s="1020">
        <v>0</v>
      </c>
      <c r="BV30" s="1020">
        <v>1.1955658663577764</v>
      </c>
      <c r="BW30" s="993">
        <v>261.13475999999997</v>
      </c>
      <c r="BX30" s="993">
        <v>96.5</v>
      </c>
      <c r="BY30" s="993">
        <v>63.215999999999994</v>
      </c>
      <c r="BZ30" s="993">
        <v>233.35949490734063</v>
      </c>
      <c r="CA30" s="993">
        <v>157.40783999999999</v>
      </c>
      <c r="CB30" s="990"/>
      <c r="CC30" s="993">
        <v>256.20808011776955</v>
      </c>
      <c r="CD30" s="993">
        <v>165.17663999999999</v>
      </c>
      <c r="CE30" s="990"/>
      <c r="CF30" s="989">
        <v>0</v>
      </c>
      <c r="CG30" s="993">
        <v>6.585</v>
      </c>
      <c r="CH30" s="993">
        <v>1.3169999999999999</v>
      </c>
      <c r="CI30" s="993">
        <v>38</v>
      </c>
      <c r="CJ30" s="993">
        <v>225.83915999999996</v>
      </c>
      <c r="CK30" s="990">
        <v>0.2</v>
      </c>
      <c r="CL30" s="993">
        <v>175.08124000000001</v>
      </c>
      <c r="CM30" s="993">
        <v>60.4</v>
      </c>
      <c r="CN30" s="993">
        <v>42.384</v>
      </c>
      <c r="CO30" s="993">
        <v>156.45894761061641</v>
      </c>
      <c r="CP30" s="993">
        <v>105.53616</v>
      </c>
      <c r="CQ30" s="990"/>
      <c r="CR30" s="993">
        <v>159.24945066654416</v>
      </c>
      <c r="CS30" s="993">
        <v>102.66767999999999</v>
      </c>
      <c r="CT30" s="990"/>
      <c r="CU30" s="993">
        <v>0</v>
      </c>
      <c r="CV30" s="993">
        <v>4.415</v>
      </c>
      <c r="CW30" s="993">
        <v>0.88300000000000001</v>
      </c>
      <c r="CX30" s="993">
        <v>27</v>
      </c>
      <c r="CY30" s="993">
        <v>151.41683999999998</v>
      </c>
      <c r="CZ30" s="990">
        <v>0.2</v>
      </c>
      <c r="DA30" s="988">
        <v>0.3</v>
      </c>
      <c r="DB30" s="988">
        <v>0.7</v>
      </c>
      <c r="DC30" s="988">
        <v>1.2</v>
      </c>
      <c r="DD30" s="988">
        <v>1.2</v>
      </c>
      <c r="DE30" s="1022">
        <v>3</v>
      </c>
      <c r="DF30" s="995">
        <v>0</v>
      </c>
      <c r="DG30" s="995">
        <v>10</v>
      </c>
      <c r="DH30" s="995">
        <v>20</v>
      </c>
      <c r="DI30" s="995">
        <v>70</v>
      </c>
      <c r="DJ30" s="995">
        <v>100</v>
      </c>
      <c r="DK30" s="1017">
        <v>29.784700391950636</v>
      </c>
      <c r="DL30" s="1022">
        <v>18</v>
      </c>
      <c r="DM30" s="989">
        <v>12</v>
      </c>
      <c r="DN30" s="988">
        <v>1.3</v>
      </c>
      <c r="DO30" s="988">
        <v>0.9</v>
      </c>
      <c r="DP30" s="988">
        <v>0.9</v>
      </c>
      <c r="DQ30" s="988" t="s">
        <v>666</v>
      </c>
      <c r="DR30" s="988" t="s">
        <v>667</v>
      </c>
      <c r="DS30" s="988" t="s">
        <v>640</v>
      </c>
      <c r="DT30" s="988" t="s">
        <v>640</v>
      </c>
      <c r="DU30" s="988" t="s">
        <v>640</v>
      </c>
      <c r="DV30" s="988" t="s">
        <v>640</v>
      </c>
      <c r="DW30" s="988" t="s">
        <v>640</v>
      </c>
      <c r="DX30" s="997">
        <v>213.35139051807917</v>
      </c>
      <c r="DY30" s="997">
        <v>307.1486094819208</v>
      </c>
      <c r="DZ30" s="997">
        <v>0</v>
      </c>
      <c r="EA30" s="997">
        <v>0</v>
      </c>
      <c r="EB30" s="997">
        <v>0</v>
      </c>
      <c r="EC30" s="997">
        <v>0</v>
      </c>
      <c r="ED30" s="997">
        <v>0</v>
      </c>
      <c r="EE30" s="1022">
        <v>0.52049999999999996</v>
      </c>
      <c r="EF30" s="1022">
        <v>18</v>
      </c>
      <c r="EG30" s="991">
        <v>5</v>
      </c>
      <c r="EH30" s="1023">
        <v>1.3</v>
      </c>
      <c r="EI30" s="1023">
        <v>0.9</v>
      </c>
      <c r="EJ30" s="1023">
        <v>0.9</v>
      </c>
      <c r="EK30" s="988" t="s">
        <v>666</v>
      </c>
      <c r="EL30" s="988" t="s">
        <v>667</v>
      </c>
      <c r="EM30" s="988" t="s">
        <v>722</v>
      </c>
      <c r="EN30" s="988" t="s">
        <v>737</v>
      </c>
      <c r="EO30" s="988" t="s">
        <v>640</v>
      </c>
      <c r="EP30" s="988" t="s">
        <v>640</v>
      </c>
      <c r="EQ30" s="988" t="s">
        <v>640</v>
      </c>
      <c r="ER30" s="988" t="s">
        <v>640</v>
      </c>
      <c r="ES30" s="988" t="s">
        <v>640</v>
      </c>
      <c r="ET30" s="988" t="s">
        <v>640</v>
      </c>
      <c r="EU30" s="988" t="s">
        <v>640</v>
      </c>
      <c r="EV30" s="988" t="s">
        <v>640</v>
      </c>
      <c r="EW30" s="988" t="s">
        <v>640</v>
      </c>
      <c r="EX30" s="988" t="s">
        <v>640</v>
      </c>
      <c r="EY30" s="988" t="s">
        <v>640</v>
      </c>
      <c r="EZ30" s="988" t="s">
        <v>640</v>
      </c>
      <c r="FA30" s="988" t="s">
        <v>640</v>
      </c>
      <c r="FB30" s="988" t="s">
        <v>640</v>
      </c>
      <c r="FC30" s="988" t="s">
        <v>640</v>
      </c>
      <c r="FD30" s="988" t="s">
        <v>640</v>
      </c>
      <c r="FE30" s="988" t="s">
        <v>640</v>
      </c>
      <c r="FF30" s="988" t="s">
        <v>640</v>
      </c>
      <c r="FG30" s="988" t="s">
        <v>640</v>
      </c>
      <c r="FH30" s="988" t="s">
        <v>640</v>
      </c>
      <c r="FI30" s="988" t="s">
        <v>640</v>
      </c>
      <c r="FJ30" s="988" t="s">
        <v>640</v>
      </c>
      <c r="FK30" s="988" t="s">
        <v>640</v>
      </c>
      <c r="FL30" s="988" t="s">
        <v>640</v>
      </c>
      <c r="FM30" s="988" t="s">
        <v>640</v>
      </c>
      <c r="FN30" s="988" t="s">
        <v>640</v>
      </c>
      <c r="FO30" s="988" t="s">
        <v>640</v>
      </c>
      <c r="FP30" s="988" t="s">
        <v>640</v>
      </c>
      <c r="FQ30" s="988" t="s">
        <v>640</v>
      </c>
      <c r="FR30" s="988" t="s">
        <v>640</v>
      </c>
      <c r="FS30" s="988" t="s">
        <v>640</v>
      </c>
      <c r="FT30" s="988" t="s">
        <v>640</v>
      </c>
      <c r="FU30" s="988" t="s">
        <v>640</v>
      </c>
      <c r="FV30" s="988" t="s">
        <v>640</v>
      </c>
      <c r="FW30" s="988" t="s">
        <v>640</v>
      </c>
      <c r="FX30" s="988" t="s">
        <v>640</v>
      </c>
      <c r="FY30" s="988" t="s">
        <v>640</v>
      </c>
      <c r="FZ30" s="988" t="s">
        <v>640</v>
      </c>
      <c r="GA30" s="988" t="s">
        <v>640</v>
      </c>
      <c r="GB30" s="988" t="s">
        <v>640</v>
      </c>
      <c r="GC30" s="988" t="s">
        <v>640</v>
      </c>
      <c r="GD30" s="988" t="s">
        <v>640</v>
      </c>
      <c r="GE30" s="988" t="s">
        <v>640</v>
      </c>
      <c r="GF30" s="988" t="s">
        <v>640</v>
      </c>
      <c r="GG30" s="988" t="s">
        <v>640</v>
      </c>
      <c r="GH30" s="988" t="s">
        <v>640</v>
      </c>
      <c r="GI30" s="988" t="s">
        <v>640</v>
      </c>
      <c r="GJ30" s="988" t="s">
        <v>640</v>
      </c>
      <c r="GK30" s="988" t="s">
        <v>640</v>
      </c>
      <c r="GL30" s="988" t="s">
        <v>640</v>
      </c>
      <c r="GM30" s="988" t="s">
        <v>640</v>
      </c>
      <c r="GN30" s="988" t="s">
        <v>640</v>
      </c>
      <c r="GO30" s="988" t="s">
        <v>640</v>
      </c>
      <c r="GP30" s="988" t="s">
        <v>640</v>
      </c>
      <c r="GQ30" s="997">
        <v>154.61346863468634</v>
      </c>
      <c r="GR30" s="997">
        <v>144.049815498155</v>
      </c>
      <c r="GS30" s="997">
        <v>201.66974169741701</v>
      </c>
      <c r="GT30" s="997">
        <v>20.166974169741696</v>
      </c>
      <c r="GU30" s="997">
        <v>0</v>
      </c>
      <c r="GV30" s="997">
        <v>0</v>
      </c>
      <c r="GW30" s="997">
        <v>0</v>
      </c>
      <c r="GX30" s="997">
        <v>0</v>
      </c>
      <c r="GY30" s="997">
        <v>0</v>
      </c>
      <c r="GZ30" s="997">
        <v>0</v>
      </c>
      <c r="HA30" s="997">
        <v>0</v>
      </c>
      <c r="HB30" s="997">
        <v>0</v>
      </c>
      <c r="HC30" s="997">
        <v>0</v>
      </c>
      <c r="HD30" s="997">
        <v>0</v>
      </c>
      <c r="HE30" s="997">
        <v>0</v>
      </c>
      <c r="HF30" s="997">
        <v>0</v>
      </c>
      <c r="HG30" s="997">
        <v>0</v>
      </c>
      <c r="HH30" s="997">
        <v>0</v>
      </c>
      <c r="HI30" s="997">
        <v>0</v>
      </c>
      <c r="HJ30" s="997">
        <v>0</v>
      </c>
      <c r="HK30" s="997">
        <v>0</v>
      </c>
      <c r="HL30" s="997">
        <v>0</v>
      </c>
      <c r="HM30" s="997">
        <v>0</v>
      </c>
      <c r="HN30" s="997">
        <v>0</v>
      </c>
      <c r="HO30" s="997">
        <v>0</v>
      </c>
      <c r="HP30" s="997">
        <v>0</v>
      </c>
      <c r="HQ30" s="997">
        <v>0</v>
      </c>
      <c r="HR30" s="997">
        <v>0</v>
      </c>
      <c r="HS30" s="997">
        <v>0</v>
      </c>
      <c r="HT30" s="997">
        <v>0</v>
      </c>
      <c r="HU30" s="997">
        <v>0</v>
      </c>
      <c r="HV30" s="997">
        <v>0</v>
      </c>
      <c r="HW30" s="997">
        <v>0</v>
      </c>
      <c r="HX30" s="997">
        <v>0</v>
      </c>
      <c r="HY30" s="997">
        <v>0</v>
      </c>
      <c r="HZ30" s="997">
        <v>0</v>
      </c>
      <c r="IA30" s="997">
        <v>0</v>
      </c>
      <c r="IB30" s="997">
        <v>0</v>
      </c>
      <c r="IC30" s="997">
        <v>0</v>
      </c>
      <c r="ID30" s="997">
        <v>0</v>
      </c>
      <c r="IE30" s="997">
        <v>0</v>
      </c>
      <c r="IF30" s="997">
        <v>0</v>
      </c>
      <c r="IG30" s="997">
        <v>0</v>
      </c>
      <c r="IH30" s="997">
        <v>0</v>
      </c>
      <c r="II30" s="997">
        <v>0</v>
      </c>
      <c r="IJ30" s="997">
        <v>0</v>
      </c>
      <c r="IK30" s="997">
        <v>0</v>
      </c>
      <c r="IL30" s="997">
        <v>0</v>
      </c>
      <c r="IM30" s="997">
        <v>0</v>
      </c>
      <c r="IN30" s="997">
        <v>0</v>
      </c>
      <c r="IO30" s="997">
        <v>0</v>
      </c>
      <c r="IP30" s="997">
        <v>0</v>
      </c>
      <c r="IQ30" s="997">
        <v>0</v>
      </c>
      <c r="IR30" s="997">
        <v>0</v>
      </c>
      <c r="IS30" s="997">
        <v>0</v>
      </c>
      <c r="IT30" s="997">
        <v>0</v>
      </c>
      <c r="IU30" s="997">
        <v>0</v>
      </c>
      <c r="IV30" s="997">
        <v>0</v>
      </c>
      <c r="IW30" s="1019">
        <v>1081.2332639882943</v>
      </c>
      <c r="IX30" s="1022">
        <v>179.9</v>
      </c>
      <c r="IY30" s="998">
        <v>2647.0800000000199</v>
      </c>
      <c r="IZ30" s="429">
        <v>12.64</v>
      </c>
      <c r="JA30" s="1022">
        <v>50</v>
      </c>
      <c r="JB30" s="988">
        <v>1.3</v>
      </c>
      <c r="JC30" s="988">
        <v>0.9</v>
      </c>
      <c r="JD30" s="988">
        <v>0.9</v>
      </c>
      <c r="JE30" s="998">
        <v>2</v>
      </c>
      <c r="JF30" s="1023">
        <v>1.5</v>
      </c>
      <c r="JG30" s="1023">
        <v>0.7</v>
      </c>
      <c r="JH30" s="1023">
        <v>0.7</v>
      </c>
      <c r="JI30" s="1023">
        <v>0.5</v>
      </c>
      <c r="JJ30" s="1019">
        <v>26.945270806158252</v>
      </c>
      <c r="JK30" s="998">
        <v>2647.0800000000199</v>
      </c>
      <c r="JL30" s="429">
        <v>12.64</v>
      </c>
      <c r="JM30" s="1022">
        <v>50</v>
      </c>
      <c r="JN30" s="988">
        <v>1.5</v>
      </c>
      <c r="JO30" s="988">
        <v>0.8</v>
      </c>
      <c r="JP30" s="988">
        <v>0.8</v>
      </c>
      <c r="JQ30" s="998">
        <v>2</v>
      </c>
      <c r="JR30" s="998">
        <v>2</v>
      </c>
      <c r="JS30" s="998">
        <v>1</v>
      </c>
      <c r="JT30" s="998">
        <v>1</v>
      </c>
      <c r="JU30" s="1023">
        <v>0.5</v>
      </c>
      <c r="JV30" s="1004">
        <v>2000</v>
      </c>
      <c r="JW30" s="1019">
        <v>216.20140914250103</v>
      </c>
      <c r="JX30" s="1019">
        <v>500</v>
      </c>
      <c r="JY30" s="1022">
        <v>1</v>
      </c>
      <c r="JZ30" s="1022">
        <v>0.5</v>
      </c>
      <c r="KA30" s="1022">
        <v>0.5</v>
      </c>
      <c r="KB30" s="1023">
        <v>2</v>
      </c>
      <c r="KC30" s="1023">
        <v>1.5</v>
      </c>
      <c r="KD30" s="1023">
        <v>0.5</v>
      </c>
      <c r="KE30" s="1023">
        <v>1</v>
      </c>
      <c r="KF30" s="1023">
        <v>0.5</v>
      </c>
      <c r="KG30" s="997">
        <v>3.1077955195869986</v>
      </c>
      <c r="KH30" s="997">
        <v>1.8911549356660247</v>
      </c>
      <c r="KI30" s="997">
        <v>91.783623360995591</v>
      </c>
      <c r="KJ30" s="997"/>
      <c r="KK30" s="997">
        <v>0.44818678155544611</v>
      </c>
      <c r="KL30" s="997">
        <v>2.768304164302593</v>
      </c>
      <c r="KM30" s="997">
        <v>9.3523789334547063E-4</v>
      </c>
      <c r="KN30" s="997">
        <v>0</v>
      </c>
      <c r="KO30" s="997"/>
      <c r="KP30" s="1006">
        <v>580</v>
      </c>
      <c r="KQ30" s="1006">
        <v>580</v>
      </c>
      <c r="KR30" s="1006">
        <v>580</v>
      </c>
      <c r="KS30" s="1006">
        <v>580</v>
      </c>
      <c r="KT30" s="1006"/>
      <c r="KU30" s="1006">
        <v>580</v>
      </c>
      <c r="KV30" s="1006">
        <v>580</v>
      </c>
      <c r="KW30" s="1006">
        <v>580</v>
      </c>
      <c r="KX30" s="1006">
        <v>580</v>
      </c>
      <c r="KY30" s="993">
        <v>370</v>
      </c>
      <c r="KZ30" s="993">
        <v>370</v>
      </c>
      <c r="LA30" s="993">
        <v>370</v>
      </c>
      <c r="LB30" s="993">
        <v>370</v>
      </c>
      <c r="LC30" s="993"/>
      <c r="LD30" s="993">
        <v>370</v>
      </c>
      <c r="LE30" s="993">
        <v>370</v>
      </c>
      <c r="LF30" s="993">
        <v>370</v>
      </c>
      <c r="LG30" s="993">
        <v>370</v>
      </c>
      <c r="LH30" s="995">
        <v>0</v>
      </c>
      <c r="LI30" s="995">
        <v>10</v>
      </c>
      <c r="LJ30" s="995">
        <v>20</v>
      </c>
      <c r="LK30" s="995">
        <v>70</v>
      </c>
      <c r="LL30" s="995">
        <v>100</v>
      </c>
      <c r="LM30" s="1004">
        <v>1000</v>
      </c>
      <c r="LN30" s="1019">
        <v>2585.5752209604179</v>
      </c>
      <c r="LO30" s="988">
        <v>29</v>
      </c>
      <c r="LP30" s="1022">
        <v>1</v>
      </c>
      <c r="LQ30" s="988">
        <v>0.5</v>
      </c>
      <c r="LR30" s="988">
        <v>0.5</v>
      </c>
      <c r="LS30" s="1023">
        <v>2</v>
      </c>
      <c r="LT30" s="1023">
        <v>1</v>
      </c>
      <c r="LU30" s="1023">
        <v>0.5</v>
      </c>
      <c r="LV30" s="1023">
        <v>0.7</v>
      </c>
      <c r="LW30" s="1023">
        <v>0.2</v>
      </c>
      <c r="LX30" s="1004">
        <v>1500</v>
      </c>
      <c r="LY30" s="1008">
        <v>500</v>
      </c>
      <c r="LZ30" s="1008">
        <v>1</v>
      </c>
      <c r="MA30" s="997" t="s">
        <v>2914</v>
      </c>
      <c r="MB30" s="1023" t="s">
        <v>905</v>
      </c>
      <c r="MC30" s="1023" t="s">
        <v>2932</v>
      </c>
      <c r="MD30" s="1024" t="s">
        <v>906</v>
      </c>
      <c r="ME30" s="1009">
        <v>0.5</v>
      </c>
      <c r="MF30" s="1010">
        <v>0.75</v>
      </c>
      <c r="MG30" s="1010">
        <v>1</v>
      </c>
      <c r="MH30" s="1010">
        <v>2</v>
      </c>
      <c r="MI30" s="1010">
        <v>0.5</v>
      </c>
      <c r="MJ30" s="1010">
        <v>0.75</v>
      </c>
      <c r="MK30" s="1010">
        <v>1</v>
      </c>
      <c r="ML30" s="1010">
        <v>2</v>
      </c>
      <c r="MM30" s="1010">
        <v>0</v>
      </c>
      <c r="MN30" s="1010">
        <v>0.5</v>
      </c>
      <c r="MO30" s="1010">
        <v>1</v>
      </c>
      <c r="MP30" s="1010">
        <v>2</v>
      </c>
      <c r="MQ30" s="1010">
        <v>0</v>
      </c>
      <c r="MR30" s="1010">
        <v>0.5</v>
      </c>
      <c r="MS30" s="1010">
        <v>1</v>
      </c>
      <c r="MT30" s="1010">
        <v>2</v>
      </c>
      <c r="MU30" s="1001">
        <v>0</v>
      </c>
      <c r="MV30" s="1001">
        <v>0</v>
      </c>
      <c r="MW30" s="1001">
        <v>0</v>
      </c>
      <c r="MX30" s="1025">
        <v>0</v>
      </c>
      <c r="MY30" s="1025">
        <v>0</v>
      </c>
      <c r="MZ30" s="1025">
        <v>0</v>
      </c>
      <c r="NA30" s="1025">
        <v>0</v>
      </c>
      <c r="NB30" s="1025">
        <v>0</v>
      </c>
      <c r="NC30" s="1025">
        <v>0</v>
      </c>
      <c r="ND30" s="1025">
        <v>0</v>
      </c>
      <c r="NE30" s="1025">
        <v>0</v>
      </c>
      <c r="NF30" s="1025">
        <v>0</v>
      </c>
      <c r="NG30" s="1025">
        <v>0</v>
      </c>
      <c r="NH30" s="1025">
        <v>0</v>
      </c>
      <c r="NI30" s="1025">
        <v>0</v>
      </c>
      <c r="NJ30" s="1025">
        <v>0</v>
      </c>
      <c r="NK30" s="1025">
        <v>0</v>
      </c>
      <c r="NL30" s="1025">
        <v>0</v>
      </c>
      <c r="NM30" s="1025">
        <v>0</v>
      </c>
      <c r="NN30" s="1025">
        <v>0</v>
      </c>
      <c r="NO30" s="1025">
        <v>0</v>
      </c>
      <c r="NP30" s="1025">
        <v>0</v>
      </c>
      <c r="NQ30" s="1025">
        <v>0</v>
      </c>
      <c r="NR30" s="1025">
        <v>0</v>
      </c>
      <c r="NS30" s="1025">
        <v>0</v>
      </c>
      <c r="NT30" s="1025">
        <v>0</v>
      </c>
      <c r="NU30" s="1025">
        <v>0</v>
      </c>
      <c r="NV30" s="1025">
        <v>3.6358211014852202</v>
      </c>
      <c r="NW30" s="1025">
        <v>0</v>
      </c>
      <c r="NX30" s="1025">
        <v>0</v>
      </c>
      <c r="NY30" s="1025">
        <v>0</v>
      </c>
      <c r="NZ30" s="1025">
        <v>0.45616571014473001</v>
      </c>
      <c r="OA30" s="1025">
        <v>-0.96546213423218996</v>
      </c>
      <c r="OB30" s="1025">
        <v>3.1697445903980799</v>
      </c>
      <c r="OC30" s="1025">
        <v>0</v>
      </c>
      <c r="OD30" s="1025">
        <v>0</v>
      </c>
      <c r="OE30" s="1025">
        <v>0</v>
      </c>
      <c r="OF30" s="1025">
        <v>-0.29592888619646002</v>
      </c>
      <c r="OG30" s="1025">
        <v>-1.0599344105440101</v>
      </c>
      <c r="OH30" s="1025">
        <v>3.6488259498495199</v>
      </c>
      <c r="OI30" s="1025">
        <v>0</v>
      </c>
      <c r="OJ30" s="1025">
        <v>0</v>
      </c>
      <c r="OK30" s="1025">
        <v>0</v>
      </c>
      <c r="OL30" s="1025">
        <v>5.5236867199469998E-2</v>
      </c>
      <c r="OM30" s="1025">
        <v>-0.97051351341920999</v>
      </c>
      <c r="ON30" s="1025">
        <v>3.7400575666007501</v>
      </c>
      <c r="OO30" s="1025">
        <v>0</v>
      </c>
      <c r="OP30" s="1025">
        <v>0</v>
      </c>
      <c r="OQ30" s="1025">
        <v>0</v>
      </c>
      <c r="OR30" s="1025">
        <v>0.34565334542839998</v>
      </c>
      <c r="OS30" s="1025">
        <v>-1.03443848322828</v>
      </c>
      <c r="OT30" s="1025">
        <v>3.7134354583048501</v>
      </c>
      <c r="OU30" s="1025">
        <v>0</v>
      </c>
      <c r="OV30" s="1025">
        <v>0</v>
      </c>
      <c r="OW30" s="1025">
        <v>0</v>
      </c>
      <c r="OX30" s="1025">
        <v>2.2330203115437</v>
      </c>
      <c r="OY30" s="1025">
        <v>-0.67609019840208995</v>
      </c>
      <c r="OZ30" s="1025">
        <v>-27.56</v>
      </c>
      <c r="PA30" s="1025">
        <v>-5.54</v>
      </c>
      <c r="PB30" s="1025">
        <v>-2.3524730097356201</v>
      </c>
      <c r="PC30" s="1025">
        <v>0</v>
      </c>
      <c r="PD30" s="1025">
        <v>0.19335786119726001</v>
      </c>
      <c r="PE30" s="1025">
        <v>-3.3293780956852599</v>
      </c>
      <c r="PF30" s="1025">
        <v>-0.16113055473137</v>
      </c>
      <c r="PG30" s="1025">
        <v>0</v>
      </c>
      <c r="PH30" s="1025">
        <v>0</v>
      </c>
      <c r="PI30" s="1025">
        <v>0</v>
      </c>
      <c r="PJ30" s="1025">
        <v>-0.54786502165686002</v>
      </c>
      <c r="PK30" s="1025">
        <v>-3.68568859109679</v>
      </c>
      <c r="PL30" s="1025">
        <v>0.36933919282527</v>
      </c>
      <c r="PM30" s="1025">
        <v>0</v>
      </c>
      <c r="PN30" s="1025">
        <v>0</v>
      </c>
      <c r="PO30" s="1025">
        <v>0</v>
      </c>
      <c r="PP30" s="1025">
        <v>-0.97953303475836995</v>
      </c>
      <c r="PQ30" s="1025">
        <v>-3.56218003232211</v>
      </c>
      <c r="PR30" s="1025">
        <v>0.41454062328777003</v>
      </c>
      <c r="PS30" s="1025">
        <v>0</v>
      </c>
      <c r="PT30" s="1025">
        <v>0</v>
      </c>
      <c r="PU30" s="1025">
        <v>0</v>
      </c>
      <c r="PV30" s="1025">
        <v>-0.23857055922434001</v>
      </c>
      <c r="PW30" s="1025">
        <v>-3.77080599576276</v>
      </c>
      <c r="PX30" s="1025">
        <v>0.52766727725132001</v>
      </c>
      <c r="PY30" s="1025">
        <v>0</v>
      </c>
      <c r="PZ30" s="1025">
        <v>0</v>
      </c>
      <c r="QA30" s="1025">
        <v>0</v>
      </c>
      <c r="QB30" s="1025">
        <v>1.95994204392883</v>
      </c>
      <c r="QC30" s="1025">
        <v>-3.13351403274666</v>
      </c>
      <c r="QD30" s="1025">
        <v>-27.56</v>
      </c>
      <c r="QE30" s="1025">
        <v>-5.54</v>
      </c>
      <c r="QF30" s="1025">
        <v>-1.8569002448283201</v>
      </c>
      <c r="QG30" s="1025">
        <v>0</v>
      </c>
      <c r="QH30" s="1025">
        <v>0.53865508275587004</v>
      </c>
      <c r="QI30" s="1025">
        <v>-2.51677161034472</v>
      </c>
      <c r="QJ30" s="1025">
        <v>0.17403071465195999</v>
      </c>
      <c r="QK30" s="1025">
        <v>0</v>
      </c>
      <c r="QL30" s="1025">
        <v>0</v>
      </c>
      <c r="QM30" s="1025">
        <v>0</v>
      </c>
      <c r="QN30" s="1025">
        <v>0.80203562060813005</v>
      </c>
      <c r="QO30" s="1025">
        <v>-3.82240755931003</v>
      </c>
      <c r="QP30" s="1025">
        <v>0.51601012102014998</v>
      </c>
      <c r="QQ30" s="1025">
        <v>0</v>
      </c>
      <c r="QR30" s="1025">
        <v>0</v>
      </c>
      <c r="QS30" s="1025">
        <v>0</v>
      </c>
      <c r="QT30" s="1025">
        <v>3.8283303435180001E-2</v>
      </c>
      <c r="QU30" s="1025">
        <v>-3.9106613962667298</v>
      </c>
      <c r="QV30" s="1025">
        <v>0.65092783745229998</v>
      </c>
      <c r="QW30" s="1025">
        <v>0</v>
      </c>
      <c r="QX30" s="1025">
        <v>0</v>
      </c>
      <c r="QY30" s="1025">
        <v>0</v>
      </c>
      <c r="QZ30" s="1025">
        <v>0.60368320831258004</v>
      </c>
      <c r="RA30" s="1025">
        <v>-3.9000447607480302</v>
      </c>
      <c r="RB30" s="1025">
        <v>0.62596001704596005</v>
      </c>
      <c r="RC30" s="1025">
        <v>0</v>
      </c>
      <c r="RD30" s="1025">
        <v>0</v>
      </c>
      <c r="RE30" s="1025">
        <v>0</v>
      </c>
      <c r="RF30" s="1025">
        <v>3.7317643357441201</v>
      </c>
      <c r="RG30" s="1025">
        <v>-2.0678749611287199</v>
      </c>
      <c r="RH30" s="1011">
        <v>0</v>
      </c>
      <c r="RI30" s="1026">
        <v>0</v>
      </c>
      <c r="RJ30" s="1026">
        <v>0</v>
      </c>
      <c r="RK30" s="1026">
        <v>0</v>
      </c>
      <c r="RL30" s="1026">
        <v>0</v>
      </c>
      <c r="RM30" s="1011">
        <v>0</v>
      </c>
      <c r="RN30" s="1011">
        <v>0</v>
      </c>
      <c r="RO30" s="1011">
        <v>0</v>
      </c>
      <c r="RP30" s="1011">
        <v>0</v>
      </c>
      <c r="RQ30" s="1011">
        <v>0</v>
      </c>
      <c r="RR30" s="1011">
        <v>0</v>
      </c>
      <c r="RS30" s="1011">
        <v>0</v>
      </c>
      <c r="RT30" s="1011">
        <v>0</v>
      </c>
      <c r="RU30" s="1011">
        <v>0</v>
      </c>
      <c r="RV30" s="1011">
        <v>0</v>
      </c>
      <c r="RW30" s="1011">
        <v>0</v>
      </c>
      <c r="RX30" s="1011">
        <v>0</v>
      </c>
      <c r="RY30" s="1011">
        <v>0</v>
      </c>
      <c r="RZ30" s="1026">
        <v>0</v>
      </c>
      <c r="SA30" s="1026">
        <v>0</v>
      </c>
      <c r="SB30" s="1026">
        <v>0</v>
      </c>
      <c r="SC30" s="1026">
        <v>0</v>
      </c>
      <c r="SD30" s="1026">
        <v>0</v>
      </c>
      <c r="SE30" s="1026">
        <v>0</v>
      </c>
      <c r="SF30" s="1026">
        <v>0</v>
      </c>
      <c r="SG30" s="1026">
        <v>0</v>
      </c>
      <c r="SH30" s="1026">
        <v>0</v>
      </c>
      <c r="SI30" s="1026">
        <v>0</v>
      </c>
      <c r="SJ30" s="1026">
        <v>0</v>
      </c>
      <c r="SK30" s="1026">
        <v>0</v>
      </c>
      <c r="SL30" s="1025">
        <v>-27.56</v>
      </c>
      <c r="SM30" s="1025">
        <v>-5.54</v>
      </c>
      <c r="SN30" s="1025">
        <v>-1.59522879524831</v>
      </c>
      <c r="SO30" s="1025">
        <v>0</v>
      </c>
      <c r="SP30" s="1025">
        <v>-0.38943478784282998</v>
      </c>
      <c r="SQ30" s="1025">
        <v>-3.8099081716794099</v>
      </c>
      <c r="SR30" s="1025">
        <v>-0.22169077748180999</v>
      </c>
      <c r="SS30" s="1025">
        <v>0</v>
      </c>
      <c r="ST30" s="1025">
        <v>0</v>
      </c>
      <c r="SU30" s="1025">
        <v>0</v>
      </c>
      <c r="SV30" s="1025">
        <v>0.50954337771586999</v>
      </c>
      <c r="SW30" s="1025">
        <v>-3.9099581825871801</v>
      </c>
      <c r="SX30" s="1025">
        <v>-0.62115512192885003</v>
      </c>
      <c r="SY30" s="1025">
        <v>0</v>
      </c>
      <c r="SZ30" s="1025">
        <v>0</v>
      </c>
      <c r="TA30" s="1025">
        <v>0</v>
      </c>
      <c r="TB30" s="1025">
        <v>-0.50027656657091002</v>
      </c>
      <c r="TC30" s="1025">
        <v>-4.0697918930116304</v>
      </c>
      <c r="TD30" s="1025">
        <v>0</v>
      </c>
      <c r="TE30" s="1025">
        <v>0</v>
      </c>
      <c r="TF30" s="1025">
        <v>0</v>
      </c>
      <c r="TG30" s="1025">
        <v>0</v>
      </c>
      <c r="TH30" s="1025">
        <v>-0.31534795084201001</v>
      </c>
      <c r="TI30" s="1025">
        <v>-3.9684064260777099</v>
      </c>
      <c r="TJ30" s="1025">
        <v>0</v>
      </c>
      <c r="TK30" s="1025">
        <v>0</v>
      </c>
      <c r="TL30" s="1025">
        <v>0</v>
      </c>
      <c r="TM30" s="1025">
        <v>0</v>
      </c>
      <c r="TN30" s="1025">
        <v>2.1624109063356798</v>
      </c>
      <c r="TO30" s="1025">
        <v>-3.1470774722458499</v>
      </c>
      <c r="TP30" s="1025">
        <v>-27.56</v>
      </c>
      <c r="TQ30" s="1025">
        <v>-5.54</v>
      </c>
      <c r="TR30" s="1025">
        <v>-1.91468251832532</v>
      </c>
      <c r="TS30" s="1025">
        <v>0</v>
      </c>
      <c r="TT30" s="1025">
        <v>-2.4873198669381398</v>
      </c>
      <c r="TU30" s="1025">
        <v>0</v>
      </c>
      <c r="TV30" s="1025">
        <v>-0.25203688015914</v>
      </c>
      <c r="TW30" s="1025">
        <v>0</v>
      </c>
      <c r="TX30" s="1025">
        <v>0</v>
      </c>
      <c r="TY30" s="1025">
        <v>0</v>
      </c>
      <c r="TZ30" s="1025">
        <v>-4.3657936855605204</v>
      </c>
      <c r="UA30" s="1025">
        <v>-0.10958678654091</v>
      </c>
      <c r="UB30" s="1025">
        <v>-0.73283485971197004</v>
      </c>
      <c r="UC30" s="1025">
        <v>0</v>
      </c>
      <c r="UD30" s="1025">
        <v>0</v>
      </c>
      <c r="UE30" s="1025">
        <v>0</v>
      </c>
      <c r="UF30" s="1025">
        <v>-3.2098755972350599</v>
      </c>
      <c r="UG30" s="1025">
        <v>-0.14323668673720999</v>
      </c>
      <c r="UH30" s="1025">
        <v>0</v>
      </c>
      <c r="UI30" s="1025">
        <v>0</v>
      </c>
      <c r="UJ30" s="1025">
        <v>0</v>
      </c>
      <c r="UK30" s="1025">
        <v>0</v>
      </c>
      <c r="UL30" s="1025">
        <v>-3.3827820031395102</v>
      </c>
      <c r="UM30" s="1025">
        <v>0</v>
      </c>
      <c r="UN30" s="1025">
        <v>0</v>
      </c>
      <c r="UO30" s="1025">
        <v>0</v>
      </c>
      <c r="UP30" s="1025">
        <v>0</v>
      </c>
      <c r="UQ30" s="1025">
        <v>0</v>
      </c>
      <c r="UR30" s="1025">
        <v>-3.3722357631046398</v>
      </c>
      <c r="US30" s="1025">
        <v>-0.35331221975526</v>
      </c>
      <c r="UT30" s="1025">
        <v>1.1499482091772499</v>
      </c>
      <c r="UU30" s="1025">
        <v>0</v>
      </c>
      <c r="UV30" s="1025">
        <v>6.6056941618499995E-2</v>
      </c>
      <c r="UW30" s="1025">
        <v>0</v>
      </c>
      <c r="UX30" s="1025">
        <v>0</v>
      </c>
      <c r="UY30" s="1025">
        <v>-0.92507611327306005</v>
      </c>
      <c r="UZ30" s="1025">
        <v>0</v>
      </c>
      <c r="VA30" s="1025">
        <v>0</v>
      </c>
      <c r="VB30" s="1025">
        <v>0</v>
      </c>
      <c r="VC30" s="1025">
        <v>0</v>
      </c>
      <c r="VD30" s="1025">
        <v>0</v>
      </c>
      <c r="VE30" s="1025">
        <v>-3.54802561452551</v>
      </c>
      <c r="VF30" s="1025">
        <v>9.0352687375200007E-3</v>
      </c>
      <c r="VG30" s="1025">
        <v>0</v>
      </c>
      <c r="VH30" s="1025">
        <v>0</v>
      </c>
      <c r="VI30" s="1025">
        <v>0</v>
      </c>
      <c r="VJ30" s="1025">
        <v>3.45164488617E-3</v>
      </c>
      <c r="VK30" s="1025">
        <v>-4.0851846853549603</v>
      </c>
      <c r="VL30" s="1025">
        <v>0</v>
      </c>
      <c r="VM30" s="1025">
        <v>0</v>
      </c>
      <c r="VN30" s="1025">
        <v>0</v>
      </c>
      <c r="VO30" s="1025">
        <v>0</v>
      </c>
      <c r="VP30" s="1025">
        <v>0</v>
      </c>
      <c r="VQ30" s="1025">
        <v>0</v>
      </c>
      <c r="VR30" s="1010">
        <v>0</v>
      </c>
      <c r="VS30" s="1010">
        <v>0</v>
      </c>
      <c r="VT30" s="1010">
        <v>0</v>
      </c>
      <c r="VU30" s="1010">
        <v>0</v>
      </c>
      <c r="VV30" s="1010">
        <v>6.8716358730999997E-4</v>
      </c>
      <c r="VW30" s="1010">
        <v>0</v>
      </c>
      <c r="VX30" s="1025">
        <v>0</v>
      </c>
      <c r="VY30" s="1025">
        <v>0</v>
      </c>
      <c r="VZ30" s="1025">
        <v>0</v>
      </c>
      <c r="WA30" s="1025">
        <v>0</v>
      </c>
      <c r="WB30" s="1025">
        <v>0</v>
      </c>
      <c r="WC30" s="1025">
        <v>-4.1257994968027996</v>
      </c>
      <c r="WD30" s="995">
        <v>202</v>
      </c>
      <c r="WE30" s="995">
        <v>267</v>
      </c>
      <c r="WF30" s="995">
        <v>354</v>
      </c>
      <c r="WG30" s="995">
        <v>382</v>
      </c>
      <c r="WH30" s="995">
        <v>403</v>
      </c>
      <c r="WI30" s="995">
        <v>0</v>
      </c>
      <c r="WJ30" s="995">
        <v>1300</v>
      </c>
      <c r="WK30" s="1001">
        <v>0</v>
      </c>
      <c r="WL30" s="1001">
        <v>0</v>
      </c>
      <c r="WM30" s="1001">
        <v>0</v>
      </c>
      <c r="WN30" s="1001">
        <v>0</v>
      </c>
      <c r="WO30" s="1001">
        <v>0</v>
      </c>
      <c r="WP30" s="1001">
        <v>0</v>
      </c>
      <c r="WQ30" s="1001">
        <v>0</v>
      </c>
      <c r="WR30" s="1001">
        <v>0</v>
      </c>
      <c r="WS30" s="1001">
        <v>0</v>
      </c>
      <c r="WT30" s="1001">
        <v>0</v>
      </c>
      <c r="WU30" s="1001">
        <v>0</v>
      </c>
      <c r="WV30" s="1001">
        <v>0</v>
      </c>
      <c r="WW30" s="1001">
        <v>0</v>
      </c>
      <c r="WX30" s="1001">
        <v>0</v>
      </c>
      <c r="WY30" s="1001">
        <v>0</v>
      </c>
      <c r="WZ30" s="1001">
        <v>0</v>
      </c>
      <c r="XA30" s="1001">
        <v>0</v>
      </c>
      <c r="XB30" s="1001">
        <v>0</v>
      </c>
      <c r="XC30" s="1001">
        <v>0</v>
      </c>
      <c r="XD30" s="1001">
        <v>0</v>
      </c>
      <c r="XE30" s="1001">
        <v>0</v>
      </c>
      <c r="XF30" s="1001">
        <v>0</v>
      </c>
      <c r="XG30" s="1001">
        <v>0</v>
      </c>
      <c r="XH30" s="1001">
        <v>0</v>
      </c>
      <c r="XI30" s="1001">
        <v>0</v>
      </c>
      <c r="XJ30" s="1001">
        <v>0</v>
      </c>
      <c r="XK30" s="1001">
        <v>0</v>
      </c>
      <c r="XL30" s="1001">
        <v>0</v>
      </c>
      <c r="XM30" s="1001">
        <v>0</v>
      </c>
      <c r="XN30" s="1001">
        <v>0</v>
      </c>
      <c r="XO30" s="1001">
        <v>0</v>
      </c>
      <c r="XP30" s="1001">
        <v>0</v>
      </c>
      <c r="XQ30" s="1001">
        <v>0</v>
      </c>
      <c r="XR30" s="1027">
        <v>117</v>
      </c>
      <c r="XS30" s="1013">
        <v>92.818371607515658</v>
      </c>
      <c r="XT30" s="1013">
        <v>102.58872651356994</v>
      </c>
      <c r="XU30" s="1013">
        <v>107.47390396659708</v>
      </c>
      <c r="XV30" s="1013">
        <v>165.11899791231733</v>
      </c>
      <c r="XW30" s="1028">
        <v>14640.781629999999</v>
      </c>
      <c r="XX30" s="1013">
        <v>79</v>
      </c>
      <c r="XY30" s="1013">
        <v>15</v>
      </c>
      <c r="XZ30" s="1013">
        <v>6</v>
      </c>
      <c r="YA30" s="1029">
        <v>0</v>
      </c>
      <c r="YB30" s="1013">
        <v>2184.6049513026742</v>
      </c>
      <c r="YC30" s="1013">
        <v>0</v>
      </c>
      <c r="YD30" s="1013">
        <v>0</v>
      </c>
      <c r="YE30" s="1013">
        <v>0</v>
      </c>
      <c r="YF30" s="1013">
        <v>0</v>
      </c>
      <c r="YG30" s="1013">
        <v>0</v>
      </c>
      <c r="YH30" s="1013">
        <v>655.38148539080225</v>
      </c>
      <c r="YI30" s="1013">
        <v>327.69074269540113</v>
      </c>
      <c r="YJ30" s="1013">
        <v>2343.5467976048817</v>
      </c>
      <c r="YK30" s="1013">
        <v>0</v>
      </c>
      <c r="YL30" s="1013">
        <v>0</v>
      </c>
      <c r="YM30" s="1013">
        <v>0</v>
      </c>
      <c r="YN30" s="1013">
        <v>0</v>
      </c>
      <c r="YO30" s="1013">
        <v>0</v>
      </c>
      <c r="YP30" s="1013">
        <v>703.06403928146437</v>
      </c>
      <c r="YQ30" s="1013">
        <v>351.53201964073219</v>
      </c>
      <c r="YR30" s="1013">
        <v>2455.1442641574949</v>
      </c>
      <c r="YS30" s="1013">
        <v>0</v>
      </c>
      <c r="YT30" s="1013">
        <v>0</v>
      </c>
      <c r="YU30" s="1013">
        <v>0</v>
      </c>
      <c r="YV30" s="1013">
        <v>0</v>
      </c>
      <c r="YW30" s="1013">
        <v>0</v>
      </c>
      <c r="YX30" s="1013">
        <v>736.54327924724839</v>
      </c>
      <c r="YY30" s="1013">
        <v>368.2716396236242</v>
      </c>
      <c r="YZ30" s="1013">
        <v>3771.9943694783337</v>
      </c>
      <c r="ZA30" s="1013">
        <v>0</v>
      </c>
      <c r="ZB30" s="1013">
        <v>0</v>
      </c>
      <c r="ZC30" s="1013">
        <v>0</v>
      </c>
      <c r="ZD30" s="1013">
        <v>0</v>
      </c>
      <c r="ZE30" s="1013">
        <v>0</v>
      </c>
      <c r="ZF30" s="1013">
        <v>1131.5983108435</v>
      </c>
      <c r="ZG30" s="1013">
        <v>565.79915542175002</v>
      </c>
      <c r="ZH30" s="1013">
        <v>872.87104498715746</v>
      </c>
      <c r="ZI30" s="1013">
        <v>3098.6922097044089</v>
      </c>
      <c r="ZJ30" s="1013">
        <v>0</v>
      </c>
      <c r="ZK30" s="1013">
        <v>0</v>
      </c>
      <c r="ZL30" s="1013">
        <v>0</v>
      </c>
      <c r="ZM30" s="1013">
        <v>0</v>
      </c>
      <c r="ZN30" s="1013">
        <v>261.8613134961472</v>
      </c>
      <c r="ZO30" s="1013">
        <v>130.9306567480736</v>
      </c>
      <c r="ZP30" s="1013">
        <v>936.37714268746151</v>
      </c>
      <c r="ZQ30" s="1013">
        <v>3324.1388565404882</v>
      </c>
      <c r="ZR30" s="1013">
        <v>0</v>
      </c>
      <c r="ZS30" s="1013">
        <v>0</v>
      </c>
      <c r="ZT30" s="1013">
        <v>0</v>
      </c>
      <c r="ZU30" s="1013">
        <v>0</v>
      </c>
      <c r="ZV30" s="1013">
        <v>280.91314280623845</v>
      </c>
      <c r="ZW30" s="1013">
        <v>140.45657140311923</v>
      </c>
      <c r="ZX30" s="1013">
        <v>980.9665304344835</v>
      </c>
      <c r="ZY30" s="1013">
        <v>3482.4311830424163</v>
      </c>
      <c r="ZZ30" s="1013">
        <v>0</v>
      </c>
      <c r="AAA30" s="1013">
        <v>0</v>
      </c>
      <c r="AAB30" s="1013">
        <v>0</v>
      </c>
      <c r="AAC30" s="1013">
        <v>0</v>
      </c>
      <c r="AAD30" s="1013">
        <v>294.28995913034504</v>
      </c>
      <c r="AAE30" s="1013">
        <v>147.14497956517252</v>
      </c>
      <c r="AAF30" s="1013">
        <v>1507.1213058493431</v>
      </c>
      <c r="AAG30" s="1013">
        <v>5350.2806357651671</v>
      </c>
      <c r="AAH30" s="1013">
        <v>0</v>
      </c>
      <c r="AAI30" s="1013">
        <v>0</v>
      </c>
      <c r="AAJ30" s="1013">
        <v>0</v>
      </c>
      <c r="AAK30" s="1013">
        <v>0</v>
      </c>
      <c r="AAL30" s="1013">
        <v>452.13639175480284</v>
      </c>
      <c r="AAM30" s="1013">
        <v>226.06819587740142</v>
      </c>
      <c r="AAN30" s="1013">
        <v>2322.9632648851775</v>
      </c>
      <c r="AAO30" s="1013">
        <v>8246.5195903423792</v>
      </c>
      <c r="AAP30" s="1013">
        <v>0</v>
      </c>
      <c r="AAQ30" s="1013">
        <v>0</v>
      </c>
      <c r="AAR30" s="1013">
        <v>0</v>
      </c>
      <c r="AAS30" s="1013">
        <v>0</v>
      </c>
      <c r="AAT30" s="1013">
        <v>696.88897946555312</v>
      </c>
      <c r="AAU30" s="1013">
        <v>348.44448973277656</v>
      </c>
      <c r="AAV30" s="1013">
        <v>2567.4857138204593</v>
      </c>
      <c r="AAW30" s="1013">
        <v>9114.5742840626299</v>
      </c>
      <c r="AAX30" s="1013">
        <v>0</v>
      </c>
      <c r="AAY30" s="1013">
        <v>0</v>
      </c>
      <c r="AAZ30" s="1013">
        <v>0</v>
      </c>
      <c r="ABA30" s="1013">
        <v>0</v>
      </c>
      <c r="ABB30" s="1013">
        <v>770.24571414613774</v>
      </c>
      <c r="ABC30" s="1013">
        <v>385.12285707306887</v>
      </c>
      <c r="ABD30" s="1013">
        <v>2689.7469382881004</v>
      </c>
      <c r="ABE30" s="1013">
        <v>9548.6016309227543</v>
      </c>
      <c r="ABF30" s="1013">
        <v>0</v>
      </c>
      <c r="ABG30" s="1013">
        <v>0</v>
      </c>
      <c r="ABH30" s="1013">
        <v>0</v>
      </c>
      <c r="ABI30" s="1013">
        <v>0</v>
      </c>
      <c r="ABJ30" s="1013">
        <v>806.92408148643005</v>
      </c>
      <c r="ABK30" s="1013">
        <v>403.46204074321503</v>
      </c>
      <c r="ABL30" s="1013">
        <v>4132.4293870062638</v>
      </c>
      <c r="ABM30" s="1013">
        <v>14670.124323872235</v>
      </c>
      <c r="ABN30" s="1013">
        <v>0</v>
      </c>
      <c r="ABO30" s="1013">
        <v>0</v>
      </c>
      <c r="ABP30" s="1013">
        <v>0</v>
      </c>
      <c r="ABQ30" s="1013">
        <v>0</v>
      </c>
      <c r="ABR30" s="1013">
        <v>1239.7288161018789</v>
      </c>
      <c r="ABS30" s="1013">
        <v>619.86440805093946</v>
      </c>
      <c r="ABT30" s="1013">
        <v>3195.8343098723349</v>
      </c>
      <c r="ABU30" s="1013">
        <v>11345.211800046787</v>
      </c>
      <c r="ABV30" s="1013">
        <v>0</v>
      </c>
      <c r="ABW30" s="1013">
        <v>0</v>
      </c>
      <c r="ABX30" s="1013">
        <v>0</v>
      </c>
      <c r="ABY30" s="1013">
        <v>0</v>
      </c>
      <c r="ABZ30" s="1013">
        <v>958.75029296170044</v>
      </c>
      <c r="ACA30" s="1013">
        <v>479.37514648085022</v>
      </c>
      <c r="ACB30" s="1013">
        <v>3383.0399993869578</v>
      </c>
      <c r="ACC30" s="1013">
        <v>12009.791997823699</v>
      </c>
      <c r="ACD30" s="1013">
        <v>0</v>
      </c>
      <c r="ACE30" s="1013">
        <v>0</v>
      </c>
      <c r="ACF30" s="1013">
        <v>0</v>
      </c>
      <c r="ACG30" s="1013">
        <v>0</v>
      </c>
      <c r="ACH30" s="1013">
        <v>1014.9119998160872</v>
      </c>
      <c r="ACI30" s="1013">
        <v>507.45599990804362</v>
      </c>
      <c r="ACJ30" s="1013">
        <v>3544.1371422149082</v>
      </c>
      <c r="ACK30" s="1013">
        <v>12581.686854862923</v>
      </c>
      <c r="ACL30" s="1013">
        <v>0</v>
      </c>
      <c r="ACM30" s="1013">
        <v>0</v>
      </c>
      <c r="ACN30" s="1013">
        <v>0</v>
      </c>
      <c r="ACO30" s="1013">
        <v>0</v>
      </c>
      <c r="ACP30" s="1013">
        <v>1063.2411426644724</v>
      </c>
      <c r="ACQ30" s="1013">
        <v>531.62057133223618</v>
      </c>
      <c r="ACR30" s="1013">
        <v>5445.0834275847237</v>
      </c>
      <c r="ACS30" s="1013">
        <v>19330.046167925768</v>
      </c>
      <c r="ACT30" s="1013">
        <v>0</v>
      </c>
      <c r="ACU30" s="1013">
        <v>0</v>
      </c>
      <c r="ACV30" s="1013">
        <v>0</v>
      </c>
      <c r="ACW30" s="1013">
        <v>0</v>
      </c>
      <c r="ACX30" s="1013">
        <v>1633.5250282754171</v>
      </c>
      <c r="ACY30" s="1013">
        <v>816.76251413770854</v>
      </c>
      <c r="ACZ30" s="1013">
        <v>4139.0981810681342</v>
      </c>
      <c r="ADA30" s="1013">
        <v>14693.798542791876</v>
      </c>
      <c r="ADB30" s="1013">
        <v>0</v>
      </c>
      <c r="ADC30" s="1013">
        <v>0</v>
      </c>
      <c r="ADD30" s="1013">
        <v>0</v>
      </c>
      <c r="ADE30" s="1013">
        <v>0</v>
      </c>
      <c r="ADF30" s="1013">
        <v>1241.7294543204403</v>
      </c>
      <c r="ADG30" s="1013">
        <v>620.86472716022013</v>
      </c>
      <c r="ADH30" s="1013">
        <v>4425.1371420552623</v>
      </c>
      <c r="ADI30" s="1013">
        <v>15709.236854296179</v>
      </c>
      <c r="ADJ30" s="1013">
        <v>0</v>
      </c>
      <c r="ADK30" s="1013">
        <v>0</v>
      </c>
      <c r="ADL30" s="1013">
        <v>0</v>
      </c>
      <c r="ADM30" s="1013">
        <v>0</v>
      </c>
      <c r="ADN30" s="1013">
        <v>1327.5411426165786</v>
      </c>
      <c r="ADO30" s="1013">
        <v>663.77057130828928</v>
      </c>
      <c r="ADP30" s="1013">
        <v>4635.8579583436085</v>
      </c>
      <c r="ADQ30" s="1013">
        <v>16457.295752119808</v>
      </c>
      <c r="ADR30" s="1013">
        <v>0</v>
      </c>
      <c r="ADS30" s="1013">
        <v>0</v>
      </c>
      <c r="ADT30" s="1013">
        <v>0</v>
      </c>
      <c r="ADU30" s="1013">
        <v>0</v>
      </c>
      <c r="ADV30" s="1013">
        <v>1390.7573875030826</v>
      </c>
      <c r="ADW30" s="1013">
        <v>695.37869375154128</v>
      </c>
      <c r="ADX30" s="1013">
        <v>7122.3635905460897</v>
      </c>
      <c r="ADY30" s="1013">
        <v>25284.390746438614</v>
      </c>
      <c r="ADZ30" s="1013">
        <v>0</v>
      </c>
      <c r="AEA30" s="1013">
        <v>0</v>
      </c>
      <c r="AEB30" s="1013">
        <v>0</v>
      </c>
      <c r="AEC30" s="1013">
        <v>0</v>
      </c>
      <c r="AED30" s="1013">
        <v>2136.7090771638268</v>
      </c>
      <c r="AEE30" s="1013">
        <v>1068.3545385819134</v>
      </c>
      <c r="AEF30" s="1013">
        <v>5054.2049217804779</v>
      </c>
      <c r="AEG30" s="1013">
        <v>17942.427472320695</v>
      </c>
      <c r="AEH30" s="1013">
        <v>0</v>
      </c>
      <c r="AEI30" s="1013">
        <v>0</v>
      </c>
      <c r="AEJ30" s="1013">
        <v>0</v>
      </c>
      <c r="AEK30" s="1013">
        <v>0</v>
      </c>
      <c r="AEL30" s="1013">
        <v>1516.2614765341432</v>
      </c>
      <c r="AEM30" s="1013">
        <v>758.13073826707159</v>
      </c>
      <c r="AEN30" s="1013">
        <v>5437.0285704433263</v>
      </c>
      <c r="AEO30" s="1013">
        <v>19301.451425073807</v>
      </c>
      <c r="AEP30" s="1013">
        <v>0</v>
      </c>
      <c r="AEQ30" s="1013">
        <v>0</v>
      </c>
      <c r="AER30" s="1013">
        <v>0</v>
      </c>
      <c r="AES30" s="1013">
        <v>0</v>
      </c>
      <c r="AET30" s="1013">
        <v>1631.1085711329977</v>
      </c>
      <c r="AEU30" s="1013">
        <v>815.55428556649883</v>
      </c>
      <c r="AEV30" s="1013">
        <v>5695.9346928453888</v>
      </c>
      <c r="AEW30" s="1013">
        <v>20220.568159601131</v>
      </c>
      <c r="AEX30" s="1013">
        <v>0</v>
      </c>
      <c r="AEY30" s="1013">
        <v>0</v>
      </c>
      <c r="AEZ30" s="1013">
        <v>0</v>
      </c>
      <c r="AFA30" s="1013">
        <v>0</v>
      </c>
      <c r="AFB30" s="1013">
        <v>1708.7804078536167</v>
      </c>
      <c r="AFC30" s="1013">
        <v>854.39020392680834</v>
      </c>
      <c r="AFD30" s="1013">
        <v>8751.0269371897357</v>
      </c>
      <c r="AFE30" s="1013">
        <v>31066.145627023558</v>
      </c>
      <c r="AFF30" s="1013">
        <v>0</v>
      </c>
      <c r="AFG30" s="1013">
        <v>0</v>
      </c>
      <c r="AFH30" s="1013">
        <v>0</v>
      </c>
      <c r="AFI30" s="1013">
        <v>0</v>
      </c>
      <c r="AFJ30" s="1013">
        <v>2625.3080811569203</v>
      </c>
      <c r="AFK30" s="1013">
        <v>1312.6540405784601</v>
      </c>
      <c r="AFL30" s="1023">
        <v>5828.5260100755368</v>
      </c>
      <c r="AFM30" s="1023">
        <v>20691.267335768152</v>
      </c>
      <c r="AFN30" s="1023">
        <v>0</v>
      </c>
      <c r="AFO30" s="1023">
        <v>0</v>
      </c>
      <c r="AFP30" s="1023">
        <v>0</v>
      </c>
      <c r="AFQ30" s="1023">
        <v>0</v>
      </c>
      <c r="AFR30" s="1023">
        <v>1748.5578030226607</v>
      </c>
      <c r="AFS30" s="1023">
        <v>874.27890151133033</v>
      </c>
      <c r="AFT30" s="1023">
        <v>6192.1714274493424</v>
      </c>
      <c r="AFU30" s="1023">
        <v>21982.208567445163</v>
      </c>
      <c r="AFV30" s="1023">
        <v>0</v>
      </c>
      <c r="AFW30" s="1023">
        <v>0</v>
      </c>
      <c r="AFX30" s="1023">
        <v>0</v>
      </c>
      <c r="AFY30" s="1023">
        <v>0</v>
      </c>
      <c r="AFZ30" s="1023">
        <v>1857.6514282348026</v>
      </c>
      <c r="AGA30" s="1023">
        <v>928.82571411740128</v>
      </c>
      <c r="AGB30" s="1023">
        <v>6487.0367335183591</v>
      </c>
      <c r="AGC30" s="1023">
        <v>23028.980403990172</v>
      </c>
      <c r="AGD30" s="1023">
        <v>0</v>
      </c>
      <c r="AGE30" s="1023">
        <v>0</v>
      </c>
      <c r="AGF30" s="1023">
        <v>0</v>
      </c>
      <c r="AGG30" s="1023">
        <v>0</v>
      </c>
      <c r="AGH30" s="1023">
        <v>1946.1110200555077</v>
      </c>
      <c r="AGI30" s="1023">
        <v>973.05551002775383</v>
      </c>
      <c r="AGJ30" s="1023">
        <v>9966.4473451327522</v>
      </c>
      <c r="AGK30" s="1023">
        <v>35380.888075221264</v>
      </c>
      <c r="AGL30" s="1023">
        <v>0</v>
      </c>
      <c r="AGM30" s="1023">
        <v>0</v>
      </c>
      <c r="AGN30" s="1023">
        <v>0</v>
      </c>
      <c r="AGO30" s="1023">
        <v>0</v>
      </c>
      <c r="AGP30" s="1023">
        <v>2989.9342035398254</v>
      </c>
      <c r="AGQ30" s="1023">
        <v>1494.9671017699127</v>
      </c>
      <c r="AGR30" s="1030">
        <v>2322.9632648851775</v>
      </c>
      <c r="AGS30" s="1030">
        <v>8246.5195903423792</v>
      </c>
      <c r="AGT30" s="1030">
        <v>0</v>
      </c>
      <c r="AGU30" s="1030">
        <v>0</v>
      </c>
      <c r="AGV30" s="1030">
        <v>0</v>
      </c>
      <c r="AGW30" s="1030">
        <v>0</v>
      </c>
      <c r="AGX30" s="1030">
        <v>696.88897946555312</v>
      </c>
      <c r="AGY30" s="1030">
        <v>348.44448973277656</v>
      </c>
      <c r="AGZ30" s="1030">
        <v>2567.4857138204593</v>
      </c>
      <c r="AHA30" s="1030">
        <v>9114.5742840626299</v>
      </c>
      <c r="AHB30" s="1030">
        <v>0</v>
      </c>
      <c r="AHC30" s="1030">
        <v>0</v>
      </c>
      <c r="AHD30" s="1030">
        <v>0</v>
      </c>
      <c r="AHE30" s="1030">
        <v>0</v>
      </c>
      <c r="AHF30" s="1030">
        <v>770.24571414613774</v>
      </c>
      <c r="AHG30" s="1030">
        <v>385.12285707306887</v>
      </c>
      <c r="AHH30" s="1030">
        <v>2689.7469382881004</v>
      </c>
      <c r="AHI30" s="1030">
        <v>9548.6016309227543</v>
      </c>
      <c r="AHJ30" s="1030">
        <v>0</v>
      </c>
      <c r="AHK30" s="1030">
        <v>0</v>
      </c>
      <c r="AHL30" s="1030">
        <v>0</v>
      </c>
      <c r="AHM30" s="1030">
        <v>0</v>
      </c>
      <c r="AHN30" s="1030">
        <v>806.92408148643005</v>
      </c>
      <c r="AHO30" s="1030">
        <v>403.46204074321503</v>
      </c>
      <c r="AHP30" s="1030">
        <v>4132.4293870062638</v>
      </c>
      <c r="AHQ30" s="1030">
        <v>14670.124323872235</v>
      </c>
      <c r="AHR30" s="1030">
        <v>0</v>
      </c>
      <c r="AHS30" s="1030">
        <v>0</v>
      </c>
      <c r="AHT30" s="1030">
        <v>0</v>
      </c>
      <c r="AHU30" s="1030">
        <v>0</v>
      </c>
      <c r="AHV30" s="1030">
        <v>1239.7288161018789</v>
      </c>
      <c r="AHW30" s="1030">
        <v>619.86440805093946</v>
      </c>
      <c r="AHX30" s="1013">
        <v>165</v>
      </c>
      <c r="AHY30" s="1023">
        <v>0</v>
      </c>
      <c r="AHZ30" s="1023">
        <v>0</v>
      </c>
      <c r="AIA30" s="1023">
        <v>0</v>
      </c>
      <c r="AIB30" s="1023">
        <v>0</v>
      </c>
      <c r="AIC30" s="1023">
        <v>0</v>
      </c>
      <c r="AID30" s="1023">
        <v>0</v>
      </c>
      <c r="AIE30" s="1023">
        <v>0</v>
      </c>
      <c r="AIF30" s="1017">
        <v>55.905010539093148</v>
      </c>
      <c r="AIG30" s="1017">
        <v>87.85073084714638</v>
      </c>
      <c r="AIH30" s="1017">
        <v>4.7918580462079836</v>
      </c>
      <c r="AII30" s="1017">
        <v>0</v>
      </c>
      <c r="AIJ30" s="1017">
        <v>0</v>
      </c>
      <c r="AIK30" s="1017">
        <v>0</v>
      </c>
      <c r="AIL30" s="1017">
        <v>1.5972860154026614</v>
      </c>
      <c r="AIM30" s="1017">
        <v>9.5837160924159672</v>
      </c>
      <c r="AIN30" s="1016">
        <v>79.819286380790828</v>
      </c>
      <c r="AIO30" s="1016">
        <v>125.43030716981417</v>
      </c>
      <c r="AIP30" s="1017">
        <v>6.8416531183534994</v>
      </c>
      <c r="AIQ30" s="1017">
        <v>0</v>
      </c>
      <c r="AIR30" s="1017">
        <v>0</v>
      </c>
      <c r="AIS30" s="1017">
        <v>0</v>
      </c>
      <c r="AIT30" s="1017">
        <v>2.2805510394511668</v>
      </c>
      <c r="AIU30" s="1017">
        <v>13.683306236706999</v>
      </c>
      <c r="AIV30" s="1017">
        <v>79.117638257287737</v>
      </c>
      <c r="AIW30" s="1017">
        <v>124.32771726145218</v>
      </c>
      <c r="AIX30" s="1017">
        <v>6.7815118506246632</v>
      </c>
      <c r="AIY30" s="1017">
        <v>0</v>
      </c>
      <c r="AIZ30" s="1017">
        <v>0</v>
      </c>
      <c r="AJA30" s="1017">
        <v>0</v>
      </c>
      <c r="AJB30" s="1017">
        <v>2.2605039502082214</v>
      </c>
      <c r="AJC30" s="1017">
        <v>13.563023701249326</v>
      </c>
      <c r="AJD30" s="1017">
        <v>129.6</v>
      </c>
      <c r="AJE30" s="1017">
        <v>96.93</v>
      </c>
      <c r="AJF30" s="1017">
        <v>80.78</v>
      </c>
      <c r="AJG30" s="1017">
        <v>0</v>
      </c>
      <c r="AJH30" s="1017">
        <v>7.54</v>
      </c>
      <c r="AJI30" s="1017">
        <v>9.15</v>
      </c>
      <c r="AJJ30" s="1017">
        <v>0</v>
      </c>
      <c r="AJK30" s="1013">
        <v>0</v>
      </c>
      <c r="AJL30" s="1013">
        <v>33.523082083064949</v>
      </c>
      <c r="AJM30" s="1013">
        <v>52.679128987673501</v>
      </c>
      <c r="AJN30" s="1013">
        <v>2.8734070356912818</v>
      </c>
      <c r="AJO30" s="1013">
        <v>0</v>
      </c>
      <c r="AJP30" s="1013">
        <v>0</v>
      </c>
      <c r="AJQ30" s="1013">
        <v>0</v>
      </c>
      <c r="AJR30" s="1013">
        <v>0.95780234523042729</v>
      </c>
      <c r="AJS30" s="1013">
        <v>5.7468140713825635</v>
      </c>
      <c r="AJT30" s="1029" t="s">
        <v>858</v>
      </c>
      <c r="AJU30" s="988" t="s">
        <v>861</v>
      </c>
      <c r="AJV30" s="988" t="s">
        <v>860</v>
      </c>
      <c r="AJW30" s="988" t="s">
        <v>859</v>
      </c>
      <c r="AJX30" s="988" t="s">
        <v>870</v>
      </c>
      <c r="AJY30" s="988" t="s">
        <v>871</v>
      </c>
      <c r="AJZ30" s="988" t="s">
        <v>872</v>
      </c>
      <c r="AKA30" s="988" t="s">
        <v>873</v>
      </c>
      <c r="AKB30" s="988" t="s">
        <v>874</v>
      </c>
      <c r="AKC30" s="988" t="s">
        <v>875</v>
      </c>
      <c r="AKD30" s="1013">
        <v>103.12499999999999</v>
      </c>
      <c r="AKE30" s="1013">
        <v>0</v>
      </c>
      <c r="AKF30" s="1013">
        <v>0</v>
      </c>
      <c r="AKG30" s="1013">
        <v>0</v>
      </c>
      <c r="AKH30" s="1013">
        <v>0</v>
      </c>
      <c r="AKI30" s="1013">
        <v>0</v>
      </c>
      <c r="AKJ30" s="1013">
        <v>2.9464285714285716</v>
      </c>
      <c r="AKK30" s="1013">
        <v>17.678571428571427</v>
      </c>
      <c r="AKL30" s="1017">
        <v>99.830375962666324</v>
      </c>
      <c r="AKM30" s="1017">
        <v>0</v>
      </c>
      <c r="AKN30" s="1017">
        <v>0</v>
      </c>
      <c r="AKO30" s="1017">
        <v>0</v>
      </c>
      <c r="AKP30" s="1017">
        <v>0</v>
      </c>
      <c r="AKQ30" s="1017">
        <v>0</v>
      </c>
      <c r="AKR30" s="1017">
        <v>2.8522964560761812</v>
      </c>
      <c r="AKS30" s="1017">
        <v>17.113778736457085</v>
      </c>
      <c r="AKT30" s="1016">
        <v>142.53443996569789</v>
      </c>
      <c r="AKU30" s="1016">
        <v>0</v>
      </c>
      <c r="AKV30" s="1017">
        <v>0</v>
      </c>
      <c r="AKW30" s="1017">
        <v>0</v>
      </c>
      <c r="AKX30" s="1017">
        <v>0</v>
      </c>
      <c r="AKY30" s="1017">
        <v>0</v>
      </c>
      <c r="AKZ30" s="1017">
        <v>4.0724125704485123</v>
      </c>
      <c r="ALA30" s="1017">
        <v>24.434475422691069</v>
      </c>
      <c r="ALB30" s="1017">
        <v>141.28149688801381</v>
      </c>
      <c r="ALC30" s="1017">
        <v>0</v>
      </c>
      <c r="ALD30" s="1017">
        <v>0</v>
      </c>
      <c r="ALE30" s="1017">
        <v>0</v>
      </c>
      <c r="ALF30" s="1017">
        <v>0</v>
      </c>
      <c r="ALG30" s="1017">
        <v>0</v>
      </c>
      <c r="ALH30" s="1017">
        <v>4.0366141968003948</v>
      </c>
      <c r="ALI30" s="1017">
        <v>24.219685180802365</v>
      </c>
      <c r="ALJ30" s="1017">
        <v>202.49999999999997</v>
      </c>
      <c r="ALK30" s="1017">
        <v>0</v>
      </c>
      <c r="ALL30" s="1017">
        <v>0</v>
      </c>
      <c r="ALM30" s="1017">
        <v>0</v>
      </c>
      <c r="ALN30" s="1017">
        <v>0</v>
      </c>
      <c r="ALO30" s="1017">
        <v>0</v>
      </c>
      <c r="ALP30" s="1017">
        <v>5.7857142857142865</v>
      </c>
      <c r="ALQ30" s="1013">
        <v>34.714285714285715</v>
      </c>
      <c r="ALR30" s="1013">
        <v>59.862646576901696</v>
      </c>
      <c r="ALS30" s="1013">
        <v>0</v>
      </c>
      <c r="ALT30" s="1013">
        <v>0</v>
      </c>
      <c r="ALU30" s="1013">
        <v>0</v>
      </c>
      <c r="ALV30" s="1013">
        <v>0</v>
      </c>
      <c r="ALW30" s="1013">
        <v>0</v>
      </c>
      <c r="ALX30" s="1013">
        <v>1.7103613307686201</v>
      </c>
      <c r="ALY30" s="1013">
        <v>10.26216798461172</v>
      </c>
    </row>
    <row r="31" spans="1:1013" ht="18" customHeight="1">
      <c r="A31" s="1259" t="s">
        <v>26</v>
      </c>
      <c r="B31" s="1260" t="s">
        <v>3063</v>
      </c>
      <c r="C31" s="1260">
        <v>2022</v>
      </c>
      <c r="D31" s="1269"/>
      <c r="E31" s="1274">
        <v>0.1</v>
      </c>
      <c r="F31" s="72">
        <v>0.1</v>
      </c>
      <c r="G31" s="72">
        <v>0.1</v>
      </c>
      <c r="H31" s="76">
        <v>0</v>
      </c>
      <c r="I31" s="75">
        <v>-3.5</v>
      </c>
      <c r="J31" s="1273">
        <v>-4.5</v>
      </c>
      <c r="K31" s="1273">
        <v>-4.5</v>
      </c>
      <c r="L31" s="1265">
        <v>350</v>
      </c>
      <c r="M31" s="1262">
        <v>0</v>
      </c>
      <c r="N31" s="1262">
        <v>0</v>
      </c>
      <c r="O31" s="1262">
        <v>0</v>
      </c>
      <c r="P31" s="76">
        <v>827.56904158479972</v>
      </c>
      <c r="Q31" s="75">
        <v>12</v>
      </c>
      <c r="R31" s="72">
        <v>0.6</v>
      </c>
      <c r="S31" s="72">
        <v>0.5</v>
      </c>
      <c r="T31" s="72">
        <v>0.5</v>
      </c>
      <c r="U31" s="1271">
        <v>1.3</v>
      </c>
      <c r="V31" s="1271">
        <v>0</v>
      </c>
      <c r="W31" s="1271">
        <v>93.6</v>
      </c>
      <c r="X31" s="1271">
        <v>5.2</v>
      </c>
      <c r="Y31" s="1272">
        <v>0</v>
      </c>
      <c r="Z31" s="75">
        <v>2</v>
      </c>
      <c r="AA31" s="72">
        <v>1.5</v>
      </c>
      <c r="AB31" s="75">
        <v>1</v>
      </c>
      <c r="AC31" s="72">
        <v>0.8</v>
      </c>
      <c r="AD31" s="72">
        <v>0.5</v>
      </c>
      <c r="AE31" s="390">
        <v>433.01922201480062</v>
      </c>
      <c r="AF31" s="390">
        <v>470.67306740739195</v>
      </c>
      <c r="AG31" s="390">
        <v>433.37222681535616</v>
      </c>
      <c r="AH31" s="390">
        <v>649.0581599547935</v>
      </c>
      <c r="AI31" s="400">
        <v>0.82209484106305364</v>
      </c>
      <c r="AJ31" s="390">
        <v>261.91600618637949</v>
      </c>
      <c r="AK31" s="390">
        <v>284.69131107215162</v>
      </c>
      <c r="AL31" s="390">
        <v>262.12952466968363</v>
      </c>
      <c r="AM31" s="390">
        <v>392.58931796849708</v>
      </c>
      <c r="AN31" s="400">
        <v>0.96717040125065135</v>
      </c>
      <c r="AO31" s="1275">
        <v>0.2</v>
      </c>
      <c r="AP31" s="1275">
        <v>0.4</v>
      </c>
      <c r="AQ31" s="1275">
        <v>0.9</v>
      </c>
      <c r="AR31" s="1275">
        <v>1.2</v>
      </c>
      <c r="AS31" s="1275">
        <v>1.5</v>
      </c>
      <c r="AT31" s="1275">
        <v>1.9</v>
      </c>
      <c r="AU31" s="1275">
        <v>2.2999999999999998</v>
      </c>
      <c r="AV31" s="1268">
        <v>0</v>
      </c>
      <c r="AW31" s="1268">
        <v>10</v>
      </c>
      <c r="AX31" s="1268">
        <v>20</v>
      </c>
      <c r="AY31" s="1268">
        <v>70</v>
      </c>
      <c r="AZ31" s="1268">
        <v>100</v>
      </c>
      <c r="BA31" s="1019">
        <v>12671.393227642182</v>
      </c>
      <c r="BB31" s="1031">
        <v>1.7</v>
      </c>
      <c r="BC31" s="988">
        <v>0.8</v>
      </c>
      <c r="BD31" s="988">
        <v>0.5</v>
      </c>
      <c r="BE31" s="988">
        <v>0.5</v>
      </c>
      <c r="BF31" s="1021">
        <v>0.19156923089066447</v>
      </c>
      <c r="BG31" s="1021">
        <v>0.1807891790858096</v>
      </c>
      <c r="BH31" s="1020">
        <v>0</v>
      </c>
      <c r="BI31" s="1020">
        <v>7.6062111079409495E-3</v>
      </c>
      <c r="BJ31" s="1020">
        <v>8.5554531963388332</v>
      </c>
      <c r="BK31" s="1020">
        <v>33.667408136230179</v>
      </c>
      <c r="BL31" s="1020">
        <v>3.5262459985779975</v>
      </c>
      <c r="BM31" s="1020">
        <v>3.544004706057482</v>
      </c>
      <c r="BN31" s="1020">
        <v>41.852148313934769</v>
      </c>
      <c r="BO31" s="1020">
        <v>5.5593894921989004E-2</v>
      </c>
      <c r="BP31" s="1020">
        <v>0.24369255759991068</v>
      </c>
      <c r="BQ31" s="1020">
        <v>4.8640577471382044E-3</v>
      </c>
      <c r="BR31" s="1020">
        <v>0</v>
      </c>
      <c r="BS31" s="1020">
        <v>0</v>
      </c>
      <c r="BT31" s="1020">
        <v>0</v>
      </c>
      <c r="BU31" s="1020">
        <v>3.2873195646766253E-2</v>
      </c>
      <c r="BV31" s="1020">
        <v>8.5101097318369892</v>
      </c>
      <c r="BW31" s="993">
        <v>261.13475999999997</v>
      </c>
      <c r="BX31" s="993">
        <v>96.5</v>
      </c>
      <c r="BY31" s="993">
        <v>63.215999999999994</v>
      </c>
      <c r="BZ31" s="993">
        <v>233.35949490734063</v>
      </c>
      <c r="CA31" s="993">
        <v>157.40783999999999</v>
      </c>
      <c r="CB31" s="990"/>
      <c r="CC31" s="993">
        <v>256.20808011776955</v>
      </c>
      <c r="CD31" s="993">
        <v>165.17663999999999</v>
      </c>
      <c r="CE31" s="990"/>
      <c r="CF31" s="989">
        <v>0</v>
      </c>
      <c r="CG31" s="993">
        <v>6.585</v>
      </c>
      <c r="CH31" s="993">
        <v>1.3169999999999999</v>
      </c>
      <c r="CI31" s="993">
        <v>38</v>
      </c>
      <c r="CJ31" s="993">
        <v>225.83915999999996</v>
      </c>
      <c r="CK31" s="990">
        <v>0.2</v>
      </c>
      <c r="CL31" s="993">
        <v>175.08124000000001</v>
      </c>
      <c r="CM31" s="993">
        <v>60.4</v>
      </c>
      <c r="CN31" s="993">
        <v>42.384</v>
      </c>
      <c r="CO31" s="993">
        <v>156.45894761061641</v>
      </c>
      <c r="CP31" s="993">
        <v>105.53616</v>
      </c>
      <c r="CQ31" s="990"/>
      <c r="CR31" s="993">
        <v>159.24945066654416</v>
      </c>
      <c r="CS31" s="993">
        <v>102.66767999999999</v>
      </c>
      <c r="CT31" s="990"/>
      <c r="CU31" s="993">
        <v>0</v>
      </c>
      <c r="CV31" s="993">
        <v>4.415</v>
      </c>
      <c r="CW31" s="993">
        <v>0.88300000000000001</v>
      </c>
      <c r="CX31" s="993">
        <v>27</v>
      </c>
      <c r="CY31" s="993">
        <v>151.41683999999998</v>
      </c>
      <c r="CZ31" s="990">
        <v>0.2</v>
      </c>
      <c r="DA31" s="988">
        <v>0.3</v>
      </c>
      <c r="DB31" s="988">
        <v>0.7</v>
      </c>
      <c r="DC31" s="988">
        <v>1.2</v>
      </c>
      <c r="DD31" s="988">
        <v>1.2</v>
      </c>
      <c r="DE31" s="1022">
        <v>3</v>
      </c>
      <c r="DF31" s="995">
        <v>0</v>
      </c>
      <c r="DG31" s="995">
        <v>10</v>
      </c>
      <c r="DH31" s="995">
        <v>20</v>
      </c>
      <c r="DI31" s="995">
        <v>70</v>
      </c>
      <c r="DJ31" s="995">
        <v>100</v>
      </c>
      <c r="DK31" s="1017">
        <v>92.369860048533113</v>
      </c>
      <c r="DL31" s="1022">
        <v>18</v>
      </c>
      <c r="DM31" s="989">
        <v>12</v>
      </c>
      <c r="DN31" s="988">
        <v>1.6</v>
      </c>
      <c r="DO31" s="988">
        <v>1.2</v>
      </c>
      <c r="DP31" s="988">
        <v>1.2</v>
      </c>
      <c r="DQ31" s="988" t="s">
        <v>668</v>
      </c>
      <c r="DR31" s="988" t="s">
        <v>640</v>
      </c>
      <c r="DS31" s="988" t="s">
        <v>640</v>
      </c>
      <c r="DT31" s="988" t="s">
        <v>640</v>
      </c>
      <c r="DU31" s="988" t="s">
        <v>640</v>
      </c>
      <c r="DV31" s="988" t="s">
        <v>640</v>
      </c>
      <c r="DW31" s="988" t="s">
        <v>640</v>
      </c>
      <c r="DX31" s="997">
        <v>498</v>
      </c>
      <c r="DY31" s="997">
        <v>0</v>
      </c>
      <c r="DZ31" s="997">
        <v>0</v>
      </c>
      <c r="EA31" s="997">
        <v>0</v>
      </c>
      <c r="EB31" s="997">
        <v>0</v>
      </c>
      <c r="EC31" s="997">
        <v>0</v>
      </c>
      <c r="ED31" s="997">
        <v>0</v>
      </c>
      <c r="EE31" s="1022">
        <v>0.498</v>
      </c>
      <c r="EF31" s="1022">
        <v>18</v>
      </c>
      <c r="EG31" s="991">
        <v>5</v>
      </c>
      <c r="EH31" s="1034">
        <v>1.6</v>
      </c>
      <c r="EI31" s="1034">
        <v>1.2</v>
      </c>
      <c r="EJ31" s="1034">
        <v>1.2</v>
      </c>
      <c r="EK31" s="988" t="s">
        <v>691</v>
      </c>
      <c r="EL31" s="988" t="s">
        <v>668</v>
      </c>
      <c r="EM31" s="988" t="s">
        <v>723</v>
      </c>
      <c r="EN31" s="988" t="s">
        <v>640</v>
      </c>
      <c r="EO31" s="988" t="s">
        <v>640</v>
      </c>
      <c r="EP31" s="988" t="s">
        <v>640</v>
      </c>
      <c r="EQ31" s="988" t="s">
        <v>640</v>
      </c>
      <c r="ER31" s="988" t="s">
        <v>640</v>
      </c>
      <c r="ES31" s="988" t="s">
        <v>640</v>
      </c>
      <c r="ET31" s="988" t="s">
        <v>640</v>
      </c>
      <c r="EU31" s="988" t="s">
        <v>640</v>
      </c>
      <c r="EV31" s="988" t="s">
        <v>640</v>
      </c>
      <c r="EW31" s="988" t="s">
        <v>640</v>
      </c>
      <c r="EX31" s="988" t="s">
        <v>640</v>
      </c>
      <c r="EY31" s="988" t="s">
        <v>640</v>
      </c>
      <c r="EZ31" s="988" t="s">
        <v>640</v>
      </c>
      <c r="FA31" s="988" t="s">
        <v>640</v>
      </c>
      <c r="FB31" s="988" t="s">
        <v>640</v>
      </c>
      <c r="FC31" s="988" t="s">
        <v>640</v>
      </c>
      <c r="FD31" s="988" t="s">
        <v>640</v>
      </c>
      <c r="FE31" s="988" t="s">
        <v>640</v>
      </c>
      <c r="FF31" s="988" t="s">
        <v>640</v>
      </c>
      <c r="FG31" s="988" t="s">
        <v>640</v>
      </c>
      <c r="FH31" s="988" t="s">
        <v>640</v>
      </c>
      <c r="FI31" s="988" t="s">
        <v>640</v>
      </c>
      <c r="FJ31" s="988" t="s">
        <v>640</v>
      </c>
      <c r="FK31" s="988" t="s">
        <v>640</v>
      </c>
      <c r="FL31" s="988" t="s">
        <v>640</v>
      </c>
      <c r="FM31" s="988" t="s">
        <v>640</v>
      </c>
      <c r="FN31" s="988" t="s">
        <v>640</v>
      </c>
      <c r="FO31" s="988" t="s">
        <v>640</v>
      </c>
      <c r="FP31" s="988" t="s">
        <v>640</v>
      </c>
      <c r="FQ31" s="988" t="s">
        <v>640</v>
      </c>
      <c r="FR31" s="988" t="s">
        <v>640</v>
      </c>
      <c r="FS31" s="988" t="s">
        <v>640</v>
      </c>
      <c r="FT31" s="988" t="s">
        <v>640</v>
      </c>
      <c r="FU31" s="988" t="s">
        <v>640</v>
      </c>
      <c r="FV31" s="988" t="s">
        <v>640</v>
      </c>
      <c r="FW31" s="988" t="s">
        <v>640</v>
      </c>
      <c r="FX31" s="988" t="s">
        <v>640</v>
      </c>
      <c r="FY31" s="988" t="s">
        <v>640</v>
      </c>
      <c r="FZ31" s="988" t="s">
        <v>640</v>
      </c>
      <c r="GA31" s="988" t="s">
        <v>640</v>
      </c>
      <c r="GB31" s="988" t="s">
        <v>640</v>
      </c>
      <c r="GC31" s="988" t="s">
        <v>640</v>
      </c>
      <c r="GD31" s="988" t="s">
        <v>640</v>
      </c>
      <c r="GE31" s="988" t="s">
        <v>640</v>
      </c>
      <c r="GF31" s="988" t="s">
        <v>640</v>
      </c>
      <c r="GG31" s="988" t="s">
        <v>640</v>
      </c>
      <c r="GH31" s="988" t="s">
        <v>640</v>
      </c>
      <c r="GI31" s="988" t="s">
        <v>640</v>
      </c>
      <c r="GJ31" s="988" t="s">
        <v>640</v>
      </c>
      <c r="GK31" s="988" t="s">
        <v>640</v>
      </c>
      <c r="GL31" s="988" t="s">
        <v>640</v>
      </c>
      <c r="GM31" s="988" t="s">
        <v>640</v>
      </c>
      <c r="GN31" s="988" t="s">
        <v>640</v>
      </c>
      <c r="GO31" s="988" t="s">
        <v>640</v>
      </c>
      <c r="GP31" s="988" t="s">
        <v>640</v>
      </c>
      <c r="GQ31" s="997">
        <v>61.900062460961898</v>
      </c>
      <c r="GR31" s="997">
        <v>408.72704559650225</v>
      </c>
      <c r="GS31" s="997">
        <v>27.372891942535922</v>
      </c>
      <c r="GT31" s="997">
        <v>0</v>
      </c>
      <c r="GU31" s="997">
        <v>0</v>
      </c>
      <c r="GV31" s="997">
        <v>0</v>
      </c>
      <c r="GW31" s="997">
        <v>0</v>
      </c>
      <c r="GX31" s="997">
        <v>0</v>
      </c>
      <c r="GY31" s="997">
        <v>0</v>
      </c>
      <c r="GZ31" s="997">
        <v>0</v>
      </c>
      <c r="HA31" s="997">
        <v>0</v>
      </c>
      <c r="HB31" s="997">
        <v>0</v>
      </c>
      <c r="HC31" s="997">
        <v>0</v>
      </c>
      <c r="HD31" s="997">
        <v>0</v>
      </c>
      <c r="HE31" s="997">
        <v>0</v>
      </c>
      <c r="HF31" s="997">
        <v>0</v>
      </c>
      <c r="HG31" s="997">
        <v>0</v>
      </c>
      <c r="HH31" s="997">
        <v>0</v>
      </c>
      <c r="HI31" s="997">
        <v>0</v>
      </c>
      <c r="HJ31" s="997">
        <v>0</v>
      </c>
      <c r="HK31" s="997">
        <v>0</v>
      </c>
      <c r="HL31" s="997">
        <v>0</v>
      </c>
      <c r="HM31" s="997">
        <v>0</v>
      </c>
      <c r="HN31" s="997">
        <v>0</v>
      </c>
      <c r="HO31" s="997">
        <v>0</v>
      </c>
      <c r="HP31" s="997">
        <v>0</v>
      </c>
      <c r="HQ31" s="997">
        <v>0</v>
      </c>
      <c r="HR31" s="997">
        <v>0</v>
      </c>
      <c r="HS31" s="997">
        <v>0</v>
      </c>
      <c r="HT31" s="997">
        <v>0</v>
      </c>
      <c r="HU31" s="997">
        <v>0</v>
      </c>
      <c r="HV31" s="997">
        <v>0</v>
      </c>
      <c r="HW31" s="997">
        <v>0</v>
      </c>
      <c r="HX31" s="997">
        <v>0</v>
      </c>
      <c r="HY31" s="997">
        <v>0</v>
      </c>
      <c r="HZ31" s="997">
        <v>0</v>
      </c>
      <c r="IA31" s="997">
        <v>0</v>
      </c>
      <c r="IB31" s="997">
        <v>0</v>
      </c>
      <c r="IC31" s="997">
        <v>0</v>
      </c>
      <c r="ID31" s="997">
        <v>0</v>
      </c>
      <c r="IE31" s="997">
        <v>0</v>
      </c>
      <c r="IF31" s="997">
        <v>0</v>
      </c>
      <c r="IG31" s="997">
        <v>0</v>
      </c>
      <c r="IH31" s="997">
        <v>0</v>
      </c>
      <c r="II31" s="997">
        <v>0</v>
      </c>
      <c r="IJ31" s="997">
        <v>0</v>
      </c>
      <c r="IK31" s="997">
        <v>0</v>
      </c>
      <c r="IL31" s="997">
        <v>0</v>
      </c>
      <c r="IM31" s="997">
        <v>0</v>
      </c>
      <c r="IN31" s="997">
        <v>0</v>
      </c>
      <c r="IO31" s="997">
        <v>0</v>
      </c>
      <c r="IP31" s="997">
        <v>0</v>
      </c>
      <c r="IQ31" s="997">
        <v>0</v>
      </c>
      <c r="IR31" s="997">
        <v>0</v>
      </c>
      <c r="IS31" s="997">
        <v>0</v>
      </c>
      <c r="IT31" s="997">
        <v>0</v>
      </c>
      <c r="IU31" s="997">
        <v>0</v>
      </c>
      <c r="IV31" s="997">
        <v>0</v>
      </c>
      <c r="IW31" s="1019">
        <v>697.22550988440969</v>
      </c>
      <c r="IX31" s="1022">
        <v>179.9</v>
      </c>
      <c r="IY31" s="998">
        <v>2647.0800000000199</v>
      </c>
      <c r="IZ31" s="429">
        <v>12.64</v>
      </c>
      <c r="JA31" s="1022">
        <v>50</v>
      </c>
      <c r="JB31" s="988">
        <v>1.6</v>
      </c>
      <c r="JC31" s="988">
        <v>1.2</v>
      </c>
      <c r="JD31" s="988">
        <v>1.2</v>
      </c>
      <c r="JE31" s="998">
        <v>2</v>
      </c>
      <c r="JF31" s="1023">
        <v>1.5</v>
      </c>
      <c r="JG31" s="1023">
        <v>0.7</v>
      </c>
      <c r="JH31" s="1023">
        <v>0.7</v>
      </c>
      <c r="JI31" s="1023">
        <v>0.5</v>
      </c>
      <c r="JJ31" s="1019"/>
      <c r="JK31" s="998">
        <v>2647.0800000000199</v>
      </c>
      <c r="JL31" s="429">
        <v>12.64</v>
      </c>
      <c r="JM31" s="1022">
        <v>50</v>
      </c>
      <c r="JN31" s="988">
        <v>1.9</v>
      </c>
      <c r="JO31" s="988">
        <v>1.1000000000000001</v>
      </c>
      <c r="JP31" s="988">
        <v>1.1000000000000001</v>
      </c>
      <c r="JQ31" s="998">
        <v>2</v>
      </c>
      <c r="JR31" s="998">
        <v>2</v>
      </c>
      <c r="JS31" s="998">
        <v>1</v>
      </c>
      <c r="JT31" s="998">
        <v>1</v>
      </c>
      <c r="JU31" s="1023">
        <v>0.5</v>
      </c>
      <c r="JV31" s="1004">
        <v>2000</v>
      </c>
      <c r="JW31" s="1019"/>
      <c r="JX31" s="1019">
        <v>500</v>
      </c>
      <c r="JY31" s="1022">
        <v>1.5</v>
      </c>
      <c r="JZ31" s="1022">
        <v>0.7</v>
      </c>
      <c r="KA31" s="1022">
        <v>0.7</v>
      </c>
      <c r="KB31" s="1023">
        <v>2</v>
      </c>
      <c r="KC31" s="1023">
        <v>1.5</v>
      </c>
      <c r="KD31" s="1023">
        <v>0.5</v>
      </c>
      <c r="KE31" s="1023">
        <v>1</v>
      </c>
      <c r="KF31" s="1023">
        <v>0.5</v>
      </c>
      <c r="KG31" s="997">
        <v>4.9335904321574917</v>
      </c>
      <c r="KH31" s="997">
        <v>0</v>
      </c>
      <c r="KI31" s="997">
        <v>92.08106851631355</v>
      </c>
      <c r="KJ31" s="997"/>
      <c r="KK31" s="997">
        <v>1.4390210890345261</v>
      </c>
      <c r="KL31" s="997">
        <v>1.5463199624944339</v>
      </c>
      <c r="KM31" s="997">
        <v>0</v>
      </c>
      <c r="KN31" s="997">
        <v>0</v>
      </c>
      <c r="KO31" s="997"/>
      <c r="KP31" s="1006">
        <v>580</v>
      </c>
      <c r="KQ31" s="1006">
        <v>580</v>
      </c>
      <c r="KR31" s="1006">
        <v>580</v>
      </c>
      <c r="KS31" s="1006">
        <v>580</v>
      </c>
      <c r="KT31" s="1006"/>
      <c r="KU31" s="1006">
        <v>580</v>
      </c>
      <c r="KV31" s="1006">
        <v>580</v>
      </c>
      <c r="KW31" s="1006">
        <v>580</v>
      </c>
      <c r="KX31" s="1006">
        <v>580</v>
      </c>
      <c r="KY31" s="993">
        <v>370</v>
      </c>
      <c r="KZ31" s="993">
        <v>370</v>
      </c>
      <c r="LA31" s="993">
        <v>370</v>
      </c>
      <c r="LB31" s="993">
        <v>370</v>
      </c>
      <c r="LC31" s="993"/>
      <c r="LD31" s="993">
        <v>370</v>
      </c>
      <c r="LE31" s="993">
        <v>370</v>
      </c>
      <c r="LF31" s="993">
        <v>370</v>
      </c>
      <c r="LG31" s="993">
        <v>370</v>
      </c>
      <c r="LH31" s="995">
        <v>0</v>
      </c>
      <c r="LI31" s="995">
        <v>10</v>
      </c>
      <c r="LJ31" s="995">
        <v>20</v>
      </c>
      <c r="LK31" s="995">
        <v>70</v>
      </c>
      <c r="LL31" s="995">
        <v>100</v>
      </c>
      <c r="LM31" s="1004">
        <v>1000</v>
      </c>
      <c r="LN31" s="1019"/>
      <c r="LO31" s="988">
        <v>29</v>
      </c>
      <c r="LP31" s="1022">
        <v>1</v>
      </c>
      <c r="LQ31" s="988">
        <v>0.7</v>
      </c>
      <c r="LR31" s="988">
        <v>0.7</v>
      </c>
      <c r="LS31" s="1023">
        <v>2</v>
      </c>
      <c r="LT31" s="1023">
        <v>1</v>
      </c>
      <c r="LU31" s="1023">
        <v>0.5</v>
      </c>
      <c r="LV31" s="1023">
        <v>0.7</v>
      </c>
      <c r="LW31" s="1023">
        <v>0.2</v>
      </c>
      <c r="LX31" s="1004">
        <v>1500</v>
      </c>
      <c r="LY31" s="1008">
        <v>500</v>
      </c>
      <c r="LZ31" s="1008">
        <v>1</v>
      </c>
      <c r="MA31" s="997" t="s">
        <v>2914</v>
      </c>
      <c r="MB31" s="1023" t="s">
        <v>905</v>
      </c>
      <c r="MC31" s="1023" t="s">
        <v>2932</v>
      </c>
      <c r="MD31" s="1024" t="s">
        <v>906</v>
      </c>
      <c r="ME31" s="1009">
        <v>0.5</v>
      </c>
      <c r="MF31" s="1010">
        <v>0.75</v>
      </c>
      <c r="MG31" s="1010">
        <v>1</v>
      </c>
      <c r="MH31" s="1010">
        <v>2</v>
      </c>
      <c r="MI31" s="1010">
        <v>0.5</v>
      </c>
      <c r="MJ31" s="1010">
        <v>0.75</v>
      </c>
      <c r="MK31" s="1010">
        <v>1</v>
      </c>
      <c r="ML31" s="1010">
        <v>2</v>
      </c>
      <c r="MM31" s="1010">
        <v>0</v>
      </c>
      <c r="MN31" s="1010">
        <v>0.5</v>
      </c>
      <c r="MO31" s="1010">
        <v>1</v>
      </c>
      <c r="MP31" s="1010">
        <v>2</v>
      </c>
      <c r="MQ31" s="1010">
        <v>0</v>
      </c>
      <c r="MR31" s="1010">
        <v>0.5</v>
      </c>
      <c r="MS31" s="1010">
        <v>1</v>
      </c>
      <c r="MT31" s="1010">
        <v>2</v>
      </c>
      <c r="MU31" s="1001">
        <v>0</v>
      </c>
      <c r="MV31" s="1001">
        <v>0</v>
      </c>
      <c r="MW31" s="1001">
        <v>0</v>
      </c>
      <c r="MX31" s="1025">
        <v>0</v>
      </c>
      <c r="MY31" s="1025">
        <v>0</v>
      </c>
      <c r="MZ31" s="1025">
        <v>0</v>
      </c>
      <c r="NA31" s="1025">
        <v>0</v>
      </c>
      <c r="NB31" s="1025">
        <v>0</v>
      </c>
      <c r="NC31" s="1025">
        <v>0</v>
      </c>
      <c r="ND31" s="1025">
        <v>0</v>
      </c>
      <c r="NE31" s="1025">
        <v>0</v>
      </c>
      <c r="NF31" s="1025">
        <v>0</v>
      </c>
      <c r="NG31" s="1025">
        <v>0</v>
      </c>
      <c r="NH31" s="1025">
        <v>0</v>
      </c>
      <c r="NI31" s="1025">
        <v>0</v>
      </c>
      <c r="NJ31" s="1025">
        <v>0</v>
      </c>
      <c r="NK31" s="1025">
        <v>0</v>
      </c>
      <c r="NL31" s="1025">
        <v>0</v>
      </c>
      <c r="NM31" s="1025">
        <v>0</v>
      </c>
      <c r="NN31" s="1025">
        <v>0</v>
      </c>
      <c r="NO31" s="1025">
        <v>0</v>
      </c>
      <c r="NP31" s="1025">
        <v>0</v>
      </c>
      <c r="NQ31" s="1025">
        <v>0</v>
      </c>
      <c r="NR31" s="1025">
        <v>0</v>
      </c>
      <c r="NS31" s="1025">
        <v>0</v>
      </c>
      <c r="NT31" s="1025">
        <v>0</v>
      </c>
      <c r="NU31" s="1025">
        <v>0</v>
      </c>
      <c r="NV31" s="1025">
        <v>1.5879033492308401</v>
      </c>
      <c r="NW31" s="1025">
        <v>0</v>
      </c>
      <c r="NX31" s="1025">
        <v>1.2374119467068201</v>
      </c>
      <c r="NY31" s="1025">
        <v>1.7473909752354599</v>
      </c>
      <c r="NZ31" s="1025">
        <v>0.48305527472544002</v>
      </c>
      <c r="OA31" s="1025">
        <v>-0.92999878258752</v>
      </c>
      <c r="OB31" s="1025">
        <v>4.2236312705159998E-2</v>
      </c>
      <c r="OC31" s="1025">
        <v>0</v>
      </c>
      <c r="OD31" s="1025">
        <v>0.60433761737880998</v>
      </c>
      <c r="OE31" s="1025">
        <v>0.86865437500107001</v>
      </c>
      <c r="OF31" s="1025">
        <v>-0.12147479502984999</v>
      </c>
      <c r="OG31" s="1025">
        <v>0</v>
      </c>
      <c r="OH31" s="1025">
        <v>0.59790308308494999</v>
      </c>
      <c r="OI31" s="1025">
        <v>0</v>
      </c>
      <c r="OJ31" s="1025">
        <v>1.05336834016393</v>
      </c>
      <c r="OK31" s="1025">
        <v>1.92164213859911</v>
      </c>
      <c r="OL31" s="1025">
        <v>0</v>
      </c>
      <c r="OM31" s="1025">
        <v>-0.93000022644596003</v>
      </c>
      <c r="ON31" s="1025">
        <v>0.90524964380529005</v>
      </c>
      <c r="OO31" s="1025">
        <v>0</v>
      </c>
      <c r="OP31" s="1025">
        <v>1.20833393126211</v>
      </c>
      <c r="OQ31" s="1025">
        <v>2.2571367070183199</v>
      </c>
      <c r="OR31" s="1025">
        <v>1.0774480058221201</v>
      </c>
      <c r="OS31" s="1025">
        <v>0</v>
      </c>
      <c r="OT31" s="1025">
        <v>0</v>
      </c>
      <c r="OU31" s="1025">
        <v>0</v>
      </c>
      <c r="OV31" s="1025">
        <v>0</v>
      </c>
      <c r="OW31" s="1025">
        <v>0</v>
      </c>
      <c r="OX31" s="1025">
        <v>0</v>
      </c>
      <c r="OY31" s="1025">
        <v>0</v>
      </c>
      <c r="OZ31" s="1025">
        <v>-32.08</v>
      </c>
      <c r="PA31" s="1025">
        <v>-8.5399999999999991</v>
      </c>
      <c r="PB31" s="1025">
        <v>-4.4565069068566103</v>
      </c>
      <c r="PC31" s="1025">
        <v>0</v>
      </c>
      <c r="PD31" s="1025">
        <v>-0.41091065696852003</v>
      </c>
      <c r="PE31" s="1025">
        <v>-7.8999879393106101</v>
      </c>
      <c r="PF31" s="1025">
        <v>-0.13339441431321</v>
      </c>
      <c r="PG31" s="1025">
        <v>0</v>
      </c>
      <c r="PH31" s="1025">
        <v>0</v>
      </c>
      <c r="PI31" s="1025">
        <v>0</v>
      </c>
      <c r="PJ31" s="1025">
        <v>-0.34359432407297003</v>
      </c>
      <c r="PK31" s="1025">
        <v>0</v>
      </c>
      <c r="PL31" s="1025">
        <v>0.18571568293497001</v>
      </c>
      <c r="PM31" s="1025">
        <v>0</v>
      </c>
      <c r="PN31" s="1025">
        <v>0</v>
      </c>
      <c r="PO31" s="1025">
        <v>0</v>
      </c>
      <c r="PP31" s="1025">
        <v>0</v>
      </c>
      <c r="PQ31" s="1025">
        <v>-7.9000091060244797</v>
      </c>
      <c r="PR31" s="1025">
        <v>0.64091248386055999</v>
      </c>
      <c r="PS31" s="1025">
        <v>0</v>
      </c>
      <c r="PT31" s="1025">
        <v>0</v>
      </c>
      <c r="PU31" s="1025">
        <v>0</v>
      </c>
      <c r="PV31" s="1025">
        <v>0.51530725468044003</v>
      </c>
      <c r="PW31" s="1025">
        <v>0</v>
      </c>
      <c r="PX31" s="1025">
        <v>0</v>
      </c>
      <c r="PY31" s="1025">
        <v>0</v>
      </c>
      <c r="PZ31" s="1025">
        <v>0</v>
      </c>
      <c r="QA31" s="1025">
        <v>0</v>
      </c>
      <c r="QB31" s="1025">
        <v>0</v>
      </c>
      <c r="QC31" s="1025">
        <v>0</v>
      </c>
      <c r="QD31" s="1025">
        <v>-32.08</v>
      </c>
      <c r="QE31" s="1025">
        <v>-8.5399999999999991</v>
      </c>
      <c r="QF31" s="1025">
        <v>-3.3907754499817102</v>
      </c>
      <c r="QG31" s="1025">
        <v>0</v>
      </c>
      <c r="QH31" s="1025">
        <v>0.18975143296406999</v>
      </c>
      <c r="QI31" s="1025">
        <v>0</v>
      </c>
      <c r="QJ31" s="1025">
        <v>0</v>
      </c>
      <c r="QK31" s="1025">
        <v>0</v>
      </c>
      <c r="QL31" s="1025">
        <v>0</v>
      </c>
      <c r="QM31" s="1025">
        <v>0</v>
      </c>
      <c r="QN31" s="1025">
        <v>0</v>
      </c>
      <c r="QO31" s="1025">
        <v>0</v>
      </c>
      <c r="QP31" s="1025">
        <v>0.42668001501689001</v>
      </c>
      <c r="QQ31" s="1025">
        <v>0</v>
      </c>
      <c r="QR31" s="1025">
        <v>0</v>
      </c>
      <c r="QS31" s="1025">
        <v>0</v>
      </c>
      <c r="QT31" s="1025">
        <v>0</v>
      </c>
      <c r="QU31" s="1025">
        <v>-3.5999916572811101</v>
      </c>
      <c r="QV31" s="1025">
        <v>0.22941946804461999</v>
      </c>
      <c r="QW31" s="1025">
        <v>0</v>
      </c>
      <c r="QX31" s="1025">
        <v>0</v>
      </c>
      <c r="QY31" s="1025">
        <v>0</v>
      </c>
      <c r="QZ31" s="1025">
        <v>1.24483107868372</v>
      </c>
      <c r="RA31" s="1025">
        <v>0</v>
      </c>
      <c r="RB31" s="1025">
        <v>0</v>
      </c>
      <c r="RC31" s="1025">
        <v>0</v>
      </c>
      <c r="RD31" s="1025">
        <v>0</v>
      </c>
      <c r="RE31" s="1025">
        <v>0</v>
      </c>
      <c r="RF31" s="1025">
        <v>0</v>
      </c>
      <c r="RG31" s="1025">
        <v>0</v>
      </c>
      <c r="RH31" s="1011">
        <v>0</v>
      </c>
      <c r="RI31" s="1026">
        <v>0</v>
      </c>
      <c r="RJ31" s="1026">
        <v>0</v>
      </c>
      <c r="RK31" s="1026">
        <v>0</v>
      </c>
      <c r="RL31" s="1026">
        <v>0</v>
      </c>
      <c r="RM31" s="1011">
        <v>0</v>
      </c>
      <c r="RN31" s="1011">
        <v>0</v>
      </c>
      <c r="RO31" s="1011">
        <v>0</v>
      </c>
      <c r="RP31" s="1011">
        <v>0</v>
      </c>
      <c r="RQ31" s="1011">
        <v>0</v>
      </c>
      <c r="RR31" s="1011">
        <v>0</v>
      </c>
      <c r="RS31" s="1011">
        <v>0</v>
      </c>
      <c r="RT31" s="1011">
        <v>-1.2689099357037401</v>
      </c>
      <c r="RU31" s="1011">
        <v>0</v>
      </c>
      <c r="RV31" s="1011">
        <v>-2.8781145047999299</v>
      </c>
      <c r="RW31" s="1011">
        <v>0</v>
      </c>
      <c r="RX31" s="1011">
        <v>0</v>
      </c>
      <c r="RY31" s="1011">
        <v>-0.24998613037448</v>
      </c>
      <c r="RZ31" s="1026">
        <v>-0.30438021768994999</v>
      </c>
      <c r="SA31" s="1026">
        <v>0</v>
      </c>
      <c r="SB31" s="1026">
        <v>0</v>
      </c>
      <c r="SC31" s="1026">
        <v>0</v>
      </c>
      <c r="SD31" s="1026">
        <v>-0.10340801014477</v>
      </c>
      <c r="SE31" s="1026">
        <v>0</v>
      </c>
      <c r="SF31" s="1026">
        <v>0</v>
      </c>
      <c r="SG31" s="1026">
        <v>0</v>
      </c>
      <c r="SH31" s="1026">
        <v>0</v>
      </c>
      <c r="SI31" s="1026">
        <v>0</v>
      </c>
      <c r="SJ31" s="1026">
        <v>0</v>
      </c>
      <c r="SK31" s="1026">
        <v>0</v>
      </c>
      <c r="SL31" s="1025">
        <v>-32.08</v>
      </c>
      <c r="SM31" s="1025">
        <v>-8.5399999999999991</v>
      </c>
      <c r="SN31" s="1025">
        <v>-3.6131506468816301</v>
      </c>
      <c r="SO31" s="1025">
        <v>0</v>
      </c>
      <c r="SP31" s="1025">
        <v>-1.1097337473256801</v>
      </c>
      <c r="SQ31" s="1025">
        <v>-7.9000036285925503</v>
      </c>
      <c r="SR31" s="1025">
        <v>-0.25324437798651001</v>
      </c>
      <c r="SS31" s="1025">
        <v>0</v>
      </c>
      <c r="ST31" s="1025">
        <v>0</v>
      </c>
      <c r="SU31" s="1025">
        <v>0</v>
      </c>
      <c r="SV31" s="1025">
        <v>-0.84122717749562004</v>
      </c>
      <c r="SW31" s="1025">
        <v>0</v>
      </c>
      <c r="SX31" s="1025">
        <v>-0.41127477038100002</v>
      </c>
      <c r="SY31" s="1025">
        <v>0</v>
      </c>
      <c r="SZ31" s="1025">
        <v>0</v>
      </c>
      <c r="TA31" s="1025">
        <v>0</v>
      </c>
      <c r="TB31" s="1025">
        <v>-0.88393036854300999</v>
      </c>
      <c r="TC31" s="1025">
        <v>0</v>
      </c>
      <c r="TD31" s="1025">
        <v>-1.41237443138741</v>
      </c>
      <c r="TE31" s="1025">
        <v>0</v>
      </c>
      <c r="TF31" s="1025">
        <v>0</v>
      </c>
      <c r="TG31" s="1025">
        <v>0</v>
      </c>
      <c r="TH31" s="1025">
        <v>0</v>
      </c>
      <c r="TI31" s="1025">
        <v>-7.8999994002243197</v>
      </c>
      <c r="TJ31" s="1025">
        <v>0</v>
      </c>
      <c r="TK31" s="1025">
        <v>0</v>
      </c>
      <c r="TL31" s="1025">
        <v>0</v>
      </c>
      <c r="TM31" s="1025">
        <v>0</v>
      </c>
      <c r="TN31" s="1025">
        <v>0</v>
      </c>
      <c r="TO31" s="1025">
        <v>0</v>
      </c>
      <c r="TP31" s="1025">
        <v>-32.08</v>
      </c>
      <c r="TQ31" s="1025">
        <v>-8.5399999999999991</v>
      </c>
      <c r="TR31" s="1025">
        <v>0</v>
      </c>
      <c r="TS31" s="1025">
        <v>0</v>
      </c>
      <c r="TT31" s="1025">
        <v>0</v>
      </c>
      <c r="TU31" s="1025">
        <v>0</v>
      </c>
      <c r="TV31" s="1025">
        <v>0</v>
      </c>
      <c r="TW31" s="1025">
        <v>0</v>
      </c>
      <c r="TX31" s="1025">
        <v>0</v>
      </c>
      <c r="TY31" s="1025">
        <v>0</v>
      </c>
      <c r="TZ31" s="1025">
        <v>0</v>
      </c>
      <c r="UA31" s="1025">
        <v>0</v>
      </c>
      <c r="UB31" s="1025">
        <v>0</v>
      </c>
      <c r="UC31" s="1025">
        <v>0</v>
      </c>
      <c r="UD31" s="1025">
        <v>0</v>
      </c>
      <c r="UE31" s="1025">
        <v>0</v>
      </c>
      <c r="UF31" s="1025">
        <v>0</v>
      </c>
      <c r="UG31" s="1025">
        <v>0</v>
      </c>
      <c r="UH31" s="1025">
        <v>0</v>
      </c>
      <c r="UI31" s="1025">
        <v>0</v>
      </c>
      <c r="UJ31" s="1025">
        <v>0</v>
      </c>
      <c r="UK31" s="1025">
        <v>0</v>
      </c>
      <c r="UL31" s="1025">
        <v>0</v>
      </c>
      <c r="UM31" s="1025">
        <v>0</v>
      </c>
      <c r="UN31" s="1025">
        <v>0</v>
      </c>
      <c r="UO31" s="1025">
        <v>0</v>
      </c>
      <c r="UP31" s="1025">
        <v>0</v>
      </c>
      <c r="UQ31" s="1025">
        <v>0</v>
      </c>
      <c r="UR31" s="1025">
        <v>0</v>
      </c>
      <c r="US31" s="1025">
        <v>0</v>
      </c>
      <c r="UT31" s="1025">
        <v>0.40270562347528999</v>
      </c>
      <c r="UU31" s="1025">
        <v>0</v>
      </c>
      <c r="UV31" s="1025">
        <v>2.0814418693299998E-2</v>
      </c>
      <c r="UW31" s="1025">
        <v>0.1029367621416</v>
      </c>
      <c r="UX31" s="1025">
        <v>2.5458626522600002E-3</v>
      </c>
      <c r="UY31" s="1025">
        <v>-0.24598570082926</v>
      </c>
      <c r="UZ31" s="1025">
        <v>3.8283566542999999E-4</v>
      </c>
      <c r="VA31" s="1025">
        <v>0</v>
      </c>
      <c r="VB31" s="1025">
        <v>0</v>
      </c>
      <c r="VC31" s="1025">
        <v>0</v>
      </c>
      <c r="VD31" s="1025">
        <v>1.406254926586E-2</v>
      </c>
      <c r="VE31" s="1025">
        <v>-7.9000003829155601</v>
      </c>
      <c r="VF31" s="1025">
        <v>9.0613540435200007E-3</v>
      </c>
      <c r="VG31" s="1025">
        <v>0</v>
      </c>
      <c r="VH31" s="1025">
        <v>0</v>
      </c>
      <c r="VI31" s="1025">
        <v>0</v>
      </c>
      <c r="VJ31" s="1025">
        <v>-9.0671841366999999E-4</v>
      </c>
      <c r="VK31" s="1025">
        <v>-3.59999967365161</v>
      </c>
      <c r="VL31" s="1025">
        <v>0</v>
      </c>
      <c r="VM31" s="1025">
        <v>0</v>
      </c>
      <c r="VN31" s="1025">
        <v>0</v>
      </c>
      <c r="VO31" s="1025">
        <v>0</v>
      </c>
      <c r="VP31" s="1025">
        <v>0</v>
      </c>
      <c r="VQ31" s="1025">
        <v>-8.2908500000000007</v>
      </c>
      <c r="VR31" s="1010">
        <v>5.4647607308199999E-3</v>
      </c>
      <c r="VS31" s="1010">
        <v>0</v>
      </c>
      <c r="VT31" s="1010">
        <v>0</v>
      </c>
      <c r="VU31" s="1010">
        <v>0</v>
      </c>
      <c r="VV31" s="1010">
        <v>0</v>
      </c>
      <c r="VW31" s="1010">
        <v>-9.2252271298499996E-3</v>
      </c>
      <c r="VX31" s="1025">
        <v>0</v>
      </c>
      <c r="VY31" s="1025">
        <v>0</v>
      </c>
      <c r="VZ31" s="1025">
        <v>0</v>
      </c>
      <c r="WA31" s="1025">
        <v>0</v>
      </c>
      <c r="WB31" s="1025">
        <v>0</v>
      </c>
      <c r="WC31" s="1025">
        <v>-7.8999986798813104</v>
      </c>
      <c r="WD31" s="995">
        <v>202</v>
      </c>
      <c r="WE31" s="995">
        <v>267</v>
      </c>
      <c r="WF31" s="995">
        <v>354</v>
      </c>
      <c r="WG31" s="995">
        <v>382</v>
      </c>
      <c r="WH31" s="995">
        <v>403</v>
      </c>
      <c r="WI31" s="995">
        <v>0</v>
      </c>
      <c r="WJ31" s="995">
        <v>1300</v>
      </c>
      <c r="WK31" s="1001">
        <v>0</v>
      </c>
      <c r="WL31" s="1001">
        <v>0</v>
      </c>
      <c r="WM31" s="1001">
        <v>0</v>
      </c>
      <c r="WN31" s="1001">
        <v>0</v>
      </c>
      <c r="WO31" s="1001">
        <v>0</v>
      </c>
      <c r="WP31" s="1001">
        <v>0</v>
      </c>
      <c r="WQ31" s="1001">
        <v>0</v>
      </c>
      <c r="WR31" s="1001">
        <v>0</v>
      </c>
      <c r="WS31" s="1001">
        <v>0</v>
      </c>
      <c r="WT31" s="1001">
        <v>0</v>
      </c>
      <c r="WU31" s="1001">
        <v>0</v>
      </c>
      <c r="WV31" s="1001">
        <v>0</v>
      </c>
      <c r="WW31" s="1001">
        <v>0</v>
      </c>
      <c r="WX31" s="1001">
        <v>0</v>
      </c>
      <c r="WY31" s="1001">
        <v>0</v>
      </c>
      <c r="WZ31" s="1001">
        <v>0</v>
      </c>
      <c r="XA31" s="1001">
        <v>0</v>
      </c>
      <c r="XB31" s="1001">
        <v>0</v>
      </c>
      <c r="XC31" s="1001">
        <v>0</v>
      </c>
      <c r="XD31" s="1001">
        <v>0</v>
      </c>
      <c r="XE31" s="1001">
        <v>0</v>
      </c>
      <c r="XF31" s="1001">
        <v>0</v>
      </c>
      <c r="XG31" s="1001">
        <v>0</v>
      </c>
      <c r="XH31" s="1001">
        <v>0</v>
      </c>
      <c r="XI31" s="1001">
        <v>0</v>
      </c>
      <c r="XJ31" s="1001">
        <v>0</v>
      </c>
      <c r="XK31" s="1001">
        <v>0</v>
      </c>
      <c r="XL31" s="1001">
        <v>0</v>
      </c>
      <c r="XM31" s="1001">
        <v>0</v>
      </c>
      <c r="XN31" s="1001">
        <v>0</v>
      </c>
      <c r="XO31" s="1001">
        <v>0</v>
      </c>
      <c r="XP31" s="1001">
        <v>0</v>
      </c>
      <c r="XQ31" s="1001">
        <v>0</v>
      </c>
      <c r="XR31" s="1027">
        <v>87.807500000000005</v>
      </c>
      <c r="XS31" s="1013">
        <v>69.65939457202505</v>
      </c>
      <c r="XT31" s="1013">
        <v>76.991962421711904</v>
      </c>
      <c r="XU31" s="1013">
        <v>80.65824634655533</v>
      </c>
      <c r="XV31" s="1013">
        <v>123.92039665970773</v>
      </c>
      <c r="XW31" s="1028">
        <v>14318.32</v>
      </c>
      <c r="XX31" s="1013">
        <v>78</v>
      </c>
      <c r="XY31" s="1013">
        <v>15</v>
      </c>
      <c r="XZ31" s="1013">
        <v>7.0000000000000009</v>
      </c>
      <c r="YA31" s="1029">
        <v>0</v>
      </c>
      <c r="YB31" s="1013">
        <v>1486.996527614348</v>
      </c>
      <c r="YC31" s="1013">
        <v>0</v>
      </c>
      <c r="YD31" s="1013">
        <v>0</v>
      </c>
      <c r="YE31" s="1013">
        <v>0</v>
      </c>
      <c r="YF31" s="1013">
        <v>0</v>
      </c>
      <c r="YG31" s="1013">
        <v>0</v>
      </c>
      <c r="YH31" s="1013">
        <v>1115.2473957107609</v>
      </c>
      <c r="YI31" s="1013">
        <v>495.66550920478267</v>
      </c>
      <c r="YJ31" s="1013">
        <v>1595.1835814810265</v>
      </c>
      <c r="YK31" s="1013">
        <v>0</v>
      </c>
      <c r="YL31" s="1013">
        <v>0</v>
      </c>
      <c r="YM31" s="1013">
        <v>0</v>
      </c>
      <c r="YN31" s="1013">
        <v>0</v>
      </c>
      <c r="YO31" s="1013">
        <v>0</v>
      </c>
      <c r="YP31" s="1013">
        <v>1196.3876861107699</v>
      </c>
      <c r="YQ31" s="1013">
        <v>531.72786049367551</v>
      </c>
      <c r="YR31" s="1013">
        <v>1671.1447044086947</v>
      </c>
      <c r="YS31" s="1013">
        <v>0</v>
      </c>
      <c r="YT31" s="1013">
        <v>0</v>
      </c>
      <c r="YU31" s="1013">
        <v>0</v>
      </c>
      <c r="YV31" s="1013">
        <v>0</v>
      </c>
      <c r="YW31" s="1013">
        <v>0</v>
      </c>
      <c r="YX31" s="1013">
        <v>1253.3585283065211</v>
      </c>
      <c r="YY31" s="1013">
        <v>557.04823480289826</v>
      </c>
      <c r="YZ31" s="1013">
        <v>2567.4859549551761</v>
      </c>
      <c r="ZA31" s="1013">
        <v>0</v>
      </c>
      <c r="ZB31" s="1013">
        <v>0</v>
      </c>
      <c r="ZC31" s="1013">
        <v>0</v>
      </c>
      <c r="ZD31" s="1013">
        <v>0</v>
      </c>
      <c r="ZE31" s="1013">
        <v>0</v>
      </c>
      <c r="ZF31" s="1013">
        <v>1925.614466216382</v>
      </c>
      <c r="ZG31" s="1013">
        <v>855.82865165172541</v>
      </c>
      <c r="ZH31" s="1013">
        <v>1024.3753856898841</v>
      </c>
      <c r="ZI31" s="1013">
        <v>1536.5630785348262</v>
      </c>
      <c r="ZJ31" s="1013">
        <v>469.50538510786362</v>
      </c>
      <c r="ZK31" s="1013">
        <v>128.04692321123551</v>
      </c>
      <c r="ZL31" s="1013">
        <v>0</v>
      </c>
      <c r="ZM31" s="1013">
        <v>0</v>
      </c>
      <c r="ZN31" s="1013">
        <v>768.28153926741311</v>
      </c>
      <c r="ZO31" s="1013">
        <v>341.45846189662808</v>
      </c>
      <c r="ZP31" s="1013">
        <v>1098.9042450202628</v>
      </c>
      <c r="ZQ31" s="1013">
        <v>1648.356367530394</v>
      </c>
      <c r="ZR31" s="1013">
        <v>503.66444563428712</v>
      </c>
      <c r="ZS31" s="1013">
        <v>137.36303062753285</v>
      </c>
      <c r="ZT31" s="1013">
        <v>0</v>
      </c>
      <c r="ZU31" s="1013">
        <v>0</v>
      </c>
      <c r="ZV31" s="1013">
        <v>824.17818376519699</v>
      </c>
      <c r="ZW31" s="1013">
        <v>366.30141500675427</v>
      </c>
      <c r="ZX31" s="1013">
        <v>1151.2330185926562</v>
      </c>
      <c r="ZY31" s="1013">
        <v>1726.8495278889843</v>
      </c>
      <c r="ZZ31" s="1013">
        <v>527.64846685496741</v>
      </c>
      <c r="AAA31" s="1013">
        <v>143.90412732408203</v>
      </c>
      <c r="AAB31" s="1013">
        <v>0</v>
      </c>
      <c r="AAC31" s="1013">
        <v>0</v>
      </c>
      <c r="AAD31" s="1013">
        <v>863.42476394449216</v>
      </c>
      <c r="AAE31" s="1013">
        <v>383.74433953088544</v>
      </c>
      <c r="AAF31" s="1013">
        <v>1768.7125467468989</v>
      </c>
      <c r="AAG31" s="1013">
        <v>2653.0688201203484</v>
      </c>
      <c r="AAH31" s="1013">
        <v>810.65991725899528</v>
      </c>
      <c r="AAI31" s="1013">
        <v>221.08906834336236</v>
      </c>
      <c r="AAJ31" s="1013">
        <v>0</v>
      </c>
      <c r="AAK31" s="1013">
        <v>0</v>
      </c>
      <c r="AAL31" s="1013">
        <v>1326.5344100601742</v>
      </c>
      <c r="AAM31" s="1013">
        <v>589.57084891563295</v>
      </c>
      <c r="AAN31" s="1013">
        <v>2726.1603006263049</v>
      </c>
      <c r="AAO31" s="1013">
        <v>4089.2404509394569</v>
      </c>
      <c r="AAP31" s="1013">
        <v>1249.4901377870565</v>
      </c>
      <c r="AAQ31" s="1013">
        <v>340.77003757828811</v>
      </c>
      <c r="AAR31" s="1013">
        <v>0</v>
      </c>
      <c r="AAS31" s="1013">
        <v>0</v>
      </c>
      <c r="AAT31" s="1013">
        <v>2044.6202254697284</v>
      </c>
      <c r="AAU31" s="1013">
        <v>908.72010020876826</v>
      </c>
      <c r="AAV31" s="1013">
        <v>3013.1245427974945</v>
      </c>
      <c r="AAW31" s="1013">
        <v>4519.6868141962423</v>
      </c>
      <c r="AAX31" s="1013">
        <v>1381.0154154488519</v>
      </c>
      <c r="AAY31" s="1013">
        <v>376.64056784968682</v>
      </c>
      <c r="AAZ31" s="1013">
        <v>0</v>
      </c>
      <c r="ABA31" s="1013">
        <v>0</v>
      </c>
      <c r="ABB31" s="1013">
        <v>2259.8434070981211</v>
      </c>
      <c r="ABC31" s="1013">
        <v>1004.3748475991649</v>
      </c>
      <c r="ABD31" s="1013">
        <v>3156.6066638830898</v>
      </c>
      <c r="ABE31" s="1013">
        <v>4734.9099958246343</v>
      </c>
      <c r="ABF31" s="1013">
        <v>1446.7780542797495</v>
      </c>
      <c r="ABG31" s="1013">
        <v>394.57583298538623</v>
      </c>
      <c r="ABH31" s="1013">
        <v>0</v>
      </c>
      <c r="ABI31" s="1013">
        <v>0</v>
      </c>
      <c r="ABJ31" s="1013">
        <v>2367.4549979123171</v>
      </c>
      <c r="ABK31" s="1013">
        <v>1052.2022212943632</v>
      </c>
      <c r="ABL31" s="1013">
        <v>4849.6956926931098</v>
      </c>
      <c r="ABM31" s="1013">
        <v>7274.5435390396651</v>
      </c>
      <c r="ABN31" s="1013">
        <v>2222.7771924843423</v>
      </c>
      <c r="ABO31" s="1013">
        <v>606.21196158663872</v>
      </c>
      <c r="ABP31" s="1013">
        <v>0</v>
      </c>
      <c r="ABQ31" s="1013">
        <v>0</v>
      </c>
      <c r="ABR31" s="1013">
        <v>3637.2717695198326</v>
      </c>
      <c r="ABS31" s="1013">
        <v>1616.5652308977035</v>
      </c>
      <c r="ABT31" s="1013">
        <v>3750.5356863161887</v>
      </c>
      <c r="ABU31" s="1013">
        <v>5625.8035294742831</v>
      </c>
      <c r="ABV31" s="1013">
        <v>1718.99552289492</v>
      </c>
      <c r="ABW31" s="1013">
        <v>468.81696078952359</v>
      </c>
      <c r="ABX31" s="1013">
        <v>0</v>
      </c>
      <c r="ABY31" s="1013">
        <v>0</v>
      </c>
      <c r="ABZ31" s="1013">
        <v>2812.9017647371415</v>
      </c>
      <c r="ACA31" s="1013">
        <v>1250.1785621053964</v>
      </c>
      <c r="ACB31" s="1013">
        <v>3970.2346916861111</v>
      </c>
      <c r="ACC31" s="1013">
        <v>5955.3520375291664</v>
      </c>
      <c r="ACD31" s="1013">
        <v>1819.6909003561343</v>
      </c>
      <c r="ACE31" s="1013">
        <v>496.27933646076389</v>
      </c>
      <c r="ACF31" s="1013">
        <v>0</v>
      </c>
      <c r="ACG31" s="1013">
        <v>0</v>
      </c>
      <c r="ACH31" s="1013">
        <v>2977.6760187645832</v>
      </c>
      <c r="ACI31" s="1013">
        <v>1323.4115638953704</v>
      </c>
      <c r="ACJ31" s="1013">
        <v>4159.2934865283069</v>
      </c>
      <c r="ACK31" s="1013">
        <v>6238.9402297924598</v>
      </c>
      <c r="ACL31" s="1013">
        <v>1906.3428479921406</v>
      </c>
      <c r="ACM31" s="1013">
        <v>519.91168581603836</v>
      </c>
      <c r="ACN31" s="1013">
        <v>0</v>
      </c>
      <c r="ACO31" s="1013">
        <v>0</v>
      </c>
      <c r="ACP31" s="1013">
        <v>3119.4701148962299</v>
      </c>
      <c r="ACQ31" s="1013">
        <v>1386.4311621761024</v>
      </c>
      <c r="ACR31" s="1013">
        <v>6390.1872656662163</v>
      </c>
      <c r="ACS31" s="1013">
        <v>9585.2808984993244</v>
      </c>
      <c r="ACT31" s="1013">
        <v>2928.8358300970158</v>
      </c>
      <c r="ACU31" s="1013">
        <v>798.77340820827703</v>
      </c>
      <c r="ACV31" s="1013">
        <v>0</v>
      </c>
      <c r="ACW31" s="1013">
        <v>0</v>
      </c>
      <c r="ACX31" s="1013">
        <v>4792.6404492496622</v>
      </c>
      <c r="ACY31" s="1013">
        <v>2130.0624218887388</v>
      </c>
      <c r="ACZ31" s="1013">
        <v>4857.5219902068702</v>
      </c>
      <c r="ADA31" s="1013">
        <v>7286.2829853103058</v>
      </c>
      <c r="ADB31" s="1013">
        <v>2226.3642455114823</v>
      </c>
      <c r="ADC31" s="1013">
        <v>607.19024877585878</v>
      </c>
      <c r="ADD31" s="1013">
        <v>0</v>
      </c>
      <c r="ADE31" s="1013">
        <v>0</v>
      </c>
      <c r="ADF31" s="1013">
        <v>3643.1414926551529</v>
      </c>
      <c r="ADG31" s="1013">
        <v>1619.1739967356236</v>
      </c>
      <c r="ADH31" s="1013">
        <v>5193.208770821564</v>
      </c>
      <c r="ADI31" s="1013">
        <v>7789.813156232347</v>
      </c>
      <c r="ADJ31" s="1013">
        <v>2380.2206866265506</v>
      </c>
      <c r="ADK31" s="1013">
        <v>649.1510963526955</v>
      </c>
      <c r="ADL31" s="1013">
        <v>0</v>
      </c>
      <c r="ADM31" s="1013">
        <v>0</v>
      </c>
      <c r="ADN31" s="1013">
        <v>3894.9065781161735</v>
      </c>
      <c r="ADO31" s="1013">
        <v>1731.0695902738548</v>
      </c>
      <c r="ADP31" s="1013">
        <v>5440.5044265749721</v>
      </c>
      <c r="ADQ31" s="1013">
        <v>8160.7566398624585</v>
      </c>
      <c r="ADR31" s="1013">
        <v>2493.5645288468622</v>
      </c>
      <c r="ADS31" s="1013">
        <v>680.06305332187151</v>
      </c>
      <c r="ADT31" s="1013">
        <v>0</v>
      </c>
      <c r="ADU31" s="1013">
        <v>0</v>
      </c>
      <c r="ADV31" s="1013">
        <v>4080.3783199312293</v>
      </c>
      <c r="ADW31" s="1013">
        <v>1813.5014755249908</v>
      </c>
      <c r="ADX31" s="1013">
        <v>8358.5931644651846</v>
      </c>
      <c r="ADY31" s="1013">
        <v>12537.889746697776</v>
      </c>
      <c r="ADZ31" s="1013">
        <v>3831.0218670465429</v>
      </c>
      <c r="AEA31" s="1013">
        <v>1044.8241455581481</v>
      </c>
      <c r="AEB31" s="1013">
        <v>0</v>
      </c>
      <c r="AEC31" s="1013">
        <v>0</v>
      </c>
      <c r="AED31" s="1013">
        <v>6268.944873348888</v>
      </c>
      <c r="AEE31" s="1013">
        <v>2786.197721488395</v>
      </c>
      <c r="AEF31" s="1013">
        <v>5931.4639268172323</v>
      </c>
      <c r="AEG31" s="1013">
        <v>8897.1958902258484</v>
      </c>
      <c r="AEH31" s="1013">
        <v>2718.5876331245649</v>
      </c>
      <c r="AEI31" s="1013">
        <v>741.43299085215403</v>
      </c>
      <c r="AEJ31" s="1013">
        <v>0</v>
      </c>
      <c r="AEK31" s="1013">
        <v>0</v>
      </c>
      <c r="AEL31" s="1013">
        <v>4448.5979451129242</v>
      </c>
      <c r="AEM31" s="1013">
        <v>1977.1546422724109</v>
      </c>
      <c r="AEN31" s="1013">
        <v>6380.7343259241061</v>
      </c>
      <c r="AEO31" s="1013">
        <v>9571.1014888861591</v>
      </c>
      <c r="AEP31" s="1013">
        <v>2924.5032327152153</v>
      </c>
      <c r="AEQ31" s="1013">
        <v>797.59179074051326</v>
      </c>
      <c r="AER31" s="1013">
        <v>0</v>
      </c>
      <c r="AES31" s="1013">
        <v>0</v>
      </c>
      <c r="AET31" s="1013">
        <v>4785.5507444430796</v>
      </c>
      <c r="AEU31" s="1013">
        <v>2126.911441974702</v>
      </c>
      <c r="AEV31" s="1013">
        <v>6684.5788176347787</v>
      </c>
      <c r="AEW31" s="1013">
        <v>10026.868226452169</v>
      </c>
      <c r="AEX31" s="1013">
        <v>3063.7652914159403</v>
      </c>
      <c r="AEY31" s="1013">
        <v>835.57235220434734</v>
      </c>
      <c r="AEZ31" s="1013">
        <v>0</v>
      </c>
      <c r="AFA31" s="1013">
        <v>0</v>
      </c>
      <c r="AFB31" s="1013">
        <v>5013.4341132260843</v>
      </c>
      <c r="AFC31" s="1013">
        <v>2228.1929392115931</v>
      </c>
      <c r="AFD31" s="1013">
        <v>10269.943819820704</v>
      </c>
      <c r="AFE31" s="1013">
        <v>15404.915729731056</v>
      </c>
      <c r="AFF31" s="1013">
        <v>4707.0575840844895</v>
      </c>
      <c r="AFG31" s="1013">
        <v>1283.7429774775881</v>
      </c>
      <c r="AFH31" s="1013">
        <v>0</v>
      </c>
      <c r="AFI31" s="1013">
        <v>0</v>
      </c>
      <c r="AFJ31" s="1013">
        <v>7702.4578648655279</v>
      </c>
      <c r="AFK31" s="1013">
        <v>3423.3146066069016</v>
      </c>
      <c r="AFL31" s="1023">
        <v>6840.1840270260018</v>
      </c>
      <c r="AFM31" s="1023">
        <v>10260.276040539002</v>
      </c>
      <c r="AFN31" s="1023">
        <v>3135.0843457202509</v>
      </c>
      <c r="AFO31" s="1023">
        <v>855.02300337825022</v>
      </c>
      <c r="AFP31" s="1023">
        <v>0</v>
      </c>
      <c r="AFQ31" s="1023">
        <v>0</v>
      </c>
      <c r="AFR31" s="1023">
        <v>5130.1380202695009</v>
      </c>
      <c r="AFS31" s="1023">
        <v>2280.0613423420004</v>
      </c>
      <c r="AFT31" s="1023">
        <v>7266.9474267468986</v>
      </c>
      <c r="AFU31" s="1023">
        <v>10900.421140120348</v>
      </c>
      <c r="AFV31" s="1023">
        <v>3330.6842372589954</v>
      </c>
      <c r="AFW31" s="1023">
        <v>908.36842834336232</v>
      </c>
      <c r="AFX31" s="1023">
        <v>0</v>
      </c>
      <c r="AFY31" s="1023">
        <v>0</v>
      </c>
      <c r="AFZ31" s="1023">
        <v>5450.2105700601742</v>
      </c>
      <c r="AGA31" s="1023">
        <v>2422.3158089156332</v>
      </c>
      <c r="AGB31" s="1023">
        <v>7612.9925423062741</v>
      </c>
      <c r="AGC31" s="1023">
        <v>11419.488813459411</v>
      </c>
      <c r="AGD31" s="1023">
        <v>3489.2882485570426</v>
      </c>
      <c r="AGE31" s="1023">
        <v>951.62406778828426</v>
      </c>
      <c r="AGF31" s="1023">
        <v>0</v>
      </c>
      <c r="AGG31" s="1023">
        <v>0</v>
      </c>
      <c r="AGH31" s="1023">
        <v>5709.7444067297056</v>
      </c>
      <c r="AGI31" s="1023">
        <v>2537.6641807687583</v>
      </c>
      <c r="AGJ31" s="1023">
        <v>11696.324905906913</v>
      </c>
      <c r="AGK31" s="1023">
        <v>17544.48735886037</v>
      </c>
      <c r="AGL31" s="1023">
        <v>5360.8155818740024</v>
      </c>
      <c r="AGM31" s="1023">
        <v>1462.0406132383641</v>
      </c>
      <c r="AGN31" s="1023">
        <v>0</v>
      </c>
      <c r="AGO31" s="1023">
        <v>0</v>
      </c>
      <c r="AGP31" s="1023">
        <v>8772.2436794301848</v>
      </c>
      <c r="AGQ31" s="1023">
        <v>3898.7749686356378</v>
      </c>
      <c r="AGR31" s="1030">
        <v>2726.1603006263049</v>
      </c>
      <c r="AGS31" s="1030">
        <v>4089.2404509394569</v>
      </c>
      <c r="AGT31" s="1030">
        <v>1249.4901377870565</v>
      </c>
      <c r="AGU31" s="1030">
        <v>340.77003757828811</v>
      </c>
      <c r="AGV31" s="1030">
        <v>0</v>
      </c>
      <c r="AGW31" s="1030">
        <v>0</v>
      </c>
      <c r="AGX31" s="1030">
        <v>2044.6202254697284</v>
      </c>
      <c r="AGY31" s="1030">
        <v>908.72010020876826</v>
      </c>
      <c r="AGZ31" s="1030">
        <v>3013.1245427974945</v>
      </c>
      <c r="AHA31" s="1030">
        <v>4519.6868141962423</v>
      </c>
      <c r="AHB31" s="1030">
        <v>1381.0154154488519</v>
      </c>
      <c r="AHC31" s="1030">
        <v>376.64056784968682</v>
      </c>
      <c r="AHD31" s="1030">
        <v>0</v>
      </c>
      <c r="AHE31" s="1030">
        <v>0</v>
      </c>
      <c r="AHF31" s="1030">
        <v>2259.8434070981211</v>
      </c>
      <c r="AHG31" s="1030">
        <v>1004.3748475991649</v>
      </c>
      <c r="AHH31" s="1030">
        <v>3156.6066638830898</v>
      </c>
      <c r="AHI31" s="1030">
        <v>4734.9099958246343</v>
      </c>
      <c r="AHJ31" s="1030">
        <v>1446.7780542797495</v>
      </c>
      <c r="AHK31" s="1030">
        <v>394.57583298538623</v>
      </c>
      <c r="AHL31" s="1030">
        <v>0</v>
      </c>
      <c r="AHM31" s="1030">
        <v>0</v>
      </c>
      <c r="AHN31" s="1030">
        <v>2367.4549979123171</v>
      </c>
      <c r="AHO31" s="1030">
        <v>1052.2022212943632</v>
      </c>
      <c r="AHP31" s="1030">
        <v>4849.6956926931098</v>
      </c>
      <c r="AHQ31" s="1030">
        <v>7274.5435390396651</v>
      </c>
      <c r="AHR31" s="1030">
        <v>2222.7771924843423</v>
      </c>
      <c r="AHS31" s="1030">
        <v>606.21196158663872</v>
      </c>
      <c r="AHT31" s="1030">
        <v>0</v>
      </c>
      <c r="AHU31" s="1030">
        <v>0</v>
      </c>
      <c r="AHV31" s="1030">
        <v>3637.2717695198326</v>
      </c>
      <c r="AHW31" s="1030">
        <v>1616.5652308977035</v>
      </c>
      <c r="AHX31" s="1013">
        <v>165</v>
      </c>
      <c r="AHY31" s="1023">
        <v>0</v>
      </c>
      <c r="AHZ31" s="1023">
        <v>0</v>
      </c>
      <c r="AIA31" s="1023">
        <v>0</v>
      </c>
      <c r="AIB31" s="1023">
        <v>0</v>
      </c>
      <c r="AIC31" s="1023">
        <v>0</v>
      </c>
      <c r="AID31" s="1023">
        <v>0</v>
      </c>
      <c r="AIE31" s="1023">
        <v>0</v>
      </c>
      <c r="AIF31" s="1017">
        <v>420</v>
      </c>
      <c r="AIG31" s="1017">
        <v>32.409999999999997</v>
      </c>
      <c r="AIH31" s="1017">
        <v>27.01</v>
      </c>
      <c r="AII31" s="1017">
        <v>0</v>
      </c>
      <c r="AIJ31" s="1017">
        <v>2.52</v>
      </c>
      <c r="AIK31" s="1017">
        <v>3.06</v>
      </c>
      <c r="AIL31" s="1017">
        <v>0</v>
      </c>
      <c r="AIM31" s="1017">
        <v>0</v>
      </c>
      <c r="AIN31" s="1016">
        <v>350</v>
      </c>
      <c r="AIO31" s="1016">
        <v>64.819999999999993</v>
      </c>
      <c r="AIP31" s="1017">
        <v>54.02</v>
      </c>
      <c r="AIQ31" s="1017">
        <v>0</v>
      </c>
      <c r="AIR31" s="1017">
        <v>5.04</v>
      </c>
      <c r="AIS31" s="1017">
        <v>6.12</v>
      </c>
      <c r="AIT31" s="1017">
        <v>0</v>
      </c>
      <c r="AIU31" s="1017">
        <v>0</v>
      </c>
      <c r="AIV31" s="1017">
        <v>120</v>
      </c>
      <c r="AIW31" s="1017">
        <v>47.37</v>
      </c>
      <c r="AIX31" s="1017">
        <v>39.47</v>
      </c>
      <c r="AIY31" s="1017">
        <v>0</v>
      </c>
      <c r="AIZ31" s="1017">
        <v>3.68</v>
      </c>
      <c r="AJA31" s="1017">
        <v>4.4800000000000004</v>
      </c>
      <c r="AJB31" s="1017">
        <v>0</v>
      </c>
      <c r="AJC31" s="1017">
        <v>0</v>
      </c>
      <c r="AJD31" s="1017">
        <v>129.6</v>
      </c>
      <c r="AJE31" s="1017">
        <v>96.93</v>
      </c>
      <c r="AJF31" s="1017">
        <v>80.78</v>
      </c>
      <c r="AJG31" s="1017">
        <v>0</v>
      </c>
      <c r="AJH31" s="1017">
        <v>7.54</v>
      </c>
      <c r="AJI31" s="1017">
        <v>9.15</v>
      </c>
      <c r="AJJ31" s="1017">
        <v>0</v>
      </c>
      <c r="AJK31" s="1013">
        <v>0</v>
      </c>
      <c r="AJL31" s="1013">
        <v>160</v>
      </c>
      <c r="AJM31" s="1013">
        <v>17.45</v>
      </c>
      <c r="AJN31" s="1013">
        <v>14.54</v>
      </c>
      <c r="AJO31" s="1013">
        <v>0</v>
      </c>
      <c r="AJP31" s="1013">
        <v>1.36</v>
      </c>
      <c r="AJQ31" s="1013">
        <v>1.65</v>
      </c>
      <c r="AJR31" s="1013">
        <v>0</v>
      </c>
      <c r="AJS31" s="1013">
        <v>0</v>
      </c>
      <c r="AJT31" s="1029" t="s">
        <v>858</v>
      </c>
      <c r="AJU31" s="988" t="s">
        <v>861</v>
      </c>
      <c r="AJV31" s="988" t="s">
        <v>860</v>
      </c>
      <c r="AJW31" s="988" t="s">
        <v>859</v>
      </c>
      <c r="AJX31" s="988" t="s">
        <v>870</v>
      </c>
      <c r="AJY31" s="988" t="s">
        <v>871</v>
      </c>
      <c r="AJZ31" s="988" t="s">
        <v>872</v>
      </c>
      <c r="AKA31" s="988" t="s">
        <v>873</v>
      </c>
      <c r="AKB31" s="988" t="s">
        <v>874</v>
      </c>
      <c r="AKC31" s="988" t="s">
        <v>875</v>
      </c>
      <c r="AKD31" s="1013">
        <v>103.5</v>
      </c>
      <c r="AKE31" s="1013">
        <v>0</v>
      </c>
      <c r="AKF31" s="1013">
        <v>0</v>
      </c>
      <c r="AKG31" s="1013">
        <v>0</v>
      </c>
      <c r="AKH31" s="1013">
        <v>0</v>
      </c>
      <c r="AKI31" s="1013">
        <v>0</v>
      </c>
      <c r="AKJ31" s="1013">
        <v>4.5</v>
      </c>
      <c r="AKK31" s="1013">
        <v>15.750000000000002</v>
      </c>
      <c r="AKL31" s="1017">
        <v>304.22727272727263</v>
      </c>
      <c r="AKM31" s="1017">
        <v>0</v>
      </c>
      <c r="AKN31" s="1017">
        <v>0</v>
      </c>
      <c r="AKO31" s="1017">
        <v>0</v>
      </c>
      <c r="AKP31" s="1017">
        <v>0</v>
      </c>
      <c r="AKQ31" s="1017">
        <v>0</v>
      </c>
      <c r="AKR31" s="1017">
        <v>13.227272727272725</v>
      </c>
      <c r="AKS31" s="1017">
        <v>46.295454545454547</v>
      </c>
      <c r="AKT31" s="1016">
        <v>301.09090909090907</v>
      </c>
      <c r="AKU31" s="1016">
        <v>0</v>
      </c>
      <c r="AKV31" s="1017">
        <v>0</v>
      </c>
      <c r="AKW31" s="1017">
        <v>0</v>
      </c>
      <c r="AKX31" s="1017">
        <v>0</v>
      </c>
      <c r="AKY31" s="1017">
        <v>0</v>
      </c>
      <c r="AKZ31" s="1017">
        <v>13.09090909090909</v>
      </c>
      <c r="ALA31" s="1017">
        <v>45.81818181818182</v>
      </c>
      <c r="ALB31" s="1017">
        <v>134.86363636363635</v>
      </c>
      <c r="ALC31" s="1017">
        <v>0</v>
      </c>
      <c r="ALD31" s="1017">
        <v>0</v>
      </c>
      <c r="ALE31" s="1017">
        <v>0</v>
      </c>
      <c r="ALF31" s="1017">
        <v>0</v>
      </c>
      <c r="ALG31" s="1017">
        <v>0</v>
      </c>
      <c r="ALH31" s="1017">
        <v>5.8636363636363633</v>
      </c>
      <c r="ALI31" s="1017">
        <v>20.522727272727273</v>
      </c>
      <c r="ALJ31" s="1017">
        <v>203.23636363636362</v>
      </c>
      <c r="ALK31" s="1017">
        <v>0</v>
      </c>
      <c r="ALL31" s="1017">
        <v>0</v>
      </c>
      <c r="ALM31" s="1017">
        <v>0</v>
      </c>
      <c r="ALN31" s="1017">
        <v>0</v>
      </c>
      <c r="ALO31" s="1017">
        <v>0</v>
      </c>
      <c r="ALP31" s="1017">
        <v>8.836363636363636</v>
      </c>
      <c r="ALQ31" s="1013">
        <v>30.927272727272729</v>
      </c>
      <c r="ALR31" s="1013">
        <v>122.31818181818181</v>
      </c>
      <c r="ALS31" s="1013">
        <v>0</v>
      </c>
      <c r="ALT31" s="1013">
        <v>0</v>
      </c>
      <c r="ALU31" s="1013">
        <v>0</v>
      </c>
      <c r="ALV31" s="1013">
        <v>0</v>
      </c>
      <c r="ALW31" s="1013">
        <v>0</v>
      </c>
      <c r="ALX31" s="1013">
        <v>5.3181818181818183</v>
      </c>
      <c r="ALY31" s="1013">
        <v>18.613636363636367</v>
      </c>
    </row>
    <row r="32" spans="1:1013" ht="18" customHeight="1">
      <c r="A32" s="1259" t="s">
        <v>20</v>
      </c>
      <c r="B32" s="1260" t="s">
        <v>3063</v>
      </c>
      <c r="C32" s="1260">
        <v>2022</v>
      </c>
      <c r="D32" s="1269"/>
      <c r="E32" s="1270">
        <v>-0.2</v>
      </c>
      <c r="F32" s="1271">
        <v>-0.4</v>
      </c>
      <c r="G32" s="1271">
        <v>-0.4</v>
      </c>
      <c r="H32" s="76">
        <v>794.75624256837102</v>
      </c>
      <c r="I32" s="72">
        <v>-1.6</v>
      </c>
      <c r="J32" s="1271">
        <v>-7.6</v>
      </c>
      <c r="K32" s="1271">
        <v>-7.6</v>
      </c>
      <c r="L32" s="1265">
        <v>350</v>
      </c>
      <c r="M32" s="1262">
        <v>0</v>
      </c>
      <c r="N32" s="1262">
        <v>0</v>
      </c>
      <c r="O32" s="1262">
        <v>0</v>
      </c>
      <c r="P32" s="76">
        <v>940.55528715741809</v>
      </c>
      <c r="Q32" s="75">
        <v>12</v>
      </c>
      <c r="R32" s="72">
        <v>0.8</v>
      </c>
      <c r="S32" s="72">
        <v>0.3</v>
      </c>
      <c r="T32" s="72" t="s">
        <v>93</v>
      </c>
      <c r="U32" s="1271">
        <v>4</v>
      </c>
      <c r="V32" s="1271">
        <v>0.8</v>
      </c>
      <c r="W32" s="1271">
        <v>94.5</v>
      </c>
      <c r="X32" s="1271">
        <v>0.8</v>
      </c>
      <c r="Y32" s="1272">
        <v>0</v>
      </c>
      <c r="Z32" s="75">
        <v>2</v>
      </c>
      <c r="AA32" s="72">
        <v>1.5</v>
      </c>
      <c r="AB32" s="75">
        <v>1</v>
      </c>
      <c r="AC32" s="72">
        <v>0.8</v>
      </c>
      <c r="AD32" s="72">
        <v>0.5</v>
      </c>
      <c r="AE32" s="390">
        <v>433.01922201480062</v>
      </c>
      <c r="AF32" s="390">
        <v>470.67306740739195</v>
      </c>
      <c r="AG32" s="390">
        <v>433.37222681535616</v>
      </c>
      <c r="AH32" s="390">
        <v>649.0581599547935</v>
      </c>
      <c r="AI32" s="400">
        <v>0.82209484106305364</v>
      </c>
      <c r="AJ32" s="390">
        <v>261.91600618637949</v>
      </c>
      <c r="AK32" s="390">
        <v>284.69131107215162</v>
      </c>
      <c r="AL32" s="390">
        <v>262.12952466968363</v>
      </c>
      <c r="AM32" s="390">
        <v>392.58931796849708</v>
      </c>
      <c r="AN32" s="400">
        <v>0.96717040125065135</v>
      </c>
      <c r="AO32" s="77">
        <v>0</v>
      </c>
      <c r="AP32" s="77">
        <v>0.1</v>
      </c>
      <c r="AQ32" s="77">
        <v>0.2</v>
      </c>
      <c r="AR32" s="77">
        <v>0.4</v>
      </c>
      <c r="AS32" s="77">
        <v>0.6</v>
      </c>
      <c r="AT32" s="77">
        <v>0.9</v>
      </c>
      <c r="AU32" s="77">
        <v>1.2</v>
      </c>
      <c r="AV32" s="1268">
        <v>0</v>
      </c>
      <c r="AW32" s="1268">
        <v>10</v>
      </c>
      <c r="AX32" s="1268">
        <v>20</v>
      </c>
      <c r="AY32" s="1268">
        <v>70</v>
      </c>
      <c r="AZ32" s="1268">
        <v>100</v>
      </c>
      <c r="BA32" s="1019">
        <v>5777.7793226070908</v>
      </c>
      <c r="BB32" s="1031">
        <v>1.97</v>
      </c>
      <c r="BC32" s="988">
        <v>1.5</v>
      </c>
      <c r="BD32" s="988">
        <v>0.9</v>
      </c>
      <c r="BE32" s="988">
        <v>0.9</v>
      </c>
      <c r="BF32" s="1021">
        <v>0.17355445270807138</v>
      </c>
      <c r="BG32" s="1021">
        <v>0.17520491606183902</v>
      </c>
      <c r="BH32" s="1020">
        <v>11.763843291578519</v>
      </c>
      <c r="BI32" s="1020">
        <v>1.9726461152764895E-2</v>
      </c>
      <c r="BJ32" s="1020">
        <v>13.881744036934723</v>
      </c>
      <c r="BK32" s="1020">
        <v>45.208209262259338</v>
      </c>
      <c r="BL32" s="1020">
        <v>8.0489617836227809E-2</v>
      </c>
      <c r="BM32" s="1020"/>
      <c r="BN32" s="1020">
        <v>26.938310406683975</v>
      </c>
      <c r="BO32" s="1020">
        <v>9.502639351009326E-3</v>
      </c>
      <c r="BP32" s="1020"/>
      <c r="BQ32" s="1020">
        <v>3.5352080918933507E-6</v>
      </c>
      <c r="BR32" s="1020">
        <v>6.5047828890837651E-4</v>
      </c>
      <c r="BS32" s="1020">
        <v>4.8432350858938907E-4</v>
      </c>
      <c r="BT32" s="1020">
        <v>0</v>
      </c>
      <c r="BU32" s="1020">
        <v>2.0786670059523713</v>
      </c>
      <c r="BV32" s="1020">
        <v>1.836894124547785E-2</v>
      </c>
      <c r="BW32" s="993">
        <v>261.13475999999997</v>
      </c>
      <c r="BX32" s="993">
        <v>96.5</v>
      </c>
      <c r="BY32" s="993">
        <v>63.215999999999994</v>
      </c>
      <c r="BZ32" s="993">
        <v>233.35949490734063</v>
      </c>
      <c r="CA32" s="993">
        <v>157.40783999999999</v>
      </c>
      <c r="CB32" s="990"/>
      <c r="CC32" s="993">
        <v>256.20808011776955</v>
      </c>
      <c r="CD32" s="993">
        <v>165.17663999999999</v>
      </c>
      <c r="CE32" s="990"/>
      <c r="CF32" s="989">
        <v>0</v>
      </c>
      <c r="CG32" s="993">
        <v>6.585</v>
      </c>
      <c r="CH32" s="993">
        <v>1.3169999999999999</v>
      </c>
      <c r="CI32" s="993">
        <v>38</v>
      </c>
      <c r="CJ32" s="993">
        <v>225.83915999999996</v>
      </c>
      <c r="CK32" s="990">
        <v>0.2</v>
      </c>
      <c r="CL32" s="993">
        <v>175.08124000000001</v>
      </c>
      <c r="CM32" s="993">
        <v>60.4</v>
      </c>
      <c r="CN32" s="993">
        <v>42.384</v>
      </c>
      <c r="CO32" s="993">
        <v>156.45894761061641</v>
      </c>
      <c r="CP32" s="993">
        <v>105.53616</v>
      </c>
      <c r="CQ32" s="990"/>
      <c r="CR32" s="993">
        <v>159.24945066654416</v>
      </c>
      <c r="CS32" s="993">
        <v>102.66767999999999</v>
      </c>
      <c r="CT32" s="990"/>
      <c r="CU32" s="993">
        <v>0</v>
      </c>
      <c r="CV32" s="993">
        <v>4.415</v>
      </c>
      <c r="CW32" s="993">
        <v>0.88300000000000001</v>
      </c>
      <c r="CX32" s="993">
        <v>27</v>
      </c>
      <c r="CY32" s="993">
        <v>151.41683999999998</v>
      </c>
      <c r="CZ32" s="990">
        <v>0.2</v>
      </c>
      <c r="DA32" s="988">
        <v>0.3</v>
      </c>
      <c r="DB32" s="988">
        <v>0.7</v>
      </c>
      <c r="DC32" s="988">
        <v>1.2</v>
      </c>
      <c r="DD32" s="988">
        <v>1.2</v>
      </c>
      <c r="DE32" s="1022">
        <v>3</v>
      </c>
      <c r="DF32" s="995">
        <v>0</v>
      </c>
      <c r="DG32" s="995">
        <v>10</v>
      </c>
      <c r="DH32" s="995">
        <v>20</v>
      </c>
      <c r="DI32" s="995">
        <v>70</v>
      </c>
      <c r="DJ32" s="995">
        <v>100</v>
      </c>
      <c r="DK32" s="1017">
        <v>57.508914113530345</v>
      </c>
      <c r="DL32" s="1022">
        <v>18</v>
      </c>
      <c r="DM32" s="989">
        <v>12</v>
      </c>
      <c r="DN32" s="988">
        <v>3.9</v>
      </c>
      <c r="DO32" s="988">
        <v>1.1000000000000001</v>
      </c>
      <c r="DP32" s="988">
        <v>1.1000000000000001</v>
      </c>
      <c r="DQ32" s="988" t="s">
        <v>669</v>
      </c>
      <c r="DR32" s="988" t="s">
        <v>640</v>
      </c>
      <c r="DS32" s="988" t="s">
        <v>640</v>
      </c>
      <c r="DT32" s="988" t="s">
        <v>640</v>
      </c>
      <c r="DU32" s="988" t="s">
        <v>640</v>
      </c>
      <c r="DV32" s="988" t="s">
        <v>640</v>
      </c>
      <c r="DW32" s="988" t="s">
        <v>640</v>
      </c>
      <c r="DX32" s="997">
        <v>2176.1373675649024</v>
      </c>
      <c r="DY32" s="997">
        <v>0</v>
      </c>
      <c r="DZ32" s="997">
        <v>0</v>
      </c>
      <c r="EA32" s="997">
        <v>0</v>
      </c>
      <c r="EB32" s="997">
        <v>0</v>
      </c>
      <c r="EC32" s="997">
        <v>0</v>
      </c>
      <c r="ED32" s="997">
        <v>0</v>
      </c>
      <c r="EE32" s="1022">
        <v>2.1761373675649023</v>
      </c>
      <c r="EF32" s="1022">
        <v>18</v>
      </c>
      <c r="EG32" s="991">
        <v>5</v>
      </c>
      <c r="EH32" s="1023">
        <v>3.9</v>
      </c>
      <c r="EI32" s="1023">
        <v>1.1000000000000001</v>
      </c>
      <c r="EJ32" s="1023">
        <v>1.1000000000000001</v>
      </c>
      <c r="EK32" s="988" t="s">
        <v>692</v>
      </c>
      <c r="EL32" s="988" t="s">
        <v>710</v>
      </c>
      <c r="EM32" s="988" t="s">
        <v>724</v>
      </c>
      <c r="EN32" s="988" t="s">
        <v>738</v>
      </c>
      <c r="EO32" s="988" t="s">
        <v>748</v>
      </c>
      <c r="EP32" s="988" t="s">
        <v>757</v>
      </c>
      <c r="EQ32" s="988" t="s">
        <v>763</v>
      </c>
      <c r="ER32" s="988" t="s">
        <v>769</v>
      </c>
      <c r="ES32" s="988" t="s">
        <v>775</v>
      </c>
      <c r="ET32" s="988" t="s">
        <v>780</v>
      </c>
      <c r="EU32" s="988" t="s">
        <v>785</v>
      </c>
      <c r="EV32" s="988" t="s">
        <v>789</v>
      </c>
      <c r="EW32" s="988" t="s">
        <v>793</v>
      </c>
      <c r="EX32" s="988" t="s">
        <v>796</v>
      </c>
      <c r="EY32" s="988" t="s">
        <v>798</v>
      </c>
      <c r="EZ32" s="988" t="s">
        <v>669</v>
      </c>
      <c r="FA32" s="988" t="s">
        <v>801</v>
      </c>
      <c r="FB32" s="988" t="s">
        <v>640</v>
      </c>
      <c r="FC32" s="988" t="s">
        <v>640</v>
      </c>
      <c r="FD32" s="988" t="s">
        <v>640</v>
      </c>
      <c r="FE32" s="988" t="s">
        <v>640</v>
      </c>
      <c r="FF32" s="988" t="s">
        <v>640</v>
      </c>
      <c r="FG32" s="988" t="s">
        <v>640</v>
      </c>
      <c r="FH32" s="988" t="s">
        <v>640</v>
      </c>
      <c r="FI32" s="988" t="s">
        <v>640</v>
      </c>
      <c r="FJ32" s="988" t="s">
        <v>640</v>
      </c>
      <c r="FK32" s="988" t="s">
        <v>640</v>
      </c>
      <c r="FL32" s="988" t="s">
        <v>640</v>
      </c>
      <c r="FM32" s="988" t="s">
        <v>640</v>
      </c>
      <c r="FN32" s="988" t="s">
        <v>640</v>
      </c>
      <c r="FO32" s="988" t="s">
        <v>640</v>
      </c>
      <c r="FP32" s="988" t="s">
        <v>640</v>
      </c>
      <c r="FQ32" s="988" t="s">
        <v>640</v>
      </c>
      <c r="FR32" s="988" t="s">
        <v>640</v>
      </c>
      <c r="FS32" s="988" t="s">
        <v>640</v>
      </c>
      <c r="FT32" s="988" t="s">
        <v>640</v>
      </c>
      <c r="FU32" s="988" t="s">
        <v>640</v>
      </c>
      <c r="FV32" s="988" t="s">
        <v>640</v>
      </c>
      <c r="FW32" s="988" t="s">
        <v>640</v>
      </c>
      <c r="FX32" s="988" t="s">
        <v>640</v>
      </c>
      <c r="FY32" s="988" t="s">
        <v>640</v>
      </c>
      <c r="FZ32" s="988" t="s">
        <v>640</v>
      </c>
      <c r="GA32" s="988" t="s">
        <v>640</v>
      </c>
      <c r="GB32" s="988" t="s">
        <v>640</v>
      </c>
      <c r="GC32" s="988" t="s">
        <v>640</v>
      </c>
      <c r="GD32" s="988" t="s">
        <v>640</v>
      </c>
      <c r="GE32" s="988" t="s">
        <v>640</v>
      </c>
      <c r="GF32" s="988" t="s">
        <v>640</v>
      </c>
      <c r="GG32" s="988" t="s">
        <v>640</v>
      </c>
      <c r="GH32" s="988" t="s">
        <v>640</v>
      </c>
      <c r="GI32" s="988" t="s">
        <v>640</v>
      </c>
      <c r="GJ32" s="988" t="s">
        <v>640</v>
      </c>
      <c r="GK32" s="988" t="s">
        <v>640</v>
      </c>
      <c r="GL32" s="988" t="s">
        <v>640</v>
      </c>
      <c r="GM32" s="988" t="s">
        <v>640</v>
      </c>
      <c r="GN32" s="988" t="s">
        <v>640</v>
      </c>
      <c r="GO32" s="988" t="s">
        <v>640</v>
      </c>
      <c r="GP32" s="988" t="s">
        <v>640</v>
      </c>
      <c r="GQ32" s="997">
        <v>66.792107790463731</v>
      </c>
      <c r="GR32" s="997">
        <v>33.74034311064662</v>
      </c>
      <c r="GS32" s="997">
        <v>34.428921541476143</v>
      </c>
      <c r="GT32" s="997">
        <v>119.81264696433699</v>
      </c>
      <c r="GU32" s="997">
        <v>57.381535902460243</v>
      </c>
      <c r="GV32" s="997">
        <v>20.657352924885686</v>
      </c>
      <c r="GW32" s="997">
        <v>409.47464019995635</v>
      </c>
      <c r="GX32" s="997">
        <v>195.09722206836483</v>
      </c>
      <c r="GY32" s="997">
        <v>32.133660105377736</v>
      </c>
      <c r="GZ32" s="997">
        <v>323.6318624898758</v>
      </c>
      <c r="HA32" s="997">
        <v>25.247875797082507</v>
      </c>
      <c r="HB32" s="997">
        <v>150.56915020805565</v>
      </c>
      <c r="HC32" s="997">
        <v>14.001094760200299</v>
      </c>
      <c r="HD32" s="997">
        <v>137.71568616590457</v>
      </c>
      <c r="HE32" s="997">
        <v>50.495751594165014</v>
      </c>
      <c r="HF32" s="997">
        <v>312.15555530938377</v>
      </c>
      <c r="HG32" s="997">
        <v>192.8019606322664</v>
      </c>
      <c r="HH32" s="997">
        <v>0</v>
      </c>
      <c r="HI32" s="997">
        <v>0</v>
      </c>
      <c r="HJ32" s="997">
        <v>0</v>
      </c>
      <c r="HK32" s="997">
        <v>0</v>
      </c>
      <c r="HL32" s="997">
        <v>0</v>
      </c>
      <c r="HM32" s="997">
        <v>0</v>
      </c>
      <c r="HN32" s="997">
        <v>0</v>
      </c>
      <c r="HO32" s="997">
        <v>0</v>
      </c>
      <c r="HP32" s="997">
        <v>0</v>
      </c>
      <c r="HQ32" s="997">
        <v>0</v>
      </c>
      <c r="HR32" s="997">
        <v>0</v>
      </c>
      <c r="HS32" s="997">
        <v>0</v>
      </c>
      <c r="HT32" s="997">
        <v>0</v>
      </c>
      <c r="HU32" s="997">
        <v>0</v>
      </c>
      <c r="HV32" s="997">
        <v>0</v>
      </c>
      <c r="HW32" s="997">
        <v>0</v>
      </c>
      <c r="HX32" s="997">
        <v>0</v>
      </c>
      <c r="HY32" s="997">
        <v>0</v>
      </c>
      <c r="HZ32" s="997">
        <v>0</v>
      </c>
      <c r="IA32" s="997">
        <v>0</v>
      </c>
      <c r="IB32" s="997">
        <v>0</v>
      </c>
      <c r="IC32" s="997">
        <v>0</v>
      </c>
      <c r="ID32" s="997">
        <v>0</v>
      </c>
      <c r="IE32" s="997">
        <v>0</v>
      </c>
      <c r="IF32" s="997">
        <v>0</v>
      </c>
      <c r="IG32" s="997">
        <v>0</v>
      </c>
      <c r="IH32" s="997">
        <v>0</v>
      </c>
      <c r="II32" s="997">
        <v>0</v>
      </c>
      <c r="IJ32" s="997">
        <v>0</v>
      </c>
      <c r="IK32" s="997">
        <v>0</v>
      </c>
      <c r="IL32" s="997">
        <v>0</v>
      </c>
      <c r="IM32" s="997">
        <v>0</v>
      </c>
      <c r="IN32" s="997">
        <v>0</v>
      </c>
      <c r="IO32" s="997">
        <v>0</v>
      </c>
      <c r="IP32" s="997">
        <v>0</v>
      </c>
      <c r="IQ32" s="997">
        <v>0</v>
      </c>
      <c r="IR32" s="997">
        <v>0</v>
      </c>
      <c r="IS32" s="997">
        <v>0</v>
      </c>
      <c r="IT32" s="997">
        <v>0</v>
      </c>
      <c r="IU32" s="997">
        <v>0</v>
      </c>
      <c r="IV32" s="997">
        <v>0</v>
      </c>
      <c r="IW32" s="1019">
        <v>556.10463646657934</v>
      </c>
      <c r="IX32" s="1022">
        <v>179.9</v>
      </c>
      <c r="IY32" s="998">
        <v>2647.0800000000199</v>
      </c>
      <c r="IZ32" s="429">
        <v>12.64</v>
      </c>
      <c r="JA32" s="1022">
        <v>85.101080200350012</v>
      </c>
      <c r="JB32" s="988">
        <v>3.9</v>
      </c>
      <c r="JC32" s="988">
        <v>1.1000000000000001</v>
      </c>
      <c r="JD32" s="988">
        <v>1.1000000000000001</v>
      </c>
      <c r="JE32" s="998">
        <v>2</v>
      </c>
      <c r="JF32" s="1023">
        <v>1.5</v>
      </c>
      <c r="JG32" s="1023">
        <v>0.7</v>
      </c>
      <c r="JH32" s="1023">
        <v>0.7</v>
      </c>
      <c r="JI32" s="1023">
        <v>0.5</v>
      </c>
      <c r="JJ32" s="1019">
        <v>195.3843386505196</v>
      </c>
      <c r="JK32" s="998">
        <v>2647.0800000000199</v>
      </c>
      <c r="JL32" s="429">
        <v>12.64</v>
      </c>
      <c r="JM32" s="1022">
        <v>85.101080200350012</v>
      </c>
      <c r="JN32" s="988">
        <v>2.4</v>
      </c>
      <c r="JO32" s="988">
        <v>0.9</v>
      </c>
      <c r="JP32" s="988">
        <v>0.9</v>
      </c>
      <c r="JQ32" s="998">
        <v>2</v>
      </c>
      <c r="JR32" s="998">
        <v>2</v>
      </c>
      <c r="JS32" s="998">
        <v>1</v>
      </c>
      <c r="JT32" s="998">
        <v>1</v>
      </c>
      <c r="JU32" s="1023">
        <v>0.5</v>
      </c>
      <c r="JV32" s="1004">
        <v>2000</v>
      </c>
      <c r="JW32" s="1019">
        <v>624.76573460555664</v>
      </c>
      <c r="JX32" s="1019">
        <v>500</v>
      </c>
      <c r="JY32" s="1022">
        <v>2.2999999999999998</v>
      </c>
      <c r="JZ32" s="1022">
        <v>1.1000000000000001</v>
      </c>
      <c r="KA32" s="1022">
        <v>1.1000000000000001</v>
      </c>
      <c r="KB32" s="1023">
        <v>2</v>
      </c>
      <c r="KC32" s="1023">
        <v>1.5</v>
      </c>
      <c r="KD32" s="1023">
        <v>0.5</v>
      </c>
      <c r="KE32" s="1023">
        <v>1</v>
      </c>
      <c r="KF32" s="1023">
        <v>0.5</v>
      </c>
      <c r="KG32" s="997">
        <v>20.366739945687314</v>
      </c>
      <c r="KH32" s="997">
        <v>5.7266951161688002</v>
      </c>
      <c r="KI32" s="997">
        <v>62.891676365360574</v>
      </c>
      <c r="KJ32" s="997"/>
      <c r="KK32" s="997">
        <v>2.6725289883184618E-2</v>
      </c>
      <c r="KL32" s="997">
        <v>10.987163239794819</v>
      </c>
      <c r="KM32" s="997">
        <v>2.7587396008448641E-4</v>
      </c>
      <c r="KN32" s="997">
        <v>7.2416914522177686E-4</v>
      </c>
      <c r="KO32" s="997"/>
      <c r="KP32" s="1006">
        <v>580</v>
      </c>
      <c r="KQ32" s="1006">
        <v>580</v>
      </c>
      <c r="KR32" s="1006">
        <v>580</v>
      </c>
      <c r="KS32" s="1006">
        <v>580</v>
      </c>
      <c r="KT32" s="1006"/>
      <c r="KU32" s="1006">
        <v>580</v>
      </c>
      <c r="KV32" s="1006">
        <v>580</v>
      </c>
      <c r="KW32" s="1006">
        <v>580</v>
      </c>
      <c r="KX32" s="1006">
        <v>580</v>
      </c>
      <c r="KY32" s="993">
        <v>370</v>
      </c>
      <c r="KZ32" s="993">
        <v>370</v>
      </c>
      <c r="LA32" s="993">
        <v>370</v>
      </c>
      <c r="LB32" s="993">
        <v>370</v>
      </c>
      <c r="LC32" s="993"/>
      <c r="LD32" s="993">
        <v>370</v>
      </c>
      <c r="LE32" s="993">
        <v>370</v>
      </c>
      <c r="LF32" s="993">
        <v>370</v>
      </c>
      <c r="LG32" s="993">
        <v>370</v>
      </c>
      <c r="LH32" s="995">
        <v>0</v>
      </c>
      <c r="LI32" s="995">
        <v>10</v>
      </c>
      <c r="LJ32" s="995">
        <v>20</v>
      </c>
      <c r="LK32" s="995">
        <v>70</v>
      </c>
      <c r="LL32" s="995">
        <v>100</v>
      </c>
      <c r="LM32" s="1004">
        <v>1000</v>
      </c>
      <c r="LN32" s="1019">
        <v>2.034883667154237</v>
      </c>
      <c r="LO32" s="988">
        <v>29</v>
      </c>
      <c r="LP32" s="988">
        <v>2.8</v>
      </c>
      <c r="LQ32" s="988">
        <v>1.4</v>
      </c>
      <c r="LR32" s="988">
        <v>1.4</v>
      </c>
      <c r="LS32" s="1023">
        <v>2</v>
      </c>
      <c r="LT32" s="1023">
        <v>1</v>
      </c>
      <c r="LU32" s="1023">
        <v>0.5</v>
      </c>
      <c r="LV32" s="1023">
        <v>0.7</v>
      </c>
      <c r="LW32" s="1023">
        <v>0.2</v>
      </c>
      <c r="LX32" s="1004">
        <v>1500</v>
      </c>
      <c r="LY32" s="1008">
        <v>500</v>
      </c>
      <c r="LZ32" s="1008">
        <v>1</v>
      </c>
      <c r="MA32" s="997" t="s">
        <v>2914</v>
      </c>
      <c r="MB32" s="1023" t="s">
        <v>905</v>
      </c>
      <c r="MC32" s="1023" t="s">
        <v>2932</v>
      </c>
      <c r="MD32" s="1024" t="s">
        <v>906</v>
      </c>
      <c r="ME32" s="1009">
        <v>0.5</v>
      </c>
      <c r="MF32" s="1010">
        <v>0.75</v>
      </c>
      <c r="MG32" s="1010">
        <v>1</v>
      </c>
      <c r="MH32" s="1010">
        <v>2</v>
      </c>
      <c r="MI32" s="1010">
        <v>0.5</v>
      </c>
      <c r="MJ32" s="1010">
        <v>0.75</v>
      </c>
      <c r="MK32" s="1010">
        <v>1</v>
      </c>
      <c r="ML32" s="1010">
        <v>2</v>
      </c>
      <c r="MM32" s="1010">
        <v>0</v>
      </c>
      <c r="MN32" s="1010">
        <v>0.5</v>
      </c>
      <c r="MO32" s="1010">
        <v>1</v>
      </c>
      <c r="MP32" s="1010">
        <v>2</v>
      </c>
      <c r="MQ32" s="1010">
        <v>0</v>
      </c>
      <c r="MR32" s="1010">
        <v>0.5</v>
      </c>
      <c r="MS32" s="1010">
        <v>1</v>
      </c>
      <c r="MT32" s="1010">
        <v>2</v>
      </c>
      <c r="MU32" s="1001">
        <v>0</v>
      </c>
      <c r="MV32" s="1001">
        <v>0</v>
      </c>
      <c r="MW32" s="1001">
        <v>0</v>
      </c>
      <c r="MX32" s="1025">
        <v>0</v>
      </c>
      <c r="MY32" s="1025">
        <v>0</v>
      </c>
      <c r="MZ32" s="1025">
        <v>0</v>
      </c>
      <c r="NA32" s="1025">
        <v>0</v>
      </c>
      <c r="NB32" s="1025">
        <v>0</v>
      </c>
      <c r="NC32" s="1025">
        <v>0</v>
      </c>
      <c r="ND32" s="1025">
        <v>0</v>
      </c>
      <c r="NE32" s="1025">
        <v>0</v>
      </c>
      <c r="NF32" s="1025">
        <v>0</v>
      </c>
      <c r="NG32" s="1025">
        <v>0</v>
      </c>
      <c r="NH32" s="1025">
        <v>0</v>
      </c>
      <c r="NI32" s="1025">
        <v>0</v>
      </c>
      <c r="NJ32" s="1025">
        <v>0</v>
      </c>
      <c r="NK32" s="1025">
        <v>0</v>
      </c>
      <c r="NL32" s="1025">
        <v>0</v>
      </c>
      <c r="NM32" s="1025">
        <v>0</v>
      </c>
      <c r="NN32" s="1025">
        <v>0</v>
      </c>
      <c r="NO32" s="1025">
        <v>0</v>
      </c>
      <c r="NP32" s="1025">
        <v>0</v>
      </c>
      <c r="NQ32" s="1025">
        <v>0</v>
      </c>
      <c r="NR32" s="1025">
        <v>0</v>
      </c>
      <c r="NS32" s="1025">
        <v>0</v>
      </c>
      <c r="NT32" s="1025">
        <v>0</v>
      </c>
      <c r="NU32" s="1025">
        <v>0</v>
      </c>
      <c r="NV32" s="1025">
        <v>0.53149826409520995</v>
      </c>
      <c r="NW32" s="1025">
        <v>0</v>
      </c>
      <c r="NX32" s="1025">
        <v>0</v>
      </c>
      <c r="NY32" s="1025">
        <v>0</v>
      </c>
      <c r="NZ32" s="1025">
        <v>0.36645589646514998</v>
      </c>
      <c r="OA32" s="1025">
        <v>-0.68</v>
      </c>
      <c r="OB32" s="1025">
        <v>1.20720317289767</v>
      </c>
      <c r="OC32" s="1025">
        <v>0</v>
      </c>
      <c r="OD32" s="1025">
        <v>0</v>
      </c>
      <c r="OE32" s="1025">
        <v>0</v>
      </c>
      <c r="OF32" s="1025">
        <v>-0.19797320094913001</v>
      </c>
      <c r="OG32" s="1025">
        <v>-0.68</v>
      </c>
      <c r="OH32" s="1025">
        <v>0</v>
      </c>
      <c r="OI32" s="1025">
        <v>0</v>
      </c>
      <c r="OJ32" s="1025">
        <v>0</v>
      </c>
      <c r="OK32" s="1025">
        <v>0</v>
      </c>
      <c r="OL32" s="1025">
        <v>0</v>
      </c>
      <c r="OM32" s="1025">
        <v>0</v>
      </c>
      <c r="ON32" s="1025">
        <v>0</v>
      </c>
      <c r="OO32" s="1025">
        <v>0</v>
      </c>
      <c r="OP32" s="1025">
        <v>0</v>
      </c>
      <c r="OQ32" s="1025">
        <v>0</v>
      </c>
      <c r="OR32" s="1025">
        <v>0</v>
      </c>
      <c r="OS32" s="1025">
        <v>0</v>
      </c>
      <c r="OT32" s="1025">
        <v>0</v>
      </c>
      <c r="OU32" s="1025">
        <v>0</v>
      </c>
      <c r="OV32" s="1025">
        <v>0</v>
      </c>
      <c r="OW32" s="1025">
        <v>0</v>
      </c>
      <c r="OX32" s="1025">
        <v>0</v>
      </c>
      <c r="OY32" s="1025">
        <v>0</v>
      </c>
      <c r="OZ32" s="1025">
        <v>-78</v>
      </c>
      <c r="PA32" s="1025">
        <v>-16</v>
      </c>
      <c r="PB32" s="1025">
        <v>0</v>
      </c>
      <c r="PC32" s="1025">
        <v>0</v>
      </c>
      <c r="PD32" s="1025">
        <v>0</v>
      </c>
      <c r="PE32" s="1025">
        <v>0</v>
      </c>
      <c r="PF32" s="1025">
        <v>0</v>
      </c>
      <c r="PG32" s="1025">
        <v>0</v>
      </c>
      <c r="PH32" s="1025">
        <v>0</v>
      </c>
      <c r="PI32" s="1025">
        <v>0</v>
      </c>
      <c r="PJ32" s="1025">
        <v>-1.28842746122441</v>
      </c>
      <c r="PK32" s="1025">
        <v>-1</v>
      </c>
      <c r="PL32" s="1025">
        <v>0</v>
      </c>
      <c r="PM32" s="1025">
        <v>0</v>
      </c>
      <c r="PN32" s="1025">
        <v>0</v>
      </c>
      <c r="PO32" s="1025">
        <v>0</v>
      </c>
      <c r="PP32" s="1025">
        <v>0</v>
      </c>
      <c r="PQ32" s="1025">
        <v>0</v>
      </c>
      <c r="PR32" s="1025">
        <v>0</v>
      </c>
      <c r="PS32" s="1025">
        <v>0</v>
      </c>
      <c r="PT32" s="1025">
        <v>0</v>
      </c>
      <c r="PU32" s="1025">
        <v>0</v>
      </c>
      <c r="PV32" s="1025">
        <v>0</v>
      </c>
      <c r="PW32" s="1025">
        <v>-1</v>
      </c>
      <c r="PX32" s="1025">
        <v>0</v>
      </c>
      <c r="PY32" s="1025">
        <v>0</v>
      </c>
      <c r="PZ32" s="1025">
        <v>0</v>
      </c>
      <c r="QA32" s="1025">
        <v>0</v>
      </c>
      <c r="QB32" s="1025">
        <v>0</v>
      </c>
      <c r="QC32" s="1025">
        <v>0</v>
      </c>
      <c r="QD32" s="1025">
        <v>-78</v>
      </c>
      <c r="QE32" s="1025">
        <v>-16</v>
      </c>
      <c r="QF32" s="1025">
        <v>0</v>
      </c>
      <c r="QG32" s="1025">
        <v>0</v>
      </c>
      <c r="QH32" s="1025">
        <v>0</v>
      </c>
      <c r="QI32" s="1025">
        <v>0</v>
      </c>
      <c r="QJ32" s="1025">
        <v>0.21929949213760999</v>
      </c>
      <c r="QK32" s="1025">
        <v>0</v>
      </c>
      <c r="QL32" s="1025">
        <v>0</v>
      </c>
      <c r="QM32" s="1025">
        <v>0</v>
      </c>
      <c r="QN32" s="1025">
        <v>0.99595206269224001</v>
      </c>
      <c r="QO32" s="1025">
        <v>-0.25</v>
      </c>
      <c r="QP32" s="1025">
        <v>0</v>
      </c>
      <c r="QQ32" s="1025">
        <v>0</v>
      </c>
      <c r="QR32" s="1025">
        <v>0</v>
      </c>
      <c r="QS32" s="1025">
        <v>0</v>
      </c>
      <c r="QT32" s="1025">
        <v>0</v>
      </c>
      <c r="QU32" s="1025">
        <v>-0.25</v>
      </c>
      <c r="QV32" s="1025">
        <v>0</v>
      </c>
      <c r="QW32" s="1025">
        <v>0</v>
      </c>
      <c r="QX32" s="1025">
        <v>0</v>
      </c>
      <c r="QY32" s="1025">
        <v>0</v>
      </c>
      <c r="QZ32" s="1025">
        <v>0</v>
      </c>
      <c r="RA32" s="1025">
        <v>-0.25</v>
      </c>
      <c r="RB32" s="1025">
        <v>0</v>
      </c>
      <c r="RC32" s="1025">
        <v>0</v>
      </c>
      <c r="RD32" s="1025">
        <v>0</v>
      </c>
      <c r="RE32" s="1025">
        <v>0</v>
      </c>
      <c r="RF32" s="1025">
        <v>0</v>
      </c>
      <c r="RG32" s="1025">
        <v>-0.25</v>
      </c>
      <c r="RH32" s="1011">
        <v>0</v>
      </c>
      <c r="RI32" s="1026">
        <v>0</v>
      </c>
      <c r="RJ32" s="1026">
        <v>-92.944892121212135</v>
      </c>
      <c r="RK32" s="1026">
        <v>0</v>
      </c>
      <c r="RL32" s="1026">
        <v>0</v>
      </c>
      <c r="RM32" s="1011">
        <v>0</v>
      </c>
      <c r="RN32" s="1011">
        <v>0</v>
      </c>
      <c r="RO32" s="1011">
        <v>0</v>
      </c>
      <c r="RP32" s="1011">
        <v>0</v>
      </c>
      <c r="RQ32" s="1011">
        <v>0</v>
      </c>
      <c r="RR32" s="1011">
        <v>0</v>
      </c>
      <c r="RS32" s="1011">
        <v>0</v>
      </c>
      <c r="RT32" s="1011">
        <v>0</v>
      </c>
      <c r="RU32" s="1011">
        <v>0</v>
      </c>
      <c r="RV32" s="1011">
        <v>0</v>
      </c>
      <c r="RW32" s="1011">
        <v>0</v>
      </c>
      <c r="RX32" s="1011">
        <v>0</v>
      </c>
      <c r="RY32" s="1011">
        <v>0</v>
      </c>
      <c r="RZ32" s="1026">
        <v>0</v>
      </c>
      <c r="SA32" s="1026">
        <v>0</v>
      </c>
      <c r="SB32" s="1026">
        <v>0</v>
      </c>
      <c r="SC32" s="1026">
        <v>0</v>
      </c>
      <c r="SD32" s="1026">
        <v>0</v>
      </c>
      <c r="SE32" s="1026">
        <v>0</v>
      </c>
      <c r="SF32" s="1026">
        <v>0</v>
      </c>
      <c r="SG32" s="1026">
        <v>0</v>
      </c>
      <c r="SH32" s="1026">
        <v>0</v>
      </c>
      <c r="SI32" s="1026">
        <v>0</v>
      </c>
      <c r="SJ32" s="1026">
        <v>0</v>
      </c>
      <c r="SK32" s="1026">
        <v>0</v>
      </c>
      <c r="SL32" s="1025">
        <v>-78</v>
      </c>
      <c r="SM32" s="1025">
        <v>-16</v>
      </c>
      <c r="SN32" s="1025">
        <v>-0.61669683306420997</v>
      </c>
      <c r="SO32" s="1025">
        <v>0</v>
      </c>
      <c r="SP32" s="1025">
        <v>-2.5060659009021098</v>
      </c>
      <c r="SQ32" s="1025">
        <v>-1</v>
      </c>
      <c r="SR32" s="1025">
        <v>0</v>
      </c>
      <c r="SS32" s="1025">
        <v>0</v>
      </c>
      <c r="ST32" s="1025">
        <v>0</v>
      </c>
      <c r="SU32" s="1025">
        <v>0</v>
      </c>
      <c r="SV32" s="1025">
        <v>-1.41377715951411</v>
      </c>
      <c r="SW32" s="1025">
        <v>-1</v>
      </c>
      <c r="SX32" s="1025">
        <v>-0.99088810740448996</v>
      </c>
      <c r="SY32" s="1025">
        <v>0</v>
      </c>
      <c r="SZ32" s="1025">
        <v>0</v>
      </c>
      <c r="TA32" s="1025">
        <v>0</v>
      </c>
      <c r="TB32" s="1025">
        <v>-1.87122290408855</v>
      </c>
      <c r="TC32" s="1025">
        <v>-1</v>
      </c>
      <c r="TD32" s="1025">
        <v>0</v>
      </c>
      <c r="TE32" s="1025">
        <v>0</v>
      </c>
      <c r="TF32" s="1025">
        <v>0</v>
      </c>
      <c r="TG32" s="1025">
        <v>0</v>
      </c>
      <c r="TH32" s="1025">
        <v>0</v>
      </c>
      <c r="TI32" s="1025">
        <v>-1</v>
      </c>
      <c r="TJ32" s="1025">
        <v>0</v>
      </c>
      <c r="TK32" s="1025">
        <v>0</v>
      </c>
      <c r="TL32" s="1025">
        <v>0</v>
      </c>
      <c r="TM32" s="1025">
        <v>0</v>
      </c>
      <c r="TN32" s="1025">
        <v>0</v>
      </c>
      <c r="TO32" s="1025">
        <v>0</v>
      </c>
      <c r="TP32" s="1025">
        <v>-78</v>
      </c>
      <c r="TQ32" s="1025">
        <v>-16</v>
      </c>
      <c r="TR32" s="1025">
        <v>0</v>
      </c>
      <c r="TS32" s="1025">
        <v>0</v>
      </c>
      <c r="TT32" s="1025">
        <v>0</v>
      </c>
      <c r="TU32" s="1025">
        <v>0</v>
      </c>
      <c r="TV32" s="1025">
        <v>0</v>
      </c>
      <c r="TW32" s="1025">
        <v>0</v>
      </c>
      <c r="TX32" s="1025">
        <v>0</v>
      </c>
      <c r="TY32" s="1025">
        <v>0</v>
      </c>
      <c r="TZ32" s="1025">
        <v>0</v>
      </c>
      <c r="UA32" s="1025">
        <v>0</v>
      </c>
      <c r="UB32" s="1025">
        <v>0</v>
      </c>
      <c r="UC32" s="1025">
        <v>0</v>
      </c>
      <c r="UD32" s="1025">
        <v>0</v>
      </c>
      <c r="UE32" s="1025">
        <v>0</v>
      </c>
      <c r="UF32" s="1025">
        <v>0</v>
      </c>
      <c r="UG32" s="1025">
        <v>0</v>
      </c>
      <c r="UH32" s="1025">
        <v>0</v>
      </c>
      <c r="UI32" s="1025">
        <v>0</v>
      </c>
      <c r="UJ32" s="1025">
        <v>0</v>
      </c>
      <c r="UK32" s="1025">
        <v>0</v>
      </c>
      <c r="UL32" s="1025">
        <v>0</v>
      </c>
      <c r="UM32" s="1025">
        <v>0</v>
      </c>
      <c r="UN32" s="1025">
        <v>0</v>
      </c>
      <c r="UO32" s="1025">
        <v>0</v>
      </c>
      <c r="UP32" s="1025">
        <v>0</v>
      </c>
      <c r="UQ32" s="1025">
        <v>0</v>
      </c>
      <c r="UR32" s="1025">
        <v>0</v>
      </c>
      <c r="US32" s="1025">
        <v>0</v>
      </c>
      <c r="UT32" s="1025">
        <v>0.33491191402597997</v>
      </c>
      <c r="UU32" s="1025">
        <v>0</v>
      </c>
      <c r="UV32" s="1025">
        <v>0</v>
      </c>
      <c r="UW32" s="1025">
        <v>0</v>
      </c>
      <c r="UX32" s="1025">
        <v>9.987574035275E-2</v>
      </c>
      <c r="UY32" s="1025">
        <v>-0.68</v>
      </c>
      <c r="UZ32" s="1025">
        <v>3.4115510783469999E-2</v>
      </c>
      <c r="VA32" s="1025">
        <v>0</v>
      </c>
      <c r="VB32" s="1025">
        <v>0</v>
      </c>
      <c r="VC32" s="1025">
        <v>0</v>
      </c>
      <c r="VD32" s="1025">
        <v>-4.4187994008999999E-4</v>
      </c>
      <c r="VE32" s="1025">
        <v>-1</v>
      </c>
      <c r="VF32" s="1025">
        <v>0</v>
      </c>
      <c r="VG32" s="1025">
        <v>0</v>
      </c>
      <c r="VH32" s="1025">
        <v>0</v>
      </c>
      <c r="VI32" s="1025">
        <v>0</v>
      </c>
      <c r="VJ32" s="1025">
        <v>-1.9903146677699999E-3</v>
      </c>
      <c r="VK32" s="1025">
        <v>-0.25</v>
      </c>
      <c r="VL32" s="1025">
        <v>0</v>
      </c>
      <c r="VM32" s="1025">
        <v>0</v>
      </c>
      <c r="VN32" s="1025">
        <v>0</v>
      </c>
      <c r="VO32" s="1025">
        <v>0</v>
      </c>
      <c r="VP32" s="1025">
        <v>0</v>
      </c>
      <c r="VQ32" s="1025">
        <v>-1.1000000000000001</v>
      </c>
      <c r="VR32" s="1010">
        <v>0</v>
      </c>
      <c r="VS32" s="1010">
        <v>0</v>
      </c>
      <c r="VT32" s="1010">
        <v>0</v>
      </c>
      <c r="VU32" s="1010">
        <v>0</v>
      </c>
      <c r="VV32" s="1010">
        <v>0</v>
      </c>
      <c r="VW32" s="1010">
        <v>-6.0250043902750003E-2</v>
      </c>
      <c r="VX32" s="1025">
        <v>4.7780291646690003E-2</v>
      </c>
      <c r="VY32" s="1025">
        <v>0</v>
      </c>
      <c r="VZ32" s="1025">
        <v>0</v>
      </c>
      <c r="WA32" s="1025">
        <v>0</v>
      </c>
      <c r="WB32" s="1025">
        <v>0</v>
      </c>
      <c r="WC32" s="1025">
        <v>-1</v>
      </c>
      <c r="WD32" s="995">
        <v>202</v>
      </c>
      <c r="WE32" s="995">
        <v>267</v>
      </c>
      <c r="WF32" s="995">
        <v>354</v>
      </c>
      <c r="WG32" s="995">
        <v>382</v>
      </c>
      <c r="WH32" s="995">
        <v>403</v>
      </c>
      <c r="WI32" s="995">
        <v>0</v>
      </c>
      <c r="WJ32" s="995">
        <v>1300</v>
      </c>
      <c r="WK32" s="1001">
        <v>0</v>
      </c>
      <c r="WL32" s="1001">
        <v>0</v>
      </c>
      <c r="WM32" s="1001">
        <v>0</v>
      </c>
      <c r="WN32" s="1001">
        <v>0</v>
      </c>
      <c r="WO32" s="1001">
        <v>0</v>
      </c>
      <c r="WP32" s="1001">
        <v>0</v>
      </c>
      <c r="WQ32" s="1001">
        <v>0</v>
      </c>
      <c r="WR32" s="1001">
        <v>0</v>
      </c>
      <c r="WS32" s="1001">
        <v>0</v>
      </c>
      <c r="WT32" s="1001">
        <v>0</v>
      </c>
      <c r="WU32" s="1001">
        <v>0</v>
      </c>
      <c r="WV32" s="1001">
        <v>0</v>
      </c>
      <c r="WW32" s="1001">
        <v>0</v>
      </c>
      <c r="WX32" s="1001">
        <v>0</v>
      </c>
      <c r="WY32" s="1001">
        <v>0</v>
      </c>
      <c r="WZ32" s="1001">
        <v>0</v>
      </c>
      <c r="XA32" s="1001">
        <v>0</v>
      </c>
      <c r="XB32" s="1001">
        <v>0</v>
      </c>
      <c r="XC32" s="1001">
        <v>0</v>
      </c>
      <c r="XD32" s="1001">
        <v>0</v>
      </c>
      <c r="XE32" s="1001">
        <v>0</v>
      </c>
      <c r="XF32" s="1001">
        <v>0</v>
      </c>
      <c r="XG32" s="1001">
        <v>0</v>
      </c>
      <c r="XH32" s="1001">
        <v>0</v>
      </c>
      <c r="XI32" s="1001">
        <v>0</v>
      </c>
      <c r="XJ32" s="1001">
        <v>0</v>
      </c>
      <c r="XK32" s="1001">
        <v>0</v>
      </c>
      <c r="XL32" s="1001">
        <v>0</v>
      </c>
      <c r="XM32" s="1001">
        <v>0</v>
      </c>
      <c r="XN32" s="1001">
        <v>0</v>
      </c>
      <c r="XO32" s="1001">
        <v>0</v>
      </c>
      <c r="XP32" s="1001">
        <v>0</v>
      </c>
      <c r="XQ32" s="1001">
        <v>0</v>
      </c>
      <c r="XR32" s="1027">
        <v>72.8</v>
      </c>
      <c r="XS32" s="1013">
        <v>57.753653444676409</v>
      </c>
      <c r="XT32" s="1013">
        <v>63.832985386221289</v>
      </c>
      <c r="XU32" s="1013">
        <v>66.872651356993728</v>
      </c>
      <c r="XV32" s="1013">
        <v>102.74070981210856</v>
      </c>
      <c r="XW32" s="1028">
        <v>15599.974749999999</v>
      </c>
      <c r="XX32" s="1013">
        <v>78</v>
      </c>
      <c r="XY32" s="1013">
        <v>15</v>
      </c>
      <c r="XZ32" s="1013">
        <v>7.0000000000000009</v>
      </c>
      <c r="YA32" s="1029">
        <v>0</v>
      </c>
      <c r="YB32" s="1013">
        <v>933.56818401893042</v>
      </c>
      <c r="YC32" s="1013">
        <v>0</v>
      </c>
      <c r="YD32" s="1013">
        <v>0</v>
      </c>
      <c r="YE32" s="1013">
        <v>0</v>
      </c>
      <c r="YF32" s="1013">
        <v>0</v>
      </c>
      <c r="YG32" s="1013">
        <v>0</v>
      </c>
      <c r="YH32" s="1013">
        <v>1005.3811212511557</v>
      </c>
      <c r="YI32" s="1013">
        <v>1436.2587446445084</v>
      </c>
      <c r="YJ32" s="1013">
        <v>1001.4903274382644</v>
      </c>
      <c r="YK32" s="1013">
        <v>0</v>
      </c>
      <c r="YL32" s="1013">
        <v>0</v>
      </c>
      <c r="YM32" s="1013">
        <v>0</v>
      </c>
      <c r="YN32" s="1013">
        <v>0</v>
      </c>
      <c r="YO32" s="1013">
        <v>0</v>
      </c>
      <c r="YP32" s="1013">
        <v>1078.5280449335155</v>
      </c>
      <c r="YQ32" s="1013">
        <v>1540.7543499050223</v>
      </c>
      <c r="YR32" s="1013">
        <v>1049.1803430305627</v>
      </c>
      <c r="YS32" s="1013">
        <v>0</v>
      </c>
      <c r="YT32" s="1013">
        <v>0</v>
      </c>
      <c r="YU32" s="1013">
        <v>0</v>
      </c>
      <c r="YV32" s="1013">
        <v>0</v>
      </c>
      <c r="YW32" s="1013">
        <v>0</v>
      </c>
      <c r="YX32" s="1013">
        <v>1129.8865232636829</v>
      </c>
      <c r="YY32" s="1013">
        <v>1614.1236046624042</v>
      </c>
      <c r="YZ32" s="1013">
        <v>1611.9225270196828</v>
      </c>
      <c r="ZA32" s="1013">
        <v>0</v>
      </c>
      <c r="ZB32" s="1013">
        <v>0</v>
      </c>
      <c r="ZC32" s="1013">
        <v>0</v>
      </c>
      <c r="ZD32" s="1013">
        <v>0</v>
      </c>
      <c r="ZE32" s="1013">
        <v>0</v>
      </c>
      <c r="ZF32" s="1013">
        <v>1735.9165675596582</v>
      </c>
      <c r="ZG32" s="1013">
        <v>2479.8808107995119</v>
      </c>
      <c r="ZH32" s="1013">
        <v>604.53726405136968</v>
      </c>
      <c r="ZI32" s="1013">
        <v>837.05159637881945</v>
      </c>
      <c r="ZJ32" s="1013">
        <v>139.50859939646989</v>
      </c>
      <c r="ZK32" s="1013">
        <v>1534.594593361169</v>
      </c>
      <c r="ZL32" s="1013">
        <v>0</v>
      </c>
      <c r="ZM32" s="1013">
        <v>0</v>
      </c>
      <c r="ZN32" s="1013">
        <v>651.04013051685968</v>
      </c>
      <c r="ZO32" s="1013">
        <v>930.05732930979946</v>
      </c>
      <c r="ZP32" s="1013">
        <v>648.52062536780045</v>
      </c>
      <c r="ZQ32" s="1013">
        <v>897.95163512464671</v>
      </c>
      <c r="ZR32" s="1013">
        <v>149.6586058541078</v>
      </c>
      <c r="ZS32" s="1013">
        <v>1646.244664395186</v>
      </c>
      <c r="ZT32" s="1013">
        <v>0</v>
      </c>
      <c r="ZU32" s="1013">
        <v>0</v>
      </c>
      <c r="ZV32" s="1013">
        <v>698.40682731916979</v>
      </c>
      <c r="ZW32" s="1013">
        <v>997.7240390273854</v>
      </c>
      <c r="ZX32" s="1013">
        <v>679.40255990912431</v>
      </c>
      <c r="ZY32" s="1013">
        <v>940.71123679724894</v>
      </c>
      <c r="ZZ32" s="1013">
        <v>156.78520613287483</v>
      </c>
      <c r="AAA32" s="1013">
        <v>1724.6372674616232</v>
      </c>
      <c r="AAB32" s="1013">
        <v>0</v>
      </c>
      <c r="AAC32" s="1013">
        <v>0</v>
      </c>
      <c r="AAD32" s="1013">
        <v>731.66429528674928</v>
      </c>
      <c r="AAE32" s="1013">
        <v>1045.234707552499</v>
      </c>
      <c r="AAF32" s="1013">
        <v>1043.8093874967456</v>
      </c>
      <c r="AAG32" s="1013">
        <v>1445.2745365339554</v>
      </c>
      <c r="AAH32" s="1013">
        <v>240.8790894223259</v>
      </c>
      <c r="AAI32" s="1013">
        <v>2649.669983645585</v>
      </c>
      <c r="AAJ32" s="1013">
        <v>0</v>
      </c>
      <c r="AAK32" s="1013">
        <v>0</v>
      </c>
      <c r="AAL32" s="1013">
        <v>1124.1024173041876</v>
      </c>
      <c r="AAM32" s="1013">
        <v>1605.8605961488395</v>
      </c>
      <c r="AAN32" s="1013">
        <v>1608.8491704592902</v>
      </c>
      <c r="AAO32" s="1013">
        <v>2227.6373129436324</v>
      </c>
      <c r="AAP32" s="1013">
        <v>371.2728854906054</v>
      </c>
      <c r="AAQ32" s="1013">
        <v>4084.0017403966599</v>
      </c>
      <c r="AAR32" s="1013">
        <v>0</v>
      </c>
      <c r="AAS32" s="1013">
        <v>0</v>
      </c>
      <c r="AAT32" s="1013">
        <v>1732.6067989561589</v>
      </c>
      <c r="AAU32" s="1013">
        <v>2475.1525699373697</v>
      </c>
      <c r="AAV32" s="1013">
        <v>1778.2017147181627</v>
      </c>
      <c r="AAW32" s="1013">
        <v>2462.1254511482252</v>
      </c>
      <c r="AAX32" s="1013">
        <v>410.35424185803754</v>
      </c>
      <c r="AAY32" s="1013">
        <v>4513.8966604384132</v>
      </c>
      <c r="AAZ32" s="1013">
        <v>0</v>
      </c>
      <c r="ABA32" s="1013">
        <v>0</v>
      </c>
      <c r="ABB32" s="1013">
        <v>1914.9864620041753</v>
      </c>
      <c r="ABC32" s="1013">
        <v>2735.6949457202504</v>
      </c>
      <c r="ABD32" s="1013">
        <v>1862.877986847599</v>
      </c>
      <c r="ABE32" s="1013">
        <v>2579.3695202505214</v>
      </c>
      <c r="ABF32" s="1013">
        <v>429.89492004175361</v>
      </c>
      <c r="ABG32" s="1013">
        <v>4728.84412045929</v>
      </c>
      <c r="ABH32" s="1013">
        <v>0</v>
      </c>
      <c r="ABI32" s="1013">
        <v>0</v>
      </c>
      <c r="ABJ32" s="1013">
        <v>2006.1762935281838</v>
      </c>
      <c r="ABK32" s="1013">
        <v>2865.966133611691</v>
      </c>
      <c r="ABL32" s="1013">
        <v>2862.0579979749477</v>
      </c>
      <c r="ABM32" s="1013">
        <v>3962.84953565762</v>
      </c>
      <c r="ABN32" s="1013">
        <v>660.47492260960337</v>
      </c>
      <c r="ABO32" s="1013">
        <v>7265.2241487056372</v>
      </c>
      <c r="ABP32" s="1013">
        <v>0</v>
      </c>
      <c r="ABQ32" s="1013">
        <v>0</v>
      </c>
      <c r="ABR32" s="1013">
        <v>3082.2163055114825</v>
      </c>
      <c r="ABS32" s="1013">
        <v>4403.166150730689</v>
      </c>
      <c r="ABT32" s="1013">
        <v>2213.3864345106595</v>
      </c>
      <c r="ABU32" s="1013">
        <v>3064.6889093224518</v>
      </c>
      <c r="ABV32" s="1013">
        <v>510.78148488707524</v>
      </c>
      <c r="ABW32" s="1013">
        <v>5618.5963337578287</v>
      </c>
      <c r="ABX32" s="1013">
        <v>0</v>
      </c>
      <c r="ABY32" s="1013">
        <v>0</v>
      </c>
      <c r="ABZ32" s="1013">
        <v>2383.6469294730182</v>
      </c>
      <c r="ACA32" s="1013">
        <v>3405.2098992471688</v>
      </c>
      <c r="ACB32" s="1013">
        <v>2343.042259393344</v>
      </c>
      <c r="ACC32" s="1013">
        <v>3244.2123591600143</v>
      </c>
      <c r="ACD32" s="1013">
        <v>540.70205986000235</v>
      </c>
      <c r="ACE32" s="1013">
        <v>5947.7226584600267</v>
      </c>
      <c r="ACF32" s="1013">
        <v>0</v>
      </c>
      <c r="ACG32" s="1013">
        <v>0</v>
      </c>
      <c r="ACH32" s="1013">
        <v>2523.2762793466782</v>
      </c>
      <c r="ACI32" s="1013">
        <v>3604.6803990666831</v>
      </c>
      <c r="ACJ32" s="1013">
        <v>2454.6157003168364</v>
      </c>
      <c r="ACK32" s="1013">
        <v>3398.6986619771578</v>
      </c>
      <c r="ACL32" s="1013">
        <v>566.4497769961929</v>
      </c>
      <c r="ACM32" s="1013">
        <v>6230.947546958123</v>
      </c>
      <c r="ACN32" s="1013">
        <v>0</v>
      </c>
      <c r="ACO32" s="1013">
        <v>0</v>
      </c>
      <c r="ACP32" s="1013">
        <v>2643.4322926489008</v>
      </c>
      <c r="ACQ32" s="1013">
        <v>3776.3318466412866</v>
      </c>
      <c r="ACR32" s="1013">
        <v>3771.1823032140492</v>
      </c>
      <c r="ACS32" s="1013">
        <v>5221.6370352194526</v>
      </c>
      <c r="ACT32" s="1013">
        <v>870.27283920324203</v>
      </c>
      <c r="ACU32" s="1013">
        <v>9573.001231235663</v>
      </c>
      <c r="ACV32" s="1013">
        <v>0</v>
      </c>
      <c r="ACW32" s="1013">
        <v>0</v>
      </c>
      <c r="ACX32" s="1013">
        <v>4061.2732496151302</v>
      </c>
      <c r="ACY32" s="1013">
        <v>5801.8189280216138</v>
      </c>
      <c r="ACZ32" s="1013">
        <v>2866.6767037274626</v>
      </c>
      <c r="ADA32" s="1013">
        <v>3969.2446666995634</v>
      </c>
      <c r="ADB32" s="1013">
        <v>661.54077778326052</v>
      </c>
      <c r="ADC32" s="1013">
        <v>7276.9485556158661</v>
      </c>
      <c r="ADD32" s="1013">
        <v>0</v>
      </c>
      <c r="ADE32" s="1013">
        <v>0</v>
      </c>
      <c r="ADF32" s="1013">
        <v>3087.1902963218831</v>
      </c>
      <c r="ADG32" s="1013">
        <v>4410.2718518884039</v>
      </c>
      <c r="ADH32" s="1013">
        <v>3064.7829553671863</v>
      </c>
      <c r="ADI32" s="1013">
        <v>4243.5456305084117</v>
      </c>
      <c r="ADJ32" s="1013">
        <v>707.25760508473536</v>
      </c>
      <c r="ADK32" s="1013">
        <v>7779.8336559320887</v>
      </c>
      <c r="ADL32" s="1013">
        <v>0</v>
      </c>
      <c r="ADM32" s="1013">
        <v>0</v>
      </c>
      <c r="ADN32" s="1013">
        <v>3300.5354903954317</v>
      </c>
      <c r="ADO32" s="1013">
        <v>4715.0507005649024</v>
      </c>
      <c r="ADP32" s="1013">
        <v>3210.7250008608621</v>
      </c>
      <c r="ADQ32" s="1013">
        <v>4445.6192319611928</v>
      </c>
      <c r="ADR32" s="1013">
        <v>740.93653866019883</v>
      </c>
      <c r="ADS32" s="1013">
        <v>8150.301925262188</v>
      </c>
      <c r="ADT32" s="1013">
        <v>0</v>
      </c>
      <c r="ADU32" s="1013">
        <v>0</v>
      </c>
      <c r="ADV32" s="1013">
        <v>3457.7038470809284</v>
      </c>
      <c r="ADW32" s="1013">
        <v>4939.5769244013263</v>
      </c>
      <c r="ADX32" s="1013">
        <v>4932.8411376862341</v>
      </c>
      <c r="ADY32" s="1013">
        <v>6830.0877291040151</v>
      </c>
      <c r="ADZ32" s="1013">
        <v>1138.3479548506691</v>
      </c>
      <c r="AEA32" s="1013">
        <v>12521.827503357363</v>
      </c>
      <c r="AEB32" s="1013">
        <v>0</v>
      </c>
      <c r="AEC32" s="1013">
        <v>0</v>
      </c>
      <c r="AED32" s="1013">
        <v>5312.2904559697909</v>
      </c>
      <c r="AEE32" s="1013">
        <v>7588.9863656711286</v>
      </c>
      <c r="AEF32" s="1013">
        <v>3500.4657708780919</v>
      </c>
      <c r="AEG32" s="1013">
        <v>4846.7987596773573</v>
      </c>
      <c r="AEH32" s="1013">
        <v>807.79979327955959</v>
      </c>
      <c r="AEI32" s="1013">
        <v>8885.7977260751559</v>
      </c>
      <c r="AEJ32" s="1013">
        <v>0</v>
      </c>
      <c r="AEK32" s="1013">
        <v>0</v>
      </c>
      <c r="AEL32" s="1013">
        <v>3769.7323686379455</v>
      </c>
      <c r="AEM32" s="1013">
        <v>5385.3319551970644</v>
      </c>
      <c r="AEN32" s="1013">
        <v>3765.6036311678745</v>
      </c>
      <c r="AEO32" s="1013">
        <v>5213.9127200785952</v>
      </c>
      <c r="AEP32" s="1013">
        <v>868.98545334643245</v>
      </c>
      <c r="AEQ32" s="1013">
        <v>9558.839986810759</v>
      </c>
      <c r="AER32" s="1013">
        <v>0</v>
      </c>
      <c r="AES32" s="1013">
        <v>0</v>
      </c>
      <c r="AET32" s="1013">
        <v>4055.2654489500187</v>
      </c>
      <c r="AEU32" s="1013">
        <v>5793.2363556428836</v>
      </c>
      <c r="AEV32" s="1013">
        <v>3944.9180897949159</v>
      </c>
      <c r="AEW32" s="1013">
        <v>5462.1942781775751</v>
      </c>
      <c r="AEX32" s="1013">
        <v>910.3657130295959</v>
      </c>
      <c r="AEY32" s="1013">
        <v>10014.022843325556</v>
      </c>
      <c r="AEZ32" s="1013">
        <v>0</v>
      </c>
      <c r="AFA32" s="1013">
        <v>0</v>
      </c>
      <c r="AFB32" s="1013">
        <v>4248.3733274714477</v>
      </c>
      <c r="AFC32" s="1013">
        <v>6069.1047535306398</v>
      </c>
      <c r="AFD32" s="1013">
        <v>6060.8287015940068</v>
      </c>
      <c r="AFE32" s="1013">
        <v>8391.9166637455473</v>
      </c>
      <c r="AFF32" s="1013">
        <v>1398.6527772909246</v>
      </c>
      <c r="AFG32" s="1013">
        <v>15385.180550200172</v>
      </c>
      <c r="AFH32" s="1013">
        <v>0</v>
      </c>
      <c r="AFI32" s="1013">
        <v>0</v>
      </c>
      <c r="AFJ32" s="1013">
        <v>6527.046294024316</v>
      </c>
      <c r="AFK32" s="1013">
        <v>9324.3518486061639</v>
      </c>
      <c r="AFL32" s="1023">
        <v>4036.7488276978556</v>
      </c>
      <c r="AFM32" s="1023">
        <v>5589.3445306585691</v>
      </c>
      <c r="AFN32" s="1023">
        <v>931.5574217764281</v>
      </c>
      <c r="AFO32" s="1023">
        <v>10247.13163954071</v>
      </c>
      <c r="AFP32" s="1023">
        <v>0</v>
      </c>
      <c r="AFQ32" s="1023">
        <v>0</v>
      </c>
      <c r="AFR32" s="1023">
        <v>4347.2679682899989</v>
      </c>
      <c r="AFS32" s="1023">
        <v>6210.3828118428546</v>
      </c>
      <c r="AFT32" s="1023">
        <v>4288.6041354967456</v>
      </c>
      <c r="AFU32" s="1023">
        <v>5938.0672645339546</v>
      </c>
      <c r="AFV32" s="1023">
        <v>989.67787742232576</v>
      </c>
      <c r="AFW32" s="1023">
        <v>10886.456651645585</v>
      </c>
      <c r="AFX32" s="1023">
        <v>0</v>
      </c>
      <c r="AFY32" s="1023">
        <v>0</v>
      </c>
      <c r="AFZ32" s="1023">
        <v>4618.4967613041881</v>
      </c>
      <c r="AGA32" s="1023">
        <v>6597.8525161488396</v>
      </c>
      <c r="AGB32" s="1023">
        <v>4492.8233800442085</v>
      </c>
      <c r="AGC32" s="1023">
        <v>6220.8323723689045</v>
      </c>
      <c r="AGD32" s="1023">
        <v>1036.8053953948174</v>
      </c>
      <c r="AGE32" s="1023">
        <v>11404.859349342993</v>
      </c>
      <c r="AGF32" s="1023">
        <v>0</v>
      </c>
      <c r="AGG32" s="1023">
        <v>0</v>
      </c>
      <c r="AGH32" s="1023">
        <v>4838.4251785091483</v>
      </c>
      <c r="AGI32" s="1023">
        <v>6912.0359692987831</v>
      </c>
      <c r="AGJ32" s="1023">
        <v>6902.6104657042861</v>
      </c>
      <c r="AGK32" s="1023">
        <v>9557.4606448213181</v>
      </c>
      <c r="AGL32" s="1023">
        <v>1592.9101074702196</v>
      </c>
      <c r="AGM32" s="1023">
        <v>17522.011182172417</v>
      </c>
      <c r="AGN32" s="1023">
        <v>0</v>
      </c>
      <c r="AGO32" s="1023">
        <v>0</v>
      </c>
      <c r="AGP32" s="1023">
        <v>7433.5805015276928</v>
      </c>
      <c r="AGQ32" s="1023">
        <v>10619.400716468132</v>
      </c>
      <c r="AGR32" s="1030">
        <v>1608.8491704592902</v>
      </c>
      <c r="AGS32" s="1030">
        <v>2227.6373129436324</v>
      </c>
      <c r="AGT32" s="1030">
        <v>371.2728854906054</v>
      </c>
      <c r="AGU32" s="1030">
        <v>4084.0017403966599</v>
      </c>
      <c r="AGV32" s="1030">
        <v>0</v>
      </c>
      <c r="AGW32" s="1030">
        <v>0</v>
      </c>
      <c r="AGX32" s="1030">
        <v>1732.6067989561589</v>
      </c>
      <c r="AGY32" s="1030">
        <v>2475.1525699373697</v>
      </c>
      <c r="AGZ32" s="1030">
        <v>1778.2017147181627</v>
      </c>
      <c r="AHA32" s="1030">
        <v>2462.1254511482252</v>
      </c>
      <c r="AHB32" s="1030">
        <v>410.35424185803754</v>
      </c>
      <c r="AHC32" s="1030">
        <v>4513.8966604384132</v>
      </c>
      <c r="AHD32" s="1030">
        <v>0</v>
      </c>
      <c r="AHE32" s="1030">
        <v>0</v>
      </c>
      <c r="AHF32" s="1030">
        <v>1914.9864620041753</v>
      </c>
      <c r="AHG32" s="1030">
        <v>2735.6949457202504</v>
      </c>
      <c r="AHH32" s="1030">
        <v>1862.877986847599</v>
      </c>
      <c r="AHI32" s="1030">
        <v>2579.3695202505214</v>
      </c>
      <c r="AHJ32" s="1030">
        <v>429.89492004175361</v>
      </c>
      <c r="AHK32" s="1030">
        <v>4728.84412045929</v>
      </c>
      <c r="AHL32" s="1030">
        <v>0</v>
      </c>
      <c r="AHM32" s="1030">
        <v>0</v>
      </c>
      <c r="AHN32" s="1030">
        <v>2006.1762935281838</v>
      </c>
      <c r="AHO32" s="1030">
        <v>2865.966133611691</v>
      </c>
      <c r="AHP32" s="1030">
        <v>2862.0579979749477</v>
      </c>
      <c r="AHQ32" s="1030">
        <v>3962.84953565762</v>
      </c>
      <c r="AHR32" s="1030">
        <v>660.47492260960337</v>
      </c>
      <c r="AHS32" s="1030">
        <v>7265.2241487056372</v>
      </c>
      <c r="AHT32" s="1030">
        <v>0</v>
      </c>
      <c r="AHU32" s="1030">
        <v>0</v>
      </c>
      <c r="AHV32" s="1030">
        <v>3082.2163055114825</v>
      </c>
      <c r="AHW32" s="1030">
        <v>4403.166150730689</v>
      </c>
      <c r="AHX32" s="1013">
        <v>165</v>
      </c>
      <c r="AHY32" s="1023">
        <v>0</v>
      </c>
      <c r="AHZ32" s="1023">
        <v>0</v>
      </c>
      <c r="AIA32" s="1023">
        <v>0</v>
      </c>
      <c r="AIB32" s="1023">
        <v>0</v>
      </c>
      <c r="AIC32" s="1023">
        <v>0</v>
      </c>
      <c r="AID32" s="1023">
        <v>0</v>
      </c>
      <c r="AIE32" s="1023">
        <v>0</v>
      </c>
      <c r="AIF32" s="1017">
        <v>420</v>
      </c>
      <c r="AIG32" s="1017">
        <v>32.409999999999997</v>
      </c>
      <c r="AIH32" s="1017">
        <v>27.01</v>
      </c>
      <c r="AII32" s="1017">
        <v>0</v>
      </c>
      <c r="AIJ32" s="1017">
        <v>2.52</v>
      </c>
      <c r="AIK32" s="1017">
        <v>3.06</v>
      </c>
      <c r="AIL32" s="1017">
        <v>0</v>
      </c>
      <c r="AIM32" s="1017">
        <v>0</v>
      </c>
      <c r="AIN32" s="1016">
        <v>350</v>
      </c>
      <c r="AIO32" s="1016">
        <v>64.819999999999993</v>
      </c>
      <c r="AIP32" s="1017">
        <v>54.02</v>
      </c>
      <c r="AIQ32" s="1017">
        <v>0</v>
      </c>
      <c r="AIR32" s="1017">
        <v>5.04</v>
      </c>
      <c r="AIS32" s="1017">
        <v>6.12</v>
      </c>
      <c r="AIT32" s="1017">
        <v>0</v>
      </c>
      <c r="AIU32" s="1017">
        <v>0</v>
      </c>
      <c r="AIV32" s="1017">
        <v>120</v>
      </c>
      <c r="AIW32" s="1017">
        <v>47.37</v>
      </c>
      <c r="AIX32" s="1017">
        <v>39.47</v>
      </c>
      <c r="AIY32" s="1017">
        <v>0</v>
      </c>
      <c r="AIZ32" s="1017">
        <v>3.68</v>
      </c>
      <c r="AJA32" s="1017">
        <v>4.4800000000000004</v>
      </c>
      <c r="AJB32" s="1017">
        <v>0</v>
      </c>
      <c r="AJC32" s="1017">
        <v>0</v>
      </c>
      <c r="AJD32" s="1017">
        <v>129.6</v>
      </c>
      <c r="AJE32" s="1017">
        <v>96.93</v>
      </c>
      <c r="AJF32" s="1017">
        <v>80.78</v>
      </c>
      <c r="AJG32" s="1017">
        <v>0</v>
      </c>
      <c r="AJH32" s="1017">
        <v>7.54</v>
      </c>
      <c r="AJI32" s="1017">
        <v>9.15</v>
      </c>
      <c r="AJJ32" s="1017">
        <v>0</v>
      </c>
      <c r="AJK32" s="1013">
        <v>0</v>
      </c>
      <c r="AJL32" s="1013">
        <v>160</v>
      </c>
      <c r="AJM32" s="1013">
        <v>17.45</v>
      </c>
      <c r="AJN32" s="1013">
        <v>14.54</v>
      </c>
      <c r="AJO32" s="1013">
        <v>0</v>
      </c>
      <c r="AJP32" s="1013">
        <v>1.36</v>
      </c>
      <c r="AJQ32" s="1013">
        <v>1.65</v>
      </c>
      <c r="AJR32" s="1013">
        <v>0</v>
      </c>
      <c r="AJS32" s="1013">
        <v>0</v>
      </c>
      <c r="AJT32" s="1029" t="s">
        <v>858</v>
      </c>
      <c r="AJU32" s="988" t="s">
        <v>861</v>
      </c>
      <c r="AJV32" s="988" t="s">
        <v>860</v>
      </c>
      <c r="AJW32" s="988" t="s">
        <v>859</v>
      </c>
      <c r="AJX32" s="988" t="s">
        <v>870</v>
      </c>
      <c r="AJY32" s="988" t="s">
        <v>871</v>
      </c>
      <c r="AJZ32" s="988" t="s">
        <v>872</v>
      </c>
      <c r="AKA32" s="988" t="s">
        <v>873</v>
      </c>
      <c r="AKB32" s="988" t="s">
        <v>874</v>
      </c>
      <c r="AKC32" s="988" t="s">
        <v>875</v>
      </c>
      <c r="AKD32" s="1013">
        <v>90.357142857142861</v>
      </c>
      <c r="AKE32" s="1013">
        <v>0</v>
      </c>
      <c r="AKF32" s="1013">
        <v>0</v>
      </c>
      <c r="AKG32" s="1013">
        <v>0</v>
      </c>
      <c r="AKH32" s="1013">
        <v>0</v>
      </c>
      <c r="AKI32" s="1013">
        <v>0</v>
      </c>
      <c r="AKJ32" s="1013">
        <v>5.8928571428571423</v>
      </c>
      <c r="AKK32" s="1013">
        <v>27.500000000000004</v>
      </c>
      <c r="AKL32" s="1017">
        <v>265.59523809523807</v>
      </c>
      <c r="AKM32" s="1017">
        <v>0</v>
      </c>
      <c r="AKN32" s="1017">
        <v>0</v>
      </c>
      <c r="AKO32" s="1017">
        <v>0</v>
      </c>
      <c r="AKP32" s="1017">
        <v>0</v>
      </c>
      <c r="AKQ32" s="1017">
        <v>0</v>
      </c>
      <c r="AKR32" s="1017">
        <v>17.321428571428569</v>
      </c>
      <c r="AKS32" s="1017">
        <v>80.833333333333329</v>
      </c>
      <c r="AKT32" s="1016">
        <v>262.85714285714289</v>
      </c>
      <c r="AKU32" s="1016">
        <v>0</v>
      </c>
      <c r="AKV32" s="1017">
        <v>0</v>
      </c>
      <c r="AKW32" s="1017">
        <v>0</v>
      </c>
      <c r="AKX32" s="1017">
        <v>0</v>
      </c>
      <c r="AKY32" s="1017">
        <v>0</v>
      </c>
      <c r="AKZ32" s="1017">
        <v>17.142857142857142</v>
      </c>
      <c r="ALA32" s="1017">
        <v>80</v>
      </c>
      <c r="ALB32" s="1017">
        <v>117.73809523809526</v>
      </c>
      <c r="ALC32" s="1017">
        <v>0</v>
      </c>
      <c r="ALD32" s="1017">
        <v>0</v>
      </c>
      <c r="ALE32" s="1017">
        <v>0</v>
      </c>
      <c r="ALF32" s="1017">
        <v>0</v>
      </c>
      <c r="ALG32" s="1017">
        <v>0</v>
      </c>
      <c r="ALH32" s="1017">
        <v>7.6785714285714279</v>
      </c>
      <c r="ALI32" s="1017">
        <v>35.833333333333336</v>
      </c>
      <c r="ALJ32" s="1017">
        <v>177.42857142857144</v>
      </c>
      <c r="ALK32" s="1017">
        <v>0</v>
      </c>
      <c r="ALL32" s="1017">
        <v>0</v>
      </c>
      <c r="ALM32" s="1017">
        <v>0</v>
      </c>
      <c r="ALN32" s="1017">
        <v>0</v>
      </c>
      <c r="ALO32" s="1017">
        <v>0</v>
      </c>
      <c r="ALP32" s="1017">
        <v>11.571428571428571</v>
      </c>
      <c r="ALQ32" s="1013">
        <v>54.000000000000007</v>
      </c>
      <c r="ALR32" s="1013">
        <v>106.78571428571429</v>
      </c>
      <c r="ALS32" s="1013">
        <v>0</v>
      </c>
      <c r="ALT32" s="1013">
        <v>0</v>
      </c>
      <c r="ALU32" s="1013">
        <v>0</v>
      </c>
      <c r="ALV32" s="1013">
        <v>0</v>
      </c>
      <c r="ALW32" s="1013">
        <v>0</v>
      </c>
      <c r="ALX32" s="1013">
        <v>6.9642857142857135</v>
      </c>
      <c r="ALY32" s="1013">
        <v>32.5</v>
      </c>
    </row>
    <row r="33" spans="1:1013" ht="18" customHeight="1">
      <c r="A33" s="1259" t="s">
        <v>21</v>
      </c>
      <c r="B33" s="1260" t="s">
        <v>3063</v>
      </c>
      <c r="C33" s="1260">
        <v>2022</v>
      </c>
      <c r="D33" s="1269"/>
      <c r="E33" s="1270">
        <v>-0.4</v>
      </c>
      <c r="F33" s="1271">
        <v>-0.4</v>
      </c>
      <c r="G33" s="1271">
        <v>-0.5</v>
      </c>
      <c r="H33" s="76">
        <v>272.64150943396226</v>
      </c>
      <c r="I33" s="72">
        <v>-9.5</v>
      </c>
      <c r="J33" s="1271">
        <v>-5.8</v>
      </c>
      <c r="K33" s="1271">
        <v>-5.8</v>
      </c>
      <c r="L33" s="1265">
        <v>350</v>
      </c>
      <c r="M33" s="1262">
        <v>0</v>
      </c>
      <c r="N33" s="1262">
        <v>0</v>
      </c>
      <c r="O33" s="1262">
        <v>0</v>
      </c>
      <c r="P33" s="76">
        <v>786.68920199272645</v>
      </c>
      <c r="Q33" s="75">
        <v>12</v>
      </c>
      <c r="R33" s="72">
        <v>1.2</v>
      </c>
      <c r="S33" s="72">
        <v>0.9</v>
      </c>
      <c r="T33" s="72">
        <v>0.9</v>
      </c>
      <c r="U33" s="1271">
        <v>0.1</v>
      </c>
      <c r="V33" s="1271">
        <v>0</v>
      </c>
      <c r="W33" s="1271">
        <v>97.3</v>
      </c>
      <c r="X33" s="1271">
        <v>2.6</v>
      </c>
      <c r="Y33" s="1272">
        <v>0</v>
      </c>
      <c r="Z33" s="75">
        <v>2</v>
      </c>
      <c r="AA33" s="72">
        <v>1.5</v>
      </c>
      <c r="AB33" s="75">
        <v>1</v>
      </c>
      <c r="AC33" s="72">
        <v>0.8</v>
      </c>
      <c r="AD33" s="72">
        <v>0.5</v>
      </c>
      <c r="AE33" s="390">
        <v>433.01922201480062</v>
      </c>
      <c r="AF33" s="390">
        <v>470.67306740739195</v>
      </c>
      <c r="AG33" s="390">
        <v>433.37222681535616</v>
      </c>
      <c r="AH33" s="390">
        <v>649.0581599547935</v>
      </c>
      <c r="AI33" s="400">
        <v>0.82209484106305364</v>
      </c>
      <c r="AJ33" s="390">
        <v>261.91600618637949</v>
      </c>
      <c r="AK33" s="390">
        <v>284.69131107215162</v>
      </c>
      <c r="AL33" s="390">
        <v>262.12952466968363</v>
      </c>
      <c r="AM33" s="390">
        <v>392.58931796849708</v>
      </c>
      <c r="AN33" s="400">
        <v>0.96717040125065135</v>
      </c>
      <c r="AO33" s="77">
        <v>0.1</v>
      </c>
      <c r="AP33" s="77">
        <v>0.2</v>
      </c>
      <c r="AQ33" s="77">
        <v>0.4</v>
      </c>
      <c r="AR33" s="77">
        <v>0.8</v>
      </c>
      <c r="AS33" s="77">
        <v>1.2</v>
      </c>
      <c r="AT33" s="77">
        <v>1.8</v>
      </c>
      <c r="AU33" s="77">
        <v>2.2999999999999998</v>
      </c>
      <c r="AV33" s="1268">
        <v>0</v>
      </c>
      <c r="AW33" s="1268">
        <v>10</v>
      </c>
      <c r="AX33" s="1268">
        <v>20</v>
      </c>
      <c r="AY33" s="1268">
        <v>70</v>
      </c>
      <c r="AZ33" s="1268">
        <v>100</v>
      </c>
      <c r="BA33" s="1019">
        <v>9512.6067031102411</v>
      </c>
      <c r="BB33" s="1031">
        <v>1.5</v>
      </c>
      <c r="BC33" s="988">
        <v>1.2</v>
      </c>
      <c r="BD33" s="988">
        <v>0.6</v>
      </c>
      <c r="BE33" s="988">
        <v>0.6</v>
      </c>
      <c r="BF33" s="1021">
        <v>0.16277777166806032</v>
      </c>
      <c r="BG33" s="1021">
        <v>0.17328561477853599</v>
      </c>
      <c r="BH33" s="1020">
        <v>1.0389010860597281</v>
      </c>
      <c r="BI33" s="1020">
        <v>1.5375851844803749E-3</v>
      </c>
      <c r="BJ33" s="1020">
        <v>1.3753247244240341</v>
      </c>
      <c r="BK33" s="1020">
        <v>40.969409471416199</v>
      </c>
      <c r="BL33" s="1020">
        <v>0.64679877477976799</v>
      </c>
      <c r="BM33" s="1020">
        <v>0.26822721312323528</v>
      </c>
      <c r="BN33" s="1020">
        <v>55.080389475753996</v>
      </c>
      <c r="BO33" s="1020">
        <v>0.23572085339957369</v>
      </c>
      <c r="BP33" s="1020">
        <v>4.8804762679153547E-2</v>
      </c>
      <c r="BQ33" s="1020">
        <v>0</v>
      </c>
      <c r="BR33" s="1020">
        <v>5.2458788646977494E-4</v>
      </c>
      <c r="BS33" s="1020">
        <v>0</v>
      </c>
      <c r="BT33" s="1020">
        <v>6.2046084503149255E-3</v>
      </c>
      <c r="BU33" s="1020">
        <v>3.6178474928949993E-5</v>
      </c>
      <c r="BV33" s="1020">
        <v>0.32812067836811198</v>
      </c>
      <c r="BW33" s="993">
        <v>261.13475999999997</v>
      </c>
      <c r="BX33" s="993">
        <v>96.5</v>
      </c>
      <c r="BY33" s="993">
        <v>63.215999999999994</v>
      </c>
      <c r="BZ33" s="993">
        <v>233.35949490734063</v>
      </c>
      <c r="CA33" s="993">
        <v>157.40783999999999</v>
      </c>
      <c r="CB33" s="990"/>
      <c r="CC33" s="993">
        <v>256.20808011776955</v>
      </c>
      <c r="CD33" s="993">
        <v>165.17663999999999</v>
      </c>
      <c r="CE33" s="990"/>
      <c r="CF33" s="989">
        <v>0</v>
      </c>
      <c r="CG33" s="993">
        <v>6.585</v>
      </c>
      <c r="CH33" s="993">
        <v>1.3169999999999999</v>
      </c>
      <c r="CI33" s="993">
        <v>38</v>
      </c>
      <c r="CJ33" s="993">
        <v>225.83915999999996</v>
      </c>
      <c r="CK33" s="990">
        <v>0.2</v>
      </c>
      <c r="CL33" s="993">
        <v>175.08124000000001</v>
      </c>
      <c r="CM33" s="993">
        <v>60.4</v>
      </c>
      <c r="CN33" s="993">
        <v>42.384</v>
      </c>
      <c r="CO33" s="993">
        <v>156.45894761061641</v>
      </c>
      <c r="CP33" s="993">
        <v>105.53616</v>
      </c>
      <c r="CQ33" s="990"/>
      <c r="CR33" s="993">
        <v>159.24945066654416</v>
      </c>
      <c r="CS33" s="993">
        <v>102.66767999999999</v>
      </c>
      <c r="CT33" s="990"/>
      <c r="CU33" s="993">
        <v>0</v>
      </c>
      <c r="CV33" s="993">
        <v>4.415</v>
      </c>
      <c r="CW33" s="993">
        <v>0.88300000000000001</v>
      </c>
      <c r="CX33" s="993">
        <v>27</v>
      </c>
      <c r="CY33" s="993">
        <v>151.41683999999998</v>
      </c>
      <c r="CZ33" s="990">
        <v>0.2</v>
      </c>
      <c r="DA33" s="988">
        <v>0.3</v>
      </c>
      <c r="DB33" s="988">
        <v>0.7</v>
      </c>
      <c r="DC33" s="988">
        <v>1.2</v>
      </c>
      <c r="DD33" s="988">
        <v>1.2</v>
      </c>
      <c r="DE33" s="1022">
        <v>3</v>
      </c>
      <c r="DF33" s="995">
        <v>0</v>
      </c>
      <c r="DG33" s="995">
        <v>10</v>
      </c>
      <c r="DH33" s="995">
        <v>20</v>
      </c>
      <c r="DI33" s="995">
        <v>70</v>
      </c>
      <c r="DJ33" s="995">
        <v>100</v>
      </c>
      <c r="DK33" s="1017">
        <v>57.097068512209646</v>
      </c>
      <c r="DL33" s="1022">
        <v>18</v>
      </c>
      <c r="DM33" s="989">
        <v>12</v>
      </c>
      <c r="DN33" s="988">
        <v>1.9</v>
      </c>
      <c r="DO33" s="988">
        <v>1.2</v>
      </c>
      <c r="DP33" s="988">
        <v>1.2</v>
      </c>
      <c r="DQ33" s="988" t="s">
        <v>670</v>
      </c>
      <c r="DR33" s="988" t="s">
        <v>640</v>
      </c>
      <c r="DS33" s="988" t="s">
        <v>640</v>
      </c>
      <c r="DT33" s="988" t="s">
        <v>640</v>
      </c>
      <c r="DU33" s="988" t="s">
        <v>640</v>
      </c>
      <c r="DV33" s="988" t="s">
        <v>640</v>
      </c>
      <c r="DW33" s="988" t="s">
        <v>640</v>
      </c>
      <c r="DX33" s="997">
        <v>588</v>
      </c>
      <c r="DY33" s="997">
        <v>0</v>
      </c>
      <c r="DZ33" s="997">
        <v>0</v>
      </c>
      <c r="EA33" s="997">
        <v>0</v>
      </c>
      <c r="EB33" s="997">
        <v>0</v>
      </c>
      <c r="EC33" s="997">
        <v>0</v>
      </c>
      <c r="ED33" s="997">
        <v>0</v>
      </c>
      <c r="EE33" s="1022">
        <v>0.58799999999999997</v>
      </c>
      <c r="EF33" s="1022">
        <v>18</v>
      </c>
      <c r="EG33" s="991">
        <v>5</v>
      </c>
      <c r="EH33" s="1023">
        <v>1.9</v>
      </c>
      <c r="EI33" s="1023">
        <v>1.2</v>
      </c>
      <c r="EJ33" s="1023">
        <v>1.2</v>
      </c>
      <c r="EK33" s="988" t="s">
        <v>693</v>
      </c>
      <c r="EL33" s="988" t="s">
        <v>670</v>
      </c>
      <c r="EM33" s="988" t="s">
        <v>725</v>
      </c>
      <c r="EN33" s="988" t="s">
        <v>739</v>
      </c>
      <c r="EO33" s="987" t="s">
        <v>749</v>
      </c>
      <c r="EP33" s="988" t="s">
        <v>640</v>
      </c>
      <c r="EQ33" s="988" t="s">
        <v>640</v>
      </c>
      <c r="ER33" s="988" t="s">
        <v>640</v>
      </c>
      <c r="ES33" s="988" t="s">
        <v>640</v>
      </c>
      <c r="ET33" s="988" t="s">
        <v>640</v>
      </c>
      <c r="EU33" s="988" t="s">
        <v>640</v>
      </c>
      <c r="EV33" s="988" t="s">
        <v>640</v>
      </c>
      <c r="EW33" s="988" t="s">
        <v>640</v>
      </c>
      <c r="EX33" s="988" t="s">
        <v>640</v>
      </c>
      <c r="EY33" s="988" t="s">
        <v>640</v>
      </c>
      <c r="EZ33" s="988" t="s">
        <v>640</v>
      </c>
      <c r="FA33" s="988" t="s">
        <v>640</v>
      </c>
      <c r="FB33" s="988" t="s">
        <v>640</v>
      </c>
      <c r="FC33" s="988" t="s">
        <v>640</v>
      </c>
      <c r="FD33" s="988" t="s">
        <v>640</v>
      </c>
      <c r="FE33" s="988" t="s">
        <v>640</v>
      </c>
      <c r="FF33" s="988" t="s">
        <v>640</v>
      </c>
      <c r="FG33" s="988" t="s">
        <v>640</v>
      </c>
      <c r="FH33" s="988" t="s">
        <v>640</v>
      </c>
      <c r="FI33" s="988" t="s">
        <v>640</v>
      </c>
      <c r="FJ33" s="988" t="s">
        <v>640</v>
      </c>
      <c r="FK33" s="988" t="s">
        <v>640</v>
      </c>
      <c r="FL33" s="988" t="s">
        <v>640</v>
      </c>
      <c r="FM33" s="988" t="s">
        <v>640</v>
      </c>
      <c r="FN33" s="988" t="s">
        <v>640</v>
      </c>
      <c r="FO33" s="988" t="s">
        <v>640</v>
      </c>
      <c r="FP33" s="988" t="s">
        <v>640</v>
      </c>
      <c r="FQ33" s="988" t="s">
        <v>640</v>
      </c>
      <c r="FR33" s="988" t="s">
        <v>640</v>
      </c>
      <c r="FS33" s="988" t="s">
        <v>640</v>
      </c>
      <c r="FT33" s="988" t="s">
        <v>640</v>
      </c>
      <c r="FU33" s="988" t="s">
        <v>640</v>
      </c>
      <c r="FV33" s="988" t="s">
        <v>640</v>
      </c>
      <c r="FW33" s="988" t="s">
        <v>640</v>
      </c>
      <c r="FX33" s="988" t="s">
        <v>640</v>
      </c>
      <c r="FY33" s="988" t="s">
        <v>640</v>
      </c>
      <c r="FZ33" s="988" t="s">
        <v>640</v>
      </c>
      <c r="GA33" s="988" t="s">
        <v>640</v>
      </c>
      <c r="GB33" s="988" t="s">
        <v>640</v>
      </c>
      <c r="GC33" s="988" t="s">
        <v>640</v>
      </c>
      <c r="GD33" s="988" t="s">
        <v>640</v>
      </c>
      <c r="GE33" s="988" t="s">
        <v>640</v>
      </c>
      <c r="GF33" s="988" t="s">
        <v>640</v>
      </c>
      <c r="GG33" s="988" t="s">
        <v>640</v>
      </c>
      <c r="GH33" s="988" t="s">
        <v>640</v>
      </c>
      <c r="GI33" s="988" t="s">
        <v>640</v>
      </c>
      <c r="GJ33" s="988" t="s">
        <v>640</v>
      </c>
      <c r="GK33" s="988" t="s">
        <v>640</v>
      </c>
      <c r="GL33" s="988" t="s">
        <v>640</v>
      </c>
      <c r="GM33" s="988" t="s">
        <v>640</v>
      </c>
      <c r="GN33" s="988" t="s">
        <v>640</v>
      </c>
      <c r="GO33" s="988" t="s">
        <v>640</v>
      </c>
      <c r="GP33" s="988" t="s">
        <v>640</v>
      </c>
      <c r="GQ33" s="997">
        <v>50.176991150442475</v>
      </c>
      <c r="GR33" s="997">
        <v>178.40707964601768</v>
      </c>
      <c r="GS33" s="997">
        <v>260.17699115044246</v>
      </c>
      <c r="GT33" s="997">
        <v>52.035398230088497</v>
      </c>
      <c r="GU33" s="997">
        <v>47.203539823008846</v>
      </c>
      <c r="GV33" s="997">
        <v>0</v>
      </c>
      <c r="GW33" s="997">
        <v>0</v>
      </c>
      <c r="GX33" s="997">
        <v>0</v>
      </c>
      <c r="GY33" s="997">
        <v>0</v>
      </c>
      <c r="GZ33" s="997">
        <v>0</v>
      </c>
      <c r="HA33" s="997">
        <v>0</v>
      </c>
      <c r="HB33" s="997">
        <v>0</v>
      </c>
      <c r="HC33" s="997">
        <v>0</v>
      </c>
      <c r="HD33" s="997">
        <v>0</v>
      </c>
      <c r="HE33" s="997">
        <v>0</v>
      </c>
      <c r="HF33" s="997">
        <v>0</v>
      </c>
      <c r="HG33" s="997">
        <v>0</v>
      </c>
      <c r="HH33" s="997">
        <v>0</v>
      </c>
      <c r="HI33" s="997">
        <v>0</v>
      </c>
      <c r="HJ33" s="997">
        <v>0</v>
      </c>
      <c r="HK33" s="997">
        <v>0</v>
      </c>
      <c r="HL33" s="997">
        <v>0</v>
      </c>
      <c r="HM33" s="997">
        <v>0</v>
      </c>
      <c r="HN33" s="997">
        <v>0</v>
      </c>
      <c r="HO33" s="997">
        <v>0</v>
      </c>
      <c r="HP33" s="997">
        <v>0</v>
      </c>
      <c r="HQ33" s="997">
        <v>0</v>
      </c>
      <c r="HR33" s="997">
        <v>0</v>
      </c>
      <c r="HS33" s="997">
        <v>0</v>
      </c>
      <c r="HT33" s="997">
        <v>0</v>
      </c>
      <c r="HU33" s="997">
        <v>0</v>
      </c>
      <c r="HV33" s="997">
        <v>0</v>
      </c>
      <c r="HW33" s="997">
        <v>0</v>
      </c>
      <c r="HX33" s="997">
        <v>0</v>
      </c>
      <c r="HY33" s="997">
        <v>0</v>
      </c>
      <c r="HZ33" s="997">
        <v>0</v>
      </c>
      <c r="IA33" s="997">
        <v>0</v>
      </c>
      <c r="IB33" s="997">
        <v>0</v>
      </c>
      <c r="IC33" s="997">
        <v>0</v>
      </c>
      <c r="ID33" s="997">
        <v>0</v>
      </c>
      <c r="IE33" s="997">
        <v>0</v>
      </c>
      <c r="IF33" s="997">
        <v>0</v>
      </c>
      <c r="IG33" s="997">
        <v>0</v>
      </c>
      <c r="IH33" s="997">
        <v>0</v>
      </c>
      <c r="II33" s="997">
        <v>0</v>
      </c>
      <c r="IJ33" s="997">
        <v>0</v>
      </c>
      <c r="IK33" s="997">
        <v>0</v>
      </c>
      <c r="IL33" s="997">
        <v>0</v>
      </c>
      <c r="IM33" s="997">
        <v>0</v>
      </c>
      <c r="IN33" s="997">
        <v>0</v>
      </c>
      <c r="IO33" s="997">
        <v>0</v>
      </c>
      <c r="IP33" s="997">
        <v>0</v>
      </c>
      <c r="IQ33" s="997">
        <v>0</v>
      </c>
      <c r="IR33" s="997">
        <v>0</v>
      </c>
      <c r="IS33" s="997">
        <v>0</v>
      </c>
      <c r="IT33" s="997">
        <v>0</v>
      </c>
      <c r="IU33" s="997">
        <v>0</v>
      </c>
      <c r="IV33" s="997">
        <v>0</v>
      </c>
      <c r="IW33" s="1019">
        <v>443.76463112380623</v>
      </c>
      <c r="IX33" s="1022">
        <v>179.9</v>
      </c>
      <c r="IY33" s="998">
        <v>2647.0800000000199</v>
      </c>
      <c r="IZ33" s="429">
        <v>12.64</v>
      </c>
      <c r="JA33" s="1022">
        <v>85.074626865671647</v>
      </c>
      <c r="JB33" s="988">
        <v>1.9</v>
      </c>
      <c r="JC33" s="988">
        <v>1.2</v>
      </c>
      <c r="JD33" s="988">
        <v>1.2</v>
      </c>
      <c r="JE33" s="998">
        <v>2</v>
      </c>
      <c r="JF33" s="1023">
        <v>1.5</v>
      </c>
      <c r="JG33" s="1023">
        <v>0.7</v>
      </c>
      <c r="JH33" s="1023">
        <v>0.7</v>
      </c>
      <c r="JI33" s="1023">
        <v>0.5</v>
      </c>
      <c r="JJ33" s="1019">
        <v>34.156903564799151</v>
      </c>
      <c r="JK33" s="998">
        <v>2647.0800000000199</v>
      </c>
      <c r="JL33" s="429">
        <v>12.64</v>
      </c>
      <c r="JM33" s="1022">
        <v>85.074626865671647</v>
      </c>
      <c r="JN33" s="988">
        <v>2.1</v>
      </c>
      <c r="JO33" s="988">
        <v>0.9</v>
      </c>
      <c r="JP33" s="988">
        <v>0.9</v>
      </c>
      <c r="JQ33" s="998">
        <v>2</v>
      </c>
      <c r="JR33" s="998">
        <v>2</v>
      </c>
      <c r="JS33" s="998">
        <v>1</v>
      </c>
      <c r="JT33" s="998">
        <v>1</v>
      </c>
      <c r="JU33" s="1023">
        <v>0.5</v>
      </c>
      <c r="JV33" s="1004">
        <v>2000</v>
      </c>
      <c r="JW33" s="1019">
        <v>225.6793024505518</v>
      </c>
      <c r="JX33" s="1019">
        <v>500</v>
      </c>
      <c r="JY33" s="1022">
        <v>1.4</v>
      </c>
      <c r="JZ33" s="1022">
        <v>0.7</v>
      </c>
      <c r="KA33" s="1022">
        <v>0.7</v>
      </c>
      <c r="KB33" s="1023">
        <v>2</v>
      </c>
      <c r="KC33" s="1023">
        <v>1.5</v>
      </c>
      <c r="KD33" s="1023">
        <v>0.5</v>
      </c>
      <c r="KE33" s="1023">
        <v>1</v>
      </c>
      <c r="KF33" s="1023">
        <v>0.5</v>
      </c>
      <c r="KG33" s="997">
        <v>1.1490891514715578</v>
      </c>
      <c r="KH33" s="997">
        <v>5.4912604587776505E-2</v>
      </c>
      <c r="KI33" s="997">
        <v>98.586214934226419</v>
      </c>
      <c r="KJ33" s="997">
        <v>4.8620535312093784E-3</v>
      </c>
      <c r="KK33" s="997">
        <v>7.1286284861996341E-2</v>
      </c>
      <c r="KL33" s="997">
        <v>0.13363497132103425</v>
      </c>
      <c r="KM33" s="997">
        <v>0</v>
      </c>
      <c r="KN33" s="997">
        <v>0</v>
      </c>
      <c r="KO33" s="997"/>
      <c r="KP33" s="1006">
        <v>580</v>
      </c>
      <c r="KQ33" s="1006">
        <v>580</v>
      </c>
      <c r="KR33" s="1006">
        <v>580</v>
      </c>
      <c r="KS33" s="1006">
        <v>580</v>
      </c>
      <c r="KT33" s="1006"/>
      <c r="KU33" s="1006">
        <v>580</v>
      </c>
      <c r="KV33" s="1006">
        <v>580</v>
      </c>
      <c r="KW33" s="1006">
        <v>580</v>
      </c>
      <c r="KX33" s="1006">
        <v>580</v>
      </c>
      <c r="KY33" s="993">
        <v>370</v>
      </c>
      <c r="KZ33" s="993">
        <v>370</v>
      </c>
      <c r="LA33" s="993">
        <v>370</v>
      </c>
      <c r="LB33" s="993">
        <v>370</v>
      </c>
      <c r="LC33" s="993"/>
      <c r="LD33" s="993">
        <v>370</v>
      </c>
      <c r="LE33" s="993">
        <v>370</v>
      </c>
      <c r="LF33" s="993">
        <v>370</v>
      </c>
      <c r="LG33" s="993">
        <v>370</v>
      </c>
      <c r="LH33" s="995">
        <v>0</v>
      </c>
      <c r="LI33" s="995">
        <v>10</v>
      </c>
      <c r="LJ33" s="995">
        <v>20</v>
      </c>
      <c r="LK33" s="995">
        <v>70</v>
      </c>
      <c r="LL33" s="995">
        <v>100</v>
      </c>
      <c r="LM33" s="1004">
        <v>1000</v>
      </c>
      <c r="LN33" s="1019"/>
      <c r="LO33" s="988">
        <v>29</v>
      </c>
      <c r="LP33" s="1022">
        <v>1</v>
      </c>
      <c r="LQ33" s="988">
        <v>0.5</v>
      </c>
      <c r="LR33" s="988">
        <v>0.5</v>
      </c>
      <c r="LS33" s="1023">
        <v>2</v>
      </c>
      <c r="LT33" s="1023">
        <v>1</v>
      </c>
      <c r="LU33" s="1023">
        <v>0.5</v>
      </c>
      <c r="LV33" s="1023">
        <v>0.7</v>
      </c>
      <c r="LW33" s="1023">
        <v>0.2</v>
      </c>
      <c r="LX33" s="1004">
        <v>1500</v>
      </c>
      <c r="LY33" s="1008">
        <v>500</v>
      </c>
      <c r="LZ33" s="1008">
        <v>1</v>
      </c>
      <c r="MA33" s="997" t="s">
        <v>2914</v>
      </c>
      <c r="MB33" s="1023" t="s">
        <v>905</v>
      </c>
      <c r="MC33" s="1023" t="s">
        <v>2932</v>
      </c>
      <c r="MD33" s="1024" t="s">
        <v>906</v>
      </c>
      <c r="ME33" s="1009">
        <v>0.5</v>
      </c>
      <c r="MF33" s="1010">
        <v>0.75</v>
      </c>
      <c r="MG33" s="1010">
        <v>1</v>
      </c>
      <c r="MH33" s="1010">
        <v>2</v>
      </c>
      <c r="MI33" s="1010">
        <v>0.5</v>
      </c>
      <c r="MJ33" s="1010">
        <v>0.75</v>
      </c>
      <c r="MK33" s="1010">
        <v>1</v>
      </c>
      <c r="ML33" s="1010">
        <v>2</v>
      </c>
      <c r="MM33" s="1010">
        <v>0</v>
      </c>
      <c r="MN33" s="1010">
        <v>0.5</v>
      </c>
      <c r="MO33" s="1010">
        <v>1</v>
      </c>
      <c r="MP33" s="1010">
        <v>2</v>
      </c>
      <c r="MQ33" s="1010">
        <v>0</v>
      </c>
      <c r="MR33" s="1010">
        <v>0.5</v>
      </c>
      <c r="MS33" s="1010">
        <v>1</v>
      </c>
      <c r="MT33" s="1010">
        <v>2</v>
      </c>
      <c r="MU33" s="1001">
        <v>0</v>
      </c>
      <c r="MV33" s="1001">
        <v>0</v>
      </c>
      <c r="MW33" s="1001">
        <v>0</v>
      </c>
      <c r="MX33" s="1025">
        <v>0</v>
      </c>
      <c r="MY33" s="1025">
        <v>0</v>
      </c>
      <c r="MZ33" s="1025">
        <v>0</v>
      </c>
      <c r="NA33" s="1025">
        <v>0</v>
      </c>
      <c r="NB33" s="1025">
        <v>0</v>
      </c>
      <c r="NC33" s="1025">
        <v>0</v>
      </c>
      <c r="ND33" s="1025">
        <v>0</v>
      </c>
      <c r="NE33" s="1025">
        <v>0</v>
      </c>
      <c r="NF33" s="1025">
        <v>0</v>
      </c>
      <c r="NG33" s="1025">
        <v>0</v>
      </c>
      <c r="NH33" s="1025">
        <v>0</v>
      </c>
      <c r="NI33" s="1025">
        <v>0</v>
      </c>
      <c r="NJ33" s="1025">
        <v>0</v>
      </c>
      <c r="NK33" s="1025">
        <v>0</v>
      </c>
      <c r="NL33" s="1025">
        <v>0</v>
      </c>
      <c r="NM33" s="1025">
        <v>0</v>
      </c>
      <c r="NN33" s="1025">
        <v>0</v>
      </c>
      <c r="NO33" s="1025">
        <v>0</v>
      </c>
      <c r="NP33" s="1025">
        <v>0</v>
      </c>
      <c r="NQ33" s="1025">
        <v>0</v>
      </c>
      <c r="NR33" s="1025">
        <v>0</v>
      </c>
      <c r="NS33" s="1025">
        <v>0</v>
      </c>
      <c r="NT33" s="1025">
        <v>0</v>
      </c>
      <c r="NU33" s="1025">
        <v>0</v>
      </c>
      <c r="NV33" s="1025">
        <v>1.8961857316734201</v>
      </c>
      <c r="NW33" s="1025">
        <v>0</v>
      </c>
      <c r="NX33" s="1025">
        <v>0</v>
      </c>
      <c r="NY33" s="1025">
        <v>9.5935557148850006E-2</v>
      </c>
      <c r="NZ33" s="1025">
        <v>1.2001768559970201</v>
      </c>
      <c r="OA33" s="1025">
        <v>0</v>
      </c>
      <c r="OB33" s="1025">
        <v>1.5941099284587601</v>
      </c>
      <c r="OC33" s="1025">
        <v>0</v>
      </c>
      <c r="OD33" s="1025">
        <v>0</v>
      </c>
      <c r="OE33" s="1025">
        <v>8.9850305767320005E-2</v>
      </c>
      <c r="OF33" s="1025">
        <v>0.46119522704673999</v>
      </c>
      <c r="OG33" s="1025">
        <v>0</v>
      </c>
      <c r="OH33" s="1025">
        <v>0.99817143451511003</v>
      </c>
      <c r="OI33" s="1025">
        <v>0</v>
      </c>
      <c r="OJ33" s="1025">
        <v>0</v>
      </c>
      <c r="OK33" s="1025">
        <v>9.7617021276600005E-2</v>
      </c>
      <c r="OL33" s="1025">
        <v>0</v>
      </c>
      <c r="OM33" s="1025">
        <v>0</v>
      </c>
      <c r="ON33" s="1025">
        <v>2.4326695826340901</v>
      </c>
      <c r="OO33" s="1025">
        <v>0</v>
      </c>
      <c r="OP33" s="1025">
        <v>0</v>
      </c>
      <c r="OQ33" s="1025">
        <v>0.11135614451476999</v>
      </c>
      <c r="OR33" s="1025">
        <v>0</v>
      </c>
      <c r="OS33" s="1025">
        <v>0</v>
      </c>
      <c r="OT33" s="1025">
        <v>1.37237402069595</v>
      </c>
      <c r="OU33" s="1025">
        <v>0</v>
      </c>
      <c r="OV33" s="1025">
        <v>0</v>
      </c>
      <c r="OW33" s="1025">
        <v>7.3172042637080006E-2</v>
      </c>
      <c r="OX33" s="1025">
        <v>-0.1447079083676</v>
      </c>
      <c r="OY33" s="1025">
        <v>0</v>
      </c>
      <c r="OZ33" s="1025">
        <v>-20.46</v>
      </c>
      <c r="PA33" s="1025">
        <v>-5.91</v>
      </c>
      <c r="PB33" s="1025">
        <v>-9.7112531684550002E-2</v>
      </c>
      <c r="PC33" s="1025">
        <v>0</v>
      </c>
      <c r="PD33" s="1025">
        <v>-1.5208620567123901</v>
      </c>
      <c r="PE33" s="1025">
        <v>0</v>
      </c>
      <c r="PF33" s="1025">
        <v>7.2432811814960002E-2</v>
      </c>
      <c r="PG33" s="1025">
        <v>0</v>
      </c>
      <c r="PH33" s="1025">
        <v>-4.0699999999999998E-3</v>
      </c>
      <c r="PI33" s="1025">
        <v>0</v>
      </c>
      <c r="PJ33" s="1025">
        <v>0</v>
      </c>
      <c r="PK33" s="1025">
        <v>0</v>
      </c>
      <c r="PL33" s="1025">
        <v>0.21816776106194999</v>
      </c>
      <c r="PM33" s="1025">
        <v>0</v>
      </c>
      <c r="PN33" s="1025">
        <v>1.6650000000000002E-2</v>
      </c>
      <c r="PO33" s="1025">
        <v>0</v>
      </c>
      <c r="PP33" s="1025">
        <v>0</v>
      </c>
      <c r="PQ33" s="1025">
        <v>0</v>
      </c>
      <c r="PR33" s="1025">
        <v>0.10899418376866001</v>
      </c>
      <c r="PS33" s="1025">
        <v>0</v>
      </c>
      <c r="PT33" s="1025">
        <v>1.6650000000000002E-2</v>
      </c>
      <c r="PU33" s="1025">
        <v>0</v>
      </c>
      <c r="PV33" s="1025">
        <v>0</v>
      </c>
      <c r="PW33" s="1025">
        <v>0</v>
      </c>
      <c r="PX33" s="1025">
        <v>-0.53646390658521004</v>
      </c>
      <c r="PY33" s="1025">
        <v>0</v>
      </c>
      <c r="PZ33" s="1025">
        <v>-3.62759690198E-2</v>
      </c>
      <c r="QA33" s="1025">
        <v>0</v>
      </c>
      <c r="QB33" s="1025">
        <v>-2.3459016014337699</v>
      </c>
      <c r="QC33" s="1025">
        <v>0</v>
      </c>
      <c r="QD33" s="1025">
        <v>-20.46</v>
      </c>
      <c r="QE33" s="1025">
        <v>-5.91</v>
      </c>
      <c r="QF33" s="1025">
        <v>-8.3707458590719999E-2</v>
      </c>
      <c r="QG33" s="1025">
        <v>0</v>
      </c>
      <c r="QH33" s="1025">
        <v>-0.47816651178045999</v>
      </c>
      <c r="QI33" s="1025">
        <v>0</v>
      </c>
      <c r="QJ33" s="1025">
        <v>-5.5197500414459998E-2</v>
      </c>
      <c r="QK33" s="1025">
        <v>0</v>
      </c>
      <c r="QL33" s="1025">
        <v>4.0699999999999998E-3</v>
      </c>
      <c r="QM33" s="1025">
        <v>0</v>
      </c>
      <c r="QN33" s="1025">
        <v>0</v>
      </c>
      <c r="QO33" s="1025">
        <v>0</v>
      </c>
      <c r="QP33" s="1025">
        <v>3.046296296292E-2</v>
      </c>
      <c r="QQ33" s="1025">
        <v>0</v>
      </c>
      <c r="QR33" s="1025">
        <v>2.0719999999999999E-2</v>
      </c>
      <c r="QS33" s="1025">
        <v>0</v>
      </c>
      <c r="QT33" s="1025">
        <v>0</v>
      </c>
      <c r="QU33" s="1025">
        <v>0</v>
      </c>
      <c r="QV33" s="1025">
        <v>8.5012919896640005E-2</v>
      </c>
      <c r="QW33" s="1025">
        <v>0</v>
      </c>
      <c r="QX33" s="1025">
        <v>2.0719999999999999E-2</v>
      </c>
      <c r="QY33" s="1025">
        <v>0</v>
      </c>
      <c r="QZ33" s="1025">
        <v>0</v>
      </c>
      <c r="RA33" s="1025">
        <v>0</v>
      </c>
      <c r="RB33" s="1025">
        <v>-0.53603987249342</v>
      </c>
      <c r="RC33" s="1025">
        <v>0</v>
      </c>
      <c r="RD33" s="1025">
        <v>-2.9391606502300001E-2</v>
      </c>
      <c r="RE33" s="1025">
        <v>0</v>
      </c>
      <c r="RF33" s="1025">
        <v>-2.0940800235363399</v>
      </c>
      <c r="RG33" s="1025">
        <v>0</v>
      </c>
      <c r="RH33" s="1011">
        <v>0</v>
      </c>
      <c r="RI33" s="1026">
        <v>0</v>
      </c>
      <c r="RJ33" s="1026">
        <v>0</v>
      </c>
      <c r="RK33" s="1026">
        <v>0</v>
      </c>
      <c r="RL33" s="1026">
        <v>0</v>
      </c>
      <c r="RM33" s="1011">
        <v>0</v>
      </c>
      <c r="RN33" s="1011">
        <v>0</v>
      </c>
      <c r="RO33" s="1011">
        <v>0</v>
      </c>
      <c r="RP33" s="1011">
        <v>0</v>
      </c>
      <c r="RQ33" s="1011">
        <v>0</v>
      </c>
      <c r="RR33" s="1011">
        <v>0</v>
      </c>
      <c r="RS33" s="1011">
        <v>0</v>
      </c>
      <c r="RT33" s="1011">
        <v>-0.29718215227321998</v>
      </c>
      <c r="RU33" s="1011">
        <v>0</v>
      </c>
      <c r="RV33" s="1011">
        <v>-0.10139652699517999</v>
      </c>
      <c r="RW33" s="1011">
        <v>0</v>
      </c>
      <c r="RX33" s="1011">
        <v>-3.5517129392480302</v>
      </c>
      <c r="RY33" s="1011">
        <v>0</v>
      </c>
      <c r="RZ33" s="1026">
        <v>-0.11159742327244999</v>
      </c>
      <c r="SA33" s="1026">
        <v>0</v>
      </c>
      <c r="SB33" s="1026">
        <v>-1.6650000000000002E-2</v>
      </c>
      <c r="SC33" s="1026">
        <v>0</v>
      </c>
      <c r="SD33" s="1026">
        <v>-3.1511579740161899</v>
      </c>
      <c r="SE33" s="1026">
        <v>0</v>
      </c>
      <c r="SF33" s="1026">
        <v>-6.0729390681000001E-2</v>
      </c>
      <c r="SG33" s="1026">
        <v>0</v>
      </c>
      <c r="SH33" s="1026">
        <v>-2.0719999999999999E-2</v>
      </c>
      <c r="SI33" s="1026">
        <v>0</v>
      </c>
      <c r="SJ33" s="1026">
        <v>-3.06</v>
      </c>
      <c r="SK33" s="1026">
        <v>0</v>
      </c>
      <c r="SL33" s="1025">
        <v>-20.46</v>
      </c>
      <c r="SM33" s="1025">
        <v>-5.91</v>
      </c>
      <c r="SN33" s="1025">
        <v>-0.12010757418552</v>
      </c>
      <c r="SO33" s="1025">
        <v>0</v>
      </c>
      <c r="SP33" s="1025">
        <v>-5.0972610500103803</v>
      </c>
      <c r="SQ33" s="1025">
        <v>0</v>
      </c>
      <c r="SR33" s="1025">
        <v>-8.8509193741659997E-2</v>
      </c>
      <c r="SS33" s="1025">
        <v>0</v>
      </c>
      <c r="ST33" s="1025">
        <v>-1.6650000000000002E-2</v>
      </c>
      <c r="SU33" s="1025">
        <v>0</v>
      </c>
      <c r="SV33" s="1025">
        <v>-3.0533260982613202</v>
      </c>
      <c r="SW33" s="1025">
        <v>0</v>
      </c>
      <c r="SX33" s="1025">
        <v>-6.9271083648010004E-2</v>
      </c>
      <c r="SY33" s="1025">
        <v>0</v>
      </c>
      <c r="SZ33" s="1025">
        <v>-2.0719999999999999E-2</v>
      </c>
      <c r="TA33" s="1025">
        <v>0</v>
      </c>
      <c r="TB33" s="1025">
        <v>-3.06</v>
      </c>
      <c r="TC33" s="1025">
        <v>0</v>
      </c>
      <c r="TD33" s="1025">
        <v>0</v>
      </c>
      <c r="TE33" s="1025">
        <v>0</v>
      </c>
      <c r="TF33" s="1025">
        <v>0</v>
      </c>
      <c r="TG33" s="1025">
        <v>0</v>
      </c>
      <c r="TH33" s="1025">
        <v>0</v>
      </c>
      <c r="TI33" s="1025">
        <v>0</v>
      </c>
      <c r="TJ33" s="1025">
        <v>-0.69922641479693004</v>
      </c>
      <c r="TK33" s="1025">
        <v>0</v>
      </c>
      <c r="TL33" s="1025">
        <v>-5.1194857914909998E-2</v>
      </c>
      <c r="TM33" s="1025">
        <v>0</v>
      </c>
      <c r="TN33" s="1025">
        <v>-5.2022174320524801</v>
      </c>
      <c r="TO33" s="1025">
        <v>0</v>
      </c>
      <c r="TP33" s="1025">
        <v>-20.46</v>
      </c>
      <c r="TQ33" s="1025">
        <v>-5.91</v>
      </c>
      <c r="TR33" s="1025">
        <v>-7.5716720183479996E-2</v>
      </c>
      <c r="TS33" s="1025">
        <v>0</v>
      </c>
      <c r="TT33" s="1025">
        <v>-0.20949191996061001</v>
      </c>
      <c r="TU33" s="1025">
        <v>0</v>
      </c>
      <c r="TV33" s="1025">
        <v>0.58535836289428</v>
      </c>
      <c r="TW33" s="1025">
        <v>0</v>
      </c>
      <c r="TX33" s="1025">
        <v>3.6125329202100001E-2</v>
      </c>
      <c r="TY33" s="1025">
        <v>0</v>
      </c>
      <c r="TZ33" s="1025">
        <v>1.6714143163852799</v>
      </c>
      <c r="UA33" s="1025">
        <v>0</v>
      </c>
      <c r="UB33" s="1025">
        <v>0.90690709254199997</v>
      </c>
      <c r="UC33" s="1025">
        <v>0</v>
      </c>
      <c r="UD33" s="1025">
        <v>5.0748604925559999E-2</v>
      </c>
      <c r="UE33" s="1025">
        <v>0</v>
      </c>
      <c r="UF33" s="1025">
        <v>2.8069858202648099</v>
      </c>
      <c r="UG33" s="1025">
        <v>0</v>
      </c>
      <c r="UH33" s="1025">
        <v>0.23887714841874999</v>
      </c>
      <c r="UI33" s="1025">
        <v>0</v>
      </c>
      <c r="UJ33" s="1025">
        <v>2.6149908472690001E-2</v>
      </c>
      <c r="UK33" s="1025">
        <v>0</v>
      </c>
      <c r="UL33" s="1025">
        <v>0</v>
      </c>
      <c r="UM33" s="1025">
        <v>0</v>
      </c>
      <c r="UN33" s="1025">
        <v>1.4450028787243501</v>
      </c>
      <c r="UO33" s="1025">
        <v>0</v>
      </c>
      <c r="UP33" s="1025">
        <v>4.9234759609560003E-2</v>
      </c>
      <c r="UQ33" s="1025">
        <v>0</v>
      </c>
      <c r="UR33" s="1025">
        <v>0</v>
      </c>
      <c r="US33" s="1025">
        <v>0</v>
      </c>
      <c r="UT33" s="1025">
        <v>0.58585883423419005</v>
      </c>
      <c r="UU33" s="1025">
        <v>0</v>
      </c>
      <c r="UV33" s="1025">
        <v>0</v>
      </c>
      <c r="UW33" s="1025">
        <v>-2.0164693082399998E-3</v>
      </c>
      <c r="UX33" s="1025">
        <v>-4.1728881706499998E-3</v>
      </c>
      <c r="UY33" s="1025">
        <v>0</v>
      </c>
      <c r="UZ33" s="1025">
        <v>1.751358874061E-2</v>
      </c>
      <c r="VA33" s="1025">
        <v>0</v>
      </c>
      <c r="VB33" s="1025">
        <v>0</v>
      </c>
      <c r="VC33" s="1025">
        <v>0</v>
      </c>
      <c r="VD33" s="1025">
        <v>5.25318816493E-3</v>
      </c>
      <c r="VE33" s="1025">
        <v>0</v>
      </c>
      <c r="VF33" s="1025">
        <v>0</v>
      </c>
      <c r="VG33" s="1025">
        <v>0</v>
      </c>
      <c r="VH33" s="1025">
        <v>0</v>
      </c>
      <c r="VI33" s="1025">
        <v>0</v>
      </c>
      <c r="VJ33" s="1025">
        <v>0.21854999893714</v>
      </c>
      <c r="VK33" s="1025">
        <v>0</v>
      </c>
      <c r="VL33" s="1025">
        <v>0</v>
      </c>
      <c r="VM33" s="1025">
        <v>0</v>
      </c>
      <c r="VN33" s="1025">
        <v>0</v>
      </c>
      <c r="VO33" s="1025">
        <v>0</v>
      </c>
      <c r="VP33" s="1025">
        <v>0</v>
      </c>
      <c r="VQ33" s="1025">
        <v>0</v>
      </c>
      <c r="VR33" s="1010">
        <v>0</v>
      </c>
      <c r="VS33" s="1010">
        <v>0</v>
      </c>
      <c r="VT33" s="1010">
        <v>0</v>
      </c>
      <c r="VU33" s="1010">
        <v>0</v>
      </c>
      <c r="VV33" s="1010">
        <v>0</v>
      </c>
      <c r="VW33" s="1010">
        <v>0</v>
      </c>
      <c r="VX33" s="1025">
        <v>0</v>
      </c>
      <c r="VY33" s="1025">
        <v>0</v>
      </c>
      <c r="VZ33" s="1025">
        <v>0</v>
      </c>
      <c r="WA33" s="1025">
        <v>0</v>
      </c>
      <c r="WB33" s="1025">
        <v>0</v>
      </c>
      <c r="WC33" s="1025">
        <v>0</v>
      </c>
      <c r="WD33" s="995">
        <v>202</v>
      </c>
      <c r="WE33" s="995">
        <v>267</v>
      </c>
      <c r="WF33" s="995">
        <v>354</v>
      </c>
      <c r="WG33" s="995">
        <v>382</v>
      </c>
      <c r="WH33" s="995">
        <v>403</v>
      </c>
      <c r="WI33" s="995">
        <v>0</v>
      </c>
      <c r="WJ33" s="995">
        <v>1300</v>
      </c>
      <c r="WK33" s="1001">
        <v>0</v>
      </c>
      <c r="WL33" s="1001">
        <v>0</v>
      </c>
      <c r="WM33" s="1001">
        <v>0</v>
      </c>
      <c r="WN33" s="1001">
        <v>0</v>
      </c>
      <c r="WO33" s="1001">
        <v>0</v>
      </c>
      <c r="WP33" s="1001">
        <v>0</v>
      </c>
      <c r="WQ33" s="1001">
        <v>0</v>
      </c>
      <c r="WR33" s="1001">
        <v>0</v>
      </c>
      <c r="WS33" s="1001">
        <v>0</v>
      </c>
      <c r="WT33" s="1001">
        <v>0</v>
      </c>
      <c r="WU33" s="1001">
        <v>0</v>
      </c>
      <c r="WV33" s="1001">
        <v>0</v>
      </c>
      <c r="WW33" s="1001">
        <v>0</v>
      </c>
      <c r="WX33" s="1001">
        <v>0</v>
      </c>
      <c r="WY33" s="1001">
        <v>0</v>
      </c>
      <c r="WZ33" s="1001">
        <v>0</v>
      </c>
      <c r="XA33" s="1001">
        <v>0</v>
      </c>
      <c r="XB33" s="1001">
        <v>0</v>
      </c>
      <c r="XC33" s="1001">
        <v>0</v>
      </c>
      <c r="XD33" s="1001">
        <v>0</v>
      </c>
      <c r="XE33" s="1001">
        <v>0</v>
      </c>
      <c r="XF33" s="1001">
        <v>0</v>
      </c>
      <c r="XG33" s="1001">
        <v>0</v>
      </c>
      <c r="XH33" s="1001">
        <v>0</v>
      </c>
      <c r="XI33" s="1001">
        <v>0</v>
      </c>
      <c r="XJ33" s="1001">
        <v>0</v>
      </c>
      <c r="XK33" s="1001">
        <v>0</v>
      </c>
      <c r="XL33" s="1001">
        <v>0</v>
      </c>
      <c r="XM33" s="1001">
        <v>0</v>
      </c>
      <c r="XN33" s="1001">
        <v>0</v>
      </c>
      <c r="XO33" s="1001">
        <v>0</v>
      </c>
      <c r="XP33" s="1001">
        <v>0</v>
      </c>
      <c r="XQ33" s="1001">
        <v>0</v>
      </c>
      <c r="XR33" s="1027">
        <v>109.09</v>
      </c>
      <c r="XS33" s="1013">
        <v>86.543215031315242</v>
      </c>
      <c r="XT33" s="1013">
        <v>95.653027139874737</v>
      </c>
      <c r="XU33" s="1013">
        <v>100.20793319415449</v>
      </c>
      <c r="XV33" s="1013">
        <v>153.95582463465553</v>
      </c>
      <c r="XW33" s="1028">
        <v>7350.4554529999996</v>
      </c>
      <c r="XX33" s="1013">
        <v>78</v>
      </c>
      <c r="XY33" s="1013">
        <v>15</v>
      </c>
      <c r="XZ33" s="1013">
        <v>7.0000000000000009</v>
      </c>
      <c r="YA33" s="1029">
        <v>0</v>
      </c>
      <c r="YB33" s="1013">
        <v>902.62731809625882</v>
      </c>
      <c r="YC33" s="1013">
        <v>0</v>
      </c>
      <c r="YD33" s="1013">
        <v>0</v>
      </c>
      <c r="YE33" s="1013">
        <v>0</v>
      </c>
      <c r="YF33" s="1013">
        <v>0</v>
      </c>
      <c r="YG33" s="1013">
        <v>0</v>
      </c>
      <c r="YH33" s="1013">
        <v>0</v>
      </c>
      <c r="YI33" s="1013">
        <v>687.71605188286401</v>
      </c>
      <c r="YJ33" s="1013">
        <v>968.29834588344818</v>
      </c>
      <c r="YK33" s="1013">
        <v>0</v>
      </c>
      <c r="YL33" s="1013">
        <v>0</v>
      </c>
      <c r="YM33" s="1013">
        <v>0</v>
      </c>
      <c r="YN33" s="1013">
        <v>0</v>
      </c>
      <c r="YO33" s="1013">
        <v>0</v>
      </c>
      <c r="YP33" s="1013">
        <v>0</v>
      </c>
      <c r="YQ33" s="1013">
        <v>737.7511206731034</v>
      </c>
      <c r="YR33" s="1013">
        <v>1014.4077909255171</v>
      </c>
      <c r="YS33" s="1013">
        <v>0</v>
      </c>
      <c r="YT33" s="1013">
        <v>0</v>
      </c>
      <c r="YU33" s="1013">
        <v>0</v>
      </c>
      <c r="YV33" s="1013">
        <v>0</v>
      </c>
      <c r="YW33" s="1013">
        <v>0</v>
      </c>
      <c r="YX33" s="1013">
        <v>0</v>
      </c>
      <c r="YY33" s="1013">
        <v>772.88212641944176</v>
      </c>
      <c r="YZ33" s="1013">
        <v>1558.4992424219308</v>
      </c>
      <c r="ZA33" s="1013">
        <v>0</v>
      </c>
      <c r="ZB33" s="1013">
        <v>0</v>
      </c>
      <c r="ZC33" s="1013">
        <v>0</v>
      </c>
      <c r="ZD33" s="1013">
        <v>0</v>
      </c>
      <c r="ZE33" s="1013">
        <v>0</v>
      </c>
      <c r="ZF33" s="1013">
        <v>0</v>
      </c>
      <c r="ZG33" s="1013">
        <v>1187.4279942262333</v>
      </c>
      <c r="ZH33" s="1013">
        <v>920.27869676125249</v>
      </c>
      <c r="ZI33" s="1013">
        <v>219.11397541934585</v>
      </c>
      <c r="ZJ33" s="1013">
        <v>350.58236067095334</v>
      </c>
      <c r="ZK33" s="1013">
        <v>0</v>
      </c>
      <c r="ZL33" s="1013">
        <v>0</v>
      </c>
      <c r="ZM33" s="1013">
        <v>0</v>
      </c>
      <c r="ZN33" s="1013">
        <v>0</v>
      </c>
      <c r="ZO33" s="1013">
        <v>701.16472134190667</v>
      </c>
      <c r="ZP33" s="1013">
        <v>987.23395798072443</v>
      </c>
      <c r="ZQ33" s="1013">
        <v>235.05570428112489</v>
      </c>
      <c r="ZR33" s="1013">
        <v>376.08912684979981</v>
      </c>
      <c r="ZS33" s="1013">
        <v>0</v>
      </c>
      <c r="ZT33" s="1013">
        <v>0</v>
      </c>
      <c r="ZU33" s="1013">
        <v>0</v>
      </c>
      <c r="ZV33" s="1013">
        <v>0</v>
      </c>
      <c r="ZW33" s="1013">
        <v>752.17825369959962</v>
      </c>
      <c r="ZX33" s="1013">
        <v>1034.2450988369494</v>
      </c>
      <c r="ZY33" s="1013">
        <v>246.24883305641652</v>
      </c>
      <c r="ZZ33" s="1013">
        <v>393.99813289026645</v>
      </c>
      <c r="AAA33" s="1013">
        <v>0</v>
      </c>
      <c r="AAB33" s="1013">
        <v>0</v>
      </c>
      <c r="AAC33" s="1013">
        <v>0</v>
      </c>
      <c r="AAD33" s="1013">
        <v>0</v>
      </c>
      <c r="AAE33" s="1013">
        <v>787.99626578053289</v>
      </c>
      <c r="AAF33" s="1013">
        <v>1588.9765609404042</v>
      </c>
      <c r="AAG33" s="1013">
        <v>378.32775260485818</v>
      </c>
      <c r="AAH33" s="1013">
        <v>605.32440416777308</v>
      </c>
      <c r="AAI33" s="1013">
        <v>0</v>
      </c>
      <c r="AAJ33" s="1013">
        <v>0</v>
      </c>
      <c r="AAK33" s="1013">
        <v>0</v>
      </c>
      <c r="AAL33" s="1013">
        <v>0</v>
      </c>
      <c r="AAM33" s="1013">
        <v>1210.6488083355462</v>
      </c>
      <c r="AAN33" s="1013">
        <v>2449.1287897678494</v>
      </c>
      <c r="AAO33" s="1013">
        <v>583.12590232567845</v>
      </c>
      <c r="AAP33" s="1013">
        <v>933.00144372108559</v>
      </c>
      <c r="AAQ33" s="1013">
        <v>0</v>
      </c>
      <c r="AAR33" s="1013">
        <v>0</v>
      </c>
      <c r="AAS33" s="1013">
        <v>0</v>
      </c>
      <c r="AAT33" s="1013">
        <v>0</v>
      </c>
      <c r="AAU33" s="1013">
        <v>1866.0028874421712</v>
      </c>
      <c r="AAV33" s="1013">
        <v>2706.9318202697282</v>
      </c>
      <c r="AAW33" s="1013">
        <v>644.50757625469726</v>
      </c>
      <c r="AAX33" s="1013">
        <v>1031.2121220075155</v>
      </c>
      <c r="AAY33" s="1013">
        <v>0</v>
      </c>
      <c r="AAZ33" s="1013">
        <v>0</v>
      </c>
      <c r="ABA33" s="1013">
        <v>0</v>
      </c>
      <c r="ABB33" s="1013">
        <v>0</v>
      </c>
      <c r="ABC33" s="1013">
        <v>2062.424244015031</v>
      </c>
      <c r="ABD33" s="1013">
        <v>2835.8333355206678</v>
      </c>
      <c r="ABE33" s="1013">
        <v>675.19841321920671</v>
      </c>
      <c r="ABF33" s="1013">
        <v>1080.3174611507307</v>
      </c>
      <c r="ABG33" s="1013">
        <v>0</v>
      </c>
      <c r="ABH33" s="1013">
        <v>0</v>
      </c>
      <c r="ABI33" s="1013">
        <v>0</v>
      </c>
      <c r="ABJ33" s="1013">
        <v>0</v>
      </c>
      <c r="ABK33" s="1013">
        <v>2160.6349223014613</v>
      </c>
      <c r="ABL33" s="1013">
        <v>4356.871215481754</v>
      </c>
      <c r="ABM33" s="1013">
        <v>1037.3502894004175</v>
      </c>
      <c r="ABN33" s="1013">
        <v>1659.7604630406681</v>
      </c>
      <c r="ABO33" s="1013">
        <v>0</v>
      </c>
      <c r="ABP33" s="1013">
        <v>0</v>
      </c>
      <c r="ABQ33" s="1013">
        <v>0</v>
      </c>
      <c r="ABR33" s="1013">
        <v>0</v>
      </c>
      <c r="ABS33" s="1013">
        <v>3319.5209260813363</v>
      </c>
      <c r="ABT33" s="1013">
        <v>3369.4074865291018</v>
      </c>
      <c r="ABU33" s="1013">
        <v>802.23987774502439</v>
      </c>
      <c r="ABV33" s="1013">
        <v>1283.5838043920389</v>
      </c>
      <c r="ABW33" s="1013">
        <v>0</v>
      </c>
      <c r="ABX33" s="1013">
        <v>0</v>
      </c>
      <c r="ABY33" s="1013">
        <v>0</v>
      </c>
      <c r="ABZ33" s="1013">
        <v>0</v>
      </c>
      <c r="ACA33" s="1013">
        <v>2567.1676087840779</v>
      </c>
      <c r="ACB33" s="1013">
        <v>3566.7807514142301</v>
      </c>
      <c r="ACC33" s="1013">
        <v>849.23351224148337</v>
      </c>
      <c r="ACD33" s="1013">
        <v>1358.7736195863733</v>
      </c>
      <c r="ACE33" s="1013">
        <v>0</v>
      </c>
      <c r="ACF33" s="1013">
        <v>0</v>
      </c>
      <c r="ACG33" s="1013">
        <v>0</v>
      </c>
      <c r="ACH33" s="1013">
        <v>0</v>
      </c>
      <c r="ACI33" s="1013">
        <v>2717.5472391727467</v>
      </c>
      <c r="ACJ33" s="1013">
        <v>3736.6274538625271</v>
      </c>
      <c r="ACK33" s="1013">
        <v>889.67320330060181</v>
      </c>
      <c r="ACL33" s="1013">
        <v>1423.4771252809628</v>
      </c>
      <c r="ACM33" s="1013">
        <v>0</v>
      </c>
      <c r="ACN33" s="1013">
        <v>0</v>
      </c>
      <c r="ACO33" s="1013">
        <v>0</v>
      </c>
      <c r="ACP33" s="1013">
        <v>0</v>
      </c>
      <c r="ACQ33" s="1013">
        <v>2846.9542505619256</v>
      </c>
      <c r="ACR33" s="1013">
        <v>5740.8185427524286</v>
      </c>
      <c r="ACS33" s="1013">
        <v>1366.8615577981973</v>
      </c>
      <c r="ACT33" s="1013">
        <v>2186.9784924771157</v>
      </c>
      <c r="ACU33" s="1013">
        <v>0</v>
      </c>
      <c r="ACV33" s="1013">
        <v>0</v>
      </c>
      <c r="ACW33" s="1013">
        <v>0</v>
      </c>
      <c r="ACX33" s="1013">
        <v>0</v>
      </c>
      <c r="ACY33" s="1013">
        <v>4373.9569849542313</v>
      </c>
      <c r="ACZ33" s="1013">
        <v>4363.9022072227135</v>
      </c>
      <c r="ADA33" s="1013">
        <v>1039.024335053027</v>
      </c>
      <c r="ADB33" s="1013">
        <v>1662.4389360848434</v>
      </c>
      <c r="ADC33" s="1013">
        <v>0</v>
      </c>
      <c r="ADD33" s="1013">
        <v>0</v>
      </c>
      <c r="ADE33" s="1013">
        <v>0</v>
      </c>
      <c r="ADF33" s="1013">
        <v>0</v>
      </c>
      <c r="ADG33" s="1013">
        <v>3324.8778721696867</v>
      </c>
      <c r="ADH33" s="1013">
        <v>4665.4766078766497</v>
      </c>
      <c r="ADI33" s="1013">
        <v>1110.8277637801548</v>
      </c>
      <c r="ADJ33" s="1013">
        <v>1777.3244220482477</v>
      </c>
      <c r="ADK33" s="1013">
        <v>0</v>
      </c>
      <c r="ADL33" s="1013">
        <v>0</v>
      </c>
      <c r="ADM33" s="1013">
        <v>0</v>
      </c>
      <c r="ADN33" s="1013">
        <v>0</v>
      </c>
      <c r="ADO33" s="1013">
        <v>3554.6488440964954</v>
      </c>
      <c r="ADP33" s="1013">
        <v>4887.6421606326803</v>
      </c>
      <c r="ADQ33" s="1013">
        <v>1163.7243239601621</v>
      </c>
      <c r="ADR33" s="1013">
        <v>1861.9589183362593</v>
      </c>
      <c r="ADS33" s="1013">
        <v>0</v>
      </c>
      <c r="ADT33" s="1013">
        <v>0</v>
      </c>
      <c r="ADU33" s="1013">
        <v>0</v>
      </c>
      <c r="ADV33" s="1013">
        <v>0</v>
      </c>
      <c r="ADW33" s="1013">
        <v>3723.9178366725187</v>
      </c>
      <c r="ADX33" s="1013">
        <v>7509.1956831538464</v>
      </c>
      <c r="ADY33" s="1013">
        <v>1787.9037340842494</v>
      </c>
      <c r="ADZ33" s="1013">
        <v>2860.6459745347988</v>
      </c>
      <c r="AEA33" s="1013">
        <v>0</v>
      </c>
      <c r="AEB33" s="1013">
        <v>0</v>
      </c>
      <c r="AEC33" s="1013">
        <v>0</v>
      </c>
      <c r="AED33" s="1013">
        <v>0</v>
      </c>
      <c r="AEE33" s="1013">
        <v>5721.2919490695976</v>
      </c>
      <c r="AEF33" s="1013">
        <v>5328.7105183433814</v>
      </c>
      <c r="AEG33" s="1013">
        <v>1268.7405996055672</v>
      </c>
      <c r="AEH33" s="1013">
        <v>2029.9849593689075</v>
      </c>
      <c r="AEI33" s="1013">
        <v>0</v>
      </c>
      <c r="AEJ33" s="1013">
        <v>0</v>
      </c>
      <c r="AEK33" s="1013">
        <v>0</v>
      </c>
      <c r="AEL33" s="1013">
        <v>0</v>
      </c>
      <c r="AEM33" s="1013">
        <v>4059.9699187378151</v>
      </c>
      <c r="AEN33" s="1013">
        <v>5732.3262076300134</v>
      </c>
      <c r="AEO33" s="1013">
        <v>1364.8395732452414</v>
      </c>
      <c r="AEP33" s="1013">
        <v>2183.7433171923863</v>
      </c>
      <c r="AEQ33" s="1013">
        <v>0</v>
      </c>
      <c r="AER33" s="1013">
        <v>0</v>
      </c>
      <c r="AES33" s="1013">
        <v>0</v>
      </c>
      <c r="AET33" s="1013">
        <v>0</v>
      </c>
      <c r="AEU33" s="1013">
        <v>4367.4866343847725</v>
      </c>
      <c r="AEV33" s="1013">
        <v>6005.2941222790614</v>
      </c>
      <c r="AEW33" s="1013">
        <v>1429.8319338759673</v>
      </c>
      <c r="AEX33" s="1013">
        <v>2287.7310942015474</v>
      </c>
      <c r="AEY33" s="1013">
        <v>0</v>
      </c>
      <c r="AEZ33" s="1013">
        <v>0</v>
      </c>
      <c r="AFA33" s="1013">
        <v>0</v>
      </c>
      <c r="AFB33" s="1013">
        <v>0</v>
      </c>
      <c r="AFC33" s="1013">
        <v>4575.4621884030948</v>
      </c>
      <c r="AFD33" s="1013">
        <v>9226.3155151378305</v>
      </c>
      <c r="AFE33" s="1013">
        <v>2196.7417893185316</v>
      </c>
      <c r="AFF33" s="1013">
        <v>3514.7868629096502</v>
      </c>
      <c r="AFG33" s="1013">
        <v>0</v>
      </c>
      <c r="AFH33" s="1013">
        <v>0</v>
      </c>
      <c r="AFI33" s="1013">
        <v>0</v>
      </c>
      <c r="AFJ33" s="1013">
        <v>0</v>
      </c>
      <c r="AFK33" s="1013">
        <v>7029.5737258193003</v>
      </c>
      <c r="AFL33" s="1023">
        <v>6145.0867815993324</v>
      </c>
      <c r="AFM33" s="1023">
        <v>1463.1159003807934</v>
      </c>
      <c r="AFN33" s="1023">
        <v>2340.9854406092695</v>
      </c>
      <c r="AFO33" s="1023">
        <v>0</v>
      </c>
      <c r="AFP33" s="1023">
        <v>0</v>
      </c>
      <c r="AFQ33" s="1023">
        <v>0</v>
      </c>
      <c r="AFR33" s="1023">
        <v>0</v>
      </c>
      <c r="AFS33" s="1023">
        <v>4681.970881218539</v>
      </c>
      <c r="AFT33" s="1023">
        <v>6528.4826253564033</v>
      </c>
      <c r="AFU33" s="1023">
        <v>1554.4006250848579</v>
      </c>
      <c r="AFV33" s="1023">
        <v>2487.0410001357727</v>
      </c>
      <c r="AFW33" s="1023">
        <v>0</v>
      </c>
      <c r="AFX33" s="1023">
        <v>0</v>
      </c>
      <c r="AFY33" s="1023">
        <v>0</v>
      </c>
      <c r="AFZ33" s="1023">
        <v>0</v>
      </c>
      <c r="AGA33" s="1023">
        <v>4974.0820002715454</v>
      </c>
      <c r="AGB33" s="1023">
        <v>6839.3627503733751</v>
      </c>
      <c r="AGC33" s="1023">
        <v>1628.4197024698515</v>
      </c>
      <c r="AGD33" s="1023">
        <v>2605.4715239517623</v>
      </c>
      <c r="AGE33" s="1023">
        <v>0</v>
      </c>
      <c r="AGF33" s="1023">
        <v>0</v>
      </c>
      <c r="AGG33" s="1023">
        <v>0</v>
      </c>
      <c r="AGH33" s="1023">
        <v>0</v>
      </c>
      <c r="AGI33" s="1023">
        <v>5210.9430479035245</v>
      </c>
      <c r="AGJ33" s="1023">
        <v>10507.748225573641</v>
      </c>
      <c r="AGK33" s="1023">
        <v>2501.844815612772</v>
      </c>
      <c r="AGL33" s="1023">
        <v>4002.9517049804349</v>
      </c>
      <c r="AGM33" s="1023">
        <v>0</v>
      </c>
      <c r="AGN33" s="1023">
        <v>0</v>
      </c>
      <c r="AGO33" s="1023">
        <v>0</v>
      </c>
      <c r="AGP33" s="1023">
        <v>0</v>
      </c>
      <c r="AGQ33" s="1023">
        <v>8005.9034099608698</v>
      </c>
      <c r="AGR33" s="1030">
        <v>2449.1287897678494</v>
      </c>
      <c r="AGS33" s="1030">
        <v>583.12590232567845</v>
      </c>
      <c r="AGT33" s="1030">
        <v>933.00144372108559</v>
      </c>
      <c r="AGU33" s="1030">
        <v>0</v>
      </c>
      <c r="AGV33" s="1030">
        <v>0</v>
      </c>
      <c r="AGW33" s="1030">
        <v>0</v>
      </c>
      <c r="AGX33" s="1030">
        <v>0</v>
      </c>
      <c r="AGY33" s="1030">
        <v>1866.0028874421712</v>
      </c>
      <c r="AGZ33" s="1030">
        <v>2706.9318202697282</v>
      </c>
      <c r="AHA33" s="1030">
        <v>644.50757625469726</v>
      </c>
      <c r="AHB33" s="1030">
        <v>1031.2121220075155</v>
      </c>
      <c r="AHC33" s="1030">
        <v>0</v>
      </c>
      <c r="AHD33" s="1030">
        <v>0</v>
      </c>
      <c r="AHE33" s="1030">
        <v>0</v>
      </c>
      <c r="AHF33" s="1030">
        <v>0</v>
      </c>
      <c r="AHG33" s="1030">
        <v>2062.424244015031</v>
      </c>
      <c r="AHH33" s="1030">
        <v>2835.8333355206678</v>
      </c>
      <c r="AHI33" s="1030">
        <v>675.19841321920671</v>
      </c>
      <c r="AHJ33" s="1030">
        <v>1080.3174611507307</v>
      </c>
      <c r="AHK33" s="1030">
        <v>0</v>
      </c>
      <c r="AHL33" s="1030">
        <v>0</v>
      </c>
      <c r="AHM33" s="1030">
        <v>0</v>
      </c>
      <c r="AHN33" s="1030">
        <v>0</v>
      </c>
      <c r="AHO33" s="1030">
        <v>2160.6349223014613</v>
      </c>
      <c r="AHP33" s="1030">
        <v>4356.871215481754</v>
      </c>
      <c r="AHQ33" s="1030">
        <v>1037.3502894004175</v>
      </c>
      <c r="AHR33" s="1030">
        <v>1659.7604630406681</v>
      </c>
      <c r="AHS33" s="1030">
        <v>0</v>
      </c>
      <c r="AHT33" s="1030">
        <v>0</v>
      </c>
      <c r="AHU33" s="1030">
        <v>0</v>
      </c>
      <c r="AHV33" s="1030">
        <v>0</v>
      </c>
      <c r="AHW33" s="1030">
        <v>3319.5209260813363</v>
      </c>
      <c r="AHX33" s="1013">
        <v>165</v>
      </c>
      <c r="AHY33" s="1023">
        <v>0</v>
      </c>
      <c r="AHZ33" s="1023">
        <v>0</v>
      </c>
      <c r="AIA33" s="1023">
        <v>0</v>
      </c>
      <c r="AIB33" s="1023">
        <v>0</v>
      </c>
      <c r="AIC33" s="1023">
        <v>0</v>
      </c>
      <c r="AID33" s="1023">
        <v>0</v>
      </c>
      <c r="AIE33" s="1023">
        <v>0</v>
      </c>
      <c r="AIF33" s="1017">
        <v>420</v>
      </c>
      <c r="AIG33" s="1017">
        <v>32.409999999999997</v>
      </c>
      <c r="AIH33" s="1017">
        <v>27.01</v>
      </c>
      <c r="AII33" s="1017">
        <v>0</v>
      </c>
      <c r="AIJ33" s="1017">
        <v>2.52</v>
      </c>
      <c r="AIK33" s="1017">
        <v>3.06</v>
      </c>
      <c r="AIL33" s="1017">
        <v>0</v>
      </c>
      <c r="AIM33" s="1017">
        <v>0</v>
      </c>
      <c r="AIN33" s="1016">
        <v>350</v>
      </c>
      <c r="AIO33" s="1016">
        <v>64.819999999999993</v>
      </c>
      <c r="AIP33" s="1017">
        <v>54.02</v>
      </c>
      <c r="AIQ33" s="1017">
        <v>0</v>
      </c>
      <c r="AIR33" s="1017">
        <v>5.04</v>
      </c>
      <c r="AIS33" s="1017">
        <v>6.12</v>
      </c>
      <c r="AIT33" s="1017">
        <v>0</v>
      </c>
      <c r="AIU33" s="1017">
        <v>0</v>
      </c>
      <c r="AIV33" s="1017">
        <v>120</v>
      </c>
      <c r="AIW33" s="1017">
        <v>47.37</v>
      </c>
      <c r="AIX33" s="1017">
        <v>39.47</v>
      </c>
      <c r="AIY33" s="1017">
        <v>0</v>
      </c>
      <c r="AIZ33" s="1017">
        <v>3.68</v>
      </c>
      <c r="AJA33" s="1017">
        <v>4.4800000000000004</v>
      </c>
      <c r="AJB33" s="1017">
        <v>0</v>
      </c>
      <c r="AJC33" s="1017">
        <v>0</v>
      </c>
      <c r="AJD33" s="1017">
        <v>129.6</v>
      </c>
      <c r="AJE33" s="1017">
        <v>96.93</v>
      </c>
      <c r="AJF33" s="1017">
        <v>80.78</v>
      </c>
      <c r="AJG33" s="1017">
        <v>0</v>
      </c>
      <c r="AJH33" s="1017">
        <v>7.54</v>
      </c>
      <c r="AJI33" s="1017">
        <v>9.15</v>
      </c>
      <c r="AJJ33" s="1017">
        <v>0</v>
      </c>
      <c r="AJK33" s="1013">
        <v>0</v>
      </c>
      <c r="AJL33" s="1013">
        <v>160</v>
      </c>
      <c r="AJM33" s="1013">
        <v>17.45</v>
      </c>
      <c r="AJN33" s="1013">
        <v>14.54</v>
      </c>
      <c r="AJO33" s="1013">
        <v>0</v>
      </c>
      <c r="AJP33" s="1013">
        <v>1.36</v>
      </c>
      <c r="AJQ33" s="1013">
        <v>1.65</v>
      </c>
      <c r="AJR33" s="1013">
        <v>0</v>
      </c>
      <c r="AJS33" s="1013">
        <v>0</v>
      </c>
      <c r="AJT33" s="1029" t="s">
        <v>858</v>
      </c>
      <c r="AJU33" s="988" t="s">
        <v>861</v>
      </c>
      <c r="AJV33" s="988" t="s">
        <v>860</v>
      </c>
      <c r="AJW33" s="988" t="s">
        <v>859</v>
      </c>
      <c r="AJX33" s="988" t="s">
        <v>870</v>
      </c>
      <c r="AJY33" s="988" t="s">
        <v>871</v>
      </c>
      <c r="AJZ33" s="988" t="s">
        <v>872</v>
      </c>
      <c r="AKA33" s="988" t="s">
        <v>873</v>
      </c>
      <c r="AKB33" s="988" t="s">
        <v>874</v>
      </c>
      <c r="AKC33" s="988" t="s">
        <v>875</v>
      </c>
      <c r="AKD33" s="1013">
        <v>114.58333333333331</v>
      </c>
      <c r="AKE33" s="1013">
        <v>0</v>
      </c>
      <c r="AKF33" s="1013">
        <v>0</v>
      </c>
      <c r="AKG33" s="1013">
        <v>0</v>
      </c>
      <c r="AKH33" s="1013">
        <v>0</v>
      </c>
      <c r="AKI33" s="1013">
        <v>0</v>
      </c>
      <c r="AKJ33" s="1013">
        <v>7.6388888888888884</v>
      </c>
      <c r="AKK33" s="1013">
        <v>1.5277777777777777</v>
      </c>
      <c r="AKL33" s="1017">
        <v>336.80555555555549</v>
      </c>
      <c r="AKM33" s="1017">
        <v>0</v>
      </c>
      <c r="AKN33" s="1017">
        <v>0</v>
      </c>
      <c r="AKO33" s="1017">
        <v>0</v>
      </c>
      <c r="AKP33" s="1017">
        <v>0</v>
      </c>
      <c r="AKQ33" s="1017">
        <v>0</v>
      </c>
      <c r="AKR33" s="1017">
        <v>22.453703703703699</v>
      </c>
      <c r="AKS33" s="1017">
        <v>4.4907407407407396</v>
      </c>
      <c r="AKT33" s="1016">
        <v>333.33333333333331</v>
      </c>
      <c r="AKU33" s="1016">
        <v>0</v>
      </c>
      <c r="AKV33" s="1017">
        <v>0</v>
      </c>
      <c r="AKW33" s="1017">
        <v>0</v>
      </c>
      <c r="AKX33" s="1017">
        <v>0</v>
      </c>
      <c r="AKY33" s="1017">
        <v>0</v>
      </c>
      <c r="AKZ33" s="1017">
        <v>22.222222222222221</v>
      </c>
      <c r="ALA33" s="1017">
        <v>4.4444444444444446</v>
      </c>
      <c r="ALB33" s="1017">
        <v>149.30555555555554</v>
      </c>
      <c r="ALC33" s="1017">
        <v>0</v>
      </c>
      <c r="ALD33" s="1017">
        <v>0</v>
      </c>
      <c r="ALE33" s="1017">
        <v>0</v>
      </c>
      <c r="ALF33" s="1017">
        <v>0</v>
      </c>
      <c r="ALG33" s="1017">
        <v>0</v>
      </c>
      <c r="ALH33" s="1017">
        <v>9.9537037037037024</v>
      </c>
      <c r="ALI33" s="1017">
        <v>1.9907407407407407</v>
      </c>
      <c r="ALJ33" s="1017">
        <v>224.99999999999997</v>
      </c>
      <c r="ALK33" s="1017">
        <v>0</v>
      </c>
      <c r="ALL33" s="1017">
        <v>0</v>
      </c>
      <c r="ALM33" s="1017">
        <v>0</v>
      </c>
      <c r="ALN33" s="1017">
        <v>0</v>
      </c>
      <c r="ALO33" s="1017">
        <v>0</v>
      </c>
      <c r="ALP33" s="1017">
        <v>15</v>
      </c>
      <c r="ALQ33" s="1013">
        <v>3</v>
      </c>
      <c r="ALR33" s="1013">
        <v>135.41666666666666</v>
      </c>
      <c r="ALS33" s="1013">
        <v>0</v>
      </c>
      <c r="ALT33" s="1013">
        <v>0</v>
      </c>
      <c r="ALU33" s="1013">
        <v>0</v>
      </c>
      <c r="ALV33" s="1013">
        <v>0</v>
      </c>
      <c r="ALW33" s="1013">
        <v>0</v>
      </c>
      <c r="ALX33" s="1013">
        <v>9.0277777777777768</v>
      </c>
      <c r="ALY33" s="1013">
        <v>1.8055555555555554</v>
      </c>
    </row>
    <row r="34" spans="1:1013" ht="18" customHeight="1">
      <c r="A34" s="1259" t="s">
        <v>22</v>
      </c>
      <c r="B34" s="1260" t="s">
        <v>3063</v>
      </c>
      <c r="C34" s="1260">
        <v>2022</v>
      </c>
      <c r="D34" s="1269"/>
      <c r="E34" s="1270">
        <v>-0.4</v>
      </c>
      <c r="F34" s="1271">
        <v>-0.3</v>
      </c>
      <c r="G34" s="1271">
        <v>-0.3</v>
      </c>
      <c r="H34" s="76">
        <v>364.21917808219177</v>
      </c>
      <c r="I34" s="72">
        <v>-7.6</v>
      </c>
      <c r="J34" s="1271">
        <v>-6.5</v>
      </c>
      <c r="K34" s="1271">
        <v>-6.5</v>
      </c>
      <c r="L34" s="1265">
        <v>350</v>
      </c>
      <c r="M34" s="1262">
        <v>0</v>
      </c>
      <c r="N34" s="1262">
        <v>0</v>
      </c>
      <c r="O34" s="1262">
        <v>0</v>
      </c>
      <c r="P34" s="76">
        <v>1066.3841551631824</v>
      </c>
      <c r="Q34" s="75">
        <v>12</v>
      </c>
      <c r="R34" s="72">
        <v>0.8</v>
      </c>
      <c r="S34" s="72">
        <v>0.7</v>
      </c>
      <c r="T34" s="72">
        <v>0.7</v>
      </c>
      <c r="U34" s="1271">
        <v>0.2</v>
      </c>
      <c r="V34" s="1271">
        <v>0.1</v>
      </c>
      <c r="W34" s="1271">
        <v>99.6</v>
      </c>
      <c r="X34" s="1271">
        <v>0.1</v>
      </c>
      <c r="Y34" s="1272">
        <v>0</v>
      </c>
      <c r="Z34" s="75">
        <v>2</v>
      </c>
      <c r="AA34" s="72">
        <v>1.5</v>
      </c>
      <c r="AB34" s="75">
        <v>1</v>
      </c>
      <c r="AC34" s="72">
        <v>0.8</v>
      </c>
      <c r="AD34" s="72">
        <v>0.5</v>
      </c>
      <c r="AE34" s="390">
        <v>433.01922201480062</v>
      </c>
      <c r="AF34" s="390">
        <v>470.67306740739195</v>
      </c>
      <c r="AG34" s="390">
        <v>433.37222681535616</v>
      </c>
      <c r="AH34" s="390">
        <v>649.0581599547935</v>
      </c>
      <c r="AI34" s="400">
        <v>0.82209484106305364</v>
      </c>
      <c r="AJ34" s="390">
        <v>261.91600618637949</v>
      </c>
      <c r="AK34" s="390">
        <v>284.69131107215162</v>
      </c>
      <c r="AL34" s="390">
        <v>262.12952466968363</v>
      </c>
      <c r="AM34" s="390">
        <v>392.58931796849708</v>
      </c>
      <c r="AN34" s="400">
        <v>0.96717040125065135</v>
      </c>
      <c r="AO34" s="77">
        <v>0</v>
      </c>
      <c r="AP34" s="77">
        <v>0.1</v>
      </c>
      <c r="AQ34" s="77">
        <v>0.3</v>
      </c>
      <c r="AR34" s="77">
        <v>0.5</v>
      </c>
      <c r="AS34" s="77">
        <v>0.8</v>
      </c>
      <c r="AT34" s="77">
        <v>1.1000000000000001</v>
      </c>
      <c r="AU34" s="77">
        <v>1.3</v>
      </c>
      <c r="AV34" s="1268">
        <v>0</v>
      </c>
      <c r="AW34" s="1268">
        <v>10</v>
      </c>
      <c r="AX34" s="1268">
        <v>20</v>
      </c>
      <c r="AY34" s="1268">
        <v>70</v>
      </c>
      <c r="AZ34" s="1268">
        <v>100</v>
      </c>
      <c r="BA34" s="1019">
        <v>5596.0494247291699</v>
      </c>
      <c r="BB34" s="1031">
        <v>1.98</v>
      </c>
      <c r="BC34" s="1022">
        <v>2</v>
      </c>
      <c r="BD34" s="988">
        <v>1.3</v>
      </c>
      <c r="BE34" s="988">
        <v>1.3</v>
      </c>
      <c r="BF34" s="1021">
        <v>0.17007468960337721</v>
      </c>
      <c r="BG34" s="1021">
        <v>0.17500236602736474</v>
      </c>
      <c r="BH34" s="1020">
        <v>2.4466324694609898E-4</v>
      </c>
      <c r="BI34" s="1020">
        <v>3.065486564677593E-3</v>
      </c>
      <c r="BJ34" s="1020">
        <v>0.22152098217613855</v>
      </c>
      <c r="BK34" s="1020">
        <v>52.250412545410221</v>
      </c>
      <c r="BL34" s="1020">
        <v>0.33272762389099186</v>
      </c>
      <c r="BM34" s="1020"/>
      <c r="BN34" s="1020">
        <v>46.494896756427373</v>
      </c>
      <c r="BO34" s="1020">
        <v>0.47892110991913739</v>
      </c>
      <c r="BP34" s="1020"/>
      <c r="BQ34" s="1020"/>
      <c r="BR34" s="1020"/>
      <c r="BS34" s="1020"/>
      <c r="BT34" s="1020">
        <v>0.1778413966184085</v>
      </c>
      <c r="BU34" s="1020">
        <v>1.0074368991898192E-4</v>
      </c>
      <c r="BV34" s="1020">
        <v>4.0268692056187341E-2</v>
      </c>
      <c r="BW34" s="993">
        <v>261.13475999999997</v>
      </c>
      <c r="BX34" s="993">
        <v>96.5</v>
      </c>
      <c r="BY34" s="993">
        <v>63.215999999999994</v>
      </c>
      <c r="BZ34" s="993">
        <v>233.35949490734063</v>
      </c>
      <c r="CA34" s="993">
        <v>157.40783999999999</v>
      </c>
      <c r="CB34" s="990"/>
      <c r="CC34" s="993">
        <v>256.20808011776955</v>
      </c>
      <c r="CD34" s="993">
        <v>165.17663999999999</v>
      </c>
      <c r="CE34" s="990"/>
      <c r="CF34" s="989">
        <v>0</v>
      </c>
      <c r="CG34" s="993">
        <v>6.585</v>
      </c>
      <c r="CH34" s="993">
        <v>1.3169999999999999</v>
      </c>
      <c r="CI34" s="993">
        <v>38</v>
      </c>
      <c r="CJ34" s="993">
        <v>225.83915999999996</v>
      </c>
      <c r="CK34" s="990">
        <v>0.2</v>
      </c>
      <c r="CL34" s="993">
        <v>175.08124000000001</v>
      </c>
      <c r="CM34" s="993">
        <v>60.4</v>
      </c>
      <c r="CN34" s="993">
        <v>42.384</v>
      </c>
      <c r="CO34" s="993">
        <v>156.45894761061641</v>
      </c>
      <c r="CP34" s="993">
        <v>105.53616</v>
      </c>
      <c r="CQ34" s="990"/>
      <c r="CR34" s="993">
        <v>159.24945066654416</v>
      </c>
      <c r="CS34" s="993">
        <v>102.66767999999999</v>
      </c>
      <c r="CT34" s="990"/>
      <c r="CU34" s="993">
        <v>0</v>
      </c>
      <c r="CV34" s="993">
        <v>4.415</v>
      </c>
      <c r="CW34" s="993">
        <v>0.88300000000000001</v>
      </c>
      <c r="CX34" s="993">
        <v>27</v>
      </c>
      <c r="CY34" s="993">
        <v>151.41683999999998</v>
      </c>
      <c r="CZ34" s="990">
        <v>0.2</v>
      </c>
      <c r="DA34" s="988">
        <v>0.3</v>
      </c>
      <c r="DB34" s="988">
        <v>0.7</v>
      </c>
      <c r="DC34" s="988">
        <v>1.2</v>
      </c>
      <c r="DD34" s="988">
        <v>1.2</v>
      </c>
      <c r="DE34" s="1022">
        <v>3</v>
      </c>
      <c r="DF34" s="995">
        <v>0</v>
      </c>
      <c r="DG34" s="995">
        <v>10</v>
      </c>
      <c r="DH34" s="995">
        <v>20</v>
      </c>
      <c r="DI34" s="995">
        <v>70</v>
      </c>
      <c r="DJ34" s="995">
        <v>100</v>
      </c>
      <c r="DK34" s="1017">
        <v>226.85167265994966</v>
      </c>
      <c r="DL34" s="1022">
        <v>18</v>
      </c>
      <c r="DM34" s="989">
        <v>12</v>
      </c>
      <c r="DN34" s="1022">
        <v>1.5</v>
      </c>
      <c r="DO34" s="988">
        <v>1.4</v>
      </c>
      <c r="DP34" s="988">
        <v>1.4</v>
      </c>
      <c r="DQ34" s="988" t="s">
        <v>671</v>
      </c>
      <c r="DR34" s="988" t="s">
        <v>640</v>
      </c>
      <c r="DS34" s="988" t="s">
        <v>640</v>
      </c>
      <c r="DT34" s="988" t="s">
        <v>640</v>
      </c>
      <c r="DU34" s="988" t="s">
        <v>640</v>
      </c>
      <c r="DV34" s="988" t="s">
        <v>640</v>
      </c>
      <c r="DW34" s="988" t="s">
        <v>640</v>
      </c>
      <c r="DX34" s="997">
        <v>4352.421788839999</v>
      </c>
      <c r="DY34" s="997">
        <v>0</v>
      </c>
      <c r="DZ34" s="997">
        <v>0</v>
      </c>
      <c r="EA34" s="997">
        <v>0</v>
      </c>
      <c r="EB34" s="997">
        <v>0</v>
      </c>
      <c r="EC34" s="997">
        <v>0</v>
      </c>
      <c r="ED34" s="997">
        <v>0</v>
      </c>
      <c r="EE34" s="1022">
        <v>4.3524217888399992</v>
      </c>
      <c r="EF34" s="1022">
        <v>18</v>
      </c>
      <c r="EG34" s="991">
        <v>5</v>
      </c>
      <c r="EH34" s="998">
        <v>1.5</v>
      </c>
      <c r="EI34" s="1023">
        <v>1.4</v>
      </c>
      <c r="EJ34" s="1023">
        <v>1.4</v>
      </c>
      <c r="EK34" s="987" t="s">
        <v>694</v>
      </c>
      <c r="EL34" s="988" t="s">
        <v>711</v>
      </c>
      <c r="EM34" s="988" t="s">
        <v>726</v>
      </c>
      <c r="EN34" s="987" t="s">
        <v>671</v>
      </c>
      <c r="EO34" s="988" t="s">
        <v>750</v>
      </c>
      <c r="EP34" s="988" t="s">
        <v>758</v>
      </c>
      <c r="EQ34" s="987" t="s">
        <v>764</v>
      </c>
      <c r="ER34" s="988" t="s">
        <v>770</v>
      </c>
      <c r="ES34" s="987" t="s">
        <v>776</v>
      </c>
      <c r="ET34" s="988" t="s">
        <v>781</v>
      </c>
      <c r="EU34" s="988" t="s">
        <v>786</v>
      </c>
      <c r="EV34" s="988" t="s">
        <v>640</v>
      </c>
      <c r="EW34" s="988" t="s">
        <v>640</v>
      </c>
      <c r="EX34" s="988" t="s">
        <v>640</v>
      </c>
      <c r="EY34" s="988" t="s">
        <v>640</v>
      </c>
      <c r="EZ34" s="988" t="s">
        <v>640</v>
      </c>
      <c r="FA34" s="988" t="s">
        <v>640</v>
      </c>
      <c r="FB34" s="988" t="s">
        <v>640</v>
      </c>
      <c r="FC34" s="988" t="s">
        <v>640</v>
      </c>
      <c r="FD34" s="988" t="s">
        <v>640</v>
      </c>
      <c r="FE34" s="988" t="s">
        <v>640</v>
      </c>
      <c r="FF34" s="988" t="s">
        <v>640</v>
      </c>
      <c r="FG34" s="988" t="s">
        <v>640</v>
      </c>
      <c r="FH34" s="988" t="s">
        <v>640</v>
      </c>
      <c r="FI34" s="988" t="s">
        <v>640</v>
      </c>
      <c r="FJ34" s="988" t="s">
        <v>640</v>
      </c>
      <c r="FK34" s="988" t="s">
        <v>640</v>
      </c>
      <c r="FL34" s="988" t="s">
        <v>640</v>
      </c>
      <c r="FM34" s="988" t="s">
        <v>640</v>
      </c>
      <c r="FN34" s="988" t="s">
        <v>640</v>
      </c>
      <c r="FO34" s="988" t="s">
        <v>640</v>
      </c>
      <c r="FP34" s="988" t="s">
        <v>640</v>
      </c>
      <c r="FQ34" s="988" t="s">
        <v>640</v>
      </c>
      <c r="FR34" s="988" t="s">
        <v>640</v>
      </c>
      <c r="FS34" s="988" t="s">
        <v>640</v>
      </c>
      <c r="FT34" s="988" t="s">
        <v>640</v>
      </c>
      <c r="FU34" s="988" t="s">
        <v>640</v>
      </c>
      <c r="FV34" s="988" t="s">
        <v>640</v>
      </c>
      <c r="FW34" s="988" t="s">
        <v>640</v>
      </c>
      <c r="FX34" s="988" t="s">
        <v>640</v>
      </c>
      <c r="FY34" s="988" t="s">
        <v>640</v>
      </c>
      <c r="FZ34" s="988" t="s">
        <v>640</v>
      </c>
      <c r="GA34" s="988" t="s">
        <v>640</v>
      </c>
      <c r="GB34" s="988" t="s">
        <v>640</v>
      </c>
      <c r="GC34" s="988" t="s">
        <v>640</v>
      </c>
      <c r="GD34" s="988" t="s">
        <v>640</v>
      </c>
      <c r="GE34" s="988" t="s">
        <v>640</v>
      </c>
      <c r="GF34" s="988" t="s">
        <v>640</v>
      </c>
      <c r="GG34" s="988" t="s">
        <v>640</v>
      </c>
      <c r="GH34" s="988" t="s">
        <v>640</v>
      </c>
      <c r="GI34" s="988" t="s">
        <v>640</v>
      </c>
      <c r="GJ34" s="988" t="s">
        <v>640</v>
      </c>
      <c r="GK34" s="988" t="s">
        <v>640</v>
      </c>
      <c r="GL34" s="988" t="s">
        <v>640</v>
      </c>
      <c r="GM34" s="988" t="s">
        <v>640</v>
      </c>
      <c r="GN34" s="988" t="s">
        <v>640</v>
      </c>
      <c r="GO34" s="988" t="s">
        <v>640</v>
      </c>
      <c r="GP34" s="988" t="s">
        <v>640</v>
      </c>
      <c r="GQ34" s="997">
        <v>564.18105823472854</v>
      </c>
      <c r="GR34" s="997">
        <v>94.030176372454747</v>
      </c>
      <c r="GS34" s="997">
        <v>266.81062545684028</v>
      </c>
      <c r="GT34" s="997">
        <v>1680.7894026576284</v>
      </c>
      <c r="GU34" s="997">
        <v>141.04526455868213</v>
      </c>
      <c r="GV34" s="997">
        <v>196.28799317749932</v>
      </c>
      <c r="GW34" s="997">
        <v>239.77694974975961</v>
      </c>
      <c r="GX34" s="997">
        <v>411.38202162948949</v>
      </c>
      <c r="GY34" s="997">
        <v>196.28799317749932</v>
      </c>
      <c r="GZ34" s="997">
        <v>121.06385207953551</v>
      </c>
      <c r="HA34" s="997">
        <v>440.76645174588162</v>
      </c>
      <c r="HB34" s="997">
        <v>0</v>
      </c>
      <c r="HC34" s="997">
        <v>0</v>
      </c>
      <c r="HD34" s="997">
        <v>0</v>
      </c>
      <c r="HE34" s="997">
        <v>0</v>
      </c>
      <c r="HF34" s="997">
        <v>0</v>
      </c>
      <c r="HG34" s="997">
        <v>0</v>
      </c>
      <c r="HH34" s="997">
        <v>0</v>
      </c>
      <c r="HI34" s="997">
        <v>0</v>
      </c>
      <c r="HJ34" s="997">
        <v>0</v>
      </c>
      <c r="HK34" s="997">
        <v>0</v>
      </c>
      <c r="HL34" s="997">
        <v>0</v>
      </c>
      <c r="HM34" s="997">
        <v>0</v>
      </c>
      <c r="HN34" s="997">
        <v>0</v>
      </c>
      <c r="HO34" s="997">
        <v>0</v>
      </c>
      <c r="HP34" s="997">
        <v>0</v>
      </c>
      <c r="HQ34" s="997">
        <v>0</v>
      </c>
      <c r="HR34" s="997">
        <v>0</v>
      </c>
      <c r="HS34" s="997">
        <v>0</v>
      </c>
      <c r="HT34" s="997">
        <v>0</v>
      </c>
      <c r="HU34" s="997">
        <v>0</v>
      </c>
      <c r="HV34" s="997">
        <v>0</v>
      </c>
      <c r="HW34" s="997">
        <v>0</v>
      </c>
      <c r="HX34" s="997">
        <v>0</v>
      </c>
      <c r="HY34" s="997">
        <v>0</v>
      </c>
      <c r="HZ34" s="997">
        <v>0</v>
      </c>
      <c r="IA34" s="997">
        <v>0</v>
      </c>
      <c r="IB34" s="997">
        <v>0</v>
      </c>
      <c r="IC34" s="997">
        <v>0</v>
      </c>
      <c r="ID34" s="997">
        <v>0</v>
      </c>
      <c r="IE34" s="997">
        <v>0</v>
      </c>
      <c r="IF34" s="997">
        <v>0</v>
      </c>
      <c r="IG34" s="997">
        <v>0</v>
      </c>
      <c r="IH34" s="997">
        <v>0</v>
      </c>
      <c r="II34" s="997">
        <v>0</v>
      </c>
      <c r="IJ34" s="997">
        <v>0</v>
      </c>
      <c r="IK34" s="997">
        <v>0</v>
      </c>
      <c r="IL34" s="997">
        <v>0</v>
      </c>
      <c r="IM34" s="997">
        <v>0</v>
      </c>
      <c r="IN34" s="997">
        <v>0</v>
      </c>
      <c r="IO34" s="997">
        <v>0</v>
      </c>
      <c r="IP34" s="997">
        <v>0</v>
      </c>
      <c r="IQ34" s="997">
        <v>0</v>
      </c>
      <c r="IR34" s="997">
        <v>0</v>
      </c>
      <c r="IS34" s="997">
        <v>0</v>
      </c>
      <c r="IT34" s="997">
        <v>0</v>
      </c>
      <c r="IU34" s="997">
        <v>0</v>
      </c>
      <c r="IV34" s="997">
        <v>0</v>
      </c>
      <c r="IW34" s="1019">
        <v>290.67765942825264</v>
      </c>
      <c r="IX34" s="1022">
        <v>179.9</v>
      </c>
      <c r="IY34" s="998">
        <v>2647.0800000000199</v>
      </c>
      <c r="IZ34" s="429">
        <v>12.64</v>
      </c>
      <c r="JA34" s="1022">
        <v>50</v>
      </c>
      <c r="JB34" s="1022">
        <v>1.5</v>
      </c>
      <c r="JC34" s="988">
        <v>1.4</v>
      </c>
      <c r="JD34" s="988">
        <v>1.4</v>
      </c>
      <c r="JE34" s="998">
        <v>2</v>
      </c>
      <c r="JF34" s="1023">
        <v>1.5</v>
      </c>
      <c r="JG34" s="1023">
        <v>0.7</v>
      </c>
      <c r="JH34" s="1023">
        <v>0.7</v>
      </c>
      <c r="JI34" s="1023">
        <v>0.5</v>
      </c>
      <c r="JJ34" s="1019">
        <v>62.447830672471326</v>
      </c>
      <c r="JK34" s="998">
        <v>2647.0800000000199</v>
      </c>
      <c r="JL34" s="429">
        <v>12.64</v>
      </c>
      <c r="JM34" s="1022">
        <v>50</v>
      </c>
      <c r="JN34" s="1022">
        <v>2.4</v>
      </c>
      <c r="JO34" s="988">
        <v>1.7</v>
      </c>
      <c r="JP34" s="988">
        <v>1.7</v>
      </c>
      <c r="JQ34" s="998">
        <v>2</v>
      </c>
      <c r="JR34" s="998">
        <v>2</v>
      </c>
      <c r="JS34" s="998">
        <v>1</v>
      </c>
      <c r="JT34" s="998">
        <v>1</v>
      </c>
      <c r="JU34" s="1023">
        <v>0.5</v>
      </c>
      <c r="JV34" s="1004">
        <v>2000</v>
      </c>
      <c r="JW34" s="1019">
        <v>105.46392639168118</v>
      </c>
      <c r="JX34" s="1019">
        <v>500</v>
      </c>
      <c r="JY34" s="1022">
        <v>2.5</v>
      </c>
      <c r="JZ34" s="1022">
        <v>1.3</v>
      </c>
      <c r="KA34" s="1022">
        <v>1.3</v>
      </c>
      <c r="KB34" s="1023">
        <v>2</v>
      </c>
      <c r="KC34" s="1023">
        <v>1.5</v>
      </c>
      <c r="KD34" s="1023">
        <v>0.5</v>
      </c>
      <c r="KE34" s="1023">
        <v>1</v>
      </c>
      <c r="KF34" s="1023">
        <v>0.5</v>
      </c>
      <c r="KG34" s="997">
        <v>14.055497509598489</v>
      </c>
      <c r="KH34" s="997">
        <v>2.5085887808383954E-4</v>
      </c>
      <c r="KI34" s="997">
        <v>85.865105655487966</v>
      </c>
      <c r="KJ34" s="997"/>
      <c r="KK34" s="997">
        <v>1.5553250441198053E-2</v>
      </c>
      <c r="KL34" s="997">
        <v>6.3592725594253316E-2</v>
      </c>
      <c r="KM34" s="997"/>
      <c r="KN34" s="997"/>
      <c r="KO34" s="997"/>
      <c r="KP34" s="1006">
        <v>580</v>
      </c>
      <c r="KQ34" s="1006">
        <v>580</v>
      </c>
      <c r="KR34" s="1006">
        <v>580</v>
      </c>
      <c r="KS34" s="1006">
        <v>580</v>
      </c>
      <c r="KT34" s="1006"/>
      <c r="KU34" s="1006">
        <v>580</v>
      </c>
      <c r="KV34" s="1006">
        <v>580</v>
      </c>
      <c r="KW34" s="1006">
        <v>580</v>
      </c>
      <c r="KX34" s="1006">
        <v>580</v>
      </c>
      <c r="KY34" s="993">
        <v>370</v>
      </c>
      <c r="KZ34" s="993">
        <v>370</v>
      </c>
      <c r="LA34" s="993">
        <v>370</v>
      </c>
      <c r="LB34" s="993">
        <v>370</v>
      </c>
      <c r="LC34" s="993"/>
      <c r="LD34" s="993">
        <v>370</v>
      </c>
      <c r="LE34" s="993">
        <v>370</v>
      </c>
      <c r="LF34" s="993">
        <v>370</v>
      </c>
      <c r="LG34" s="993">
        <v>370</v>
      </c>
      <c r="LH34" s="995">
        <v>0</v>
      </c>
      <c r="LI34" s="995">
        <v>10</v>
      </c>
      <c r="LJ34" s="995">
        <v>20</v>
      </c>
      <c r="LK34" s="995">
        <v>70</v>
      </c>
      <c r="LL34" s="995">
        <v>100</v>
      </c>
      <c r="LM34" s="1004">
        <v>1000</v>
      </c>
      <c r="LN34" s="1019">
        <v>710.82336727317727</v>
      </c>
      <c r="LO34" s="988">
        <v>29</v>
      </c>
      <c r="LP34" s="1022">
        <v>1.7</v>
      </c>
      <c r="LQ34" s="988">
        <v>1.2</v>
      </c>
      <c r="LR34" s="988">
        <v>1.2</v>
      </c>
      <c r="LS34" s="1023">
        <v>2</v>
      </c>
      <c r="LT34" s="1023">
        <v>1</v>
      </c>
      <c r="LU34" s="1023">
        <v>0.5</v>
      </c>
      <c r="LV34" s="1023">
        <v>0.7</v>
      </c>
      <c r="LW34" s="1023">
        <v>0.2</v>
      </c>
      <c r="LX34" s="1004">
        <v>1500</v>
      </c>
      <c r="LY34" s="1008">
        <v>500</v>
      </c>
      <c r="LZ34" s="1008">
        <v>1</v>
      </c>
      <c r="MA34" s="997" t="s">
        <v>2914</v>
      </c>
      <c r="MB34" s="1023" t="s">
        <v>905</v>
      </c>
      <c r="MC34" s="1023" t="s">
        <v>2932</v>
      </c>
      <c r="MD34" s="1024" t="s">
        <v>906</v>
      </c>
      <c r="ME34" s="1009">
        <v>0.5</v>
      </c>
      <c r="MF34" s="1010">
        <v>0.75</v>
      </c>
      <c r="MG34" s="1010">
        <v>1</v>
      </c>
      <c r="MH34" s="1010">
        <v>2</v>
      </c>
      <c r="MI34" s="1010">
        <v>0.5</v>
      </c>
      <c r="MJ34" s="1010">
        <v>0.75</v>
      </c>
      <c r="MK34" s="1010">
        <v>1</v>
      </c>
      <c r="ML34" s="1010">
        <v>2</v>
      </c>
      <c r="MM34" s="1010">
        <v>0</v>
      </c>
      <c r="MN34" s="1010">
        <v>0.5</v>
      </c>
      <c r="MO34" s="1010">
        <v>1</v>
      </c>
      <c r="MP34" s="1010">
        <v>2</v>
      </c>
      <c r="MQ34" s="1010">
        <v>0</v>
      </c>
      <c r="MR34" s="1010">
        <v>0.5</v>
      </c>
      <c r="MS34" s="1010">
        <v>1</v>
      </c>
      <c r="MT34" s="1010">
        <v>2</v>
      </c>
      <c r="MU34" s="1001">
        <v>0</v>
      </c>
      <c r="MV34" s="1001">
        <v>0</v>
      </c>
      <c r="MW34" s="1001">
        <v>0</v>
      </c>
      <c r="MX34" s="1025">
        <v>0</v>
      </c>
      <c r="MY34" s="1025">
        <v>0</v>
      </c>
      <c r="MZ34" s="1025">
        <v>0</v>
      </c>
      <c r="NA34" s="1025">
        <v>0</v>
      </c>
      <c r="NB34" s="1025">
        <v>0</v>
      </c>
      <c r="NC34" s="1025">
        <v>0</v>
      </c>
      <c r="ND34" s="1025">
        <v>0</v>
      </c>
      <c r="NE34" s="1025">
        <v>0</v>
      </c>
      <c r="NF34" s="1025">
        <v>0</v>
      </c>
      <c r="NG34" s="1025">
        <v>0</v>
      </c>
      <c r="NH34" s="1025">
        <v>0</v>
      </c>
      <c r="NI34" s="1025">
        <v>0</v>
      </c>
      <c r="NJ34" s="1025">
        <v>0</v>
      </c>
      <c r="NK34" s="1025">
        <v>0</v>
      </c>
      <c r="NL34" s="1025">
        <v>0</v>
      </c>
      <c r="NM34" s="1025">
        <v>0</v>
      </c>
      <c r="NN34" s="1025">
        <v>0</v>
      </c>
      <c r="NO34" s="1025">
        <v>0</v>
      </c>
      <c r="NP34" s="1025">
        <v>0</v>
      </c>
      <c r="NQ34" s="1025">
        <v>0</v>
      </c>
      <c r="NR34" s="1025">
        <v>0</v>
      </c>
      <c r="NS34" s="1025">
        <v>0</v>
      </c>
      <c r="NT34" s="1025">
        <v>0</v>
      </c>
      <c r="NU34" s="1025">
        <v>0</v>
      </c>
      <c r="NV34" s="1025">
        <v>2.6833615563598801</v>
      </c>
      <c r="NW34" s="1025">
        <v>0</v>
      </c>
      <c r="NX34" s="1025">
        <v>6.9587642192350002E-2</v>
      </c>
      <c r="NY34" s="1025">
        <v>0</v>
      </c>
      <c r="NZ34" s="1025">
        <v>1.84</v>
      </c>
      <c r="OA34" s="1025">
        <v>0</v>
      </c>
      <c r="OB34" s="1025">
        <v>0.68273251192369</v>
      </c>
      <c r="OC34" s="1025">
        <v>0</v>
      </c>
      <c r="OD34" s="1025">
        <v>6.6704932874049994E-2</v>
      </c>
      <c r="OE34" s="1025">
        <v>0</v>
      </c>
      <c r="OF34" s="1025">
        <v>1.62828007419184</v>
      </c>
      <c r="OG34" s="1025">
        <v>0</v>
      </c>
      <c r="OH34" s="1025">
        <v>0.69</v>
      </c>
      <c r="OI34" s="1025">
        <v>0</v>
      </c>
      <c r="OJ34" s="1025">
        <v>6.9577493816980002E-2</v>
      </c>
      <c r="OK34" s="1025">
        <v>0</v>
      </c>
      <c r="OL34" s="1025">
        <v>1.74</v>
      </c>
      <c r="OM34" s="1025">
        <v>0</v>
      </c>
      <c r="ON34" s="1025">
        <v>3.3331873905429101</v>
      </c>
      <c r="OO34" s="1025">
        <v>0</v>
      </c>
      <c r="OP34" s="1025">
        <v>6.9570928196150003E-2</v>
      </c>
      <c r="OQ34" s="1025">
        <v>0</v>
      </c>
      <c r="OR34" s="1025">
        <v>2.64</v>
      </c>
      <c r="OS34" s="1025">
        <v>0</v>
      </c>
      <c r="OT34" s="1025">
        <v>0.69</v>
      </c>
      <c r="OU34" s="1025">
        <v>0</v>
      </c>
      <c r="OV34" s="1025">
        <v>6.9569872276479996E-2</v>
      </c>
      <c r="OW34" s="1025">
        <v>0</v>
      </c>
      <c r="OX34" s="1025">
        <v>2.2000000000000002</v>
      </c>
      <c r="OY34" s="1025">
        <v>0</v>
      </c>
      <c r="OZ34" s="1025">
        <v>-97.52</v>
      </c>
      <c r="PA34" s="1025">
        <v>-19.739999999999998</v>
      </c>
      <c r="PB34" s="1025">
        <v>-0.25014031720742003</v>
      </c>
      <c r="PC34" s="1025">
        <v>0</v>
      </c>
      <c r="PD34" s="1025">
        <v>-1.84</v>
      </c>
      <c r="PE34" s="1025">
        <v>0</v>
      </c>
      <c r="PF34" s="1025">
        <v>0.56283802882253997</v>
      </c>
      <c r="PG34" s="1025">
        <v>0</v>
      </c>
      <c r="PH34" s="1025">
        <v>-1.35404365554E-3</v>
      </c>
      <c r="PI34" s="1025">
        <v>0</v>
      </c>
      <c r="PJ34" s="1025">
        <v>-0.1</v>
      </c>
      <c r="PK34" s="1025">
        <v>0</v>
      </c>
      <c r="PL34" s="1025">
        <v>-1.14273171047684</v>
      </c>
      <c r="PM34" s="1025">
        <v>0</v>
      </c>
      <c r="PN34" s="1025">
        <v>0</v>
      </c>
      <c r="PO34" s="1025">
        <v>0</v>
      </c>
      <c r="PP34" s="1025">
        <v>-0.1</v>
      </c>
      <c r="PQ34" s="1025">
        <v>0</v>
      </c>
      <c r="PR34" s="1025">
        <v>1.34349580534743</v>
      </c>
      <c r="PS34" s="1025">
        <v>0</v>
      </c>
      <c r="PT34" s="1025">
        <v>0</v>
      </c>
      <c r="PU34" s="1025">
        <v>0</v>
      </c>
      <c r="PV34" s="1025">
        <v>0.8</v>
      </c>
      <c r="PW34" s="1025">
        <v>0</v>
      </c>
      <c r="PX34" s="1025">
        <v>1.2463573754605599</v>
      </c>
      <c r="PY34" s="1025">
        <v>0</v>
      </c>
      <c r="PZ34" s="1025">
        <v>0</v>
      </c>
      <c r="QA34" s="1025">
        <v>0</v>
      </c>
      <c r="QB34" s="1025">
        <v>0.34</v>
      </c>
      <c r="QC34" s="1025">
        <v>0</v>
      </c>
      <c r="QD34" s="1025">
        <v>-97.52</v>
      </c>
      <c r="QE34" s="1025">
        <v>-19.739999999999998</v>
      </c>
      <c r="QF34" s="1025">
        <v>-0.10400802450575</v>
      </c>
      <c r="QG34" s="1025">
        <v>0</v>
      </c>
      <c r="QH34" s="1025">
        <v>-1.74</v>
      </c>
      <c r="QI34" s="1025">
        <v>0</v>
      </c>
      <c r="QJ34" s="1025">
        <v>-0.27012264467121</v>
      </c>
      <c r="QK34" s="1025">
        <v>0</v>
      </c>
      <c r="QL34" s="1025">
        <v>0</v>
      </c>
      <c r="QM34" s="1025">
        <v>0</v>
      </c>
      <c r="QN34" s="1025">
        <v>0.1</v>
      </c>
      <c r="QO34" s="1025">
        <v>0</v>
      </c>
      <c r="QP34" s="1025">
        <v>0</v>
      </c>
      <c r="QQ34" s="1025">
        <v>0</v>
      </c>
      <c r="QR34" s="1025">
        <v>0</v>
      </c>
      <c r="QS34" s="1025">
        <v>0</v>
      </c>
      <c r="QT34" s="1025">
        <v>0</v>
      </c>
      <c r="QU34" s="1025">
        <v>0</v>
      </c>
      <c r="QV34" s="1025">
        <v>1.111993279469E-2</v>
      </c>
      <c r="QW34" s="1025">
        <v>0</v>
      </c>
      <c r="QX34" s="1025">
        <v>0</v>
      </c>
      <c r="QY34" s="1025">
        <v>0</v>
      </c>
      <c r="QZ34" s="1025">
        <v>0.9</v>
      </c>
      <c r="RA34" s="1025">
        <v>0</v>
      </c>
      <c r="RB34" s="1025">
        <v>1.187990169642E-2</v>
      </c>
      <c r="RC34" s="1025">
        <v>0</v>
      </c>
      <c r="RD34" s="1025">
        <v>0</v>
      </c>
      <c r="RE34" s="1025">
        <v>0</v>
      </c>
      <c r="RF34" s="1025">
        <v>0.44</v>
      </c>
      <c r="RG34" s="1025">
        <v>0</v>
      </c>
      <c r="RH34" s="1011">
        <v>0</v>
      </c>
      <c r="RI34" s="1026">
        <v>0</v>
      </c>
      <c r="RJ34" s="1026">
        <v>0</v>
      </c>
      <c r="RK34" s="1026">
        <v>0</v>
      </c>
      <c r="RL34" s="1026">
        <v>0</v>
      </c>
      <c r="RM34" s="1011">
        <v>0</v>
      </c>
      <c r="RN34" s="1011">
        <v>0</v>
      </c>
      <c r="RO34" s="1011">
        <v>0</v>
      </c>
      <c r="RP34" s="1011">
        <v>0</v>
      </c>
      <c r="RQ34" s="1011">
        <v>0</v>
      </c>
      <c r="RR34" s="1011">
        <v>0</v>
      </c>
      <c r="RS34" s="1011">
        <v>0</v>
      </c>
      <c r="RT34" s="1011">
        <v>-2.83615825052639</v>
      </c>
      <c r="RU34" s="1011">
        <v>0</v>
      </c>
      <c r="RV34" s="1011">
        <v>-0.2596290095171</v>
      </c>
      <c r="RW34" s="1011">
        <v>0</v>
      </c>
      <c r="RX34" s="1011">
        <v>-1.75</v>
      </c>
      <c r="RY34" s="1011">
        <v>0</v>
      </c>
      <c r="RZ34" s="1026">
        <v>8.6542805107000007E-2</v>
      </c>
      <c r="SA34" s="1026">
        <v>0</v>
      </c>
      <c r="SB34" s="1026">
        <v>0</v>
      </c>
      <c r="SC34" s="1026">
        <v>0</v>
      </c>
      <c r="SD34" s="1026">
        <v>0.1</v>
      </c>
      <c r="SE34" s="1026">
        <v>0</v>
      </c>
      <c r="SF34" s="1026">
        <v>-1.1444113160500001E-3</v>
      </c>
      <c r="SG34" s="1026">
        <v>0</v>
      </c>
      <c r="SH34" s="1026">
        <v>0</v>
      </c>
      <c r="SI34" s="1026">
        <v>0</v>
      </c>
      <c r="SJ34" s="1026">
        <v>0</v>
      </c>
      <c r="SK34" s="1026">
        <v>0</v>
      </c>
      <c r="SL34" s="1025">
        <v>-97.52</v>
      </c>
      <c r="SM34" s="1025">
        <v>-19.739999999999998</v>
      </c>
      <c r="SN34" s="1025">
        <v>-0.25308734369079</v>
      </c>
      <c r="SO34" s="1025">
        <v>0</v>
      </c>
      <c r="SP34" s="1025">
        <v>-2.64</v>
      </c>
      <c r="SQ34" s="1025">
        <v>0</v>
      </c>
      <c r="SR34" s="1025">
        <v>-0.12951742685487999</v>
      </c>
      <c r="SS34" s="1025">
        <v>0</v>
      </c>
      <c r="ST34" s="1025">
        <v>0</v>
      </c>
      <c r="SU34" s="1025">
        <v>0</v>
      </c>
      <c r="SV34" s="1025">
        <v>-0.8</v>
      </c>
      <c r="SW34" s="1025">
        <v>0</v>
      </c>
      <c r="SX34" s="1025">
        <v>-3.2832383524249997E-2</v>
      </c>
      <c r="SY34" s="1025">
        <v>0</v>
      </c>
      <c r="SZ34" s="1025">
        <v>0</v>
      </c>
      <c r="TA34" s="1025">
        <v>0</v>
      </c>
      <c r="TB34" s="1025">
        <v>-0.9</v>
      </c>
      <c r="TC34" s="1025">
        <v>0</v>
      </c>
      <c r="TD34" s="1025">
        <v>0</v>
      </c>
      <c r="TE34" s="1025">
        <v>0</v>
      </c>
      <c r="TF34" s="1025">
        <v>0</v>
      </c>
      <c r="TG34" s="1025">
        <v>0</v>
      </c>
      <c r="TH34" s="1025">
        <v>-0.9</v>
      </c>
      <c r="TI34" s="1025">
        <v>0</v>
      </c>
      <c r="TJ34" s="1025">
        <v>0</v>
      </c>
      <c r="TK34" s="1025">
        <v>0</v>
      </c>
      <c r="TL34" s="1025">
        <v>0</v>
      </c>
      <c r="TM34" s="1025">
        <v>0</v>
      </c>
      <c r="TN34" s="1025">
        <v>-0.44</v>
      </c>
      <c r="TO34" s="1025">
        <v>0</v>
      </c>
      <c r="TP34" s="1025">
        <v>-97.52</v>
      </c>
      <c r="TQ34" s="1025">
        <v>-19.739999999999998</v>
      </c>
      <c r="TR34" s="1025">
        <v>-0.25433333333333003</v>
      </c>
      <c r="TS34" s="1025">
        <v>0</v>
      </c>
      <c r="TT34" s="1025">
        <v>-2.2000000000000002</v>
      </c>
      <c r="TU34" s="1025">
        <v>0</v>
      </c>
      <c r="TV34" s="1025">
        <v>-4.0922199923140001E-2</v>
      </c>
      <c r="TW34" s="1025">
        <v>0</v>
      </c>
      <c r="TX34" s="1025">
        <v>-0.34</v>
      </c>
      <c r="TY34" s="1025">
        <v>0</v>
      </c>
      <c r="TZ34" s="1025">
        <v>0</v>
      </c>
      <c r="UA34" s="1025">
        <v>0</v>
      </c>
      <c r="UB34" s="1025">
        <v>-2.3640582224400001E-3</v>
      </c>
      <c r="UC34" s="1025">
        <v>0</v>
      </c>
      <c r="UD34" s="1025">
        <v>0</v>
      </c>
      <c r="UE34" s="1025">
        <v>0</v>
      </c>
      <c r="UF34" s="1025">
        <v>-0.44</v>
      </c>
      <c r="UG34" s="1025">
        <v>0</v>
      </c>
      <c r="UH34" s="1025">
        <v>0</v>
      </c>
      <c r="UI34" s="1025">
        <v>0</v>
      </c>
      <c r="UJ34" s="1025">
        <v>0</v>
      </c>
      <c r="UK34" s="1025">
        <v>0</v>
      </c>
      <c r="UL34" s="1025">
        <v>-0.44</v>
      </c>
      <c r="UM34" s="1025">
        <v>0</v>
      </c>
      <c r="UN34" s="1025">
        <v>0</v>
      </c>
      <c r="UO34" s="1025">
        <v>0</v>
      </c>
      <c r="UP34" s="1025">
        <v>0</v>
      </c>
      <c r="UQ34" s="1025">
        <v>0</v>
      </c>
      <c r="UR34" s="1025">
        <v>-0.44</v>
      </c>
      <c r="US34" s="1025">
        <v>0</v>
      </c>
      <c r="UT34" s="1025">
        <v>0.96294229597153003</v>
      </c>
      <c r="UU34" s="1025">
        <v>0</v>
      </c>
      <c r="UV34" s="1025">
        <v>0</v>
      </c>
      <c r="UW34" s="1025">
        <v>0</v>
      </c>
      <c r="UX34" s="1025">
        <v>0</v>
      </c>
      <c r="UY34" s="1025">
        <v>-0.67989002356637995</v>
      </c>
      <c r="UZ34" s="1025">
        <v>5.2159287430749997E-2</v>
      </c>
      <c r="VA34" s="1025">
        <v>0</v>
      </c>
      <c r="VB34" s="1025">
        <v>-5.3537722710599997E-3</v>
      </c>
      <c r="VC34" s="1025">
        <v>0</v>
      </c>
      <c r="VD34" s="1025">
        <v>5.0710626591479999E-2</v>
      </c>
      <c r="VE34" s="1025">
        <v>-9.9999999999999893</v>
      </c>
      <c r="VF34" s="1025">
        <v>0.13552942696778</v>
      </c>
      <c r="VG34" s="1025">
        <v>0</v>
      </c>
      <c r="VH34" s="1025">
        <v>0</v>
      </c>
      <c r="VI34" s="1025">
        <v>0</v>
      </c>
      <c r="VJ34" s="1025">
        <v>0</v>
      </c>
      <c r="VK34" s="1025">
        <v>-2.5</v>
      </c>
      <c r="VL34" s="1025">
        <v>0</v>
      </c>
      <c r="VM34" s="1025">
        <v>0</v>
      </c>
      <c r="VN34" s="1025">
        <v>0</v>
      </c>
      <c r="VO34" s="1025">
        <v>0</v>
      </c>
      <c r="VP34" s="1025">
        <v>0</v>
      </c>
      <c r="VQ34" s="1025">
        <v>0</v>
      </c>
      <c r="VR34" s="1010">
        <v>0</v>
      </c>
      <c r="VS34" s="1010">
        <v>0</v>
      </c>
      <c r="VT34" s="1010">
        <v>0</v>
      </c>
      <c r="VU34" s="1010">
        <v>0</v>
      </c>
      <c r="VV34" s="1010">
        <v>0</v>
      </c>
      <c r="VW34" s="1010">
        <v>0</v>
      </c>
      <c r="VX34" s="1025">
        <v>0</v>
      </c>
      <c r="VY34" s="1025">
        <v>0</v>
      </c>
      <c r="VZ34" s="1025">
        <v>0</v>
      </c>
      <c r="WA34" s="1025">
        <v>0</v>
      </c>
      <c r="WB34" s="1025">
        <v>0</v>
      </c>
      <c r="WC34" s="1025">
        <v>0</v>
      </c>
      <c r="WD34" s="995">
        <v>202</v>
      </c>
      <c r="WE34" s="995">
        <v>267</v>
      </c>
      <c r="WF34" s="995">
        <v>354</v>
      </c>
      <c r="WG34" s="995">
        <v>382</v>
      </c>
      <c r="WH34" s="995">
        <v>403</v>
      </c>
      <c r="WI34" s="995">
        <v>0</v>
      </c>
      <c r="WJ34" s="995">
        <v>1300</v>
      </c>
      <c r="WK34" s="1001">
        <v>0</v>
      </c>
      <c r="WL34" s="1001">
        <v>0</v>
      </c>
      <c r="WM34" s="1001">
        <v>0</v>
      </c>
      <c r="WN34" s="1001">
        <v>0</v>
      </c>
      <c r="WO34" s="1001">
        <v>0</v>
      </c>
      <c r="WP34" s="1001">
        <v>0</v>
      </c>
      <c r="WQ34" s="1001">
        <v>0</v>
      </c>
      <c r="WR34" s="1001">
        <v>0</v>
      </c>
      <c r="WS34" s="1001">
        <v>0</v>
      </c>
      <c r="WT34" s="1001">
        <v>0</v>
      </c>
      <c r="WU34" s="1001">
        <v>0</v>
      </c>
      <c r="WV34" s="1001">
        <v>0</v>
      </c>
      <c r="WW34" s="1001">
        <v>0</v>
      </c>
      <c r="WX34" s="1001">
        <v>0</v>
      </c>
      <c r="WY34" s="1001">
        <v>0</v>
      </c>
      <c r="WZ34" s="1001">
        <v>0</v>
      </c>
      <c r="XA34" s="1001">
        <v>0</v>
      </c>
      <c r="XB34" s="1001">
        <v>0</v>
      </c>
      <c r="XC34" s="1001">
        <v>0</v>
      </c>
      <c r="XD34" s="1001">
        <v>0</v>
      </c>
      <c r="XE34" s="1001">
        <v>0</v>
      </c>
      <c r="XF34" s="1001">
        <v>0</v>
      </c>
      <c r="XG34" s="1001">
        <v>0</v>
      </c>
      <c r="XH34" s="1001">
        <v>0</v>
      </c>
      <c r="XI34" s="1001">
        <v>0</v>
      </c>
      <c r="XJ34" s="1001">
        <v>0</v>
      </c>
      <c r="XK34" s="1001">
        <v>0</v>
      </c>
      <c r="XL34" s="1001">
        <v>0</v>
      </c>
      <c r="XM34" s="1001">
        <v>0</v>
      </c>
      <c r="XN34" s="1001">
        <v>0</v>
      </c>
      <c r="XO34" s="1001">
        <v>0</v>
      </c>
      <c r="XP34" s="1001">
        <v>0</v>
      </c>
      <c r="XQ34" s="1001">
        <v>0</v>
      </c>
      <c r="XR34" s="1027">
        <v>39.758000000000003</v>
      </c>
      <c r="XS34" s="1013">
        <v>31.54079331941545</v>
      </c>
      <c r="XT34" s="1013">
        <v>34.86087682672234</v>
      </c>
      <c r="XU34" s="1013">
        <v>36.520918580375785</v>
      </c>
      <c r="XV34" s="1013">
        <v>56.109411273486437</v>
      </c>
      <c r="XW34" s="1028">
        <v>11428.16446</v>
      </c>
      <c r="XX34" s="1013">
        <v>78</v>
      </c>
      <c r="XY34" s="1013">
        <v>15</v>
      </c>
      <c r="XZ34" s="1013">
        <v>7.0000000000000009</v>
      </c>
      <c r="YA34" s="1029">
        <v>0</v>
      </c>
      <c r="YB34" s="1013">
        <v>540.88034014281652</v>
      </c>
      <c r="YC34" s="1013">
        <v>0</v>
      </c>
      <c r="YD34" s="1013">
        <v>0</v>
      </c>
      <c r="YE34" s="1013">
        <v>0</v>
      </c>
      <c r="YF34" s="1013">
        <v>0</v>
      </c>
      <c r="YG34" s="1013">
        <v>0</v>
      </c>
      <c r="YH34" s="1013">
        <v>1545.372400408047</v>
      </c>
      <c r="YI34" s="1013">
        <v>386.34310010201176</v>
      </c>
      <c r="YJ34" s="1013">
        <v>580.23231535444563</v>
      </c>
      <c r="YK34" s="1013">
        <v>0</v>
      </c>
      <c r="YL34" s="1013">
        <v>0</v>
      </c>
      <c r="YM34" s="1013">
        <v>0</v>
      </c>
      <c r="YN34" s="1013">
        <v>0</v>
      </c>
      <c r="YO34" s="1013">
        <v>0</v>
      </c>
      <c r="YP34" s="1013">
        <v>1657.8066152984159</v>
      </c>
      <c r="YQ34" s="1013">
        <v>414.45165382460397</v>
      </c>
      <c r="YR34" s="1013">
        <v>607.86242560941923</v>
      </c>
      <c r="YS34" s="1013">
        <v>0</v>
      </c>
      <c r="YT34" s="1013">
        <v>0</v>
      </c>
      <c r="YU34" s="1013">
        <v>0</v>
      </c>
      <c r="YV34" s="1013">
        <v>0</v>
      </c>
      <c r="YW34" s="1013">
        <v>0</v>
      </c>
      <c r="YX34" s="1013">
        <v>1736.7497874554833</v>
      </c>
      <c r="YY34" s="1013">
        <v>434.18744686387083</v>
      </c>
      <c r="YZ34" s="1013">
        <v>933.89772661810787</v>
      </c>
      <c r="ZA34" s="1013">
        <v>0</v>
      </c>
      <c r="ZB34" s="1013">
        <v>0</v>
      </c>
      <c r="ZC34" s="1013">
        <v>0</v>
      </c>
      <c r="ZD34" s="1013">
        <v>0</v>
      </c>
      <c r="ZE34" s="1013">
        <v>0</v>
      </c>
      <c r="ZF34" s="1013">
        <v>2668.2792189088791</v>
      </c>
      <c r="ZG34" s="1013">
        <v>667.06980472721978</v>
      </c>
      <c r="ZH34" s="1013">
        <v>476.93626437482129</v>
      </c>
      <c r="ZI34" s="1013">
        <v>1090.1400328567343</v>
      </c>
      <c r="ZJ34" s="1013">
        <v>136.26750410709178</v>
      </c>
      <c r="ZK34" s="1013">
        <v>0</v>
      </c>
      <c r="ZL34" s="1013">
        <v>0</v>
      </c>
      <c r="ZM34" s="1013">
        <v>0</v>
      </c>
      <c r="ZN34" s="1013">
        <v>1362.675041070918</v>
      </c>
      <c r="ZO34" s="1013">
        <v>340.66876026772951</v>
      </c>
      <c r="ZP34" s="1013">
        <v>511.63596162809779</v>
      </c>
      <c r="ZQ34" s="1013">
        <v>1169.4536265785091</v>
      </c>
      <c r="ZR34" s="1013">
        <v>146.18170332231364</v>
      </c>
      <c r="ZS34" s="1013">
        <v>0</v>
      </c>
      <c r="ZT34" s="1013">
        <v>0</v>
      </c>
      <c r="ZU34" s="1013">
        <v>0</v>
      </c>
      <c r="ZV34" s="1013">
        <v>1461.8170332231366</v>
      </c>
      <c r="ZW34" s="1013">
        <v>365.45425830578415</v>
      </c>
      <c r="ZX34" s="1013">
        <v>535.99957884848345</v>
      </c>
      <c r="ZY34" s="1013">
        <v>1225.1418945108192</v>
      </c>
      <c r="ZZ34" s="1013">
        <v>153.14273681385239</v>
      </c>
      <c r="AAA34" s="1013">
        <v>0</v>
      </c>
      <c r="AAB34" s="1013">
        <v>0</v>
      </c>
      <c r="AAC34" s="1013">
        <v>0</v>
      </c>
      <c r="AAD34" s="1013">
        <v>1531.4273681385239</v>
      </c>
      <c r="AAE34" s="1013">
        <v>382.85684203463097</v>
      </c>
      <c r="AAF34" s="1013">
        <v>823.4902620490335</v>
      </c>
      <c r="AAG34" s="1013">
        <v>1882.2634561120765</v>
      </c>
      <c r="AAH34" s="1013">
        <v>235.28293201400956</v>
      </c>
      <c r="AAI34" s="1013">
        <v>0</v>
      </c>
      <c r="AAJ34" s="1013">
        <v>0</v>
      </c>
      <c r="AAK34" s="1013">
        <v>0</v>
      </c>
      <c r="AAL34" s="1013">
        <v>2352.8293201400957</v>
      </c>
      <c r="AAM34" s="1013">
        <v>588.20733003502392</v>
      </c>
      <c r="AAN34" s="1013">
        <v>1269.2658648684762</v>
      </c>
      <c r="AAO34" s="1013">
        <v>2901.179119699374</v>
      </c>
      <c r="AAP34" s="1013">
        <v>362.64738996242176</v>
      </c>
      <c r="AAQ34" s="1013">
        <v>0</v>
      </c>
      <c r="AAR34" s="1013">
        <v>0</v>
      </c>
      <c r="AAS34" s="1013">
        <v>0</v>
      </c>
      <c r="AAT34" s="1013">
        <v>3626.4738996242177</v>
      </c>
      <c r="AAU34" s="1013">
        <v>906.61847490605442</v>
      </c>
      <c r="AAV34" s="1013">
        <v>1402.8727980125261</v>
      </c>
      <c r="AAW34" s="1013">
        <v>3206.5663954572024</v>
      </c>
      <c r="AAX34" s="1013">
        <v>400.8207994321503</v>
      </c>
      <c r="AAY34" s="1013">
        <v>0</v>
      </c>
      <c r="AAZ34" s="1013">
        <v>0</v>
      </c>
      <c r="ABA34" s="1013">
        <v>0</v>
      </c>
      <c r="ABB34" s="1013">
        <v>4008.2079943215031</v>
      </c>
      <c r="ABC34" s="1013">
        <v>1002.0519985803758</v>
      </c>
      <c r="ABD34" s="1013">
        <v>1469.6762645845513</v>
      </c>
      <c r="ABE34" s="1013">
        <v>3359.260033336117</v>
      </c>
      <c r="ABF34" s="1013">
        <v>419.90750416701462</v>
      </c>
      <c r="ABG34" s="1013">
        <v>0</v>
      </c>
      <c r="ABH34" s="1013">
        <v>0</v>
      </c>
      <c r="ABI34" s="1013">
        <v>0</v>
      </c>
      <c r="ABJ34" s="1013">
        <v>4199.0750416701467</v>
      </c>
      <c r="ABK34" s="1013">
        <v>1049.7687604175367</v>
      </c>
      <c r="ABL34" s="1013">
        <v>2257.9571701344471</v>
      </c>
      <c r="ABM34" s="1013">
        <v>5161.0449603073075</v>
      </c>
      <c r="ABN34" s="1013">
        <v>645.13062003841344</v>
      </c>
      <c r="ABO34" s="1013">
        <v>0</v>
      </c>
      <c r="ABP34" s="1013">
        <v>0</v>
      </c>
      <c r="ABQ34" s="1013">
        <v>0</v>
      </c>
      <c r="ABR34" s="1013">
        <v>6451.3062003841342</v>
      </c>
      <c r="ABS34" s="1013">
        <v>1612.8265500960335</v>
      </c>
      <c r="ABT34" s="1013">
        <v>1746.2021292432976</v>
      </c>
      <c r="ABU34" s="1013">
        <v>3991.3191525561083</v>
      </c>
      <c r="ABV34" s="1013">
        <v>498.91489406951354</v>
      </c>
      <c r="ABW34" s="1013">
        <v>0</v>
      </c>
      <c r="ABX34" s="1013">
        <v>0</v>
      </c>
      <c r="ABY34" s="1013">
        <v>0</v>
      </c>
      <c r="ABZ34" s="1013">
        <v>4989.1489406951359</v>
      </c>
      <c r="ACA34" s="1013">
        <v>1247.287235173784</v>
      </c>
      <c r="ACB34" s="1013">
        <v>1848.4912162047403</v>
      </c>
      <c r="ACC34" s="1013">
        <v>4225.1227798965492</v>
      </c>
      <c r="ACD34" s="1013">
        <v>528.14034748706865</v>
      </c>
      <c r="ACE34" s="1013">
        <v>0</v>
      </c>
      <c r="ACF34" s="1013">
        <v>0</v>
      </c>
      <c r="ACG34" s="1013">
        <v>0</v>
      </c>
      <c r="ACH34" s="1013">
        <v>5281.4034748706872</v>
      </c>
      <c r="ACI34" s="1013">
        <v>1320.3508687176718</v>
      </c>
      <c r="ACJ34" s="1013">
        <v>1936.5146074525851</v>
      </c>
      <c r="ACK34" s="1013">
        <v>4426.3191027487655</v>
      </c>
      <c r="ACL34" s="1013">
        <v>553.28988784359569</v>
      </c>
      <c r="ACM34" s="1013">
        <v>0</v>
      </c>
      <c r="ACN34" s="1013">
        <v>0</v>
      </c>
      <c r="ACO34" s="1013">
        <v>0</v>
      </c>
      <c r="ACP34" s="1013">
        <v>5532.8988784359572</v>
      </c>
      <c r="ACQ34" s="1013">
        <v>1383.2247196089893</v>
      </c>
      <c r="ACR34" s="1013">
        <v>2975.1906241771539</v>
      </c>
      <c r="ACS34" s="1013">
        <v>6800.4357124049229</v>
      </c>
      <c r="ACT34" s="1013">
        <v>850.05446405061537</v>
      </c>
      <c r="ACU34" s="1013">
        <v>0</v>
      </c>
      <c r="ACV34" s="1013">
        <v>0</v>
      </c>
      <c r="ACW34" s="1013">
        <v>0</v>
      </c>
      <c r="ACX34" s="1013">
        <v>8500.5446405061539</v>
      </c>
      <c r="ACY34" s="1013">
        <v>2125.1361601265385</v>
      </c>
      <c r="ACZ34" s="1013">
        <v>2261.6009955838304</v>
      </c>
      <c r="ADA34" s="1013">
        <v>5169.373704191612</v>
      </c>
      <c r="ADB34" s="1013">
        <v>646.1717130239515</v>
      </c>
      <c r="ADC34" s="1013">
        <v>0</v>
      </c>
      <c r="ADD34" s="1013">
        <v>0</v>
      </c>
      <c r="ADE34" s="1013">
        <v>0</v>
      </c>
      <c r="ADF34" s="1013">
        <v>6461.7171302395145</v>
      </c>
      <c r="ADG34" s="1013">
        <v>1615.4292825598786</v>
      </c>
      <c r="ADH34" s="1013">
        <v>2417.8925283392368</v>
      </c>
      <c r="ADI34" s="1013">
        <v>5526.6114933468261</v>
      </c>
      <c r="ADJ34" s="1013">
        <v>690.82643666835327</v>
      </c>
      <c r="ADK34" s="1013">
        <v>0</v>
      </c>
      <c r="ADL34" s="1013">
        <v>0</v>
      </c>
      <c r="ADM34" s="1013">
        <v>0</v>
      </c>
      <c r="ADN34" s="1013">
        <v>6908.2643666835329</v>
      </c>
      <c r="ADO34" s="1013">
        <v>1727.0660916708832</v>
      </c>
      <c r="ADP34" s="1013">
        <v>2533.0302677839622</v>
      </c>
      <c r="ADQ34" s="1013">
        <v>5789.7834692204851</v>
      </c>
      <c r="ADR34" s="1013">
        <v>723.72293365256064</v>
      </c>
      <c r="ADS34" s="1013">
        <v>0</v>
      </c>
      <c r="ADT34" s="1013">
        <v>0</v>
      </c>
      <c r="ADU34" s="1013">
        <v>0</v>
      </c>
      <c r="ADV34" s="1013">
        <v>7237.2293365256064</v>
      </c>
      <c r="ADW34" s="1013">
        <v>1809.3073341314016</v>
      </c>
      <c r="ADX34" s="1013">
        <v>3891.6555932317237</v>
      </c>
      <c r="ADY34" s="1013">
        <v>8895.2127845296527</v>
      </c>
      <c r="ADZ34" s="1013">
        <v>1111.9015980662066</v>
      </c>
      <c r="AEA34" s="1013">
        <v>0</v>
      </c>
      <c r="AEB34" s="1013">
        <v>0</v>
      </c>
      <c r="AEC34" s="1013">
        <v>0</v>
      </c>
      <c r="AED34" s="1013">
        <v>11119.015980662067</v>
      </c>
      <c r="AEE34" s="1013">
        <v>2779.7539951655167</v>
      </c>
      <c r="AEF34" s="1013">
        <v>2761.6148211380787</v>
      </c>
      <c r="AEG34" s="1013">
        <v>6312.2624483156078</v>
      </c>
      <c r="AEH34" s="1013">
        <v>789.03280603945097</v>
      </c>
      <c r="AEI34" s="1013">
        <v>0</v>
      </c>
      <c r="AEJ34" s="1013">
        <v>0</v>
      </c>
      <c r="AEK34" s="1013">
        <v>0</v>
      </c>
      <c r="AEL34" s="1013">
        <v>7890.3280603945095</v>
      </c>
      <c r="AEM34" s="1013">
        <v>1972.5820150986274</v>
      </c>
      <c r="AEN34" s="1013">
        <v>2970.7894546147613</v>
      </c>
      <c r="AEO34" s="1013">
        <v>6790.3758962623115</v>
      </c>
      <c r="AEP34" s="1013">
        <v>848.79698703278893</v>
      </c>
      <c r="AEQ34" s="1013">
        <v>0</v>
      </c>
      <c r="AER34" s="1013">
        <v>0</v>
      </c>
      <c r="AES34" s="1013">
        <v>0</v>
      </c>
      <c r="AET34" s="1013">
        <v>8487.96987032789</v>
      </c>
      <c r="AEU34" s="1013">
        <v>2121.9924675819725</v>
      </c>
      <c r="AEV34" s="1013">
        <v>3112.2556191202266</v>
      </c>
      <c r="AEW34" s="1013">
        <v>7113.7271294176608</v>
      </c>
      <c r="AEX34" s="1013">
        <v>889.2158911772076</v>
      </c>
      <c r="AEY34" s="1013">
        <v>0</v>
      </c>
      <c r="AEZ34" s="1013">
        <v>0</v>
      </c>
      <c r="AFA34" s="1013">
        <v>0</v>
      </c>
      <c r="AFB34" s="1013">
        <v>8892.158911772076</v>
      </c>
      <c r="AFC34" s="1013">
        <v>2223.039727943019</v>
      </c>
      <c r="AFD34" s="1013">
        <v>4781.5563602847124</v>
      </c>
      <c r="AFE34" s="1013">
        <v>10929.271680650769</v>
      </c>
      <c r="AFF34" s="1013">
        <v>1366.1589600813461</v>
      </c>
      <c r="AFG34" s="1013">
        <v>0</v>
      </c>
      <c r="AFH34" s="1013">
        <v>0</v>
      </c>
      <c r="AFI34" s="1013">
        <v>0</v>
      </c>
      <c r="AFJ34" s="1013">
        <v>13661.589600813462</v>
      </c>
      <c r="AFK34" s="1013">
        <v>3415.3974002033656</v>
      </c>
      <c r="AFL34" s="1023">
        <v>3184.7034427609042</v>
      </c>
      <c r="AFM34" s="1023">
        <v>7279.3221548820657</v>
      </c>
      <c r="AFN34" s="1023">
        <v>909.91526936025821</v>
      </c>
      <c r="AFO34" s="1023">
        <v>0</v>
      </c>
      <c r="AFP34" s="1023">
        <v>0</v>
      </c>
      <c r="AFQ34" s="1023">
        <v>0</v>
      </c>
      <c r="AFR34" s="1023">
        <v>9099.1526936025821</v>
      </c>
      <c r="AFS34" s="1023">
        <v>2274.7881734006455</v>
      </c>
      <c r="AFT34" s="1023">
        <v>3383.3991010890336</v>
      </c>
      <c r="AFU34" s="1023">
        <v>7733.4836596320756</v>
      </c>
      <c r="AFV34" s="1023">
        <v>966.68545745400945</v>
      </c>
      <c r="AFW34" s="1023">
        <v>0</v>
      </c>
      <c r="AFX34" s="1023">
        <v>0</v>
      </c>
      <c r="AFY34" s="1023">
        <v>0</v>
      </c>
      <c r="AFZ34" s="1023">
        <v>9666.8545745400952</v>
      </c>
      <c r="AGA34" s="1023">
        <v>2416.7136436350238</v>
      </c>
      <c r="AGB34" s="1023">
        <v>3544.513343998035</v>
      </c>
      <c r="AGC34" s="1023">
        <v>8101.7447862812223</v>
      </c>
      <c r="AGD34" s="1023">
        <v>1012.7180982851528</v>
      </c>
      <c r="AGE34" s="1023">
        <v>0</v>
      </c>
      <c r="AGF34" s="1023">
        <v>0</v>
      </c>
      <c r="AGG34" s="1023">
        <v>0</v>
      </c>
      <c r="AGH34" s="1023">
        <v>10127.180982851529</v>
      </c>
      <c r="AGI34" s="1023">
        <v>2531.7952457128822</v>
      </c>
      <c r="AGJ34" s="1023">
        <v>5445.6614103242546</v>
      </c>
      <c r="AGK34" s="1023">
        <v>12447.226080741151</v>
      </c>
      <c r="AGL34" s="1023">
        <v>1555.9032600926439</v>
      </c>
      <c r="AGM34" s="1023">
        <v>0</v>
      </c>
      <c r="AGN34" s="1023">
        <v>0</v>
      </c>
      <c r="AGO34" s="1023">
        <v>0</v>
      </c>
      <c r="AGP34" s="1023">
        <v>15559.032600926439</v>
      </c>
      <c r="AGQ34" s="1023">
        <v>3889.7581502316098</v>
      </c>
      <c r="AGR34" s="1030">
        <v>1269.2658648684762</v>
      </c>
      <c r="AGS34" s="1030">
        <v>2901.179119699374</v>
      </c>
      <c r="AGT34" s="1030">
        <v>362.64738996242176</v>
      </c>
      <c r="AGU34" s="1030">
        <v>0</v>
      </c>
      <c r="AGV34" s="1030">
        <v>0</v>
      </c>
      <c r="AGW34" s="1030">
        <v>0</v>
      </c>
      <c r="AGX34" s="1030">
        <v>3626.4738996242177</v>
      </c>
      <c r="AGY34" s="1030">
        <v>906.61847490605442</v>
      </c>
      <c r="AGZ34" s="1030">
        <v>1402.8727980125261</v>
      </c>
      <c r="AHA34" s="1030">
        <v>3206.5663954572024</v>
      </c>
      <c r="AHB34" s="1030">
        <v>400.8207994321503</v>
      </c>
      <c r="AHC34" s="1030">
        <v>0</v>
      </c>
      <c r="AHD34" s="1030">
        <v>0</v>
      </c>
      <c r="AHE34" s="1030">
        <v>0</v>
      </c>
      <c r="AHF34" s="1030">
        <v>4008.2079943215031</v>
      </c>
      <c r="AHG34" s="1030">
        <v>1002.0519985803758</v>
      </c>
      <c r="AHH34" s="1030">
        <v>1469.6762645845513</v>
      </c>
      <c r="AHI34" s="1030">
        <v>3359.260033336117</v>
      </c>
      <c r="AHJ34" s="1030">
        <v>419.90750416701462</v>
      </c>
      <c r="AHK34" s="1030">
        <v>0</v>
      </c>
      <c r="AHL34" s="1030">
        <v>0</v>
      </c>
      <c r="AHM34" s="1030">
        <v>0</v>
      </c>
      <c r="AHN34" s="1030">
        <v>4199.0750416701467</v>
      </c>
      <c r="AHO34" s="1030">
        <v>1049.7687604175367</v>
      </c>
      <c r="AHP34" s="1030">
        <v>2257.9571701344471</v>
      </c>
      <c r="AHQ34" s="1030">
        <v>5161.0449603073075</v>
      </c>
      <c r="AHR34" s="1030">
        <v>645.13062003841344</v>
      </c>
      <c r="AHS34" s="1030">
        <v>0</v>
      </c>
      <c r="AHT34" s="1030">
        <v>0</v>
      </c>
      <c r="AHU34" s="1030">
        <v>0</v>
      </c>
      <c r="AHV34" s="1030">
        <v>6451.3062003841342</v>
      </c>
      <c r="AHW34" s="1030">
        <v>1612.8265500960335</v>
      </c>
      <c r="AHX34" s="1013">
        <v>165</v>
      </c>
      <c r="AHY34" s="1023">
        <v>0</v>
      </c>
      <c r="AHZ34" s="1023">
        <v>0</v>
      </c>
      <c r="AIA34" s="1023">
        <v>0</v>
      </c>
      <c r="AIB34" s="1023">
        <v>0</v>
      </c>
      <c r="AIC34" s="1023">
        <v>0</v>
      </c>
      <c r="AID34" s="1023">
        <v>0</v>
      </c>
      <c r="AIE34" s="1023">
        <v>0</v>
      </c>
      <c r="AIF34" s="1017">
        <v>420</v>
      </c>
      <c r="AIG34" s="1017">
        <v>32.409999999999997</v>
      </c>
      <c r="AIH34" s="1017">
        <v>27.01</v>
      </c>
      <c r="AII34" s="1017">
        <v>0</v>
      </c>
      <c r="AIJ34" s="1017">
        <v>2.52</v>
      </c>
      <c r="AIK34" s="1017">
        <v>3.06</v>
      </c>
      <c r="AIL34" s="1017">
        <v>0</v>
      </c>
      <c r="AIM34" s="1017">
        <v>4.4965266808490847E-2</v>
      </c>
      <c r="AIN34" s="1016">
        <v>350</v>
      </c>
      <c r="AIO34" s="1016">
        <v>64.819999999999993</v>
      </c>
      <c r="AIP34" s="1017">
        <v>54.02</v>
      </c>
      <c r="AIQ34" s="1017">
        <v>0</v>
      </c>
      <c r="AIR34" s="1017">
        <v>5.04</v>
      </c>
      <c r="AIS34" s="1017">
        <v>6.12</v>
      </c>
      <c r="AIT34" s="1017">
        <v>0</v>
      </c>
      <c r="AIU34" s="1017">
        <v>2.7269747394706691E-2</v>
      </c>
      <c r="AIV34" s="1017">
        <v>120</v>
      </c>
      <c r="AIW34" s="1017">
        <v>47.37</v>
      </c>
      <c r="AIX34" s="1017">
        <v>39.47</v>
      </c>
      <c r="AIY34" s="1017">
        <v>0</v>
      </c>
      <c r="AIZ34" s="1017">
        <v>3.68</v>
      </c>
      <c r="AJA34" s="1017">
        <v>4.4800000000000004</v>
      </c>
      <c r="AJB34" s="1017">
        <v>0</v>
      </c>
      <c r="AJC34" s="1017">
        <v>0</v>
      </c>
      <c r="AJD34" s="1017">
        <v>129.6</v>
      </c>
      <c r="AJE34" s="1017">
        <v>96.93</v>
      </c>
      <c r="AJF34" s="1017">
        <v>80.78</v>
      </c>
      <c r="AJG34" s="1017">
        <v>0</v>
      </c>
      <c r="AJH34" s="1017">
        <v>7.54</v>
      </c>
      <c r="AJI34" s="1017">
        <v>9.15</v>
      </c>
      <c r="AJJ34" s="1017">
        <v>0</v>
      </c>
      <c r="AJK34" s="1013">
        <v>0</v>
      </c>
      <c r="AJL34" s="1013">
        <v>160</v>
      </c>
      <c r="AJM34" s="1013">
        <v>17.45</v>
      </c>
      <c r="AJN34" s="1013">
        <v>14.54</v>
      </c>
      <c r="AJO34" s="1013">
        <v>0</v>
      </c>
      <c r="AJP34" s="1013">
        <v>1.36</v>
      </c>
      <c r="AJQ34" s="1013">
        <v>1.65</v>
      </c>
      <c r="AJR34" s="1013">
        <v>0</v>
      </c>
      <c r="AJS34" s="1013">
        <v>1.8435436106219893E-2</v>
      </c>
      <c r="AJT34" s="1029" t="s">
        <v>858</v>
      </c>
      <c r="AJU34" s="988" t="s">
        <v>861</v>
      </c>
      <c r="AJV34" s="988" t="s">
        <v>860</v>
      </c>
      <c r="AJW34" s="988" t="s">
        <v>859</v>
      </c>
      <c r="AJX34" s="988" t="s">
        <v>870</v>
      </c>
      <c r="AJY34" s="988" t="s">
        <v>871</v>
      </c>
      <c r="AJZ34" s="988" t="s">
        <v>872</v>
      </c>
      <c r="AKA34" s="988" t="s">
        <v>873</v>
      </c>
      <c r="AKB34" s="988" t="s">
        <v>874</v>
      </c>
      <c r="AKC34" s="988" t="s">
        <v>875</v>
      </c>
      <c r="AKD34" s="1013">
        <v>90.432692307692307</v>
      </c>
      <c r="AKE34" s="1013">
        <v>0</v>
      </c>
      <c r="AKF34" s="1013">
        <v>0</v>
      </c>
      <c r="AKG34" s="1013">
        <v>0</v>
      </c>
      <c r="AKH34" s="1013">
        <v>0</v>
      </c>
      <c r="AKI34" s="1013">
        <v>0</v>
      </c>
      <c r="AKJ34" s="1013">
        <v>2.3798076923076925</v>
      </c>
      <c r="AKK34" s="1013">
        <v>30.9375</v>
      </c>
      <c r="AKL34" s="1017">
        <v>265.81730769230762</v>
      </c>
      <c r="AKM34" s="1017">
        <v>0</v>
      </c>
      <c r="AKN34" s="1017">
        <v>0</v>
      </c>
      <c r="AKO34" s="1017">
        <v>0</v>
      </c>
      <c r="AKP34" s="1017">
        <v>0</v>
      </c>
      <c r="AKQ34" s="1017">
        <v>0</v>
      </c>
      <c r="AKR34" s="1017">
        <v>6.9951923076923066</v>
      </c>
      <c r="AKS34" s="1017">
        <v>90.937499999999986</v>
      </c>
      <c r="AKT34" s="1016">
        <v>263.07692307692304</v>
      </c>
      <c r="AKU34" s="1016">
        <v>0</v>
      </c>
      <c r="AKV34" s="1017">
        <v>0</v>
      </c>
      <c r="AKW34" s="1017">
        <v>0</v>
      </c>
      <c r="AKX34" s="1017">
        <v>0</v>
      </c>
      <c r="AKY34" s="1017">
        <v>0</v>
      </c>
      <c r="AKZ34" s="1017">
        <v>6.9230769230769234</v>
      </c>
      <c r="ALA34" s="1017">
        <v>90</v>
      </c>
      <c r="ALB34" s="1017">
        <v>117.83653846153845</v>
      </c>
      <c r="ALC34" s="1017">
        <v>0</v>
      </c>
      <c r="ALD34" s="1017">
        <v>0</v>
      </c>
      <c r="ALE34" s="1017">
        <v>0</v>
      </c>
      <c r="ALF34" s="1017">
        <v>0</v>
      </c>
      <c r="ALG34" s="1017">
        <v>0</v>
      </c>
      <c r="ALH34" s="1017">
        <v>3.1009615384615388</v>
      </c>
      <c r="ALI34" s="1017">
        <v>40.3125</v>
      </c>
      <c r="ALJ34" s="1017">
        <v>177.57692307692307</v>
      </c>
      <c r="ALK34" s="1017">
        <v>0</v>
      </c>
      <c r="ALL34" s="1017">
        <v>0</v>
      </c>
      <c r="ALM34" s="1017">
        <v>0</v>
      </c>
      <c r="ALN34" s="1017">
        <v>0</v>
      </c>
      <c r="ALO34" s="1017">
        <v>0</v>
      </c>
      <c r="ALP34" s="1017">
        <v>4.6730769230769234</v>
      </c>
      <c r="ALQ34" s="1013">
        <v>60.75</v>
      </c>
      <c r="ALR34" s="1013">
        <v>106.875</v>
      </c>
      <c r="ALS34" s="1013">
        <v>0</v>
      </c>
      <c r="ALT34" s="1013">
        <v>0</v>
      </c>
      <c r="ALU34" s="1013">
        <v>0</v>
      </c>
      <c r="ALV34" s="1013">
        <v>0</v>
      </c>
      <c r="ALW34" s="1013">
        <v>0</v>
      </c>
      <c r="ALX34" s="1013">
        <v>2.8125</v>
      </c>
      <c r="ALY34" s="1013">
        <v>36.5625</v>
      </c>
    </row>
    <row r="35" spans="1:1013" ht="18" customHeight="1">
      <c r="A35" s="1259" t="s">
        <v>25</v>
      </c>
      <c r="B35" s="1260" t="s">
        <v>3063</v>
      </c>
      <c r="C35" s="1260">
        <v>2022</v>
      </c>
      <c r="D35" s="1269"/>
      <c r="E35" s="1270">
        <v>-0.2</v>
      </c>
      <c r="F35" s="1271">
        <v>-0.4</v>
      </c>
      <c r="G35" s="1271">
        <v>-0.4</v>
      </c>
      <c r="H35" s="76">
        <v>348.18181818181819</v>
      </c>
      <c r="I35" s="75">
        <v>-4.8</v>
      </c>
      <c r="J35" s="1273">
        <v>-2.8</v>
      </c>
      <c r="K35" s="1273">
        <v>-2.8</v>
      </c>
      <c r="L35" s="1265">
        <v>350</v>
      </c>
      <c r="M35" s="1262">
        <v>0</v>
      </c>
      <c r="N35" s="1262">
        <v>0</v>
      </c>
      <c r="O35" s="1262">
        <v>0</v>
      </c>
      <c r="P35" s="76">
        <v>1216.230079338347</v>
      </c>
      <c r="Q35" s="75">
        <v>12</v>
      </c>
      <c r="R35" s="72">
        <v>2.2999999999999998</v>
      </c>
      <c r="S35" s="72">
        <v>0.7</v>
      </c>
      <c r="T35" s="72">
        <v>0.7</v>
      </c>
      <c r="U35" s="1272">
        <v>0.4</v>
      </c>
      <c r="V35" s="1272">
        <v>0</v>
      </c>
      <c r="W35" s="1272">
        <v>94.5</v>
      </c>
      <c r="X35" s="1272">
        <v>2.5</v>
      </c>
      <c r="Y35" s="1272">
        <v>0.5</v>
      </c>
      <c r="Z35" s="75">
        <v>2</v>
      </c>
      <c r="AA35" s="72">
        <v>1.5</v>
      </c>
      <c r="AB35" s="75">
        <v>1</v>
      </c>
      <c r="AC35" s="72">
        <v>0.8</v>
      </c>
      <c r="AD35" s="72">
        <v>0.5</v>
      </c>
      <c r="AE35" s="390">
        <v>433.01922201480062</v>
      </c>
      <c r="AF35" s="390">
        <v>470.67306740739195</v>
      </c>
      <c r="AG35" s="390">
        <v>433.37222681535616</v>
      </c>
      <c r="AH35" s="390">
        <v>649.0581599547935</v>
      </c>
      <c r="AI35" s="400">
        <v>0.82209484106305364</v>
      </c>
      <c r="AJ35" s="390">
        <v>261.91600618637949</v>
      </c>
      <c r="AK35" s="390">
        <v>284.69131107215162</v>
      </c>
      <c r="AL35" s="390">
        <v>262.12952466968363</v>
      </c>
      <c r="AM35" s="390">
        <v>392.58931796849708</v>
      </c>
      <c r="AN35" s="400">
        <v>0.96717040125065135</v>
      </c>
      <c r="AO35" s="77">
        <v>0.1</v>
      </c>
      <c r="AP35" s="77">
        <v>0.2</v>
      </c>
      <c r="AQ35" s="77">
        <v>0.4</v>
      </c>
      <c r="AR35" s="77">
        <v>0.6</v>
      </c>
      <c r="AS35" s="77">
        <v>0.9</v>
      </c>
      <c r="AT35" s="77">
        <v>1.2</v>
      </c>
      <c r="AU35" s="77">
        <v>1.4</v>
      </c>
      <c r="AV35" s="1268">
        <v>0</v>
      </c>
      <c r="AW35" s="1268">
        <v>10</v>
      </c>
      <c r="AX35" s="1268">
        <v>20</v>
      </c>
      <c r="AY35" s="1268">
        <v>70</v>
      </c>
      <c r="AZ35" s="1268">
        <v>100</v>
      </c>
      <c r="BA35" s="1019">
        <v>5412.7575023540339</v>
      </c>
      <c r="BB35" s="1031">
        <v>1.95</v>
      </c>
      <c r="BC35" s="988">
        <v>2.4</v>
      </c>
      <c r="BD35" s="988">
        <v>0.8</v>
      </c>
      <c r="BE35" s="988">
        <v>0.8</v>
      </c>
      <c r="BF35" s="1021">
        <v>0.17111084121059142</v>
      </c>
      <c r="BG35" s="1021">
        <v>0.17335999999999999</v>
      </c>
      <c r="BH35" s="1020">
        <v>2</v>
      </c>
      <c r="BI35" s="1020">
        <v>0.1</v>
      </c>
      <c r="BJ35" s="1020"/>
      <c r="BK35" s="1020">
        <v>51.7</v>
      </c>
      <c r="BL35" s="1020">
        <v>0.4</v>
      </c>
      <c r="BM35" s="1020"/>
      <c r="BN35" s="1020">
        <v>44.3</v>
      </c>
      <c r="BO35" s="1020"/>
      <c r="BP35" s="1020"/>
      <c r="BQ35" s="1020"/>
      <c r="BR35" s="1020"/>
      <c r="BS35" s="1020"/>
      <c r="BT35" s="1020"/>
      <c r="BU35" s="1020"/>
      <c r="BV35" s="1020">
        <v>0.1</v>
      </c>
      <c r="BW35" s="993">
        <v>261.13475999999997</v>
      </c>
      <c r="BX35" s="993">
        <v>96.5</v>
      </c>
      <c r="BY35" s="993">
        <v>63.215999999999994</v>
      </c>
      <c r="BZ35" s="993">
        <v>233.35949490734063</v>
      </c>
      <c r="CA35" s="993">
        <v>157.40783999999999</v>
      </c>
      <c r="CB35" s="990"/>
      <c r="CC35" s="993">
        <v>256.20808011776955</v>
      </c>
      <c r="CD35" s="993">
        <v>165.17663999999999</v>
      </c>
      <c r="CE35" s="990"/>
      <c r="CF35" s="989">
        <v>0</v>
      </c>
      <c r="CG35" s="993">
        <v>6.585</v>
      </c>
      <c r="CH35" s="993">
        <v>1.3169999999999999</v>
      </c>
      <c r="CI35" s="993">
        <v>38</v>
      </c>
      <c r="CJ35" s="993">
        <v>225.83915999999996</v>
      </c>
      <c r="CK35" s="990">
        <v>0.2</v>
      </c>
      <c r="CL35" s="993">
        <v>175.08124000000001</v>
      </c>
      <c r="CM35" s="993">
        <v>60.4</v>
      </c>
      <c r="CN35" s="993">
        <v>42.384</v>
      </c>
      <c r="CO35" s="993">
        <v>156.45894761061641</v>
      </c>
      <c r="CP35" s="993">
        <v>105.53616</v>
      </c>
      <c r="CQ35" s="990"/>
      <c r="CR35" s="993">
        <v>159.24945066654416</v>
      </c>
      <c r="CS35" s="993">
        <v>102.66767999999999</v>
      </c>
      <c r="CT35" s="990"/>
      <c r="CU35" s="993">
        <v>0</v>
      </c>
      <c r="CV35" s="993">
        <v>4.415</v>
      </c>
      <c r="CW35" s="993">
        <v>0.88300000000000001</v>
      </c>
      <c r="CX35" s="993">
        <v>27</v>
      </c>
      <c r="CY35" s="993">
        <v>151.41683999999998</v>
      </c>
      <c r="CZ35" s="990">
        <v>0.2</v>
      </c>
      <c r="DA35" s="988">
        <v>0.3</v>
      </c>
      <c r="DB35" s="988">
        <v>0.7</v>
      </c>
      <c r="DC35" s="988">
        <v>1.2</v>
      </c>
      <c r="DD35" s="988">
        <v>1.2</v>
      </c>
      <c r="DE35" s="1022">
        <v>3</v>
      </c>
      <c r="DF35" s="995">
        <v>0</v>
      </c>
      <c r="DG35" s="995">
        <v>10</v>
      </c>
      <c r="DH35" s="995">
        <v>20</v>
      </c>
      <c r="DI35" s="995">
        <v>70</v>
      </c>
      <c r="DJ35" s="995">
        <v>100</v>
      </c>
      <c r="DK35" s="1017"/>
      <c r="DL35" s="1022">
        <v>18</v>
      </c>
      <c r="DM35" s="989">
        <v>12</v>
      </c>
      <c r="DN35" s="988">
        <v>2.9</v>
      </c>
      <c r="DO35" s="988">
        <v>1.1000000000000001</v>
      </c>
      <c r="DP35" s="988">
        <v>1.1000000000000001</v>
      </c>
      <c r="DQ35" s="1032" t="s">
        <v>643</v>
      </c>
      <c r="DR35" s="988" t="s">
        <v>640</v>
      </c>
      <c r="DS35" s="988" t="s">
        <v>640</v>
      </c>
      <c r="DT35" s="988" t="s">
        <v>640</v>
      </c>
      <c r="DU35" s="988" t="s">
        <v>640</v>
      </c>
      <c r="DV35" s="988" t="s">
        <v>640</v>
      </c>
      <c r="DW35" s="988" t="s">
        <v>640</v>
      </c>
      <c r="DX35" s="997">
        <v>0</v>
      </c>
      <c r="DY35" s="997">
        <v>0</v>
      </c>
      <c r="DZ35" s="997">
        <v>0</v>
      </c>
      <c r="EA35" s="997">
        <v>0</v>
      </c>
      <c r="EB35" s="997">
        <v>0</v>
      </c>
      <c r="EC35" s="997">
        <v>0</v>
      </c>
      <c r="ED35" s="997">
        <v>0</v>
      </c>
      <c r="EE35" s="1022">
        <v>0.14037450000000001</v>
      </c>
      <c r="EF35" s="1022">
        <v>18</v>
      </c>
      <c r="EG35" s="991">
        <v>5</v>
      </c>
      <c r="EH35" s="1023">
        <v>2.9</v>
      </c>
      <c r="EI35" s="1023">
        <v>1.1000000000000001</v>
      </c>
      <c r="EJ35" s="1023">
        <v>1.1000000000000001</v>
      </c>
      <c r="EK35" s="988" t="s">
        <v>695</v>
      </c>
      <c r="EL35" s="988" t="s">
        <v>712</v>
      </c>
      <c r="EM35" s="988" t="s">
        <v>727</v>
      </c>
      <c r="EN35" s="988" t="s">
        <v>640</v>
      </c>
      <c r="EO35" s="988" t="s">
        <v>640</v>
      </c>
      <c r="EP35" s="988" t="s">
        <v>640</v>
      </c>
      <c r="EQ35" s="988" t="s">
        <v>640</v>
      </c>
      <c r="ER35" s="988" t="s">
        <v>640</v>
      </c>
      <c r="ES35" s="988" t="s">
        <v>640</v>
      </c>
      <c r="ET35" s="988" t="s">
        <v>640</v>
      </c>
      <c r="EU35" s="988" t="s">
        <v>640</v>
      </c>
      <c r="EV35" s="988" t="s">
        <v>640</v>
      </c>
      <c r="EW35" s="988" t="s">
        <v>640</v>
      </c>
      <c r="EX35" s="988" t="s">
        <v>640</v>
      </c>
      <c r="EY35" s="988" t="s">
        <v>640</v>
      </c>
      <c r="EZ35" s="988" t="s">
        <v>640</v>
      </c>
      <c r="FA35" s="988" t="s">
        <v>640</v>
      </c>
      <c r="FB35" s="988" t="s">
        <v>640</v>
      </c>
      <c r="FC35" s="988" t="s">
        <v>640</v>
      </c>
      <c r="FD35" s="988" t="s">
        <v>640</v>
      </c>
      <c r="FE35" s="988" t="s">
        <v>640</v>
      </c>
      <c r="FF35" s="988" t="s">
        <v>640</v>
      </c>
      <c r="FG35" s="988" t="s">
        <v>640</v>
      </c>
      <c r="FH35" s="988" t="s">
        <v>640</v>
      </c>
      <c r="FI35" s="988" t="s">
        <v>640</v>
      </c>
      <c r="FJ35" s="988" t="s">
        <v>640</v>
      </c>
      <c r="FK35" s="988" t="s">
        <v>640</v>
      </c>
      <c r="FL35" s="988" t="s">
        <v>640</v>
      </c>
      <c r="FM35" s="988" t="s">
        <v>640</v>
      </c>
      <c r="FN35" s="988" t="s">
        <v>640</v>
      </c>
      <c r="FO35" s="988" t="s">
        <v>640</v>
      </c>
      <c r="FP35" s="988" t="s">
        <v>640</v>
      </c>
      <c r="FQ35" s="988" t="s">
        <v>640</v>
      </c>
      <c r="FR35" s="988" t="s">
        <v>640</v>
      </c>
      <c r="FS35" s="988" t="s">
        <v>640</v>
      </c>
      <c r="FT35" s="988" t="s">
        <v>640</v>
      </c>
      <c r="FU35" s="988" t="s">
        <v>640</v>
      </c>
      <c r="FV35" s="988" t="s">
        <v>640</v>
      </c>
      <c r="FW35" s="988" t="s">
        <v>640</v>
      </c>
      <c r="FX35" s="988" t="s">
        <v>640</v>
      </c>
      <c r="FY35" s="988" t="s">
        <v>640</v>
      </c>
      <c r="FZ35" s="988" t="s">
        <v>640</v>
      </c>
      <c r="GA35" s="988" t="s">
        <v>640</v>
      </c>
      <c r="GB35" s="988" t="s">
        <v>640</v>
      </c>
      <c r="GC35" s="988" t="s">
        <v>640</v>
      </c>
      <c r="GD35" s="988" t="s">
        <v>640</v>
      </c>
      <c r="GE35" s="988" t="s">
        <v>640</v>
      </c>
      <c r="GF35" s="988" t="s">
        <v>640</v>
      </c>
      <c r="GG35" s="988" t="s">
        <v>640</v>
      </c>
      <c r="GH35" s="988" t="s">
        <v>640</v>
      </c>
      <c r="GI35" s="988" t="s">
        <v>640</v>
      </c>
      <c r="GJ35" s="988" t="s">
        <v>640</v>
      </c>
      <c r="GK35" s="988" t="s">
        <v>640</v>
      </c>
      <c r="GL35" s="988" t="s">
        <v>640</v>
      </c>
      <c r="GM35" s="988" t="s">
        <v>640</v>
      </c>
      <c r="GN35" s="988" t="s">
        <v>640</v>
      </c>
      <c r="GO35" s="988" t="s">
        <v>640</v>
      </c>
      <c r="GP35" s="988" t="s">
        <v>640</v>
      </c>
      <c r="GQ35" s="997">
        <v>60.752242622950831</v>
      </c>
      <c r="GR35" s="997">
        <v>70.570786885245909</v>
      </c>
      <c r="GS35" s="997">
        <v>9.0514704918032809</v>
      </c>
      <c r="GT35" s="997">
        <v>0</v>
      </c>
      <c r="GU35" s="997">
        <v>0</v>
      </c>
      <c r="GV35" s="997">
        <v>0</v>
      </c>
      <c r="GW35" s="997">
        <v>0</v>
      </c>
      <c r="GX35" s="997">
        <v>0</v>
      </c>
      <c r="GY35" s="997">
        <v>0</v>
      </c>
      <c r="GZ35" s="997">
        <v>0</v>
      </c>
      <c r="HA35" s="997">
        <v>0</v>
      </c>
      <c r="HB35" s="997">
        <v>0</v>
      </c>
      <c r="HC35" s="997">
        <v>0</v>
      </c>
      <c r="HD35" s="997">
        <v>0</v>
      </c>
      <c r="HE35" s="997">
        <v>0</v>
      </c>
      <c r="HF35" s="997">
        <v>0</v>
      </c>
      <c r="HG35" s="997">
        <v>0</v>
      </c>
      <c r="HH35" s="997">
        <v>0</v>
      </c>
      <c r="HI35" s="997">
        <v>0</v>
      </c>
      <c r="HJ35" s="997">
        <v>0</v>
      </c>
      <c r="HK35" s="997">
        <v>0</v>
      </c>
      <c r="HL35" s="997">
        <v>0</v>
      </c>
      <c r="HM35" s="997">
        <v>0</v>
      </c>
      <c r="HN35" s="997">
        <v>0</v>
      </c>
      <c r="HO35" s="997">
        <v>0</v>
      </c>
      <c r="HP35" s="997">
        <v>0</v>
      </c>
      <c r="HQ35" s="997">
        <v>0</v>
      </c>
      <c r="HR35" s="997">
        <v>0</v>
      </c>
      <c r="HS35" s="997">
        <v>0</v>
      </c>
      <c r="HT35" s="997">
        <v>0</v>
      </c>
      <c r="HU35" s="997">
        <v>0</v>
      </c>
      <c r="HV35" s="997">
        <v>0</v>
      </c>
      <c r="HW35" s="997">
        <v>0</v>
      </c>
      <c r="HX35" s="997">
        <v>0</v>
      </c>
      <c r="HY35" s="997">
        <v>0</v>
      </c>
      <c r="HZ35" s="997">
        <v>0</v>
      </c>
      <c r="IA35" s="997">
        <v>0</v>
      </c>
      <c r="IB35" s="997">
        <v>0</v>
      </c>
      <c r="IC35" s="997">
        <v>0</v>
      </c>
      <c r="ID35" s="997">
        <v>0</v>
      </c>
      <c r="IE35" s="997">
        <v>0</v>
      </c>
      <c r="IF35" s="997">
        <v>0</v>
      </c>
      <c r="IG35" s="997">
        <v>0</v>
      </c>
      <c r="IH35" s="997">
        <v>0</v>
      </c>
      <c r="II35" s="997">
        <v>0</v>
      </c>
      <c r="IJ35" s="997">
        <v>0</v>
      </c>
      <c r="IK35" s="997">
        <v>0</v>
      </c>
      <c r="IL35" s="997">
        <v>0</v>
      </c>
      <c r="IM35" s="997">
        <v>0</v>
      </c>
      <c r="IN35" s="997">
        <v>0</v>
      </c>
      <c r="IO35" s="997">
        <v>0</v>
      </c>
      <c r="IP35" s="997">
        <v>0</v>
      </c>
      <c r="IQ35" s="997">
        <v>0</v>
      </c>
      <c r="IR35" s="997">
        <v>0</v>
      </c>
      <c r="IS35" s="997">
        <v>0</v>
      </c>
      <c r="IT35" s="997">
        <v>0</v>
      </c>
      <c r="IU35" s="997">
        <v>0</v>
      </c>
      <c r="IV35" s="997">
        <v>0</v>
      </c>
      <c r="IW35" s="1019">
        <v>694.53335216192738</v>
      </c>
      <c r="IX35" s="1022">
        <v>179.9</v>
      </c>
      <c r="IY35" s="998">
        <v>2647.0800000000199</v>
      </c>
      <c r="IZ35" s="429">
        <v>12.64</v>
      </c>
      <c r="JA35" s="1022">
        <v>60.876276097376049</v>
      </c>
      <c r="JB35" s="988">
        <v>2.9</v>
      </c>
      <c r="JC35" s="988">
        <v>1.1000000000000001</v>
      </c>
      <c r="JD35" s="988">
        <v>1.1000000000000001</v>
      </c>
      <c r="JE35" s="998">
        <v>2</v>
      </c>
      <c r="JF35" s="1023">
        <v>1.5</v>
      </c>
      <c r="JG35" s="1023">
        <v>0.7</v>
      </c>
      <c r="JH35" s="1023">
        <v>0.7</v>
      </c>
      <c r="JI35" s="1023">
        <v>0.5</v>
      </c>
      <c r="JJ35" s="1019">
        <v>247.60012756555616</v>
      </c>
      <c r="JK35" s="998">
        <v>2647.0800000000199</v>
      </c>
      <c r="JL35" s="429">
        <v>12.64</v>
      </c>
      <c r="JM35" s="1022">
        <v>60.876276097376049</v>
      </c>
      <c r="JN35" s="988">
        <v>2.8</v>
      </c>
      <c r="JO35" s="1022">
        <v>1</v>
      </c>
      <c r="JP35" s="1022">
        <v>1</v>
      </c>
      <c r="JQ35" s="998">
        <v>2</v>
      </c>
      <c r="JR35" s="998">
        <v>2</v>
      </c>
      <c r="JS35" s="998">
        <v>1</v>
      </c>
      <c r="JT35" s="998">
        <v>1</v>
      </c>
      <c r="JU35" s="1023">
        <v>0.5</v>
      </c>
      <c r="JV35" s="1004">
        <v>2000</v>
      </c>
      <c r="JW35" s="1019">
        <v>518.06555086275444</v>
      </c>
      <c r="JX35" s="1019">
        <v>500</v>
      </c>
      <c r="JY35" s="1022">
        <v>1.7</v>
      </c>
      <c r="JZ35" s="1022">
        <v>0.6</v>
      </c>
      <c r="KA35" s="1022">
        <v>0.6</v>
      </c>
      <c r="KB35" s="1023">
        <v>2</v>
      </c>
      <c r="KC35" s="1023">
        <v>1.5</v>
      </c>
      <c r="KD35" s="1023">
        <v>0.5</v>
      </c>
      <c r="KE35" s="1023">
        <v>1</v>
      </c>
      <c r="KF35" s="1023">
        <v>0.5</v>
      </c>
      <c r="KG35" s="997"/>
      <c r="KH35" s="997"/>
      <c r="KI35" s="997"/>
      <c r="KJ35" s="997"/>
      <c r="KK35" s="997"/>
      <c r="KL35" s="997"/>
      <c r="KM35" s="997"/>
      <c r="KN35" s="997"/>
      <c r="KO35" s="997"/>
      <c r="KP35" s="1006">
        <v>580</v>
      </c>
      <c r="KQ35" s="1006">
        <v>580</v>
      </c>
      <c r="KR35" s="1006">
        <v>580</v>
      </c>
      <c r="KS35" s="1006">
        <v>580</v>
      </c>
      <c r="KT35" s="1006"/>
      <c r="KU35" s="1006">
        <v>580</v>
      </c>
      <c r="KV35" s="1006">
        <v>580</v>
      </c>
      <c r="KW35" s="1006">
        <v>580</v>
      </c>
      <c r="KX35" s="1006">
        <v>580</v>
      </c>
      <c r="KY35" s="993">
        <v>370</v>
      </c>
      <c r="KZ35" s="993">
        <v>370</v>
      </c>
      <c r="LA35" s="993">
        <v>370</v>
      </c>
      <c r="LB35" s="993">
        <v>370</v>
      </c>
      <c r="LC35" s="993"/>
      <c r="LD35" s="993">
        <v>370</v>
      </c>
      <c r="LE35" s="993">
        <v>370</v>
      </c>
      <c r="LF35" s="993">
        <v>370</v>
      </c>
      <c r="LG35" s="993">
        <v>370</v>
      </c>
      <c r="LH35" s="995">
        <v>0</v>
      </c>
      <c r="LI35" s="995">
        <v>10</v>
      </c>
      <c r="LJ35" s="995">
        <v>20</v>
      </c>
      <c r="LK35" s="995">
        <v>70</v>
      </c>
      <c r="LL35" s="995">
        <v>100</v>
      </c>
      <c r="LM35" s="1004">
        <v>1000</v>
      </c>
      <c r="LN35" s="1019">
        <v>152.75337966852516</v>
      </c>
      <c r="LO35" s="988">
        <v>29</v>
      </c>
      <c r="LP35" s="988">
        <v>1.4</v>
      </c>
      <c r="LQ35" s="1022">
        <v>0.5</v>
      </c>
      <c r="LR35" s="1022">
        <v>0.5</v>
      </c>
      <c r="LS35" s="1023">
        <v>2</v>
      </c>
      <c r="LT35" s="1023">
        <v>1</v>
      </c>
      <c r="LU35" s="1023">
        <v>0.5</v>
      </c>
      <c r="LV35" s="1023">
        <v>0.7</v>
      </c>
      <c r="LW35" s="1023">
        <v>0.2</v>
      </c>
      <c r="LX35" s="1004">
        <v>1500</v>
      </c>
      <c r="LY35" s="1008">
        <v>500</v>
      </c>
      <c r="LZ35" s="1008">
        <v>1</v>
      </c>
      <c r="MA35" s="997" t="s">
        <v>2914</v>
      </c>
      <c r="MB35" s="1023" t="s">
        <v>905</v>
      </c>
      <c r="MC35" s="1023" t="s">
        <v>2932</v>
      </c>
      <c r="MD35" s="1024" t="s">
        <v>906</v>
      </c>
      <c r="ME35" s="1009">
        <v>0.5</v>
      </c>
      <c r="MF35" s="1010">
        <v>0.75</v>
      </c>
      <c r="MG35" s="1010">
        <v>1</v>
      </c>
      <c r="MH35" s="1010">
        <v>2</v>
      </c>
      <c r="MI35" s="1010">
        <v>0.5</v>
      </c>
      <c r="MJ35" s="1010">
        <v>0.75</v>
      </c>
      <c r="MK35" s="1010">
        <v>1</v>
      </c>
      <c r="ML35" s="1010">
        <v>2</v>
      </c>
      <c r="MM35" s="1010">
        <v>0</v>
      </c>
      <c r="MN35" s="1010">
        <v>0.5</v>
      </c>
      <c r="MO35" s="1010">
        <v>1</v>
      </c>
      <c r="MP35" s="1010">
        <v>2</v>
      </c>
      <c r="MQ35" s="1010">
        <v>0</v>
      </c>
      <c r="MR35" s="1010">
        <v>0.5</v>
      </c>
      <c r="MS35" s="1010">
        <v>1</v>
      </c>
      <c r="MT35" s="1010">
        <v>2</v>
      </c>
      <c r="MU35" s="1001">
        <v>0</v>
      </c>
      <c r="MV35" s="1001">
        <v>0</v>
      </c>
      <c r="MW35" s="1001">
        <v>0</v>
      </c>
      <c r="MX35" s="1025">
        <v>0</v>
      </c>
      <c r="MY35" s="1025">
        <v>0</v>
      </c>
      <c r="MZ35" s="1025">
        <v>0</v>
      </c>
      <c r="NA35" s="1025">
        <v>0</v>
      </c>
      <c r="NB35" s="1025">
        <v>0</v>
      </c>
      <c r="NC35" s="1025">
        <v>0</v>
      </c>
      <c r="ND35" s="1025">
        <v>0</v>
      </c>
      <c r="NE35" s="1025">
        <v>0</v>
      </c>
      <c r="NF35" s="1025">
        <v>0</v>
      </c>
      <c r="NG35" s="1025">
        <v>0</v>
      </c>
      <c r="NH35" s="1025">
        <v>0</v>
      </c>
      <c r="NI35" s="1025">
        <v>0</v>
      </c>
      <c r="NJ35" s="1025">
        <v>0</v>
      </c>
      <c r="NK35" s="1025">
        <v>0</v>
      </c>
      <c r="NL35" s="1025">
        <v>0</v>
      </c>
      <c r="NM35" s="1025">
        <v>0</v>
      </c>
      <c r="NN35" s="1025">
        <v>0</v>
      </c>
      <c r="NO35" s="1025">
        <v>0</v>
      </c>
      <c r="NP35" s="1025">
        <v>0</v>
      </c>
      <c r="NQ35" s="1025">
        <v>0</v>
      </c>
      <c r="NR35" s="1025">
        <v>0</v>
      </c>
      <c r="NS35" s="1025">
        <v>0</v>
      </c>
      <c r="NT35" s="1025">
        <v>0</v>
      </c>
      <c r="NU35" s="1025">
        <v>0</v>
      </c>
      <c r="NV35" s="1025">
        <v>1.5231330000000001</v>
      </c>
      <c r="NW35" s="1025">
        <v>0</v>
      </c>
      <c r="NX35" s="1025">
        <v>0</v>
      </c>
      <c r="NY35" s="1025">
        <v>0.41499999999999998</v>
      </c>
      <c r="NZ35" s="1025">
        <v>1.446</v>
      </c>
      <c r="OA35" s="1025">
        <v>0</v>
      </c>
      <c r="OB35" s="1025">
        <v>1.5231330000000001</v>
      </c>
      <c r="OC35" s="1025">
        <v>0</v>
      </c>
      <c r="OD35" s="1025">
        <v>0</v>
      </c>
      <c r="OE35" s="1025">
        <v>0.41499999999999998</v>
      </c>
      <c r="OF35" s="1025">
        <v>0.70399999999999996</v>
      </c>
      <c r="OG35" s="1025">
        <v>0</v>
      </c>
      <c r="OH35" s="1025">
        <v>0</v>
      </c>
      <c r="OI35" s="1025">
        <v>0</v>
      </c>
      <c r="OJ35" s="1025">
        <v>0</v>
      </c>
      <c r="OK35" s="1025">
        <v>0</v>
      </c>
      <c r="OL35" s="1025">
        <v>0</v>
      </c>
      <c r="OM35" s="1025">
        <v>0</v>
      </c>
      <c r="ON35" s="1025">
        <v>0</v>
      </c>
      <c r="OO35" s="1025">
        <v>0</v>
      </c>
      <c r="OP35" s="1025">
        <v>0</v>
      </c>
      <c r="OQ35" s="1025">
        <v>0</v>
      </c>
      <c r="OR35" s="1025">
        <v>0</v>
      </c>
      <c r="OS35" s="1025">
        <v>0</v>
      </c>
      <c r="OT35" s="1025">
        <v>1.5231330000000001</v>
      </c>
      <c r="OU35" s="1025">
        <v>0</v>
      </c>
      <c r="OV35" s="1025">
        <v>0</v>
      </c>
      <c r="OW35" s="1025">
        <v>0.41499999999999998</v>
      </c>
      <c r="OX35" s="1025">
        <v>1.758</v>
      </c>
      <c r="OY35" s="1025">
        <v>0</v>
      </c>
      <c r="OZ35" s="1025">
        <v>-84.37</v>
      </c>
      <c r="PA35" s="1025">
        <v>-16.87</v>
      </c>
      <c r="PB35" s="1025">
        <v>-6.1579439252340003E-2</v>
      </c>
      <c r="PC35" s="1025">
        <v>0</v>
      </c>
      <c r="PD35" s="1025">
        <v>-1.446</v>
      </c>
      <c r="PE35" s="1025">
        <v>0</v>
      </c>
      <c r="PF35" s="1025">
        <v>-9.4603761378899993E-3</v>
      </c>
      <c r="PG35" s="1025">
        <v>0</v>
      </c>
      <c r="PH35" s="1025">
        <v>0</v>
      </c>
      <c r="PI35" s="1025">
        <v>0</v>
      </c>
      <c r="PJ35" s="1025">
        <v>-0.74199999999999999</v>
      </c>
      <c r="PK35" s="1025">
        <v>0</v>
      </c>
      <c r="PL35" s="1025">
        <v>0</v>
      </c>
      <c r="PM35" s="1025">
        <v>0</v>
      </c>
      <c r="PN35" s="1025">
        <v>0</v>
      </c>
      <c r="PO35" s="1025">
        <v>0</v>
      </c>
      <c r="PP35" s="1025">
        <v>0</v>
      </c>
      <c r="PQ35" s="1025">
        <v>0</v>
      </c>
      <c r="PR35" s="1025">
        <v>0</v>
      </c>
      <c r="PS35" s="1025">
        <v>0</v>
      </c>
      <c r="PT35" s="1025">
        <v>0</v>
      </c>
      <c r="PU35" s="1025">
        <v>0</v>
      </c>
      <c r="PV35" s="1025">
        <v>0</v>
      </c>
      <c r="PW35" s="1025">
        <v>0</v>
      </c>
      <c r="PX35" s="1025">
        <v>0</v>
      </c>
      <c r="PY35" s="1025">
        <v>0</v>
      </c>
      <c r="PZ35" s="1025">
        <v>0</v>
      </c>
      <c r="QA35" s="1025">
        <v>0</v>
      </c>
      <c r="QB35" s="1025">
        <v>0.313</v>
      </c>
      <c r="QC35" s="1025">
        <v>0</v>
      </c>
      <c r="QD35" s="1025">
        <v>-84.37</v>
      </c>
      <c r="QE35" s="1025">
        <v>-16.87</v>
      </c>
      <c r="QF35" s="1025">
        <v>-0.24145736434109</v>
      </c>
      <c r="QG35" s="1025">
        <v>0</v>
      </c>
      <c r="QH35" s="1025">
        <v>-0.70399999999999996</v>
      </c>
      <c r="QI35" s="1025">
        <v>0</v>
      </c>
      <c r="QJ35" s="1025">
        <v>7.8175695100399997E-3</v>
      </c>
      <c r="QK35" s="1025">
        <v>0</v>
      </c>
      <c r="QL35" s="1025">
        <v>0</v>
      </c>
      <c r="QM35" s="1025">
        <v>0</v>
      </c>
      <c r="QN35" s="1025">
        <v>0.74199999999999999</v>
      </c>
      <c r="QO35" s="1025">
        <v>0</v>
      </c>
      <c r="QP35" s="1025">
        <v>0</v>
      </c>
      <c r="QQ35" s="1025">
        <v>0</v>
      </c>
      <c r="QR35" s="1025">
        <v>0</v>
      </c>
      <c r="QS35" s="1025">
        <v>0</v>
      </c>
      <c r="QT35" s="1025">
        <v>0</v>
      </c>
      <c r="QU35" s="1025">
        <v>0</v>
      </c>
      <c r="QV35" s="1025">
        <v>0</v>
      </c>
      <c r="QW35" s="1025">
        <v>0</v>
      </c>
      <c r="QX35" s="1025">
        <v>0</v>
      </c>
      <c r="QY35" s="1025">
        <v>0</v>
      </c>
      <c r="QZ35" s="1025">
        <v>0</v>
      </c>
      <c r="RA35" s="1025">
        <v>0</v>
      </c>
      <c r="RB35" s="1025">
        <v>0</v>
      </c>
      <c r="RC35" s="1025">
        <v>0</v>
      </c>
      <c r="RD35" s="1025">
        <v>0</v>
      </c>
      <c r="RE35" s="1025">
        <v>0</v>
      </c>
      <c r="RF35" s="1025">
        <v>0</v>
      </c>
      <c r="RG35" s="1025">
        <v>0</v>
      </c>
      <c r="RH35" s="1011">
        <v>0</v>
      </c>
      <c r="RI35" s="1026">
        <v>0</v>
      </c>
      <c r="RJ35" s="1026">
        <v>0</v>
      </c>
      <c r="RK35" s="1026">
        <v>0</v>
      </c>
      <c r="RL35" s="1026">
        <v>0</v>
      </c>
      <c r="RM35" s="1011">
        <v>0</v>
      </c>
      <c r="RN35" s="1011">
        <v>0</v>
      </c>
      <c r="RO35" s="1011">
        <v>0</v>
      </c>
      <c r="RP35" s="1011">
        <v>0</v>
      </c>
      <c r="RQ35" s="1011">
        <v>0</v>
      </c>
      <c r="RR35" s="1011">
        <v>0</v>
      </c>
      <c r="RS35" s="1011">
        <v>0</v>
      </c>
      <c r="RT35" s="1011">
        <v>0</v>
      </c>
      <c r="RU35" s="1011">
        <v>0</v>
      </c>
      <c r="RV35" s="1011">
        <v>0</v>
      </c>
      <c r="RW35" s="1011">
        <v>0</v>
      </c>
      <c r="RX35" s="1011">
        <v>0</v>
      </c>
      <c r="RY35" s="1011">
        <v>0</v>
      </c>
      <c r="RZ35" s="1026">
        <v>0</v>
      </c>
      <c r="SA35" s="1026">
        <v>0</v>
      </c>
      <c r="SB35" s="1026">
        <v>0</v>
      </c>
      <c r="SC35" s="1026">
        <v>0</v>
      </c>
      <c r="SD35" s="1026">
        <v>0</v>
      </c>
      <c r="SE35" s="1026">
        <v>0</v>
      </c>
      <c r="SF35" s="1026">
        <v>0</v>
      </c>
      <c r="SG35" s="1026">
        <v>0</v>
      </c>
      <c r="SH35" s="1026">
        <v>0</v>
      </c>
      <c r="SI35" s="1026">
        <v>0</v>
      </c>
      <c r="SJ35" s="1026">
        <v>0</v>
      </c>
      <c r="SK35" s="1026">
        <v>0</v>
      </c>
      <c r="SL35" s="1025">
        <v>-84.37</v>
      </c>
      <c r="SM35" s="1025">
        <v>-16.87</v>
      </c>
      <c r="SN35" s="1025">
        <v>-0.45859979529171002</v>
      </c>
      <c r="SO35" s="1025">
        <v>0</v>
      </c>
      <c r="SP35" s="1025">
        <v>-1.758</v>
      </c>
      <c r="SQ35" s="1025">
        <v>0</v>
      </c>
      <c r="SR35" s="1025">
        <v>-0.20993225399012999</v>
      </c>
      <c r="SS35" s="1025">
        <v>0</v>
      </c>
      <c r="ST35" s="1025">
        <v>0</v>
      </c>
      <c r="SU35" s="1025">
        <v>0</v>
      </c>
      <c r="SV35" s="1025">
        <v>-0.313</v>
      </c>
      <c r="SW35" s="1025">
        <v>0</v>
      </c>
      <c r="SX35" s="1025">
        <v>-4.7951309271049999E-2</v>
      </c>
      <c r="SY35" s="1025">
        <v>0</v>
      </c>
      <c r="SZ35" s="1025">
        <v>0</v>
      </c>
      <c r="TA35" s="1025">
        <v>0</v>
      </c>
      <c r="TB35" s="1025">
        <v>-1.0549999999999999</v>
      </c>
      <c r="TC35" s="1025">
        <v>0</v>
      </c>
      <c r="TD35" s="1025">
        <v>0</v>
      </c>
      <c r="TE35" s="1025">
        <v>0</v>
      </c>
      <c r="TF35" s="1025">
        <v>0</v>
      </c>
      <c r="TG35" s="1025">
        <v>0</v>
      </c>
      <c r="TH35" s="1025">
        <v>0</v>
      </c>
      <c r="TI35" s="1025">
        <v>0</v>
      </c>
      <c r="TJ35" s="1025">
        <v>0</v>
      </c>
      <c r="TK35" s="1025">
        <v>0</v>
      </c>
      <c r="TL35" s="1025">
        <v>0</v>
      </c>
      <c r="TM35" s="1025">
        <v>0</v>
      </c>
      <c r="TN35" s="1025">
        <v>0</v>
      </c>
      <c r="TO35" s="1025">
        <v>0</v>
      </c>
      <c r="TP35" s="1025">
        <v>-84.37</v>
      </c>
      <c r="TQ35" s="1025">
        <v>-16.87</v>
      </c>
      <c r="TR35" s="1025">
        <v>-0.20018962807752999</v>
      </c>
      <c r="TS35" s="1025">
        <v>0</v>
      </c>
      <c r="TT35" s="1025">
        <v>-1.758</v>
      </c>
      <c r="TU35" s="1025">
        <v>0</v>
      </c>
      <c r="TV35" s="1025">
        <v>-0.13159524712425999</v>
      </c>
      <c r="TW35" s="1025">
        <v>0</v>
      </c>
      <c r="TX35" s="1025">
        <v>0</v>
      </c>
      <c r="TY35" s="1025">
        <v>0</v>
      </c>
      <c r="TZ35" s="1025">
        <v>-0.313</v>
      </c>
      <c r="UA35" s="1025">
        <v>0</v>
      </c>
      <c r="UB35" s="1025">
        <v>0</v>
      </c>
      <c r="UC35" s="1025">
        <v>0</v>
      </c>
      <c r="UD35" s="1025">
        <v>0</v>
      </c>
      <c r="UE35" s="1025">
        <v>0</v>
      </c>
      <c r="UF35" s="1025">
        <v>-1.0549999999999999</v>
      </c>
      <c r="UG35" s="1025">
        <v>0</v>
      </c>
      <c r="UH35" s="1025">
        <v>0</v>
      </c>
      <c r="UI35" s="1025">
        <v>0</v>
      </c>
      <c r="UJ35" s="1025">
        <v>0</v>
      </c>
      <c r="UK35" s="1025">
        <v>0</v>
      </c>
      <c r="UL35" s="1025">
        <v>0</v>
      </c>
      <c r="UM35" s="1025">
        <v>0</v>
      </c>
      <c r="UN35" s="1025">
        <v>0</v>
      </c>
      <c r="UO35" s="1025">
        <v>0</v>
      </c>
      <c r="UP35" s="1025">
        <v>0</v>
      </c>
      <c r="UQ35" s="1025">
        <v>0</v>
      </c>
      <c r="UR35" s="1025">
        <v>0</v>
      </c>
      <c r="US35" s="1025">
        <v>0</v>
      </c>
      <c r="UT35" s="1025">
        <v>0.60568332875727005</v>
      </c>
      <c r="UU35" s="1025">
        <v>0</v>
      </c>
      <c r="UV35" s="1025">
        <v>0</v>
      </c>
      <c r="UW35" s="1025">
        <v>0</v>
      </c>
      <c r="UX35" s="1025">
        <v>0</v>
      </c>
      <c r="UY35" s="1025">
        <v>0</v>
      </c>
      <c r="UZ35" s="1025">
        <v>0.20484022277927999</v>
      </c>
      <c r="VA35" s="1025">
        <v>0</v>
      </c>
      <c r="VB35" s="1025">
        <v>0</v>
      </c>
      <c r="VC35" s="1025">
        <v>0</v>
      </c>
      <c r="VD35" s="1025">
        <v>1.526051853429E-2</v>
      </c>
      <c r="VE35" s="1025">
        <v>0</v>
      </c>
      <c r="VF35" s="1025">
        <v>0</v>
      </c>
      <c r="VG35" s="1025">
        <v>0</v>
      </c>
      <c r="VH35" s="1025">
        <v>0</v>
      </c>
      <c r="VI35" s="1025">
        <v>0</v>
      </c>
      <c r="VJ35" s="1025">
        <v>0</v>
      </c>
      <c r="VK35" s="1025">
        <v>0</v>
      </c>
      <c r="VL35" s="1025">
        <v>0</v>
      </c>
      <c r="VM35" s="1025">
        <v>0</v>
      </c>
      <c r="VN35" s="1025">
        <v>0</v>
      </c>
      <c r="VO35" s="1025">
        <v>0</v>
      </c>
      <c r="VP35" s="1025">
        <v>0</v>
      </c>
      <c r="VQ35" s="1025">
        <v>0</v>
      </c>
      <c r="VR35" s="1010">
        <v>0</v>
      </c>
      <c r="VS35" s="1010">
        <v>0</v>
      </c>
      <c r="VT35" s="1010">
        <v>0</v>
      </c>
      <c r="VU35" s="1010">
        <v>0</v>
      </c>
      <c r="VV35" s="1010">
        <v>0</v>
      </c>
      <c r="VW35" s="1010">
        <v>0</v>
      </c>
      <c r="VX35" s="1025">
        <v>0</v>
      </c>
      <c r="VY35" s="1025">
        <v>0</v>
      </c>
      <c r="VZ35" s="1025">
        <v>0</v>
      </c>
      <c r="WA35" s="1025">
        <v>0</v>
      </c>
      <c r="WB35" s="1025">
        <v>0</v>
      </c>
      <c r="WC35" s="1025">
        <v>0</v>
      </c>
      <c r="WD35" s="995">
        <v>202</v>
      </c>
      <c r="WE35" s="995">
        <v>267</v>
      </c>
      <c r="WF35" s="995">
        <v>354</v>
      </c>
      <c r="WG35" s="995">
        <v>382</v>
      </c>
      <c r="WH35" s="995">
        <v>403</v>
      </c>
      <c r="WI35" s="995">
        <v>0</v>
      </c>
      <c r="WJ35" s="995">
        <v>1300</v>
      </c>
      <c r="WK35" s="1001">
        <v>0</v>
      </c>
      <c r="WL35" s="1001">
        <v>0</v>
      </c>
      <c r="WM35" s="1001">
        <v>0</v>
      </c>
      <c r="WN35" s="1001">
        <v>0</v>
      </c>
      <c r="WO35" s="1001">
        <v>0</v>
      </c>
      <c r="WP35" s="1001">
        <v>0</v>
      </c>
      <c r="WQ35" s="1001">
        <v>0</v>
      </c>
      <c r="WR35" s="1001">
        <v>0</v>
      </c>
      <c r="WS35" s="1001">
        <v>0</v>
      </c>
      <c r="WT35" s="1001">
        <v>0</v>
      </c>
      <c r="WU35" s="1001">
        <v>0</v>
      </c>
      <c r="WV35" s="1001">
        <v>0</v>
      </c>
      <c r="WW35" s="1001">
        <v>0</v>
      </c>
      <c r="WX35" s="1001">
        <v>0</v>
      </c>
      <c r="WY35" s="1001">
        <v>0</v>
      </c>
      <c r="WZ35" s="1001">
        <v>0</v>
      </c>
      <c r="XA35" s="1001">
        <v>0</v>
      </c>
      <c r="XB35" s="1001">
        <v>0</v>
      </c>
      <c r="XC35" s="1001">
        <v>0</v>
      </c>
      <c r="XD35" s="1001">
        <v>0</v>
      </c>
      <c r="XE35" s="1001">
        <v>0</v>
      </c>
      <c r="XF35" s="1001">
        <v>0</v>
      </c>
      <c r="XG35" s="1001">
        <v>0</v>
      </c>
      <c r="XH35" s="1001">
        <v>0</v>
      </c>
      <c r="XI35" s="1001">
        <v>0</v>
      </c>
      <c r="XJ35" s="1001">
        <v>0</v>
      </c>
      <c r="XK35" s="1001">
        <v>0</v>
      </c>
      <c r="XL35" s="1001">
        <v>0</v>
      </c>
      <c r="XM35" s="1001">
        <v>0</v>
      </c>
      <c r="XN35" s="1001">
        <v>0</v>
      </c>
      <c r="XO35" s="1001">
        <v>0</v>
      </c>
      <c r="XP35" s="1001">
        <v>0</v>
      </c>
      <c r="XQ35" s="1001">
        <v>0</v>
      </c>
      <c r="XR35" s="1027">
        <v>85.034700000000001</v>
      </c>
      <c r="XS35" s="1013">
        <v>67.459678496868477</v>
      </c>
      <c r="XT35" s="1013">
        <v>74.560697286012527</v>
      </c>
      <c r="XU35" s="1013">
        <v>78.111206680584544</v>
      </c>
      <c r="XV35" s="1013">
        <v>120.00721753653445</v>
      </c>
      <c r="XW35" s="1028">
        <v>12824.85295</v>
      </c>
      <c r="XX35" s="1013">
        <v>78</v>
      </c>
      <c r="XY35" s="1013">
        <v>15</v>
      </c>
      <c r="XZ35" s="1013">
        <v>7.0000000000000009</v>
      </c>
      <c r="YA35" s="1029">
        <v>0</v>
      </c>
      <c r="YB35" s="1013">
        <v>1290.5968091557904</v>
      </c>
      <c r="YC35" s="1013">
        <v>0</v>
      </c>
      <c r="YD35" s="1013">
        <v>0</v>
      </c>
      <c r="YE35" s="1013">
        <v>0</v>
      </c>
      <c r="YF35" s="1013">
        <v>0</v>
      </c>
      <c r="YG35" s="1013">
        <v>0</v>
      </c>
      <c r="YH35" s="1013">
        <v>129.05968091557904</v>
      </c>
      <c r="YI35" s="1013">
        <v>1355.1266496135797</v>
      </c>
      <c r="YJ35" s="1013">
        <v>1384.4947194194474</v>
      </c>
      <c r="YK35" s="1013">
        <v>0</v>
      </c>
      <c r="YL35" s="1013">
        <v>0</v>
      </c>
      <c r="YM35" s="1013">
        <v>0</v>
      </c>
      <c r="YN35" s="1013">
        <v>0</v>
      </c>
      <c r="YO35" s="1013">
        <v>0</v>
      </c>
      <c r="YP35" s="1013">
        <v>138.44947194194472</v>
      </c>
      <c r="YQ35" s="1013">
        <v>1453.7194553904194</v>
      </c>
      <c r="YR35" s="1013">
        <v>1450.4230393918019</v>
      </c>
      <c r="YS35" s="1013">
        <v>0</v>
      </c>
      <c r="YT35" s="1013">
        <v>0</v>
      </c>
      <c r="YU35" s="1013">
        <v>0</v>
      </c>
      <c r="YV35" s="1013">
        <v>0</v>
      </c>
      <c r="YW35" s="1013">
        <v>0</v>
      </c>
      <c r="YX35" s="1013">
        <v>145.04230393918016</v>
      </c>
      <c r="YY35" s="1013">
        <v>1522.9441913613916</v>
      </c>
      <c r="YZ35" s="1013">
        <v>2228.3772150655873</v>
      </c>
      <c r="ZA35" s="1013">
        <v>0</v>
      </c>
      <c r="ZB35" s="1013">
        <v>0</v>
      </c>
      <c r="ZC35" s="1013">
        <v>0</v>
      </c>
      <c r="ZD35" s="1013">
        <v>0</v>
      </c>
      <c r="ZE35" s="1013">
        <v>0</v>
      </c>
      <c r="ZF35" s="1013">
        <v>222.83772150655869</v>
      </c>
      <c r="ZG35" s="1013">
        <v>2339.796075818866</v>
      </c>
      <c r="ZH35" s="1013">
        <v>764.60690960207501</v>
      </c>
      <c r="ZI35" s="1013">
        <v>2102.6690014057062</v>
      </c>
      <c r="ZJ35" s="1013">
        <v>0</v>
      </c>
      <c r="ZK35" s="1013">
        <v>76.460690960207501</v>
      </c>
      <c r="ZL35" s="1013">
        <v>0</v>
      </c>
      <c r="ZM35" s="1013">
        <v>0</v>
      </c>
      <c r="ZN35" s="1013">
        <v>76.460690960207501</v>
      </c>
      <c r="ZO35" s="1013">
        <v>802.83725508217867</v>
      </c>
      <c r="ZP35" s="1013">
        <v>820.23620488272138</v>
      </c>
      <c r="ZQ35" s="1013">
        <v>2255.6495634274838</v>
      </c>
      <c r="ZR35" s="1013">
        <v>0</v>
      </c>
      <c r="ZS35" s="1013">
        <v>82.023620488272144</v>
      </c>
      <c r="ZT35" s="1013">
        <v>0</v>
      </c>
      <c r="ZU35" s="1013">
        <v>0</v>
      </c>
      <c r="ZV35" s="1013">
        <v>82.023620488272144</v>
      </c>
      <c r="ZW35" s="1013">
        <v>861.24801512685735</v>
      </c>
      <c r="ZX35" s="1013">
        <v>859.29507178189851</v>
      </c>
      <c r="ZY35" s="1013">
        <v>2363.0614474002209</v>
      </c>
      <c r="ZZ35" s="1013">
        <v>0</v>
      </c>
      <c r="AAA35" s="1013">
        <v>85.929507178189851</v>
      </c>
      <c r="AAB35" s="1013">
        <v>0</v>
      </c>
      <c r="AAC35" s="1013">
        <v>0</v>
      </c>
      <c r="AAD35" s="1013">
        <v>85.929507178189851</v>
      </c>
      <c r="AAE35" s="1013">
        <v>902.25982537099344</v>
      </c>
      <c r="AAF35" s="1013">
        <v>1320.1897011921899</v>
      </c>
      <c r="AAG35" s="1013">
        <v>3630.5216782785219</v>
      </c>
      <c r="AAH35" s="1013">
        <v>0</v>
      </c>
      <c r="AAI35" s="1013">
        <v>132.01897011921898</v>
      </c>
      <c r="AAJ35" s="1013">
        <v>0</v>
      </c>
      <c r="AAK35" s="1013">
        <v>0</v>
      </c>
      <c r="AAL35" s="1013">
        <v>132.01897011921898</v>
      </c>
      <c r="AAM35" s="1013">
        <v>1386.1991862517991</v>
      </c>
      <c r="AAN35" s="1013">
        <v>2034.8409691022964</v>
      </c>
      <c r="AAO35" s="1013">
        <v>5595.8126650313152</v>
      </c>
      <c r="AAP35" s="1013">
        <v>0</v>
      </c>
      <c r="AAQ35" s="1013">
        <v>203.48409691022965</v>
      </c>
      <c r="AAR35" s="1013">
        <v>0</v>
      </c>
      <c r="AAS35" s="1013">
        <v>0</v>
      </c>
      <c r="AAT35" s="1013">
        <v>203.48409691022965</v>
      </c>
      <c r="AAU35" s="1013">
        <v>2136.583017557411</v>
      </c>
      <c r="AAV35" s="1013">
        <v>2249.0347553235911</v>
      </c>
      <c r="AAW35" s="1013">
        <v>6184.8455771398749</v>
      </c>
      <c r="AAX35" s="1013">
        <v>0</v>
      </c>
      <c r="AAY35" s="1013">
        <v>224.9034755323591</v>
      </c>
      <c r="AAZ35" s="1013">
        <v>0</v>
      </c>
      <c r="ABA35" s="1013">
        <v>0</v>
      </c>
      <c r="ABB35" s="1013">
        <v>224.9034755323591</v>
      </c>
      <c r="ABC35" s="1013">
        <v>2361.4864930897702</v>
      </c>
      <c r="ABD35" s="1013">
        <v>2356.1316484342383</v>
      </c>
      <c r="ABE35" s="1013">
        <v>6479.3620331941547</v>
      </c>
      <c r="ABF35" s="1013">
        <v>0</v>
      </c>
      <c r="ABG35" s="1013">
        <v>235.61316484342382</v>
      </c>
      <c r="ABH35" s="1013">
        <v>0</v>
      </c>
      <c r="ABI35" s="1013">
        <v>0</v>
      </c>
      <c r="ABJ35" s="1013">
        <v>235.61316484342382</v>
      </c>
      <c r="ABK35" s="1013">
        <v>2473.9382308559498</v>
      </c>
      <c r="ABL35" s="1013">
        <v>3619.8749871398754</v>
      </c>
      <c r="ABM35" s="1013">
        <v>9954.6562146346569</v>
      </c>
      <c r="ABN35" s="1013">
        <v>0</v>
      </c>
      <c r="ABO35" s="1013">
        <v>361.98749871398752</v>
      </c>
      <c r="ABP35" s="1013">
        <v>0</v>
      </c>
      <c r="ABQ35" s="1013">
        <v>0</v>
      </c>
      <c r="ABR35" s="1013">
        <v>361.98749871398752</v>
      </c>
      <c r="ABS35" s="1013">
        <v>3800.8687364968687</v>
      </c>
      <c r="ABT35" s="1013">
        <v>2799.4478787043718</v>
      </c>
      <c r="ABU35" s="1013">
        <v>7698.4816664370219</v>
      </c>
      <c r="ABV35" s="1013">
        <v>0</v>
      </c>
      <c r="ABW35" s="1013">
        <v>279.94478787043715</v>
      </c>
      <c r="ABX35" s="1013">
        <v>0</v>
      </c>
      <c r="ABY35" s="1013">
        <v>0</v>
      </c>
      <c r="ABZ35" s="1013">
        <v>279.94478787043715</v>
      </c>
      <c r="ACA35" s="1013">
        <v>2939.4202726395897</v>
      </c>
      <c r="ACB35" s="1013">
        <v>2963.4340305440255</v>
      </c>
      <c r="ACC35" s="1013">
        <v>8149.4435839960706</v>
      </c>
      <c r="ACD35" s="1013">
        <v>0</v>
      </c>
      <c r="ACE35" s="1013">
        <v>296.34340305440259</v>
      </c>
      <c r="ACF35" s="1013">
        <v>0</v>
      </c>
      <c r="ACG35" s="1013">
        <v>0</v>
      </c>
      <c r="ACH35" s="1013">
        <v>296.34340305440259</v>
      </c>
      <c r="ACI35" s="1013">
        <v>3111.6057320712266</v>
      </c>
      <c r="ACJ35" s="1013">
        <v>3104.5499367604079</v>
      </c>
      <c r="ACK35" s="1013">
        <v>8537.5123260911223</v>
      </c>
      <c r="ACL35" s="1013">
        <v>0</v>
      </c>
      <c r="ACM35" s="1013">
        <v>310.45499367604077</v>
      </c>
      <c r="ACN35" s="1013">
        <v>0</v>
      </c>
      <c r="ACO35" s="1013">
        <v>0</v>
      </c>
      <c r="ACP35" s="1013">
        <v>310.45499367604077</v>
      </c>
      <c r="ACQ35" s="1013">
        <v>3259.7774335984277</v>
      </c>
      <c r="ACR35" s="1013">
        <v>4769.7176301137179</v>
      </c>
      <c r="ACS35" s="1013">
        <v>13116.723482812726</v>
      </c>
      <c r="ACT35" s="1013">
        <v>0</v>
      </c>
      <c r="ACU35" s="1013">
        <v>476.97176301137182</v>
      </c>
      <c r="ACV35" s="1013">
        <v>0</v>
      </c>
      <c r="ACW35" s="1013">
        <v>0</v>
      </c>
      <c r="ACX35" s="1013">
        <v>476.97176301137182</v>
      </c>
      <c r="ACY35" s="1013">
        <v>5008.2035116194038</v>
      </c>
      <c r="ACZ35" s="1013">
        <v>3625.7166358550007</v>
      </c>
      <c r="ADA35" s="1013">
        <v>9970.7207486012521</v>
      </c>
      <c r="ADB35" s="1013">
        <v>0</v>
      </c>
      <c r="ADC35" s="1013">
        <v>362.57166358550006</v>
      </c>
      <c r="ADD35" s="1013">
        <v>0</v>
      </c>
      <c r="ADE35" s="1013">
        <v>0</v>
      </c>
      <c r="ADF35" s="1013">
        <v>362.57166358550006</v>
      </c>
      <c r="ADG35" s="1013">
        <v>3807.0024676477506</v>
      </c>
      <c r="ADH35" s="1013">
        <v>3876.2775488812476</v>
      </c>
      <c r="ADI35" s="1013">
        <v>10659.763259423431</v>
      </c>
      <c r="ADJ35" s="1013">
        <v>0</v>
      </c>
      <c r="ADK35" s="1013">
        <v>387.6277548881248</v>
      </c>
      <c r="ADL35" s="1013">
        <v>0</v>
      </c>
      <c r="ADM35" s="1013">
        <v>0</v>
      </c>
      <c r="ADN35" s="1013">
        <v>387.6277548881248</v>
      </c>
      <c r="ADO35" s="1013">
        <v>4070.0914263253098</v>
      </c>
      <c r="ADP35" s="1013">
        <v>4060.8621940660692</v>
      </c>
      <c r="ADQ35" s="1013">
        <v>11167.371033681691</v>
      </c>
      <c r="ADR35" s="1013">
        <v>0</v>
      </c>
      <c r="ADS35" s="1013">
        <v>406.08621940660692</v>
      </c>
      <c r="ADT35" s="1013">
        <v>0</v>
      </c>
      <c r="ADU35" s="1013">
        <v>0</v>
      </c>
      <c r="ADV35" s="1013">
        <v>406.08621940660692</v>
      </c>
      <c r="ADW35" s="1013">
        <v>4263.905303769372</v>
      </c>
      <c r="ADX35" s="1013">
        <v>6238.9610072469623</v>
      </c>
      <c r="ADY35" s="1013">
        <v>17157.142769929145</v>
      </c>
      <c r="ADZ35" s="1013">
        <v>0</v>
      </c>
      <c r="AEA35" s="1013">
        <v>623.89610072469611</v>
      </c>
      <c r="AEB35" s="1013">
        <v>0</v>
      </c>
      <c r="AEC35" s="1013">
        <v>0</v>
      </c>
      <c r="AED35" s="1013">
        <v>623.89610072469611</v>
      </c>
      <c r="AEE35" s="1013">
        <v>6550.9090576093095</v>
      </c>
      <c r="AEF35" s="1013">
        <v>4427.3206539862085</v>
      </c>
      <c r="AEG35" s="1013">
        <v>12175.131798462075</v>
      </c>
      <c r="AEH35" s="1013">
        <v>0</v>
      </c>
      <c r="AEI35" s="1013">
        <v>442.73206539862082</v>
      </c>
      <c r="AEJ35" s="1013">
        <v>0</v>
      </c>
      <c r="AEK35" s="1013">
        <v>0</v>
      </c>
      <c r="AEL35" s="1013">
        <v>442.73206539862082</v>
      </c>
      <c r="AEM35" s="1013">
        <v>4648.6866866855189</v>
      </c>
      <c r="AEN35" s="1013">
        <v>4762.6618348028987</v>
      </c>
      <c r="AEO35" s="1013">
        <v>13097.320045707971</v>
      </c>
      <c r="AEP35" s="1013">
        <v>0</v>
      </c>
      <c r="AEQ35" s="1013">
        <v>476.26618348028984</v>
      </c>
      <c r="AER35" s="1013">
        <v>0</v>
      </c>
      <c r="AES35" s="1013">
        <v>0</v>
      </c>
      <c r="AET35" s="1013">
        <v>476.26618348028984</v>
      </c>
      <c r="AEU35" s="1013">
        <v>5000.7949265430434</v>
      </c>
      <c r="AEV35" s="1013">
        <v>4989.455255507798</v>
      </c>
      <c r="AEW35" s="1013">
        <v>13721.001952646446</v>
      </c>
      <c r="AEX35" s="1013">
        <v>0</v>
      </c>
      <c r="AEY35" s="1013">
        <v>498.94552555077979</v>
      </c>
      <c r="AEZ35" s="1013">
        <v>0</v>
      </c>
      <c r="AFA35" s="1013">
        <v>0</v>
      </c>
      <c r="AFB35" s="1013">
        <v>498.94552555077979</v>
      </c>
      <c r="AFC35" s="1013">
        <v>5238.9280182831872</v>
      </c>
      <c r="AFD35" s="1013">
        <v>7665.6176198256189</v>
      </c>
      <c r="AFE35" s="1013">
        <v>21080.448454520454</v>
      </c>
      <c r="AFF35" s="1013">
        <v>0</v>
      </c>
      <c r="AFG35" s="1013">
        <v>766.56176198256185</v>
      </c>
      <c r="AFH35" s="1013">
        <v>0</v>
      </c>
      <c r="AFI35" s="1013">
        <v>0</v>
      </c>
      <c r="AFJ35" s="1013">
        <v>766.56176198256185</v>
      </c>
      <c r="AFK35" s="1013">
        <v>8048.8985008168993</v>
      </c>
      <c r="AFL35" s="1023">
        <v>5105.6009770203082</v>
      </c>
      <c r="AFM35" s="1023">
        <v>14040.402686805846</v>
      </c>
      <c r="AFN35" s="1023">
        <v>0</v>
      </c>
      <c r="AFO35" s="1023">
        <v>510.56009770203076</v>
      </c>
      <c r="AFP35" s="1023">
        <v>0</v>
      </c>
      <c r="AFQ35" s="1023">
        <v>0</v>
      </c>
      <c r="AFR35" s="1023">
        <v>510.56009770203076</v>
      </c>
      <c r="AFS35" s="1023">
        <v>5360.8810258713229</v>
      </c>
      <c r="AFT35" s="1023">
        <v>5424.1426451921898</v>
      </c>
      <c r="AFU35" s="1023">
        <v>14916.392274278522</v>
      </c>
      <c r="AFV35" s="1023">
        <v>0</v>
      </c>
      <c r="AFW35" s="1023">
        <v>542.41426451921893</v>
      </c>
      <c r="AFX35" s="1023">
        <v>0</v>
      </c>
      <c r="AFY35" s="1023">
        <v>0</v>
      </c>
      <c r="AFZ35" s="1023">
        <v>542.41426451921893</v>
      </c>
      <c r="AGA35" s="1023">
        <v>5695.3497774517982</v>
      </c>
      <c r="AGB35" s="1023">
        <v>5682.4351521061035</v>
      </c>
      <c r="AGC35" s="1023">
        <v>15626.696668291786</v>
      </c>
      <c r="AGD35" s="1023">
        <v>0</v>
      </c>
      <c r="AGE35" s="1023">
        <v>568.24351521061033</v>
      </c>
      <c r="AGF35" s="1023">
        <v>0</v>
      </c>
      <c r="AGG35" s="1023">
        <v>0</v>
      </c>
      <c r="AGH35" s="1023">
        <v>568.24351521061033</v>
      </c>
      <c r="AGI35" s="1023">
        <v>5966.5569097114085</v>
      </c>
      <c r="AGJ35" s="1023">
        <v>8730.2867336902873</v>
      </c>
      <c r="AGK35" s="1023">
        <v>24008.288517648292</v>
      </c>
      <c r="AGL35" s="1023">
        <v>0</v>
      </c>
      <c r="AGM35" s="1023">
        <v>873.02867336902875</v>
      </c>
      <c r="AGN35" s="1023">
        <v>0</v>
      </c>
      <c r="AGO35" s="1023">
        <v>0</v>
      </c>
      <c r="AGP35" s="1023">
        <v>873.02867336902875</v>
      </c>
      <c r="AGQ35" s="1023">
        <v>9166.8010703748005</v>
      </c>
      <c r="AGR35" s="1030">
        <v>2034.8409691022964</v>
      </c>
      <c r="AGS35" s="1030">
        <v>5595.8126650313152</v>
      </c>
      <c r="AGT35" s="1030">
        <v>0</v>
      </c>
      <c r="AGU35" s="1030">
        <v>203.48409691022965</v>
      </c>
      <c r="AGV35" s="1030">
        <v>0</v>
      </c>
      <c r="AGW35" s="1030">
        <v>0</v>
      </c>
      <c r="AGX35" s="1030">
        <v>203.48409691022965</v>
      </c>
      <c r="AGY35" s="1030">
        <v>2136.583017557411</v>
      </c>
      <c r="AGZ35" s="1030">
        <v>2249.0347553235911</v>
      </c>
      <c r="AHA35" s="1030">
        <v>6184.8455771398749</v>
      </c>
      <c r="AHB35" s="1030">
        <v>0</v>
      </c>
      <c r="AHC35" s="1030">
        <v>224.9034755323591</v>
      </c>
      <c r="AHD35" s="1030">
        <v>0</v>
      </c>
      <c r="AHE35" s="1030">
        <v>0</v>
      </c>
      <c r="AHF35" s="1030">
        <v>224.9034755323591</v>
      </c>
      <c r="AHG35" s="1030">
        <v>2361.4864930897702</v>
      </c>
      <c r="AHH35" s="1030">
        <v>2356.1316484342383</v>
      </c>
      <c r="AHI35" s="1030">
        <v>6479.3620331941547</v>
      </c>
      <c r="AHJ35" s="1030">
        <v>0</v>
      </c>
      <c r="AHK35" s="1030">
        <v>235.61316484342382</v>
      </c>
      <c r="AHL35" s="1030">
        <v>0</v>
      </c>
      <c r="AHM35" s="1030">
        <v>0</v>
      </c>
      <c r="AHN35" s="1030">
        <v>235.61316484342382</v>
      </c>
      <c r="AHO35" s="1030">
        <v>2473.9382308559498</v>
      </c>
      <c r="AHP35" s="1030">
        <v>3619.8749871398754</v>
      </c>
      <c r="AHQ35" s="1030">
        <v>9954.6562146346569</v>
      </c>
      <c r="AHR35" s="1030">
        <v>0</v>
      </c>
      <c r="AHS35" s="1030">
        <v>361.98749871398752</v>
      </c>
      <c r="AHT35" s="1030">
        <v>0</v>
      </c>
      <c r="AHU35" s="1030">
        <v>0</v>
      </c>
      <c r="AHV35" s="1030">
        <v>361.98749871398752</v>
      </c>
      <c r="AHW35" s="1030">
        <v>3800.8687364968687</v>
      </c>
      <c r="AHX35" s="1013">
        <v>165</v>
      </c>
      <c r="AHY35" s="1023">
        <v>0</v>
      </c>
      <c r="AHZ35" s="1023">
        <v>0</v>
      </c>
      <c r="AIA35" s="1023">
        <v>0</v>
      </c>
      <c r="AIB35" s="1023">
        <v>0</v>
      </c>
      <c r="AIC35" s="1023">
        <v>0</v>
      </c>
      <c r="AID35" s="1023">
        <v>0</v>
      </c>
      <c r="AIE35" s="1023">
        <v>0</v>
      </c>
      <c r="AIF35" s="1017">
        <v>420</v>
      </c>
      <c r="AIG35" s="1017">
        <v>32.409999999999997</v>
      </c>
      <c r="AIH35" s="1017">
        <v>27.01</v>
      </c>
      <c r="AII35" s="1017">
        <v>0</v>
      </c>
      <c r="AIJ35" s="1017">
        <v>2.52</v>
      </c>
      <c r="AIK35" s="1017">
        <v>3.06</v>
      </c>
      <c r="AIL35" s="1017">
        <v>0</v>
      </c>
      <c r="AIM35" s="1017">
        <v>0</v>
      </c>
      <c r="AIN35" s="1016">
        <v>350</v>
      </c>
      <c r="AIO35" s="1016">
        <v>64.819999999999993</v>
      </c>
      <c r="AIP35" s="1017">
        <v>54.02</v>
      </c>
      <c r="AIQ35" s="1017">
        <v>0</v>
      </c>
      <c r="AIR35" s="1017">
        <v>5.04</v>
      </c>
      <c r="AIS35" s="1017">
        <v>6.12</v>
      </c>
      <c r="AIT35" s="1017">
        <v>0</v>
      </c>
      <c r="AIU35" s="1017">
        <v>0</v>
      </c>
      <c r="AIV35" s="1017">
        <v>120</v>
      </c>
      <c r="AIW35" s="1017">
        <v>47.37</v>
      </c>
      <c r="AIX35" s="1017">
        <v>39.47</v>
      </c>
      <c r="AIY35" s="1017">
        <v>0</v>
      </c>
      <c r="AIZ35" s="1017">
        <v>3.68</v>
      </c>
      <c r="AJA35" s="1017">
        <v>4.4800000000000004</v>
      </c>
      <c r="AJB35" s="1017">
        <v>0</v>
      </c>
      <c r="AJC35" s="1017">
        <v>0</v>
      </c>
      <c r="AJD35" s="1017">
        <v>129.6</v>
      </c>
      <c r="AJE35" s="1017">
        <v>96.93</v>
      </c>
      <c r="AJF35" s="1017">
        <v>80.78</v>
      </c>
      <c r="AJG35" s="1017">
        <v>0</v>
      </c>
      <c r="AJH35" s="1017">
        <v>7.54</v>
      </c>
      <c r="AJI35" s="1017">
        <v>9.15</v>
      </c>
      <c r="AJJ35" s="1017">
        <v>0</v>
      </c>
      <c r="AJK35" s="1013">
        <v>0</v>
      </c>
      <c r="AJL35" s="1013">
        <v>160</v>
      </c>
      <c r="AJM35" s="1013">
        <v>17.45</v>
      </c>
      <c r="AJN35" s="1013">
        <v>14.54</v>
      </c>
      <c r="AJO35" s="1013">
        <v>0</v>
      </c>
      <c r="AJP35" s="1013">
        <v>1.36</v>
      </c>
      <c r="AJQ35" s="1013">
        <v>1.65</v>
      </c>
      <c r="AJR35" s="1013">
        <v>0</v>
      </c>
      <c r="AJS35" s="1013">
        <v>0</v>
      </c>
      <c r="AJT35" s="1029" t="s">
        <v>858</v>
      </c>
      <c r="AJU35" s="988" t="s">
        <v>861</v>
      </c>
      <c r="AJV35" s="988" t="s">
        <v>860</v>
      </c>
      <c r="AJW35" s="988" t="s">
        <v>859</v>
      </c>
      <c r="AJX35" s="988" t="s">
        <v>870</v>
      </c>
      <c r="AJY35" s="988" t="s">
        <v>871</v>
      </c>
      <c r="AJZ35" s="988" t="s">
        <v>872</v>
      </c>
      <c r="AKA35" s="988" t="s">
        <v>873</v>
      </c>
      <c r="AKB35" s="988" t="s">
        <v>874</v>
      </c>
      <c r="AKC35" s="988" t="s">
        <v>875</v>
      </c>
      <c r="AKD35" s="1013">
        <v>104.21052631578947</v>
      </c>
      <c r="AKE35" s="1013">
        <v>0</v>
      </c>
      <c r="AKF35" s="1013">
        <v>0</v>
      </c>
      <c r="AKG35" s="1013">
        <v>0</v>
      </c>
      <c r="AKH35" s="1013">
        <v>0</v>
      </c>
      <c r="AKI35" s="1013">
        <v>0</v>
      </c>
      <c r="AKJ35" s="1013">
        <v>3.2565789473684208</v>
      </c>
      <c r="AKK35" s="1013">
        <v>16.282894736842103</v>
      </c>
      <c r="AKL35" s="1017">
        <v>306.31578947368416</v>
      </c>
      <c r="AKM35" s="1017">
        <v>0</v>
      </c>
      <c r="AKN35" s="1017">
        <v>0</v>
      </c>
      <c r="AKO35" s="1017">
        <v>0</v>
      </c>
      <c r="AKP35" s="1017">
        <v>0</v>
      </c>
      <c r="AKQ35" s="1017">
        <v>0</v>
      </c>
      <c r="AKR35" s="1017">
        <v>9.5723684210526301</v>
      </c>
      <c r="AKS35" s="1017">
        <v>47.86184210526315</v>
      </c>
      <c r="AKT35" s="1016">
        <v>303.15789473684208</v>
      </c>
      <c r="AKU35" s="1016">
        <v>0</v>
      </c>
      <c r="AKV35" s="1017">
        <v>0</v>
      </c>
      <c r="AKW35" s="1017">
        <v>0</v>
      </c>
      <c r="AKX35" s="1017">
        <v>0</v>
      </c>
      <c r="AKY35" s="1017">
        <v>0</v>
      </c>
      <c r="AKZ35" s="1017">
        <v>9.473684210526315</v>
      </c>
      <c r="ALA35" s="1017">
        <v>47.368421052631575</v>
      </c>
      <c r="ALB35" s="1017">
        <v>135.78947368421052</v>
      </c>
      <c r="ALC35" s="1017">
        <v>0</v>
      </c>
      <c r="ALD35" s="1017">
        <v>0</v>
      </c>
      <c r="ALE35" s="1017">
        <v>0</v>
      </c>
      <c r="ALF35" s="1017">
        <v>0</v>
      </c>
      <c r="ALG35" s="1017">
        <v>0</v>
      </c>
      <c r="ALH35" s="1017">
        <v>4.2434210526315788</v>
      </c>
      <c r="ALI35" s="1017">
        <v>21.217105263157894</v>
      </c>
      <c r="ALJ35" s="1017">
        <v>204.63157894736841</v>
      </c>
      <c r="ALK35" s="1017">
        <v>0</v>
      </c>
      <c r="ALL35" s="1017">
        <v>0</v>
      </c>
      <c r="ALM35" s="1017">
        <v>0</v>
      </c>
      <c r="ALN35" s="1017">
        <v>0</v>
      </c>
      <c r="ALO35" s="1017">
        <v>0</v>
      </c>
      <c r="ALP35" s="1017">
        <v>6.3947368421052628</v>
      </c>
      <c r="ALQ35" s="1013">
        <v>31.973684210526315</v>
      </c>
      <c r="ALR35" s="1013">
        <v>123.1578947368421</v>
      </c>
      <c r="ALS35" s="1013">
        <v>0</v>
      </c>
      <c r="ALT35" s="1013">
        <v>0</v>
      </c>
      <c r="ALU35" s="1013">
        <v>0</v>
      </c>
      <c r="ALV35" s="1013">
        <v>0</v>
      </c>
      <c r="ALW35" s="1013">
        <v>0</v>
      </c>
      <c r="ALX35" s="1013">
        <v>3.8486842105263155</v>
      </c>
      <c r="ALY35" s="1013">
        <v>19.243421052631579</v>
      </c>
    </row>
    <row r="36" spans="1:1013" ht="18" customHeight="1">
      <c r="A36" s="1259" t="s">
        <v>24</v>
      </c>
      <c r="B36" s="1260" t="s">
        <v>3063</v>
      </c>
      <c r="C36" s="1260">
        <v>2022</v>
      </c>
      <c r="D36" s="1269"/>
      <c r="E36" s="1270">
        <v>0</v>
      </c>
      <c r="F36" s="1271">
        <v>0</v>
      </c>
      <c r="G36" s="1271">
        <v>0</v>
      </c>
      <c r="H36" s="76">
        <v>226.96116504854368</v>
      </c>
      <c r="I36" s="72">
        <v>-0.9</v>
      </c>
      <c r="J36" s="1271">
        <v>-8.9</v>
      </c>
      <c r="K36" s="1271">
        <v>-8.9</v>
      </c>
      <c r="L36" s="1265">
        <v>350</v>
      </c>
      <c r="M36" s="1262">
        <v>0</v>
      </c>
      <c r="N36" s="1262">
        <v>0</v>
      </c>
      <c r="O36" s="1262">
        <v>0</v>
      </c>
      <c r="P36" s="76">
        <v>1793.1240783837679</v>
      </c>
      <c r="Q36" s="75">
        <v>12</v>
      </c>
      <c r="R36" s="72">
        <v>0.4</v>
      </c>
      <c r="S36" s="72">
        <v>0.2</v>
      </c>
      <c r="T36" s="72">
        <v>0.2</v>
      </c>
      <c r="U36" s="1271">
        <v>0.1</v>
      </c>
      <c r="V36" s="1271">
        <v>0</v>
      </c>
      <c r="W36" s="1271">
        <v>95.9</v>
      </c>
      <c r="X36" s="1271">
        <v>4</v>
      </c>
      <c r="Y36" s="1272">
        <v>0</v>
      </c>
      <c r="Z36" s="75">
        <v>2</v>
      </c>
      <c r="AA36" s="72">
        <v>1.5</v>
      </c>
      <c r="AB36" s="75">
        <v>1</v>
      </c>
      <c r="AC36" s="72">
        <v>0.8</v>
      </c>
      <c r="AD36" s="72">
        <v>0.5</v>
      </c>
      <c r="AE36" s="390">
        <v>433.01922201480062</v>
      </c>
      <c r="AF36" s="390">
        <v>470.67306740739195</v>
      </c>
      <c r="AG36" s="390">
        <v>433.37222681535616</v>
      </c>
      <c r="AH36" s="390">
        <v>649.0581599547935</v>
      </c>
      <c r="AI36" s="400">
        <v>0.82209484106305364</v>
      </c>
      <c r="AJ36" s="390">
        <v>261.91600618637949</v>
      </c>
      <c r="AK36" s="390">
        <v>284.69131107215162</v>
      </c>
      <c r="AL36" s="390">
        <v>262.12952466968363</v>
      </c>
      <c r="AM36" s="390">
        <v>392.58931796849708</v>
      </c>
      <c r="AN36" s="400">
        <v>0.96717040125065135</v>
      </c>
      <c r="AO36" s="77">
        <v>0.3</v>
      </c>
      <c r="AP36" s="77">
        <v>0.9</v>
      </c>
      <c r="AQ36" s="77">
        <v>1.7</v>
      </c>
      <c r="AR36" s="77">
        <v>2.1</v>
      </c>
      <c r="AS36" s="77">
        <v>2.4</v>
      </c>
      <c r="AT36" s="77">
        <v>2.8</v>
      </c>
      <c r="AU36" s="77">
        <v>3.1</v>
      </c>
      <c r="AV36" s="1268">
        <v>0</v>
      </c>
      <c r="AW36" s="1268">
        <v>10</v>
      </c>
      <c r="AX36" s="1268">
        <v>20</v>
      </c>
      <c r="AY36" s="1268">
        <v>70</v>
      </c>
      <c r="AZ36" s="1268">
        <v>100</v>
      </c>
      <c r="BA36" s="1019">
        <v>13348.646246340531</v>
      </c>
      <c r="BB36" s="1031">
        <v>1.64</v>
      </c>
      <c r="BC36" s="1022">
        <v>0.9</v>
      </c>
      <c r="BD36" s="1022">
        <v>0.6</v>
      </c>
      <c r="BE36" s="988">
        <v>0.6</v>
      </c>
      <c r="BF36" s="1021">
        <v>0.16762304400128739</v>
      </c>
      <c r="BG36" s="1021">
        <v>0.17453208696510045</v>
      </c>
      <c r="BH36" s="1020">
        <v>0.83208583782305068</v>
      </c>
      <c r="BI36" s="1020">
        <v>2.3050170849892727E-2</v>
      </c>
      <c r="BJ36" s="1020">
        <v>1.6043932105848411</v>
      </c>
      <c r="BK36" s="1020">
        <v>48.008271042990678</v>
      </c>
      <c r="BL36" s="1020"/>
      <c r="BM36" s="1020"/>
      <c r="BN36" s="1020">
        <v>48.782942535839638</v>
      </c>
      <c r="BO36" s="1020"/>
      <c r="BP36" s="1020"/>
      <c r="BQ36" s="1020"/>
      <c r="BR36" s="1020"/>
      <c r="BS36" s="1020"/>
      <c r="BT36" s="1020"/>
      <c r="BU36" s="1020">
        <v>0.58056034712037508</v>
      </c>
      <c r="BV36" s="1020">
        <v>0.1686968547915226</v>
      </c>
      <c r="BW36" s="993">
        <v>261.13475999999997</v>
      </c>
      <c r="BX36" s="993">
        <v>96.5</v>
      </c>
      <c r="BY36" s="993">
        <v>63.215999999999994</v>
      </c>
      <c r="BZ36" s="993">
        <v>233.35949490734063</v>
      </c>
      <c r="CA36" s="993">
        <v>157.40783999999999</v>
      </c>
      <c r="CB36" s="990"/>
      <c r="CC36" s="993">
        <v>256.20808011776955</v>
      </c>
      <c r="CD36" s="993">
        <v>165.17663999999999</v>
      </c>
      <c r="CE36" s="990"/>
      <c r="CF36" s="989">
        <v>0</v>
      </c>
      <c r="CG36" s="993">
        <v>6.585</v>
      </c>
      <c r="CH36" s="993">
        <v>1.3169999999999999</v>
      </c>
      <c r="CI36" s="993">
        <v>38</v>
      </c>
      <c r="CJ36" s="993">
        <v>225.83915999999996</v>
      </c>
      <c r="CK36" s="990">
        <v>0.2</v>
      </c>
      <c r="CL36" s="993">
        <v>175.08124000000001</v>
      </c>
      <c r="CM36" s="993">
        <v>60.4</v>
      </c>
      <c r="CN36" s="993">
        <v>42.384</v>
      </c>
      <c r="CO36" s="993">
        <v>156.45894761061641</v>
      </c>
      <c r="CP36" s="993">
        <v>105.53616</v>
      </c>
      <c r="CQ36" s="990"/>
      <c r="CR36" s="993">
        <v>159.24945066654416</v>
      </c>
      <c r="CS36" s="993">
        <v>102.66767999999999</v>
      </c>
      <c r="CT36" s="990"/>
      <c r="CU36" s="993">
        <v>0</v>
      </c>
      <c r="CV36" s="993">
        <v>4.415</v>
      </c>
      <c r="CW36" s="993">
        <v>0.88300000000000001</v>
      </c>
      <c r="CX36" s="993">
        <v>27</v>
      </c>
      <c r="CY36" s="993">
        <v>151.41683999999998</v>
      </c>
      <c r="CZ36" s="990">
        <v>0.2</v>
      </c>
      <c r="DA36" s="988">
        <v>0.3</v>
      </c>
      <c r="DB36" s="988">
        <v>0.7</v>
      </c>
      <c r="DC36" s="988">
        <v>1.2</v>
      </c>
      <c r="DD36" s="988">
        <v>1.2</v>
      </c>
      <c r="DE36" s="1022">
        <v>3</v>
      </c>
      <c r="DF36" s="995">
        <v>0</v>
      </c>
      <c r="DG36" s="995">
        <v>10</v>
      </c>
      <c r="DH36" s="995">
        <v>20</v>
      </c>
      <c r="DI36" s="995">
        <v>70</v>
      </c>
      <c r="DJ36" s="995">
        <v>100</v>
      </c>
      <c r="DK36" s="1017"/>
      <c r="DL36" s="1022">
        <v>18</v>
      </c>
      <c r="DM36" s="989">
        <v>12</v>
      </c>
      <c r="DN36" s="1022">
        <v>3.4</v>
      </c>
      <c r="DO36" s="1022">
        <v>1.9</v>
      </c>
      <c r="DP36" s="988">
        <v>1.9</v>
      </c>
      <c r="DQ36" s="1032" t="s">
        <v>643</v>
      </c>
      <c r="DR36" s="988" t="s">
        <v>640</v>
      </c>
      <c r="DS36" s="988" t="s">
        <v>640</v>
      </c>
      <c r="DT36" s="988" t="s">
        <v>640</v>
      </c>
      <c r="DU36" s="988" t="s">
        <v>640</v>
      </c>
      <c r="DV36" s="988" t="s">
        <v>640</v>
      </c>
      <c r="DW36" s="988" t="s">
        <v>640</v>
      </c>
      <c r="DX36" s="997">
        <v>0</v>
      </c>
      <c r="DY36" s="997">
        <v>0</v>
      </c>
      <c r="DZ36" s="997">
        <v>0</v>
      </c>
      <c r="EA36" s="997">
        <v>0</v>
      </c>
      <c r="EB36" s="997">
        <v>0</v>
      </c>
      <c r="EC36" s="997">
        <v>0</v>
      </c>
      <c r="ED36" s="997">
        <v>0</v>
      </c>
      <c r="EE36" s="1022">
        <v>0</v>
      </c>
      <c r="EF36" s="1022">
        <v>18</v>
      </c>
      <c r="EG36" s="991">
        <v>5</v>
      </c>
      <c r="EH36" s="998">
        <v>3.4</v>
      </c>
      <c r="EI36" s="998">
        <v>1.9</v>
      </c>
      <c r="EJ36" s="1023">
        <v>1.9</v>
      </c>
      <c r="EK36" s="1035" t="s">
        <v>682</v>
      </c>
      <c r="EL36" s="1022" t="s">
        <v>640</v>
      </c>
      <c r="EM36" s="1022" t="s">
        <v>640</v>
      </c>
      <c r="EN36" s="1022" t="s">
        <v>640</v>
      </c>
      <c r="EO36" s="1022" t="s">
        <v>640</v>
      </c>
      <c r="EP36" s="1022" t="s">
        <v>640</v>
      </c>
      <c r="EQ36" s="1022" t="s">
        <v>640</v>
      </c>
      <c r="ER36" s="1022" t="s">
        <v>640</v>
      </c>
      <c r="ES36" s="1022" t="s">
        <v>640</v>
      </c>
      <c r="ET36" s="1022" t="s">
        <v>640</v>
      </c>
      <c r="EU36" s="1022" t="s">
        <v>640</v>
      </c>
      <c r="EV36" s="1022" t="s">
        <v>640</v>
      </c>
      <c r="EW36" s="1022" t="s">
        <v>640</v>
      </c>
      <c r="EX36" s="1022" t="s">
        <v>640</v>
      </c>
      <c r="EY36" s="1022" t="s">
        <v>640</v>
      </c>
      <c r="EZ36" s="1022" t="s">
        <v>640</v>
      </c>
      <c r="FA36" s="1022" t="s">
        <v>640</v>
      </c>
      <c r="FB36" s="1022" t="s">
        <v>640</v>
      </c>
      <c r="FC36" s="1022" t="s">
        <v>640</v>
      </c>
      <c r="FD36" s="1022" t="s">
        <v>640</v>
      </c>
      <c r="FE36" s="1022" t="s">
        <v>640</v>
      </c>
      <c r="FF36" s="1022" t="s">
        <v>640</v>
      </c>
      <c r="FG36" s="1022" t="s">
        <v>640</v>
      </c>
      <c r="FH36" s="1022" t="s">
        <v>640</v>
      </c>
      <c r="FI36" s="1022" t="s">
        <v>640</v>
      </c>
      <c r="FJ36" s="1022" t="s">
        <v>640</v>
      </c>
      <c r="FK36" s="1022" t="s">
        <v>640</v>
      </c>
      <c r="FL36" s="1022" t="s">
        <v>640</v>
      </c>
      <c r="FM36" s="1022" t="s">
        <v>640</v>
      </c>
      <c r="FN36" s="1022" t="s">
        <v>640</v>
      </c>
      <c r="FO36" s="1022" t="s">
        <v>640</v>
      </c>
      <c r="FP36" s="1022" t="s">
        <v>640</v>
      </c>
      <c r="FQ36" s="1022" t="s">
        <v>640</v>
      </c>
      <c r="FR36" s="1022" t="s">
        <v>640</v>
      </c>
      <c r="FS36" s="1022" t="s">
        <v>640</v>
      </c>
      <c r="FT36" s="1022" t="s">
        <v>640</v>
      </c>
      <c r="FU36" s="1022" t="s">
        <v>640</v>
      </c>
      <c r="FV36" s="1022" t="s">
        <v>640</v>
      </c>
      <c r="FW36" s="1022" t="s">
        <v>640</v>
      </c>
      <c r="FX36" s="1022" t="s">
        <v>640</v>
      </c>
      <c r="FY36" s="1022" t="s">
        <v>640</v>
      </c>
      <c r="FZ36" s="1022" t="s">
        <v>640</v>
      </c>
      <c r="GA36" s="1022" t="s">
        <v>640</v>
      </c>
      <c r="GB36" s="1022" t="s">
        <v>640</v>
      </c>
      <c r="GC36" s="1022" t="s">
        <v>640</v>
      </c>
      <c r="GD36" s="1022" t="s">
        <v>640</v>
      </c>
      <c r="GE36" s="1022" t="s">
        <v>640</v>
      </c>
      <c r="GF36" s="1022" t="s">
        <v>640</v>
      </c>
      <c r="GG36" s="1022" t="s">
        <v>640</v>
      </c>
      <c r="GH36" s="1022" t="s">
        <v>640</v>
      </c>
      <c r="GI36" s="1022" t="s">
        <v>640</v>
      </c>
      <c r="GJ36" s="1022" t="s">
        <v>640</v>
      </c>
      <c r="GK36" s="1022" t="s">
        <v>640</v>
      </c>
      <c r="GL36" s="1022" t="s">
        <v>640</v>
      </c>
      <c r="GM36" s="1022" t="s">
        <v>640</v>
      </c>
      <c r="GN36" s="1022" t="s">
        <v>640</v>
      </c>
      <c r="GO36" s="1022" t="s">
        <v>640</v>
      </c>
      <c r="GP36" s="1022" t="s">
        <v>640</v>
      </c>
      <c r="GQ36" s="997">
        <v>0</v>
      </c>
      <c r="GR36" s="997">
        <v>0</v>
      </c>
      <c r="GS36" s="997">
        <v>0</v>
      </c>
      <c r="GT36" s="997">
        <v>0</v>
      </c>
      <c r="GU36" s="997">
        <v>0</v>
      </c>
      <c r="GV36" s="997">
        <v>0</v>
      </c>
      <c r="GW36" s="997">
        <v>0</v>
      </c>
      <c r="GX36" s="997">
        <v>0</v>
      </c>
      <c r="GY36" s="997">
        <v>0</v>
      </c>
      <c r="GZ36" s="997">
        <v>0</v>
      </c>
      <c r="HA36" s="997">
        <v>0</v>
      </c>
      <c r="HB36" s="997">
        <v>0</v>
      </c>
      <c r="HC36" s="997">
        <v>0</v>
      </c>
      <c r="HD36" s="997">
        <v>0</v>
      </c>
      <c r="HE36" s="997">
        <v>0</v>
      </c>
      <c r="HF36" s="997">
        <v>0</v>
      </c>
      <c r="HG36" s="997">
        <v>0</v>
      </c>
      <c r="HH36" s="997">
        <v>0</v>
      </c>
      <c r="HI36" s="997">
        <v>0</v>
      </c>
      <c r="HJ36" s="997">
        <v>0</v>
      </c>
      <c r="HK36" s="997">
        <v>0</v>
      </c>
      <c r="HL36" s="997">
        <v>0</v>
      </c>
      <c r="HM36" s="997">
        <v>0</v>
      </c>
      <c r="HN36" s="997">
        <v>0</v>
      </c>
      <c r="HO36" s="997">
        <v>0</v>
      </c>
      <c r="HP36" s="997">
        <v>0</v>
      </c>
      <c r="HQ36" s="997">
        <v>0</v>
      </c>
      <c r="HR36" s="997">
        <v>0</v>
      </c>
      <c r="HS36" s="997">
        <v>0</v>
      </c>
      <c r="HT36" s="997">
        <v>0</v>
      </c>
      <c r="HU36" s="997">
        <v>0</v>
      </c>
      <c r="HV36" s="997">
        <v>0</v>
      </c>
      <c r="HW36" s="997">
        <v>0</v>
      </c>
      <c r="HX36" s="997">
        <v>0</v>
      </c>
      <c r="HY36" s="997">
        <v>0</v>
      </c>
      <c r="HZ36" s="997">
        <v>0</v>
      </c>
      <c r="IA36" s="997">
        <v>0</v>
      </c>
      <c r="IB36" s="997">
        <v>0</v>
      </c>
      <c r="IC36" s="997">
        <v>0</v>
      </c>
      <c r="ID36" s="997">
        <v>0</v>
      </c>
      <c r="IE36" s="997">
        <v>0</v>
      </c>
      <c r="IF36" s="997">
        <v>0</v>
      </c>
      <c r="IG36" s="997">
        <v>0</v>
      </c>
      <c r="IH36" s="997">
        <v>0</v>
      </c>
      <c r="II36" s="997">
        <v>0</v>
      </c>
      <c r="IJ36" s="997">
        <v>0</v>
      </c>
      <c r="IK36" s="997">
        <v>0</v>
      </c>
      <c r="IL36" s="997">
        <v>0</v>
      </c>
      <c r="IM36" s="997">
        <v>0</v>
      </c>
      <c r="IN36" s="997">
        <v>0</v>
      </c>
      <c r="IO36" s="997">
        <v>0</v>
      </c>
      <c r="IP36" s="997">
        <v>0</v>
      </c>
      <c r="IQ36" s="997">
        <v>0</v>
      </c>
      <c r="IR36" s="997">
        <v>0</v>
      </c>
      <c r="IS36" s="997">
        <v>0</v>
      </c>
      <c r="IT36" s="997">
        <v>0</v>
      </c>
      <c r="IU36" s="997">
        <v>0</v>
      </c>
      <c r="IV36" s="997">
        <v>0</v>
      </c>
      <c r="IW36" s="1019">
        <v>269.32489069344996</v>
      </c>
      <c r="IX36" s="1022">
        <v>179.9</v>
      </c>
      <c r="IY36" s="998">
        <v>2647.0800000000199</v>
      </c>
      <c r="IZ36" s="429">
        <v>12.64</v>
      </c>
      <c r="JA36" s="1022">
        <v>65.582581761865725</v>
      </c>
      <c r="JB36" s="1022">
        <v>3.4</v>
      </c>
      <c r="JC36" s="1022">
        <v>1.9</v>
      </c>
      <c r="JD36" s="988">
        <v>1.9</v>
      </c>
      <c r="JE36" s="998">
        <v>2</v>
      </c>
      <c r="JF36" s="1023">
        <v>1.5</v>
      </c>
      <c r="JG36" s="1023">
        <v>0.7</v>
      </c>
      <c r="JH36" s="1023">
        <v>0.7</v>
      </c>
      <c r="JI36" s="1023">
        <v>0.5</v>
      </c>
      <c r="JJ36" s="1019">
        <v>333.75012607534359</v>
      </c>
      <c r="JK36" s="998">
        <v>2647.0800000000199</v>
      </c>
      <c r="JL36" s="429">
        <v>12.64</v>
      </c>
      <c r="JM36" s="1022">
        <v>65.582581761865725</v>
      </c>
      <c r="JN36" s="1022">
        <v>3.9</v>
      </c>
      <c r="JO36" s="1022">
        <v>1.8</v>
      </c>
      <c r="JP36" s="988">
        <v>1.8</v>
      </c>
      <c r="JQ36" s="998">
        <v>2</v>
      </c>
      <c r="JR36" s="998">
        <v>2</v>
      </c>
      <c r="JS36" s="998">
        <v>1</v>
      </c>
      <c r="JT36" s="998">
        <v>1</v>
      </c>
      <c r="JU36" s="1023">
        <v>0.5</v>
      </c>
      <c r="JV36" s="1004">
        <v>2000</v>
      </c>
      <c r="JW36" s="1019">
        <v>593.59065906361229</v>
      </c>
      <c r="JX36" s="1019">
        <v>500</v>
      </c>
      <c r="JY36" s="1022">
        <v>2.2000000000000002</v>
      </c>
      <c r="JZ36" s="1022">
        <v>1.2</v>
      </c>
      <c r="KA36" s="1022">
        <v>1.2</v>
      </c>
      <c r="KB36" s="1023">
        <v>2</v>
      </c>
      <c r="KC36" s="1023">
        <v>1.5</v>
      </c>
      <c r="KD36" s="1023">
        <v>0.5</v>
      </c>
      <c r="KE36" s="1023">
        <v>1</v>
      </c>
      <c r="KF36" s="1023">
        <v>0.5</v>
      </c>
      <c r="KG36" s="997"/>
      <c r="KH36" s="997"/>
      <c r="KI36" s="997"/>
      <c r="KJ36" s="997"/>
      <c r="KK36" s="997"/>
      <c r="KL36" s="997"/>
      <c r="KM36" s="997"/>
      <c r="KN36" s="997"/>
      <c r="KO36" s="997"/>
      <c r="KP36" s="1006">
        <v>580</v>
      </c>
      <c r="KQ36" s="1006">
        <v>580</v>
      </c>
      <c r="KR36" s="1006">
        <v>580</v>
      </c>
      <c r="KS36" s="1006">
        <v>580</v>
      </c>
      <c r="KT36" s="1006"/>
      <c r="KU36" s="1006">
        <v>580</v>
      </c>
      <c r="KV36" s="1006">
        <v>580</v>
      </c>
      <c r="KW36" s="1006">
        <v>580</v>
      </c>
      <c r="KX36" s="1006">
        <v>580</v>
      </c>
      <c r="KY36" s="993">
        <v>370</v>
      </c>
      <c r="KZ36" s="993">
        <v>370</v>
      </c>
      <c r="LA36" s="993">
        <v>370</v>
      </c>
      <c r="LB36" s="993">
        <v>370</v>
      </c>
      <c r="LC36" s="993"/>
      <c r="LD36" s="993">
        <v>370</v>
      </c>
      <c r="LE36" s="993">
        <v>370</v>
      </c>
      <c r="LF36" s="993">
        <v>370</v>
      </c>
      <c r="LG36" s="993">
        <v>370</v>
      </c>
      <c r="LH36" s="995">
        <v>0</v>
      </c>
      <c r="LI36" s="995">
        <v>10</v>
      </c>
      <c r="LJ36" s="995">
        <v>20</v>
      </c>
      <c r="LK36" s="995">
        <v>70</v>
      </c>
      <c r="LL36" s="995">
        <v>100</v>
      </c>
      <c r="LM36" s="1004">
        <v>1000</v>
      </c>
      <c r="LN36" s="1019"/>
      <c r="LO36" s="988">
        <v>29</v>
      </c>
      <c r="LP36" s="1022">
        <v>0</v>
      </c>
      <c r="LQ36" s="1022">
        <v>0</v>
      </c>
      <c r="LR36" s="1022">
        <v>0</v>
      </c>
      <c r="LS36" s="1023">
        <v>2</v>
      </c>
      <c r="LT36" s="1023">
        <v>1</v>
      </c>
      <c r="LU36" s="1023">
        <v>0.5</v>
      </c>
      <c r="LV36" s="1023">
        <v>0.7</v>
      </c>
      <c r="LW36" s="1023">
        <v>0.2</v>
      </c>
      <c r="LX36" s="1004">
        <v>1500</v>
      </c>
      <c r="LY36" s="1008">
        <v>500</v>
      </c>
      <c r="LZ36" s="1008">
        <v>1</v>
      </c>
      <c r="MA36" s="997" t="s">
        <v>2914</v>
      </c>
      <c r="MB36" s="1023" t="s">
        <v>905</v>
      </c>
      <c r="MC36" s="1023" t="s">
        <v>2932</v>
      </c>
      <c r="MD36" s="1024" t="s">
        <v>906</v>
      </c>
      <c r="ME36" s="1009">
        <v>0.5</v>
      </c>
      <c r="MF36" s="1010">
        <v>0.75</v>
      </c>
      <c r="MG36" s="1010">
        <v>1</v>
      </c>
      <c r="MH36" s="1010">
        <v>2</v>
      </c>
      <c r="MI36" s="1010">
        <v>0.5</v>
      </c>
      <c r="MJ36" s="1010">
        <v>0.75</v>
      </c>
      <c r="MK36" s="1010">
        <v>1</v>
      </c>
      <c r="ML36" s="1010">
        <v>2</v>
      </c>
      <c r="MM36" s="1010">
        <v>0</v>
      </c>
      <c r="MN36" s="1010">
        <v>0.5</v>
      </c>
      <c r="MO36" s="1010">
        <v>1</v>
      </c>
      <c r="MP36" s="1010">
        <v>2</v>
      </c>
      <c r="MQ36" s="1010">
        <v>0</v>
      </c>
      <c r="MR36" s="1010">
        <v>0.5</v>
      </c>
      <c r="MS36" s="1010">
        <v>1</v>
      </c>
      <c r="MT36" s="1010">
        <v>2</v>
      </c>
      <c r="MU36" s="1001">
        <v>0</v>
      </c>
      <c r="MV36" s="1001">
        <v>0</v>
      </c>
      <c r="MW36" s="1001">
        <v>0</v>
      </c>
      <c r="MX36" s="1025">
        <v>0</v>
      </c>
      <c r="MY36" s="1025">
        <v>0</v>
      </c>
      <c r="MZ36" s="1025">
        <v>0</v>
      </c>
      <c r="NA36" s="1025">
        <v>0</v>
      </c>
      <c r="NB36" s="1025">
        <v>0</v>
      </c>
      <c r="NC36" s="1025">
        <v>0</v>
      </c>
      <c r="ND36" s="1025">
        <v>0</v>
      </c>
      <c r="NE36" s="1025">
        <v>0</v>
      </c>
      <c r="NF36" s="1025">
        <v>0</v>
      </c>
      <c r="NG36" s="1025">
        <v>0</v>
      </c>
      <c r="NH36" s="1025">
        <v>0</v>
      </c>
      <c r="NI36" s="1025">
        <v>0</v>
      </c>
      <c r="NJ36" s="1025">
        <v>0</v>
      </c>
      <c r="NK36" s="1025">
        <v>0</v>
      </c>
      <c r="NL36" s="1025">
        <v>0</v>
      </c>
      <c r="NM36" s="1025">
        <v>0</v>
      </c>
      <c r="NN36" s="1025">
        <v>0</v>
      </c>
      <c r="NO36" s="1025">
        <v>0</v>
      </c>
      <c r="NP36" s="1025">
        <v>0</v>
      </c>
      <c r="NQ36" s="1025">
        <v>0</v>
      </c>
      <c r="NR36" s="1025">
        <v>0</v>
      </c>
      <c r="NS36" s="1025">
        <v>0</v>
      </c>
      <c r="NT36" s="1025">
        <v>0</v>
      </c>
      <c r="NU36" s="1025">
        <v>0</v>
      </c>
      <c r="NV36" s="1025">
        <v>0</v>
      </c>
      <c r="NW36" s="1025">
        <v>0</v>
      </c>
      <c r="NX36" s="1025">
        <v>0</v>
      </c>
      <c r="NY36" s="1025">
        <v>0</v>
      </c>
      <c r="NZ36" s="1025">
        <v>0</v>
      </c>
      <c r="OA36" s="1025">
        <v>0</v>
      </c>
      <c r="OB36" s="1025">
        <v>1.2882427617057599</v>
      </c>
      <c r="OC36" s="1025">
        <v>0</v>
      </c>
      <c r="OD36" s="1025">
        <v>0.19059296675262</v>
      </c>
      <c r="OE36" s="1025">
        <v>0.14284132574906999</v>
      </c>
      <c r="OF36" s="1025">
        <v>0.25005864586909998</v>
      </c>
      <c r="OG36" s="1025">
        <v>0</v>
      </c>
      <c r="OH36" s="1025">
        <v>0</v>
      </c>
      <c r="OI36" s="1025">
        <v>0</v>
      </c>
      <c r="OJ36" s="1025">
        <v>0</v>
      </c>
      <c r="OK36" s="1025">
        <v>0</v>
      </c>
      <c r="OL36" s="1025">
        <v>0</v>
      </c>
      <c r="OM36" s="1025">
        <v>0</v>
      </c>
      <c r="ON36" s="1025">
        <v>0</v>
      </c>
      <c r="OO36" s="1025">
        <v>0</v>
      </c>
      <c r="OP36" s="1025">
        <v>0</v>
      </c>
      <c r="OQ36" s="1025">
        <v>0</v>
      </c>
      <c r="OR36" s="1025">
        <v>0</v>
      </c>
      <c r="OS36" s="1025">
        <v>0</v>
      </c>
      <c r="OT36" s="1025">
        <v>1.2882427617058001</v>
      </c>
      <c r="OU36" s="1025">
        <v>0</v>
      </c>
      <c r="OV36" s="1025">
        <v>0.30357340639800001</v>
      </c>
      <c r="OW36" s="1025">
        <v>0.52049999999999996</v>
      </c>
      <c r="OX36" s="1025">
        <v>3.5064632075472</v>
      </c>
      <c r="OY36" s="1025">
        <v>0</v>
      </c>
      <c r="OZ36" s="1025">
        <v>-118.96</v>
      </c>
      <c r="PA36" s="1025">
        <v>-26.48</v>
      </c>
      <c r="PB36" s="1025">
        <v>-0.39665336034164</v>
      </c>
      <c r="PC36" s="1025">
        <v>0</v>
      </c>
      <c r="PD36" s="1025">
        <v>-0.93919052224372002</v>
      </c>
      <c r="PE36" s="1025">
        <v>0</v>
      </c>
      <c r="PF36" s="1025">
        <v>-0.26559039082951003</v>
      </c>
      <c r="PG36" s="1025">
        <v>0</v>
      </c>
      <c r="PH36" s="1025">
        <v>4.3007763623999998E-3</v>
      </c>
      <c r="PI36" s="1025">
        <v>0</v>
      </c>
      <c r="PJ36" s="1025">
        <v>-0.51926974852255003</v>
      </c>
      <c r="PK36" s="1025">
        <v>0</v>
      </c>
      <c r="PL36" s="1025">
        <v>0</v>
      </c>
      <c r="PM36" s="1025">
        <v>0</v>
      </c>
      <c r="PN36" s="1025">
        <v>0</v>
      </c>
      <c r="PO36" s="1025">
        <v>0</v>
      </c>
      <c r="PP36" s="1025">
        <v>0</v>
      </c>
      <c r="PQ36" s="1025">
        <v>0</v>
      </c>
      <c r="PR36" s="1025">
        <v>-2.7376742625898101</v>
      </c>
      <c r="PS36" s="1025">
        <v>0</v>
      </c>
      <c r="PT36" s="1025">
        <v>7.6118923250419995E-2</v>
      </c>
      <c r="PU36" s="1025">
        <v>0</v>
      </c>
      <c r="PV36" s="1025">
        <v>1.8765735294118</v>
      </c>
      <c r="PW36" s="1025">
        <v>0</v>
      </c>
      <c r="PX36" s="1025">
        <v>0</v>
      </c>
      <c r="PY36" s="1025">
        <v>0</v>
      </c>
      <c r="PZ36" s="1025">
        <v>0</v>
      </c>
      <c r="QA36" s="1025">
        <v>0</v>
      </c>
      <c r="QB36" s="1025">
        <v>0</v>
      </c>
      <c r="QC36" s="1025">
        <v>0</v>
      </c>
      <c r="QD36" s="1025">
        <v>-118.96</v>
      </c>
      <c r="QE36" s="1025">
        <v>-26.48</v>
      </c>
      <c r="QF36" s="1025">
        <v>-0.41083620778661001</v>
      </c>
      <c r="QG36" s="1025">
        <v>0</v>
      </c>
      <c r="QH36" s="1025">
        <v>-0.36364292651343</v>
      </c>
      <c r="QI36" s="1025">
        <v>0</v>
      </c>
      <c r="QJ36" s="1025">
        <v>-0.16526203902667</v>
      </c>
      <c r="QK36" s="1025">
        <v>0</v>
      </c>
      <c r="QL36" s="1025">
        <v>-1.7406170958130001E-2</v>
      </c>
      <c r="QM36" s="1025">
        <v>0</v>
      </c>
      <c r="QN36" s="1025">
        <v>0.51254558222676005</v>
      </c>
      <c r="QO36" s="1025">
        <v>0</v>
      </c>
      <c r="QP36" s="1025">
        <v>-0.1720552248062</v>
      </c>
      <c r="QQ36" s="1025">
        <v>0</v>
      </c>
      <c r="QR36" s="1025">
        <v>0.30529052341044999</v>
      </c>
      <c r="QS36" s="1025">
        <v>0</v>
      </c>
      <c r="QT36" s="1025">
        <v>-0.76800000000000002</v>
      </c>
      <c r="QU36" s="1025">
        <v>0</v>
      </c>
      <c r="QV36" s="1025">
        <v>4.5730483159340002E-2</v>
      </c>
      <c r="QW36" s="1025">
        <v>0</v>
      </c>
      <c r="QX36" s="1025">
        <v>0.10239346637599001</v>
      </c>
      <c r="QY36" s="1025">
        <v>0</v>
      </c>
      <c r="QZ36" s="1025">
        <v>2.4090896681936398</v>
      </c>
      <c r="RA36" s="1025">
        <v>0</v>
      </c>
      <c r="RB36" s="1025">
        <v>0.3274927043982</v>
      </c>
      <c r="RC36" s="1025">
        <v>0</v>
      </c>
      <c r="RD36" s="1025">
        <v>0.40303458006898002</v>
      </c>
      <c r="RE36" s="1025">
        <v>0</v>
      </c>
      <c r="RF36" s="1025">
        <v>3.0894632075471899</v>
      </c>
      <c r="RG36" s="1025">
        <v>0</v>
      </c>
      <c r="RH36" s="1011">
        <v>0</v>
      </c>
      <c r="RI36" s="1026">
        <v>0</v>
      </c>
      <c r="RJ36" s="1026">
        <v>0</v>
      </c>
      <c r="RK36" s="1026">
        <v>0</v>
      </c>
      <c r="RL36" s="1026">
        <v>0</v>
      </c>
      <c r="RM36" s="1011">
        <v>0</v>
      </c>
      <c r="RN36" s="1011">
        <v>0</v>
      </c>
      <c r="RO36" s="1011">
        <v>0</v>
      </c>
      <c r="RP36" s="1011">
        <v>0</v>
      </c>
      <c r="RQ36" s="1011">
        <v>0</v>
      </c>
      <c r="RR36" s="1011">
        <v>0</v>
      </c>
      <c r="RS36" s="1011">
        <v>0</v>
      </c>
      <c r="RT36" s="1011">
        <v>0</v>
      </c>
      <c r="RU36" s="1011">
        <v>0</v>
      </c>
      <c r="RV36" s="1011">
        <v>0</v>
      </c>
      <c r="RW36" s="1011">
        <v>0</v>
      </c>
      <c r="RX36" s="1011">
        <v>0.51850000000000995</v>
      </c>
      <c r="RY36" s="1011">
        <v>0</v>
      </c>
      <c r="RZ36" s="1026">
        <v>0</v>
      </c>
      <c r="SA36" s="1026">
        <v>0</v>
      </c>
      <c r="SB36" s="1026">
        <v>0</v>
      </c>
      <c r="SC36" s="1026">
        <v>0</v>
      </c>
      <c r="SD36" s="1026">
        <v>0</v>
      </c>
      <c r="SE36" s="1026">
        <v>0</v>
      </c>
      <c r="SF36" s="1026">
        <v>-2.6336414139936601</v>
      </c>
      <c r="SG36" s="1026">
        <v>0</v>
      </c>
      <c r="SH36" s="1026">
        <v>-0.51819049368352998</v>
      </c>
      <c r="SI36" s="1026">
        <v>0</v>
      </c>
      <c r="SJ36" s="1026">
        <v>0.83336842105262998</v>
      </c>
      <c r="SK36" s="1026">
        <v>0</v>
      </c>
      <c r="SL36" s="1025">
        <v>-118.96</v>
      </c>
      <c r="SM36" s="1025">
        <v>-26.48</v>
      </c>
      <c r="SN36" s="1025">
        <v>-0.22087481218068999</v>
      </c>
      <c r="SO36" s="1025">
        <v>0</v>
      </c>
      <c r="SP36" s="1025">
        <v>-2.7912499999999998</v>
      </c>
      <c r="SQ36" s="1025">
        <v>0</v>
      </c>
      <c r="SR36" s="1025">
        <v>0.23479440745134</v>
      </c>
      <c r="SS36" s="1025">
        <v>0</v>
      </c>
      <c r="ST36" s="1025">
        <v>-1.1678896166579999E-2</v>
      </c>
      <c r="SU36" s="1025">
        <v>0</v>
      </c>
      <c r="SV36" s="1025">
        <v>-1.8919869133574001</v>
      </c>
      <c r="SW36" s="1025">
        <v>0</v>
      </c>
      <c r="SX36" s="1025">
        <v>0.18330954041924</v>
      </c>
      <c r="SY36" s="1025">
        <v>0</v>
      </c>
      <c r="SZ36" s="1025">
        <v>-2.3322956230090001E-2</v>
      </c>
      <c r="TA36" s="1025">
        <v>0</v>
      </c>
      <c r="TB36" s="1025">
        <v>-2.3985672588832498</v>
      </c>
      <c r="TC36" s="1025">
        <v>0</v>
      </c>
      <c r="TD36" s="1025">
        <v>-0.46036159214005001</v>
      </c>
      <c r="TE36" s="1025">
        <v>0</v>
      </c>
      <c r="TF36" s="1025">
        <v>0</v>
      </c>
      <c r="TG36" s="1025">
        <v>0</v>
      </c>
      <c r="TH36" s="1025">
        <v>-3.3097500000000202</v>
      </c>
      <c r="TI36" s="1025">
        <v>0</v>
      </c>
      <c r="TJ36" s="1025">
        <v>0</v>
      </c>
      <c r="TK36" s="1025">
        <v>0</v>
      </c>
      <c r="TL36" s="1025">
        <v>0</v>
      </c>
      <c r="TM36" s="1025">
        <v>0</v>
      </c>
      <c r="TN36" s="1025">
        <v>0</v>
      </c>
      <c r="TO36" s="1025">
        <v>0</v>
      </c>
      <c r="TP36" s="1025">
        <v>-118.96</v>
      </c>
      <c r="TQ36" s="1025">
        <v>-26.48</v>
      </c>
      <c r="TR36" s="1025">
        <v>0</v>
      </c>
      <c r="TS36" s="1025">
        <v>0</v>
      </c>
      <c r="TT36" s="1025">
        <v>-3.5064632075471698</v>
      </c>
      <c r="TU36" s="1025">
        <v>0</v>
      </c>
      <c r="TV36" s="1025">
        <v>0</v>
      </c>
      <c r="TW36" s="1025">
        <v>0</v>
      </c>
      <c r="TX36" s="1025">
        <v>0</v>
      </c>
      <c r="TY36" s="1025">
        <v>0</v>
      </c>
      <c r="TZ36" s="1025">
        <v>0</v>
      </c>
      <c r="UA36" s="1025">
        <v>0</v>
      </c>
      <c r="UB36" s="1025">
        <v>0</v>
      </c>
      <c r="UC36" s="1025">
        <v>0</v>
      </c>
      <c r="UD36" s="1025">
        <v>0</v>
      </c>
      <c r="UE36" s="1025">
        <v>0</v>
      </c>
      <c r="UF36" s="1025">
        <v>0</v>
      </c>
      <c r="UG36" s="1025">
        <v>0</v>
      </c>
      <c r="UH36" s="1025">
        <v>0</v>
      </c>
      <c r="UI36" s="1025">
        <v>0</v>
      </c>
      <c r="UJ36" s="1025">
        <v>0</v>
      </c>
      <c r="UK36" s="1025">
        <v>0</v>
      </c>
      <c r="UL36" s="1025">
        <v>0</v>
      </c>
      <c r="UM36" s="1025">
        <v>0</v>
      </c>
      <c r="UN36" s="1025">
        <v>0</v>
      </c>
      <c r="UO36" s="1025">
        <v>0</v>
      </c>
      <c r="UP36" s="1025">
        <v>0</v>
      </c>
      <c r="UQ36" s="1025">
        <v>0</v>
      </c>
      <c r="UR36" s="1025">
        <v>-0.71521320754716999</v>
      </c>
      <c r="US36" s="1025">
        <v>0</v>
      </c>
      <c r="UT36" s="1025">
        <v>-0.33496828654903998</v>
      </c>
      <c r="UU36" s="1025">
        <v>0</v>
      </c>
      <c r="UV36" s="1025">
        <v>0.18415944884839999</v>
      </c>
      <c r="UW36" s="1025">
        <v>0</v>
      </c>
      <c r="UX36" s="1025">
        <v>0</v>
      </c>
      <c r="UY36" s="1025">
        <v>0</v>
      </c>
      <c r="UZ36" s="1025">
        <v>-2.4215203097400001E-3</v>
      </c>
      <c r="VA36" s="1025">
        <v>0</v>
      </c>
      <c r="VB36" s="1025">
        <v>1.1546702643100001E-3</v>
      </c>
      <c r="VC36" s="1025">
        <v>0</v>
      </c>
      <c r="VD36" s="1025">
        <v>5.5284036842499999E-3</v>
      </c>
      <c r="VE36" s="1025">
        <v>-10</v>
      </c>
      <c r="VF36" s="1025">
        <v>0.22566933006371001</v>
      </c>
      <c r="VG36" s="1025">
        <v>0</v>
      </c>
      <c r="VH36" s="1025">
        <v>6.0505317604310001E-2</v>
      </c>
      <c r="VI36" s="1025">
        <v>0</v>
      </c>
      <c r="VJ36" s="1025">
        <v>-1.1357845616429999E-2</v>
      </c>
      <c r="VK36" s="1025">
        <v>0</v>
      </c>
      <c r="VL36" s="1025">
        <v>0</v>
      </c>
      <c r="VM36" s="1025">
        <v>0</v>
      </c>
      <c r="VN36" s="1025">
        <v>0</v>
      </c>
      <c r="VO36" s="1025">
        <v>0</v>
      </c>
      <c r="VP36" s="1025">
        <v>0</v>
      </c>
      <c r="VQ36" s="1025">
        <v>0</v>
      </c>
      <c r="VR36" s="1010">
        <v>0</v>
      </c>
      <c r="VS36" s="1010">
        <v>0</v>
      </c>
      <c r="VT36" s="1010">
        <v>0</v>
      </c>
      <c r="VU36" s="1010">
        <v>0</v>
      </c>
      <c r="VV36" s="1010">
        <v>0</v>
      </c>
      <c r="VW36" s="1010">
        <v>0</v>
      </c>
      <c r="VX36" s="1025">
        <v>0.31080000000000002</v>
      </c>
      <c r="VY36" s="1025">
        <v>0</v>
      </c>
      <c r="VZ36" s="1025">
        <v>0</v>
      </c>
      <c r="WA36" s="1025">
        <v>0</v>
      </c>
      <c r="WB36" s="1025">
        <v>0</v>
      </c>
      <c r="WC36" s="1025">
        <v>0</v>
      </c>
      <c r="WD36" s="995">
        <v>202</v>
      </c>
      <c r="WE36" s="995">
        <v>267</v>
      </c>
      <c r="WF36" s="995">
        <v>354</v>
      </c>
      <c r="WG36" s="995">
        <v>382</v>
      </c>
      <c r="WH36" s="995">
        <v>403</v>
      </c>
      <c r="WI36" s="995">
        <v>0</v>
      </c>
      <c r="WJ36" s="995">
        <v>1300</v>
      </c>
      <c r="WK36" s="1001">
        <v>0</v>
      </c>
      <c r="WL36" s="1001">
        <v>0</v>
      </c>
      <c r="WM36" s="1001">
        <v>0</v>
      </c>
      <c r="WN36" s="1001">
        <v>0</v>
      </c>
      <c r="WO36" s="1001">
        <v>0</v>
      </c>
      <c r="WP36" s="1001">
        <v>0</v>
      </c>
      <c r="WQ36" s="1001">
        <v>0</v>
      </c>
      <c r="WR36" s="1001">
        <v>0</v>
      </c>
      <c r="WS36" s="1001">
        <v>0</v>
      </c>
      <c r="WT36" s="1001">
        <v>0</v>
      </c>
      <c r="WU36" s="1001">
        <v>0</v>
      </c>
      <c r="WV36" s="1001">
        <v>0</v>
      </c>
      <c r="WW36" s="1001">
        <v>0</v>
      </c>
      <c r="WX36" s="1001">
        <v>0</v>
      </c>
      <c r="WY36" s="1001">
        <v>0</v>
      </c>
      <c r="WZ36" s="1001">
        <v>0</v>
      </c>
      <c r="XA36" s="1001">
        <v>0</v>
      </c>
      <c r="XB36" s="1001">
        <v>0</v>
      </c>
      <c r="XC36" s="1001">
        <v>0</v>
      </c>
      <c r="XD36" s="1001">
        <v>0</v>
      </c>
      <c r="XE36" s="1001">
        <v>0</v>
      </c>
      <c r="XF36" s="1001">
        <v>0</v>
      </c>
      <c r="XG36" s="1001">
        <v>0</v>
      </c>
      <c r="XH36" s="1001">
        <v>0</v>
      </c>
      <c r="XI36" s="1001">
        <v>0</v>
      </c>
      <c r="XJ36" s="1001">
        <v>0</v>
      </c>
      <c r="XK36" s="1001">
        <v>0</v>
      </c>
      <c r="XL36" s="1001">
        <v>0</v>
      </c>
      <c r="XM36" s="1001">
        <v>0</v>
      </c>
      <c r="XN36" s="1001">
        <v>0</v>
      </c>
      <c r="XO36" s="1001">
        <v>0</v>
      </c>
      <c r="XP36" s="1001">
        <v>0</v>
      </c>
      <c r="XQ36" s="1001">
        <v>0</v>
      </c>
      <c r="XR36" s="1027">
        <v>81.833500000000001</v>
      </c>
      <c r="XS36" s="1013">
        <v>64.920104384133609</v>
      </c>
      <c r="XT36" s="1013">
        <v>71.753799582463472</v>
      </c>
      <c r="XU36" s="1013">
        <v>75.170647181628397</v>
      </c>
      <c r="XV36" s="1013">
        <v>115.48944885177454</v>
      </c>
      <c r="XW36" s="1028">
        <v>15406.81004</v>
      </c>
      <c r="XX36" s="1013">
        <v>78</v>
      </c>
      <c r="XY36" s="1013">
        <v>15</v>
      </c>
      <c r="XZ36" s="1013">
        <v>7.0000000000000009</v>
      </c>
      <c r="YA36" s="1029">
        <v>0</v>
      </c>
      <c r="YB36" s="1013">
        <v>1125.5686891610574</v>
      </c>
      <c r="YC36" s="1013">
        <v>0</v>
      </c>
      <c r="YD36" s="1013">
        <v>0</v>
      </c>
      <c r="YE36" s="1013">
        <v>0</v>
      </c>
      <c r="YF36" s="1013">
        <v>0</v>
      </c>
      <c r="YG36" s="1013">
        <v>0</v>
      </c>
      <c r="YH36" s="1013">
        <v>1904.8085508879431</v>
      </c>
      <c r="YI36" s="1013">
        <v>303.03772400490004</v>
      </c>
      <c r="YJ36" s="1013">
        <v>1207.4599095798958</v>
      </c>
      <c r="YK36" s="1013">
        <v>0</v>
      </c>
      <c r="YL36" s="1013">
        <v>0</v>
      </c>
      <c r="YM36" s="1013">
        <v>0</v>
      </c>
      <c r="YN36" s="1013">
        <v>0</v>
      </c>
      <c r="YO36" s="1013">
        <v>0</v>
      </c>
      <c r="YP36" s="1013">
        <v>2043.3936931352082</v>
      </c>
      <c r="YQ36" s="1013">
        <v>325.08536027151041</v>
      </c>
      <c r="YR36" s="1013">
        <v>1264.9580005122718</v>
      </c>
      <c r="YS36" s="1013">
        <v>0</v>
      </c>
      <c r="YT36" s="1013">
        <v>0</v>
      </c>
      <c r="YU36" s="1013">
        <v>0</v>
      </c>
      <c r="YV36" s="1013">
        <v>0</v>
      </c>
      <c r="YW36" s="1013">
        <v>0</v>
      </c>
      <c r="YX36" s="1013">
        <v>2140.6981547130749</v>
      </c>
      <c r="YY36" s="1013">
        <v>340.5656155225347</v>
      </c>
      <c r="YZ36" s="1013">
        <v>1943.4354735143086</v>
      </c>
      <c r="ZA36" s="1013">
        <v>0</v>
      </c>
      <c r="ZB36" s="1013">
        <v>0</v>
      </c>
      <c r="ZC36" s="1013">
        <v>0</v>
      </c>
      <c r="ZD36" s="1013">
        <v>0</v>
      </c>
      <c r="ZE36" s="1013">
        <v>0</v>
      </c>
      <c r="ZF36" s="1013">
        <v>3288.8908013319065</v>
      </c>
      <c r="ZG36" s="1013">
        <v>523.2326274846215</v>
      </c>
      <c r="ZH36" s="1013">
        <v>1194.103316012197</v>
      </c>
      <c r="ZI36" s="1013">
        <v>505.19755677439105</v>
      </c>
      <c r="ZJ36" s="1013">
        <v>551.12460739024482</v>
      </c>
      <c r="ZK36" s="1013">
        <v>0</v>
      </c>
      <c r="ZL36" s="1013">
        <v>0</v>
      </c>
      <c r="ZM36" s="1013">
        <v>0</v>
      </c>
      <c r="ZN36" s="1013">
        <v>2020.7902270975642</v>
      </c>
      <c r="ZO36" s="1013">
        <v>321.48935431097613</v>
      </c>
      <c r="ZP36" s="1013">
        <v>1280.9808018520939</v>
      </c>
      <c r="ZQ36" s="1013">
        <v>541.95341616819348</v>
      </c>
      <c r="ZR36" s="1013">
        <v>591.22190854712017</v>
      </c>
      <c r="ZS36" s="1013">
        <v>0</v>
      </c>
      <c r="ZT36" s="1013">
        <v>0</v>
      </c>
      <c r="ZU36" s="1013">
        <v>0</v>
      </c>
      <c r="ZV36" s="1013">
        <v>2167.8136646727739</v>
      </c>
      <c r="ZW36" s="1013">
        <v>344.87944665248682</v>
      </c>
      <c r="ZX36" s="1013">
        <v>1341.9798876545744</v>
      </c>
      <c r="ZY36" s="1013">
        <v>567.76072170001225</v>
      </c>
      <c r="ZZ36" s="1013">
        <v>619.37533276364968</v>
      </c>
      <c r="AAA36" s="1013">
        <v>0</v>
      </c>
      <c r="AAB36" s="1013">
        <v>0</v>
      </c>
      <c r="AAC36" s="1013">
        <v>0</v>
      </c>
      <c r="AAD36" s="1013">
        <v>2271.042886800049</v>
      </c>
      <c r="AAE36" s="1013">
        <v>361.30227744546238</v>
      </c>
      <c r="AAF36" s="1013">
        <v>2061.7691001238463</v>
      </c>
      <c r="AAG36" s="1013">
        <v>872.28692697547342</v>
      </c>
      <c r="AAH36" s="1013">
        <v>951.58573851869824</v>
      </c>
      <c r="AAI36" s="1013">
        <v>0</v>
      </c>
      <c r="AAJ36" s="1013">
        <v>0</v>
      </c>
      <c r="AAK36" s="1013">
        <v>0</v>
      </c>
      <c r="AAL36" s="1013">
        <v>3489.1477079018937</v>
      </c>
      <c r="AAM36" s="1013">
        <v>555.09168080257405</v>
      </c>
      <c r="AAN36" s="1013">
        <v>3177.8555990647183</v>
      </c>
      <c r="AAO36" s="1013">
        <v>1344.4773688350731</v>
      </c>
      <c r="AAP36" s="1013">
        <v>1466.7025841837162</v>
      </c>
      <c r="AAQ36" s="1013">
        <v>0</v>
      </c>
      <c r="AAR36" s="1013">
        <v>0</v>
      </c>
      <c r="AAS36" s="1013">
        <v>0</v>
      </c>
      <c r="AAT36" s="1013">
        <v>5377.9094753402924</v>
      </c>
      <c r="AAU36" s="1013">
        <v>855.57650744050113</v>
      </c>
      <c r="AAV36" s="1013">
        <v>3512.3667147557412</v>
      </c>
      <c r="AAW36" s="1013">
        <v>1486.0013023966596</v>
      </c>
      <c r="AAX36" s="1013">
        <v>1621.0923298872651</v>
      </c>
      <c r="AAY36" s="1013">
        <v>0</v>
      </c>
      <c r="AAZ36" s="1013">
        <v>0</v>
      </c>
      <c r="ABA36" s="1013">
        <v>0</v>
      </c>
      <c r="ABB36" s="1013">
        <v>5944.0052095866386</v>
      </c>
      <c r="ABC36" s="1013">
        <v>945.63719243423805</v>
      </c>
      <c r="ABD36" s="1013">
        <v>3679.6222726012525</v>
      </c>
      <c r="ABE36" s="1013">
        <v>1556.7632691774529</v>
      </c>
      <c r="ABF36" s="1013">
        <v>1698.2872027390397</v>
      </c>
      <c r="ABG36" s="1013">
        <v>0</v>
      </c>
      <c r="ABH36" s="1013">
        <v>0</v>
      </c>
      <c r="ABI36" s="1013">
        <v>0</v>
      </c>
      <c r="ABJ36" s="1013">
        <v>6227.0530767098116</v>
      </c>
      <c r="ABK36" s="1013">
        <v>990.6675349311065</v>
      </c>
      <c r="ABL36" s="1013">
        <v>5653.2378551782886</v>
      </c>
      <c r="ABM36" s="1013">
        <v>2391.7544771908142</v>
      </c>
      <c r="ABN36" s="1013">
        <v>2609.186702389979</v>
      </c>
      <c r="ABO36" s="1013">
        <v>0</v>
      </c>
      <c r="ABP36" s="1013">
        <v>0</v>
      </c>
      <c r="ABQ36" s="1013">
        <v>0</v>
      </c>
      <c r="ABR36" s="1013">
        <v>9567.0179087632569</v>
      </c>
      <c r="ABS36" s="1013">
        <v>1522.0255763941548</v>
      </c>
      <c r="ABT36" s="1013">
        <v>4371.9589150769161</v>
      </c>
      <c r="ABU36" s="1013">
        <v>1849.6749256094645</v>
      </c>
      <c r="ABV36" s="1013">
        <v>2017.827191573961</v>
      </c>
      <c r="ABW36" s="1013">
        <v>0</v>
      </c>
      <c r="ABX36" s="1013">
        <v>0</v>
      </c>
      <c r="ABY36" s="1013">
        <v>0</v>
      </c>
      <c r="ABZ36" s="1013">
        <v>7398.6997024378579</v>
      </c>
      <c r="ACA36" s="1013">
        <v>1177.0658617514775</v>
      </c>
      <c r="ACB36" s="1013">
        <v>4628.0596712075658</v>
      </c>
      <c r="ACC36" s="1013">
        <v>1958.025245510893</v>
      </c>
      <c r="ACD36" s="1013">
        <v>2136.0275405573375</v>
      </c>
      <c r="ACE36" s="1013">
        <v>0</v>
      </c>
      <c r="ACF36" s="1013">
        <v>0</v>
      </c>
      <c r="ACG36" s="1013">
        <v>0</v>
      </c>
      <c r="ACH36" s="1013">
        <v>7832.100982043572</v>
      </c>
      <c r="ACI36" s="1013">
        <v>1246.0160653251139</v>
      </c>
      <c r="ACJ36" s="1013">
        <v>4848.4434650745925</v>
      </c>
      <c r="ACK36" s="1013">
        <v>2051.2645429161735</v>
      </c>
      <c r="ACL36" s="1013">
        <v>2237.7431377267344</v>
      </c>
      <c r="ACM36" s="1013">
        <v>0</v>
      </c>
      <c r="ACN36" s="1013">
        <v>0</v>
      </c>
      <c r="ACO36" s="1013">
        <v>0</v>
      </c>
      <c r="ACP36" s="1013">
        <v>8205.0581716646939</v>
      </c>
      <c r="ACQ36" s="1013">
        <v>1305.3501636739288</v>
      </c>
      <c r="ACR36" s="1013">
        <v>7448.9722327055097</v>
      </c>
      <c r="ACS36" s="1013">
        <v>3151.4882522984849</v>
      </c>
      <c r="ACT36" s="1013">
        <v>3437.9871843256196</v>
      </c>
      <c r="ACU36" s="1013">
        <v>0</v>
      </c>
      <c r="ACV36" s="1013">
        <v>0</v>
      </c>
      <c r="ACW36" s="1013">
        <v>0</v>
      </c>
      <c r="ACX36" s="1013">
        <v>12605.95300919394</v>
      </c>
      <c r="ACY36" s="1013">
        <v>2005.492524189945</v>
      </c>
      <c r="ACZ36" s="1013">
        <v>5662.3608856062256</v>
      </c>
      <c r="ADA36" s="1013">
        <v>2395.6142208334031</v>
      </c>
      <c r="ADB36" s="1013">
        <v>2613.397331818258</v>
      </c>
      <c r="ADC36" s="1013">
        <v>0</v>
      </c>
      <c r="ADD36" s="1013">
        <v>0</v>
      </c>
      <c r="ADE36" s="1013">
        <v>0</v>
      </c>
      <c r="ADF36" s="1013">
        <v>9582.4568833336125</v>
      </c>
      <c r="ADG36" s="1013">
        <v>1524.481776893984</v>
      </c>
      <c r="ADH36" s="1013">
        <v>6053.6673377848956</v>
      </c>
      <c r="ADI36" s="1013">
        <v>2561.1669506013018</v>
      </c>
      <c r="ADJ36" s="1013">
        <v>2794.0003097468748</v>
      </c>
      <c r="ADK36" s="1013">
        <v>0</v>
      </c>
      <c r="ADL36" s="1013">
        <v>0</v>
      </c>
      <c r="ADM36" s="1013">
        <v>0</v>
      </c>
      <c r="ADN36" s="1013">
        <v>10244.667802405207</v>
      </c>
      <c r="ADO36" s="1013">
        <v>1629.8335140190104</v>
      </c>
      <c r="ADP36" s="1013">
        <v>6341.9372110127479</v>
      </c>
      <c r="ADQ36" s="1013">
        <v>2683.1272815823163</v>
      </c>
      <c r="ADR36" s="1013">
        <v>2927.0479435443449</v>
      </c>
      <c r="ADS36" s="1013">
        <v>0</v>
      </c>
      <c r="ADT36" s="1013">
        <v>0</v>
      </c>
      <c r="ADU36" s="1013">
        <v>0</v>
      </c>
      <c r="ADV36" s="1013">
        <v>10732.509126329265</v>
      </c>
      <c r="ADW36" s="1013">
        <v>1707.4446337342015</v>
      </c>
      <c r="ADX36" s="1013">
        <v>9743.521715101404</v>
      </c>
      <c r="ADY36" s="1013">
        <v>4122.2591871582863</v>
      </c>
      <c r="ADZ36" s="1013">
        <v>4497.0100223544941</v>
      </c>
      <c r="AEA36" s="1013">
        <v>0</v>
      </c>
      <c r="AEB36" s="1013">
        <v>0</v>
      </c>
      <c r="AEC36" s="1013">
        <v>0</v>
      </c>
      <c r="AED36" s="1013">
        <v>16489.036748633145</v>
      </c>
      <c r="AEE36" s="1013">
        <v>2623.2558463734554</v>
      </c>
      <c r="AEF36" s="1013">
        <v>6914.2433943286906</v>
      </c>
      <c r="AEG36" s="1013">
        <v>2925.2568206775227</v>
      </c>
      <c r="AEH36" s="1013">
        <v>3191.1892589209338</v>
      </c>
      <c r="AEI36" s="1013">
        <v>0</v>
      </c>
      <c r="AEJ36" s="1013">
        <v>0</v>
      </c>
      <c r="AEK36" s="1013">
        <v>0</v>
      </c>
      <c r="AEL36" s="1013">
        <v>11701.027282710091</v>
      </c>
      <c r="AEM36" s="1013">
        <v>1861.5270677038784</v>
      </c>
      <c r="AEN36" s="1013">
        <v>7437.9530430121586</v>
      </c>
      <c r="AEO36" s="1013">
        <v>3146.8262874282209</v>
      </c>
      <c r="AEP36" s="1013">
        <v>3432.9014044671499</v>
      </c>
      <c r="AEQ36" s="1013">
        <v>0</v>
      </c>
      <c r="AER36" s="1013">
        <v>0</v>
      </c>
      <c r="AES36" s="1013">
        <v>0</v>
      </c>
      <c r="AET36" s="1013">
        <v>12587.305149712884</v>
      </c>
      <c r="AEU36" s="1013">
        <v>2002.5258192725044</v>
      </c>
      <c r="AEV36" s="1013">
        <v>7792.1412831555945</v>
      </c>
      <c r="AEW36" s="1013">
        <v>3296.675158258136</v>
      </c>
      <c r="AEX36" s="1013">
        <v>3596.3728999179662</v>
      </c>
      <c r="AEY36" s="1013">
        <v>0</v>
      </c>
      <c r="AEZ36" s="1013">
        <v>0</v>
      </c>
      <c r="AFA36" s="1013">
        <v>0</v>
      </c>
      <c r="AFB36" s="1013">
        <v>13186.700633032544</v>
      </c>
      <c r="AFC36" s="1013">
        <v>2097.8841916188139</v>
      </c>
      <c r="AFD36" s="1013">
        <v>11971.56251684814</v>
      </c>
      <c r="AFE36" s="1013">
        <v>5064.8918340511364</v>
      </c>
      <c r="AFF36" s="1013">
        <v>5525.3365462376032</v>
      </c>
      <c r="AFG36" s="1013">
        <v>0</v>
      </c>
      <c r="AFH36" s="1013">
        <v>0</v>
      </c>
      <c r="AFI36" s="1013">
        <v>0</v>
      </c>
      <c r="AFJ36" s="1013">
        <v>20259.567336204545</v>
      </c>
      <c r="AFK36" s="1013">
        <v>3223.1129853052689</v>
      </c>
      <c r="AFL36" s="1023">
        <v>7973.5285940169306</v>
      </c>
      <c r="AFM36" s="1023">
        <v>3373.4159436225477</v>
      </c>
      <c r="AFN36" s="1023">
        <v>3680.0901203155063</v>
      </c>
      <c r="AFO36" s="1023">
        <v>0</v>
      </c>
      <c r="AFP36" s="1023">
        <v>0</v>
      </c>
      <c r="AFQ36" s="1023">
        <v>0</v>
      </c>
      <c r="AFR36" s="1023">
        <v>13493.663774490191</v>
      </c>
      <c r="AFS36" s="1023">
        <v>2146.7192368507122</v>
      </c>
      <c r="AFT36" s="1023">
        <v>8471.0020767638471</v>
      </c>
      <c r="AFU36" s="1023">
        <v>3583.8854940154733</v>
      </c>
      <c r="AFV36" s="1023">
        <v>3909.693266198698</v>
      </c>
      <c r="AFW36" s="1023">
        <v>0</v>
      </c>
      <c r="AFX36" s="1023">
        <v>0</v>
      </c>
      <c r="AFY36" s="1023">
        <v>0</v>
      </c>
      <c r="AFZ36" s="1023">
        <v>14335.541976061893</v>
      </c>
      <c r="AGA36" s="1023">
        <v>2280.6544052825743</v>
      </c>
      <c r="AGB36" s="1023">
        <v>8874.3831280383147</v>
      </c>
      <c r="AGC36" s="1023">
        <v>3754.5467080162098</v>
      </c>
      <c r="AGD36" s="1023">
        <v>4095.8691360176831</v>
      </c>
      <c r="AGE36" s="1023">
        <v>0</v>
      </c>
      <c r="AGF36" s="1023">
        <v>0</v>
      </c>
      <c r="AGG36" s="1023">
        <v>0</v>
      </c>
      <c r="AGH36" s="1023">
        <v>15018.186832064839</v>
      </c>
      <c r="AGI36" s="1023">
        <v>2389.2569960103156</v>
      </c>
      <c r="AGJ36" s="1023">
        <v>13634.279533077048</v>
      </c>
      <c r="AGK36" s="1023">
        <v>5768.3490332249048</v>
      </c>
      <c r="AGL36" s="1023">
        <v>6292.7443998817134</v>
      </c>
      <c r="AGM36" s="1023">
        <v>0</v>
      </c>
      <c r="AGN36" s="1023">
        <v>0</v>
      </c>
      <c r="AGO36" s="1023">
        <v>0</v>
      </c>
      <c r="AGP36" s="1023">
        <v>23073.396132899619</v>
      </c>
      <c r="AGQ36" s="1023">
        <v>3670.7675665976667</v>
      </c>
      <c r="AGR36" s="1030">
        <v>3177.8555990647183</v>
      </c>
      <c r="AGS36" s="1030">
        <v>1344.4773688350731</v>
      </c>
      <c r="AGT36" s="1030">
        <v>1466.7025841837162</v>
      </c>
      <c r="AGU36" s="1030">
        <v>0</v>
      </c>
      <c r="AGV36" s="1030">
        <v>0</v>
      </c>
      <c r="AGW36" s="1030">
        <v>0</v>
      </c>
      <c r="AGX36" s="1030">
        <v>5377.9094753402924</v>
      </c>
      <c r="AGY36" s="1030">
        <v>855.57650744050113</v>
      </c>
      <c r="AGZ36" s="1030">
        <v>3512.3667147557412</v>
      </c>
      <c r="AHA36" s="1030">
        <v>1486.0013023966596</v>
      </c>
      <c r="AHB36" s="1030">
        <v>1621.0923298872651</v>
      </c>
      <c r="AHC36" s="1030">
        <v>0</v>
      </c>
      <c r="AHD36" s="1030">
        <v>0</v>
      </c>
      <c r="AHE36" s="1030">
        <v>0</v>
      </c>
      <c r="AHF36" s="1030">
        <v>5944.0052095866386</v>
      </c>
      <c r="AHG36" s="1030">
        <v>945.63719243423805</v>
      </c>
      <c r="AHH36" s="1030">
        <v>3679.6222726012525</v>
      </c>
      <c r="AHI36" s="1030">
        <v>1556.7632691774529</v>
      </c>
      <c r="AHJ36" s="1030">
        <v>1698.2872027390397</v>
      </c>
      <c r="AHK36" s="1030">
        <v>0</v>
      </c>
      <c r="AHL36" s="1030">
        <v>0</v>
      </c>
      <c r="AHM36" s="1030">
        <v>0</v>
      </c>
      <c r="AHN36" s="1030">
        <v>6227.0530767098116</v>
      </c>
      <c r="AHO36" s="1030">
        <v>990.6675349311065</v>
      </c>
      <c r="AHP36" s="1030">
        <v>5653.2378551782886</v>
      </c>
      <c r="AHQ36" s="1030">
        <v>2391.7544771908142</v>
      </c>
      <c r="AHR36" s="1030">
        <v>2609.186702389979</v>
      </c>
      <c r="AHS36" s="1030">
        <v>0</v>
      </c>
      <c r="AHT36" s="1030">
        <v>0</v>
      </c>
      <c r="AHU36" s="1030">
        <v>0</v>
      </c>
      <c r="AHV36" s="1030">
        <v>9567.0179087632569</v>
      </c>
      <c r="AHW36" s="1030">
        <v>1522.0255763941548</v>
      </c>
      <c r="AHX36" s="1013">
        <v>165</v>
      </c>
      <c r="AHY36" s="1023">
        <v>0</v>
      </c>
      <c r="AHZ36" s="1023">
        <v>0</v>
      </c>
      <c r="AIA36" s="1023">
        <v>0</v>
      </c>
      <c r="AIB36" s="1023">
        <v>0</v>
      </c>
      <c r="AIC36" s="1023">
        <v>0</v>
      </c>
      <c r="AID36" s="1023">
        <v>0</v>
      </c>
      <c r="AIE36" s="1023">
        <v>0</v>
      </c>
      <c r="AIF36" s="1017">
        <v>420</v>
      </c>
      <c r="AIG36" s="1017">
        <v>32.409999999999997</v>
      </c>
      <c r="AIH36" s="1017">
        <v>27.01</v>
      </c>
      <c r="AII36" s="1017">
        <v>0</v>
      </c>
      <c r="AIJ36" s="1017">
        <v>2.52</v>
      </c>
      <c r="AIK36" s="1017">
        <v>3.06</v>
      </c>
      <c r="AIL36" s="1017">
        <v>0</v>
      </c>
      <c r="AIM36" s="1017">
        <v>0</v>
      </c>
      <c r="AIN36" s="1016">
        <v>350</v>
      </c>
      <c r="AIO36" s="1016">
        <v>64.819999999999993</v>
      </c>
      <c r="AIP36" s="1017">
        <v>54.02</v>
      </c>
      <c r="AIQ36" s="1017">
        <v>0</v>
      </c>
      <c r="AIR36" s="1017">
        <v>5.04</v>
      </c>
      <c r="AIS36" s="1017">
        <v>6.12</v>
      </c>
      <c r="AIT36" s="1017">
        <v>0</v>
      </c>
      <c r="AIU36" s="1017">
        <v>0</v>
      </c>
      <c r="AIV36" s="1017">
        <v>120</v>
      </c>
      <c r="AIW36" s="1017">
        <v>47.37</v>
      </c>
      <c r="AIX36" s="1017">
        <v>39.47</v>
      </c>
      <c r="AIY36" s="1017">
        <v>0</v>
      </c>
      <c r="AIZ36" s="1017">
        <v>3.68</v>
      </c>
      <c r="AJA36" s="1017">
        <v>4.4800000000000004</v>
      </c>
      <c r="AJB36" s="1017">
        <v>0</v>
      </c>
      <c r="AJC36" s="1017">
        <v>0</v>
      </c>
      <c r="AJD36" s="1017">
        <v>129.6</v>
      </c>
      <c r="AJE36" s="1017">
        <v>96.93</v>
      </c>
      <c r="AJF36" s="1017">
        <v>80.78</v>
      </c>
      <c r="AJG36" s="1017">
        <v>0</v>
      </c>
      <c r="AJH36" s="1017">
        <v>7.54</v>
      </c>
      <c r="AJI36" s="1017">
        <v>9.15</v>
      </c>
      <c r="AJJ36" s="1017">
        <v>0</v>
      </c>
      <c r="AJK36" s="1013">
        <v>0</v>
      </c>
      <c r="AJL36" s="1013">
        <v>160</v>
      </c>
      <c r="AJM36" s="1013">
        <v>17.45</v>
      </c>
      <c r="AJN36" s="1013">
        <v>14.54</v>
      </c>
      <c r="AJO36" s="1013">
        <v>0</v>
      </c>
      <c r="AJP36" s="1013">
        <v>1.36</v>
      </c>
      <c r="AJQ36" s="1013">
        <v>1.65</v>
      </c>
      <c r="AJR36" s="1013">
        <v>0</v>
      </c>
      <c r="AJS36" s="1013">
        <v>0</v>
      </c>
      <c r="AJT36" s="1029" t="s">
        <v>858</v>
      </c>
      <c r="AJU36" s="988" t="s">
        <v>861</v>
      </c>
      <c r="AJV36" s="988" t="s">
        <v>860</v>
      </c>
      <c r="AJW36" s="988" t="s">
        <v>859</v>
      </c>
      <c r="AJX36" s="988" t="s">
        <v>870</v>
      </c>
      <c r="AJY36" s="988" t="s">
        <v>871</v>
      </c>
      <c r="AJZ36" s="988" t="s">
        <v>872</v>
      </c>
      <c r="AKA36" s="988" t="s">
        <v>873</v>
      </c>
      <c r="AKB36" s="988" t="s">
        <v>874</v>
      </c>
      <c r="AKC36" s="988" t="s">
        <v>875</v>
      </c>
      <c r="AKD36" s="1013">
        <v>102.83450704225352</v>
      </c>
      <c r="AKE36" s="1013">
        <v>0</v>
      </c>
      <c r="AKF36" s="1013">
        <v>0</v>
      </c>
      <c r="AKG36" s="1013">
        <v>0</v>
      </c>
      <c r="AKH36" s="1013">
        <v>0</v>
      </c>
      <c r="AKI36" s="1013">
        <v>0</v>
      </c>
      <c r="AKJ36" s="1013">
        <v>3.4859154929577465</v>
      </c>
      <c r="AKK36" s="1013">
        <v>17.429577464788732</v>
      </c>
      <c r="AKL36" s="1017">
        <v>302.27112676056333</v>
      </c>
      <c r="AKM36" s="1017">
        <v>0</v>
      </c>
      <c r="AKN36" s="1017">
        <v>0</v>
      </c>
      <c r="AKO36" s="1017">
        <v>0</v>
      </c>
      <c r="AKP36" s="1017">
        <v>0</v>
      </c>
      <c r="AKQ36" s="1017">
        <v>0</v>
      </c>
      <c r="AKR36" s="1017">
        <v>10.246478873239436</v>
      </c>
      <c r="AKS36" s="1017">
        <v>51.232394366197177</v>
      </c>
      <c r="AKT36" s="1016">
        <v>299.15492957746477</v>
      </c>
      <c r="AKU36" s="1016">
        <v>0</v>
      </c>
      <c r="AKV36" s="1017">
        <v>0</v>
      </c>
      <c r="AKW36" s="1017">
        <v>0</v>
      </c>
      <c r="AKX36" s="1017">
        <v>0</v>
      </c>
      <c r="AKY36" s="1017">
        <v>0</v>
      </c>
      <c r="AKZ36" s="1017">
        <v>10.140845070422536</v>
      </c>
      <c r="ALA36" s="1017">
        <v>50.70422535211268</v>
      </c>
      <c r="ALB36" s="1017">
        <v>133.99647887323943</v>
      </c>
      <c r="ALC36" s="1017">
        <v>0</v>
      </c>
      <c r="ALD36" s="1017">
        <v>0</v>
      </c>
      <c r="ALE36" s="1017">
        <v>0</v>
      </c>
      <c r="ALF36" s="1017">
        <v>0</v>
      </c>
      <c r="ALG36" s="1017">
        <v>0</v>
      </c>
      <c r="ALH36" s="1017">
        <v>4.542253521126761</v>
      </c>
      <c r="ALI36" s="1017">
        <v>22.711267605633804</v>
      </c>
      <c r="ALJ36" s="1017">
        <v>201.92957746478874</v>
      </c>
      <c r="ALK36" s="1017">
        <v>0</v>
      </c>
      <c r="ALL36" s="1017">
        <v>0</v>
      </c>
      <c r="ALM36" s="1017">
        <v>0</v>
      </c>
      <c r="ALN36" s="1017">
        <v>0</v>
      </c>
      <c r="ALO36" s="1017">
        <v>0</v>
      </c>
      <c r="ALP36" s="1017">
        <v>6.845070422535211</v>
      </c>
      <c r="ALQ36" s="1013">
        <v>34.225352112676056</v>
      </c>
      <c r="ALR36" s="1013">
        <v>121.53169014084507</v>
      </c>
      <c r="ALS36" s="1013">
        <v>0</v>
      </c>
      <c r="ALT36" s="1013">
        <v>0</v>
      </c>
      <c r="ALU36" s="1013">
        <v>0</v>
      </c>
      <c r="ALV36" s="1013">
        <v>0</v>
      </c>
      <c r="ALW36" s="1013">
        <v>0</v>
      </c>
      <c r="ALX36" s="1013">
        <v>4.119718309859155</v>
      </c>
      <c r="ALY36" s="1013">
        <v>20.598591549295776</v>
      </c>
    </row>
    <row r="37" spans="1:1013" ht="18" customHeight="1">
      <c r="A37" s="1259" t="s">
        <v>8</v>
      </c>
      <c r="B37" s="1260" t="s">
        <v>3063</v>
      </c>
      <c r="C37" s="1260">
        <v>2022</v>
      </c>
      <c r="D37" s="1269"/>
      <c r="E37" s="1270">
        <v>-0.3</v>
      </c>
      <c r="F37" s="1271">
        <v>0.1</v>
      </c>
      <c r="G37" s="1271">
        <v>0.1</v>
      </c>
      <c r="H37" s="76">
        <v>223.22222222222223</v>
      </c>
      <c r="I37" s="72">
        <v>-7.6</v>
      </c>
      <c r="J37" s="1271">
        <v>-4.5</v>
      </c>
      <c r="K37" s="1271">
        <v>-4.5</v>
      </c>
      <c r="L37" s="1265">
        <v>350</v>
      </c>
      <c r="M37" s="1262">
        <v>0</v>
      </c>
      <c r="N37" s="1262">
        <v>0</v>
      </c>
      <c r="O37" s="1262">
        <v>0</v>
      </c>
      <c r="P37" s="76">
        <v>689.39284274161412</v>
      </c>
      <c r="Q37" s="75">
        <v>12</v>
      </c>
      <c r="R37" s="72">
        <v>0.5</v>
      </c>
      <c r="S37" s="72">
        <v>0.8</v>
      </c>
      <c r="T37" s="72">
        <v>0.8</v>
      </c>
      <c r="U37" s="1271">
        <v>0.8</v>
      </c>
      <c r="V37" s="1271">
        <v>0.2</v>
      </c>
      <c r="W37" s="1271">
        <v>94.7</v>
      </c>
      <c r="X37" s="1271">
        <v>4.3</v>
      </c>
      <c r="Y37" s="1272">
        <v>0</v>
      </c>
      <c r="Z37" s="75">
        <v>2</v>
      </c>
      <c r="AA37" s="72">
        <v>1.5</v>
      </c>
      <c r="AB37" s="75">
        <v>1</v>
      </c>
      <c r="AC37" s="72">
        <v>0.8</v>
      </c>
      <c r="AD37" s="72">
        <v>0.5</v>
      </c>
      <c r="AE37" s="390">
        <v>433.01922201480062</v>
      </c>
      <c r="AF37" s="390">
        <v>470.67306740739195</v>
      </c>
      <c r="AG37" s="390">
        <v>433.37222681535616</v>
      </c>
      <c r="AH37" s="390">
        <v>649.0581599547935</v>
      </c>
      <c r="AI37" s="400">
        <v>0.82209484106305364</v>
      </c>
      <c r="AJ37" s="390">
        <v>261.91600618637949</v>
      </c>
      <c r="AK37" s="390">
        <v>284.69131107215162</v>
      </c>
      <c r="AL37" s="390">
        <v>262.12952466968363</v>
      </c>
      <c r="AM37" s="390">
        <v>392.58931796849708</v>
      </c>
      <c r="AN37" s="400">
        <v>0.96717040125065135</v>
      </c>
      <c r="AO37" s="77">
        <v>0.1</v>
      </c>
      <c r="AP37" s="77">
        <v>0.3</v>
      </c>
      <c r="AQ37" s="77">
        <v>0.5</v>
      </c>
      <c r="AR37" s="77">
        <v>0.8</v>
      </c>
      <c r="AS37" s="77">
        <v>1</v>
      </c>
      <c r="AT37" s="77">
        <v>1.2</v>
      </c>
      <c r="AU37" s="77">
        <v>1.5</v>
      </c>
      <c r="AV37" s="1268">
        <v>0</v>
      </c>
      <c r="AW37" s="1268">
        <v>10</v>
      </c>
      <c r="AX37" s="1268">
        <v>20</v>
      </c>
      <c r="AY37" s="1268">
        <v>70</v>
      </c>
      <c r="AZ37" s="1268">
        <v>100</v>
      </c>
      <c r="BA37" s="1019">
        <v>7388.5637462906834</v>
      </c>
      <c r="BB37" s="1031">
        <v>1.74</v>
      </c>
      <c r="BC37" s="988">
        <v>1.4</v>
      </c>
      <c r="BD37" s="988">
        <v>0.9</v>
      </c>
      <c r="BE37" s="988">
        <v>0.9</v>
      </c>
      <c r="BF37" s="1021">
        <v>0.17577939230295198</v>
      </c>
      <c r="BG37" s="1021">
        <v>0.17366977723647017</v>
      </c>
      <c r="BH37" s="1020">
        <v>0.2629495213426396</v>
      </c>
      <c r="BI37" s="1020">
        <v>5.0037767411100699E-2</v>
      </c>
      <c r="BJ37" s="1020">
        <v>0.48317161965461464</v>
      </c>
      <c r="BK37" s="1020">
        <v>42.941497793929337</v>
      </c>
      <c r="BL37" s="1020">
        <v>1.3016100587745205</v>
      </c>
      <c r="BM37" s="1020">
        <v>2.5371433573121271E-2</v>
      </c>
      <c r="BN37" s="1020">
        <v>54.707983349920738</v>
      </c>
      <c r="BO37" s="1020">
        <v>5.6355298946078519E-2</v>
      </c>
      <c r="BP37" s="1020">
        <v>8.3882554697909328E-4</v>
      </c>
      <c r="BQ37" s="1020">
        <v>2.9987000230170493E-4</v>
      </c>
      <c r="BR37" s="1020">
        <v>0</v>
      </c>
      <c r="BS37" s="1020">
        <v>1.9856256909166946E-4</v>
      </c>
      <c r="BT37" s="1020">
        <v>0</v>
      </c>
      <c r="BU37" s="1020">
        <v>9.8106118320598311E-3</v>
      </c>
      <c r="BV37" s="1020">
        <v>0.15987528649742111</v>
      </c>
      <c r="BW37" s="993">
        <v>261.13475999999997</v>
      </c>
      <c r="BX37" s="993">
        <v>96.5</v>
      </c>
      <c r="BY37" s="993">
        <v>63.215999999999994</v>
      </c>
      <c r="BZ37" s="993">
        <v>233.35949490734063</v>
      </c>
      <c r="CA37" s="993">
        <v>157.40783999999999</v>
      </c>
      <c r="CB37" s="990"/>
      <c r="CC37" s="993">
        <v>256.20808011776955</v>
      </c>
      <c r="CD37" s="993">
        <v>165.17663999999999</v>
      </c>
      <c r="CE37" s="990"/>
      <c r="CF37" s="989">
        <v>0</v>
      </c>
      <c r="CG37" s="993">
        <v>6.585</v>
      </c>
      <c r="CH37" s="993">
        <v>1.3169999999999999</v>
      </c>
      <c r="CI37" s="993">
        <v>38</v>
      </c>
      <c r="CJ37" s="993">
        <v>225.83915999999996</v>
      </c>
      <c r="CK37" s="990">
        <v>0.2</v>
      </c>
      <c r="CL37" s="993">
        <v>175.08124000000001</v>
      </c>
      <c r="CM37" s="993">
        <v>60.4</v>
      </c>
      <c r="CN37" s="993">
        <v>42.384</v>
      </c>
      <c r="CO37" s="993">
        <v>156.45894761061641</v>
      </c>
      <c r="CP37" s="993">
        <v>105.53616</v>
      </c>
      <c r="CQ37" s="990"/>
      <c r="CR37" s="993">
        <v>159.24945066654416</v>
      </c>
      <c r="CS37" s="993">
        <v>102.66767999999999</v>
      </c>
      <c r="CT37" s="990"/>
      <c r="CU37" s="993">
        <v>0</v>
      </c>
      <c r="CV37" s="993">
        <v>4.415</v>
      </c>
      <c r="CW37" s="993">
        <v>0.88300000000000001</v>
      </c>
      <c r="CX37" s="993">
        <v>27</v>
      </c>
      <c r="CY37" s="993">
        <v>151.41683999999998</v>
      </c>
      <c r="CZ37" s="990">
        <v>0.2</v>
      </c>
      <c r="DA37" s="988">
        <v>0.3</v>
      </c>
      <c r="DB37" s="988">
        <v>0.7</v>
      </c>
      <c r="DC37" s="988">
        <v>1.2</v>
      </c>
      <c r="DD37" s="988">
        <v>1.2</v>
      </c>
      <c r="DE37" s="1022">
        <v>3</v>
      </c>
      <c r="DF37" s="995">
        <v>0</v>
      </c>
      <c r="DG37" s="995">
        <v>10</v>
      </c>
      <c r="DH37" s="995">
        <v>20</v>
      </c>
      <c r="DI37" s="995">
        <v>70</v>
      </c>
      <c r="DJ37" s="995">
        <v>100</v>
      </c>
      <c r="DK37" s="1017">
        <v>92.089282695910015</v>
      </c>
      <c r="DL37" s="1022">
        <v>18</v>
      </c>
      <c r="DM37" s="989">
        <v>12</v>
      </c>
      <c r="DN37" s="988">
        <v>2.8</v>
      </c>
      <c r="DO37" s="1022">
        <v>2</v>
      </c>
      <c r="DP37" s="1022">
        <v>2</v>
      </c>
      <c r="DQ37" s="988" t="s">
        <v>672</v>
      </c>
      <c r="DR37" s="988" t="s">
        <v>673</v>
      </c>
      <c r="DS37" s="988" t="s">
        <v>674</v>
      </c>
      <c r="DT37" s="988" t="s">
        <v>640</v>
      </c>
      <c r="DU37" s="988" t="s">
        <v>640</v>
      </c>
      <c r="DV37" s="988" t="s">
        <v>640</v>
      </c>
      <c r="DW37" s="988" t="s">
        <v>640</v>
      </c>
      <c r="DX37" s="997">
        <v>1306.7162288072805</v>
      </c>
      <c r="DY37" s="997">
        <v>519.05714372327691</v>
      </c>
      <c r="DZ37" s="997">
        <v>2538.7266274694425</v>
      </c>
      <c r="EA37" s="997">
        <v>0</v>
      </c>
      <c r="EB37" s="997">
        <v>0</v>
      </c>
      <c r="EC37" s="997">
        <v>0</v>
      </c>
      <c r="ED37" s="997">
        <v>0</v>
      </c>
      <c r="EE37" s="1022">
        <v>4.3644999999999996</v>
      </c>
      <c r="EF37" s="1022">
        <v>18</v>
      </c>
      <c r="EG37" s="991">
        <v>5</v>
      </c>
      <c r="EH37" s="1023">
        <v>2.8</v>
      </c>
      <c r="EI37" s="998">
        <v>2</v>
      </c>
      <c r="EJ37" s="998">
        <v>2</v>
      </c>
      <c r="EK37" s="988" t="s">
        <v>696</v>
      </c>
      <c r="EL37" s="988" t="s">
        <v>672</v>
      </c>
      <c r="EM37" s="988" t="s">
        <v>673</v>
      </c>
      <c r="EN37" s="988" t="s">
        <v>740</v>
      </c>
      <c r="EO37" s="988" t="s">
        <v>674</v>
      </c>
      <c r="EP37" s="988" t="s">
        <v>759</v>
      </c>
      <c r="EQ37" s="988" t="s">
        <v>765</v>
      </c>
      <c r="ER37" s="988" t="s">
        <v>771</v>
      </c>
      <c r="ES37" s="988" t="s">
        <v>777</v>
      </c>
      <c r="ET37" s="988" t="s">
        <v>782</v>
      </c>
      <c r="EU37" s="988" t="s">
        <v>787</v>
      </c>
      <c r="EV37" s="988" t="s">
        <v>790</v>
      </c>
      <c r="EW37" s="988" t="s">
        <v>794</v>
      </c>
      <c r="EX37" s="988" t="s">
        <v>640</v>
      </c>
      <c r="EY37" s="988" t="s">
        <v>640</v>
      </c>
      <c r="EZ37" s="988" t="s">
        <v>640</v>
      </c>
      <c r="FA37" s="988" t="s">
        <v>640</v>
      </c>
      <c r="FB37" s="988" t="s">
        <v>640</v>
      </c>
      <c r="FC37" s="988" t="s">
        <v>640</v>
      </c>
      <c r="FD37" s="988" t="s">
        <v>640</v>
      </c>
      <c r="FE37" s="988" t="s">
        <v>640</v>
      </c>
      <c r="FF37" s="988" t="s">
        <v>640</v>
      </c>
      <c r="FG37" s="988" t="s">
        <v>640</v>
      </c>
      <c r="FH37" s="988" t="s">
        <v>640</v>
      </c>
      <c r="FI37" s="988" t="s">
        <v>640</v>
      </c>
      <c r="FJ37" s="988" t="s">
        <v>640</v>
      </c>
      <c r="FK37" s="988" t="s">
        <v>640</v>
      </c>
      <c r="FL37" s="988" t="s">
        <v>640</v>
      </c>
      <c r="FM37" s="988" t="s">
        <v>640</v>
      </c>
      <c r="FN37" s="988" t="s">
        <v>640</v>
      </c>
      <c r="FO37" s="988" t="s">
        <v>640</v>
      </c>
      <c r="FP37" s="988" t="s">
        <v>640</v>
      </c>
      <c r="FQ37" s="988" t="s">
        <v>640</v>
      </c>
      <c r="FR37" s="988" t="s">
        <v>640</v>
      </c>
      <c r="FS37" s="988" t="s">
        <v>640</v>
      </c>
      <c r="FT37" s="988" t="s">
        <v>640</v>
      </c>
      <c r="FU37" s="988" t="s">
        <v>640</v>
      </c>
      <c r="FV37" s="988" t="s">
        <v>640</v>
      </c>
      <c r="FW37" s="988" t="s">
        <v>640</v>
      </c>
      <c r="FX37" s="988" t="s">
        <v>640</v>
      </c>
      <c r="FY37" s="988" t="s">
        <v>640</v>
      </c>
      <c r="FZ37" s="988" t="s">
        <v>640</v>
      </c>
      <c r="GA37" s="988" t="s">
        <v>640</v>
      </c>
      <c r="GB37" s="988" t="s">
        <v>640</v>
      </c>
      <c r="GC37" s="988" t="s">
        <v>640</v>
      </c>
      <c r="GD37" s="988" t="s">
        <v>640</v>
      </c>
      <c r="GE37" s="988" t="s">
        <v>640</v>
      </c>
      <c r="GF37" s="988" t="s">
        <v>640</v>
      </c>
      <c r="GG37" s="988" t="s">
        <v>640</v>
      </c>
      <c r="GH37" s="988" t="s">
        <v>640</v>
      </c>
      <c r="GI37" s="988" t="s">
        <v>640</v>
      </c>
      <c r="GJ37" s="988" t="s">
        <v>640</v>
      </c>
      <c r="GK37" s="988" t="s">
        <v>640</v>
      </c>
      <c r="GL37" s="988" t="s">
        <v>640</v>
      </c>
      <c r="GM37" s="988" t="s">
        <v>640</v>
      </c>
      <c r="GN37" s="988" t="s">
        <v>640</v>
      </c>
      <c r="GO37" s="988" t="s">
        <v>640</v>
      </c>
      <c r="GP37" s="988" t="s">
        <v>640</v>
      </c>
      <c r="GQ37" s="997">
        <v>1249.9647037307973</v>
      </c>
      <c r="GR37" s="997">
        <v>485.29919531821508</v>
      </c>
      <c r="GS37" s="997">
        <v>89.397220190197501</v>
      </c>
      <c r="GT37" s="997">
        <v>253.82425018288222</v>
      </c>
      <c r="GU37" s="997">
        <v>443.79334308705199</v>
      </c>
      <c r="GV37" s="997">
        <v>279.36631309436723</v>
      </c>
      <c r="GW37" s="997">
        <v>132.49945135332848</v>
      </c>
      <c r="GX37" s="997">
        <v>241.05321872713972</v>
      </c>
      <c r="GY37" s="997">
        <v>35.120336503291881</v>
      </c>
      <c r="GZ37" s="997">
        <v>78.222567666422833</v>
      </c>
      <c r="HA37" s="997">
        <v>718.37051938551576</v>
      </c>
      <c r="HB37" s="997">
        <v>153.25237746891005</v>
      </c>
      <c r="HC37" s="997">
        <v>204.33650329188004</v>
      </c>
      <c r="HD37" s="997">
        <v>0</v>
      </c>
      <c r="HE37" s="997">
        <v>0</v>
      </c>
      <c r="HF37" s="997">
        <v>0</v>
      </c>
      <c r="HG37" s="997">
        <v>0</v>
      </c>
      <c r="HH37" s="997">
        <v>0</v>
      </c>
      <c r="HI37" s="997">
        <v>0</v>
      </c>
      <c r="HJ37" s="997">
        <v>0</v>
      </c>
      <c r="HK37" s="997">
        <v>0</v>
      </c>
      <c r="HL37" s="997">
        <v>0</v>
      </c>
      <c r="HM37" s="997">
        <v>0</v>
      </c>
      <c r="HN37" s="997">
        <v>0</v>
      </c>
      <c r="HO37" s="997">
        <v>0</v>
      </c>
      <c r="HP37" s="997">
        <v>0</v>
      </c>
      <c r="HQ37" s="997">
        <v>0</v>
      </c>
      <c r="HR37" s="997">
        <v>0</v>
      </c>
      <c r="HS37" s="997">
        <v>0</v>
      </c>
      <c r="HT37" s="997">
        <v>0</v>
      </c>
      <c r="HU37" s="997">
        <v>0</v>
      </c>
      <c r="HV37" s="997">
        <v>0</v>
      </c>
      <c r="HW37" s="997">
        <v>0</v>
      </c>
      <c r="HX37" s="997">
        <v>0</v>
      </c>
      <c r="HY37" s="997">
        <v>0</v>
      </c>
      <c r="HZ37" s="997">
        <v>0</v>
      </c>
      <c r="IA37" s="997">
        <v>0</v>
      </c>
      <c r="IB37" s="997">
        <v>0</v>
      </c>
      <c r="IC37" s="997">
        <v>0</v>
      </c>
      <c r="ID37" s="997">
        <v>0</v>
      </c>
      <c r="IE37" s="997">
        <v>0</v>
      </c>
      <c r="IF37" s="997">
        <v>0</v>
      </c>
      <c r="IG37" s="997">
        <v>0</v>
      </c>
      <c r="IH37" s="997">
        <v>0</v>
      </c>
      <c r="II37" s="997">
        <v>0</v>
      </c>
      <c r="IJ37" s="997">
        <v>0</v>
      </c>
      <c r="IK37" s="997">
        <v>0</v>
      </c>
      <c r="IL37" s="997">
        <v>0</v>
      </c>
      <c r="IM37" s="997">
        <v>0</v>
      </c>
      <c r="IN37" s="997">
        <v>0</v>
      </c>
      <c r="IO37" s="997">
        <v>0</v>
      </c>
      <c r="IP37" s="997">
        <v>0</v>
      </c>
      <c r="IQ37" s="997">
        <v>0</v>
      </c>
      <c r="IR37" s="997">
        <v>0</v>
      </c>
      <c r="IS37" s="997">
        <v>0</v>
      </c>
      <c r="IT37" s="997">
        <v>0</v>
      </c>
      <c r="IU37" s="997">
        <v>0</v>
      </c>
      <c r="IV37" s="997">
        <v>0</v>
      </c>
      <c r="IW37" s="1019">
        <v>599.65114313615823</v>
      </c>
      <c r="IX37" s="1022">
        <v>179.9</v>
      </c>
      <c r="IY37" s="998">
        <v>2647.0800000000199</v>
      </c>
      <c r="IZ37" s="429">
        <v>12.64</v>
      </c>
      <c r="JA37" s="1022">
        <v>50</v>
      </c>
      <c r="JB37" s="988">
        <v>2.8</v>
      </c>
      <c r="JC37" s="1022">
        <v>2</v>
      </c>
      <c r="JD37" s="1022">
        <v>2</v>
      </c>
      <c r="JE37" s="998">
        <v>2</v>
      </c>
      <c r="JF37" s="1023">
        <v>1.5</v>
      </c>
      <c r="JG37" s="1023">
        <v>0.7</v>
      </c>
      <c r="JH37" s="1023">
        <v>0.7</v>
      </c>
      <c r="JI37" s="1023">
        <v>0.5</v>
      </c>
      <c r="JJ37" s="1019"/>
      <c r="JK37" s="998">
        <v>2647.0800000000199</v>
      </c>
      <c r="JL37" s="429">
        <v>12.64</v>
      </c>
      <c r="JM37" s="1022">
        <v>50</v>
      </c>
      <c r="JN37" s="988">
        <v>2.2999999999999998</v>
      </c>
      <c r="JO37" s="1022">
        <v>0.8</v>
      </c>
      <c r="JP37" s="1022">
        <v>0.8</v>
      </c>
      <c r="JQ37" s="998">
        <v>2</v>
      </c>
      <c r="JR37" s="998">
        <v>2</v>
      </c>
      <c r="JS37" s="998">
        <v>1</v>
      </c>
      <c r="JT37" s="998">
        <v>1</v>
      </c>
      <c r="JU37" s="1023">
        <v>0.5</v>
      </c>
      <c r="JV37" s="1004">
        <v>2000</v>
      </c>
      <c r="JW37" s="1019"/>
      <c r="JX37" s="1019">
        <v>500</v>
      </c>
      <c r="JY37" s="1022">
        <v>1.3</v>
      </c>
      <c r="JZ37" s="1022">
        <v>0.9</v>
      </c>
      <c r="KA37" s="1022">
        <v>0.9</v>
      </c>
      <c r="KB37" s="1023">
        <v>2</v>
      </c>
      <c r="KC37" s="1023">
        <v>1.5</v>
      </c>
      <c r="KD37" s="1023">
        <v>0.5</v>
      </c>
      <c r="KE37" s="1023">
        <v>1</v>
      </c>
      <c r="KF37" s="1023">
        <v>0.5</v>
      </c>
      <c r="KG37" s="997">
        <v>10.304363065634039</v>
      </c>
      <c r="KH37" s="997">
        <v>0.23087125418216814</v>
      </c>
      <c r="KI37" s="997">
        <v>88.842296501240227</v>
      </c>
      <c r="KJ37" s="997"/>
      <c r="KK37" s="997">
        <v>0.15547862691550929</v>
      </c>
      <c r="KL37" s="997">
        <v>0.46694788500640327</v>
      </c>
      <c r="KM37" s="997">
        <v>0</v>
      </c>
      <c r="KN37" s="997">
        <v>4.2667021656286847E-5</v>
      </c>
      <c r="KO37" s="997"/>
      <c r="KP37" s="1006">
        <v>580</v>
      </c>
      <c r="KQ37" s="1006">
        <v>580</v>
      </c>
      <c r="KR37" s="1006">
        <v>580</v>
      </c>
      <c r="KS37" s="1006">
        <v>580</v>
      </c>
      <c r="KT37" s="1006"/>
      <c r="KU37" s="1006">
        <v>580</v>
      </c>
      <c r="KV37" s="1006">
        <v>580</v>
      </c>
      <c r="KW37" s="1006">
        <v>580</v>
      </c>
      <c r="KX37" s="1006">
        <v>580</v>
      </c>
      <c r="KY37" s="993">
        <v>370</v>
      </c>
      <c r="KZ37" s="993">
        <v>370</v>
      </c>
      <c r="LA37" s="993">
        <v>370</v>
      </c>
      <c r="LB37" s="993">
        <v>370</v>
      </c>
      <c r="LC37" s="993"/>
      <c r="LD37" s="993">
        <v>370</v>
      </c>
      <c r="LE37" s="993">
        <v>370</v>
      </c>
      <c r="LF37" s="993">
        <v>370</v>
      </c>
      <c r="LG37" s="993">
        <v>370</v>
      </c>
      <c r="LH37" s="995">
        <v>0</v>
      </c>
      <c r="LI37" s="995">
        <v>10</v>
      </c>
      <c r="LJ37" s="995">
        <v>20</v>
      </c>
      <c r="LK37" s="995">
        <v>70</v>
      </c>
      <c r="LL37" s="995">
        <v>100</v>
      </c>
      <c r="LM37" s="1004">
        <v>1000</v>
      </c>
      <c r="LN37" s="1019"/>
      <c r="LO37" s="988">
        <v>29</v>
      </c>
      <c r="LP37" s="988">
        <v>1.2</v>
      </c>
      <c r="LQ37" s="1022">
        <v>0.7</v>
      </c>
      <c r="LR37" s="1022">
        <v>0.7</v>
      </c>
      <c r="LS37" s="1023">
        <v>2</v>
      </c>
      <c r="LT37" s="1023">
        <v>1</v>
      </c>
      <c r="LU37" s="1023">
        <v>0.5</v>
      </c>
      <c r="LV37" s="1023">
        <v>0.7</v>
      </c>
      <c r="LW37" s="1023">
        <v>0.2</v>
      </c>
      <c r="LX37" s="1004">
        <v>1500</v>
      </c>
      <c r="LY37" s="1008">
        <v>500</v>
      </c>
      <c r="LZ37" s="1008">
        <v>1</v>
      </c>
      <c r="MA37" s="997" t="s">
        <v>2914</v>
      </c>
      <c r="MB37" s="1023" t="s">
        <v>905</v>
      </c>
      <c r="MC37" s="1023" t="s">
        <v>2932</v>
      </c>
      <c r="MD37" s="1024" t="s">
        <v>906</v>
      </c>
      <c r="ME37" s="1009">
        <v>0.5</v>
      </c>
      <c r="MF37" s="1010">
        <v>0.75</v>
      </c>
      <c r="MG37" s="1010">
        <v>1</v>
      </c>
      <c r="MH37" s="1010">
        <v>2</v>
      </c>
      <c r="MI37" s="1010">
        <v>0.5</v>
      </c>
      <c r="MJ37" s="1010">
        <v>0.75</v>
      </c>
      <c r="MK37" s="1010">
        <v>1</v>
      </c>
      <c r="ML37" s="1010">
        <v>2</v>
      </c>
      <c r="MM37" s="1010">
        <v>0</v>
      </c>
      <c r="MN37" s="1010">
        <v>0.5</v>
      </c>
      <c r="MO37" s="1010">
        <v>1</v>
      </c>
      <c r="MP37" s="1010">
        <v>2</v>
      </c>
      <c r="MQ37" s="1010">
        <v>0</v>
      </c>
      <c r="MR37" s="1010">
        <v>0.5</v>
      </c>
      <c r="MS37" s="1010">
        <v>1</v>
      </c>
      <c r="MT37" s="1010">
        <v>2</v>
      </c>
      <c r="MU37" s="1001">
        <v>0</v>
      </c>
      <c r="MV37" s="1001">
        <v>0</v>
      </c>
      <c r="MW37" s="1001">
        <v>0</v>
      </c>
      <c r="MX37" s="1025">
        <v>0</v>
      </c>
      <c r="MY37" s="1025">
        <v>0</v>
      </c>
      <c r="MZ37" s="1025">
        <v>0</v>
      </c>
      <c r="NA37" s="1025">
        <v>0</v>
      </c>
      <c r="NB37" s="1025">
        <v>0</v>
      </c>
      <c r="NC37" s="1025">
        <v>0</v>
      </c>
      <c r="ND37" s="1025">
        <v>0</v>
      </c>
      <c r="NE37" s="1025">
        <v>0</v>
      </c>
      <c r="NF37" s="1025">
        <v>0</v>
      </c>
      <c r="NG37" s="1025">
        <v>0</v>
      </c>
      <c r="NH37" s="1025">
        <v>0</v>
      </c>
      <c r="NI37" s="1025">
        <v>0</v>
      </c>
      <c r="NJ37" s="1025">
        <v>0</v>
      </c>
      <c r="NK37" s="1025">
        <v>0</v>
      </c>
      <c r="NL37" s="1025">
        <v>0</v>
      </c>
      <c r="NM37" s="1025">
        <v>0</v>
      </c>
      <c r="NN37" s="1025">
        <v>0</v>
      </c>
      <c r="NO37" s="1025">
        <v>0</v>
      </c>
      <c r="NP37" s="1025">
        <v>0</v>
      </c>
      <c r="NQ37" s="1025">
        <v>0</v>
      </c>
      <c r="NR37" s="1025">
        <v>0</v>
      </c>
      <c r="NS37" s="1025">
        <v>0</v>
      </c>
      <c r="NT37" s="1025">
        <v>0</v>
      </c>
      <c r="NU37" s="1025">
        <v>0</v>
      </c>
      <c r="NV37" s="1025">
        <v>1.1802250352920001</v>
      </c>
      <c r="NW37" s="1025">
        <v>0</v>
      </c>
      <c r="NX37" s="1025">
        <v>5.3499999999999999E-2</v>
      </c>
      <c r="NY37" s="1025">
        <v>0.13450000000000001</v>
      </c>
      <c r="NZ37" s="1025">
        <v>0.91430403371207003</v>
      </c>
      <c r="OA37" s="1025">
        <v>0</v>
      </c>
      <c r="OB37" s="1025">
        <v>1.44309212774351</v>
      </c>
      <c r="OC37" s="1025">
        <v>0</v>
      </c>
      <c r="OD37" s="1025">
        <v>5.3499999999999999E-2</v>
      </c>
      <c r="OE37" s="1025">
        <v>0.1305</v>
      </c>
      <c r="OF37" s="1025">
        <v>4.8020294252330002E-2</v>
      </c>
      <c r="OG37" s="1025">
        <v>0</v>
      </c>
      <c r="OH37" s="1025">
        <v>0.79727044490609</v>
      </c>
      <c r="OI37" s="1025">
        <v>0</v>
      </c>
      <c r="OJ37" s="1025">
        <v>5.3499999999999999E-2</v>
      </c>
      <c r="OK37" s="1025">
        <v>0.151</v>
      </c>
      <c r="OL37" s="1025">
        <v>-0.76343130204742005</v>
      </c>
      <c r="OM37" s="1025">
        <v>0</v>
      </c>
      <c r="ON37" s="1025">
        <v>0</v>
      </c>
      <c r="OO37" s="1025">
        <v>0</v>
      </c>
      <c r="OP37" s="1025">
        <v>0</v>
      </c>
      <c r="OQ37" s="1025">
        <v>0</v>
      </c>
      <c r="OR37" s="1025">
        <v>0</v>
      </c>
      <c r="OS37" s="1025">
        <v>0</v>
      </c>
      <c r="OT37" s="1025">
        <v>0.98527778694737</v>
      </c>
      <c r="OU37" s="1025">
        <v>0</v>
      </c>
      <c r="OV37" s="1025">
        <v>5.3499999999999999E-2</v>
      </c>
      <c r="OW37" s="1025">
        <v>0.151</v>
      </c>
      <c r="OX37" s="1025">
        <v>2.52321914580414</v>
      </c>
      <c r="OY37" s="1025">
        <v>0</v>
      </c>
      <c r="OZ37" s="1025">
        <v>-27.32</v>
      </c>
      <c r="PA37" s="1025">
        <v>-11.12</v>
      </c>
      <c r="PB37" s="1025">
        <v>-6.9848042083239997E-2</v>
      </c>
      <c r="PC37" s="1025">
        <v>0</v>
      </c>
      <c r="PD37" s="1025">
        <v>-0.98465370781859995</v>
      </c>
      <c r="PE37" s="1025">
        <v>0</v>
      </c>
      <c r="PF37" s="1025">
        <v>9.4153235804040003E-2</v>
      </c>
      <c r="PG37" s="1025">
        <v>0</v>
      </c>
      <c r="PH37" s="1025">
        <v>-2.7839364740900002E-3</v>
      </c>
      <c r="PI37" s="1025">
        <v>0</v>
      </c>
      <c r="PJ37" s="1025">
        <v>-0.8629837145</v>
      </c>
      <c r="PK37" s="1025">
        <v>0</v>
      </c>
      <c r="PL37" s="1025">
        <v>0</v>
      </c>
      <c r="PM37" s="1025">
        <v>0</v>
      </c>
      <c r="PN37" s="1025">
        <v>0</v>
      </c>
      <c r="PO37" s="1025">
        <v>0</v>
      </c>
      <c r="PP37" s="1025">
        <v>0</v>
      </c>
      <c r="PQ37" s="1025">
        <v>0</v>
      </c>
      <c r="PR37" s="1025">
        <v>0</v>
      </c>
      <c r="PS37" s="1025">
        <v>0</v>
      </c>
      <c r="PT37" s="1025">
        <v>0</v>
      </c>
      <c r="PU37" s="1025">
        <v>0</v>
      </c>
      <c r="PV37" s="1025">
        <v>0</v>
      </c>
      <c r="PW37" s="1025">
        <v>0</v>
      </c>
      <c r="PX37" s="1025">
        <v>0.26821766902253003</v>
      </c>
      <c r="PY37" s="1025">
        <v>0</v>
      </c>
      <c r="PZ37" s="1025">
        <v>1.673535668201E-2</v>
      </c>
      <c r="QA37" s="1025">
        <v>0</v>
      </c>
      <c r="QB37" s="1025">
        <v>1.573752499</v>
      </c>
      <c r="QC37" s="1025">
        <v>0</v>
      </c>
      <c r="QD37" s="1025">
        <v>-27.32</v>
      </c>
      <c r="QE37" s="1025">
        <v>-11.12</v>
      </c>
      <c r="QF37" s="1025">
        <v>-0.18497038304314001</v>
      </c>
      <c r="QG37" s="1025">
        <v>0</v>
      </c>
      <c r="QH37" s="1025">
        <v>-0.13261483600000001</v>
      </c>
      <c r="QI37" s="1025">
        <v>0</v>
      </c>
      <c r="QJ37" s="1025">
        <v>-9.1649999999999995E-2</v>
      </c>
      <c r="QK37" s="1025">
        <v>0</v>
      </c>
      <c r="QL37" s="1025">
        <v>4.0000000000000001E-3</v>
      </c>
      <c r="QM37" s="1025">
        <v>0</v>
      </c>
      <c r="QN37" s="1025">
        <v>0.8629837145</v>
      </c>
      <c r="QO37" s="1025">
        <v>0</v>
      </c>
      <c r="QP37" s="1025">
        <v>0</v>
      </c>
      <c r="QQ37" s="1025">
        <v>0</v>
      </c>
      <c r="QR37" s="1025">
        <v>0</v>
      </c>
      <c r="QS37" s="1025">
        <v>0</v>
      </c>
      <c r="QT37" s="1025">
        <v>0</v>
      </c>
      <c r="QU37" s="1025">
        <v>0</v>
      </c>
      <c r="QV37" s="1025">
        <v>0</v>
      </c>
      <c r="QW37" s="1025">
        <v>0</v>
      </c>
      <c r="QX37" s="1025">
        <v>0</v>
      </c>
      <c r="QY37" s="1025">
        <v>0</v>
      </c>
      <c r="QZ37" s="1025">
        <v>0</v>
      </c>
      <c r="RA37" s="1025">
        <v>0</v>
      </c>
      <c r="RB37" s="1025">
        <v>0</v>
      </c>
      <c r="RC37" s="1025">
        <v>0</v>
      </c>
      <c r="RD37" s="1025">
        <v>0</v>
      </c>
      <c r="RE37" s="1025">
        <v>0</v>
      </c>
      <c r="RF37" s="1025">
        <v>0</v>
      </c>
      <c r="RG37" s="1025">
        <v>0</v>
      </c>
      <c r="RH37" s="1011">
        <v>0</v>
      </c>
      <c r="RI37" s="1026">
        <v>0</v>
      </c>
      <c r="RJ37" s="1026">
        <v>0</v>
      </c>
      <c r="RK37" s="1026">
        <v>0</v>
      </c>
      <c r="RL37" s="1026">
        <v>0</v>
      </c>
      <c r="RM37" s="1011">
        <v>0</v>
      </c>
      <c r="RN37" s="1011">
        <v>0</v>
      </c>
      <c r="RO37" s="1011">
        <v>0</v>
      </c>
      <c r="RP37" s="1011">
        <v>0</v>
      </c>
      <c r="RQ37" s="1011">
        <v>0</v>
      </c>
      <c r="RR37" s="1011">
        <v>0</v>
      </c>
      <c r="RS37" s="1011">
        <v>0</v>
      </c>
      <c r="RT37" s="1011">
        <v>-2.7270331286437401</v>
      </c>
      <c r="RU37" s="1011">
        <v>0</v>
      </c>
      <c r="RV37" s="1011">
        <v>-0.29214285714285998</v>
      </c>
      <c r="RW37" s="1011">
        <v>0</v>
      </c>
      <c r="RX37" s="1011">
        <v>0.69430929844727995</v>
      </c>
      <c r="RY37" s="1011">
        <v>0</v>
      </c>
      <c r="RZ37" s="1026">
        <v>0</v>
      </c>
      <c r="SA37" s="1026">
        <v>0</v>
      </c>
      <c r="SB37" s="1026">
        <v>0</v>
      </c>
      <c r="SC37" s="1026">
        <v>0</v>
      </c>
      <c r="SD37" s="1026">
        <v>1.5738627949999999</v>
      </c>
      <c r="SE37" s="1026">
        <v>0</v>
      </c>
      <c r="SF37" s="1026">
        <v>0</v>
      </c>
      <c r="SG37" s="1026">
        <v>0</v>
      </c>
      <c r="SH37" s="1026">
        <v>0</v>
      </c>
      <c r="SI37" s="1026">
        <v>0</v>
      </c>
      <c r="SJ37" s="1026">
        <v>0.71087908050000004</v>
      </c>
      <c r="SK37" s="1026">
        <v>0</v>
      </c>
      <c r="SL37" s="1025">
        <v>-27.32</v>
      </c>
      <c r="SM37" s="1025">
        <v>-11.12</v>
      </c>
      <c r="SN37" s="1025">
        <v>-0.13598965849992001</v>
      </c>
      <c r="SO37" s="1025">
        <v>0</v>
      </c>
      <c r="SP37" s="1025">
        <v>-0.52281955234613997</v>
      </c>
      <c r="SQ37" s="1025">
        <v>0</v>
      </c>
      <c r="SR37" s="1025">
        <v>-0.24017364479912001</v>
      </c>
      <c r="SS37" s="1025">
        <v>0</v>
      </c>
      <c r="ST37" s="1025">
        <v>-1.6863255911430002E-2</v>
      </c>
      <c r="SU37" s="1025">
        <v>0</v>
      </c>
      <c r="SV37" s="1025">
        <v>-0.31475049980000003</v>
      </c>
      <c r="SW37" s="1025">
        <v>0</v>
      </c>
      <c r="SX37" s="1025">
        <v>-0.14564610173861001</v>
      </c>
      <c r="SY37" s="1025">
        <v>0</v>
      </c>
      <c r="SZ37" s="1025">
        <v>-2.0828357765199999E-2</v>
      </c>
      <c r="TA37" s="1025">
        <v>0</v>
      </c>
      <c r="TB37" s="1025">
        <v>-0.48734724270000002</v>
      </c>
      <c r="TC37" s="1025">
        <v>0</v>
      </c>
      <c r="TD37" s="1025">
        <v>0</v>
      </c>
      <c r="TE37" s="1025">
        <v>0</v>
      </c>
      <c r="TF37" s="1025">
        <v>0</v>
      </c>
      <c r="TG37" s="1025">
        <v>0</v>
      </c>
      <c r="TH37" s="1025">
        <v>0</v>
      </c>
      <c r="TI37" s="1025">
        <v>0</v>
      </c>
      <c r="TJ37" s="1025">
        <v>0</v>
      </c>
      <c r="TK37" s="1025">
        <v>0</v>
      </c>
      <c r="TL37" s="1025">
        <v>0</v>
      </c>
      <c r="TM37" s="1025">
        <v>0</v>
      </c>
      <c r="TN37" s="1025">
        <v>0</v>
      </c>
      <c r="TO37" s="1025">
        <v>0</v>
      </c>
      <c r="TP37" s="1025">
        <v>-27.32</v>
      </c>
      <c r="TQ37" s="1025">
        <v>-11.12</v>
      </c>
      <c r="TR37" s="1025">
        <v>0</v>
      </c>
      <c r="TS37" s="1025">
        <v>0</v>
      </c>
      <c r="TT37" s="1025">
        <v>0</v>
      </c>
      <c r="TU37" s="1025">
        <v>0</v>
      </c>
      <c r="TV37" s="1025">
        <v>0</v>
      </c>
      <c r="TW37" s="1025">
        <v>0</v>
      </c>
      <c r="TX37" s="1025">
        <v>0</v>
      </c>
      <c r="TY37" s="1025">
        <v>0</v>
      </c>
      <c r="TZ37" s="1025">
        <v>0</v>
      </c>
      <c r="UA37" s="1025">
        <v>0</v>
      </c>
      <c r="UB37" s="1025">
        <v>0</v>
      </c>
      <c r="UC37" s="1025">
        <v>0</v>
      </c>
      <c r="UD37" s="1025">
        <v>0</v>
      </c>
      <c r="UE37" s="1025">
        <v>0</v>
      </c>
      <c r="UF37" s="1025">
        <v>-2.4367362134999899</v>
      </c>
      <c r="UG37" s="1025">
        <v>0</v>
      </c>
      <c r="UH37" s="1025">
        <v>0</v>
      </c>
      <c r="UI37" s="1025">
        <v>0</v>
      </c>
      <c r="UJ37" s="1025">
        <v>0</v>
      </c>
      <c r="UK37" s="1025">
        <v>0</v>
      </c>
      <c r="UL37" s="1025">
        <v>0</v>
      </c>
      <c r="UM37" s="1025">
        <v>0</v>
      </c>
      <c r="UN37" s="1025">
        <v>0</v>
      </c>
      <c r="UO37" s="1025">
        <v>0</v>
      </c>
      <c r="UP37" s="1025">
        <v>0</v>
      </c>
      <c r="UQ37" s="1025">
        <v>0</v>
      </c>
      <c r="UR37" s="1025">
        <v>0</v>
      </c>
      <c r="US37" s="1025">
        <v>0</v>
      </c>
      <c r="UT37" s="1025">
        <v>0.53295350142785003</v>
      </c>
      <c r="UU37" s="1025">
        <v>0</v>
      </c>
      <c r="UV37" s="1025">
        <v>0</v>
      </c>
      <c r="UW37" s="1025">
        <v>0</v>
      </c>
      <c r="UX37" s="1025">
        <v>0</v>
      </c>
      <c r="UY37" s="1025">
        <v>0</v>
      </c>
      <c r="UZ37" s="1025">
        <v>3.14611130946E-2</v>
      </c>
      <c r="VA37" s="1025">
        <v>0</v>
      </c>
      <c r="VB37" s="1025">
        <v>0</v>
      </c>
      <c r="VC37" s="1025">
        <v>0</v>
      </c>
      <c r="VD37" s="1025">
        <v>2.6505653896950001E-2</v>
      </c>
      <c r="VE37" s="1025">
        <v>0</v>
      </c>
      <c r="VF37" s="1025">
        <v>0</v>
      </c>
      <c r="VG37" s="1025">
        <v>0</v>
      </c>
      <c r="VH37" s="1025">
        <v>0</v>
      </c>
      <c r="VI37" s="1025">
        <v>0</v>
      </c>
      <c r="VJ37" s="1025">
        <v>0</v>
      </c>
      <c r="VK37" s="1025">
        <v>0</v>
      </c>
      <c r="VL37" s="1025">
        <v>0</v>
      </c>
      <c r="VM37" s="1025">
        <v>0</v>
      </c>
      <c r="VN37" s="1025">
        <v>0</v>
      </c>
      <c r="VO37" s="1025">
        <v>0</v>
      </c>
      <c r="VP37" s="1025">
        <v>0</v>
      </c>
      <c r="VQ37" s="1025">
        <v>-3933.0000008988736</v>
      </c>
      <c r="VR37" s="1010">
        <v>0</v>
      </c>
      <c r="VS37" s="1010">
        <v>0</v>
      </c>
      <c r="VT37" s="1010">
        <v>0</v>
      </c>
      <c r="VU37" s="1010">
        <v>0</v>
      </c>
      <c r="VV37" s="1010">
        <v>0</v>
      </c>
      <c r="VW37" s="1010">
        <v>-3933.0000008988736</v>
      </c>
      <c r="VX37" s="1025">
        <v>0</v>
      </c>
      <c r="VY37" s="1025">
        <v>0</v>
      </c>
      <c r="VZ37" s="1025">
        <v>0</v>
      </c>
      <c r="WA37" s="1025">
        <v>0</v>
      </c>
      <c r="WB37" s="1025">
        <v>0</v>
      </c>
      <c r="WC37" s="1025">
        <v>0</v>
      </c>
      <c r="WD37" s="995">
        <v>202</v>
      </c>
      <c r="WE37" s="995">
        <v>267</v>
      </c>
      <c r="WF37" s="995">
        <v>354</v>
      </c>
      <c r="WG37" s="995">
        <v>382</v>
      </c>
      <c r="WH37" s="995">
        <v>403</v>
      </c>
      <c r="WI37" s="995">
        <v>0</v>
      </c>
      <c r="WJ37" s="995">
        <v>1300</v>
      </c>
      <c r="WK37" s="1001">
        <v>0</v>
      </c>
      <c r="WL37" s="1001">
        <v>0</v>
      </c>
      <c r="WM37" s="1001">
        <v>0</v>
      </c>
      <c r="WN37" s="1001">
        <v>0</v>
      </c>
      <c r="WO37" s="1001">
        <v>0</v>
      </c>
      <c r="WP37" s="1001">
        <v>0</v>
      </c>
      <c r="WQ37" s="1001">
        <v>0</v>
      </c>
      <c r="WR37" s="1001">
        <v>0</v>
      </c>
      <c r="WS37" s="1001">
        <v>0</v>
      </c>
      <c r="WT37" s="1001">
        <v>0</v>
      </c>
      <c r="WU37" s="1001">
        <v>0</v>
      </c>
      <c r="WV37" s="1001">
        <v>0</v>
      </c>
      <c r="WW37" s="1001">
        <v>0</v>
      </c>
      <c r="WX37" s="1001">
        <v>0</v>
      </c>
      <c r="WY37" s="1001">
        <v>0</v>
      </c>
      <c r="WZ37" s="1001">
        <v>0</v>
      </c>
      <c r="XA37" s="1001">
        <v>0</v>
      </c>
      <c r="XB37" s="1001">
        <v>0</v>
      </c>
      <c r="XC37" s="1001">
        <v>0</v>
      </c>
      <c r="XD37" s="1001">
        <v>0</v>
      </c>
      <c r="XE37" s="1001">
        <v>0</v>
      </c>
      <c r="XF37" s="1001">
        <v>0</v>
      </c>
      <c r="XG37" s="1001">
        <v>0</v>
      </c>
      <c r="XH37" s="1001">
        <v>0</v>
      </c>
      <c r="XI37" s="1001">
        <v>0</v>
      </c>
      <c r="XJ37" s="1001">
        <v>0</v>
      </c>
      <c r="XK37" s="1001">
        <v>0</v>
      </c>
      <c r="XL37" s="1001">
        <v>0</v>
      </c>
      <c r="XM37" s="1001">
        <v>0</v>
      </c>
      <c r="XN37" s="1001">
        <v>0</v>
      </c>
      <c r="XO37" s="1001">
        <v>0</v>
      </c>
      <c r="XP37" s="1001">
        <v>0</v>
      </c>
      <c r="XQ37" s="1001">
        <v>0</v>
      </c>
      <c r="XR37" s="1027">
        <v>89.431799999999996</v>
      </c>
      <c r="XS37" s="1013">
        <v>70.947983298538617</v>
      </c>
      <c r="XT37" s="1013">
        <v>78.416192066805834</v>
      </c>
      <c r="XU37" s="1013">
        <v>82.15029645093945</v>
      </c>
      <c r="XV37" s="1013">
        <v>126.21272818371607</v>
      </c>
      <c r="XW37" s="1028">
        <v>9329.0489089999992</v>
      </c>
      <c r="XX37" s="1013">
        <v>65</v>
      </c>
      <c r="XY37" s="1013">
        <v>20</v>
      </c>
      <c r="XZ37" s="1013">
        <v>15</v>
      </c>
      <c r="YA37" s="1029">
        <v>0</v>
      </c>
      <c r="YB37" s="1013">
        <v>1357.221204357759</v>
      </c>
      <c r="YC37" s="1013">
        <v>0</v>
      </c>
      <c r="YD37" s="1013">
        <v>0</v>
      </c>
      <c r="YE37" s="1013">
        <v>0</v>
      </c>
      <c r="YF37" s="1013">
        <v>0</v>
      </c>
      <c r="YG37" s="1013">
        <v>0</v>
      </c>
      <c r="YH37" s="1013">
        <v>661.21033032813909</v>
      </c>
      <c r="YI37" s="1013">
        <v>0</v>
      </c>
      <c r="YJ37" s="1013">
        <v>1455.9664003404444</v>
      </c>
      <c r="YK37" s="1013">
        <v>0</v>
      </c>
      <c r="YL37" s="1013">
        <v>0</v>
      </c>
      <c r="YM37" s="1013">
        <v>0</v>
      </c>
      <c r="YN37" s="1013">
        <v>0</v>
      </c>
      <c r="YO37" s="1013">
        <v>0</v>
      </c>
      <c r="YP37" s="1013">
        <v>709.31696426842166</v>
      </c>
      <c r="YQ37" s="1013">
        <v>0</v>
      </c>
      <c r="YR37" s="1013">
        <v>1525.2981336899895</v>
      </c>
      <c r="YS37" s="1013">
        <v>0</v>
      </c>
      <c r="YT37" s="1013">
        <v>0</v>
      </c>
      <c r="YU37" s="1013">
        <v>0</v>
      </c>
      <c r="YV37" s="1013">
        <v>0</v>
      </c>
      <c r="YW37" s="1013">
        <v>0</v>
      </c>
      <c r="YX37" s="1013">
        <v>743.09396256691798</v>
      </c>
      <c r="YY37" s="1013">
        <v>0</v>
      </c>
      <c r="YZ37" s="1013">
        <v>2343.4125872146201</v>
      </c>
      <c r="ZA37" s="1013">
        <v>0</v>
      </c>
      <c r="ZB37" s="1013">
        <v>0</v>
      </c>
      <c r="ZC37" s="1013">
        <v>0</v>
      </c>
      <c r="ZD37" s="1013">
        <v>0</v>
      </c>
      <c r="ZE37" s="1013">
        <v>0</v>
      </c>
      <c r="ZF37" s="1013">
        <v>1141.662542489174</v>
      </c>
      <c r="ZG37" s="1013">
        <v>0</v>
      </c>
      <c r="ZH37" s="1013">
        <v>1084.5705446378893</v>
      </c>
      <c r="ZI37" s="1013">
        <v>667.42802746947029</v>
      </c>
      <c r="ZJ37" s="1013">
        <v>472.76151945754151</v>
      </c>
      <c r="ZK37" s="1013">
        <v>27.809501144561263</v>
      </c>
      <c r="ZL37" s="1013">
        <v>0</v>
      </c>
      <c r="ZM37" s="1013">
        <v>0</v>
      </c>
      <c r="ZN37" s="1013">
        <v>528.38052174666404</v>
      </c>
      <c r="ZO37" s="1013">
        <v>0</v>
      </c>
      <c r="ZP37" s="1013">
        <v>1163.4789279164975</v>
      </c>
      <c r="ZQ37" s="1013">
        <v>715.98703256399835</v>
      </c>
      <c r="ZR37" s="1013">
        <v>507.15748139949892</v>
      </c>
      <c r="ZS37" s="1013">
        <v>29.832793023499935</v>
      </c>
      <c r="ZT37" s="1013">
        <v>0</v>
      </c>
      <c r="ZU37" s="1013">
        <v>0</v>
      </c>
      <c r="ZV37" s="1013">
        <v>566.82306744649873</v>
      </c>
      <c r="ZW37" s="1013">
        <v>0</v>
      </c>
      <c r="ZX37" s="1013">
        <v>1218.8826863887116</v>
      </c>
      <c r="ZY37" s="1013">
        <v>750.08165316228406</v>
      </c>
      <c r="ZZ37" s="1013">
        <v>531.30783765661795</v>
      </c>
      <c r="AAA37" s="1013">
        <v>31.253402215095171</v>
      </c>
      <c r="AAB37" s="1013">
        <v>0</v>
      </c>
      <c r="AAC37" s="1013">
        <v>0</v>
      </c>
      <c r="AAD37" s="1013">
        <v>593.81464208680825</v>
      </c>
      <c r="AAE37" s="1013">
        <v>0</v>
      </c>
      <c r="AAF37" s="1013">
        <v>1872.6470363608389</v>
      </c>
      <c r="AAG37" s="1013">
        <v>1152.3981762220546</v>
      </c>
      <c r="AAH37" s="1013">
        <v>816.28204149062208</v>
      </c>
      <c r="AAI37" s="1013">
        <v>48.016590675918941</v>
      </c>
      <c r="AAJ37" s="1013">
        <v>0</v>
      </c>
      <c r="AAK37" s="1013">
        <v>0</v>
      </c>
      <c r="AAL37" s="1013">
        <v>912.31522284245989</v>
      </c>
      <c r="AAM37" s="1013">
        <v>0</v>
      </c>
      <c r="AAN37" s="1013">
        <v>2886.3570946008349</v>
      </c>
      <c r="AAO37" s="1013">
        <v>1776.2197505235904</v>
      </c>
      <c r="AAP37" s="1013">
        <v>1258.1556566208767</v>
      </c>
      <c r="AAQ37" s="1013">
        <v>74.009156271816281</v>
      </c>
      <c r="AAR37" s="1013">
        <v>0</v>
      </c>
      <c r="AAS37" s="1013">
        <v>0</v>
      </c>
      <c r="AAT37" s="1013">
        <v>1406.1739691645091</v>
      </c>
      <c r="AAU37" s="1013">
        <v>0</v>
      </c>
      <c r="AAV37" s="1013">
        <v>3190.1841571903965</v>
      </c>
      <c r="AAW37" s="1013">
        <v>1963.1902505787054</v>
      </c>
      <c r="AAX37" s="1013">
        <v>1390.5930941599165</v>
      </c>
      <c r="AAY37" s="1013">
        <v>81.799593774112722</v>
      </c>
      <c r="AAZ37" s="1013">
        <v>0</v>
      </c>
      <c r="ABA37" s="1013">
        <v>0</v>
      </c>
      <c r="ABB37" s="1013">
        <v>1554.1922817081418</v>
      </c>
      <c r="ABC37" s="1013">
        <v>0</v>
      </c>
      <c r="ABD37" s="1013">
        <v>3342.0976884851771</v>
      </c>
      <c r="ABE37" s="1013">
        <v>2056.6755006062626</v>
      </c>
      <c r="ABF37" s="1013">
        <v>1456.8118129294362</v>
      </c>
      <c r="ABG37" s="1013">
        <v>85.694812525260957</v>
      </c>
      <c r="ABH37" s="1013">
        <v>0</v>
      </c>
      <c r="ABI37" s="1013">
        <v>0</v>
      </c>
      <c r="ABJ37" s="1013">
        <v>1628.201437979958</v>
      </c>
      <c r="ABK37" s="1013">
        <v>0</v>
      </c>
      <c r="ABL37" s="1013">
        <v>5134.6773577635904</v>
      </c>
      <c r="ABM37" s="1013">
        <v>3159.8014509314403</v>
      </c>
      <c r="ABN37" s="1013">
        <v>2238.1926944097704</v>
      </c>
      <c r="ABO37" s="1013">
        <v>131.65839378881</v>
      </c>
      <c r="ABP37" s="1013">
        <v>0</v>
      </c>
      <c r="ABQ37" s="1013">
        <v>0</v>
      </c>
      <c r="ABR37" s="1013">
        <v>2501.5094819873902</v>
      </c>
      <c r="ABS37" s="1013">
        <v>0</v>
      </c>
      <c r="ABT37" s="1013">
        <v>3970.9276392387242</v>
      </c>
      <c r="ABU37" s="1013">
        <v>2443.6477779930606</v>
      </c>
      <c r="ABV37" s="1013">
        <v>1730.9171760784182</v>
      </c>
      <c r="ABW37" s="1013">
        <v>101.81865741637753</v>
      </c>
      <c r="ABX37" s="1013">
        <v>0</v>
      </c>
      <c r="ABY37" s="1013">
        <v>0</v>
      </c>
      <c r="ABZ37" s="1013">
        <v>1934.5544909111732</v>
      </c>
      <c r="ACA37" s="1013">
        <v>0</v>
      </c>
      <c r="ACB37" s="1013">
        <v>4203.5367718273455</v>
      </c>
      <c r="ACC37" s="1013">
        <v>2586.7918595860588</v>
      </c>
      <c r="ACD37" s="1013">
        <v>1832.3109005401252</v>
      </c>
      <c r="ACE37" s="1013">
        <v>107.78299414941912</v>
      </c>
      <c r="ACF37" s="1013">
        <v>0</v>
      </c>
      <c r="ACG37" s="1013">
        <v>0</v>
      </c>
      <c r="ACH37" s="1013">
        <v>2047.8768888389634</v>
      </c>
      <c r="ACI37" s="1013">
        <v>0</v>
      </c>
      <c r="ACJ37" s="1013">
        <v>4403.7051895334098</v>
      </c>
      <c r="ACK37" s="1013">
        <v>2709.9724243282521</v>
      </c>
      <c r="ACL37" s="1013">
        <v>1919.5638005658454</v>
      </c>
      <c r="ACM37" s="1013">
        <v>112.91551768034384</v>
      </c>
      <c r="ACN37" s="1013">
        <v>0</v>
      </c>
      <c r="ACO37" s="1013">
        <v>0</v>
      </c>
      <c r="ACP37" s="1013">
        <v>2145.3948359265328</v>
      </c>
      <c r="ACQ37" s="1013">
        <v>0</v>
      </c>
      <c r="ACR37" s="1013">
        <v>6765.6925184649654</v>
      </c>
      <c r="ACS37" s="1013">
        <v>4163.503088286132</v>
      </c>
      <c r="ACT37" s="1013">
        <v>2949.1480208693442</v>
      </c>
      <c r="ACU37" s="1013">
        <v>173.47929534525554</v>
      </c>
      <c r="ACV37" s="1013">
        <v>0</v>
      </c>
      <c r="ACW37" s="1013">
        <v>0</v>
      </c>
      <c r="ACX37" s="1013">
        <v>3296.1066115598551</v>
      </c>
      <c r="ACY37" s="1013">
        <v>0</v>
      </c>
      <c r="ACZ37" s="1013">
        <v>5142.963550379669</v>
      </c>
      <c r="ADA37" s="1013">
        <v>3164.9006463874885</v>
      </c>
      <c r="ADB37" s="1013">
        <v>2241.8046245244714</v>
      </c>
      <c r="ADC37" s="1013">
        <v>131.87086026614537</v>
      </c>
      <c r="ADD37" s="1013">
        <v>0</v>
      </c>
      <c r="ADE37" s="1013">
        <v>0</v>
      </c>
      <c r="ADF37" s="1013">
        <v>2505.5463450567618</v>
      </c>
      <c r="ADG37" s="1013">
        <v>0</v>
      </c>
      <c r="ADH37" s="1013">
        <v>5498.3762238634481</v>
      </c>
      <c r="ADI37" s="1013">
        <v>3383.616137762122</v>
      </c>
      <c r="ADJ37" s="1013">
        <v>2396.7280975815033</v>
      </c>
      <c r="ADK37" s="1013">
        <v>140.98400574008841</v>
      </c>
      <c r="ADL37" s="1013">
        <v>0</v>
      </c>
      <c r="ADM37" s="1013">
        <v>0</v>
      </c>
      <c r="ADN37" s="1013">
        <v>2678.6961090616801</v>
      </c>
      <c r="ADO37" s="1013">
        <v>0</v>
      </c>
      <c r="ADP37" s="1013">
        <v>5760.2036630950406</v>
      </c>
      <c r="ADQ37" s="1013">
        <v>3544.7407157507942</v>
      </c>
      <c r="ADR37" s="1013">
        <v>2510.8580069901464</v>
      </c>
      <c r="ADS37" s="1013">
        <v>147.69752982294978</v>
      </c>
      <c r="ADT37" s="1013">
        <v>0</v>
      </c>
      <c r="ADU37" s="1013">
        <v>0</v>
      </c>
      <c r="ADV37" s="1013">
        <v>2806.2530666360453</v>
      </c>
      <c r="ADW37" s="1013">
        <v>0</v>
      </c>
      <c r="ADX37" s="1013">
        <v>8849.7674460278358</v>
      </c>
      <c r="ADY37" s="1013">
        <v>5446.0107360171296</v>
      </c>
      <c r="ADZ37" s="1013">
        <v>3857.5909380121338</v>
      </c>
      <c r="AEA37" s="1013">
        <v>226.91711400071375</v>
      </c>
      <c r="AEB37" s="1013">
        <v>0</v>
      </c>
      <c r="AEC37" s="1013">
        <v>0</v>
      </c>
      <c r="AED37" s="1013">
        <v>4311.4251660135615</v>
      </c>
      <c r="AEE37" s="1013">
        <v>0</v>
      </c>
      <c r="AEF37" s="1013">
        <v>6280.0133149193916</v>
      </c>
      <c r="AEG37" s="1013">
        <v>3864.6235784119331</v>
      </c>
      <c r="AEH37" s="1013">
        <v>2737.4417013751199</v>
      </c>
      <c r="AEI37" s="1013">
        <v>161.02598243383056</v>
      </c>
      <c r="AEJ37" s="1013">
        <v>0</v>
      </c>
      <c r="AEK37" s="1013">
        <v>0</v>
      </c>
      <c r="AEL37" s="1013">
        <v>3059.4936662427808</v>
      </c>
      <c r="AEM37" s="1013">
        <v>0</v>
      </c>
      <c r="AEN37" s="1013">
        <v>6755.6840975796622</v>
      </c>
      <c r="AEO37" s="1013">
        <v>4157.344060049023</v>
      </c>
      <c r="AEP37" s="1013">
        <v>2944.7853758680581</v>
      </c>
      <c r="AEQ37" s="1013">
        <v>173.2226691687093</v>
      </c>
      <c r="AER37" s="1013">
        <v>0</v>
      </c>
      <c r="AES37" s="1013">
        <v>0</v>
      </c>
      <c r="AET37" s="1013">
        <v>3291.2307142054765</v>
      </c>
      <c r="AEU37" s="1013">
        <v>0</v>
      </c>
      <c r="AEV37" s="1013">
        <v>7077.3833403215522</v>
      </c>
      <c r="AEW37" s="1013">
        <v>4355.3128248132625</v>
      </c>
      <c r="AEX37" s="1013">
        <v>3085.0132509093946</v>
      </c>
      <c r="AEY37" s="1013">
        <v>181.47136770055263</v>
      </c>
      <c r="AEZ37" s="1013">
        <v>0</v>
      </c>
      <c r="AFA37" s="1013">
        <v>0</v>
      </c>
      <c r="AFB37" s="1013">
        <v>3447.9559863104996</v>
      </c>
      <c r="AFC37" s="1013">
        <v>0</v>
      </c>
      <c r="AFD37" s="1013">
        <v>10873.43440467584</v>
      </c>
      <c r="AFE37" s="1013">
        <v>6691.3442490312855</v>
      </c>
      <c r="AFF37" s="1013">
        <v>4739.7021763971607</v>
      </c>
      <c r="AFG37" s="1013">
        <v>278.80601037630356</v>
      </c>
      <c r="AFH37" s="1013">
        <v>0</v>
      </c>
      <c r="AFI37" s="1013">
        <v>0</v>
      </c>
      <c r="AFJ37" s="1013">
        <v>5297.314197149768</v>
      </c>
      <c r="AFK37" s="1013">
        <v>0</v>
      </c>
      <c r="AFL37" s="1023">
        <v>7242.1323464530042</v>
      </c>
      <c r="AFM37" s="1023">
        <v>4456.6968285864641</v>
      </c>
      <c r="AFN37" s="1023">
        <v>3156.8269202487454</v>
      </c>
      <c r="AFO37" s="1023">
        <v>185.69570119110267</v>
      </c>
      <c r="AFP37" s="1023">
        <v>0</v>
      </c>
      <c r="AFQ37" s="1023">
        <v>0</v>
      </c>
      <c r="AFR37" s="1023">
        <v>3528.2183226309508</v>
      </c>
      <c r="AFS37" s="1023">
        <v>0</v>
      </c>
      <c r="AFT37" s="1023">
        <v>7693.9735555768384</v>
      </c>
      <c r="AFU37" s="1023">
        <v>4734.7529572780541</v>
      </c>
      <c r="AFV37" s="1023">
        <v>3353.783344738622</v>
      </c>
      <c r="AFW37" s="1023">
        <v>197.28137321991895</v>
      </c>
      <c r="AFX37" s="1023">
        <v>0</v>
      </c>
      <c r="AFY37" s="1023">
        <v>0</v>
      </c>
      <c r="AFZ37" s="1023">
        <v>3748.3460911784596</v>
      </c>
      <c r="AGA37" s="1023">
        <v>0</v>
      </c>
      <c r="AGB37" s="1023">
        <v>8060.3532486995446</v>
      </c>
      <c r="AGC37" s="1023">
        <v>4960.2173838151039</v>
      </c>
      <c r="AGD37" s="1023">
        <v>3513.4873135356993</v>
      </c>
      <c r="AGE37" s="1023">
        <v>206.67572432562935</v>
      </c>
      <c r="AGF37" s="1023">
        <v>0</v>
      </c>
      <c r="AGG37" s="1023">
        <v>0</v>
      </c>
      <c r="AGH37" s="1023">
        <v>3926.8387621869574</v>
      </c>
      <c r="AGI37" s="1023">
        <v>0</v>
      </c>
      <c r="AGJ37" s="1023">
        <v>12383.633627547482</v>
      </c>
      <c r="AGK37" s="1023">
        <v>7620.6976169522968</v>
      </c>
      <c r="AGL37" s="1023">
        <v>5397.9941453412102</v>
      </c>
      <c r="AGM37" s="1023">
        <v>317.52906737301237</v>
      </c>
      <c r="AGN37" s="1023">
        <v>0</v>
      </c>
      <c r="AGO37" s="1023">
        <v>0</v>
      </c>
      <c r="AGP37" s="1023">
        <v>6033.052280087235</v>
      </c>
      <c r="AGQ37" s="1023">
        <v>0</v>
      </c>
      <c r="AGR37" s="1030">
        <v>2886.3570946008349</v>
      </c>
      <c r="AGS37" s="1030">
        <v>1776.2197505235904</v>
      </c>
      <c r="AGT37" s="1030">
        <v>1258.1556566208767</v>
      </c>
      <c r="AGU37" s="1030">
        <v>74.009156271816281</v>
      </c>
      <c r="AGV37" s="1030">
        <v>0</v>
      </c>
      <c r="AGW37" s="1030">
        <v>0</v>
      </c>
      <c r="AGX37" s="1030">
        <v>1406.1739691645091</v>
      </c>
      <c r="AGY37" s="1030">
        <v>0</v>
      </c>
      <c r="AGZ37" s="1030">
        <v>3190.1841571903965</v>
      </c>
      <c r="AHA37" s="1030">
        <v>1963.1902505787054</v>
      </c>
      <c r="AHB37" s="1030">
        <v>1390.5930941599165</v>
      </c>
      <c r="AHC37" s="1030">
        <v>81.799593774112722</v>
      </c>
      <c r="AHD37" s="1030">
        <v>0</v>
      </c>
      <c r="AHE37" s="1030">
        <v>0</v>
      </c>
      <c r="AHF37" s="1030">
        <v>1554.1922817081418</v>
      </c>
      <c r="AHG37" s="1030">
        <v>0</v>
      </c>
      <c r="AHH37" s="1030">
        <v>3342.0976884851771</v>
      </c>
      <c r="AHI37" s="1030">
        <v>2056.6755006062626</v>
      </c>
      <c r="AHJ37" s="1030">
        <v>1456.8118129294362</v>
      </c>
      <c r="AHK37" s="1030">
        <v>85.694812525260957</v>
      </c>
      <c r="AHL37" s="1030">
        <v>0</v>
      </c>
      <c r="AHM37" s="1030">
        <v>0</v>
      </c>
      <c r="AHN37" s="1030">
        <v>1628.201437979958</v>
      </c>
      <c r="AHO37" s="1030">
        <v>0</v>
      </c>
      <c r="AHP37" s="1030">
        <v>5134.6773577635904</v>
      </c>
      <c r="AHQ37" s="1030">
        <v>3159.8014509314403</v>
      </c>
      <c r="AHR37" s="1030">
        <v>2238.1926944097704</v>
      </c>
      <c r="AHS37" s="1030">
        <v>131.65839378881</v>
      </c>
      <c r="AHT37" s="1030">
        <v>0</v>
      </c>
      <c r="AHU37" s="1030">
        <v>0</v>
      </c>
      <c r="AHV37" s="1030">
        <v>2501.5094819873902</v>
      </c>
      <c r="AHW37" s="1030">
        <v>0</v>
      </c>
      <c r="AHX37" s="1013">
        <v>165</v>
      </c>
      <c r="AHY37" s="1023">
        <v>0</v>
      </c>
      <c r="AHZ37" s="1023">
        <v>0</v>
      </c>
      <c r="AIA37" s="1023">
        <v>0</v>
      </c>
      <c r="AIB37" s="1023">
        <v>0</v>
      </c>
      <c r="AIC37" s="1023">
        <v>0</v>
      </c>
      <c r="AID37" s="1023">
        <v>0</v>
      </c>
      <c r="AIE37" s="1023">
        <v>0</v>
      </c>
      <c r="AIF37" s="1017">
        <v>512.07805674560575</v>
      </c>
      <c r="AIG37" s="1017">
        <v>117.04641297042417</v>
      </c>
      <c r="AIH37" s="1017">
        <v>95.100210538469639</v>
      </c>
      <c r="AII37" s="1017">
        <v>0</v>
      </c>
      <c r="AIJ37" s="1017">
        <v>0</v>
      </c>
      <c r="AIK37" s="1017">
        <v>0</v>
      </c>
      <c r="AIL37" s="1017">
        <v>7.3154008106515107</v>
      </c>
      <c r="AIM37" s="1017">
        <v>0</v>
      </c>
      <c r="AIN37" s="1016">
        <v>69.174350519665779</v>
      </c>
      <c r="AIO37" s="1016">
        <v>15.811280118780751</v>
      </c>
      <c r="AIP37" s="1017">
        <v>12.84666509650936</v>
      </c>
      <c r="AIQ37" s="1017">
        <v>0</v>
      </c>
      <c r="AIR37" s="1017">
        <v>0</v>
      </c>
      <c r="AIS37" s="1017">
        <v>0</v>
      </c>
      <c r="AIT37" s="1017">
        <v>0.98820500742379691</v>
      </c>
      <c r="AIU37" s="1017">
        <v>0</v>
      </c>
      <c r="AIV37" s="1017">
        <v>120</v>
      </c>
      <c r="AIW37" s="1017">
        <v>47.37</v>
      </c>
      <c r="AIX37" s="1017">
        <v>39.47</v>
      </c>
      <c r="AIY37" s="1017">
        <v>0</v>
      </c>
      <c r="AIZ37" s="1017">
        <v>3.68</v>
      </c>
      <c r="AJA37" s="1017">
        <v>4.4800000000000004</v>
      </c>
      <c r="AJB37" s="1017">
        <v>0</v>
      </c>
      <c r="AJC37" s="1017">
        <v>0</v>
      </c>
      <c r="AJD37" s="1017">
        <v>129.6</v>
      </c>
      <c r="AJE37" s="1017">
        <v>96.93</v>
      </c>
      <c r="AJF37" s="1017">
        <v>80.78</v>
      </c>
      <c r="AJG37" s="1017">
        <v>0</v>
      </c>
      <c r="AJH37" s="1017">
        <v>7.54</v>
      </c>
      <c r="AJI37" s="1017">
        <v>9.15</v>
      </c>
      <c r="AJJ37" s="1017">
        <v>0</v>
      </c>
      <c r="AJK37" s="1013">
        <v>0</v>
      </c>
      <c r="AJL37" s="1013">
        <v>386.42163683764267</v>
      </c>
      <c r="AJM37" s="1013">
        <v>88.324945562889752</v>
      </c>
      <c r="AJN37" s="1013">
        <v>71.764018269847924</v>
      </c>
      <c r="AJO37" s="1013">
        <v>0</v>
      </c>
      <c r="AJP37" s="1013">
        <v>0</v>
      </c>
      <c r="AJQ37" s="1013">
        <v>0</v>
      </c>
      <c r="AJR37" s="1013">
        <v>5.5203090976806095</v>
      </c>
      <c r="AJS37" s="1013">
        <v>0</v>
      </c>
      <c r="AJT37" s="1029" t="s">
        <v>858</v>
      </c>
      <c r="AJU37" s="988" t="s">
        <v>861</v>
      </c>
      <c r="AJV37" s="988" t="s">
        <v>860</v>
      </c>
      <c r="AJW37" s="988" t="s">
        <v>859</v>
      </c>
      <c r="AJX37" s="988" t="s">
        <v>870</v>
      </c>
      <c r="AJY37" s="988" t="s">
        <v>871</v>
      </c>
      <c r="AJZ37" s="988" t="s">
        <v>872</v>
      </c>
      <c r="AKA37" s="988" t="s">
        <v>873</v>
      </c>
      <c r="AKB37" s="988" t="s">
        <v>874</v>
      </c>
      <c r="AKC37" s="988" t="s">
        <v>875</v>
      </c>
      <c r="AKD37" s="1013">
        <v>122.00704225352113</v>
      </c>
      <c r="AKE37" s="1013">
        <v>0</v>
      </c>
      <c r="AKF37" s="1013">
        <v>0</v>
      </c>
      <c r="AKG37" s="1013">
        <v>0</v>
      </c>
      <c r="AKH37" s="1013">
        <v>0</v>
      </c>
      <c r="AKI37" s="1013">
        <v>0</v>
      </c>
      <c r="AKJ37" s="1013">
        <v>1.7429577464788732</v>
      </c>
      <c r="AKK37" s="1013">
        <v>0</v>
      </c>
      <c r="AKL37" s="1017">
        <v>540.92752473127371</v>
      </c>
      <c r="AKM37" s="1017">
        <v>0</v>
      </c>
      <c r="AKN37" s="1017">
        <v>0</v>
      </c>
      <c r="AKO37" s="1017">
        <v>0</v>
      </c>
      <c r="AKP37" s="1017">
        <v>0</v>
      </c>
      <c r="AKQ37" s="1017">
        <v>0</v>
      </c>
      <c r="AKR37" s="1017">
        <v>7.7275360675896252</v>
      </c>
      <c r="AKS37" s="1017">
        <v>0</v>
      </c>
      <c r="AKT37" s="1016">
        <v>73.071497027815965</v>
      </c>
      <c r="AKU37" s="1016">
        <v>0</v>
      </c>
      <c r="AKV37" s="1017">
        <v>0</v>
      </c>
      <c r="AKW37" s="1017">
        <v>0</v>
      </c>
      <c r="AKX37" s="1017">
        <v>0</v>
      </c>
      <c r="AKY37" s="1017">
        <v>0</v>
      </c>
      <c r="AKZ37" s="1017">
        <v>1.0438785289687995</v>
      </c>
      <c r="ALA37" s="1017">
        <v>0</v>
      </c>
      <c r="ALB37" s="1017">
        <v>158.97887323943661</v>
      </c>
      <c r="ALC37" s="1017">
        <v>0</v>
      </c>
      <c r="ALD37" s="1017">
        <v>0</v>
      </c>
      <c r="ALE37" s="1017">
        <v>0</v>
      </c>
      <c r="ALF37" s="1017">
        <v>0</v>
      </c>
      <c r="ALG37" s="1017">
        <v>0</v>
      </c>
      <c r="ALH37" s="1017">
        <v>2.2711267605633805</v>
      </c>
      <c r="ALI37" s="1017">
        <v>0</v>
      </c>
      <c r="ALJ37" s="1017">
        <v>239.57746478873239</v>
      </c>
      <c r="ALK37" s="1017">
        <v>0</v>
      </c>
      <c r="ALL37" s="1017">
        <v>0</v>
      </c>
      <c r="ALM37" s="1017">
        <v>0</v>
      </c>
      <c r="ALN37" s="1017">
        <v>0</v>
      </c>
      <c r="ALO37" s="1017">
        <v>0</v>
      </c>
      <c r="ALP37" s="1017">
        <v>3.4225352112676055</v>
      </c>
      <c r="ALQ37" s="1013">
        <v>0</v>
      </c>
      <c r="ALR37" s="1013">
        <v>408.1918698989183</v>
      </c>
      <c r="ALS37" s="1013">
        <v>0</v>
      </c>
      <c r="ALT37" s="1013">
        <v>0</v>
      </c>
      <c r="ALU37" s="1013">
        <v>0</v>
      </c>
      <c r="ALV37" s="1013">
        <v>0</v>
      </c>
      <c r="ALW37" s="1013">
        <v>0</v>
      </c>
      <c r="ALX37" s="1013">
        <v>5.8313124271274042</v>
      </c>
      <c r="ALY37" s="1013">
        <v>0</v>
      </c>
    </row>
    <row r="38" spans="1:1013" ht="18" customHeight="1">
      <c r="A38" s="1259" t="s">
        <v>23</v>
      </c>
      <c r="B38" s="1260" t="s">
        <v>3063</v>
      </c>
      <c r="C38" s="1260">
        <v>2022</v>
      </c>
      <c r="D38" s="1269"/>
      <c r="E38" s="1270">
        <v>0.8</v>
      </c>
      <c r="F38" s="1271">
        <v>0.6</v>
      </c>
      <c r="G38" s="1271">
        <v>0.6</v>
      </c>
      <c r="H38" s="1276">
        <v>28.8</v>
      </c>
      <c r="I38" s="1271">
        <v>-0.5</v>
      </c>
      <c r="J38" s="1271">
        <v>-2.1</v>
      </c>
      <c r="K38" s="1271">
        <v>-2.1</v>
      </c>
      <c r="L38" s="1265">
        <v>350</v>
      </c>
      <c r="M38" s="1262">
        <v>0</v>
      </c>
      <c r="N38" s="1262">
        <v>0</v>
      </c>
      <c r="O38" s="1262">
        <v>0</v>
      </c>
      <c r="P38" s="76">
        <v>990.07981098369419</v>
      </c>
      <c r="Q38" s="75">
        <v>12</v>
      </c>
      <c r="R38" s="75">
        <v>1.1000000000000001</v>
      </c>
      <c r="S38" s="75">
        <v>1</v>
      </c>
      <c r="T38" s="75">
        <v>1</v>
      </c>
      <c r="U38" s="1271">
        <v>0.3</v>
      </c>
      <c r="V38" s="1271">
        <v>0</v>
      </c>
      <c r="W38" s="1271">
        <v>79.599999999999994</v>
      </c>
      <c r="X38" s="1271">
        <v>20.100000000000001</v>
      </c>
      <c r="Y38" s="1272">
        <v>0</v>
      </c>
      <c r="Z38" s="75">
        <v>2</v>
      </c>
      <c r="AA38" s="72">
        <v>1.5</v>
      </c>
      <c r="AB38" s="75">
        <v>1</v>
      </c>
      <c r="AC38" s="72">
        <v>0.8</v>
      </c>
      <c r="AD38" s="72">
        <v>0.5</v>
      </c>
      <c r="AE38" s="390">
        <v>433.01922201480062</v>
      </c>
      <c r="AF38" s="390">
        <v>470.67306740739195</v>
      </c>
      <c r="AG38" s="390">
        <v>433.37222681535616</v>
      </c>
      <c r="AH38" s="390">
        <v>649.0581599547935</v>
      </c>
      <c r="AI38" s="400">
        <v>0.82209484106305364</v>
      </c>
      <c r="AJ38" s="390">
        <v>261.91600618637949</v>
      </c>
      <c r="AK38" s="390">
        <v>284.69131107215162</v>
      </c>
      <c r="AL38" s="390">
        <v>262.12952466968363</v>
      </c>
      <c r="AM38" s="390">
        <v>392.58931796849708</v>
      </c>
      <c r="AN38" s="400">
        <v>0.96717040125065135</v>
      </c>
      <c r="AO38" s="77">
        <v>0.3</v>
      </c>
      <c r="AP38" s="77">
        <v>0.4</v>
      </c>
      <c r="AQ38" s="77">
        <v>0.7</v>
      </c>
      <c r="AR38" s="77">
        <v>1.3</v>
      </c>
      <c r="AS38" s="77">
        <v>1.9</v>
      </c>
      <c r="AT38" s="77">
        <v>2.5</v>
      </c>
      <c r="AU38" s="77">
        <v>2.8</v>
      </c>
      <c r="AV38" s="1268">
        <v>0</v>
      </c>
      <c r="AW38" s="1268">
        <v>10</v>
      </c>
      <c r="AX38" s="1268">
        <v>20</v>
      </c>
      <c r="AY38" s="1268">
        <v>70</v>
      </c>
      <c r="AZ38" s="1268">
        <v>100</v>
      </c>
      <c r="BA38" s="1019">
        <v>11423.774107200925</v>
      </c>
      <c r="BB38" s="1031">
        <v>1.45</v>
      </c>
      <c r="BC38" s="1022">
        <v>0.8</v>
      </c>
      <c r="BD38" s="1022">
        <v>0.5</v>
      </c>
      <c r="BE38" s="1022">
        <v>0.5</v>
      </c>
      <c r="BF38" s="1021">
        <v>0.1822167202203919</v>
      </c>
      <c r="BG38" s="1021">
        <v>0.1789444822334269</v>
      </c>
      <c r="BH38" s="1020">
        <v>2.5210004182921463E-4</v>
      </c>
      <c r="BI38" s="1020">
        <v>0.21021265026374514</v>
      </c>
      <c r="BJ38" s="1020">
        <v>5.3114763889888135</v>
      </c>
      <c r="BK38" s="1020">
        <v>52.247016153601066</v>
      </c>
      <c r="BL38" s="1020">
        <v>2.1746537454406254</v>
      </c>
      <c r="BM38" s="1020">
        <v>1.2092075467892829</v>
      </c>
      <c r="BN38" s="1020">
        <v>33.647637444457992</v>
      </c>
      <c r="BO38" s="1020">
        <v>1.6425287340718832E-2</v>
      </c>
      <c r="BP38" s="1020">
        <v>8.2107044392684209E-2</v>
      </c>
      <c r="BQ38" s="1020">
        <v>7.5630012548764394E-4</v>
      </c>
      <c r="BR38" s="1020">
        <v>1.8422695364442609E-3</v>
      </c>
      <c r="BS38" s="1020">
        <v>5.8176932729818755E-5</v>
      </c>
      <c r="BT38" s="1020">
        <v>0.59679836825339083</v>
      </c>
      <c r="BU38" s="1020">
        <v>3.9131356338948895</v>
      </c>
      <c r="BV38" s="1020">
        <v>0.58842088994029684</v>
      </c>
      <c r="BW38" s="993">
        <v>261.13475999999997</v>
      </c>
      <c r="BX38" s="993">
        <v>96.5</v>
      </c>
      <c r="BY38" s="993">
        <v>63.215999999999994</v>
      </c>
      <c r="BZ38" s="993">
        <v>233.35949490734063</v>
      </c>
      <c r="CA38" s="993">
        <v>157.40783999999999</v>
      </c>
      <c r="CB38" s="990"/>
      <c r="CC38" s="993">
        <v>256.20808011776955</v>
      </c>
      <c r="CD38" s="993">
        <v>165.17663999999999</v>
      </c>
      <c r="CE38" s="990"/>
      <c r="CF38" s="989">
        <v>0</v>
      </c>
      <c r="CG38" s="993">
        <v>6.585</v>
      </c>
      <c r="CH38" s="993">
        <v>1.3169999999999999</v>
      </c>
      <c r="CI38" s="993">
        <v>38</v>
      </c>
      <c r="CJ38" s="993">
        <v>225.83915999999996</v>
      </c>
      <c r="CK38" s="990">
        <v>0.2</v>
      </c>
      <c r="CL38" s="993">
        <v>175.08124000000001</v>
      </c>
      <c r="CM38" s="993">
        <v>60.4</v>
      </c>
      <c r="CN38" s="993">
        <v>42.384</v>
      </c>
      <c r="CO38" s="993">
        <v>156.45894761061641</v>
      </c>
      <c r="CP38" s="993">
        <v>105.53616</v>
      </c>
      <c r="CQ38" s="990"/>
      <c r="CR38" s="993">
        <v>159.24945066654416</v>
      </c>
      <c r="CS38" s="993">
        <v>102.66767999999999</v>
      </c>
      <c r="CT38" s="990"/>
      <c r="CU38" s="993">
        <v>0</v>
      </c>
      <c r="CV38" s="993">
        <v>4.415</v>
      </c>
      <c r="CW38" s="993">
        <v>0.88300000000000001</v>
      </c>
      <c r="CX38" s="993">
        <v>27</v>
      </c>
      <c r="CY38" s="993">
        <v>151.41683999999998</v>
      </c>
      <c r="CZ38" s="990">
        <v>0.2</v>
      </c>
      <c r="DA38" s="988">
        <v>0.3</v>
      </c>
      <c r="DB38" s="988">
        <v>0.7</v>
      </c>
      <c r="DC38" s="988">
        <v>1.2</v>
      </c>
      <c r="DD38" s="988">
        <v>1.2</v>
      </c>
      <c r="DE38" s="1022">
        <v>3</v>
      </c>
      <c r="DF38" s="995">
        <v>0</v>
      </c>
      <c r="DG38" s="995">
        <v>10</v>
      </c>
      <c r="DH38" s="995">
        <v>20</v>
      </c>
      <c r="DI38" s="995">
        <v>70</v>
      </c>
      <c r="DJ38" s="995">
        <v>100</v>
      </c>
      <c r="DK38" s="1017">
        <v>131.8490321356123</v>
      </c>
      <c r="DL38" s="1022">
        <v>18</v>
      </c>
      <c r="DM38" s="989">
        <v>12</v>
      </c>
      <c r="DN38" s="1022">
        <v>1.5</v>
      </c>
      <c r="DO38" s="1022">
        <v>0.9</v>
      </c>
      <c r="DP38" s="1022">
        <v>0.9</v>
      </c>
      <c r="DQ38" s="988" t="s">
        <v>675</v>
      </c>
      <c r="DR38" s="988" t="s">
        <v>640</v>
      </c>
      <c r="DS38" s="988" t="s">
        <v>640</v>
      </c>
      <c r="DT38" s="988" t="s">
        <v>640</v>
      </c>
      <c r="DU38" s="988" t="s">
        <v>640</v>
      </c>
      <c r="DV38" s="988" t="s">
        <v>640</v>
      </c>
      <c r="DW38" s="988" t="s">
        <v>640</v>
      </c>
      <c r="DX38" s="997">
        <v>1368.5</v>
      </c>
      <c r="DY38" s="997">
        <v>0</v>
      </c>
      <c r="DZ38" s="997">
        <v>0</v>
      </c>
      <c r="EA38" s="997">
        <v>0</v>
      </c>
      <c r="EB38" s="997">
        <v>0</v>
      </c>
      <c r="EC38" s="997">
        <v>0</v>
      </c>
      <c r="ED38" s="997">
        <v>0</v>
      </c>
      <c r="EE38" s="1022">
        <v>1.3685</v>
      </c>
      <c r="EF38" s="1022">
        <v>18</v>
      </c>
      <c r="EG38" s="991">
        <v>5</v>
      </c>
      <c r="EH38" s="998">
        <v>1.5</v>
      </c>
      <c r="EI38" s="998">
        <v>0.9</v>
      </c>
      <c r="EJ38" s="998">
        <v>0.9</v>
      </c>
      <c r="EK38" s="988" t="s">
        <v>697</v>
      </c>
      <c r="EL38" s="988" t="s">
        <v>713</v>
      </c>
      <c r="EM38" s="988" t="s">
        <v>728</v>
      </c>
      <c r="EN38" s="988" t="s">
        <v>675</v>
      </c>
      <c r="EO38" s="988" t="s">
        <v>640</v>
      </c>
      <c r="EP38" s="988" t="s">
        <v>640</v>
      </c>
      <c r="EQ38" s="988" t="s">
        <v>640</v>
      </c>
      <c r="ER38" s="988" t="s">
        <v>640</v>
      </c>
      <c r="ES38" s="988" t="s">
        <v>640</v>
      </c>
      <c r="ET38" s="988" t="s">
        <v>640</v>
      </c>
      <c r="EU38" s="988" t="s">
        <v>640</v>
      </c>
      <c r="EV38" s="988" t="s">
        <v>640</v>
      </c>
      <c r="EW38" s="988" t="s">
        <v>640</v>
      </c>
      <c r="EX38" s="988" t="s">
        <v>640</v>
      </c>
      <c r="EY38" s="988" t="s">
        <v>640</v>
      </c>
      <c r="EZ38" s="988" t="s">
        <v>640</v>
      </c>
      <c r="FA38" s="988" t="s">
        <v>640</v>
      </c>
      <c r="FB38" s="988" t="s">
        <v>640</v>
      </c>
      <c r="FC38" s="988" t="s">
        <v>640</v>
      </c>
      <c r="FD38" s="988" t="s">
        <v>640</v>
      </c>
      <c r="FE38" s="988" t="s">
        <v>640</v>
      </c>
      <c r="FF38" s="988" t="s">
        <v>640</v>
      </c>
      <c r="FG38" s="988" t="s">
        <v>640</v>
      </c>
      <c r="FH38" s="988" t="s">
        <v>640</v>
      </c>
      <c r="FI38" s="988" t="s">
        <v>640</v>
      </c>
      <c r="FJ38" s="988" t="s">
        <v>640</v>
      </c>
      <c r="FK38" s="988" t="s">
        <v>640</v>
      </c>
      <c r="FL38" s="988" t="s">
        <v>640</v>
      </c>
      <c r="FM38" s="988" t="s">
        <v>640</v>
      </c>
      <c r="FN38" s="988" t="s">
        <v>640</v>
      </c>
      <c r="FO38" s="988" t="s">
        <v>640</v>
      </c>
      <c r="FP38" s="988" t="s">
        <v>640</v>
      </c>
      <c r="FQ38" s="988" t="s">
        <v>640</v>
      </c>
      <c r="FR38" s="988" t="s">
        <v>640</v>
      </c>
      <c r="FS38" s="988" t="s">
        <v>640</v>
      </c>
      <c r="FT38" s="988" t="s">
        <v>640</v>
      </c>
      <c r="FU38" s="988" t="s">
        <v>640</v>
      </c>
      <c r="FV38" s="988" t="s">
        <v>640</v>
      </c>
      <c r="FW38" s="988" t="s">
        <v>640</v>
      </c>
      <c r="FX38" s="988" t="s">
        <v>640</v>
      </c>
      <c r="FY38" s="988" t="s">
        <v>640</v>
      </c>
      <c r="FZ38" s="988" t="s">
        <v>640</v>
      </c>
      <c r="GA38" s="988" t="s">
        <v>640</v>
      </c>
      <c r="GB38" s="988" t="s">
        <v>640</v>
      </c>
      <c r="GC38" s="988" t="s">
        <v>640</v>
      </c>
      <c r="GD38" s="988" t="s">
        <v>640</v>
      </c>
      <c r="GE38" s="988" t="s">
        <v>640</v>
      </c>
      <c r="GF38" s="988" t="s">
        <v>640</v>
      </c>
      <c r="GG38" s="988" t="s">
        <v>640</v>
      </c>
      <c r="GH38" s="988" t="s">
        <v>640</v>
      </c>
      <c r="GI38" s="988" t="s">
        <v>640</v>
      </c>
      <c r="GJ38" s="988" t="s">
        <v>640</v>
      </c>
      <c r="GK38" s="988" t="s">
        <v>640</v>
      </c>
      <c r="GL38" s="988" t="s">
        <v>640</v>
      </c>
      <c r="GM38" s="988" t="s">
        <v>640</v>
      </c>
      <c r="GN38" s="988" t="s">
        <v>640</v>
      </c>
      <c r="GO38" s="988" t="s">
        <v>640</v>
      </c>
      <c r="GP38" s="988" t="s">
        <v>640</v>
      </c>
      <c r="GQ38" s="997">
        <v>970.6101321585902</v>
      </c>
      <c r="GR38" s="997">
        <v>33.157488986784145</v>
      </c>
      <c r="GS38" s="997">
        <v>126.60132158590309</v>
      </c>
      <c r="GT38" s="997">
        <v>238.13105726872246</v>
      </c>
      <c r="GU38" s="997">
        <v>0</v>
      </c>
      <c r="GV38" s="997">
        <v>0</v>
      </c>
      <c r="GW38" s="997">
        <v>0</v>
      </c>
      <c r="GX38" s="997">
        <v>0</v>
      </c>
      <c r="GY38" s="997">
        <v>0</v>
      </c>
      <c r="GZ38" s="997">
        <v>0</v>
      </c>
      <c r="HA38" s="997">
        <v>0</v>
      </c>
      <c r="HB38" s="997">
        <v>0</v>
      </c>
      <c r="HC38" s="997">
        <v>0</v>
      </c>
      <c r="HD38" s="997">
        <v>0</v>
      </c>
      <c r="HE38" s="997">
        <v>0</v>
      </c>
      <c r="HF38" s="997">
        <v>0</v>
      </c>
      <c r="HG38" s="997">
        <v>0</v>
      </c>
      <c r="HH38" s="997">
        <v>0</v>
      </c>
      <c r="HI38" s="997">
        <v>0</v>
      </c>
      <c r="HJ38" s="997">
        <v>0</v>
      </c>
      <c r="HK38" s="997">
        <v>0</v>
      </c>
      <c r="HL38" s="997">
        <v>0</v>
      </c>
      <c r="HM38" s="997">
        <v>0</v>
      </c>
      <c r="HN38" s="997">
        <v>0</v>
      </c>
      <c r="HO38" s="997">
        <v>0</v>
      </c>
      <c r="HP38" s="997">
        <v>0</v>
      </c>
      <c r="HQ38" s="997">
        <v>0</v>
      </c>
      <c r="HR38" s="997">
        <v>0</v>
      </c>
      <c r="HS38" s="997">
        <v>0</v>
      </c>
      <c r="HT38" s="997">
        <v>0</v>
      </c>
      <c r="HU38" s="997">
        <v>0</v>
      </c>
      <c r="HV38" s="997">
        <v>0</v>
      </c>
      <c r="HW38" s="997">
        <v>0</v>
      </c>
      <c r="HX38" s="997">
        <v>0</v>
      </c>
      <c r="HY38" s="997">
        <v>0</v>
      </c>
      <c r="HZ38" s="997">
        <v>0</v>
      </c>
      <c r="IA38" s="997">
        <v>0</v>
      </c>
      <c r="IB38" s="997">
        <v>0</v>
      </c>
      <c r="IC38" s="997">
        <v>0</v>
      </c>
      <c r="ID38" s="997">
        <v>0</v>
      </c>
      <c r="IE38" s="997">
        <v>0</v>
      </c>
      <c r="IF38" s="997">
        <v>0</v>
      </c>
      <c r="IG38" s="997">
        <v>0</v>
      </c>
      <c r="IH38" s="997">
        <v>0</v>
      </c>
      <c r="II38" s="997">
        <v>0</v>
      </c>
      <c r="IJ38" s="997">
        <v>0</v>
      </c>
      <c r="IK38" s="997">
        <v>0</v>
      </c>
      <c r="IL38" s="997">
        <v>0</v>
      </c>
      <c r="IM38" s="997">
        <v>0</v>
      </c>
      <c r="IN38" s="997">
        <v>0</v>
      </c>
      <c r="IO38" s="997">
        <v>0</v>
      </c>
      <c r="IP38" s="997">
        <v>0</v>
      </c>
      <c r="IQ38" s="997">
        <v>0</v>
      </c>
      <c r="IR38" s="997">
        <v>0</v>
      </c>
      <c r="IS38" s="997">
        <v>0</v>
      </c>
      <c r="IT38" s="997">
        <v>0</v>
      </c>
      <c r="IU38" s="997">
        <v>0</v>
      </c>
      <c r="IV38" s="997">
        <v>0</v>
      </c>
      <c r="IW38" s="1019">
        <v>1305.1946206365653</v>
      </c>
      <c r="IX38" s="1022">
        <v>179.9</v>
      </c>
      <c r="IY38" s="998">
        <v>2647.0800000000199</v>
      </c>
      <c r="IZ38" s="429">
        <v>12.64</v>
      </c>
      <c r="JA38" s="1022">
        <v>50</v>
      </c>
      <c r="JB38" s="1022">
        <v>1.5</v>
      </c>
      <c r="JC38" s="1022">
        <v>0.9</v>
      </c>
      <c r="JD38" s="1022">
        <v>0.9</v>
      </c>
      <c r="JE38" s="998">
        <v>2</v>
      </c>
      <c r="JF38" s="1023">
        <v>1.5</v>
      </c>
      <c r="JG38" s="1023">
        <v>0.7</v>
      </c>
      <c r="JH38" s="1023">
        <v>0.7</v>
      </c>
      <c r="JI38" s="1023">
        <v>0.5</v>
      </c>
      <c r="JJ38" s="1019">
        <v>95.354781745581008</v>
      </c>
      <c r="JK38" s="998">
        <v>2647.0800000000199</v>
      </c>
      <c r="JL38" s="429">
        <v>12.64</v>
      </c>
      <c r="JM38" s="1022">
        <v>50</v>
      </c>
      <c r="JN38" s="1022">
        <v>1.9</v>
      </c>
      <c r="JO38" s="1022">
        <v>1.3</v>
      </c>
      <c r="JP38" s="1022">
        <v>1.3</v>
      </c>
      <c r="JQ38" s="998">
        <v>2</v>
      </c>
      <c r="JR38" s="998">
        <v>2</v>
      </c>
      <c r="JS38" s="998">
        <v>1</v>
      </c>
      <c r="JT38" s="998">
        <v>1</v>
      </c>
      <c r="JU38" s="1023">
        <v>0.5</v>
      </c>
      <c r="JV38" s="1004">
        <v>2000</v>
      </c>
      <c r="JW38" s="1019">
        <v>213.20177484077675</v>
      </c>
      <c r="JX38" s="1019">
        <v>500</v>
      </c>
      <c r="JY38" s="1022">
        <v>1.2</v>
      </c>
      <c r="JZ38" s="1022">
        <v>0.7</v>
      </c>
      <c r="KA38" s="1022">
        <v>0.7</v>
      </c>
      <c r="KB38" s="1023">
        <v>2</v>
      </c>
      <c r="KC38" s="1023">
        <v>1.5</v>
      </c>
      <c r="KD38" s="1023">
        <v>0.5</v>
      </c>
      <c r="KE38" s="1023">
        <v>1</v>
      </c>
      <c r="KF38" s="1023">
        <v>0.5</v>
      </c>
      <c r="KG38" s="997">
        <v>7.8829369640926084</v>
      </c>
      <c r="KH38" s="997">
        <v>1.1920879420304663E-3</v>
      </c>
      <c r="KI38" s="997">
        <v>88.981531151812405</v>
      </c>
      <c r="KJ38" s="997"/>
      <c r="KK38" s="997">
        <v>0.67199700275031726</v>
      </c>
      <c r="KL38" s="997">
        <v>2.4611507054606143</v>
      </c>
      <c r="KM38" s="997">
        <v>1.0217896645975427E-3</v>
      </c>
      <c r="KN38" s="997">
        <v>1.7029827743292376E-4</v>
      </c>
      <c r="KO38" s="997"/>
      <c r="KP38" s="1006">
        <v>580</v>
      </c>
      <c r="KQ38" s="1006">
        <v>580</v>
      </c>
      <c r="KR38" s="1006">
        <v>580</v>
      </c>
      <c r="KS38" s="1006">
        <v>580</v>
      </c>
      <c r="KT38" s="1006"/>
      <c r="KU38" s="1006">
        <v>580</v>
      </c>
      <c r="KV38" s="1006">
        <v>580</v>
      </c>
      <c r="KW38" s="1006">
        <v>580</v>
      </c>
      <c r="KX38" s="1006">
        <v>580</v>
      </c>
      <c r="KY38" s="993">
        <v>370</v>
      </c>
      <c r="KZ38" s="993">
        <v>370</v>
      </c>
      <c r="LA38" s="993">
        <v>370</v>
      </c>
      <c r="LB38" s="993">
        <v>370</v>
      </c>
      <c r="LC38" s="993"/>
      <c r="LD38" s="993">
        <v>370</v>
      </c>
      <c r="LE38" s="993">
        <v>370</v>
      </c>
      <c r="LF38" s="993">
        <v>370</v>
      </c>
      <c r="LG38" s="993">
        <v>370</v>
      </c>
      <c r="LH38" s="995">
        <v>0</v>
      </c>
      <c r="LI38" s="995">
        <v>10</v>
      </c>
      <c r="LJ38" s="995">
        <v>20</v>
      </c>
      <c r="LK38" s="995">
        <v>70</v>
      </c>
      <c r="LL38" s="995">
        <v>100</v>
      </c>
      <c r="LM38" s="1004">
        <v>1000</v>
      </c>
      <c r="LN38" s="1019"/>
      <c r="LO38" s="988">
        <v>29</v>
      </c>
      <c r="LP38" s="1022">
        <v>1.7</v>
      </c>
      <c r="LQ38" s="1022">
        <v>1.4</v>
      </c>
      <c r="LR38" s="1022">
        <v>1.4</v>
      </c>
      <c r="LS38" s="1023">
        <v>2</v>
      </c>
      <c r="LT38" s="1023">
        <v>1</v>
      </c>
      <c r="LU38" s="1023">
        <v>0.5</v>
      </c>
      <c r="LV38" s="1023">
        <v>0.7</v>
      </c>
      <c r="LW38" s="1023">
        <v>0.2</v>
      </c>
      <c r="LX38" s="1004">
        <v>1500</v>
      </c>
      <c r="LY38" s="1008">
        <v>500</v>
      </c>
      <c r="LZ38" s="1008">
        <v>1</v>
      </c>
      <c r="MA38" s="997" t="s">
        <v>2914</v>
      </c>
      <c r="MB38" s="1023" t="s">
        <v>905</v>
      </c>
      <c r="MC38" s="1023" t="s">
        <v>2932</v>
      </c>
      <c r="MD38" s="1024" t="s">
        <v>906</v>
      </c>
      <c r="ME38" s="1009">
        <v>0.5</v>
      </c>
      <c r="MF38" s="1010">
        <v>0.75</v>
      </c>
      <c r="MG38" s="1010">
        <v>1</v>
      </c>
      <c r="MH38" s="1010">
        <v>2</v>
      </c>
      <c r="MI38" s="1010">
        <v>0.5</v>
      </c>
      <c r="MJ38" s="1010">
        <v>0.75</v>
      </c>
      <c r="MK38" s="1010">
        <v>1</v>
      </c>
      <c r="ML38" s="1010">
        <v>2</v>
      </c>
      <c r="MM38" s="1010">
        <v>0</v>
      </c>
      <c r="MN38" s="1010">
        <v>0.5</v>
      </c>
      <c r="MO38" s="1010">
        <v>1</v>
      </c>
      <c r="MP38" s="1010">
        <v>2</v>
      </c>
      <c r="MQ38" s="1010">
        <v>0</v>
      </c>
      <c r="MR38" s="1010">
        <v>0.5</v>
      </c>
      <c r="MS38" s="1010">
        <v>1</v>
      </c>
      <c r="MT38" s="1010">
        <v>2</v>
      </c>
      <c r="MU38" s="1001">
        <v>0</v>
      </c>
      <c r="MV38" s="1001">
        <v>0</v>
      </c>
      <c r="MW38" s="1001">
        <v>0</v>
      </c>
      <c r="MX38" s="1025">
        <v>0</v>
      </c>
      <c r="MY38" s="1025">
        <v>0</v>
      </c>
      <c r="MZ38" s="1025">
        <v>0</v>
      </c>
      <c r="NA38" s="1025">
        <v>0</v>
      </c>
      <c r="NB38" s="1025">
        <v>0</v>
      </c>
      <c r="NC38" s="1025">
        <v>0</v>
      </c>
      <c r="ND38" s="1025">
        <v>0</v>
      </c>
      <c r="NE38" s="1025">
        <v>0</v>
      </c>
      <c r="NF38" s="1025">
        <v>0</v>
      </c>
      <c r="NG38" s="1025">
        <v>0</v>
      </c>
      <c r="NH38" s="1025">
        <v>0</v>
      </c>
      <c r="NI38" s="1025">
        <v>0</v>
      </c>
      <c r="NJ38" s="1025">
        <v>0</v>
      </c>
      <c r="NK38" s="1025">
        <v>0</v>
      </c>
      <c r="NL38" s="1025">
        <v>0</v>
      </c>
      <c r="NM38" s="1025">
        <v>0</v>
      </c>
      <c r="NN38" s="1025">
        <v>0</v>
      </c>
      <c r="NO38" s="1025">
        <v>0</v>
      </c>
      <c r="NP38" s="1025">
        <v>0</v>
      </c>
      <c r="NQ38" s="1025">
        <v>0</v>
      </c>
      <c r="NR38" s="1025">
        <v>0</v>
      </c>
      <c r="NS38" s="1025">
        <v>0</v>
      </c>
      <c r="NT38" s="1025">
        <v>0</v>
      </c>
      <c r="NU38" s="1025">
        <v>0</v>
      </c>
      <c r="NV38" s="1025">
        <v>0.91812427671605001</v>
      </c>
      <c r="NW38" s="1025">
        <v>0</v>
      </c>
      <c r="NX38" s="1025">
        <v>2.7886544583860001E-2</v>
      </c>
      <c r="NY38" s="1025">
        <v>0.33206952432339998</v>
      </c>
      <c r="NZ38" s="1025">
        <v>-0.25999999839783</v>
      </c>
      <c r="OA38" s="1025">
        <v>-6.2200001321521698</v>
      </c>
      <c r="OB38" s="1025">
        <v>0.55913728964623</v>
      </c>
      <c r="OC38" s="1025">
        <v>0</v>
      </c>
      <c r="OD38" s="1025">
        <v>2.788654638532E-2</v>
      </c>
      <c r="OE38" s="1025">
        <v>0.33206952775206</v>
      </c>
      <c r="OF38" s="1025">
        <v>-0.22499999859598999</v>
      </c>
      <c r="OG38" s="1025">
        <v>-0.45000002992030003</v>
      </c>
      <c r="OH38" s="1025">
        <v>9.3760486758340006E-2</v>
      </c>
      <c r="OI38" s="1025">
        <v>0</v>
      </c>
      <c r="OJ38" s="1025">
        <v>2.7886538296119999E-2</v>
      </c>
      <c r="OK38" s="1025">
        <v>0.33206952870695</v>
      </c>
      <c r="OL38" s="1025">
        <v>0</v>
      </c>
      <c r="OM38" s="1025">
        <v>-0.45</v>
      </c>
      <c r="ON38" s="1025">
        <v>1.1335736355415</v>
      </c>
      <c r="OO38" s="1025">
        <v>0</v>
      </c>
      <c r="OP38" s="1025">
        <v>2.788654732444E-2</v>
      </c>
      <c r="OQ38" s="1025">
        <v>0.33206952774430998</v>
      </c>
      <c r="OR38" s="1025">
        <v>0.15999999910463999</v>
      </c>
      <c r="OS38" s="1025">
        <v>0</v>
      </c>
      <c r="OT38" s="1025">
        <v>0.20936496929216</v>
      </c>
      <c r="OU38" s="1025">
        <v>0</v>
      </c>
      <c r="OV38" s="1025">
        <v>2.7886555719010001E-2</v>
      </c>
      <c r="OW38" s="1025">
        <v>0.332069520801</v>
      </c>
      <c r="OX38" s="1025">
        <v>0.16000000492954</v>
      </c>
      <c r="OY38" s="1025">
        <v>-0.44999995956800998</v>
      </c>
      <c r="OZ38" s="1025">
        <v>-36.24</v>
      </c>
      <c r="PA38" s="1025">
        <v>-12.19</v>
      </c>
      <c r="PB38" s="1025">
        <v>-1.4991367149136601</v>
      </c>
      <c r="PC38" s="1025">
        <v>0</v>
      </c>
      <c r="PD38" s="1025">
        <v>0.44999991432825998</v>
      </c>
      <c r="PE38" s="1025">
        <v>-0.45999944711728002</v>
      </c>
      <c r="PF38" s="1025">
        <v>-0.12747539435718</v>
      </c>
      <c r="PG38" s="1025">
        <v>0</v>
      </c>
      <c r="PH38" s="1025">
        <v>8.6322457945000003E-4</v>
      </c>
      <c r="PI38" s="1025">
        <v>0</v>
      </c>
      <c r="PJ38" s="1025">
        <v>-0.5</v>
      </c>
      <c r="PK38" s="1025">
        <v>-0.46000003406403001</v>
      </c>
      <c r="PL38" s="1025">
        <v>0</v>
      </c>
      <c r="PM38" s="1025">
        <v>0</v>
      </c>
      <c r="PN38" s="1025">
        <v>0</v>
      </c>
      <c r="PO38" s="1025">
        <v>0</v>
      </c>
      <c r="PP38" s="1025">
        <v>0</v>
      </c>
      <c r="PQ38" s="1025">
        <v>0</v>
      </c>
      <c r="PR38" s="1025">
        <v>0.28590486120371</v>
      </c>
      <c r="PS38" s="1025">
        <v>0</v>
      </c>
      <c r="PT38" s="1025">
        <v>8.6325554406000002E-4</v>
      </c>
      <c r="PU38" s="1025">
        <v>0</v>
      </c>
      <c r="PV38" s="1025">
        <v>-7.9999995435650006E-2</v>
      </c>
      <c r="PW38" s="1025">
        <v>-6.2200007403277899</v>
      </c>
      <c r="PX38" s="1025">
        <v>0</v>
      </c>
      <c r="PY38" s="1025">
        <v>0</v>
      </c>
      <c r="PZ38" s="1025">
        <v>0</v>
      </c>
      <c r="QA38" s="1025">
        <v>0</v>
      </c>
      <c r="QB38" s="1025">
        <v>0</v>
      </c>
      <c r="QC38" s="1025">
        <v>0</v>
      </c>
      <c r="QD38" s="1025">
        <v>-36.24</v>
      </c>
      <c r="QE38" s="1025">
        <v>-12.19</v>
      </c>
      <c r="QF38" s="1025">
        <v>-0.74052337142767999</v>
      </c>
      <c r="QG38" s="1025">
        <v>0</v>
      </c>
      <c r="QH38" s="1025">
        <v>0.15999999148387001</v>
      </c>
      <c r="QI38" s="1025">
        <v>0</v>
      </c>
      <c r="QJ38" s="1025">
        <v>0.13937811380623999</v>
      </c>
      <c r="QK38" s="1025">
        <v>0</v>
      </c>
      <c r="QL38" s="1025">
        <v>9.4766343714099994E-3</v>
      </c>
      <c r="QM38" s="1025">
        <v>0</v>
      </c>
      <c r="QN38" s="1025">
        <v>-8.0000005313699996E-2</v>
      </c>
      <c r="QO38" s="1025">
        <v>-6.2199997458951497</v>
      </c>
      <c r="QP38" s="1025">
        <v>2.1528316390299999E-2</v>
      </c>
      <c r="QQ38" s="1025">
        <v>0</v>
      </c>
      <c r="QR38" s="1025">
        <v>9.4766754324800001E-3</v>
      </c>
      <c r="QS38" s="1025">
        <v>0</v>
      </c>
      <c r="QT38" s="1025">
        <v>-0.17000001244946999</v>
      </c>
      <c r="QU38" s="1025">
        <v>0</v>
      </c>
      <c r="QV38" s="1025">
        <v>6.743246363225E-2</v>
      </c>
      <c r="QW38" s="1025">
        <v>0</v>
      </c>
      <c r="QX38" s="1025">
        <v>9.4766850163600005E-3</v>
      </c>
      <c r="QY38" s="1025">
        <v>0</v>
      </c>
      <c r="QZ38" s="1025">
        <v>-0.17000007515352999</v>
      </c>
      <c r="RA38" s="1025">
        <v>0</v>
      </c>
      <c r="RB38" s="1025">
        <v>1.2219264490769499</v>
      </c>
      <c r="RC38" s="1025">
        <v>0</v>
      </c>
      <c r="RD38" s="1025">
        <v>9.4764733472700001E-3</v>
      </c>
      <c r="RE38" s="1025">
        <v>0</v>
      </c>
      <c r="RF38" s="1025">
        <v>0</v>
      </c>
      <c r="RG38" s="1025">
        <v>0</v>
      </c>
      <c r="RH38" s="1011">
        <v>0</v>
      </c>
      <c r="RI38" s="1026">
        <v>0</v>
      </c>
      <c r="RJ38" s="1026">
        <v>0</v>
      </c>
      <c r="RK38" s="1026">
        <v>0</v>
      </c>
      <c r="RL38" s="1026">
        <v>0</v>
      </c>
      <c r="RM38" s="1011">
        <v>0</v>
      </c>
      <c r="RN38" s="1011">
        <v>0</v>
      </c>
      <c r="RO38" s="1011">
        <v>0</v>
      </c>
      <c r="RP38" s="1011">
        <v>0</v>
      </c>
      <c r="RQ38" s="1011">
        <v>0</v>
      </c>
      <c r="RR38" s="1011">
        <v>0</v>
      </c>
      <c r="RS38" s="1011">
        <v>0</v>
      </c>
      <c r="RT38" s="1011">
        <v>0</v>
      </c>
      <c r="RU38" s="1011">
        <v>0</v>
      </c>
      <c r="RV38" s="1011">
        <v>0</v>
      </c>
      <c r="RW38" s="1011">
        <v>0</v>
      </c>
      <c r="RX38" s="1011">
        <v>0</v>
      </c>
      <c r="RY38" s="1011">
        <v>0</v>
      </c>
      <c r="RZ38" s="1026">
        <v>0</v>
      </c>
      <c r="SA38" s="1026">
        <v>0</v>
      </c>
      <c r="SB38" s="1026">
        <v>0</v>
      </c>
      <c r="SC38" s="1026">
        <v>0</v>
      </c>
      <c r="SD38" s="1026">
        <v>0</v>
      </c>
      <c r="SE38" s="1026">
        <v>0</v>
      </c>
      <c r="SF38" s="1026">
        <v>0</v>
      </c>
      <c r="SG38" s="1026">
        <v>0</v>
      </c>
      <c r="SH38" s="1026">
        <v>0</v>
      </c>
      <c r="SI38" s="1026">
        <v>0</v>
      </c>
      <c r="SJ38" s="1026">
        <v>0</v>
      </c>
      <c r="SK38" s="1026">
        <v>0</v>
      </c>
      <c r="SL38" s="1025">
        <v>-36.24</v>
      </c>
      <c r="SM38" s="1025">
        <v>-12.19</v>
      </c>
      <c r="SN38" s="1025">
        <v>-0.49499999985304</v>
      </c>
      <c r="SO38" s="1025">
        <v>0</v>
      </c>
      <c r="SP38" s="1025">
        <v>-0.6749999978508</v>
      </c>
      <c r="SQ38" s="1025">
        <v>-2.2500001032418901</v>
      </c>
      <c r="SR38" s="1025">
        <v>3.8091447641100001E-3</v>
      </c>
      <c r="SS38" s="1025">
        <v>0</v>
      </c>
      <c r="ST38" s="1025">
        <v>0</v>
      </c>
      <c r="SU38" s="1025">
        <v>0</v>
      </c>
      <c r="SV38" s="1025">
        <v>-2.6730000055193202</v>
      </c>
      <c r="SW38" s="1025">
        <v>0</v>
      </c>
      <c r="SX38" s="1025">
        <v>0.24193933629212999</v>
      </c>
      <c r="SY38" s="1025">
        <v>0</v>
      </c>
      <c r="SZ38" s="1025">
        <v>0</v>
      </c>
      <c r="TA38" s="1025">
        <v>0</v>
      </c>
      <c r="TB38" s="1025">
        <v>-0.55250002206245996</v>
      </c>
      <c r="TC38" s="1025">
        <v>0</v>
      </c>
      <c r="TD38" s="1025">
        <v>0</v>
      </c>
      <c r="TE38" s="1025">
        <v>0</v>
      </c>
      <c r="TF38" s="1025">
        <v>0</v>
      </c>
      <c r="TG38" s="1025">
        <v>0</v>
      </c>
      <c r="TH38" s="1025">
        <v>0</v>
      </c>
      <c r="TI38" s="1025">
        <v>0</v>
      </c>
      <c r="TJ38" s="1025">
        <v>0</v>
      </c>
      <c r="TK38" s="1025">
        <v>0</v>
      </c>
      <c r="TL38" s="1025">
        <v>0</v>
      </c>
      <c r="TM38" s="1025">
        <v>0</v>
      </c>
      <c r="TN38" s="1025">
        <v>-1.1249997913251899</v>
      </c>
      <c r="TO38" s="1025">
        <v>0</v>
      </c>
      <c r="TP38" s="1025">
        <v>-36.24</v>
      </c>
      <c r="TQ38" s="1025">
        <v>-12.19</v>
      </c>
      <c r="TR38" s="1025">
        <v>0</v>
      </c>
      <c r="TS38" s="1025">
        <v>0</v>
      </c>
      <c r="TT38" s="1025">
        <v>0.16999999245874001</v>
      </c>
      <c r="TU38" s="1025">
        <v>-0.34000001287501003</v>
      </c>
      <c r="TV38" s="1025">
        <v>0</v>
      </c>
      <c r="TW38" s="1025">
        <v>0</v>
      </c>
      <c r="TX38" s="1025">
        <v>0</v>
      </c>
      <c r="TY38" s="1025">
        <v>0</v>
      </c>
      <c r="TZ38" s="1025">
        <v>0</v>
      </c>
      <c r="UA38" s="1025">
        <v>0</v>
      </c>
      <c r="UB38" s="1025">
        <v>0</v>
      </c>
      <c r="UC38" s="1025">
        <v>0</v>
      </c>
      <c r="UD38" s="1025">
        <v>0</v>
      </c>
      <c r="UE38" s="1025">
        <v>0</v>
      </c>
      <c r="UF38" s="1025">
        <v>0</v>
      </c>
      <c r="UG38" s="1025">
        <v>0</v>
      </c>
      <c r="UH38" s="1025">
        <v>0</v>
      </c>
      <c r="UI38" s="1025">
        <v>0</v>
      </c>
      <c r="UJ38" s="1025">
        <v>0</v>
      </c>
      <c r="UK38" s="1025">
        <v>0</v>
      </c>
      <c r="UL38" s="1025">
        <v>0</v>
      </c>
      <c r="UM38" s="1025">
        <v>0</v>
      </c>
      <c r="UN38" s="1025">
        <v>0</v>
      </c>
      <c r="UO38" s="1025">
        <v>0</v>
      </c>
      <c r="UP38" s="1025">
        <v>0</v>
      </c>
      <c r="UQ38" s="1025">
        <v>0</v>
      </c>
      <c r="UR38" s="1025">
        <v>0</v>
      </c>
      <c r="US38" s="1025">
        <v>0</v>
      </c>
      <c r="UT38" s="1025">
        <v>0.32427054210787998</v>
      </c>
      <c r="UU38" s="1025">
        <v>0</v>
      </c>
      <c r="UV38" s="1025">
        <v>7.1761123343059993E-2</v>
      </c>
      <c r="UW38" s="1025">
        <v>-0.10763674585152</v>
      </c>
      <c r="UX38" s="1025">
        <v>0.15498719241010001</v>
      </c>
      <c r="UY38" s="1025">
        <v>-0.31459523459174998</v>
      </c>
      <c r="UZ38" s="1025">
        <v>2.6427586937070001E-2</v>
      </c>
      <c r="VA38" s="1025">
        <v>0</v>
      </c>
      <c r="VB38" s="1025">
        <v>8.6323241554E-4</v>
      </c>
      <c r="VC38" s="1025">
        <v>0</v>
      </c>
      <c r="VD38" s="1025">
        <v>-0.12051623005662</v>
      </c>
      <c r="VE38" s="1025">
        <v>-6.2200000165595002</v>
      </c>
      <c r="VF38" s="1025">
        <v>0.1863435666447</v>
      </c>
      <c r="VG38" s="1025">
        <v>0</v>
      </c>
      <c r="VH38" s="1025">
        <v>0.18488462604497</v>
      </c>
      <c r="VI38" s="1025">
        <v>0</v>
      </c>
      <c r="VJ38" s="1025">
        <v>-0.33340576039571002</v>
      </c>
      <c r="VK38" s="1025">
        <v>-1.64804415386377</v>
      </c>
      <c r="VL38" s="1025">
        <v>0</v>
      </c>
      <c r="VM38" s="1025">
        <v>0</v>
      </c>
      <c r="VN38" s="1025">
        <v>0</v>
      </c>
      <c r="VO38" s="1025">
        <v>0</v>
      </c>
      <c r="VP38" s="1025">
        <v>0</v>
      </c>
      <c r="VQ38" s="1025">
        <v>-6.5876852553219303</v>
      </c>
      <c r="VR38" s="1010">
        <v>0</v>
      </c>
      <c r="VS38" s="1010">
        <v>0</v>
      </c>
      <c r="VT38" s="1010">
        <v>0</v>
      </c>
      <c r="VU38" s="1010">
        <v>0</v>
      </c>
      <c r="VV38" s="1010">
        <v>0</v>
      </c>
      <c r="VW38" s="1010">
        <v>-6.8764483252300003E-3</v>
      </c>
      <c r="VX38" s="1025">
        <v>-1.165054313982E-2</v>
      </c>
      <c r="VY38" s="1025">
        <v>0</v>
      </c>
      <c r="VZ38" s="1025">
        <v>0</v>
      </c>
      <c r="WA38" s="1025">
        <v>0</v>
      </c>
      <c r="WB38" s="1025">
        <v>0</v>
      </c>
      <c r="WC38" s="1025">
        <v>0</v>
      </c>
      <c r="WD38" s="995">
        <v>202</v>
      </c>
      <c r="WE38" s="995">
        <v>267</v>
      </c>
      <c r="WF38" s="995">
        <v>354</v>
      </c>
      <c r="WG38" s="995">
        <v>382</v>
      </c>
      <c r="WH38" s="995">
        <v>403</v>
      </c>
      <c r="WI38" s="995">
        <v>0</v>
      </c>
      <c r="WJ38" s="995">
        <v>1300</v>
      </c>
      <c r="WK38" s="1001">
        <v>0</v>
      </c>
      <c r="WL38" s="1001">
        <v>0</v>
      </c>
      <c r="WM38" s="1001">
        <v>0</v>
      </c>
      <c r="WN38" s="1001">
        <v>0</v>
      </c>
      <c r="WO38" s="1001">
        <v>0</v>
      </c>
      <c r="WP38" s="1001">
        <v>0</v>
      </c>
      <c r="WQ38" s="1001">
        <v>0</v>
      </c>
      <c r="WR38" s="1001">
        <v>0</v>
      </c>
      <c r="WS38" s="1001">
        <v>0</v>
      </c>
      <c r="WT38" s="1001">
        <v>0</v>
      </c>
      <c r="WU38" s="1001">
        <v>0</v>
      </c>
      <c r="WV38" s="1001">
        <v>0</v>
      </c>
      <c r="WW38" s="1001">
        <v>0</v>
      </c>
      <c r="WX38" s="1001">
        <v>0</v>
      </c>
      <c r="WY38" s="1001">
        <v>0</v>
      </c>
      <c r="WZ38" s="1001">
        <v>0</v>
      </c>
      <c r="XA38" s="1001">
        <v>0</v>
      </c>
      <c r="XB38" s="1001">
        <v>0</v>
      </c>
      <c r="XC38" s="1001">
        <v>0</v>
      </c>
      <c r="XD38" s="1001">
        <v>0</v>
      </c>
      <c r="XE38" s="1001">
        <v>0</v>
      </c>
      <c r="XF38" s="1001">
        <v>0</v>
      </c>
      <c r="XG38" s="1001">
        <v>0</v>
      </c>
      <c r="XH38" s="1001">
        <v>0</v>
      </c>
      <c r="XI38" s="1001">
        <v>0</v>
      </c>
      <c r="XJ38" s="1001">
        <v>0</v>
      </c>
      <c r="XK38" s="1001">
        <v>0</v>
      </c>
      <c r="XL38" s="1001">
        <v>0</v>
      </c>
      <c r="XM38" s="1001">
        <v>0</v>
      </c>
      <c r="XN38" s="1001">
        <v>0</v>
      </c>
      <c r="XO38" s="1001">
        <v>0</v>
      </c>
      <c r="XP38" s="1001">
        <v>0</v>
      </c>
      <c r="XQ38" s="1001">
        <v>0</v>
      </c>
      <c r="XR38" s="1027">
        <v>93.132199999999997</v>
      </c>
      <c r="XS38" s="1013">
        <v>73.883582463465544</v>
      </c>
      <c r="XT38" s="1013">
        <v>81.660801670146128</v>
      </c>
      <c r="XU38" s="1013">
        <v>85.549411273486427</v>
      </c>
      <c r="XV38" s="1013">
        <v>131.43500459290189</v>
      </c>
      <c r="XW38" s="1028">
        <v>17528.33368</v>
      </c>
      <c r="XX38" s="1013">
        <v>78</v>
      </c>
      <c r="XY38" s="1013">
        <v>15</v>
      </c>
      <c r="XZ38" s="1013">
        <v>7.0000000000000009</v>
      </c>
      <c r="YA38" s="1029">
        <v>0</v>
      </c>
      <c r="YB38" s="1013">
        <v>1972.0622899039665</v>
      </c>
      <c r="YC38" s="1013">
        <v>0</v>
      </c>
      <c r="YD38" s="1013">
        <v>0</v>
      </c>
      <c r="YE38" s="1013">
        <v>0</v>
      </c>
      <c r="YF38" s="1013">
        <v>0</v>
      </c>
      <c r="YG38" s="1013">
        <v>0</v>
      </c>
      <c r="YH38" s="1013">
        <v>493.01557247599163</v>
      </c>
      <c r="YI38" s="1013">
        <v>1327.3496182045926</v>
      </c>
      <c r="YJ38" s="1013">
        <v>2115.5405060424905</v>
      </c>
      <c r="YK38" s="1013">
        <v>0</v>
      </c>
      <c r="YL38" s="1013">
        <v>0</v>
      </c>
      <c r="YM38" s="1013">
        <v>0</v>
      </c>
      <c r="YN38" s="1013">
        <v>0</v>
      </c>
      <c r="YO38" s="1013">
        <v>0</v>
      </c>
      <c r="YP38" s="1013">
        <v>528.88512651062263</v>
      </c>
      <c r="YQ38" s="1013">
        <v>1423.9214944516762</v>
      </c>
      <c r="YR38" s="1013">
        <v>2216.280530139752</v>
      </c>
      <c r="YS38" s="1013">
        <v>0</v>
      </c>
      <c r="YT38" s="1013">
        <v>0</v>
      </c>
      <c r="YU38" s="1013">
        <v>0</v>
      </c>
      <c r="YV38" s="1013">
        <v>0</v>
      </c>
      <c r="YW38" s="1013">
        <v>0</v>
      </c>
      <c r="YX38" s="1013">
        <v>554.07013253493801</v>
      </c>
      <c r="YY38" s="1013">
        <v>1491.727279901756</v>
      </c>
      <c r="YZ38" s="1013">
        <v>3405.012814487437</v>
      </c>
      <c r="ZA38" s="1013">
        <v>0</v>
      </c>
      <c r="ZB38" s="1013">
        <v>0</v>
      </c>
      <c r="ZC38" s="1013">
        <v>0</v>
      </c>
      <c r="ZD38" s="1013">
        <v>0</v>
      </c>
      <c r="ZE38" s="1013">
        <v>0</v>
      </c>
      <c r="ZF38" s="1013">
        <v>851.25320362185926</v>
      </c>
      <c r="ZG38" s="1013">
        <v>2291.8355482126976</v>
      </c>
      <c r="ZH38" s="1013">
        <v>2717.063599423243</v>
      </c>
      <c r="ZI38" s="1013">
        <v>0</v>
      </c>
      <c r="ZJ38" s="1013">
        <v>0</v>
      </c>
      <c r="ZK38" s="1013">
        <v>0</v>
      </c>
      <c r="ZL38" s="1013">
        <v>0</v>
      </c>
      <c r="ZM38" s="1013">
        <v>0</v>
      </c>
      <c r="ZN38" s="1013">
        <v>679.26589985581074</v>
      </c>
      <c r="ZO38" s="1013">
        <v>1828.7928073041055</v>
      </c>
      <c r="ZP38" s="1013">
        <v>2914.7446972140979</v>
      </c>
      <c r="ZQ38" s="1013">
        <v>0</v>
      </c>
      <c r="ZR38" s="1013">
        <v>0</v>
      </c>
      <c r="ZS38" s="1013">
        <v>0</v>
      </c>
      <c r="ZT38" s="1013">
        <v>0</v>
      </c>
      <c r="ZU38" s="1013">
        <v>0</v>
      </c>
      <c r="ZV38" s="1013">
        <v>728.68617430352447</v>
      </c>
      <c r="ZW38" s="1013">
        <v>1961.8473923556426</v>
      </c>
      <c r="ZX38" s="1013">
        <v>3053.5420637481029</v>
      </c>
      <c r="ZY38" s="1013">
        <v>0</v>
      </c>
      <c r="ZZ38" s="1013">
        <v>0</v>
      </c>
      <c r="AAA38" s="1013">
        <v>0</v>
      </c>
      <c r="AAB38" s="1013">
        <v>0</v>
      </c>
      <c r="AAC38" s="1013">
        <v>0</v>
      </c>
      <c r="AAD38" s="1013">
        <v>763.38551593702573</v>
      </c>
      <c r="AAE38" s="1013">
        <v>2055.2686967535305</v>
      </c>
      <c r="AAF38" s="1013">
        <v>4691.3509888493572</v>
      </c>
      <c r="AAG38" s="1013">
        <v>0</v>
      </c>
      <c r="AAH38" s="1013">
        <v>0</v>
      </c>
      <c r="AAI38" s="1013">
        <v>0</v>
      </c>
      <c r="AAJ38" s="1013">
        <v>0</v>
      </c>
      <c r="AAK38" s="1013">
        <v>0</v>
      </c>
      <c r="AAL38" s="1013">
        <v>1172.8377472123393</v>
      </c>
      <c r="AAM38" s="1013">
        <v>3157.6400886486058</v>
      </c>
      <c r="AAN38" s="1013">
        <v>7230.8950629812107</v>
      </c>
      <c r="AAO38" s="1013">
        <v>0</v>
      </c>
      <c r="AAP38" s="1013">
        <v>0</v>
      </c>
      <c r="AAQ38" s="1013">
        <v>0</v>
      </c>
      <c r="AAR38" s="1013">
        <v>0</v>
      </c>
      <c r="AAS38" s="1013">
        <v>0</v>
      </c>
      <c r="AAT38" s="1013">
        <v>1807.7237657453027</v>
      </c>
      <c r="AAU38" s="1013">
        <v>4866.9486000835068</v>
      </c>
      <c r="AAV38" s="1013">
        <v>7992.0419117160754</v>
      </c>
      <c r="AAW38" s="1013">
        <v>0</v>
      </c>
      <c r="AAX38" s="1013">
        <v>0</v>
      </c>
      <c r="AAY38" s="1013">
        <v>0</v>
      </c>
      <c r="AAZ38" s="1013">
        <v>0</v>
      </c>
      <c r="ABA38" s="1013">
        <v>0</v>
      </c>
      <c r="ABB38" s="1013">
        <v>1998.0104779290189</v>
      </c>
      <c r="ABC38" s="1013">
        <v>5379.2589790396651</v>
      </c>
      <c r="ABD38" s="1013">
        <v>8372.6153360835069</v>
      </c>
      <c r="ABE38" s="1013">
        <v>0</v>
      </c>
      <c r="ABF38" s="1013">
        <v>0</v>
      </c>
      <c r="ABG38" s="1013">
        <v>0</v>
      </c>
      <c r="ABH38" s="1013">
        <v>0</v>
      </c>
      <c r="ABI38" s="1013">
        <v>0</v>
      </c>
      <c r="ABJ38" s="1013">
        <v>2093.1538340208767</v>
      </c>
      <c r="ABK38" s="1013">
        <v>5635.4141685177447</v>
      </c>
      <c r="ABL38" s="1013">
        <v>12863.381743619206</v>
      </c>
      <c r="ABM38" s="1013">
        <v>0</v>
      </c>
      <c r="ABN38" s="1013">
        <v>0</v>
      </c>
      <c r="ABO38" s="1013">
        <v>0</v>
      </c>
      <c r="ABP38" s="1013">
        <v>0</v>
      </c>
      <c r="ABQ38" s="1013">
        <v>0</v>
      </c>
      <c r="ABR38" s="1013">
        <v>3215.8454359048014</v>
      </c>
      <c r="ABS38" s="1013">
        <v>8658.0454043590798</v>
      </c>
      <c r="ABT38" s="1013">
        <v>9947.9586624044532</v>
      </c>
      <c r="ABU38" s="1013">
        <v>0</v>
      </c>
      <c r="ABV38" s="1013">
        <v>0</v>
      </c>
      <c r="ABW38" s="1013">
        <v>0</v>
      </c>
      <c r="ABX38" s="1013">
        <v>0</v>
      </c>
      <c r="ABY38" s="1013">
        <v>0</v>
      </c>
      <c r="ABZ38" s="1013">
        <v>2486.9896656011133</v>
      </c>
      <c r="ACA38" s="1013">
        <v>6695.7414073876116</v>
      </c>
      <c r="ACB38" s="1013">
        <v>10530.690518967063</v>
      </c>
      <c r="ACC38" s="1013">
        <v>0</v>
      </c>
      <c r="ACD38" s="1013">
        <v>0</v>
      </c>
      <c r="ACE38" s="1013">
        <v>0</v>
      </c>
      <c r="ACF38" s="1013">
        <v>0</v>
      </c>
      <c r="ACG38" s="1013">
        <v>0</v>
      </c>
      <c r="ACH38" s="1013">
        <v>2632.6726297417658</v>
      </c>
      <c r="ACI38" s="1013">
        <v>7087.964772381677</v>
      </c>
      <c r="ACJ38" s="1013">
        <v>11032.151972251209</v>
      </c>
      <c r="ACK38" s="1013">
        <v>0</v>
      </c>
      <c r="ACL38" s="1013">
        <v>0</v>
      </c>
      <c r="ACM38" s="1013">
        <v>0</v>
      </c>
      <c r="ACN38" s="1013">
        <v>0</v>
      </c>
      <c r="ACO38" s="1013">
        <v>0</v>
      </c>
      <c r="ACP38" s="1013">
        <v>2758.0379930628023</v>
      </c>
      <c r="ACQ38" s="1013">
        <v>7425.4869043998524</v>
      </c>
      <c r="ACR38" s="1013">
        <v>16949.397121004131</v>
      </c>
      <c r="ACS38" s="1013">
        <v>0</v>
      </c>
      <c r="ACT38" s="1013">
        <v>0</v>
      </c>
      <c r="ACU38" s="1013">
        <v>0</v>
      </c>
      <c r="ACV38" s="1013">
        <v>0</v>
      </c>
      <c r="ACW38" s="1013">
        <v>0</v>
      </c>
      <c r="ACX38" s="1013">
        <v>4237.3492802510327</v>
      </c>
      <c r="ACY38" s="1013">
        <v>11408.248062214318</v>
      </c>
      <c r="ACZ38" s="1013">
        <v>12884.140294039247</v>
      </c>
      <c r="ADA38" s="1013">
        <v>0</v>
      </c>
      <c r="ADB38" s="1013">
        <v>0</v>
      </c>
      <c r="ADC38" s="1013">
        <v>0</v>
      </c>
      <c r="ADD38" s="1013">
        <v>0</v>
      </c>
      <c r="ADE38" s="1013">
        <v>0</v>
      </c>
      <c r="ADF38" s="1013">
        <v>3221.0350735098118</v>
      </c>
      <c r="ADG38" s="1013">
        <v>8672.0175056033386</v>
      </c>
      <c r="ADH38" s="1013">
        <v>13774.519294898884</v>
      </c>
      <c r="ADI38" s="1013">
        <v>0</v>
      </c>
      <c r="ADJ38" s="1013">
        <v>0</v>
      </c>
      <c r="ADK38" s="1013">
        <v>0</v>
      </c>
      <c r="ADL38" s="1013">
        <v>0</v>
      </c>
      <c r="ADM38" s="1013">
        <v>0</v>
      </c>
      <c r="ADN38" s="1013">
        <v>3443.6298237247211</v>
      </c>
      <c r="ADO38" s="1013">
        <v>9271.3110638742473</v>
      </c>
      <c r="ADP38" s="1013">
        <v>14430.448785132165</v>
      </c>
      <c r="ADQ38" s="1013">
        <v>0</v>
      </c>
      <c r="ADR38" s="1013">
        <v>0</v>
      </c>
      <c r="ADS38" s="1013">
        <v>0</v>
      </c>
      <c r="ADT38" s="1013">
        <v>0</v>
      </c>
      <c r="ADU38" s="1013">
        <v>0</v>
      </c>
      <c r="ADV38" s="1013">
        <v>3607.6121962830412</v>
      </c>
      <c r="ADW38" s="1013">
        <v>9712.8020669158795</v>
      </c>
      <c r="ADX38" s="1013">
        <v>22170.416769884869</v>
      </c>
      <c r="ADY38" s="1013">
        <v>0</v>
      </c>
      <c r="ADZ38" s="1013">
        <v>0</v>
      </c>
      <c r="AEA38" s="1013">
        <v>0</v>
      </c>
      <c r="AEB38" s="1013">
        <v>0</v>
      </c>
      <c r="AEC38" s="1013">
        <v>0</v>
      </c>
      <c r="AED38" s="1013">
        <v>5542.6041924712172</v>
      </c>
      <c r="AEE38" s="1013">
        <v>14922.39590280712</v>
      </c>
      <c r="AEF38" s="1013">
        <v>15732.674712789423</v>
      </c>
      <c r="AEG38" s="1013">
        <v>0</v>
      </c>
      <c r="AEH38" s="1013">
        <v>0</v>
      </c>
      <c r="AEI38" s="1013">
        <v>0</v>
      </c>
      <c r="AEJ38" s="1013">
        <v>0</v>
      </c>
      <c r="AEK38" s="1013">
        <v>0</v>
      </c>
      <c r="AEL38" s="1013">
        <v>3933.1686781973558</v>
      </c>
      <c r="AEM38" s="1013">
        <v>10589.300287454418</v>
      </c>
      <c r="AEN38" s="1013">
        <v>16924.324048339924</v>
      </c>
      <c r="AEO38" s="1013">
        <v>0</v>
      </c>
      <c r="AEP38" s="1013">
        <v>0</v>
      </c>
      <c r="AEQ38" s="1013">
        <v>0</v>
      </c>
      <c r="AER38" s="1013">
        <v>0</v>
      </c>
      <c r="AES38" s="1013">
        <v>0</v>
      </c>
      <c r="AET38" s="1013">
        <v>4231.081012084981</v>
      </c>
      <c r="AEU38" s="1013">
        <v>11391.371955613409</v>
      </c>
      <c r="AEV38" s="1013">
        <v>17730.244241118016</v>
      </c>
      <c r="AEW38" s="1013">
        <v>0</v>
      </c>
      <c r="AEX38" s="1013">
        <v>0</v>
      </c>
      <c r="AEY38" s="1013">
        <v>0</v>
      </c>
      <c r="AEZ38" s="1013">
        <v>0</v>
      </c>
      <c r="AFA38" s="1013">
        <v>0</v>
      </c>
      <c r="AFB38" s="1013">
        <v>4432.5610602795041</v>
      </c>
      <c r="AFC38" s="1013">
        <v>11933.818239214048</v>
      </c>
      <c r="AFD38" s="1013">
        <v>27240.102515899496</v>
      </c>
      <c r="AFE38" s="1013">
        <v>0</v>
      </c>
      <c r="AFF38" s="1013">
        <v>0</v>
      </c>
      <c r="AFG38" s="1013">
        <v>0</v>
      </c>
      <c r="AFH38" s="1013">
        <v>0</v>
      </c>
      <c r="AFI38" s="1013">
        <v>0</v>
      </c>
      <c r="AFJ38" s="1013">
        <v>6810.0256289748741</v>
      </c>
      <c r="AFK38" s="1013">
        <v>18334.684385701581</v>
      </c>
      <c r="AFL38" s="1023">
        <v>18142.973067116494</v>
      </c>
      <c r="AFM38" s="1023">
        <v>0</v>
      </c>
      <c r="AFN38" s="1023">
        <v>0</v>
      </c>
      <c r="AFO38" s="1023">
        <v>0</v>
      </c>
      <c r="AFP38" s="1023">
        <v>0</v>
      </c>
      <c r="AFQ38" s="1023">
        <v>0</v>
      </c>
      <c r="AFR38" s="1023">
        <v>4535.7432667791236</v>
      </c>
      <c r="AFS38" s="1023">
        <v>12211.616487482255</v>
      </c>
      <c r="AFT38" s="1023">
        <v>19274.924610609356</v>
      </c>
      <c r="AFU38" s="1023">
        <v>0</v>
      </c>
      <c r="AFV38" s="1023">
        <v>0</v>
      </c>
      <c r="AFW38" s="1023">
        <v>0</v>
      </c>
      <c r="AFX38" s="1023">
        <v>0</v>
      </c>
      <c r="AFY38" s="1023">
        <v>0</v>
      </c>
      <c r="AFZ38" s="1023">
        <v>4818.731152652339</v>
      </c>
      <c r="AGA38" s="1023">
        <v>12973.506949448603</v>
      </c>
      <c r="AGB38" s="1023">
        <v>20192.778163495517</v>
      </c>
      <c r="AGC38" s="1023">
        <v>0</v>
      </c>
      <c r="AGD38" s="1023">
        <v>0</v>
      </c>
      <c r="AGE38" s="1023">
        <v>0</v>
      </c>
      <c r="AGF38" s="1023">
        <v>0</v>
      </c>
      <c r="AGG38" s="1023">
        <v>0</v>
      </c>
      <c r="AGH38" s="1023">
        <v>5048.1945408738793</v>
      </c>
      <c r="AGI38" s="1023">
        <v>13591.292994660444</v>
      </c>
      <c r="AGJ38" s="1023">
        <v>31023.450087552199</v>
      </c>
      <c r="AGK38" s="1023">
        <v>0</v>
      </c>
      <c r="AGL38" s="1023">
        <v>0</v>
      </c>
      <c r="AGM38" s="1023">
        <v>0</v>
      </c>
      <c r="AGN38" s="1023">
        <v>0</v>
      </c>
      <c r="AGO38" s="1023">
        <v>0</v>
      </c>
      <c r="AGP38" s="1023">
        <v>7755.8625218880497</v>
      </c>
      <c r="AGQ38" s="1023">
        <v>20881.168328160133</v>
      </c>
      <c r="AGR38" s="1030">
        <v>7230.8950629812107</v>
      </c>
      <c r="AGS38" s="1030">
        <v>0</v>
      </c>
      <c r="AGT38" s="1030">
        <v>0</v>
      </c>
      <c r="AGU38" s="1030">
        <v>0</v>
      </c>
      <c r="AGV38" s="1030">
        <v>0</v>
      </c>
      <c r="AGW38" s="1030">
        <v>0</v>
      </c>
      <c r="AGX38" s="1030">
        <v>1807.7237657453027</v>
      </c>
      <c r="AGY38" s="1030">
        <v>4866.9486000835068</v>
      </c>
      <c r="AGZ38" s="1030">
        <v>7992.0419117160754</v>
      </c>
      <c r="AHA38" s="1030">
        <v>0</v>
      </c>
      <c r="AHB38" s="1030">
        <v>0</v>
      </c>
      <c r="AHC38" s="1030">
        <v>0</v>
      </c>
      <c r="AHD38" s="1030">
        <v>0</v>
      </c>
      <c r="AHE38" s="1030">
        <v>0</v>
      </c>
      <c r="AHF38" s="1030">
        <v>1998.0104779290189</v>
      </c>
      <c r="AHG38" s="1030">
        <v>5379.2589790396651</v>
      </c>
      <c r="AHH38" s="1030">
        <v>8372.6153360835069</v>
      </c>
      <c r="AHI38" s="1030">
        <v>0</v>
      </c>
      <c r="AHJ38" s="1030">
        <v>0</v>
      </c>
      <c r="AHK38" s="1030">
        <v>0</v>
      </c>
      <c r="AHL38" s="1030">
        <v>0</v>
      </c>
      <c r="AHM38" s="1030">
        <v>0</v>
      </c>
      <c r="AHN38" s="1030">
        <v>2093.1538340208767</v>
      </c>
      <c r="AHO38" s="1030">
        <v>5635.4141685177447</v>
      </c>
      <c r="AHP38" s="1030">
        <v>12863.381743619206</v>
      </c>
      <c r="AHQ38" s="1030">
        <v>0</v>
      </c>
      <c r="AHR38" s="1030">
        <v>0</v>
      </c>
      <c r="AHS38" s="1030">
        <v>0</v>
      </c>
      <c r="AHT38" s="1030">
        <v>0</v>
      </c>
      <c r="AHU38" s="1030">
        <v>0</v>
      </c>
      <c r="AHV38" s="1030">
        <v>3215.8454359048014</v>
      </c>
      <c r="AHW38" s="1030">
        <v>8658.0454043590798</v>
      </c>
      <c r="AHX38" s="1013">
        <v>165</v>
      </c>
      <c r="AHY38" s="1023">
        <v>0</v>
      </c>
      <c r="AHZ38" s="1023">
        <v>0</v>
      </c>
      <c r="AIA38" s="1023">
        <v>0</v>
      </c>
      <c r="AIB38" s="1023">
        <v>0</v>
      </c>
      <c r="AIC38" s="1023">
        <v>0</v>
      </c>
      <c r="AID38" s="1023">
        <v>0</v>
      </c>
      <c r="AIE38" s="1023">
        <v>0</v>
      </c>
      <c r="AIF38" s="1017">
        <v>137.27516779929027</v>
      </c>
      <c r="AIG38" s="1017">
        <v>4.5758389266430086</v>
      </c>
      <c r="AIH38" s="1017">
        <v>13.727516779929026</v>
      </c>
      <c r="AII38" s="1017">
        <v>0</v>
      </c>
      <c r="AIJ38" s="1017">
        <v>0</v>
      </c>
      <c r="AIK38" s="1017">
        <v>0</v>
      </c>
      <c r="AIL38" s="1017">
        <v>2.2879194633215043</v>
      </c>
      <c r="AIM38" s="1017">
        <v>70.925503362966637</v>
      </c>
      <c r="AIN38" s="1016">
        <v>217.16327265436854</v>
      </c>
      <c r="AIO38" s="1016">
        <v>7.2387757551456184</v>
      </c>
      <c r="AIP38" s="1017">
        <v>21.716327265436853</v>
      </c>
      <c r="AIQ38" s="1017">
        <v>0</v>
      </c>
      <c r="AIR38" s="1017">
        <v>0</v>
      </c>
      <c r="AIS38" s="1017">
        <v>0</v>
      </c>
      <c r="AIT38" s="1017">
        <v>3.6193878775728092</v>
      </c>
      <c r="AIU38" s="1017">
        <v>112.20102420475709</v>
      </c>
      <c r="AIV38" s="1017">
        <v>67.329344229882736</v>
      </c>
      <c r="AIW38" s="1017">
        <v>2.2443114743294248</v>
      </c>
      <c r="AIX38" s="1017">
        <v>6.732934422988273</v>
      </c>
      <c r="AIY38" s="1017">
        <v>0</v>
      </c>
      <c r="AIZ38" s="1017">
        <v>0</v>
      </c>
      <c r="AJA38" s="1017">
        <v>0</v>
      </c>
      <c r="AJB38" s="1017">
        <v>1.1221557371647124</v>
      </c>
      <c r="AJC38" s="1017">
        <v>34.786827852106079</v>
      </c>
      <c r="AJD38" s="1017">
        <v>129.6</v>
      </c>
      <c r="AJE38" s="1017">
        <v>96.93</v>
      </c>
      <c r="AJF38" s="1017">
        <v>80.78</v>
      </c>
      <c r="AJG38" s="1017">
        <v>0</v>
      </c>
      <c r="AJH38" s="1017">
        <v>7.54</v>
      </c>
      <c r="AJI38" s="1017">
        <v>9.15</v>
      </c>
      <c r="AJJ38" s="1017">
        <v>0</v>
      </c>
      <c r="AJK38" s="1013">
        <v>0</v>
      </c>
      <c r="AJL38" s="1013">
        <v>239.50903444320323</v>
      </c>
      <c r="AJM38" s="1013">
        <v>7.9836344814401086</v>
      </c>
      <c r="AJN38" s="1013">
        <v>23.950903444320325</v>
      </c>
      <c r="AJO38" s="1013">
        <v>0</v>
      </c>
      <c r="AJP38" s="1013">
        <v>0</v>
      </c>
      <c r="AJQ38" s="1013">
        <v>0</v>
      </c>
      <c r="AJR38" s="1013">
        <v>3.9918172407200543</v>
      </c>
      <c r="AJS38" s="1013">
        <v>123.74633446232167</v>
      </c>
      <c r="AJT38" s="1029" t="s">
        <v>858</v>
      </c>
      <c r="AJU38" s="988" t="s">
        <v>861</v>
      </c>
      <c r="AJV38" s="988" t="s">
        <v>860</v>
      </c>
      <c r="AJW38" s="988" t="s">
        <v>859</v>
      </c>
      <c r="AJX38" s="988" t="s">
        <v>870</v>
      </c>
      <c r="AJY38" s="988" t="s">
        <v>871</v>
      </c>
      <c r="AJZ38" s="988" t="s">
        <v>872</v>
      </c>
      <c r="AKA38" s="988" t="s">
        <v>873</v>
      </c>
      <c r="AKB38" s="988" t="s">
        <v>874</v>
      </c>
      <c r="AKC38" s="988" t="s">
        <v>875</v>
      </c>
      <c r="AKD38" s="1013">
        <v>80.706521739130437</v>
      </c>
      <c r="AKE38" s="1013">
        <v>0</v>
      </c>
      <c r="AKF38" s="1013">
        <v>0</v>
      </c>
      <c r="AKG38" s="1013">
        <v>0</v>
      </c>
      <c r="AKH38" s="1013">
        <v>0</v>
      </c>
      <c r="AKI38" s="1013">
        <v>0</v>
      </c>
      <c r="AKJ38" s="1013">
        <v>1.3451086956521741</v>
      </c>
      <c r="AKK38" s="1013">
        <v>41.698369565217391</v>
      </c>
      <c r="AKL38" s="1017">
        <v>111.90910418420403</v>
      </c>
      <c r="AKM38" s="1017">
        <v>0</v>
      </c>
      <c r="AKN38" s="1017">
        <v>0</v>
      </c>
      <c r="AKO38" s="1017">
        <v>0</v>
      </c>
      <c r="AKP38" s="1017">
        <v>0</v>
      </c>
      <c r="AKQ38" s="1017">
        <v>0</v>
      </c>
      <c r="AKR38" s="1017">
        <v>1.8651517364034005</v>
      </c>
      <c r="AKS38" s="1017">
        <v>57.819703828505411</v>
      </c>
      <c r="AKT38" s="1016">
        <v>177.03527662040918</v>
      </c>
      <c r="AKU38" s="1016">
        <v>0</v>
      </c>
      <c r="AKV38" s="1017">
        <v>0</v>
      </c>
      <c r="AKW38" s="1017">
        <v>0</v>
      </c>
      <c r="AKX38" s="1017">
        <v>0</v>
      </c>
      <c r="AKY38" s="1017">
        <v>0</v>
      </c>
      <c r="AKZ38" s="1017">
        <v>2.9505879436734865</v>
      </c>
      <c r="ALA38" s="1017">
        <v>91.468226253878072</v>
      </c>
      <c r="ALB38" s="1017">
        <v>54.888052361317449</v>
      </c>
      <c r="ALC38" s="1017">
        <v>0</v>
      </c>
      <c r="ALD38" s="1017">
        <v>0</v>
      </c>
      <c r="ALE38" s="1017">
        <v>0</v>
      </c>
      <c r="ALF38" s="1017">
        <v>0</v>
      </c>
      <c r="ALG38" s="1017">
        <v>0</v>
      </c>
      <c r="ALH38" s="1017">
        <v>0.9148008726886242</v>
      </c>
      <c r="ALI38" s="1017">
        <v>28.358827053347348</v>
      </c>
      <c r="ALJ38" s="1017">
        <v>158.47826086956522</v>
      </c>
      <c r="ALK38" s="1017">
        <v>0</v>
      </c>
      <c r="ALL38" s="1017">
        <v>0</v>
      </c>
      <c r="ALM38" s="1017">
        <v>0</v>
      </c>
      <c r="ALN38" s="1017">
        <v>0</v>
      </c>
      <c r="ALO38" s="1017">
        <v>0</v>
      </c>
      <c r="ALP38" s="1017">
        <v>2.6413043478260874</v>
      </c>
      <c r="ALQ38" s="1013">
        <v>81.880434782608688</v>
      </c>
      <c r="ALR38" s="1013">
        <v>195.25193025261134</v>
      </c>
      <c r="ALS38" s="1013">
        <v>0</v>
      </c>
      <c r="ALT38" s="1013">
        <v>0</v>
      </c>
      <c r="ALU38" s="1013">
        <v>0</v>
      </c>
      <c r="ALV38" s="1013">
        <v>0</v>
      </c>
      <c r="ALW38" s="1013">
        <v>0</v>
      </c>
      <c r="ALX38" s="1013">
        <v>3.2541988375435227</v>
      </c>
      <c r="ALY38" s="1013">
        <v>100.8801639638492</v>
      </c>
    </row>
    <row r="39" spans="1:1013" ht="18" customHeight="1">
      <c r="A39" s="1259" t="s">
        <v>30</v>
      </c>
      <c r="B39" s="1260" t="s">
        <v>3063</v>
      </c>
      <c r="C39" s="1260">
        <v>2022</v>
      </c>
      <c r="D39" s="1269"/>
      <c r="E39" s="1274">
        <v>0.1</v>
      </c>
      <c r="F39" s="72">
        <v>0.1</v>
      </c>
      <c r="G39" s="72">
        <v>0.1</v>
      </c>
      <c r="H39" s="76">
        <v>0</v>
      </c>
      <c r="I39" s="75">
        <v>-3.5</v>
      </c>
      <c r="J39" s="1273">
        <v>-4.5</v>
      </c>
      <c r="K39" s="1273">
        <v>-4.5</v>
      </c>
      <c r="L39" s="1265">
        <v>350</v>
      </c>
      <c r="M39" s="1262">
        <v>0</v>
      </c>
      <c r="N39" s="1262">
        <v>0</v>
      </c>
      <c r="O39" s="1262">
        <v>0</v>
      </c>
      <c r="P39" s="76">
        <v>738.27841644621572</v>
      </c>
      <c r="Q39" s="75">
        <v>12</v>
      </c>
      <c r="R39" s="72">
        <v>0.6</v>
      </c>
      <c r="S39" s="72">
        <v>0.5</v>
      </c>
      <c r="T39" s="72">
        <v>0.5</v>
      </c>
      <c r="U39" s="1271">
        <v>1</v>
      </c>
      <c r="V39" s="1271">
        <v>0</v>
      </c>
      <c r="W39" s="1271">
        <v>99</v>
      </c>
      <c r="X39" s="1271">
        <v>0</v>
      </c>
      <c r="Y39" s="1272">
        <v>0</v>
      </c>
      <c r="Z39" s="75">
        <v>2</v>
      </c>
      <c r="AA39" s="72">
        <v>1.5</v>
      </c>
      <c r="AB39" s="75">
        <v>1</v>
      </c>
      <c r="AC39" s="72">
        <v>0.8</v>
      </c>
      <c r="AD39" s="72">
        <v>0.5</v>
      </c>
      <c r="AE39" s="390">
        <v>433.01922201480062</v>
      </c>
      <c r="AF39" s="390">
        <v>470.67306740739195</v>
      </c>
      <c r="AG39" s="390">
        <v>433.37222681535616</v>
      </c>
      <c r="AH39" s="390">
        <v>649.0581599547935</v>
      </c>
      <c r="AI39" s="400">
        <v>0.82209484106305364</v>
      </c>
      <c r="AJ39" s="390">
        <v>261.91600618637949</v>
      </c>
      <c r="AK39" s="390">
        <v>284.69131107215162</v>
      </c>
      <c r="AL39" s="390">
        <v>262.12952466968363</v>
      </c>
      <c r="AM39" s="390">
        <v>392.58931796849708</v>
      </c>
      <c r="AN39" s="400">
        <v>0.96717040125065135</v>
      </c>
      <c r="AO39" s="1275">
        <v>0.2</v>
      </c>
      <c r="AP39" s="1275">
        <v>0.4</v>
      </c>
      <c r="AQ39" s="1275">
        <v>0.9</v>
      </c>
      <c r="AR39" s="1275">
        <v>1.2</v>
      </c>
      <c r="AS39" s="1275">
        <v>1.5</v>
      </c>
      <c r="AT39" s="1275">
        <v>1.9</v>
      </c>
      <c r="AU39" s="1275">
        <v>2.2999999999999998</v>
      </c>
      <c r="AV39" s="1268">
        <v>0</v>
      </c>
      <c r="AW39" s="1268">
        <v>10</v>
      </c>
      <c r="AX39" s="1268">
        <v>20</v>
      </c>
      <c r="AY39" s="1268">
        <v>70</v>
      </c>
      <c r="AZ39" s="1268">
        <v>100</v>
      </c>
      <c r="BA39" s="1019">
        <v>11427.641256281695</v>
      </c>
      <c r="BB39" s="1031">
        <v>1.61</v>
      </c>
      <c r="BC39" s="988">
        <v>0.8</v>
      </c>
      <c r="BD39" s="988">
        <v>0.5</v>
      </c>
      <c r="BE39" s="988">
        <v>0.5</v>
      </c>
      <c r="BF39" s="1021">
        <v>0.19257506503275143</v>
      </c>
      <c r="BG39" s="1021">
        <v>0.18193358900561235</v>
      </c>
      <c r="BH39" s="1020">
        <v>1.2862287772251757E-2</v>
      </c>
      <c r="BI39" s="1020">
        <v>9.2179729034470928E-2</v>
      </c>
      <c r="BJ39" s="1020">
        <v>0.93251586348825255</v>
      </c>
      <c r="BK39" s="1020">
        <v>66.442291202195165</v>
      </c>
      <c r="BL39" s="1020">
        <v>1.9572114560109759</v>
      </c>
      <c r="BM39" s="1020"/>
      <c r="BN39" s="1020">
        <v>29.638998456525467</v>
      </c>
      <c r="BO39" s="1020">
        <v>0.15220373863831246</v>
      </c>
      <c r="BP39" s="1020"/>
      <c r="BQ39" s="1020">
        <v>2.1437146287086265E-3</v>
      </c>
      <c r="BR39" s="1020">
        <v>0</v>
      </c>
      <c r="BS39" s="1020">
        <v>0</v>
      </c>
      <c r="BT39" s="1020">
        <v>0.15006002400960386</v>
      </c>
      <c r="BU39" s="1020">
        <v>4.287429257417253E-3</v>
      </c>
      <c r="BV39" s="1020">
        <v>0.61524609843937572</v>
      </c>
      <c r="BW39" s="993">
        <v>261.13475999999997</v>
      </c>
      <c r="BX39" s="993">
        <v>96.5</v>
      </c>
      <c r="BY39" s="993">
        <v>63.215999999999994</v>
      </c>
      <c r="BZ39" s="993">
        <v>233.35949490734063</v>
      </c>
      <c r="CA39" s="993">
        <v>157.40783999999999</v>
      </c>
      <c r="CB39" s="990"/>
      <c r="CC39" s="993">
        <v>256.20808011776955</v>
      </c>
      <c r="CD39" s="993">
        <v>165.17663999999999</v>
      </c>
      <c r="CE39" s="990"/>
      <c r="CF39" s="989">
        <v>0</v>
      </c>
      <c r="CG39" s="993">
        <v>6.585</v>
      </c>
      <c r="CH39" s="993">
        <v>1.3169999999999999</v>
      </c>
      <c r="CI39" s="993">
        <v>38</v>
      </c>
      <c r="CJ39" s="993">
        <v>225.83915999999996</v>
      </c>
      <c r="CK39" s="990">
        <v>0.2</v>
      </c>
      <c r="CL39" s="993">
        <v>175.08124000000001</v>
      </c>
      <c r="CM39" s="993">
        <v>60.4</v>
      </c>
      <c r="CN39" s="993">
        <v>42.384</v>
      </c>
      <c r="CO39" s="993">
        <v>156.45894761061641</v>
      </c>
      <c r="CP39" s="993">
        <v>105.53616</v>
      </c>
      <c r="CQ39" s="990"/>
      <c r="CR39" s="993">
        <v>159.24945066654416</v>
      </c>
      <c r="CS39" s="993">
        <v>102.66767999999999</v>
      </c>
      <c r="CT39" s="990"/>
      <c r="CU39" s="993">
        <v>0</v>
      </c>
      <c r="CV39" s="993">
        <v>4.415</v>
      </c>
      <c r="CW39" s="993">
        <v>0.88300000000000001</v>
      </c>
      <c r="CX39" s="993">
        <v>27</v>
      </c>
      <c r="CY39" s="993">
        <v>151.41683999999998</v>
      </c>
      <c r="CZ39" s="990">
        <v>0.2</v>
      </c>
      <c r="DA39" s="988">
        <v>0.3</v>
      </c>
      <c r="DB39" s="988">
        <v>0.7</v>
      </c>
      <c r="DC39" s="988">
        <v>1.2</v>
      </c>
      <c r="DD39" s="988">
        <v>1.2</v>
      </c>
      <c r="DE39" s="1022">
        <v>3</v>
      </c>
      <c r="DF39" s="995">
        <v>0</v>
      </c>
      <c r="DG39" s="995">
        <v>10</v>
      </c>
      <c r="DH39" s="995">
        <v>20</v>
      </c>
      <c r="DI39" s="995">
        <v>70</v>
      </c>
      <c r="DJ39" s="995">
        <v>100</v>
      </c>
      <c r="DK39" s="1017">
        <v>67.785166136538606</v>
      </c>
      <c r="DL39" s="1022">
        <v>18</v>
      </c>
      <c r="DM39" s="989">
        <v>12</v>
      </c>
      <c r="DN39" s="988">
        <v>1.6</v>
      </c>
      <c r="DO39" s="988">
        <v>1.2</v>
      </c>
      <c r="DP39" s="988">
        <v>1.2</v>
      </c>
      <c r="DQ39" s="988" t="s">
        <v>676</v>
      </c>
      <c r="DR39" s="988" t="s">
        <v>640</v>
      </c>
      <c r="DS39" s="988" t="s">
        <v>640</v>
      </c>
      <c r="DT39" s="988" t="s">
        <v>640</v>
      </c>
      <c r="DU39" s="988" t="s">
        <v>640</v>
      </c>
      <c r="DV39" s="988" t="s">
        <v>640</v>
      </c>
      <c r="DW39" s="988" t="s">
        <v>640</v>
      </c>
      <c r="DX39" s="997">
        <v>587.5</v>
      </c>
      <c r="DY39" s="997">
        <v>0</v>
      </c>
      <c r="DZ39" s="997">
        <v>0</v>
      </c>
      <c r="EA39" s="997">
        <v>0</v>
      </c>
      <c r="EB39" s="997">
        <v>0</v>
      </c>
      <c r="EC39" s="997">
        <v>0</v>
      </c>
      <c r="ED39" s="997">
        <v>0</v>
      </c>
      <c r="EE39" s="1022">
        <v>0.58750000000000002</v>
      </c>
      <c r="EF39" s="1022">
        <v>18</v>
      </c>
      <c r="EG39" s="991">
        <v>5</v>
      </c>
      <c r="EH39" s="1034">
        <v>1.6</v>
      </c>
      <c r="EI39" s="1034">
        <v>1.2</v>
      </c>
      <c r="EJ39" s="1034">
        <v>1.2</v>
      </c>
      <c r="EK39" s="987" t="s">
        <v>698</v>
      </c>
      <c r="EL39" s="988" t="s">
        <v>714</v>
      </c>
      <c r="EM39" s="988" t="s">
        <v>729</v>
      </c>
      <c r="EN39" s="987" t="s">
        <v>676</v>
      </c>
      <c r="EO39" s="988" t="s">
        <v>751</v>
      </c>
      <c r="EP39" s="987" t="s">
        <v>760</v>
      </c>
      <c r="EQ39" s="1036" t="s">
        <v>640</v>
      </c>
      <c r="ER39" s="1036" t="s">
        <v>640</v>
      </c>
      <c r="ES39" s="1036" t="s">
        <v>640</v>
      </c>
      <c r="ET39" s="1036" t="s">
        <v>640</v>
      </c>
      <c r="EU39" s="1036" t="s">
        <v>640</v>
      </c>
      <c r="EV39" s="1036" t="s">
        <v>640</v>
      </c>
      <c r="EW39" s="1036" t="s">
        <v>640</v>
      </c>
      <c r="EX39" s="1036" t="s">
        <v>640</v>
      </c>
      <c r="EY39" s="1036" t="s">
        <v>640</v>
      </c>
      <c r="EZ39" s="1036" t="s">
        <v>640</v>
      </c>
      <c r="FA39" s="1036" t="s">
        <v>640</v>
      </c>
      <c r="FB39" s="1036" t="s">
        <v>640</v>
      </c>
      <c r="FC39" s="1036" t="s">
        <v>640</v>
      </c>
      <c r="FD39" s="1036" t="s">
        <v>640</v>
      </c>
      <c r="FE39" s="1036" t="s">
        <v>640</v>
      </c>
      <c r="FF39" s="1036" t="s">
        <v>640</v>
      </c>
      <c r="FG39" s="1036" t="s">
        <v>640</v>
      </c>
      <c r="FH39" s="1036" t="s">
        <v>640</v>
      </c>
      <c r="FI39" s="1036" t="s">
        <v>640</v>
      </c>
      <c r="FJ39" s="1036" t="s">
        <v>640</v>
      </c>
      <c r="FK39" s="1036" t="s">
        <v>640</v>
      </c>
      <c r="FL39" s="1036" t="s">
        <v>640</v>
      </c>
      <c r="FM39" s="1036" t="s">
        <v>640</v>
      </c>
      <c r="FN39" s="1036" t="s">
        <v>640</v>
      </c>
      <c r="FO39" s="1036" t="s">
        <v>640</v>
      </c>
      <c r="FP39" s="1036" t="s">
        <v>640</v>
      </c>
      <c r="FQ39" s="1036" t="s">
        <v>640</v>
      </c>
      <c r="FR39" s="1036" t="s">
        <v>640</v>
      </c>
      <c r="FS39" s="1036" t="s">
        <v>640</v>
      </c>
      <c r="FT39" s="1036" t="s">
        <v>640</v>
      </c>
      <c r="FU39" s="1036" t="s">
        <v>640</v>
      </c>
      <c r="FV39" s="1036" t="s">
        <v>640</v>
      </c>
      <c r="FW39" s="1036" t="s">
        <v>640</v>
      </c>
      <c r="FX39" s="1036" t="s">
        <v>640</v>
      </c>
      <c r="FY39" s="1036" t="s">
        <v>640</v>
      </c>
      <c r="FZ39" s="1036" t="s">
        <v>640</v>
      </c>
      <c r="GA39" s="1036" t="s">
        <v>640</v>
      </c>
      <c r="GB39" s="1036" t="s">
        <v>640</v>
      </c>
      <c r="GC39" s="1036" t="s">
        <v>640</v>
      </c>
      <c r="GD39" s="1036" t="s">
        <v>640</v>
      </c>
      <c r="GE39" s="1036" t="s">
        <v>640</v>
      </c>
      <c r="GF39" s="1036" t="s">
        <v>640</v>
      </c>
      <c r="GG39" s="1036" t="s">
        <v>640</v>
      </c>
      <c r="GH39" s="1036" t="s">
        <v>640</v>
      </c>
      <c r="GI39" s="1036" t="s">
        <v>640</v>
      </c>
      <c r="GJ39" s="1036" t="s">
        <v>640</v>
      </c>
      <c r="GK39" s="1036" t="s">
        <v>640</v>
      </c>
      <c r="GL39" s="1036" t="s">
        <v>640</v>
      </c>
      <c r="GM39" s="1036" t="s">
        <v>640</v>
      </c>
      <c r="GN39" s="1036" t="s">
        <v>640</v>
      </c>
      <c r="GO39" s="1036" t="s">
        <v>640</v>
      </c>
      <c r="GP39" s="1036" t="s">
        <v>640</v>
      </c>
      <c r="GQ39" s="997">
        <v>171.81727131092811</v>
      </c>
      <c r="GR39" s="997">
        <v>87.346984197640779</v>
      </c>
      <c r="GS39" s="997">
        <v>94.146450033385278</v>
      </c>
      <c r="GT39" s="997">
        <v>20.398397507233476</v>
      </c>
      <c r="GU39" s="997">
        <v>23.144335633207209</v>
      </c>
      <c r="GV39" s="997">
        <v>190.64656131760518</v>
      </c>
      <c r="GW39" s="997">
        <v>0</v>
      </c>
      <c r="GX39" s="997">
        <v>0</v>
      </c>
      <c r="GY39" s="997">
        <v>0</v>
      </c>
      <c r="GZ39" s="997">
        <v>0</v>
      </c>
      <c r="HA39" s="997">
        <v>0</v>
      </c>
      <c r="HB39" s="997">
        <v>0</v>
      </c>
      <c r="HC39" s="997">
        <v>0</v>
      </c>
      <c r="HD39" s="997">
        <v>0</v>
      </c>
      <c r="HE39" s="997">
        <v>0</v>
      </c>
      <c r="HF39" s="997">
        <v>0</v>
      </c>
      <c r="HG39" s="997">
        <v>0</v>
      </c>
      <c r="HH39" s="997">
        <v>0</v>
      </c>
      <c r="HI39" s="997">
        <v>0</v>
      </c>
      <c r="HJ39" s="997">
        <v>0</v>
      </c>
      <c r="HK39" s="997">
        <v>0</v>
      </c>
      <c r="HL39" s="997">
        <v>0</v>
      </c>
      <c r="HM39" s="997">
        <v>0</v>
      </c>
      <c r="HN39" s="997">
        <v>0</v>
      </c>
      <c r="HO39" s="997">
        <v>0</v>
      </c>
      <c r="HP39" s="997">
        <v>0</v>
      </c>
      <c r="HQ39" s="997">
        <v>0</v>
      </c>
      <c r="HR39" s="997">
        <v>0</v>
      </c>
      <c r="HS39" s="997">
        <v>0</v>
      </c>
      <c r="HT39" s="997">
        <v>0</v>
      </c>
      <c r="HU39" s="997">
        <v>0</v>
      </c>
      <c r="HV39" s="997">
        <v>0</v>
      </c>
      <c r="HW39" s="997">
        <v>0</v>
      </c>
      <c r="HX39" s="997">
        <v>0</v>
      </c>
      <c r="HY39" s="997">
        <v>0</v>
      </c>
      <c r="HZ39" s="997">
        <v>0</v>
      </c>
      <c r="IA39" s="997">
        <v>0</v>
      </c>
      <c r="IB39" s="997">
        <v>0</v>
      </c>
      <c r="IC39" s="997">
        <v>0</v>
      </c>
      <c r="ID39" s="997">
        <v>0</v>
      </c>
      <c r="IE39" s="997">
        <v>0</v>
      </c>
      <c r="IF39" s="997">
        <v>0</v>
      </c>
      <c r="IG39" s="997">
        <v>0</v>
      </c>
      <c r="IH39" s="997">
        <v>0</v>
      </c>
      <c r="II39" s="997">
        <v>0</v>
      </c>
      <c r="IJ39" s="997">
        <v>0</v>
      </c>
      <c r="IK39" s="997">
        <v>0</v>
      </c>
      <c r="IL39" s="997">
        <v>0</v>
      </c>
      <c r="IM39" s="997">
        <v>0</v>
      </c>
      <c r="IN39" s="997">
        <v>0</v>
      </c>
      <c r="IO39" s="997">
        <v>0</v>
      </c>
      <c r="IP39" s="997">
        <v>0</v>
      </c>
      <c r="IQ39" s="997">
        <v>0</v>
      </c>
      <c r="IR39" s="997">
        <v>0</v>
      </c>
      <c r="IS39" s="997">
        <v>0</v>
      </c>
      <c r="IT39" s="997">
        <v>0</v>
      </c>
      <c r="IU39" s="997">
        <v>0</v>
      </c>
      <c r="IV39" s="997">
        <v>0</v>
      </c>
      <c r="IW39" s="1019">
        <v>2375.6537374490717</v>
      </c>
      <c r="IX39" s="1022">
        <v>179.9</v>
      </c>
      <c r="IY39" s="998">
        <v>2647.0800000000199</v>
      </c>
      <c r="IZ39" s="429">
        <v>12.64</v>
      </c>
      <c r="JA39" s="1022">
        <v>50</v>
      </c>
      <c r="JB39" s="988">
        <v>1.6</v>
      </c>
      <c r="JC39" s="988">
        <v>1.2</v>
      </c>
      <c r="JD39" s="988">
        <v>1.2</v>
      </c>
      <c r="JE39" s="998">
        <v>2</v>
      </c>
      <c r="JF39" s="1023">
        <v>1.5</v>
      </c>
      <c r="JG39" s="1023">
        <v>0.7</v>
      </c>
      <c r="JH39" s="1023">
        <v>0.7</v>
      </c>
      <c r="JI39" s="1023">
        <v>0.5</v>
      </c>
      <c r="JJ39" s="1019"/>
      <c r="JK39" s="998">
        <v>2647.0800000000199</v>
      </c>
      <c r="JL39" s="429">
        <v>12.64</v>
      </c>
      <c r="JM39" s="1022">
        <v>50</v>
      </c>
      <c r="JN39" s="988">
        <v>1.9</v>
      </c>
      <c r="JO39" s="988">
        <v>1.1000000000000001</v>
      </c>
      <c r="JP39" s="988">
        <v>1.1000000000000001</v>
      </c>
      <c r="JQ39" s="998">
        <v>2</v>
      </c>
      <c r="JR39" s="998">
        <v>2</v>
      </c>
      <c r="JS39" s="998">
        <v>1</v>
      </c>
      <c r="JT39" s="998">
        <v>1</v>
      </c>
      <c r="JU39" s="1023">
        <v>0.5</v>
      </c>
      <c r="JV39" s="1004">
        <v>2000</v>
      </c>
      <c r="JW39" s="1019"/>
      <c r="JX39" s="1019">
        <v>500</v>
      </c>
      <c r="JY39" s="1022">
        <v>1.5</v>
      </c>
      <c r="JZ39" s="1022">
        <v>0.7</v>
      </c>
      <c r="KA39" s="1022">
        <v>0.7</v>
      </c>
      <c r="KB39" s="1023">
        <v>2</v>
      </c>
      <c r="KC39" s="1023">
        <v>1.5</v>
      </c>
      <c r="KD39" s="1023">
        <v>0.5</v>
      </c>
      <c r="KE39" s="1023">
        <v>1</v>
      </c>
      <c r="KF39" s="1023">
        <v>0.5</v>
      </c>
      <c r="KG39" s="997">
        <v>15.198351365275631</v>
      </c>
      <c r="KH39" s="997">
        <v>0</v>
      </c>
      <c r="KI39" s="997">
        <v>83.281813498196811</v>
      </c>
      <c r="KJ39" s="997"/>
      <c r="KK39" s="997">
        <v>0.41215868109222054</v>
      </c>
      <c r="KL39" s="997">
        <v>1.1076764554353424</v>
      </c>
      <c r="KM39" s="997">
        <v>0</v>
      </c>
      <c r="KN39" s="997">
        <v>0</v>
      </c>
      <c r="KO39" s="997"/>
      <c r="KP39" s="1006">
        <v>580</v>
      </c>
      <c r="KQ39" s="1006">
        <v>580</v>
      </c>
      <c r="KR39" s="1006">
        <v>580</v>
      </c>
      <c r="KS39" s="1006">
        <v>580</v>
      </c>
      <c r="KT39" s="1006"/>
      <c r="KU39" s="1006">
        <v>580</v>
      </c>
      <c r="KV39" s="1006">
        <v>580</v>
      </c>
      <c r="KW39" s="1006">
        <v>580</v>
      </c>
      <c r="KX39" s="1006">
        <v>580</v>
      </c>
      <c r="KY39" s="993">
        <v>370</v>
      </c>
      <c r="KZ39" s="993">
        <v>370</v>
      </c>
      <c r="LA39" s="993">
        <v>370</v>
      </c>
      <c r="LB39" s="993">
        <v>370</v>
      </c>
      <c r="LC39" s="993"/>
      <c r="LD39" s="993">
        <v>370</v>
      </c>
      <c r="LE39" s="993">
        <v>370</v>
      </c>
      <c r="LF39" s="993">
        <v>370</v>
      </c>
      <c r="LG39" s="993">
        <v>370</v>
      </c>
      <c r="LH39" s="995">
        <v>0</v>
      </c>
      <c r="LI39" s="995">
        <v>10</v>
      </c>
      <c r="LJ39" s="995">
        <v>20</v>
      </c>
      <c r="LK39" s="995">
        <v>70</v>
      </c>
      <c r="LL39" s="995">
        <v>100</v>
      </c>
      <c r="LM39" s="1004">
        <v>1000</v>
      </c>
      <c r="LN39" s="1019"/>
      <c r="LO39" s="988">
        <v>29</v>
      </c>
      <c r="LP39" s="1022">
        <v>1</v>
      </c>
      <c r="LQ39" s="988">
        <v>0.7</v>
      </c>
      <c r="LR39" s="988">
        <v>0.7</v>
      </c>
      <c r="LS39" s="1023">
        <v>2</v>
      </c>
      <c r="LT39" s="1023">
        <v>1</v>
      </c>
      <c r="LU39" s="1023">
        <v>0.5</v>
      </c>
      <c r="LV39" s="1023">
        <v>0.7</v>
      </c>
      <c r="LW39" s="1023">
        <v>0.2</v>
      </c>
      <c r="LX39" s="1004">
        <v>1500</v>
      </c>
      <c r="LY39" s="1008">
        <v>500</v>
      </c>
      <c r="LZ39" s="1008">
        <v>1</v>
      </c>
      <c r="MA39" s="997" t="s">
        <v>2914</v>
      </c>
      <c r="MB39" s="1023" t="s">
        <v>905</v>
      </c>
      <c r="MC39" s="1023" t="s">
        <v>2932</v>
      </c>
      <c r="MD39" s="1024" t="s">
        <v>906</v>
      </c>
      <c r="ME39" s="1009">
        <v>0.5</v>
      </c>
      <c r="MF39" s="1010">
        <v>0.75</v>
      </c>
      <c r="MG39" s="1010">
        <v>1</v>
      </c>
      <c r="MH39" s="1010">
        <v>2</v>
      </c>
      <c r="MI39" s="1010">
        <v>0.5</v>
      </c>
      <c r="MJ39" s="1010">
        <v>0.75</v>
      </c>
      <c r="MK39" s="1010">
        <v>1</v>
      </c>
      <c r="ML39" s="1010">
        <v>2</v>
      </c>
      <c r="MM39" s="1010">
        <v>0</v>
      </c>
      <c r="MN39" s="1010">
        <v>0.5</v>
      </c>
      <c r="MO39" s="1010">
        <v>1</v>
      </c>
      <c r="MP39" s="1010">
        <v>2</v>
      </c>
      <c r="MQ39" s="1010">
        <v>0</v>
      </c>
      <c r="MR39" s="1010">
        <v>0.5</v>
      </c>
      <c r="MS39" s="1010">
        <v>1</v>
      </c>
      <c r="MT39" s="1010">
        <v>2</v>
      </c>
      <c r="MU39" s="1001">
        <v>0</v>
      </c>
      <c r="MV39" s="1001">
        <v>0</v>
      </c>
      <c r="MW39" s="1001">
        <v>0</v>
      </c>
      <c r="MX39" s="1025">
        <v>0</v>
      </c>
      <c r="MY39" s="1025">
        <v>0</v>
      </c>
      <c r="MZ39" s="1025">
        <v>0</v>
      </c>
      <c r="NA39" s="1025">
        <v>0</v>
      </c>
      <c r="NB39" s="1025">
        <v>0</v>
      </c>
      <c r="NC39" s="1025">
        <v>0</v>
      </c>
      <c r="ND39" s="1025">
        <v>0</v>
      </c>
      <c r="NE39" s="1025">
        <v>0</v>
      </c>
      <c r="NF39" s="1025">
        <v>0</v>
      </c>
      <c r="NG39" s="1025">
        <v>0</v>
      </c>
      <c r="NH39" s="1025">
        <v>0</v>
      </c>
      <c r="NI39" s="1025">
        <v>0</v>
      </c>
      <c r="NJ39" s="1025">
        <v>0</v>
      </c>
      <c r="NK39" s="1025">
        <v>0</v>
      </c>
      <c r="NL39" s="1025">
        <v>0</v>
      </c>
      <c r="NM39" s="1025">
        <v>0</v>
      </c>
      <c r="NN39" s="1025">
        <v>0</v>
      </c>
      <c r="NO39" s="1025">
        <v>0</v>
      </c>
      <c r="NP39" s="1025">
        <v>0</v>
      </c>
      <c r="NQ39" s="1025">
        <v>0</v>
      </c>
      <c r="NR39" s="1025">
        <v>0</v>
      </c>
      <c r="NS39" s="1025">
        <v>0</v>
      </c>
      <c r="NT39" s="1025">
        <v>0</v>
      </c>
      <c r="NU39" s="1025">
        <v>0</v>
      </c>
      <c r="NV39" s="1025">
        <v>0.59669679822082</v>
      </c>
      <c r="NW39" s="1025">
        <v>0</v>
      </c>
      <c r="NX39" s="1025">
        <v>0.14164557926633001</v>
      </c>
      <c r="NY39" s="1025">
        <v>0.46783850379175002</v>
      </c>
      <c r="NZ39" s="1025">
        <v>0.68695558356205</v>
      </c>
      <c r="OA39" s="1025">
        <v>-7.7999996215049994E-2</v>
      </c>
      <c r="OB39" s="1025">
        <v>0.52814884201516998</v>
      </c>
      <c r="OC39" s="1025">
        <v>0</v>
      </c>
      <c r="OD39" s="1025">
        <v>0.14515855296715999</v>
      </c>
      <c r="OE39" s="1025">
        <v>0.69586265974032002</v>
      </c>
      <c r="OF39" s="1025">
        <v>0.98400448959574005</v>
      </c>
      <c r="OG39" s="1025">
        <v>-7.800000569526E-2</v>
      </c>
      <c r="OH39" s="1025">
        <v>0.50390236485010997</v>
      </c>
      <c r="OI39" s="1025">
        <v>0</v>
      </c>
      <c r="OJ39" s="1025">
        <v>0.34864569988595001</v>
      </c>
      <c r="OK39" s="1025">
        <v>0.65438332820162004</v>
      </c>
      <c r="OL39" s="1025">
        <v>1.4472467808016101</v>
      </c>
      <c r="OM39" s="1025">
        <v>-7.8000002207670005E-2</v>
      </c>
      <c r="ON39" s="1025">
        <v>0.93965479199029001</v>
      </c>
      <c r="OO39" s="1025">
        <v>0</v>
      </c>
      <c r="OP39" s="1025">
        <v>0.25580961960389997</v>
      </c>
      <c r="OQ39" s="1025">
        <v>0.43622798789435002</v>
      </c>
      <c r="OR39" s="1025">
        <v>2.2673390027143401</v>
      </c>
      <c r="OS39" s="1025">
        <v>-7.8000128133900004E-2</v>
      </c>
      <c r="OT39" s="1025">
        <v>0.57624299474596996</v>
      </c>
      <c r="OU39" s="1025">
        <v>0</v>
      </c>
      <c r="OV39" s="1025">
        <v>0.19927651459313001</v>
      </c>
      <c r="OW39" s="1025">
        <v>0.67890564116041996</v>
      </c>
      <c r="OX39" s="1025">
        <v>4.2133102664313</v>
      </c>
      <c r="OY39" s="1025">
        <v>-7.8E-2</v>
      </c>
      <c r="OZ39" s="1025">
        <v>-96.53</v>
      </c>
      <c r="PA39" s="1025">
        <v>-25.54</v>
      </c>
      <c r="PB39" s="1025">
        <v>-0.52627152911694997</v>
      </c>
      <c r="PC39" s="1025">
        <v>0</v>
      </c>
      <c r="PD39" s="1025">
        <v>-0.82833201380301003</v>
      </c>
      <c r="PE39" s="1025">
        <v>-9.5200027802205405</v>
      </c>
      <c r="PF39" s="1025">
        <v>8.1735351245400004E-2</v>
      </c>
      <c r="PG39" s="1025">
        <v>0</v>
      </c>
      <c r="PH39" s="1025">
        <v>0</v>
      </c>
      <c r="PI39" s="1025">
        <v>0</v>
      </c>
      <c r="PJ39" s="1025">
        <v>-0.35490784775706002</v>
      </c>
      <c r="PK39" s="1025">
        <v>-9.5200000043626005</v>
      </c>
      <c r="PL39" s="1025">
        <v>8.8369629563699995E-2</v>
      </c>
      <c r="PM39" s="1025">
        <v>0</v>
      </c>
      <c r="PN39" s="1025">
        <v>0</v>
      </c>
      <c r="PO39" s="1025">
        <v>0</v>
      </c>
      <c r="PP39" s="1025">
        <v>0.44041879737056999</v>
      </c>
      <c r="PQ39" s="1025">
        <v>-9.5200002877049297</v>
      </c>
      <c r="PR39" s="1025">
        <v>0.19930173102723001</v>
      </c>
      <c r="PS39" s="1025">
        <v>0</v>
      </c>
      <c r="PT39" s="1025">
        <v>0</v>
      </c>
      <c r="PU39" s="1025">
        <v>0</v>
      </c>
      <c r="PV39" s="1025">
        <v>1.9046825717203399</v>
      </c>
      <c r="PW39" s="1025">
        <v>-1.3617145366046199</v>
      </c>
      <c r="PX39" s="1025">
        <v>0.22853150063502001</v>
      </c>
      <c r="PY39" s="1025">
        <v>0</v>
      </c>
      <c r="PZ39" s="1025">
        <v>0</v>
      </c>
      <c r="QA39" s="1025">
        <v>0</v>
      </c>
      <c r="QB39" s="1025">
        <v>2.5511451528286502</v>
      </c>
      <c r="QC39" s="1025">
        <v>2.4799999572671498</v>
      </c>
      <c r="QD39" s="1025">
        <v>-96.53</v>
      </c>
      <c r="QE39" s="1025">
        <v>-25.54</v>
      </c>
      <c r="QF39" s="1025">
        <v>-0.87834878525189997</v>
      </c>
      <c r="QG39" s="1025">
        <v>0</v>
      </c>
      <c r="QH39" s="1025">
        <v>-1.1171874694004</v>
      </c>
      <c r="QI39" s="1025">
        <v>-7.9153319042444297</v>
      </c>
      <c r="QJ39" s="1025">
        <v>-8.2623638855050002E-2</v>
      </c>
      <c r="QK39" s="1025">
        <v>0</v>
      </c>
      <c r="QL39" s="1025">
        <v>0</v>
      </c>
      <c r="QM39" s="1025">
        <v>0</v>
      </c>
      <c r="QN39" s="1025">
        <v>0.36145903216832997</v>
      </c>
      <c r="QO39" s="1025">
        <v>-9.3294333960876301</v>
      </c>
      <c r="QP39" s="1025">
        <v>0.51362800738282</v>
      </c>
      <c r="QQ39" s="1025">
        <v>0</v>
      </c>
      <c r="QR39" s="1025">
        <v>0</v>
      </c>
      <c r="QS39" s="1025">
        <v>0</v>
      </c>
      <c r="QT39" s="1025">
        <v>1.8722721977422701</v>
      </c>
      <c r="QU39" s="1025">
        <v>-7.8386550861367397</v>
      </c>
      <c r="QV39" s="1025">
        <v>0.1322289843809</v>
      </c>
      <c r="QW39" s="1025">
        <v>0</v>
      </c>
      <c r="QX39" s="1025">
        <v>0</v>
      </c>
      <c r="QY39" s="1025">
        <v>0</v>
      </c>
      <c r="QZ39" s="1025">
        <v>2.0479174824185602</v>
      </c>
      <c r="RA39" s="1025">
        <v>-1.9719461028521099</v>
      </c>
      <c r="RB39" s="1025">
        <v>0.4983774403024</v>
      </c>
      <c r="RC39" s="1025">
        <v>0</v>
      </c>
      <c r="RD39" s="1025">
        <v>0</v>
      </c>
      <c r="RE39" s="1025">
        <v>0</v>
      </c>
      <c r="RF39" s="1025">
        <v>1.64640472929269</v>
      </c>
      <c r="RG39" s="1025">
        <v>2.9593901131667999</v>
      </c>
      <c r="RH39" s="1011">
        <v>0</v>
      </c>
      <c r="RI39" s="1026">
        <v>0</v>
      </c>
      <c r="RJ39" s="1026">
        <v>0</v>
      </c>
      <c r="RK39" s="1026">
        <v>0</v>
      </c>
      <c r="RL39" s="1026">
        <v>0</v>
      </c>
      <c r="RM39" s="1011">
        <v>0</v>
      </c>
      <c r="RN39" s="1011">
        <v>0</v>
      </c>
      <c r="RO39" s="1011">
        <v>0</v>
      </c>
      <c r="RP39" s="1011">
        <v>0</v>
      </c>
      <c r="RQ39" s="1011">
        <v>0</v>
      </c>
      <c r="RR39" s="1011">
        <v>0</v>
      </c>
      <c r="RS39" s="1011">
        <v>0</v>
      </c>
      <c r="RT39" s="1011">
        <v>-6.5474762075847597</v>
      </c>
      <c r="RU39" s="1011">
        <v>0</v>
      </c>
      <c r="RV39" s="1011">
        <v>-1.12011919345712</v>
      </c>
      <c r="RW39" s="1011">
        <v>0</v>
      </c>
      <c r="RX39" s="1011">
        <v>-2.2619427176410198</v>
      </c>
      <c r="RY39" s="1011">
        <v>-5.2540997889467196</v>
      </c>
      <c r="RZ39" s="1026">
        <v>-0.10852420930351001</v>
      </c>
      <c r="SA39" s="1026">
        <v>0</v>
      </c>
      <c r="SB39" s="1026">
        <v>0</v>
      </c>
      <c r="SC39" s="1026">
        <v>0</v>
      </c>
      <c r="SD39" s="1026">
        <v>-0.77717696399944003</v>
      </c>
      <c r="SE39" s="1026">
        <v>-4.0752428981230198</v>
      </c>
      <c r="SF39" s="1026">
        <v>-0.28964842635364002</v>
      </c>
      <c r="SG39" s="1026">
        <v>0</v>
      </c>
      <c r="SH39" s="1026">
        <v>0</v>
      </c>
      <c r="SI39" s="1026">
        <v>0</v>
      </c>
      <c r="SJ39" s="1026">
        <v>-1.544701313647</v>
      </c>
      <c r="SK39" s="1026">
        <v>-4.7817315295901004</v>
      </c>
      <c r="SL39" s="1025">
        <v>-96.53</v>
      </c>
      <c r="SM39" s="1025">
        <v>-25.54</v>
      </c>
      <c r="SN39" s="1025">
        <v>-0.88206278524589998</v>
      </c>
      <c r="SO39" s="1025">
        <v>0</v>
      </c>
      <c r="SP39" s="1025">
        <v>-0.97643430850954005</v>
      </c>
      <c r="SQ39" s="1025">
        <v>-7.0646425614278501</v>
      </c>
      <c r="SR39" s="1025">
        <v>-0.18099306371446999</v>
      </c>
      <c r="SS39" s="1025">
        <v>0</v>
      </c>
      <c r="ST39" s="1025">
        <v>0</v>
      </c>
      <c r="SU39" s="1025">
        <v>0</v>
      </c>
      <c r="SV39" s="1025">
        <v>-0.35302904987094003</v>
      </c>
      <c r="SW39" s="1025">
        <v>-5.1653966069150004</v>
      </c>
      <c r="SX39" s="1025">
        <v>-0.13494668933319001</v>
      </c>
      <c r="SY39" s="1025">
        <v>0</v>
      </c>
      <c r="SZ39" s="1025">
        <v>0</v>
      </c>
      <c r="TA39" s="1025">
        <v>0</v>
      </c>
      <c r="TB39" s="1025">
        <v>-0.53130813733500004</v>
      </c>
      <c r="TC39" s="1025">
        <v>-5.1603192650255698</v>
      </c>
      <c r="TD39" s="1025">
        <v>0.11852336685426999</v>
      </c>
      <c r="TE39" s="1025">
        <v>0</v>
      </c>
      <c r="TF39" s="1025">
        <v>0</v>
      </c>
      <c r="TG39" s="1025">
        <v>0</v>
      </c>
      <c r="TH39" s="1025">
        <v>0.11031129331172</v>
      </c>
      <c r="TI39" s="1025">
        <v>-5.7796627519320198</v>
      </c>
      <c r="TJ39" s="1025">
        <v>1.0815823628370001E-2</v>
      </c>
      <c r="TK39" s="1025">
        <v>0</v>
      </c>
      <c r="TL39" s="1025">
        <v>0</v>
      </c>
      <c r="TM39" s="1025">
        <v>0</v>
      </c>
      <c r="TN39" s="1025">
        <v>0.43610264376618002</v>
      </c>
      <c r="TO39" s="1025">
        <v>0</v>
      </c>
      <c r="TP39" s="1025">
        <v>-96.53</v>
      </c>
      <c r="TQ39" s="1025">
        <v>-25.54</v>
      </c>
      <c r="TR39" s="1025">
        <v>-0.96859751376040004</v>
      </c>
      <c r="TS39" s="1025">
        <v>0</v>
      </c>
      <c r="TT39" s="1025">
        <v>-3.9872203904001799</v>
      </c>
      <c r="TU39" s="1025">
        <v>0</v>
      </c>
      <c r="TV39" s="1025">
        <v>-0.35485273638893999</v>
      </c>
      <c r="TW39" s="1025">
        <v>0</v>
      </c>
      <c r="TX39" s="1025">
        <v>0</v>
      </c>
      <c r="TY39" s="1025">
        <v>0</v>
      </c>
      <c r="TZ39" s="1025">
        <v>-2.55127686562171</v>
      </c>
      <c r="UA39" s="1025">
        <v>-11.999999873885351</v>
      </c>
      <c r="UB39" s="1025">
        <v>-0.46379416101254001</v>
      </c>
      <c r="UC39" s="1025">
        <v>0</v>
      </c>
      <c r="UD39" s="1025">
        <v>0</v>
      </c>
      <c r="UE39" s="1025">
        <v>0</v>
      </c>
      <c r="UF39" s="1025">
        <v>-2.5556733512114298</v>
      </c>
      <c r="UG39" s="1025">
        <v>-11.99999994138023</v>
      </c>
      <c r="UH39" s="1025">
        <v>-2.0004685838399998E-3</v>
      </c>
      <c r="UI39" s="1025">
        <v>0</v>
      </c>
      <c r="UJ39" s="1025">
        <v>0</v>
      </c>
      <c r="UK39" s="1025">
        <v>0</v>
      </c>
      <c r="UL39" s="1025">
        <v>-2.8676560469559999E-2</v>
      </c>
      <c r="UM39" s="1025">
        <v>-12</v>
      </c>
      <c r="UN39" s="1025">
        <v>-6.1171924309660002E-2</v>
      </c>
      <c r="UO39" s="1025">
        <v>0</v>
      </c>
      <c r="UP39" s="1025">
        <v>0</v>
      </c>
      <c r="UQ39" s="1025">
        <v>0</v>
      </c>
      <c r="UR39" s="1025">
        <v>-0.35792008867167002</v>
      </c>
      <c r="US39" s="1025">
        <v>0</v>
      </c>
      <c r="UT39" s="1025">
        <v>0.60113619630357995</v>
      </c>
      <c r="UU39" s="1025">
        <v>0</v>
      </c>
      <c r="UV39" s="1025">
        <v>2.8005612640350001E-2</v>
      </c>
      <c r="UW39" s="1025">
        <v>-3.4232747484629997E-2</v>
      </c>
      <c r="UX39" s="1025">
        <v>2.4931931318999999E-3</v>
      </c>
      <c r="UY39" s="1025">
        <v>-7.7999999765379996E-2</v>
      </c>
      <c r="UZ39" s="1025">
        <v>0.21366444610008001</v>
      </c>
      <c r="VA39" s="1025">
        <v>0</v>
      </c>
      <c r="VB39" s="1025">
        <v>0</v>
      </c>
      <c r="VC39" s="1025">
        <v>0</v>
      </c>
      <c r="VD39" s="1025">
        <v>0.2042951285339</v>
      </c>
      <c r="VE39" s="1025">
        <v>-9.5199999999021401</v>
      </c>
      <c r="VF39" s="1025">
        <v>1.882880099973E-2</v>
      </c>
      <c r="VG39" s="1025">
        <v>0</v>
      </c>
      <c r="VH39" s="1025">
        <v>0</v>
      </c>
      <c r="VI39" s="1025">
        <v>0</v>
      </c>
      <c r="VJ39" s="1025">
        <v>-0.11904104568618</v>
      </c>
      <c r="VK39" s="1025">
        <v>-9.0822944395772307</v>
      </c>
      <c r="VL39" s="1025">
        <v>0</v>
      </c>
      <c r="VM39" s="1025">
        <v>0</v>
      </c>
      <c r="VN39" s="1025">
        <v>0</v>
      </c>
      <c r="VO39" s="1025">
        <v>0</v>
      </c>
      <c r="VP39" s="1025">
        <v>0</v>
      </c>
      <c r="VQ39" s="1025">
        <v>0</v>
      </c>
      <c r="VR39" s="1010">
        <v>2.4691270545000002E-4</v>
      </c>
      <c r="VS39" s="1010">
        <v>0</v>
      </c>
      <c r="VT39" s="1010">
        <v>0</v>
      </c>
      <c r="VU39" s="1010">
        <v>0</v>
      </c>
      <c r="VV39" s="1010">
        <v>2.4371794992599999E-3</v>
      </c>
      <c r="VW39" s="1010">
        <v>-4.8510578965523603</v>
      </c>
      <c r="VX39" s="1025">
        <v>8.0795327702999999E-4</v>
      </c>
      <c r="VY39" s="1025">
        <v>0</v>
      </c>
      <c r="VZ39" s="1025">
        <v>0</v>
      </c>
      <c r="WA39" s="1025">
        <v>0</v>
      </c>
      <c r="WB39" s="1025">
        <v>5.614983634529E-2</v>
      </c>
      <c r="WC39" s="1025">
        <v>-2.5349841686251202</v>
      </c>
      <c r="WD39" s="995">
        <v>202</v>
      </c>
      <c r="WE39" s="995">
        <v>267</v>
      </c>
      <c r="WF39" s="995">
        <v>354</v>
      </c>
      <c r="WG39" s="995">
        <v>382</v>
      </c>
      <c r="WH39" s="995">
        <v>403</v>
      </c>
      <c r="WI39" s="995">
        <v>0</v>
      </c>
      <c r="WJ39" s="995">
        <v>1300</v>
      </c>
      <c r="WK39" s="1001">
        <v>0</v>
      </c>
      <c r="WL39" s="1001">
        <v>0</v>
      </c>
      <c r="WM39" s="1001">
        <v>0</v>
      </c>
      <c r="WN39" s="1001">
        <v>0</v>
      </c>
      <c r="WO39" s="1001">
        <v>0</v>
      </c>
      <c r="WP39" s="1001">
        <v>0</v>
      </c>
      <c r="WQ39" s="1001">
        <v>0</v>
      </c>
      <c r="WR39" s="1001">
        <v>0</v>
      </c>
      <c r="WS39" s="1001">
        <v>0</v>
      </c>
      <c r="WT39" s="1001">
        <v>0</v>
      </c>
      <c r="WU39" s="1001">
        <v>0</v>
      </c>
      <c r="WV39" s="1001">
        <v>0</v>
      </c>
      <c r="WW39" s="1001">
        <v>0</v>
      </c>
      <c r="WX39" s="1001">
        <v>0</v>
      </c>
      <c r="WY39" s="1001">
        <v>0</v>
      </c>
      <c r="WZ39" s="1001">
        <v>0</v>
      </c>
      <c r="XA39" s="1001">
        <v>0</v>
      </c>
      <c r="XB39" s="1001">
        <v>0</v>
      </c>
      <c r="XC39" s="1001">
        <v>0</v>
      </c>
      <c r="XD39" s="1001">
        <v>0</v>
      </c>
      <c r="XE39" s="1001">
        <v>0</v>
      </c>
      <c r="XF39" s="1001">
        <v>0</v>
      </c>
      <c r="XG39" s="1001">
        <v>0</v>
      </c>
      <c r="XH39" s="1001">
        <v>0</v>
      </c>
      <c r="XI39" s="1001">
        <v>0</v>
      </c>
      <c r="XJ39" s="1001">
        <v>0</v>
      </c>
      <c r="XK39" s="1001">
        <v>0</v>
      </c>
      <c r="XL39" s="1001">
        <v>0</v>
      </c>
      <c r="XM39" s="1001">
        <v>0</v>
      </c>
      <c r="XN39" s="1001">
        <v>0</v>
      </c>
      <c r="XO39" s="1001">
        <v>0</v>
      </c>
      <c r="XP39" s="1001">
        <v>0</v>
      </c>
      <c r="XQ39" s="1001">
        <v>0</v>
      </c>
      <c r="XR39" s="1027">
        <v>87.807500000000005</v>
      </c>
      <c r="XS39" s="1013">
        <v>69.65939457202505</v>
      </c>
      <c r="XT39" s="1013">
        <v>76.991962421711904</v>
      </c>
      <c r="XU39" s="1013">
        <v>80.65824634655533</v>
      </c>
      <c r="XV39" s="1013">
        <v>123.92039665970773</v>
      </c>
      <c r="XW39" s="1028">
        <v>14318.32</v>
      </c>
      <c r="XX39" s="1013">
        <v>78</v>
      </c>
      <c r="XY39" s="1013">
        <v>15</v>
      </c>
      <c r="XZ39" s="1013">
        <v>7.0000000000000009</v>
      </c>
      <c r="YA39" s="1029">
        <v>0</v>
      </c>
      <c r="YB39" s="1013">
        <v>1486.996527614348</v>
      </c>
      <c r="YC39" s="1013">
        <v>0</v>
      </c>
      <c r="YD39" s="1013">
        <v>0</v>
      </c>
      <c r="YE39" s="1013">
        <v>0</v>
      </c>
      <c r="YF39" s="1013">
        <v>0</v>
      </c>
      <c r="YG39" s="1013">
        <v>0</v>
      </c>
      <c r="YH39" s="1013">
        <v>1115.2473957107609</v>
      </c>
      <c r="YI39" s="1013">
        <v>495.66550920478267</v>
      </c>
      <c r="YJ39" s="1013">
        <v>1595.1835814810265</v>
      </c>
      <c r="YK39" s="1013">
        <v>0</v>
      </c>
      <c r="YL39" s="1013">
        <v>0</v>
      </c>
      <c r="YM39" s="1013">
        <v>0</v>
      </c>
      <c r="YN39" s="1013">
        <v>0</v>
      </c>
      <c r="YO39" s="1013">
        <v>0</v>
      </c>
      <c r="YP39" s="1013">
        <v>1196.3876861107699</v>
      </c>
      <c r="YQ39" s="1013">
        <v>531.72786049367551</v>
      </c>
      <c r="YR39" s="1013">
        <v>1671.1447044086947</v>
      </c>
      <c r="YS39" s="1013">
        <v>0</v>
      </c>
      <c r="YT39" s="1013">
        <v>0</v>
      </c>
      <c r="YU39" s="1013">
        <v>0</v>
      </c>
      <c r="YV39" s="1013">
        <v>0</v>
      </c>
      <c r="YW39" s="1013">
        <v>0</v>
      </c>
      <c r="YX39" s="1013">
        <v>1253.3585283065211</v>
      </c>
      <c r="YY39" s="1013">
        <v>557.04823480289826</v>
      </c>
      <c r="YZ39" s="1013">
        <v>2567.4859549551761</v>
      </c>
      <c r="ZA39" s="1013">
        <v>0</v>
      </c>
      <c r="ZB39" s="1013">
        <v>0</v>
      </c>
      <c r="ZC39" s="1013">
        <v>0</v>
      </c>
      <c r="ZD39" s="1013">
        <v>0</v>
      </c>
      <c r="ZE39" s="1013">
        <v>0</v>
      </c>
      <c r="ZF39" s="1013">
        <v>1925.614466216382</v>
      </c>
      <c r="ZG39" s="1013">
        <v>855.82865165172541</v>
      </c>
      <c r="ZH39" s="1013">
        <v>1024.3753856898841</v>
      </c>
      <c r="ZI39" s="1013">
        <v>1536.5630785348262</v>
      </c>
      <c r="ZJ39" s="1013">
        <v>469.50538510786362</v>
      </c>
      <c r="ZK39" s="1013">
        <v>128.04692321123551</v>
      </c>
      <c r="ZL39" s="1013">
        <v>0</v>
      </c>
      <c r="ZM39" s="1013">
        <v>0</v>
      </c>
      <c r="ZN39" s="1013">
        <v>768.28153926741311</v>
      </c>
      <c r="ZO39" s="1013">
        <v>341.45846189662808</v>
      </c>
      <c r="ZP39" s="1013">
        <v>1098.9042450202628</v>
      </c>
      <c r="ZQ39" s="1013">
        <v>1648.356367530394</v>
      </c>
      <c r="ZR39" s="1013">
        <v>503.66444563428712</v>
      </c>
      <c r="ZS39" s="1013">
        <v>137.36303062753285</v>
      </c>
      <c r="ZT39" s="1013">
        <v>0</v>
      </c>
      <c r="ZU39" s="1013">
        <v>0</v>
      </c>
      <c r="ZV39" s="1013">
        <v>824.17818376519699</v>
      </c>
      <c r="ZW39" s="1013">
        <v>366.30141500675427</v>
      </c>
      <c r="ZX39" s="1013">
        <v>1151.2330185926562</v>
      </c>
      <c r="ZY39" s="1013">
        <v>1726.8495278889843</v>
      </c>
      <c r="ZZ39" s="1013">
        <v>527.64846685496741</v>
      </c>
      <c r="AAA39" s="1013">
        <v>143.90412732408203</v>
      </c>
      <c r="AAB39" s="1013">
        <v>0</v>
      </c>
      <c r="AAC39" s="1013">
        <v>0</v>
      </c>
      <c r="AAD39" s="1013">
        <v>863.42476394449216</v>
      </c>
      <c r="AAE39" s="1013">
        <v>383.74433953088544</v>
      </c>
      <c r="AAF39" s="1013">
        <v>1768.7125467468989</v>
      </c>
      <c r="AAG39" s="1013">
        <v>2653.0688201203484</v>
      </c>
      <c r="AAH39" s="1013">
        <v>810.65991725899528</v>
      </c>
      <c r="AAI39" s="1013">
        <v>221.08906834336236</v>
      </c>
      <c r="AAJ39" s="1013">
        <v>0</v>
      </c>
      <c r="AAK39" s="1013">
        <v>0</v>
      </c>
      <c r="AAL39" s="1013">
        <v>1326.5344100601742</v>
      </c>
      <c r="AAM39" s="1013">
        <v>589.57084891563295</v>
      </c>
      <c r="AAN39" s="1013">
        <v>2726.1603006263049</v>
      </c>
      <c r="AAO39" s="1013">
        <v>4089.2404509394569</v>
      </c>
      <c r="AAP39" s="1013">
        <v>1249.4901377870565</v>
      </c>
      <c r="AAQ39" s="1013">
        <v>340.77003757828811</v>
      </c>
      <c r="AAR39" s="1013">
        <v>0</v>
      </c>
      <c r="AAS39" s="1013">
        <v>0</v>
      </c>
      <c r="AAT39" s="1013">
        <v>2044.6202254697284</v>
      </c>
      <c r="AAU39" s="1013">
        <v>908.72010020876826</v>
      </c>
      <c r="AAV39" s="1013">
        <v>3013.1245427974945</v>
      </c>
      <c r="AAW39" s="1013">
        <v>4519.6868141962423</v>
      </c>
      <c r="AAX39" s="1013">
        <v>1381.0154154488519</v>
      </c>
      <c r="AAY39" s="1013">
        <v>376.64056784968682</v>
      </c>
      <c r="AAZ39" s="1013">
        <v>0</v>
      </c>
      <c r="ABA39" s="1013">
        <v>0</v>
      </c>
      <c r="ABB39" s="1013">
        <v>2259.8434070981211</v>
      </c>
      <c r="ABC39" s="1013">
        <v>1004.3748475991649</v>
      </c>
      <c r="ABD39" s="1013">
        <v>3156.6066638830898</v>
      </c>
      <c r="ABE39" s="1013">
        <v>4734.9099958246343</v>
      </c>
      <c r="ABF39" s="1013">
        <v>1446.7780542797495</v>
      </c>
      <c r="ABG39" s="1013">
        <v>394.57583298538623</v>
      </c>
      <c r="ABH39" s="1013">
        <v>0</v>
      </c>
      <c r="ABI39" s="1013">
        <v>0</v>
      </c>
      <c r="ABJ39" s="1013">
        <v>2367.4549979123171</v>
      </c>
      <c r="ABK39" s="1013">
        <v>1052.2022212943632</v>
      </c>
      <c r="ABL39" s="1013">
        <v>4849.6956926931098</v>
      </c>
      <c r="ABM39" s="1013">
        <v>7274.5435390396651</v>
      </c>
      <c r="ABN39" s="1013">
        <v>2222.7771924843423</v>
      </c>
      <c r="ABO39" s="1013">
        <v>606.21196158663872</v>
      </c>
      <c r="ABP39" s="1013">
        <v>0</v>
      </c>
      <c r="ABQ39" s="1013">
        <v>0</v>
      </c>
      <c r="ABR39" s="1013">
        <v>3637.2717695198326</v>
      </c>
      <c r="ABS39" s="1013">
        <v>1616.5652308977035</v>
      </c>
      <c r="ABT39" s="1013">
        <v>3750.5356863161887</v>
      </c>
      <c r="ABU39" s="1013">
        <v>5625.8035294742831</v>
      </c>
      <c r="ABV39" s="1013">
        <v>1718.99552289492</v>
      </c>
      <c r="ABW39" s="1013">
        <v>468.81696078952359</v>
      </c>
      <c r="ABX39" s="1013">
        <v>0</v>
      </c>
      <c r="ABY39" s="1013">
        <v>0</v>
      </c>
      <c r="ABZ39" s="1013">
        <v>2812.9017647371415</v>
      </c>
      <c r="ACA39" s="1013">
        <v>1250.1785621053964</v>
      </c>
      <c r="ACB39" s="1013">
        <v>3970.2346916861111</v>
      </c>
      <c r="ACC39" s="1013">
        <v>5955.3520375291664</v>
      </c>
      <c r="ACD39" s="1013">
        <v>1819.6909003561343</v>
      </c>
      <c r="ACE39" s="1013">
        <v>496.27933646076389</v>
      </c>
      <c r="ACF39" s="1013">
        <v>0</v>
      </c>
      <c r="ACG39" s="1013">
        <v>0</v>
      </c>
      <c r="ACH39" s="1013">
        <v>2977.6760187645832</v>
      </c>
      <c r="ACI39" s="1013">
        <v>1323.4115638953704</v>
      </c>
      <c r="ACJ39" s="1013">
        <v>4159.2934865283069</v>
      </c>
      <c r="ACK39" s="1013">
        <v>6238.9402297924598</v>
      </c>
      <c r="ACL39" s="1013">
        <v>1906.3428479921406</v>
      </c>
      <c r="ACM39" s="1013">
        <v>519.91168581603836</v>
      </c>
      <c r="ACN39" s="1013">
        <v>0</v>
      </c>
      <c r="ACO39" s="1013">
        <v>0</v>
      </c>
      <c r="ACP39" s="1013">
        <v>3119.4701148962299</v>
      </c>
      <c r="ACQ39" s="1013">
        <v>1386.4311621761024</v>
      </c>
      <c r="ACR39" s="1013">
        <v>6390.1872656662163</v>
      </c>
      <c r="ACS39" s="1013">
        <v>9585.2808984993244</v>
      </c>
      <c r="ACT39" s="1013">
        <v>2928.8358300970158</v>
      </c>
      <c r="ACU39" s="1013">
        <v>798.77340820827703</v>
      </c>
      <c r="ACV39" s="1013">
        <v>0</v>
      </c>
      <c r="ACW39" s="1013">
        <v>0</v>
      </c>
      <c r="ACX39" s="1013">
        <v>4792.6404492496622</v>
      </c>
      <c r="ACY39" s="1013">
        <v>2130.0624218887388</v>
      </c>
      <c r="ACZ39" s="1013">
        <v>4857.5219902068702</v>
      </c>
      <c r="ADA39" s="1013">
        <v>7286.2829853103058</v>
      </c>
      <c r="ADB39" s="1013">
        <v>2226.3642455114823</v>
      </c>
      <c r="ADC39" s="1013">
        <v>607.19024877585878</v>
      </c>
      <c r="ADD39" s="1013">
        <v>0</v>
      </c>
      <c r="ADE39" s="1013">
        <v>0</v>
      </c>
      <c r="ADF39" s="1013">
        <v>3643.1414926551529</v>
      </c>
      <c r="ADG39" s="1013">
        <v>1619.1739967356236</v>
      </c>
      <c r="ADH39" s="1013">
        <v>5193.208770821564</v>
      </c>
      <c r="ADI39" s="1013">
        <v>7789.813156232347</v>
      </c>
      <c r="ADJ39" s="1013">
        <v>2380.2206866265506</v>
      </c>
      <c r="ADK39" s="1013">
        <v>649.1510963526955</v>
      </c>
      <c r="ADL39" s="1013">
        <v>0</v>
      </c>
      <c r="ADM39" s="1013">
        <v>0</v>
      </c>
      <c r="ADN39" s="1013">
        <v>3894.9065781161735</v>
      </c>
      <c r="ADO39" s="1013">
        <v>1731.0695902738548</v>
      </c>
      <c r="ADP39" s="1013">
        <v>5440.5044265749721</v>
      </c>
      <c r="ADQ39" s="1013">
        <v>8160.7566398624585</v>
      </c>
      <c r="ADR39" s="1013">
        <v>2493.5645288468622</v>
      </c>
      <c r="ADS39" s="1013">
        <v>680.06305332187151</v>
      </c>
      <c r="ADT39" s="1013">
        <v>0</v>
      </c>
      <c r="ADU39" s="1013">
        <v>0</v>
      </c>
      <c r="ADV39" s="1013">
        <v>4080.3783199312293</v>
      </c>
      <c r="ADW39" s="1013">
        <v>1813.5014755249908</v>
      </c>
      <c r="ADX39" s="1013">
        <v>8358.5931644651846</v>
      </c>
      <c r="ADY39" s="1013">
        <v>12537.889746697776</v>
      </c>
      <c r="ADZ39" s="1013">
        <v>3831.0218670465429</v>
      </c>
      <c r="AEA39" s="1013">
        <v>1044.8241455581481</v>
      </c>
      <c r="AEB39" s="1013">
        <v>0</v>
      </c>
      <c r="AEC39" s="1013">
        <v>0</v>
      </c>
      <c r="AED39" s="1013">
        <v>6268.944873348888</v>
      </c>
      <c r="AEE39" s="1013">
        <v>2786.197721488395</v>
      </c>
      <c r="AEF39" s="1013">
        <v>5931.4639268172323</v>
      </c>
      <c r="AEG39" s="1013">
        <v>8897.1958902258484</v>
      </c>
      <c r="AEH39" s="1013">
        <v>2718.5876331245649</v>
      </c>
      <c r="AEI39" s="1013">
        <v>741.43299085215403</v>
      </c>
      <c r="AEJ39" s="1013">
        <v>0</v>
      </c>
      <c r="AEK39" s="1013">
        <v>0</v>
      </c>
      <c r="AEL39" s="1013">
        <v>4448.5979451129242</v>
      </c>
      <c r="AEM39" s="1013">
        <v>1977.1546422724109</v>
      </c>
      <c r="AEN39" s="1013">
        <v>6380.7343259241061</v>
      </c>
      <c r="AEO39" s="1013">
        <v>9571.1014888861591</v>
      </c>
      <c r="AEP39" s="1013">
        <v>2924.5032327152153</v>
      </c>
      <c r="AEQ39" s="1013">
        <v>797.59179074051326</v>
      </c>
      <c r="AER39" s="1013">
        <v>0</v>
      </c>
      <c r="AES39" s="1013">
        <v>0</v>
      </c>
      <c r="AET39" s="1013">
        <v>4785.5507444430796</v>
      </c>
      <c r="AEU39" s="1013">
        <v>2126.911441974702</v>
      </c>
      <c r="AEV39" s="1013">
        <v>6684.5788176347787</v>
      </c>
      <c r="AEW39" s="1013">
        <v>10026.868226452169</v>
      </c>
      <c r="AEX39" s="1013">
        <v>3063.7652914159403</v>
      </c>
      <c r="AEY39" s="1013">
        <v>835.57235220434734</v>
      </c>
      <c r="AEZ39" s="1013">
        <v>0</v>
      </c>
      <c r="AFA39" s="1013">
        <v>0</v>
      </c>
      <c r="AFB39" s="1013">
        <v>5013.4341132260843</v>
      </c>
      <c r="AFC39" s="1013">
        <v>2228.1929392115931</v>
      </c>
      <c r="AFD39" s="1013">
        <v>10269.943819820704</v>
      </c>
      <c r="AFE39" s="1013">
        <v>15404.915729731056</v>
      </c>
      <c r="AFF39" s="1013">
        <v>4707.0575840844895</v>
      </c>
      <c r="AFG39" s="1013">
        <v>1283.7429774775881</v>
      </c>
      <c r="AFH39" s="1013">
        <v>0</v>
      </c>
      <c r="AFI39" s="1013">
        <v>0</v>
      </c>
      <c r="AFJ39" s="1013">
        <v>7702.4578648655279</v>
      </c>
      <c r="AFK39" s="1013">
        <v>3423.3146066069016</v>
      </c>
      <c r="AFL39" s="1023">
        <v>6840.1840270260018</v>
      </c>
      <c r="AFM39" s="1023">
        <v>10260.276040539002</v>
      </c>
      <c r="AFN39" s="1023">
        <v>3135.0843457202509</v>
      </c>
      <c r="AFO39" s="1023">
        <v>855.02300337825022</v>
      </c>
      <c r="AFP39" s="1023">
        <v>0</v>
      </c>
      <c r="AFQ39" s="1023">
        <v>0</v>
      </c>
      <c r="AFR39" s="1023">
        <v>5130.1380202695009</v>
      </c>
      <c r="AFS39" s="1023">
        <v>2280.0613423420004</v>
      </c>
      <c r="AFT39" s="1023">
        <v>7266.9474267468986</v>
      </c>
      <c r="AFU39" s="1023">
        <v>10900.421140120348</v>
      </c>
      <c r="AFV39" s="1023">
        <v>3330.6842372589954</v>
      </c>
      <c r="AFW39" s="1023">
        <v>908.36842834336232</v>
      </c>
      <c r="AFX39" s="1023">
        <v>0</v>
      </c>
      <c r="AFY39" s="1023">
        <v>0</v>
      </c>
      <c r="AFZ39" s="1023">
        <v>5450.2105700601742</v>
      </c>
      <c r="AGA39" s="1023">
        <v>2422.3158089156332</v>
      </c>
      <c r="AGB39" s="1023">
        <v>7612.9925423062741</v>
      </c>
      <c r="AGC39" s="1023">
        <v>11419.488813459411</v>
      </c>
      <c r="AGD39" s="1023">
        <v>3489.2882485570426</v>
      </c>
      <c r="AGE39" s="1023">
        <v>951.62406778828426</v>
      </c>
      <c r="AGF39" s="1023">
        <v>0</v>
      </c>
      <c r="AGG39" s="1023">
        <v>0</v>
      </c>
      <c r="AGH39" s="1023">
        <v>5709.7444067297056</v>
      </c>
      <c r="AGI39" s="1023">
        <v>2537.6641807687583</v>
      </c>
      <c r="AGJ39" s="1023">
        <v>11696.324905906913</v>
      </c>
      <c r="AGK39" s="1023">
        <v>17544.48735886037</v>
      </c>
      <c r="AGL39" s="1023">
        <v>5360.8155818740024</v>
      </c>
      <c r="AGM39" s="1023">
        <v>1462.0406132383641</v>
      </c>
      <c r="AGN39" s="1023">
        <v>0</v>
      </c>
      <c r="AGO39" s="1023">
        <v>0</v>
      </c>
      <c r="AGP39" s="1023">
        <v>8772.2436794301848</v>
      </c>
      <c r="AGQ39" s="1023">
        <v>3898.7749686356378</v>
      </c>
      <c r="AGR39" s="1030">
        <v>2726.1603006263049</v>
      </c>
      <c r="AGS39" s="1030">
        <v>4089.2404509394569</v>
      </c>
      <c r="AGT39" s="1030">
        <v>1249.4901377870565</v>
      </c>
      <c r="AGU39" s="1030">
        <v>340.77003757828811</v>
      </c>
      <c r="AGV39" s="1030">
        <v>0</v>
      </c>
      <c r="AGW39" s="1030">
        <v>0</v>
      </c>
      <c r="AGX39" s="1030">
        <v>2044.6202254697284</v>
      </c>
      <c r="AGY39" s="1030">
        <v>908.72010020876826</v>
      </c>
      <c r="AGZ39" s="1030">
        <v>3013.1245427974945</v>
      </c>
      <c r="AHA39" s="1030">
        <v>4519.6868141962423</v>
      </c>
      <c r="AHB39" s="1030">
        <v>1381.0154154488519</v>
      </c>
      <c r="AHC39" s="1030">
        <v>376.64056784968682</v>
      </c>
      <c r="AHD39" s="1030">
        <v>0</v>
      </c>
      <c r="AHE39" s="1030">
        <v>0</v>
      </c>
      <c r="AHF39" s="1030">
        <v>2259.8434070981211</v>
      </c>
      <c r="AHG39" s="1030">
        <v>1004.3748475991649</v>
      </c>
      <c r="AHH39" s="1030">
        <v>3156.6066638830898</v>
      </c>
      <c r="AHI39" s="1030">
        <v>4734.9099958246343</v>
      </c>
      <c r="AHJ39" s="1030">
        <v>1446.7780542797495</v>
      </c>
      <c r="AHK39" s="1030">
        <v>394.57583298538623</v>
      </c>
      <c r="AHL39" s="1030">
        <v>0</v>
      </c>
      <c r="AHM39" s="1030">
        <v>0</v>
      </c>
      <c r="AHN39" s="1030">
        <v>2367.4549979123171</v>
      </c>
      <c r="AHO39" s="1030">
        <v>1052.2022212943632</v>
      </c>
      <c r="AHP39" s="1030">
        <v>4849.6956926931098</v>
      </c>
      <c r="AHQ39" s="1030">
        <v>7274.5435390396651</v>
      </c>
      <c r="AHR39" s="1030">
        <v>2222.7771924843423</v>
      </c>
      <c r="AHS39" s="1030">
        <v>606.21196158663872</v>
      </c>
      <c r="AHT39" s="1030">
        <v>0</v>
      </c>
      <c r="AHU39" s="1030">
        <v>0</v>
      </c>
      <c r="AHV39" s="1030">
        <v>3637.2717695198326</v>
      </c>
      <c r="AHW39" s="1030">
        <v>1616.5652308977035</v>
      </c>
      <c r="AHX39" s="1013">
        <v>165</v>
      </c>
      <c r="AHY39" s="1023">
        <v>0</v>
      </c>
      <c r="AHZ39" s="1023">
        <v>0</v>
      </c>
      <c r="AIA39" s="1023">
        <v>0</v>
      </c>
      <c r="AIB39" s="1023">
        <v>0</v>
      </c>
      <c r="AIC39" s="1023">
        <v>0</v>
      </c>
      <c r="AID39" s="1023">
        <v>0</v>
      </c>
      <c r="AIE39" s="1023">
        <v>0</v>
      </c>
      <c r="AIF39" s="1017">
        <v>420</v>
      </c>
      <c r="AIG39" s="1017">
        <v>32.409999999999997</v>
      </c>
      <c r="AIH39" s="1017">
        <v>27.01</v>
      </c>
      <c r="AII39" s="1017">
        <v>0</v>
      </c>
      <c r="AIJ39" s="1017">
        <v>2.52</v>
      </c>
      <c r="AIK39" s="1017">
        <v>3.06</v>
      </c>
      <c r="AIL39" s="1017">
        <v>0</v>
      </c>
      <c r="AIM39" s="1017">
        <v>0</v>
      </c>
      <c r="AIN39" s="1016">
        <v>350</v>
      </c>
      <c r="AIO39" s="1016">
        <v>64.819999999999993</v>
      </c>
      <c r="AIP39" s="1017">
        <v>54.02</v>
      </c>
      <c r="AIQ39" s="1017">
        <v>0</v>
      </c>
      <c r="AIR39" s="1017">
        <v>5.04</v>
      </c>
      <c r="AIS39" s="1017">
        <v>6.12</v>
      </c>
      <c r="AIT39" s="1017">
        <v>0</v>
      </c>
      <c r="AIU39" s="1017">
        <v>0</v>
      </c>
      <c r="AIV39" s="1017">
        <v>120</v>
      </c>
      <c r="AIW39" s="1017">
        <v>47.37</v>
      </c>
      <c r="AIX39" s="1017">
        <v>39.47</v>
      </c>
      <c r="AIY39" s="1017">
        <v>0</v>
      </c>
      <c r="AIZ39" s="1017">
        <v>3.68</v>
      </c>
      <c r="AJA39" s="1017">
        <v>4.4800000000000004</v>
      </c>
      <c r="AJB39" s="1017">
        <v>0</v>
      </c>
      <c r="AJC39" s="1017">
        <v>0</v>
      </c>
      <c r="AJD39" s="1017">
        <v>129.6</v>
      </c>
      <c r="AJE39" s="1017">
        <v>96.93</v>
      </c>
      <c r="AJF39" s="1017">
        <v>80.78</v>
      </c>
      <c r="AJG39" s="1017">
        <v>0</v>
      </c>
      <c r="AJH39" s="1017">
        <v>7.54</v>
      </c>
      <c r="AJI39" s="1017">
        <v>9.15</v>
      </c>
      <c r="AJJ39" s="1017">
        <v>0</v>
      </c>
      <c r="AJK39" s="1013">
        <v>0</v>
      </c>
      <c r="AJL39" s="1013">
        <v>160</v>
      </c>
      <c r="AJM39" s="1013">
        <v>17.45</v>
      </c>
      <c r="AJN39" s="1013">
        <v>14.54</v>
      </c>
      <c r="AJO39" s="1013">
        <v>0</v>
      </c>
      <c r="AJP39" s="1013">
        <v>1.36</v>
      </c>
      <c r="AJQ39" s="1013">
        <v>1.65</v>
      </c>
      <c r="AJR39" s="1013">
        <v>0</v>
      </c>
      <c r="AJS39" s="1013">
        <v>0</v>
      </c>
      <c r="AJT39" s="1029" t="s">
        <v>858</v>
      </c>
      <c r="AJU39" s="988" t="s">
        <v>861</v>
      </c>
      <c r="AJV39" s="988" t="s">
        <v>860</v>
      </c>
      <c r="AJW39" s="988" t="s">
        <v>859</v>
      </c>
      <c r="AJX39" s="988" t="s">
        <v>870</v>
      </c>
      <c r="AJY39" s="988" t="s">
        <v>871</v>
      </c>
      <c r="AJZ39" s="988" t="s">
        <v>872</v>
      </c>
      <c r="AKA39" s="988" t="s">
        <v>873</v>
      </c>
      <c r="AKB39" s="988" t="s">
        <v>874</v>
      </c>
      <c r="AKC39" s="988" t="s">
        <v>875</v>
      </c>
      <c r="AKD39" s="1013">
        <v>103.5</v>
      </c>
      <c r="AKE39" s="1013">
        <v>0</v>
      </c>
      <c r="AKF39" s="1013">
        <v>0</v>
      </c>
      <c r="AKG39" s="1013">
        <v>0</v>
      </c>
      <c r="AKH39" s="1013">
        <v>0</v>
      </c>
      <c r="AKI39" s="1013">
        <v>0</v>
      </c>
      <c r="AKJ39" s="1013">
        <v>4.5</v>
      </c>
      <c r="AKK39" s="1013">
        <v>15.750000000000002</v>
      </c>
      <c r="AKL39" s="1017">
        <v>304.22727272727263</v>
      </c>
      <c r="AKM39" s="1017">
        <v>0</v>
      </c>
      <c r="AKN39" s="1017">
        <v>0</v>
      </c>
      <c r="AKO39" s="1017">
        <v>0</v>
      </c>
      <c r="AKP39" s="1017">
        <v>0</v>
      </c>
      <c r="AKQ39" s="1017">
        <v>0</v>
      </c>
      <c r="AKR39" s="1017">
        <v>13.227272727272725</v>
      </c>
      <c r="AKS39" s="1017">
        <v>46.295454545454547</v>
      </c>
      <c r="AKT39" s="1016">
        <v>301.09090909090907</v>
      </c>
      <c r="AKU39" s="1016">
        <v>0</v>
      </c>
      <c r="AKV39" s="1017">
        <v>0</v>
      </c>
      <c r="AKW39" s="1017">
        <v>0</v>
      </c>
      <c r="AKX39" s="1017">
        <v>0</v>
      </c>
      <c r="AKY39" s="1017">
        <v>0</v>
      </c>
      <c r="AKZ39" s="1017">
        <v>13.09090909090909</v>
      </c>
      <c r="ALA39" s="1017">
        <v>45.81818181818182</v>
      </c>
      <c r="ALB39" s="1017">
        <v>134.86363636363635</v>
      </c>
      <c r="ALC39" s="1017">
        <v>0</v>
      </c>
      <c r="ALD39" s="1017">
        <v>0</v>
      </c>
      <c r="ALE39" s="1017">
        <v>0</v>
      </c>
      <c r="ALF39" s="1017">
        <v>0</v>
      </c>
      <c r="ALG39" s="1017">
        <v>0</v>
      </c>
      <c r="ALH39" s="1017">
        <v>5.8636363636363633</v>
      </c>
      <c r="ALI39" s="1017">
        <v>20.522727272727273</v>
      </c>
      <c r="ALJ39" s="1017">
        <v>203.23636363636362</v>
      </c>
      <c r="ALK39" s="1017">
        <v>0</v>
      </c>
      <c r="ALL39" s="1017">
        <v>0</v>
      </c>
      <c r="ALM39" s="1017">
        <v>0</v>
      </c>
      <c r="ALN39" s="1017">
        <v>0</v>
      </c>
      <c r="ALO39" s="1017">
        <v>0</v>
      </c>
      <c r="ALP39" s="1017">
        <v>8.836363636363636</v>
      </c>
      <c r="ALQ39" s="1017">
        <v>30.927272727272729</v>
      </c>
      <c r="ALR39" s="1017">
        <v>122.31818181818181</v>
      </c>
      <c r="ALS39" s="1017">
        <v>0</v>
      </c>
      <c r="ALT39" s="1017">
        <v>0</v>
      </c>
      <c r="ALU39" s="1017">
        <v>0</v>
      </c>
      <c r="ALV39" s="1017">
        <v>0</v>
      </c>
      <c r="ALW39" s="1017">
        <v>0</v>
      </c>
      <c r="ALX39" s="1017">
        <v>5.3181818181818183</v>
      </c>
      <c r="ALY39" s="1017">
        <v>18.613636363636367</v>
      </c>
    </row>
    <row r="40" spans="1:1013" ht="18" customHeight="1">
      <c r="A40" s="1259" t="s">
        <v>28</v>
      </c>
      <c r="B40" s="1260" t="s">
        <v>3063</v>
      </c>
      <c r="C40" s="1260">
        <v>2022</v>
      </c>
      <c r="D40" s="1269"/>
      <c r="E40" s="1270">
        <v>0.5</v>
      </c>
      <c r="F40" s="1271">
        <v>0.5</v>
      </c>
      <c r="G40" s="1271">
        <v>0.5</v>
      </c>
      <c r="H40" s="76">
        <v>259.61373390557941</v>
      </c>
      <c r="I40" s="1271">
        <v>-5.8</v>
      </c>
      <c r="J40" s="1271">
        <v>-1.5</v>
      </c>
      <c r="K40" s="1271">
        <v>-1.5</v>
      </c>
      <c r="L40" s="1265">
        <v>350</v>
      </c>
      <c r="M40" s="1262">
        <v>0</v>
      </c>
      <c r="N40" s="1262">
        <v>0</v>
      </c>
      <c r="O40" s="1262">
        <v>0</v>
      </c>
      <c r="P40" s="76">
        <v>541.70374958491891</v>
      </c>
      <c r="Q40" s="75">
        <v>12</v>
      </c>
      <c r="R40" s="72">
        <v>0.3</v>
      </c>
      <c r="S40" s="72">
        <v>0.1</v>
      </c>
      <c r="T40" s="72">
        <v>0.1</v>
      </c>
      <c r="U40" s="1271">
        <v>2.5</v>
      </c>
      <c r="V40" s="1271">
        <v>0</v>
      </c>
      <c r="W40" s="1271">
        <v>97.5</v>
      </c>
      <c r="X40" s="1271">
        <v>0</v>
      </c>
      <c r="Y40" s="1272">
        <v>0</v>
      </c>
      <c r="Z40" s="75">
        <v>2</v>
      </c>
      <c r="AA40" s="72">
        <v>1.5</v>
      </c>
      <c r="AB40" s="75">
        <v>1</v>
      </c>
      <c r="AC40" s="72">
        <v>0.8</v>
      </c>
      <c r="AD40" s="72">
        <v>0.5</v>
      </c>
      <c r="AE40" s="390">
        <v>433.01922201480062</v>
      </c>
      <c r="AF40" s="390">
        <v>470.67306740739195</v>
      </c>
      <c r="AG40" s="390">
        <v>433.37222681535616</v>
      </c>
      <c r="AH40" s="390">
        <v>649.0581599547935</v>
      </c>
      <c r="AI40" s="400">
        <v>0.82209484106305364</v>
      </c>
      <c r="AJ40" s="390">
        <v>261.91600618637949</v>
      </c>
      <c r="AK40" s="390">
        <v>284.69131107215162</v>
      </c>
      <c r="AL40" s="390">
        <v>262.12952466968363</v>
      </c>
      <c r="AM40" s="390">
        <v>392.58931796849708</v>
      </c>
      <c r="AN40" s="400">
        <v>0.96717040125065135</v>
      </c>
      <c r="AO40" s="77">
        <v>0.4</v>
      </c>
      <c r="AP40" s="77">
        <v>0.6</v>
      </c>
      <c r="AQ40" s="77">
        <v>1.3</v>
      </c>
      <c r="AR40" s="77">
        <v>1.7</v>
      </c>
      <c r="AS40" s="77">
        <v>2.1</v>
      </c>
      <c r="AT40" s="77">
        <v>2.7</v>
      </c>
      <c r="AU40" s="77">
        <v>3.3</v>
      </c>
      <c r="AV40" s="1268">
        <v>0</v>
      </c>
      <c r="AW40" s="1268">
        <v>10</v>
      </c>
      <c r="AX40" s="1268">
        <v>20</v>
      </c>
      <c r="AY40" s="1268">
        <v>70</v>
      </c>
      <c r="AZ40" s="1268">
        <v>100</v>
      </c>
      <c r="BA40" s="1019">
        <v>10062.301353275248</v>
      </c>
      <c r="BB40" s="1031">
        <v>1.56</v>
      </c>
      <c r="BC40" s="988">
        <v>0.8</v>
      </c>
      <c r="BD40" s="988">
        <v>0.6</v>
      </c>
      <c r="BE40" s="988">
        <v>0.6</v>
      </c>
      <c r="BF40" s="1021">
        <v>0.18084</v>
      </c>
      <c r="BG40" s="1021">
        <v>0.17335999999999999</v>
      </c>
      <c r="BH40" s="1020"/>
      <c r="BI40" s="1020">
        <v>1.202485753233595E-3</v>
      </c>
      <c r="BJ40" s="1020">
        <v>0.26457534563712537</v>
      </c>
      <c r="BK40" s="1020">
        <v>58.54078480422551</v>
      </c>
      <c r="BL40" s="1020">
        <v>1.2708723837944664</v>
      </c>
      <c r="BM40" s="1020">
        <v>0.39067812791701684</v>
      </c>
      <c r="BN40" s="1020">
        <v>39.231528062568245</v>
      </c>
      <c r="BO40" s="1020">
        <v>3.1881694641653864E-2</v>
      </c>
      <c r="BP40" s="1020">
        <v>5.1042355788573383E-3</v>
      </c>
      <c r="BQ40" s="1020">
        <v>3.2910136404287863E-4</v>
      </c>
      <c r="BR40" s="1020"/>
      <c r="BS40" s="1020"/>
      <c r="BT40" s="1020">
        <v>8.6854280181585475E-2</v>
      </c>
      <c r="BU40" s="1020">
        <v>1.0854016141029555E-3</v>
      </c>
      <c r="BV40" s="1020">
        <v>0.17510407672416045</v>
      </c>
      <c r="BW40" s="993">
        <v>261.13475999999997</v>
      </c>
      <c r="BX40" s="993">
        <v>96.5</v>
      </c>
      <c r="BY40" s="993">
        <v>63.215999999999994</v>
      </c>
      <c r="BZ40" s="993">
        <v>233.35949490734063</v>
      </c>
      <c r="CA40" s="993">
        <v>157.40783999999999</v>
      </c>
      <c r="CB40" s="990"/>
      <c r="CC40" s="993">
        <v>256.20808011776955</v>
      </c>
      <c r="CD40" s="993">
        <v>165.17663999999999</v>
      </c>
      <c r="CE40" s="990"/>
      <c r="CF40" s="989">
        <v>0</v>
      </c>
      <c r="CG40" s="993">
        <v>6.585</v>
      </c>
      <c r="CH40" s="993">
        <v>1.3169999999999999</v>
      </c>
      <c r="CI40" s="993">
        <v>38</v>
      </c>
      <c r="CJ40" s="993">
        <v>225.83915999999996</v>
      </c>
      <c r="CK40" s="990">
        <v>0.2</v>
      </c>
      <c r="CL40" s="993">
        <v>175.08124000000001</v>
      </c>
      <c r="CM40" s="993">
        <v>60.4</v>
      </c>
      <c r="CN40" s="993">
        <v>42.384</v>
      </c>
      <c r="CO40" s="993">
        <v>156.45894761061641</v>
      </c>
      <c r="CP40" s="993">
        <v>105.53616</v>
      </c>
      <c r="CQ40" s="990"/>
      <c r="CR40" s="993">
        <v>159.24945066654416</v>
      </c>
      <c r="CS40" s="993">
        <v>102.66767999999999</v>
      </c>
      <c r="CT40" s="990"/>
      <c r="CU40" s="993">
        <v>0</v>
      </c>
      <c r="CV40" s="993">
        <v>4.415</v>
      </c>
      <c r="CW40" s="993">
        <v>0.88300000000000001</v>
      </c>
      <c r="CX40" s="993">
        <v>27</v>
      </c>
      <c r="CY40" s="993">
        <v>151.41683999999998</v>
      </c>
      <c r="CZ40" s="990">
        <v>0.2</v>
      </c>
      <c r="DA40" s="988">
        <v>0.3</v>
      </c>
      <c r="DB40" s="988">
        <v>0.7</v>
      </c>
      <c r="DC40" s="988">
        <v>1.2</v>
      </c>
      <c r="DD40" s="988">
        <v>1.2</v>
      </c>
      <c r="DE40" s="1022">
        <v>3</v>
      </c>
      <c r="DF40" s="995">
        <v>0</v>
      </c>
      <c r="DG40" s="995">
        <v>10</v>
      </c>
      <c r="DH40" s="995">
        <v>20</v>
      </c>
      <c r="DI40" s="995">
        <v>70</v>
      </c>
      <c r="DJ40" s="995">
        <v>100</v>
      </c>
      <c r="DK40" s="1017">
        <v>19.228496526490634</v>
      </c>
      <c r="DL40" s="1022">
        <v>18</v>
      </c>
      <c r="DM40" s="989">
        <v>12</v>
      </c>
      <c r="DN40" s="988">
        <v>1.1000000000000001</v>
      </c>
      <c r="DO40" s="988">
        <v>0.6</v>
      </c>
      <c r="DP40" s="988">
        <v>0.6</v>
      </c>
      <c r="DQ40" s="988" t="s">
        <v>677</v>
      </c>
      <c r="DR40" s="988" t="s">
        <v>678</v>
      </c>
      <c r="DS40" s="988" t="s">
        <v>640</v>
      </c>
      <c r="DT40" s="988" t="s">
        <v>640</v>
      </c>
      <c r="DU40" s="988" t="s">
        <v>640</v>
      </c>
      <c r="DV40" s="988" t="s">
        <v>640</v>
      </c>
      <c r="DW40" s="988" t="s">
        <v>640</v>
      </c>
      <c r="DX40" s="997">
        <v>38.52849315068493</v>
      </c>
      <c r="DY40" s="997">
        <v>6992.921506849314</v>
      </c>
      <c r="DZ40" s="997">
        <v>0</v>
      </c>
      <c r="EA40" s="997">
        <v>0</v>
      </c>
      <c r="EB40" s="997">
        <v>0</v>
      </c>
      <c r="EC40" s="997">
        <v>0</v>
      </c>
      <c r="ED40" s="997">
        <v>0</v>
      </c>
      <c r="EE40" s="1022">
        <v>7.0314500000000004</v>
      </c>
      <c r="EF40" s="1022">
        <v>18</v>
      </c>
      <c r="EG40" s="991">
        <v>5</v>
      </c>
      <c r="EH40" s="1023">
        <v>1.1000000000000001</v>
      </c>
      <c r="EI40" s="1023">
        <v>0.6</v>
      </c>
      <c r="EJ40" s="1023">
        <v>0.6</v>
      </c>
      <c r="EK40" s="988" t="s">
        <v>699</v>
      </c>
      <c r="EL40" s="988" t="s">
        <v>715</v>
      </c>
      <c r="EM40" s="988" t="s">
        <v>165</v>
      </c>
      <c r="EN40" s="988" t="s">
        <v>741</v>
      </c>
      <c r="EO40" s="988" t="s">
        <v>752</v>
      </c>
      <c r="EP40" s="988" t="s">
        <v>761</v>
      </c>
      <c r="EQ40" s="988" t="s">
        <v>766</v>
      </c>
      <c r="ER40" s="988" t="s">
        <v>772</v>
      </c>
      <c r="ES40" s="988" t="s">
        <v>778</v>
      </c>
      <c r="ET40" s="988" t="s">
        <v>640</v>
      </c>
      <c r="EU40" s="988" t="s">
        <v>640</v>
      </c>
      <c r="EV40" s="988" t="s">
        <v>640</v>
      </c>
      <c r="EW40" s="988" t="s">
        <v>640</v>
      </c>
      <c r="EX40" s="988" t="s">
        <v>640</v>
      </c>
      <c r="EY40" s="988" t="s">
        <v>640</v>
      </c>
      <c r="EZ40" s="988" t="s">
        <v>640</v>
      </c>
      <c r="FA40" s="988" t="s">
        <v>640</v>
      </c>
      <c r="FB40" s="988" t="s">
        <v>640</v>
      </c>
      <c r="FC40" s="988" t="s">
        <v>640</v>
      </c>
      <c r="FD40" s="988" t="s">
        <v>640</v>
      </c>
      <c r="FE40" s="988" t="s">
        <v>640</v>
      </c>
      <c r="FF40" s="988" t="s">
        <v>640</v>
      </c>
      <c r="FG40" s="988" t="s">
        <v>640</v>
      </c>
      <c r="FH40" s="988" t="s">
        <v>640</v>
      </c>
      <c r="FI40" s="988" t="s">
        <v>640</v>
      </c>
      <c r="FJ40" s="988" t="s">
        <v>640</v>
      </c>
      <c r="FK40" s="988" t="s">
        <v>640</v>
      </c>
      <c r="FL40" s="988" t="s">
        <v>640</v>
      </c>
      <c r="FM40" s="988" t="s">
        <v>640</v>
      </c>
      <c r="FN40" s="988" t="s">
        <v>640</v>
      </c>
      <c r="FO40" s="988" t="s">
        <v>640</v>
      </c>
      <c r="FP40" s="988" t="s">
        <v>640</v>
      </c>
      <c r="FQ40" s="988" t="s">
        <v>640</v>
      </c>
      <c r="FR40" s="988" t="s">
        <v>640</v>
      </c>
      <c r="FS40" s="988" t="s">
        <v>640</v>
      </c>
      <c r="FT40" s="988" t="s">
        <v>640</v>
      </c>
      <c r="FU40" s="988" t="s">
        <v>640</v>
      </c>
      <c r="FV40" s="988" t="s">
        <v>640</v>
      </c>
      <c r="FW40" s="988" t="s">
        <v>640</v>
      </c>
      <c r="FX40" s="988" t="s">
        <v>640</v>
      </c>
      <c r="FY40" s="988" t="s">
        <v>640</v>
      </c>
      <c r="FZ40" s="988" t="s">
        <v>640</v>
      </c>
      <c r="GA40" s="988" t="s">
        <v>640</v>
      </c>
      <c r="GB40" s="988" t="s">
        <v>640</v>
      </c>
      <c r="GC40" s="988" t="s">
        <v>640</v>
      </c>
      <c r="GD40" s="988" t="s">
        <v>640</v>
      </c>
      <c r="GE40" s="988" t="s">
        <v>640</v>
      </c>
      <c r="GF40" s="988" t="s">
        <v>640</v>
      </c>
      <c r="GG40" s="988" t="s">
        <v>640</v>
      </c>
      <c r="GH40" s="988" t="s">
        <v>640</v>
      </c>
      <c r="GI40" s="988" t="s">
        <v>640</v>
      </c>
      <c r="GJ40" s="988" t="s">
        <v>640</v>
      </c>
      <c r="GK40" s="988" t="s">
        <v>640</v>
      </c>
      <c r="GL40" s="988" t="s">
        <v>640</v>
      </c>
      <c r="GM40" s="988" t="s">
        <v>640</v>
      </c>
      <c r="GN40" s="988" t="s">
        <v>640</v>
      </c>
      <c r="GO40" s="988" t="s">
        <v>640</v>
      </c>
      <c r="GP40" s="988" t="s">
        <v>640</v>
      </c>
      <c r="GQ40" s="997">
        <v>388.23957055214743</v>
      </c>
      <c r="GR40" s="997">
        <v>86.2754601226994</v>
      </c>
      <c r="GS40" s="997">
        <v>301.96411042944789</v>
      </c>
      <c r="GT40" s="997">
        <v>647.06595092024543</v>
      </c>
      <c r="GU40" s="997">
        <v>2609.8326687116569</v>
      </c>
      <c r="GV40" s="997">
        <v>905.89233128834394</v>
      </c>
      <c r="GW40" s="997">
        <v>625.4970858895706</v>
      </c>
      <c r="GX40" s="997">
        <v>366.67070552147254</v>
      </c>
      <c r="GY40" s="997">
        <v>1100.0121165644173</v>
      </c>
      <c r="GZ40" s="997">
        <v>0</v>
      </c>
      <c r="HA40" s="997">
        <v>0</v>
      </c>
      <c r="HB40" s="997">
        <v>0</v>
      </c>
      <c r="HC40" s="997">
        <v>0</v>
      </c>
      <c r="HD40" s="997">
        <v>0</v>
      </c>
      <c r="HE40" s="997">
        <v>0</v>
      </c>
      <c r="HF40" s="997">
        <v>0</v>
      </c>
      <c r="HG40" s="997">
        <v>0</v>
      </c>
      <c r="HH40" s="997">
        <v>0</v>
      </c>
      <c r="HI40" s="997">
        <v>0</v>
      </c>
      <c r="HJ40" s="997">
        <v>0</v>
      </c>
      <c r="HK40" s="997">
        <v>0</v>
      </c>
      <c r="HL40" s="997">
        <v>0</v>
      </c>
      <c r="HM40" s="997">
        <v>0</v>
      </c>
      <c r="HN40" s="997">
        <v>0</v>
      </c>
      <c r="HO40" s="997">
        <v>0</v>
      </c>
      <c r="HP40" s="997">
        <v>0</v>
      </c>
      <c r="HQ40" s="997">
        <v>0</v>
      </c>
      <c r="HR40" s="997">
        <v>0</v>
      </c>
      <c r="HS40" s="997">
        <v>0</v>
      </c>
      <c r="HT40" s="997">
        <v>0</v>
      </c>
      <c r="HU40" s="997">
        <v>0</v>
      </c>
      <c r="HV40" s="997">
        <v>0</v>
      </c>
      <c r="HW40" s="997">
        <v>0</v>
      </c>
      <c r="HX40" s="997">
        <v>0</v>
      </c>
      <c r="HY40" s="997">
        <v>0</v>
      </c>
      <c r="HZ40" s="997">
        <v>0</v>
      </c>
      <c r="IA40" s="997">
        <v>0</v>
      </c>
      <c r="IB40" s="997">
        <v>0</v>
      </c>
      <c r="IC40" s="997">
        <v>0</v>
      </c>
      <c r="ID40" s="997">
        <v>0</v>
      </c>
      <c r="IE40" s="997">
        <v>0</v>
      </c>
      <c r="IF40" s="997">
        <v>0</v>
      </c>
      <c r="IG40" s="997">
        <v>0</v>
      </c>
      <c r="IH40" s="997">
        <v>0</v>
      </c>
      <c r="II40" s="997">
        <v>0</v>
      </c>
      <c r="IJ40" s="997">
        <v>0</v>
      </c>
      <c r="IK40" s="997">
        <v>0</v>
      </c>
      <c r="IL40" s="997">
        <v>0</v>
      </c>
      <c r="IM40" s="997">
        <v>0</v>
      </c>
      <c r="IN40" s="997">
        <v>0</v>
      </c>
      <c r="IO40" s="997">
        <v>0</v>
      </c>
      <c r="IP40" s="997">
        <v>0</v>
      </c>
      <c r="IQ40" s="997">
        <v>0</v>
      </c>
      <c r="IR40" s="997">
        <v>0</v>
      </c>
      <c r="IS40" s="997">
        <v>0</v>
      </c>
      <c r="IT40" s="997">
        <v>0</v>
      </c>
      <c r="IU40" s="997">
        <v>0</v>
      </c>
      <c r="IV40" s="997">
        <v>0</v>
      </c>
      <c r="IW40" s="1019">
        <v>1020.0468636800275</v>
      </c>
      <c r="IX40" s="1022">
        <v>179.9</v>
      </c>
      <c r="IY40" s="998">
        <v>2647.0800000000199</v>
      </c>
      <c r="IZ40" s="429">
        <v>12.64</v>
      </c>
      <c r="JA40" s="1022">
        <v>50</v>
      </c>
      <c r="JB40" s="988">
        <v>1.1000000000000001</v>
      </c>
      <c r="JC40" s="988">
        <v>0.6</v>
      </c>
      <c r="JD40" s="988">
        <v>0.6</v>
      </c>
      <c r="JE40" s="998">
        <v>2</v>
      </c>
      <c r="JF40" s="1023">
        <v>1.5</v>
      </c>
      <c r="JG40" s="1023">
        <v>0.7</v>
      </c>
      <c r="JH40" s="1023">
        <v>0.7</v>
      </c>
      <c r="JI40" s="1023">
        <v>0.5</v>
      </c>
      <c r="JJ40" s="1019">
        <v>27.2564358745006</v>
      </c>
      <c r="JK40" s="998">
        <v>2647.0800000000199</v>
      </c>
      <c r="JL40" s="429">
        <v>12.64</v>
      </c>
      <c r="JM40" s="1022">
        <v>50</v>
      </c>
      <c r="JN40" s="988">
        <v>1.1000000000000001</v>
      </c>
      <c r="JO40" s="988">
        <v>0.7</v>
      </c>
      <c r="JP40" s="988">
        <v>0.7</v>
      </c>
      <c r="JQ40" s="998">
        <v>2</v>
      </c>
      <c r="JR40" s="998">
        <v>2</v>
      </c>
      <c r="JS40" s="998">
        <v>1</v>
      </c>
      <c r="JT40" s="998">
        <v>1</v>
      </c>
      <c r="JU40" s="1023">
        <v>0.5</v>
      </c>
      <c r="JV40" s="1004">
        <v>2000</v>
      </c>
      <c r="JW40" s="1019">
        <v>270.36392543224167</v>
      </c>
      <c r="JX40" s="1019">
        <v>500</v>
      </c>
      <c r="JY40" s="1022">
        <v>0.9</v>
      </c>
      <c r="JZ40" s="1022">
        <v>0.8</v>
      </c>
      <c r="KA40" s="1022">
        <v>0.8</v>
      </c>
      <c r="KB40" s="1023">
        <v>2</v>
      </c>
      <c r="KC40" s="1023">
        <v>1.5</v>
      </c>
      <c r="KD40" s="1023">
        <v>0.5</v>
      </c>
      <c r="KE40" s="1023">
        <v>1</v>
      </c>
      <c r="KF40" s="1023">
        <v>0.5</v>
      </c>
      <c r="KG40" s="997">
        <v>3.2487385213471143</v>
      </c>
      <c r="KH40" s="997"/>
      <c r="KI40" s="997">
        <v>96.092297742072091</v>
      </c>
      <c r="KJ40" s="997"/>
      <c r="KK40" s="997">
        <v>0.17983959323988347</v>
      </c>
      <c r="KL40" s="997">
        <v>0.33204602638892106</v>
      </c>
      <c r="KM40" s="997"/>
      <c r="KN40" s="997"/>
      <c r="KO40" s="997">
        <v>0.14707811695199774</v>
      </c>
      <c r="KP40" s="1006">
        <v>580</v>
      </c>
      <c r="KQ40" s="1006">
        <v>580</v>
      </c>
      <c r="KR40" s="1006">
        <v>580</v>
      </c>
      <c r="KS40" s="1006">
        <v>580</v>
      </c>
      <c r="KT40" s="1006"/>
      <c r="KU40" s="1006">
        <v>580</v>
      </c>
      <c r="KV40" s="1006">
        <v>580</v>
      </c>
      <c r="KW40" s="1006">
        <v>580</v>
      </c>
      <c r="KX40" s="1006">
        <v>580</v>
      </c>
      <c r="KY40" s="993">
        <v>370</v>
      </c>
      <c r="KZ40" s="993">
        <v>370</v>
      </c>
      <c r="LA40" s="993">
        <v>370</v>
      </c>
      <c r="LB40" s="993">
        <v>370</v>
      </c>
      <c r="LC40" s="993"/>
      <c r="LD40" s="993">
        <v>370</v>
      </c>
      <c r="LE40" s="993">
        <v>370</v>
      </c>
      <c r="LF40" s="993">
        <v>370</v>
      </c>
      <c r="LG40" s="993">
        <v>370</v>
      </c>
      <c r="LH40" s="995">
        <v>0</v>
      </c>
      <c r="LI40" s="995">
        <v>10</v>
      </c>
      <c r="LJ40" s="995">
        <v>20</v>
      </c>
      <c r="LK40" s="995">
        <v>70</v>
      </c>
      <c r="LL40" s="995">
        <v>100</v>
      </c>
      <c r="LM40" s="1004">
        <v>1000</v>
      </c>
      <c r="LN40" s="1019"/>
      <c r="LO40" s="988">
        <v>29</v>
      </c>
      <c r="LP40" s="988">
        <v>0.7</v>
      </c>
      <c r="LQ40" s="988">
        <v>0.4</v>
      </c>
      <c r="LR40" s="988">
        <v>0.4</v>
      </c>
      <c r="LS40" s="1023">
        <v>2</v>
      </c>
      <c r="LT40" s="1023">
        <v>1</v>
      </c>
      <c r="LU40" s="1023">
        <v>0.5</v>
      </c>
      <c r="LV40" s="1023">
        <v>0.7</v>
      </c>
      <c r="LW40" s="1023">
        <v>0.2</v>
      </c>
      <c r="LX40" s="1004">
        <v>1500</v>
      </c>
      <c r="LY40" s="1008">
        <v>500</v>
      </c>
      <c r="LZ40" s="1008">
        <v>1</v>
      </c>
      <c r="MA40" s="997" t="s">
        <v>2914</v>
      </c>
      <c r="MB40" s="1023" t="s">
        <v>905</v>
      </c>
      <c r="MC40" s="1023" t="s">
        <v>2932</v>
      </c>
      <c r="MD40" s="1024" t="s">
        <v>906</v>
      </c>
      <c r="ME40" s="1009">
        <v>0.5</v>
      </c>
      <c r="MF40" s="1010">
        <v>0.75</v>
      </c>
      <c r="MG40" s="1010">
        <v>1</v>
      </c>
      <c r="MH40" s="1010">
        <v>2</v>
      </c>
      <c r="MI40" s="1010">
        <v>0.5</v>
      </c>
      <c r="MJ40" s="1010">
        <v>0.75</v>
      </c>
      <c r="MK40" s="1010">
        <v>1</v>
      </c>
      <c r="ML40" s="1010">
        <v>2</v>
      </c>
      <c r="MM40" s="1010">
        <v>0</v>
      </c>
      <c r="MN40" s="1010">
        <v>0.5</v>
      </c>
      <c r="MO40" s="1010">
        <v>1</v>
      </c>
      <c r="MP40" s="1010">
        <v>2</v>
      </c>
      <c r="MQ40" s="1010">
        <v>0</v>
      </c>
      <c r="MR40" s="1010">
        <v>0.5</v>
      </c>
      <c r="MS40" s="1010">
        <v>1</v>
      </c>
      <c r="MT40" s="1010">
        <v>2</v>
      </c>
      <c r="MU40" s="1001">
        <v>0</v>
      </c>
      <c r="MV40" s="1001">
        <v>0</v>
      </c>
      <c r="MW40" s="1001">
        <v>0</v>
      </c>
      <c r="MX40" s="1025">
        <v>0</v>
      </c>
      <c r="MY40" s="1025">
        <v>0</v>
      </c>
      <c r="MZ40" s="1025">
        <v>0</v>
      </c>
      <c r="NA40" s="1025">
        <v>0</v>
      </c>
      <c r="NB40" s="1025">
        <v>0</v>
      </c>
      <c r="NC40" s="1025">
        <v>0</v>
      </c>
      <c r="ND40" s="1025">
        <v>0</v>
      </c>
      <c r="NE40" s="1025">
        <v>0</v>
      </c>
      <c r="NF40" s="1025">
        <v>0</v>
      </c>
      <c r="NG40" s="1025">
        <v>0</v>
      </c>
      <c r="NH40" s="1025">
        <v>0</v>
      </c>
      <c r="NI40" s="1025">
        <v>0</v>
      </c>
      <c r="NJ40" s="1025">
        <v>0</v>
      </c>
      <c r="NK40" s="1025">
        <v>0</v>
      </c>
      <c r="NL40" s="1025">
        <v>0</v>
      </c>
      <c r="NM40" s="1025">
        <v>0</v>
      </c>
      <c r="NN40" s="1025">
        <v>0</v>
      </c>
      <c r="NO40" s="1025">
        <v>0</v>
      </c>
      <c r="NP40" s="1025">
        <v>0</v>
      </c>
      <c r="NQ40" s="1025">
        <v>0</v>
      </c>
      <c r="NR40" s="1025">
        <v>0</v>
      </c>
      <c r="NS40" s="1025">
        <v>0</v>
      </c>
      <c r="NT40" s="1025">
        <v>0</v>
      </c>
      <c r="NU40" s="1025">
        <v>0</v>
      </c>
      <c r="NV40" s="1025">
        <v>1.03948054544979</v>
      </c>
      <c r="NW40" s="1025">
        <v>0</v>
      </c>
      <c r="NX40" s="1025">
        <v>3.2035175790709997E-2</v>
      </c>
      <c r="NY40" s="1025">
        <v>3.1447236279289997E-2</v>
      </c>
      <c r="NZ40" s="1025">
        <v>-0.86482107521568996</v>
      </c>
      <c r="OA40" s="1025">
        <v>-1.8012726629615701</v>
      </c>
      <c r="OB40" s="1025">
        <v>0.96328192735308005</v>
      </c>
      <c r="OC40" s="1025">
        <v>0</v>
      </c>
      <c r="OD40" s="1025">
        <v>3.1380670670009998E-2</v>
      </c>
      <c r="OE40" s="1025">
        <v>3.2292330521510003E-2</v>
      </c>
      <c r="OF40" s="1025">
        <v>-0.81421167295139996</v>
      </c>
      <c r="OG40" s="1025">
        <v>-1.8368365049938999</v>
      </c>
      <c r="OH40" s="1025">
        <v>0</v>
      </c>
      <c r="OI40" s="1025">
        <v>0</v>
      </c>
      <c r="OJ40" s="1025">
        <v>0</v>
      </c>
      <c r="OK40" s="1025">
        <v>0</v>
      </c>
      <c r="OL40" s="1025">
        <v>0</v>
      </c>
      <c r="OM40" s="1025">
        <v>0</v>
      </c>
      <c r="ON40" s="1025">
        <v>0.96874207766439002</v>
      </c>
      <c r="OO40" s="1025">
        <v>0</v>
      </c>
      <c r="OP40" s="1025">
        <v>3.1680755701349997E-2</v>
      </c>
      <c r="OQ40" s="1025">
        <v>3.3838737307260003E-2</v>
      </c>
      <c r="OR40" s="1025">
        <v>-0.82158639124974997</v>
      </c>
      <c r="OS40" s="1025">
        <v>-1.83324465156092</v>
      </c>
      <c r="OT40" s="1025">
        <v>0</v>
      </c>
      <c r="OU40" s="1025">
        <v>0</v>
      </c>
      <c r="OV40" s="1025">
        <v>0</v>
      </c>
      <c r="OW40" s="1025">
        <v>0</v>
      </c>
      <c r="OX40" s="1025">
        <v>0</v>
      </c>
      <c r="OY40" s="1025">
        <v>0</v>
      </c>
      <c r="OZ40" s="1025">
        <v>-58</v>
      </c>
      <c r="PA40" s="1025">
        <v>-21</v>
      </c>
      <c r="PB40" s="1025">
        <v>0</v>
      </c>
      <c r="PC40" s="1025">
        <v>0</v>
      </c>
      <c r="PD40" s="1025">
        <v>-2.7869589789376001</v>
      </c>
      <c r="PE40" s="1025">
        <v>-8.1929958048348706</v>
      </c>
      <c r="PF40" s="1025">
        <v>7.5004243842049997E-2</v>
      </c>
      <c r="PG40" s="1025">
        <v>0</v>
      </c>
      <c r="PH40" s="1025">
        <v>0</v>
      </c>
      <c r="PI40" s="1025">
        <v>0</v>
      </c>
      <c r="PJ40" s="1025">
        <v>-1.46908084463514</v>
      </c>
      <c r="PK40" s="1025">
        <v>-5</v>
      </c>
      <c r="PL40" s="1025">
        <v>0</v>
      </c>
      <c r="PM40" s="1025">
        <v>0</v>
      </c>
      <c r="PN40" s="1025">
        <v>0</v>
      </c>
      <c r="PO40" s="1025">
        <v>0</v>
      </c>
      <c r="PP40" s="1025">
        <v>0</v>
      </c>
      <c r="PQ40" s="1025">
        <v>0</v>
      </c>
      <c r="PR40" s="1025">
        <v>0.11244542283282</v>
      </c>
      <c r="PS40" s="1025">
        <v>0</v>
      </c>
      <c r="PT40" s="1025">
        <v>0</v>
      </c>
      <c r="PU40" s="1025">
        <v>0</v>
      </c>
      <c r="PV40" s="1025">
        <v>0.72203775335576004</v>
      </c>
      <c r="PW40" s="1025">
        <v>0</v>
      </c>
      <c r="PX40" s="1025">
        <v>0</v>
      </c>
      <c r="PY40" s="1025">
        <v>0</v>
      </c>
      <c r="PZ40" s="1025">
        <v>0</v>
      </c>
      <c r="QA40" s="1025">
        <v>0</v>
      </c>
      <c r="QB40" s="1025">
        <v>0</v>
      </c>
      <c r="QC40" s="1025">
        <v>0</v>
      </c>
      <c r="QD40" s="1025">
        <v>-58</v>
      </c>
      <c r="QE40" s="1025">
        <v>-21</v>
      </c>
      <c r="QF40" s="1025">
        <v>-0.32005009274176999</v>
      </c>
      <c r="QG40" s="1025">
        <v>0</v>
      </c>
      <c r="QH40" s="1025">
        <v>-0.87664817478873003</v>
      </c>
      <c r="QI40" s="1025">
        <v>-2.2913329997320102</v>
      </c>
      <c r="QJ40" s="1025">
        <v>-7.4670100074400003E-2</v>
      </c>
      <c r="QK40" s="1025">
        <v>0</v>
      </c>
      <c r="QL40" s="1025">
        <v>0</v>
      </c>
      <c r="QM40" s="1025">
        <v>0</v>
      </c>
      <c r="QN40" s="1025">
        <v>0.60354010295710003</v>
      </c>
      <c r="QO40" s="1025">
        <v>0</v>
      </c>
      <c r="QP40" s="1025">
        <v>0</v>
      </c>
      <c r="QQ40" s="1025">
        <v>0</v>
      </c>
      <c r="QR40" s="1025">
        <v>0</v>
      </c>
      <c r="QS40" s="1025">
        <v>0</v>
      </c>
      <c r="QT40" s="1025">
        <v>0</v>
      </c>
      <c r="QU40" s="1025">
        <v>0</v>
      </c>
      <c r="QV40" s="1025">
        <v>3.9320583716809999E-2</v>
      </c>
      <c r="QW40" s="1025">
        <v>0</v>
      </c>
      <c r="QX40" s="1025">
        <v>0</v>
      </c>
      <c r="QY40" s="1025">
        <v>0</v>
      </c>
      <c r="QZ40" s="1025">
        <v>1.62052036365977</v>
      </c>
      <c r="RA40" s="1025">
        <v>0</v>
      </c>
      <c r="RB40" s="1025">
        <v>0</v>
      </c>
      <c r="RC40" s="1025">
        <v>0</v>
      </c>
      <c r="RD40" s="1025">
        <v>0</v>
      </c>
      <c r="RE40" s="1025">
        <v>0</v>
      </c>
      <c r="RF40" s="1025">
        <v>0</v>
      </c>
      <c r="RG40" s="1025">
        <v>0</v>
      </c>
      <c r="RH40" s="1011">
        <v>0</v>
      </c>
      <c r="RI40" s="1026">
        <v>0</v>
      </c>
      <c r="RJ40" s="1026">
        <v>0</v>
      </c>
      <c r="RK40" s="1026">
        <v>0</v>
      </c>
      <c r="RL40" s="1026">
        <v>0</v>
      </c>
      <c r="RM40" s="1011">
        <v>-3.3607565879262902</v>
      </c>
      <c r="RN40" s="1011">
        <v>0</v>
      </c>
      <c r="RO40" s="1011">
        <v>0</v>
      </c>
      <c r="RP40" s="1011">
        <v>0</v>
      </c>
      <c r="RQ40" s="1011">
        <v>0</v>
      </c>
      <c r="RR40" s="1011">
        <v>0</v>
      </c>
      <c r="RS40" s="1011">
        <v>0</v>
      </c>
      <c r="RT40" s="1011">
        <v>-9.0276228947917403</v>
      </c>
      <c r="RU40" s="1011">
        <v>0</v>
      </c>
      <c r="RV40" s="1011">
        <v>-3.21179082673933</v>
      </c>
      <c r="RW40" s="1011">
        <v>0</v>
      </c>
      <c r="RX40" s="1011">
        <v>0</v>
      </c>
      <c r="RY40" s="1011">
        <v>-7.7845095932750005E-2</v>
      </c>
      <c r="RZ40" s="1026">
        <v>0</v>
      </c>
      <c r="SA40" s="1026">
        <v>0</v>
      </c>
      <c r="SB40" s="1026">
        <v>0</v>
      </c>
      <c r="SC40" s="1026">
        <v>0</v>
      </c>
      <c r="SD40" s="1026">
        <v>0</v>
      </c>
      <c r="SE40" s="1026">
        <v>-1.4314629265132199</v>
      </c>
      <c r="SF40" s="1026">
        <v>0</v>
      </c>
      <c r="SG40" s="1026">
        <v>0</v>
      </c>
      <c r="SH40" s="1026">
        <v>0</v>
      </c>
      <c r="SI40" s="1026">
        <v>0</v>
      </c>
      <c r="SJ40" s="1026">
        <v>0</v>
      </c>
      <c r="SK40" s="1026">
        <v>0</v>
      </c>
      <c r="SL40" s="1025">
        <v>-58</v>
      </c>
      <c r="SM40" s="1025">
        <v>-21</v>
      </c>
      <c r="SN40" s="1025">
        <v>-1.16787612775673</v>
      </c>
      <c r="SO40" s="1025">
        <v>0</v>
      </c>
      <c r="SP40" s="1025">
        <v>-5.8504340549786997</v>
      </c>
      <c r="SQ40" s="1025">
        <v>-1.43043212221642</v>
      </c>
      <c r="SR40" s="1025">
        <v>-0.11050478633685</v>
      </c>
      <c r="SS40" s="1025">
        <v>0</v>
      </c>
      <c r="ST40" s="1025">
        <v>0</v>
      </c>
      <c r="SU40" s="1025">
        <v>0</v>
      </c>
      <c r="SV40" s="1025">
        <v>-1.40296358822661</v>
      </c>
      <c r="SW40" s="1025">
        <v>0</v>
      </c>
      <c r="SX40" s="1025">
        <v>-3.4817417770870003E-2</v>
      </c>
      <c r="SY40" s="1025">
        <v>0</v>
      </c>
      <c r="SZ40" s="1025">
        <v>0</v>
      </c>
      <c r="TA40" s="1025">
        <v>0</v>
      </c>
      <c r="TB40" s="1025">
        <v>-3.29578097970797</v>
      </c>
      <c r="TC40" s="1025">
        <v>-5</v>
      </c>
      <c r="TD40" s="1025">
        <v>-3.1782701170096801</v>
      </c>
      <c r="TE40" s="1025">
        <v>0</v>
      </c>
      <c r="TF40" s="1025">
        <v>-0.36971713606036999</v>
      </c>
      <c r="TG40" s="1025">
        <v>0</v>
      </c>
      <c r="TH40" s="1025">
        <v>0</v>
      </c>
      <c r="TI40" s="1025">
        <v>-7.8999999999996096</v>
      </c>
      <c r="TJ40" s="1025">
        <v>0</v>
      </c>
      <c r="TK40" s="1025">
        <v>0</v>
      </c>
      <c r="TL40" s="1025">
        <v>0</v>
      </c>
      <c r="TM40" s="1025">
        <v>0</v>
      </c>
      <c r="TN40" s="1025">
        <v>0</v>
      </c>
      <c r="TO40" s="1025">
        <v>0</v>
      </c>
      <c r="TP40" s="1025">
        <v>-58</v>
      </c>
      <c r="TQ40" s="1025">
        <v>-21</v>
      </c>
      <c r="TR40" s="1025">
        <v>0</v>
      </c>
      <c r="TS40" s="1025">
        <v>0</v>
      </c>
      <c r="TT40" s="1025">
        <v>0</v>
      </c>
      <c r="TU40" s="1025">
        <v>0</v>
      </c>
      <c r="TV40" s="1025">
        <v>0</v>
      </c>
      <c r="TW40" s="1025">
        <v>0</v>
      </c>
      <c r="TX40" s="1025">
        <v>0</v>
      </c>
      <c r="TY40" s="1025">
        <v>0</v>
      </c>
      <c r="TZ40" s="1025">
        <v>0</v>
      </c>
      <c r="UA40" s="1025">
        <v>0</v>
      </c>
      <c r="UB40" s="1025">
        <v>0</v>
      </c>
      <c r="UC40" s="1025">
        <v>0</v>
      </c>
      <c r="UD40" s="1025">
        <v>0</v>
      </c>
      <c r="UE40" s="1025">
        <v>0</v>
      </c>
      <c r="UF40" s="1025">
        <v>0</v>
      </c>
      <c r="UG40" s="1025">
        <v>0</v>
      </c>
      <c r="UH40" s="1025">
        <v>0</v>
      </c>
      <c r="UI40" s="1025">
        <v>0</v>
      </c>
      <c r="UJ40" s="1025">
        <v>0</v>
      </c>
      <c r="UK40" s="1025">
        <v>0</v>
      </c>
      <c r="UL40" s="1025">
        <v>0</v>
      </c>
      <c r="UM40" s="1025">
        <v>0</v>
      </c>
      <c r="UN40" s="1025">
        <v>0</v>
      </c>
      <c r="UO40" s="1025">
        <v>0</v>
      </c>
      <c r="UP40" s="1025">
        <v>0</v>
      </c>
      <c r="UQ40" s="1025">
        <v>0</v>
      </c>
      <c r="UR40" s="1025">
        <v>0</v>
      </c>
      <c r="US40" s="1025">
        <v>0</v>
      </c>
      <c r="UT40" s="1025">
        <v>0.74674534352536004</v>
      </c>
      <c r="UU40" s="1025">
        <v>0</v>
      </c>
      <c r="UV40" s="1025">
        <v>0.30694075296427997</v>
      </c>
      <c r="UW40" s="1025">
        <v>3.5224377511960003E-2</v>
      </c>
      <c r="UX40" s="1025">
        <v>0.39646846980299</v>
      </c>
      <c r="UY40" s="1025">
        <v>0.18390103738746</v>
      </c>
      <c r="UZ40" s="1025">
        <v>-3.3402415103999999E-4</v>
      </c>
      <c r="VA40" s="1025">
        <v>0</v>
      </c>
      <c r="VB40" s="1025">
        <v>0</v>
      </c>
      <c r="VC40" s="1025">
        <v>0</v>
      </c>
      <c r="VD40" s="1025">
        <v>-0.33072750986945998</v>
      </c>
      <c r="VE40" s="1025">
        <v>-8.1842184147153496</v>
      </c>
      <c r="VF40" s="1025">
        <v>-1.2328214672199999E-3</v>
      </c>
      <c r="VG40" s="1025">
        <v>0</v>
      </c>
      <c r="VH40" s="1025">
        <v>0</v>
      </c>
      <c r="VI40" s="1025">
        <v>0</v>
      </c>
      <c r="VJ40" s="1025">
        <v>0.15403660317230999</v>
      </c>
      <c r="VK40" s="1025">
        <v>-0.59690735620322</v>
      </c>
      <c r="VL40" s="1025">
        <v>0</v>
      </c>
      <c r="VM40" s="1025">
        <v>0</v>
      </c>
      <c r="VN40" s="1025">
        <v>0</v>
      </c>
      <c r="VO40" s="1025">
        <v>0</v>
      </c>
      <c r="VP40" s="1025">
        <v>0</v>
      </c>
      <c r="VQ40" s="1025">
        <v>-4.2914216278757298</v>
      </c>
      <c r="VR40" s="1010">
        <v>0</v>
      </c>
      <c r="VS40" s="1010">
        <v>0</v>
      </c>
      <c r="VT40" s="1010">
        <v>0</v>
      </c>
      <c r="VU40" s="1010">
        <v>0</v>
      </c>
      <c r="VV40" s="1010">
        <v>0</v>
      </c>
      <c r="VW40" s="1010">
        <v>-0.16472733387600999</v>
      </c>
      <c r="VX40" s="1025">
        <v>0</v>
      </c>
      <c r="VY40" s="1025">
        <v>0</v>
      </c>
      <c r="VZ40" s="1025">
        <v>0</v>
      </c>
      <c r="WA40" s="1025">
        <v>0</v>
      </c>
      <c r="WB40" s="1025">
        <v>-0.31915413422182998</v>
      </c>
      <c r="WC40" s="1025">
        <v>-0.92421205094351</v>
      </c>
      <c r="WD40" s="995">
        <v>202</v>
      </c>
      <c r="WE40" s="995">
        <v>267</v>
      </c>
      <c r="WF40" s="995">
        <v>354</v>
      </c>
      <c r="WG40" s="995">
        <v>382</v>
      </c>
      <c r="WH40" s="995">
        <v>403</v>
      </c>
      <c r="WI40" s="995">
        <v>0</v>
      </c>
      <c r="WJ40" s="995">
        <v>1300</v>
      </c>
      <c r="WK40" s="1001">
        <v>0</v>
      </c>
      <c r="WL40" s="1001">
        <v>0</v>
      </c>
      <c r="WM40" s="1001">
        <v>0</v>
      </c>
      <c r="WN40" s="1001">
        <v>0</v>
      </c>
      <c r="WO40" s="1001">
        <v>0</v>
      </c>
      <c r="WP40" s="1001">
        <v>0</v>
      </c>
      <c r="WQ40" s="1001">
        <v>0</v>
      </c>
      <c r="WR40" s="1001">
        <v>0</v>
      </c>
      <c r="WS40" s="1001">
        <v>0</v>
      </c>
      <c r="WT40" s="1001">
        <v>0</v>
      </c>
      <c r="WU40" s="1001">
        <v>0</v>
      </c>
      <c r="WV40" s="1001">
        <v>0</v>
      </c>
      <c r="WW40" s="1001">
        <v>0</v>
      </c>
      <c r="WX40" s="1001">
        <v>0</v>
      </c>
      <c r="WY40" s="1001">
        <v>0</v>
      </c>
      <c r="WZ40" s="1001">
        <v>0</v>
      </c>
      <c r="XA40" s="1001">
        <v>0</v>
      </c>
      <c r="XB40" s="1001">
        <v>0</v>
      </c>
      <c r="XC40" s="1001">
        <v>0</v>
      </c>
      <c r="XD40" s="1001">
        <v>0</v>
      </c>
      <c r="XE40" s="1001">
        <v>0</v>
      </c>
      <c r="XF40" s="1001">
        <v>0</v>
      </c>
      <c r="XG40" s="1001">
        <v>0</v>
      </c>
      <c r="XH40" s="1001">
        <v>0</v>
      </c>
      <c r="XI40" s="1001">
        <v>0</v>
      </c>
      <c r="XJ40" s="1001">
        <v>0</v>
      </c>
      <c r="XK40" s="1001">
        <v>0</v>
      </c>
      <c r="XL40" s="1001">
        <v>0</v>
      </c>
      <c r="XM40" s="1001">
        <v>0</v>
      </c>
      <c r="XN40" s="1001">
        <v>0</v>
      </c>
      <c r="XO40" s="1001">
        <v>0</v>
      </c>
      <c r="XP40" s="1001">
        <v>0</v>
      </c>
      <c r="XQ40" s="1001">
        <v>0</v>
      </c>
      <c r="XR40" s="1027">
        <v>91.367900000000006</v>
      </c>
      <c r="XS40" s="1013">
        <v>72.483929018789141</v>
      </c>
      <c r="XT40" s="1013">
        <v>80.113816283924848</v>
      </c>
      <c r="XU40" s="1013">
        <v>83.928759916492695</v>
      </c>
      <c r="XV40" s="1013">
        <v>128.94509478079334</v>
      </c>
      <c r="XW40" s="1028">
        <v>14814.69087</v>
      </c>
      <c r="XX40" s="1013">
        <v>80</v>
      </c>
      <c r="XY40" s="1013">
        <v>14.000000000000002</v>
      </c>
      <c r="XZ40" s="1013">
        <v>6</v>
      </c>
      <c r="YA40" s="1029">
        <v>0</v>
      </c>
      <c r="YB40" s="1013">
        <v>2564.2433238641111</v>
      </c>
      <c r="YC40" s="1013">
        <v>0</v>
      </c>
      <c r="YD40" s="1013">
        <v>0</v>
      </c>
      <c r="YE40" s="1013">
        <v>0</v>
      </c>
      <c r="YF40" s="1013">
        <v>0</v>
      </c>
      <c r="YG40" s="1013">
        <v>0</v>
      </c>
      <c r="YH40" s="1013">
        <v>534.21735913835653</v>
      </c>
      <c r="YI40" s="1013">
        <v>106.84347182767128</v>
      </c>
      <c r="YJ40" s="1013">
        <v>2750.8059186344103</v>
      </c>
      <c r="YK40" s="1013">
        <v>0</v>
      </c>
      <c r="YL40" s="1013">
        <v>0</v>
      </c>
      <c r="YM40" s="1013">
        <v>0</v>
      </c>
      <c r="YN40" s="1013">
        <v>0</v>
      </c>
      <c r="YO40" s="1013">
        <v>0</v>
      </c>
      <c r="YP40" s="1013">
        <v>573.08456638216887</v>
      </c>
      <c r="YQ40" s="1013">
        <v>114.61691327643375</v>
      </c>
      <c r="YR40" s="1013">
        <v>2881.7966766646205</v>
      </c>
      <c r="YS40" s="1013">
        <v>0</v>
      </c>
      <c r="YT40" s="1013">
        <v>0</v>
      </c>
      <c r="YU40" s="1013">
        <v>0</v>
      </c>
      <c r="YV40" s="1013">
        <v>0</v>
      </c>
      <c r="YW40" s="1013">
        <v>0</v>
      </c>
      <c r="YX40" s="1013">
        <v>600.3743076384626</v>
      </c>
      <c r="YY40" s="1013">
        <v>120.07486152769251</v>
      </c>
      <c r="YZ40" s="1013">
        <v>4427.4876214210981</v>
      </c>
      <c r="ZA40" s="1013">
        <v>0</v>
      </c>
      <c r="ZB40" s="1013">
        <v>0</v>
      </c>
      <c r="ZC40" s="1013">
        <v>0</v>
      </c>
      <c r="ZD40" s="1013">
        <v>0</v>
      </c>
      <c r="ZE40" s="1013">
        <v>0</v>
      </c>
      <c r="ZF40" s="1013">
        <v>922.39325446272881</v>
      </c>
      <c r="ZG40" s="1013">
        <v>184.47865089254574</v>
      </c>
      <c r="ZH40" s="1013">
        <v>1059.8872405304992</v>
      </c>
      <c r="ZI40" s="1013">
        <v>2738.0420380371229</v>
      </c>
      <c r="ZJ40" s="1013">
        <v>309.13377848806232</v>
      </c>
      <c r="ZK40" s="1013">
        <v>44.161968355437466</v>
      </c>
      <c r="ZL40" s="1013">
        <v>0</v>
      </c>
      <c r="ZM40" s="1013">
        <v>0</v>
      </c>
      <c r="ZN40" s="1013">
        <v>220.80984177718733</v>
      </c>
      <c r="ZO40" s="1013">
        <v>44.161968355437466</v>
      </c>
      <c r="ZP40" s="1013">
        <v>1136.9997797022227</v>
      </c>
      <c r="ZQ40" s="1013">
        <v>2937.2494308974087</v>
      </c>
      <c r="ZR40" s="1013">
        <v>331.6249357464817</v>
      </c>
      <c r="ZS40" s="1013">
        <v>47.374990820925952</v>
      </c>
      <c r="ZT40" s="1013">
        <v>0</v>
      </c>
      <c r="ZU40" s="1013">
        <v>0</v>
      </c>
      <c r="ZV40" s="1013">
        <v>236.87495410462975</v>
      </c>
      <c r="ZW40" s="1013">
        <v>47.374990820925952</v>
      </c>
      <c r="ZX40" s="1013">
        <v>1191.1426263547096</v>
      </c>
      <c r="ZY40" s="1013">
        <v>3077.1184514163328</v>
      </c>
      <c r="ZZ40" s="1013">
        <v>347.416599353457</v>
      </c>
      <c r="AAA40" s="1013">
        <v>49.630942764779569</v>
      </c>
      <c r="AAB40" s="1013">
        <v>0</v>
      </c>
      <c r="AAC40" s="1013">
        <v>0</v>
      </c>
      <c r="AAD40" s="1013">
        <v>248.15471382389785</v>
      </c>
      <c r="AAE40" s="1013">
        <v>49.630942764779569</v>
      </c>
      <c r="AAF40" s="1013">
        <v>1830.0282168540537</v>
      </c>
      <c r="AAG40" s="1013">
        <v>4727.5728935396392</v>
      </c>
      <c r="AAH40" s="1013">
        <v>533.7582299157657</v>
      </c>
      <c r="AAI40" s="1013">
        <v>76.25117570225224</v>
      </c>
      <c r="AAJ40" s="1013">
        <v>0</v>
      </c>
      <c r="AAK40" s="1013">
        <v>0</v>
      </c>
      <c r="AAL40" s="1013">
        <v>381.25587851126124</v>
      </c>
      <c r="AAM40" s="1013">
        <v>76.25117570225224</v>
      </c>
      <c r="AAN40" s="1013">
        <v>2820.6676562505218</v>
      </c>
      <c r="AAO40" s="1013">
        <v>7286.7247786471817</v>
      </c>
      <c r="AAP40" s="1013">
        <v>822.69473307306896</v>
      </c>
      <c r="AAQ40" s="1013">
        <v>117.52781901043842</v>
      </c>
      <c r="AAR40" s="1013">
        <v>0</v>
      </c>
      <c r="AAS40" s="1013">
        <v>0</v>
      </c>
      <c r="AAT40" s="1013">
        <v>587.63909505219215</v>
      </c>
      <c r="AAU40" s="1013">
        <v>117.52781901043842</v>
      </c>
      <c r="AAV40" s="1013">
        <v>3117.580041118998</v>
      </c>
      <c r="AAW40" s="1013">
        <v>8053.7484395574111</v>
      </c>
      <c r="AAX40" s="1013">
        <v>909.29417865970777</v>
      </c>
      <c r="AAY40" s="1013">
        <v>129.89916837995824</v>
      </c>
      <c r="AAZ40" s="1013">
        <v>0</v>
      </c>
      <c r="ABA40" s="1013">
        <v>0</v>
      </c>
      <c r="ABB40" s="1013">
        <v>649.49584189979123</v>
      </c>
      <c r="ABC40" s="1013">
        <v>129.89916837995824</v>
      </c>
      <c r="ABD40" s="1013">
        <v>3266.0362335532359</v>
      </c>
      <c r="ABE40" s="1013">
        <v>8437.2602700125262</v>
      </c>
      <c r="ABF40" s="1013">
        <v>952.59390145302723</v>
      </c>
      <c r="ABG40" s="1013">
        <v>136.08484306471817</v>
      </c>
      <c r="ABH40" s="1013">
        <v>0</v>
      </c>
      <c r="ABI40" s="1013">
        <v>0</v>
      </c>
      <c r="ABJ40" s="1013">
        <v>680.42421532359094</v>
      </c>
      <c r="ABK40" s="1013">
        <v>136.08484306471817</v>
      </c>
      <c r="ABL40" s="1013">
        <v>5017.8193042772446</v>
      </c>
      <c r="ABM40" s="1013">
        <v>12962.699869382881</v>
      </c>
      <c r="ABN40" s="1013">
        <v>1463.5306304141964</v>
      </c>
      <c r="ABO40" s="1013">
        <v>209.0758043448852</v>
      </c>
      <c r="ABP40" s="1013">
        <v>0</v>
      </c>
      <c r="ABQ40" s="1013">
        <v>0</v>
      </c>
      <c r="ABR40" s="1013">
        <v>1045.3790217244259</v>
      </c>
      <c r="ABS40" s="1013">
        <v>209.0758043448852</v>
      </c>
      <c r="ABT40" s="1013">
        <v>3880.5548967810209</v>
      </c>
      <c r="ABU40" s="1013">
        <v>10024.766816684303</v>
      </c>
      <c r="ABV40" s="1013">
        <v>1131.8285115611311</v>
      </c>
      <c r="ABW40" s="1013">
        <v>161.68978736587587</v>
      </c>
      <c r="ABX40" s="1013">
        <v>0</v>
      </c>
      <c r="ABY40" s="1013">
        <v>0</v>
      </c>
      <c r="ABZ40" s="1013">
        <v>808.44893682937936</v>
      </c>
      <c r="ACA40" s="1013">
        <v>161.68978736587587</v>
      </c>
      <c r="ACB40" s="1013">
        <v>4107.870171827386</v>
      </c>
      <c r="ACC40" s="1013">
        <v>10611.997943887412</v>
      </c>
      <c r="ACD40" s="1013">
        <v>1198.1288001163209</v>
      </c>
      <c r="ACE40" s="1013">
        <v>171.16125715947442</v>
      </c>
      <c r="ACF40" s="1013">
        <v>0</v>
      </c>
      <c r="ACG40" s="1013">
        <v>0</v>
      </c>
      <c r="ACH40" s="1013">
        <v>855.80628579737208</v>
      </c>
      <c r="ACI40" s="1013">
        <v>171.16125715947442</v>
      </c>
      <c r="ACJ40" s="1013">
        <v>4303.4830371524986</v>
      </c>
      <c r="ACK40" s="1013">
        <v>11117.331179310622</v>
      </c>
      <c r="ACL40" s="1013">
        <v>1255.1825525028123</v>
      </c>
      <c r="ACM40" s="1013">
        <v>179.31179321468747</v>
      </c>
      <c r="ACN40" s="1013">
        <v>0</v>
      </c>
      <c r="ACO40" s="1013">
        <v>0</v>
      </c>
      <c r="ACP40" s="1013">
        <v>896.55896607343732</v>
      </c>
      <c r="ACQ40" s="1013">
        <v>179.31179321468747</v>
      </c>
      <c r="ACR40" s="1013">
        <v>6611.7148479888392</v>
      </c>
      <c r="ACS40" s="1013">
        <v>17080.263357304502</v>
      </c>
      <c r="ACT40" s="1013">
        <v>1928.4168306634119</v>
      </c>
      <c r="ACU40" s="1013">
        <v>275.48811866620167</v>
      </c>
      <c r="ACV40" s="1013">
        <v>0</v>
      </c>
      <c r="ACW40" s="1013">
        <v>0</v>
      </c>
      <c r="ACX40" s="1013">
        <v>1377.4405933310084</v>
      </c>
      <c r="ACY40" s="1013">
        <v>275.48811866620167</v>
      </c>
      <c r="ACZ40" s="1013">
        <v>5025.9169147736566</v>
      </c>
      <c r="ADA40" s="1013">
        <v>12983.618696498614</v>
      </c>
      <c r="ADB40" s="1013">
        <v>1465.89243347565</v>
      </c>
      <c r="ADC40" s="1013">
        <v>209.41320478223571</v>
      </c>
      <c r="ADD40" s="1013">
        <v>0</v>
      </c>
      <c r="ADE40" s="1013">
        <v>0</v>
      </c>
      <c r="ADF40" s="1013">
        <v>1047.0660239111785</v>
      </c>
      <c r="ADG40" s="1013">
        <v>209.41320478223571</v>
      </c>
      <c r="ADH40" s="1013">
        <v>5373.2408943992141</v>
      </c>
      <c r="ADI40" s="1013">
        <v>13880.872310531302</v>
      </c>
      <c r="ADJ40" s="1013">
        <v>1567.1952608664376</v>
      </c>
      <c r="ADK40" s="1013">
        <v>223.88503726663393</v>
      </c>
      <c r="ADL40" s="1013">
        <v>0</v>
      </c>
      <c r="ADM40" s="1013">
        <v>0</v>
      </c>
      <c r="ADN40" s="1013">
        <v>1119.4251863331697</v>
      </c>
      <c r="ADO40" s="1013">
        <v>223.88503726663393</v>
      </c>
      <c r="ADP40" s="1013">
        <v>5629.1095084182243</v>
      </c>
      <c r="ADQ40" s="1013">
        <v>14541.866230080414</v>
      </c>
      <c r="ADR40" s="1013">
        <v>1641.8236066219824</v>
      </c>
      <c r="ADS40" s="1013">
        <v>234.54622951742604</v>
      </c>
      <c r="ADT40" s="1013">
        <v>0</v>
      </c>
      <c r="ADU40" s="1013">
        <v>0</v>
      </c>
      <c r="ADV40" s="1013">
        <v>1172.7311475871302</v>
      </c>
      <c r="ADW40" s="1013">
        <v>234.54622951742604</v>
      </c>
      <c r="ADX40" s="1013">
        <v>8648.3591538425444</v>
      </c>
      <c r="ADY40" s="1013">
        <v>22341.594480759908</v>
      </c>
      <c r="ADZ40" s="1013">
        <v>2522.4380865374092</v>
      </c>
      <c r="AEA40" s="1013">
        <v>360.34829807677272</v>
      </c>
      <c r="AEB40" s="1013">
        <v>0</v>
      </c>
      <c r="AEC40" s="1013">
        <v>0</v>
      </c>
      <c r="AED40" s="1013">
        <v>1801.7414903838635</v>
      </c>
      <c r="AEE40" s="1013">
        <v>360.34829807677272</v>
      </c>
      <c r="AEF40" s="1013">
        <v>6137.0890217814385</v>
      </c>
      <c r="AEG40" s="1013">
        <v>15854.14663960205</v>
      </c>
      <c r="AEH40" s="1013">
        <v>1789.9842980195865</v>
      </c>
      <c r="AEI40" s="1013">
        <v>255.71204257422661</v>
      </c>
      <c r="AEJ40" s="1013">
        <v>0</v>
      </c>
      <c r="AEK40" s="1013">
        <v>0</v>
      </c>
      <c r="AEL40" s="1013">
        <v>1278.5602128711332</v>
      </c>
      <c r="AEM40" s="1013">
        <v>255.71204257422661</v>
      </c>
      <c r="AEN40" s="1013">
        <v>6601.9342047225837</v>
      </c>
      <c r="AEO40" s="1013">
        <v>17054.996695533344</v>
      </c>
      <c r="AEP40" s="1013">
        <v>1925.5641430440871</v>
      </c>
      <c r="AEQ40" s="1013">
        <v>275.08059186344099</v>
      </c>
      <c r="AER40" s="1013">
        <v>0</v>
      </c>
      <c r="AES40" s="1013">
        <v>0</v>
      </c>
      <c r="AET40" s="1013">
        <v>1375.4029593172052</v>
      </c>
      <c r="AEU40" s="1013">
        <v>275.08059186344099</v>
      </c>
      <c r="AEV40" s="1013">
        <v>6916.3120239950877</v>
      </c>
      <c r="AEW40" s="1013">
        <v>17867.139395320646</v>
      </c>
      <c r="AEX40" s="1013">
        <v>2017.2576736652343</v>
      </c>
      <c r="AEY40" s="1013">
        <v>288.17966766646202</v>
      </c>
      <c r="AEZ40" s="1013">
        <v>0</v>
      </c>
      <c r="AFA40" s="1013">
        <v>0</v>
      </c>
      <c r="AFB40" s="1013">
        <v>1440.8983383323102</v>
      </c>
      <c r="AFC40" s="1013">
        <v>288.17966766646202</v>
      </c>
      <c r="AFD40" s="1013">
        <v>10625.970291410635</v>
      </c>
      <c r="AFE40" s="1013">
        <v>27450.423252810804</v>
      </c>
      <c r="AFF40" s="1013">
        <v>3099.2413349947687</v>
      </c>
      <c r="AFG40" s="1013">
        <v>442.7487621421098</v>
      </c>
      <c r="AFH40" s="1013">
        <v>0</v>
      </c>
      <c r="AFI40" s="1013">
        <v>0</v>
      </c>
      <c r="AFJ40" s="1013">
        <v>2213.743810710549</v>
      </c>
      <c r="AFK40" s="1013">
        <v>442.7487621421098</v>
      </c>
      <c r="AFL40" s="1023">
        <v>7077.3115738649458</v>
      </c>
      <c r="AFM40" s="1023">
        <v>18283.05489915111</v>
      </c>
      <c r="AFN40" s="1023">
        <v>2064.2158757106095</v>
      </c>
      <c r="AFO40" s="1023">
        <v>294.88798224437278</v>
      </c>
      <c r="AFP40" s="1023">
        <v>0</v>
      </c>
      <c r="AFQ40" s="1023">
        <v>0</v>
      </c>
      <c r="AFR40" s="1023">
        <v>1474.4399112218639</v>
      </c>
      <c r="AFS40" s="1023">
        <v>294.88798224437278</v>
      </c>
      <c r="AFT40" s="1023">
        <v>7518.8695109340524</v>
      </c>
      <c r="AFU40" s="1023">
        <v>19423.746236579638</v>
      </c>
      <c r="AFV40" s="1023">
        <v>2193.0036073557658</v>
      </c>
      <c r="AFW40" s="1023">
        <v>313.28622962225222</v>
      </c>
      <c r="AFX40" s="1023">
        <v>0</v>
      </c>
      <c r="AFY40" s="1023">
        <v>0</v>
      </c>
      <c r="AFZ40" s="1023">
        <v>1566.4311481112611</v>
      </c>
      <c r="AGA40" s="1023">
        <v>313.28622962225222</v>
      </c>
      <c r="AGB40" s="1023">
        <v>7876.9109162166278</v>
      </c>
      <c r="AGC40" s="1023">
        <v>20348.686533559623</v>
      </c>
      <c r="AGD40" s="1023">
        <v>2297.4323505631837</v>
      </c>
      <c r="AGE40" s="1023">
        <v>328.2046215090262</v>
      </c>
      <c r="AGF40" s="1023">
        <v>0</v>
      </c>
      <c r="AGG40" s="1023">
        <v>0</v>
      </c>
      <c r="AGH40" s="1023">
        <v>1641.0231075451311</v>
      </c>
      <c r="AGI40" s="1023">
        <v>328.2046215090262</v>
      </c>
      <c r="AGJ40" s="1023">
        <v>12101.799498550999</v>
      </c>
      <c r="AGK40" s="1023">
        <v>31262.982037923419</v>
      </c>
      <c r="AGL40" s="1023">
        <v>3529.691520410709</v>
      </c>
      <c r="AGM40" s="1023">
        <v>504.24164577295835</v>
      </c>
      <c r="AGN40" s="1023">
        <v>0</v>
      </c>
      <c r="AGO40" s="1023">
        <v>0</v>
      </c>
      <c r="AGP40" s="1023">
        <v>2521.2082288647921</v>
      </c>
      <c r="AGQ40" s="1023">
        <v>504.24164577295835</v>
      </c>
      <c r="AGR40" s="1030">
        <v>2820.6676562505218</v>
      </c>
      <c r="AGS40" s="1030">
        <v>7286.7247786471817</v>
      </c>
      <c r="AGT40" s="1030">
        <v>822.69473307306896</v>
      </c>
      <c r="AGU40" s="1030">
        <v>117.52781901043842</v>
      </c>
      <c r="AGV40" s="1030">
        <v>0</v>
      </c>
      <c r="AGW40" s="1030">
        <v>0</v>
      </c>
      <c r="AGX40" s="1030">
        <v>587.63909505219215</v>
      </c>
      <c r="AGY40" s="1030">
        <v>117.52781901043842</v>
      </c>
      <c r="AGZ40" s="1030">
        <v>3117.580041118998</v>
      </c>
      <c r="AHA40" s="1030">
        <v>8053.7484395574111</v>
      </c>
      <c r="AHB40" s="1030">
        <v>909.29417865970777</v>
      </c>
      <c r="AHC40" s="1030">
        <v>129.89916837995824</v>
      </c>
      <c r="AHD40" s="1030">
        <v>0</v>
      </c>
      <c r="AHE40" s="1030">
        <v>0</v>
      </c>
      <c r="AHF40" s="1030">
        <v>649.49584189979123</v>
      </c>
      <c r="AHG40" s="1030">
        <v>129.89916837995824</v>
      </c>
      <c r="AHH40" s="1030">
        <v>3266.0362335532359</v>
      </c>
      <c r="AHI40" s="1030">
        <v>8437.2602700125262</v>
      </c>
      <c r="AHJ40" s="1030">
        <v>952.59390145302723</v>
      </c>
      <c r="AHK40" s="1030">
        <v>136.08484306471817</v>
      </c>
      <c r="AHL40" s="1030">
        <v>0</v>
      </c>
      <c r="AHM40" s="1030">
        <v>0</v>
      </c>
      <c r="AHN40" s="1030">
        <v>680.42421532359094</v>
      </c>
      <c r="AHO40" s="1030">
        <v>136.08484306471817</v>
      </c>
      <c r="AHP40" s="1030">
        <v>5017.8193042772446</v>
      </c>
      <c r="AHQ40" s="1030">
        <v>12962.699869382881</v>
      </c>
      <c r="AHR40" s="1030">
        <v>1463.5306304141964</v>
      </c>
      <c r="AHS40" s="1030">
        <v>209.0758043448852</v>
      </c>
      <c r="AHT40" s="1030">
        <v>0</v>
      </c>
      <c r="AHU40" s="1030">
        <v>0</v>
      </c>
      <c r="AHV40" s="1030">
        <v>1045.3790217244259</v>
      </c>
      <c r="AHW40" s="1030">
        <v>209.0758043448852</v>
      </c>
      <c r="AHX40" s="1013">
        <v>165</v>
      </c>
      <c r="AHY40" s="1023">
        <v>0</v>
      </c>
      <c r="AHZ40" s="1023">
        <v>0</v>
      </c>
      <c r="AIA40" s="1023">
        <v>0</v>
      </c>
      <c r="AIB40" s="1023">
        <v>0</v>
      </c>
      <c r="AIC40" s="1023">
        <v>0</v>
      </c>
      <c r="AID40" s="1023">
        <v>0</v>
      </c>
      <c r="AIE40" s="1023">
        <v>0</v>
      </c>
      <c r="AIF40" s="1017">
        <v>252.32447937081599</v>
      </c>
      <c r="AIG40" s="1017">
        <v>241.81095939703201</v>
      </c>
      <c r="AIH40" s="1017">
        <v>21.027039947567999</v>
      </c>
      <c r="AII40" s="1017">
        <v>0</v>
      </c>
      <c r="AIJ40" s="1017">
        <v>0</v>
      </c>
      <c r="AIK40" s="1017">
        <v>0</v>
      </c>
      <c r="AIL40" s="1017">
        <v>0</v>
      </c>
      <c r="AIM40" s="1017">
        <v>10.513519973784</v>
      </c>
      <c r="AIN40" s="1016">
        <v>317.35263140378692</v>
      </c>
      <c r="AIO40" s="1016">
        <v>304.1296050952958</v>
      </c>
      <c r="AIP40" s="1017">
        <v>26.446052616982243</v>
      </c>
      <c r="AIQ40" s="1017">
        <v>0</v>
      </c>
      <c r="AIR40" s="1017">
        <v>0</v>
      </c>
      <c r="AIS40" s="1017">
        <v>0</v>
      </c>
      <c r="AIT40" s="1017">
        <v>0</v>
      </c>
      <c r="AIU40" s="1017">
        <v>13.223026308491121</v>
      </c>
      <c r="AIV40" s="1017">
        <v>125.73900116466247</v>
      </c>
      <c r="AIW40" s="1017">
        <v>120.49987611613489</v>
      </c>
      <c r="AIX40" s="1017">
        <v>10.478250097055207</v>
      </c>
      <c r="AIY40" s="1017">
        <v>0</v>
      </c>
      <c r="AIZ40" s="1017">
        <v>0</v>
      </c>
      <c r="AJA40" s="1017">
        <v>0</v>
      </c>
      <c r="AJB40" s="1017">
        <v>0</v>
      </c>
      <c r="AJC40" s="1017">
        <v>5.2391250485276037</v>
      </c>
      <c r="AJD40" s="1017">
        <v>129.6</v>
      </c>
      <c r="AJE40" s="1017">
        <v>96.93</v>
      </c>
      <c r="AJF40" s="1017">
        <v>80.78</v>
      </c>
      <c r="AJG40" s="1017">
        <v>0</v>
      </c>
      <c r="AJH40" s="1017">
        <v>7.54</v>
      </c>
      <c r="AJI40" s="1017">
        <v>9.15</v>
      </c>
      <c r="AJJ40" s="1017">
        <v>0</v>
      </c>
      <c r="AJK40" s="1013">
        <v>0</v>
      </c>
      <c r="AJL40" s="1013">
        <v>45.782751187738434</v>
      </c>
      <c r="AJM40" s="1013">
        <v>43.875136554916004</v>
      </c>
      <c r="AJN40" s="1013">
        <v>3.8152292656448696</v>
      </c>
      <c r="AJO40" s="1013">
        <v>0</v>
      </c>
      <c r="AJP40" s="1013">
        <v>0</v>
      </c>
      <c r="AJQ40" s="1013">
        <v>0</v>
      </c>
      <c r="AJR40" s="1013">
        <v>0</v>
      </c>
      <c r="AJS40" s="1013">
        <v>1.9076146328224348</v>
      </c>
      <c r="AJT40" s="1029" t="s">
        <v>858</v>
      </c>
      <c r="AJU40" s="988" t="s">
        <v>861</v>
      </c>
      <c r="AJV40" s="988" t="s">
        <v>860</v>
      </c>
      <c r="AJW40" s="988" t="s">
        <v>859</v>
      </c>
      <c r="AJX40" s="988" t="s">
        <v>870</v>
      </c>
      <c r="AJY40" s="988" t="s">
        <v>871</v>
      </c>
      <c r="AJZ40" s="988" t="s">
        <v>872</v>
      </c>
      <c r="AKA40" s="988" t="s">
        <v>873</v>
      </c>
      <c r="AKB40" s="988" t="s">
        <v>874</v>
      </c>
      <c r="AKC40" s="988" t="s">
        <v>875</v>
      </c>
      <c r="AKD40" s="997">
        <v>118.8</v>
      </c>
      <c r="AKE40" s="997">
        <v>0</v>
      </c>
      <c r="AKF40" s="997">
        <v>0</v>
      </c>
      <c r="AKG40" s="997">
        <v>0</v>
      </c>
      <c r="AKH40" s="997">
        <v>0</v>
      </c>
      <c r="AKI40" s="997">
        <v>0</v>
      </c>
      <c r="AKJ40" s="997">
        <v>0</v>
      </c>
      <c r="AKK40" s="997">
        <v>4.95</v>
      </c>
      <c r="AKL40" s="997">
        <v>378.48671905622399</v>
      </c>
      <c r="AKM40" s="997">
        <v>0</v>
      </c>
      <c r="AKN40" s="997">
        <v>0</v>
      </c>
      <c r="AKO40" s="997">
        <v>0</v>
      </c>
      <c r="AKP40" s="997">
        <v>0</v>
      </c>
      <c r="AKQ40" s="997">
        <v>0</v>
      </c>
      <c r="AKR40" s="997">
        <v>0</v>
      </c>
      <c r="AKS40" s="997">
        <v>15.770279960676001</v>
      </c>
      <c r="AKT40" s="997">
        <v>476.02894710568034</v>
      </c>
      <c r="AKU40" s="997">
        <v>0</v>
      </c>
      <c r="AKV40" s="997">
        <v>0</v>
      </c>
      <c r="AKW40" s="997">
        <v>0</v>
      </c>
      <c r="AKX40" s="997">
        <v>0</v>
      </c>
      <c r="AKY40" s="997">
        <v>0</v>
      </c>
      <c r="AKZ40" s="997">
        <v>0</v>
      </c>
      <c r="ALA40" s="997">
        <v>19.834539462736682</v>
      </c>
      <c r="ALB40" s="997">
        <v>188.60850174699371</v>
      </c>
      <c r="ALC40" s="997">
        <v>0</v>
      </c>
      <c r="ALD40" s="997">
        <v>0</v>
      </c>
      <c r="ALE40" s="1017">
        <v>0</v>
      </c>
      <c r="ALF40" s="1017">
        <v>0</v>
      </c>
      <c r="ALG40" s="1017">
        <v>0</v>
      </c>
      <c r="ALH40" s="1017">
        <v>0</v>
      </c>
      <c r="ALI40" s="1017">
        <v>7.8586875727914052</v>
      </c>
      <c r="ALJ40" s="1017">
        <v>233.28</v>
      </c>
      <c r="ALK40" s="1017">
        <v>0</v>
      </c>
      <c r="ALL40" s="1017">
        <v>0</v>
      </c>
      <c r="ALM40" s="1017">
        <v>0</v>
      </c>
      <c r="ALN40" s="1017">
        <v>0</v>
      </c>
      <c r="ALO40" s="1017">
        <v>0</v>
      </c>
      <c r="ALP40" s="1017">
        <v>0</v>
      </c>
      <c r="ALQ40" s="1017">
        <v>9.7200000000000006</v>
      </c>
      <c r="ALR40" s="1017">
        <v>68.67412678160764</v>
      </c>
      <c r="ALS40" s="1017">
        <v>0</v>
      </c>
      <c r="ALT40" s="1017">
        <v>0</v>
      </c>
      <c r="ALU40" s="1017">
        <v>0</v>
      </c>
      <c r="ALV40" s="1017">
        <v>0</v>
      </c>
      <c r="ALW40" s="1017">
        <v>0</v>
      </c>
      <c r="ALX40" s="1017">
        <v>0</v>
      </c>
      <c r="ALY40" s="1017">
        <v>2.8614219492336521</v>
      </c>
    </row>
    <row r="41" spans="1:1013" ht="18" customHeight="1" thickBot="1">
      <c r="A41" s="1277" t="s">
        <v>148</v>
      </c>
      <c r="B41" s="1278" t="str">
        <f>IF(INDEX($B$42:$ALY$100,START!$E$3,B1)="","",INDEX($B$42:$ALY$100,START!$E$3,B1))</f>
        <v>QGasSP</v>
      </c>
      <c r="C41" s="1278">
        <f>IF(INDEX($B$42:$ALY$100,START!$E$3,C1)="","",INDEX($B$42:$ALY$100,START!$E$3,C1))</f>
        <v>2022</v>
      </c>
      <c r="D41" s="671" t="str">
        <f>IF(INDEX($B$42:$ALY$100,START!$E$3,D1)="","",INDEX($B$42:$ALY$100,START!$E$3,D1))</f>
        <v/>
      </c>
      <c r="E41" s="1278">
        <f>IF(INDEX($B$42:$ALY$100,START!$E$3,E1)="","",INDEX($B$42:$ALY$100,START!$E$3,E1))</f>
        <v>0</v>
      </c>
      <c r="F41" s="1278">
        <f>IF(INDEX($B$42:$ALY$100,START!$E$3,F1)="","",INDEX($B$42:$ALY$100,START!$E$3,F1))</f>
        <v>0.4</v>
      </c>
      <c r="G41" s="1278">
        <f>IF(INDEX($B$42:$ALY$100,START!$E$3,G1)="","",INDEX($B$42:$ALY$100,START!$E$3,G1))</f>
        <v>0.4</v>
      </c>
      <c r="H41" s="1279">
        <f>IF(INDEX($B$42:$ALY$100,START!$E$3,H1)="","",INDEX($B$42:$ALY$100,START!$E$3,H1))</f>
        <v>364.08695652173913</v>
      </c>
      <c r="I41" s="1278">
        <f>IF(INDEX($B$42:$ALY$100,START!$E$3,I1)="","",INDEX($B$42:$ALY$100,START!$E$3,I1))</f>
        <v>-1.5</v>
      </c>
      <c r="J41" s="1278">
        <f>IF(INDEX($B$42:$ALY$100,START!$E$3,J1)="","",INDEX($B$42:$ALY$100,START!$E$3,J1))</f>
        <v>-3.8</v>
      </c>
      <c r="K41" s="1278">
        <f>IF(INDEX($B$42:$ALY$100,START!$E$3,K1)="","",INDEX($B$42:$ALY$100,START!$E$3,K1))</f>
        <v>-3.8</v>
      </c>
      <c r="L41" s="1278" t="str">
        <f>IF(INDEX($B$42:$ALY$100,START!$E$3,L1)="","",INDEX($B$42:$ALY$100,START!$E$3,L1))</f>
        <v/>
      </c>
      <c r="M41" s="1278" t="str">
        <f>IF(INDEX($B$42:$ALY$100,START!$E$3,M1)="","",INDEX($B$42:$ALY$100,START!$E$3,M1))</f>
        <v/>
      </c>
      <c r="N41" s="1278" t="str">
        <f>IF(INDEX($B$42:$ALY$100,START!$E$3,N1)="","",INDEX($B$42:$ALY$100,START!$E$3,N1))</f>
        <v/>
      </c>
      <c r="O41" s="1278" t="str">
        <f>IF(INDEX($B$42:$ALY$100,START!$E$3,O1)="","",INDEX($B$42:$ALY$100,START!$E$3,O1))</f>
        <v/>
      </c>
      <c r="P41" s="1278">
        <f>IF(INDEX($B$42:$ALY$100,START!$E$3,P1)="","",INDEX($B$42:$ALY$100,START!$E$3,P1))</f>
        <v>2124.3106214374661</v>
      </c>
      <c r="Q41" s="1278">
        <f>IF(INDEX($B$42:$ALY$100,START!$E$3,Q1)="","",INDEX($B$42:$ALY$100,START!$E$3,Q1))</f>
        <v>12</v>
      </c>
      <c r="R41" s="1278">
        <f>IF(INDEX($B$42:$ALY$100,START!$E$3,R1)="","",INDEX($B$42:$ALY$100,START!$E$3,R1))</f>
        <v>0.7</v>
      </c>
      <c r="S41" s="1278">
        <f>IF(INDEX($B$42:$ALY$100,START!$E$3,S1)="","",INDEX($B$42:$ALY$100,START!$E$3,S1))</f>
        <v>0.7</v>
      </c>
      <c r="T41" s="1278">
        <f>IF(INDEX($B$42:$ALY$100,START!$E$3,T1)="","",INDEX($B$42:$ALY$100,START!$E$3,T1))</f>
        <v>0.7</v>
      </c>
      <c r="U41" s="1278">
        <f>IF(INDEX($B$42:$ALY$100,START!$E$3,U1)="","",INDEX($B$42:$ALY$100,START!$E$3,U1))</f>
        <v>0.1</v>
      </c>
      <c r="V41" s="1278">
        <f>IF(INDEX($B$42:$ALY$100,START!$E$3,V1)="","",INDEX($B$42:$ALY$100,START!$E$3,V1))</f>
        <v>0</v>
      </c>
      <c r="W41" s="1278">
        <f>IF(INDEX($B$42:$ALY$100,START!$E$3,W1)="","",INDEX($B$42:$ALY$100,START!$E$3,W1))</f>
        <v>99.9</v>
      </c>
      <c r="X41" s="1278">
        <f>IF(INDEX($B$42:$ALY$100,START!$E$3,X1)="","",INDEX($B$42:$ALY$100,START!$E$3,X1))</f>
        <v>0</v>
      </c>
      <c r="Y41" s="1278">
        <f>IF(INDEX($B$42:$ALY$100,START!$E$3,Y1)="","",INDEX($B$42:$ALY$100,START!$E$3,Y1))</f>
        <v>0</v>
      </c>
      <c r="Z41" s="1278">
        <f>IF(INDEX($B$42:$ALY$100,START!$E$3,Z1)="","",INDEX($B$42:$ALY$100,START!$E$3,Z1))</f>
        <v>1</v>
      </c>
      <c r="AA41" s="1278">
        <f>IF(INDEX($B$42:$ALY$100,START!$E$3,AA1)="","",INDEX($B$42:$ALY$100,START!$E$3,AA1))</f>
        <v>1</v>
      </c>
      <c r="AB41" s="1278">
        <f>IF(INDEX($B$42:$ALY$100,START!$E$3,AB1)="","",INDEX($B$42:$ALY$100,START!$E$3,AB1))</f>
        <v>1</v>
      </c>
      <c r="AC41" s="1278">
        <f>IF(INDEX($B$42:$ALY$100,START!$E$3,AC1)="","",INDEX($B$42:$ALY$100,START!$E$3,AC1))</f>
        <v>1</v>
      </c>
      <c r="AD41" s="1278">
        <f>IF(INDEX($B$42:$ALY$100,START!$E$3,AD1)="","",INDEX($B$42:$ALY$100,START!$E$3,AD1))</f>
        <v>1</v>
      </c>
      <c r="AE41" s="1278" t="str">
        <f>IF(INDEX($B$42:$ALY$100,START!$E$3,AE1)="","",INDEX($B$42:$ALY$100,START!$E$3,AE1))</f>
        <v/>
      </c>
      <c r="AF41" s="1278" t="str">
        <f>IF(INDEX($B$42:$ALY$100,START!$E$3,AF1)="","",INDEX($B$42:$ALY$100,START!$E$3,AF1))</f>
        <v/>
      </c>
      <c r="AG41" s="1278" t="str">
        <f>IF(INDEX($B$42:$ALY$100,START!$E$3,AG1)="","",INDEX($B$42:$ALY$100,START!$E$3,AG1))</f>
        <v/>
      </c>
      <c r="AH41" s="1278" t="str">
        <f>IF(INDEX($B$42:$ALY$100,START!$E$3,AH1)="","",INDEX($B$42:$ALY$100,START!$E$3,AH1))</f>
        <v/>
      </c>
      <c r="AI41" s="1278" t="str">
        <f>IF(INDEX($B$42:$ALY$100,START!$E$3,AI1)="","",INDEX($B$42:$ALY$100,START!$E$3,AI1))</f>
        <v/>
      </c>
      <c r="AJ41" s="1278" t="str">
        <f>IF(INDEX($B$42:$ALY$100,START!$E$3,AJ1)="","",INDEX($B$42:$ALY$100,START!$E$3,AJ1))</f>
        <v/>
      </c>
      <c r="AK41" s="1278" t="str">
        <f>IF(INDEX($B$42:$ALY$100,START!$E$3,AK1)="","",INDEX($B$42:$ALY$100,START!$E$3,AK1))</f>
        <v/>
      </c>
      <c r="AL41" s="1278" t="str">
        <f>IF(INDEX($B$42:$ALY$100,START!$E$3,AL1)="","",INDEX($B$42:$ALY$100,START!$E$3,AL1))</f>
        <v/>
      </c>
      <c r="AM41" s="1278" t="str">
        <f>IF(INDEX($B$42:$ALY$100,START!$E$3,AM1)="","",INDEX($B$42:$ALY$100,START!$E$3,AM1))</f>
        <v/>
      </c>
      <c r="AN41" s="1278" t="str">
        <f>IF(INDEX($B$42:$ALY$100,START!$E$3,AN1)="","",INDEX($B$42:$ALY$100,START!$E$3,AN1))</f>
        <v/>
      </c>
      <c r="AO41" s="1278" t="str">
        <f>IF(INDEX($B$42:$ALY$100,START!$E$3,AO1)="","",INDEX($B$42:$ALY$100,START!$E$3,AO1))</f>
        <v/>
      </c>
      <c r="AP41" s="1278" t="str">
        <f>IF(INDEX($B$42:$ALY$100,START!$E$3,AP1)="","",INDEX($B$42:$ALY$100,START!$E$3,AP1))</f>
        <v/>
      </c>
      <c r="AQ41" s="1278" t="str">
        <f>IF(INDEX($B$42:$ALY$100,START!$E$3,AQ1)="","",INDEX($B$42:$ALY$100,START!$E$3,AQ1))</f>
        <v/>
      </c>
      <c r="AR41" s="1278" t="str">
        <f>IF(INDEX($B$42:$ALY$100,START!$E$3,AR1)="","",INDEX($B$42:$ALY$100,START!$E$3,AR1))</f>
        <v/>
      </c>
      <c r="AS41" s="1278" t="str">
        <f>IF(INDEX($B$42:$ALY$100,START!$E$3,AS1)="","",INDEX($B$42:$ALY$100,START!$E$3,AS1))</f>
        <v/>
      </c>
      <c r="AT41" s="1278" t="str">
        <f>IF(INDEX($B$42:$ALY$100,START!$E$3,AT1)="","",INDEX($B$42:$ALY$100,START!$E$3,AT1))</f>
        <v/>
      </c>
      <c r="AU41" s="1278" t="str">
        <f>IF(INDEX($B$42:$ALY$100,START!$E$3,AU1)="","",INDEX($B$42:$ALY$100,START!$E$3,AU1))</f>
        <v/>
      </c>
      <c r="AV41" s="1278" t="str">
        <f>IF(INDEX($B$42:$ALY$100,START!$E$3,AV1)="","",INDEX($B$42:$ALY$100,START!$E$3,AV1))</f>
        <v/>
      </c>
      <c r="AW41" s="1278" t="str">
        <f>IF(INDEX($B$42:$ALY$100,START!$E$3,AW1)="","",INDEX($B$42:$ALY$100,START!$E$3,AW1))</f>
        <v/>
      </c>
      <c r="AX41" s="1278" t="str">
        <f>IF(INDEX($B$42:$ALY$100,START!$E$3,AX1)="","",INDEX($B$42:$ALY$100,START!$E$3,AX1))</f>
        <v/>
      </c>
      <c r="AY41" s="1278" t="str">
        <f>IF(INDEX($B$42:$ALY$100,START!$E$3,AY1)="","",INDEX($B$42:$ALY$100,START!$E$3,AY1))</f>
        <v/>
      </c>
      <c r="AZ41" s="1278" t="str">
        <f>IF(INDEX($B$42:$ALY$100,START!$E$3,AZ1)="","",INDEX($B$42:$ALY$100,START!$E$3,AZ1))</f>
        <v/>
      </c>
      <c r="BA41" s="1279">
        <f>IF(INDEX($B$42:$ALY$100,START!$E$3,BA1)="","",INDEX($B$42:$ALY$100,START!$E$3,BA1))</f>
        <v>11785.626724936825</v>
      </c>
      <c r="BB41" s="1278">
        <f>IF(INDEX($B$42:$ALY$100,START!$E$3,BB1)="","",INDEX($B$42:$ALY$100,START!$E$3,BB1))</f>
        <v>1.5</v>
      </c>
      <c r="BC41" s="1278">
        <f>IF(INDEX($B$42:$ALY$100,START!$E$3,BC1)="","",INDEX($B$42:$ALY$100,START!$E$3,BC1))</f>
        <v>1.8</v>
      </c>
      <c r="BD41" s="1278">
        <f>IF(INDEX($B$42:$ALY$100,START!$E$3,BD1)="","",INDEX($B$42:$ALY$100,START!$E$3,BD1))</f>
        <v>0.8</v>
      </c>
      <c r="BE41" s="1278">
        <f>IF(INDEX($B$42:$ALY$100,START!$E$3,BE1)="","",INDEX($B$42:$ALY$100,START!$E$3,BE1))</f>
        <v>0.8</v>
      </c>
      <c r="BF41" s="1278">
        <f>IF(INDEX($B$42:$ALY$100,START!$E$3,BF1)="","",INDEX($B$42:$ALY$100,START!$E$3,BF1))</f>
        <v>0.16458882635095481</v>
      </c>
      <c r="BG41" s="1278">
        <f>IF(INDEX($B$42:$ALY$100,START!$E$3,BG1)="","",INDEX($B$42:$ALY$100,START!$E$3,BG1))</f>
        <v>0.17241435895653787</v>
      </c>
      <c r="BH41" s="1278" t="str">
        <f>IF(INDEX($B$42:$ALY$100,START!$E$3,BH1)="","",INDEX($B$42:$ALY$100,START!$E$3,BH1))</f>
        <v/>
      </c>
      <c r="BI41" s="1278" t="str">
        <f>IF(INDEX($B$42:$ALY$100,START!$E$3,BI1)="","",INDEX($B$42:$ALY$100,START!$E$3,BI1))</f>
        <v/>
      </c>
      <c r="BJ41" s="1278">
        <f>IF(INDEX($B$42:$ALY$100,START!$E$3,BJ1)="","",INDEX($B$42:$ALY$100,START!$E$3,BJ1))</f>
        <v>3.1069255412930827</v>
      </c>
      <c r="BK41" s="1278">
        <f>IF(INDEX($B$42:$ALY$100,START!$E$3,BK1)="","",INDEX($B$42:$ALY$100,START!$E$3,BK1))</f>
        <v>38.101872755810703</v>
      </c>
      <c r="BL41" s="1278" t="str">
        <f>IF(INDEX($B$42:$ALY$100,START!$E$3,BL1)="","",INDEX($B$42:$ALY$100,START!$E$3,BL1))</f>
        <v/>
      </c>
      <c r="BM41" s="1278" t="str">
        <f>IF(INDEX($B$42:$ALY$100,START!$E$3,BM1)="","",INDEX($B$42:$ALY$100,START!$E$3,BM1))</f>
        <v/>
      </c>
      <c r="BN41" s="1278">
        <f>IF(INDEX($B$42:$ALY$100,START!$E$3,BN1)="","",INDEX($B$42:$ALY$100,START!$E$3,BN1))</f>
        <v>55.68427616160313</v>
      </c>
      <c r="BO41" s="1278" t="str">
        <f>IF(INDEX($B$42:$ALY$100,START!$E$3,BO1)="","",INDEX($B$42:$ALY$100,START!$E$3,BO1))</f>
        <v/>
      </c>
      <c r="BP41" s="1278" t="str">
        <f>IF(INDEX($B$42:$ALY$100,START!$E$3,BP1)="","",INDEX($B$42:$ALY$100,START!$E$3,BP1))</f>
        <v/>
      </c>
      <c r="BQ41" s="1278" t="str">
        <f>IF(INDEX($B$42:$ALY$100,START!$E$3,BQ1)="","",INDEX($B$42:$ALY$100,START!$E$3,BQ1))</f>
        <v/>
      </c>
      <c r="BR41" s="1278" t="str">
        <f>IF(INDEX($B$42:$ALY$100,START!$E$3,BR1)="","",INDEX($B$42:$ALY$100,START!$E$3,BR1))</f>
        <v/>
      </c>
      <c r="BS41" s="1278" t="str">
        <f>IF(INDEX($B$42:$ALY$100,START!$E$3,BS1)="","",INDEX($B$42:$ALY$100,START!$E$3,BS1))</f>
        <v/>
      </c>
      <c r="BT41" s="1278" t="str">
        <f>IF(INDEX($B$42:$ALY$100,START!$E$3,BT1)="","",INDEX($B$42:$ALY$100,START!$E$3,BT1))</f>
        <v/>
      </c>
      <c r="BU41" s="1278">
        <f>IF(INDEX($B$42:$ALY$100,START!$E$3,BU1)="","",INDEX($B$42:$ALY$100,START!$E$3,BU1))</f>
        <v>2.7375346707088952</v>
      </c>
      <c r="BV41" s="1278">
        <f>IF(INDEX($B$42:$ALY$100,START!$E$3,BV1)="","",INDEX($B$42:$ALY$100,START!$E$3,BV1))</f>
        <v>0.36939087058418801</v>
      </c>
      <c r="BW41" s="1278" t="str">
        <f>IF(INDEX($B$42:$ALY$100,START!$E$3,BW1)="","",INDEX($B$42:$ALY$100,START!$E$3,BW1))</f>
        <v/>
      </c>
      <c r="BX41" s="1278" t="str">
        <f>IF(INDEX($B$42:$ALY$100,START!$E$3,BX1)="","",INDEX($B$42:$ALY$100,START!$E$3,BX1))</f>
        <v/>
      </c>
      <c r="BY41" s="1278" t="str">
        <f>IF(INDEX($B$42:$ALY$100,START!$E$3,BY1)="","",INDEX($B$42:$ALY$100,START!$E$3,BY1))</f>
        <v/>
      </c>
      <c r="BZ41" s="1278" t="str">
        <f>IF(INDEX($B$42:$ALY$100,START!$E$3,BZ1)="","",INDEX($B$42:$ALY$100,START!$E$3,BZ1))</f>
        <v/>
      </c>
      <c r="CA41" s="1278" t="str">
        <f>IF(INDEX($B$42:$ALY$100,START!$E$3,CA1)="","",INDEX($B$42:$ALY$100,START!$E$3,CA1))</f>
        <v/>
      </c>
      <c r="CB41" s="1278" t="str">
        <f>IF(INDEX($B$42:$ALY$100,START!$E$3,CB1)="","",INDEX($B$42:$ALY$100,START!$E$3,CB1))</f>
        <v/>
      </c>
      <c r="CC41" s="1278" t="str">
        <f>IF(INDEX($B$42:$ALY$100,START!$E$3,CC1)="","",INDEX($B$42:$ALY$100,START!$E$3,CC1))</f>
        <v/>
      </c>
      <c r="CD41" s="1278" t="str">
        <f>IF(INDEX($B$42:$ALY$100,START!$E$3,CD1)="","",INDEX($B$42:$ALY$100,START!$E$3,CD1))</f>
        <v/>
      </c>
      <c r="CE41" s="1278" t="str">
        <f>IF(INDEX($B$42:$ALY$100,START!$E$3,CE1)="","",INDEX($B$42:$ALY$100,START!$E$3,CE1))</f>
        <v/>
      </c>
      <c r="CF41" s="1278" t="str">
        <f>IF(INDEX($B$42:$ALY$100,START!$E$3,CF1)="","",INDEX($B$42:$ALY$100,START!$E$3,CF1))</f>
        <v/>
      </c>
      <c r="CG41" s="1278" t="str">
        <f>IF(INDEX($B$42:$ALY$100,START!$E$3,CG1)="","",INDEX($B$42:$ALY$100,START!$E$3,CG1))</f>
        <v/>
      </c>
      <c r="CH41" s="1278" t="str">
        <f>IF(INDEX($B$42:$ALY$100,START!$E$3,CH1)="","",INDEX($B$42:$ALY$100,START!$E$3,CH1))</f>
        <v/>
      </c>
      <c r="CI41" s="1278" t="str">
        <f>IF(INDEX($B$42:$ALY$100,START!$E$3,CI1)="","",INDEX($B$42:$ALY$100,START!$E$3,CI1))</f>
        <v/>
      </c>
      <c r="CJ41" s="1278" t="str">
        <f>IF(INDEX($B$42:$ALY$100,START!$E$3,CJ1)="","",INDEX($B$42:$ALY$100,START!$E$3,CJ1))</f>
        <v/>
      </c>
      <c r="CK41" s="1278" t="str">
        <f>IF(INDEX($B$42:$ALY$100,START!$E$3,CK1)="","",INDEX($B$42:$ALY$100,START!$E$3,CK1))</f>
        <v/>
      </c>
      <c r="CL41" s="1278" t="str">
        <f>IF(INDEX($B$42:$ALY$100,START!$E$3,CL1)="","",INDEX($B$42:$ALY$100,START!$E$3,CL1))</f>
        <v/>
      </c>
      <c r="CM41" s="1278" t="str">
        <f>IF(INDEX($B$42:$ALY$100,START!$E$3,CM1)="","",INDEX($B$42:$ALY$100,START!$E$3,CM1))</f>
        <v/>
      </c>
      <c r="CN41" s="1278" t="str">
        <f>IF(INDEX($B$42:$ALY$100,START!$E$3,CN1)="","",INDEX($B$42:$ALY$100,START!$E$3,CN1))</f>
        <v/>
      </c>
      <c r="CO41" s="1278" t="str">
        <f>IF(INDEX($B$42:$ALY$100,START!$E$3,CO1)="","",INDEX($B$42:$ALY$100,START!$E$3,CO1))</f>
        <v/>
      </c>
      <c r="CP41" s="1278" t="str">
        <f>IF(INDEX($B$42:$ALY$100,START!$E$3,CP1)="","",INDEX($B$42:$ALY$100,START!$E$3,CP1))</f>
        <v/>
      </c>
      <c r="CQ41" s="1278" t="str">
        <f>IF(INDEX($B$42:$ALY$100,START!$E$3,CQ1)="","",INDEX($B$42:$ALY$100,START!$E$3,CQ1))</f>
        <v/>
      </c>
      <c r="CR41" s="1278" t="str">
        <f>IF(INDEX($B$42:$ALY$100,START!$E$3,CR1)="","",INDEX($B$42:$ALY$100,START!$E$3,CR1))</f>
        <v/>
      </c>
      <c r="CS41" s="1278" t="str">
        <f>IF(INDEX($B$42:$ALY$100,START!$E$3,CS1)="","",INDEX($B$42:$ALY$100,START!$E$3,CS1))</f>
        <v/>
      </c>
      <c r="CT41" s="1278" t="str">
        <f>IF(INDEX($B$42:$ALY$100,START!$E$3,CT1)="","",INDEX($B$42:$ALY$100,START!$E$3,CT1))</f>
        <v/>
      </c>
      <c r="CU41" s="1278" t="str">
        <f>IF(INDEX($B$42:$ALY$100,START!$E$3,CU1)="","",INDEX($B$42:$ALY$100,START!$E$3,CU1))</f>
        <v/>
      </c>
      <c r="CV41" s="1278" t="str">
        <f>IF(INDEX($B$42:$ALY$100,START!$E$3,CV1)="","",INDEX($B$42:$ALY$100,START!$E$3,CV1))</f>
        <v/>
      </c>
      <c r="CW41" s="1278" t="str">
        <f>IF(INDEX($B$42:$ALY$100,START!$E$3,CW1)="","",INDEX($B$42:$ALY$100,START!$E$3,CW1))</f>
        <v/>
      </c>
      <c r="CX41" s="1278" t="str">
        <f>IF(INDEX($B$42:$ALY$100,START!$E$3,CX1)="","",INDEX($B$42:$ALY$100,START!$E$3,CX1))</f>
        <v/>
      </c>
      <c r="CY41" s="1278" t="str">
        <f>IF(INDEX($B$42:$ALY$100,START!$E$3,CY1)="","",INDEX($B$42:$ALY$100,START!$E$3,CY1))</f>
        <v/>
      </c>
      <c r="CZ41" s="1278" t="str">
        <f>IF(INDEX($B$42:$ALY$100,START!$E$3,CZ1)="","",INDEX($B$42:$ALY$100,START!$E$3,CZ1))</f>
        <v/>
      </c>
      <c r="DA41" s="1278">
        <f>IF(INDEX($B$42:$ALY$100,START!$E$3,DA1)="","",INDEX($B$42:$ALY$100,START!$E$3,DA1))</f>
        <v>1</v>
      </c>
      <c r="DB41" s="1278">
        <f>IF(INDEX($B$42:$ALY$100,START!$E$3,DB1)="","",INDEX($B$42:$ALY$100,START!$E$3,DB1))</f>
        <v>1</v>
      </c>
      <c r="DC41" s="1278">
        <f>IF(INDEX($B$42:$ALY$100,START!$E$3,DC1)="","",INDEX($B$42:$ALY$100,START!$E$3,DC1))</f>
        <v>1</v>
      </c>
      <c r="DD41" s="1278">
        <f>IF(INDEX($B$42:$ALY$100,START!$E$3,DD1)="","",INDEX($B$42:$ALY$100,START!$E$3,DD1))</f>
        <v>1</v>
      </c>
      <c r="DE41" s="1278">
        <f>IF(INDEX($B$42:$ALY$100,START!$E$3,DE1)="","",INDEX($B$42:$ALY$100,START!$E$3,DE1))</f>
        <v>1</v>
      </c>
      <c r="DF41" s="1278" t="str">
        <f>IF(INDEX($B$42:$ALY$100,START!$E$3,DF1)="","",INDEX($B$42:$ALY$100,START!$E$3,DF1))</f>
        <v/>
      </c>
      <c r="DG41" s="1278" t="str">
        <f>IF(INDEX($B$42:$ALY$100,START!$E$3,DG1)="","",INDEX($B$42:$ALY$100,START!$E$3,DG1))</f>
        <v/>
      </c>
      <c r="DH41" s="1278" t="str">
        <f>IF(INDEX($B$42:$ALY$100,START!$E$3,DH1)="","",INDEX($B$42:$ALY$100,START!$E$3,DH1))</f>
        <v/>
      </c>
      <c r="DI41" s="1278" t="str">
        <f>IF(INDEX($B$42:$ALY$100,START!$E$3,DI1)="","",INDEX($B$42:$ALY$100,START!$E$3,DI1))</f>
        <v/>
      </c>
      <c r="DJ41" s="1278" t="str">
        <f>IF(INDEX($B$42:$ALY$100,START!$E$3,DJ1)="","",INDEX($B$42:$ALY$100,START!$E$3,DJ1))</f>
        <v/>
      </c>
      <c r="DK41" s="1278">
        <f>IF(INDEX($B$42:$ALY$100,START!$E$3,DK1)="","",INDEX($B$42:$ALY$100,START!$E$3,DK1))</f>
        <v>0</v>
      </c>
      <c r="DL41" s="1278">
        <f>IF(INDEX($B$42:$ALY$100,START!$E$3,DL1)="","",INDEX($B$42:$ALY$100,START!$E$3,DL1))</f>
        <v>18</v>
      </c>
      <c r="DM41" s="1278">
        <f>IF(INDEX($B$42:$ALY$100,START!$E$3,DM1)="","",INDEX($B$42:$ALY$100,START!$E$3,DM1))</f>
        <v>0</v>
      </c>
      <c r="DN41" s="1278">
        <f>IF(INDEX($B$42:$ALY$100,START!$E$3,DN1)="","",INDEX($B$42:$ALY$100,START!$E$3,DN1))</f>
        <v>0.8</v>
      </c>
      <c r="DO41" s="1278">
        <f>IF(INDEX($B$42:$ALY$100,START!$E$3,DO1)="","",INDEX($B$42:$ALY$100,START!$E$3,DO1))</f>
        <v>0.6</v>
      </c>
      <c r="DP41" s="1278">
        <f>IF(INDEX($B$42:$ALY$100,START!$E$3,DP1)="","",INDEX($B$42:$ALY$100,START!$E$3,DP1))</f>
        <v>0.6</v>
      </c>
      <c r="DQ41" s="1278" t="str">
        <f>IF(INDEX($B$42:$ALY$100,START!$E$3,DQ1)="","",INDEX($B$42:$ALY$100,START!$E$3,DQ1))</f>
        <v/>
      </c>
      <c r="DR41" s="1278" t="str">
        <f>IF(INDEX($B$42:$ALY$100,START!$E$3,DR1)="","",INDEX($B$42:$ALY$100,START!$E$3,DR1))</f>
        <v/>
      </c>
      <c r="DS41" s="1278" t="str">
        <f>IF(INDEX($B$42:$ALY$100,START!$E$3,DS1)="","",INDEX($B$42:$ALY$100,START!$E$3,DS1))</f>
        <v/>
      </c>
      <c r="DT41" s="1278" t="str">
        <f>IF(INDEX($B$42:$ALY$100,START!$E$3,DT1)="","",INDEX($B$42:$ALY$100,START!$E$3,DT1))</f>
        <v/>
      </c>
      <c r="DU41" s="1278" t="str">
        <f>IF(INDEX($B$42:$ALY$100,START!$E$3,DU1)="","",INDEX($B$42:$ALY$100,START!$E$3,DU1))</f>
        <v/>
      </c>
      <c r="DV41" s="1278" t="str">
        <f>IF(INDEX($B$42:$ALY$100,START!$E$3,DV1)="","",INDEX($B$42:$ALY$100,START!$E$3,DV1))</f>
        <v/>
      </c>
      <c r="DW41" s="1278" t="str">
        <f>IF(INDEX($B$42:$ALY$100,START!$E$3,DW1)="","",INDEX($B$42:$ALY$100,START!$E$3,DW1))</f>
        <v/>
      </c>
      <c r="DX41" s="1278" t="str">
        <f>IF(INDEX($B$42:$ALY$100,START!$E$3,DX1)="","",INDEX($B$42:$ALY$100,START!$E$3,DX1))</f>
        <v/>
      </c>
      <c r="DY41" s="1278" t="str">
        <f>IF(INDEX($B$42:$ALY$100,START!$E$3,DY1)="","",INDEX($B$42:$ALY$100,START!$E$3,DY1))</f>
        <v/>
      </c>
      <c r="DZ41" s="1278" t="str">
        <f>IF(INDEX($B$42:$ALY$100,START!$E$3,DZ1)="","",INDEX($B$42:$ALY$100,START!$E$3,DZ1))</f>
        <v/>
      </c>
      <c r="EA41" s="1278" t="str">
        <f>IF(INDEX($B$42:$ALY$100,START!$E$3,EA1)="","",INDEX($B$42:$ALY$100,START!$E$3,EA1))</f>
        <v/>
      </c>
      <c r="EB41" s="1278" t="str">
        <f>IF(INDEX($B$42:$ALY$100,START!$E$3,EB1)="","",INDEX($B$42:$ALY$100,START!$E$3,EB1))</f>
        <v/>
      </c>
      <c r="EC41" s="1278" t="str">
        <f>IF(INDEX($B$42:$ALY$100,START!$E$3,EC1)="","",INDEX($B$42:$ALY$100,START!$E$3,EC1))</f>
        <v/>
      </c>
      <c r="ED41" s="1278" t="str">
        <f>IF(INDEX($B$42:$ALY$100,START!$E$3,ED1)="","",INDEX($B$42:$ALY$100,START!$E$3,ED1))</f>
        <v/>
      </c>
      <c r="EE41" s="1278">
        <f>IF(INDEX($B$42:$ALY$100,START!$E$3,EE1)="","",INDEX($B$42:$ALY$100,START!$E$3,EE1))</f>
        <v>0.86295970746011463</v>
      </c>
      <c r="EF41" s="1278">
        <f>IF(INDEX($B$42:$ALY$100,START!$E$3,EF1)="","",INDEX($B$42:$ALY$100,START!$E$3,EF1))</f>
        <v>18</v>
      </c>
      <c r="EG41" s="1278">
        <f>IF(INDEX($B$42:$ALY$100,START!$E$3,EG1)="","",INDEX($B$42:$ALY$100,START!$E$3,EG1))</f>
        <v>5184.5982608695649</v>
      </c>
      <c r="EH41" s="1278">
        <f>IF(INDEX($B$42:$ALY$100,START!$E$3,EH1)="","",INDEX($B$42:$ALY$100,START!$E$3,EH1))</f>
        <v>0.8</v>
      </c>
      <c r="EI41" s="1278">
        <f>IF(INDEX($B$42:$ALY$100,START!$E$3,EI1)="","",INDEX($B$42:$ALY$100,START!$E$3,EI1))</f>
        <v>0.6</v>
      </c>
      <c r="EJ41" s="1278">
        <f>IF(INDEX($B$42:$ALY$100,START!$E$3,EJ1)="","",INDEX($B$42:$ALY$100,START!$E$3,EJ1))</f>
        <v>0.6</v>
      </c>
      <c r="EK41" s="1278" t="str">
        <f>IF(INDEX($B$42:$ALY$100,START!$E$3,EK1)="","",INDEX($B$42:$ALY$100,START!$E$3,EK1))</f>
        <v/>
      </c>
      <c r="EL41" s="1278" t="str">
        <f>IF(INDEX($B$42:$ALY$100,START!$E$3,EL1)="","",INDEX($B$42:$ALY$100,START!$E$3,EL1))</f>
        <v/>
      </c>
      <c r="EM41" s="1278" t="str">
        <f>IF(INDEX($B$42:$ALY$100,START!$E$3,EM1)="","",INDEX($B$42:$ALY$100,START!$E$3,EM1))</f>
        <v/>
      </c>
      <c r="EN41" s="1278" t="str">
        <f>IF(INDEX($B$42:$ALY$100,START!$E$3,EN1)="","",INDEX($B$42:$ALY$100,START!$E$3,EN1))</f>
        <v/>
      </c>
      <c r="EO41" s="1278" t="str">
        <f>IF(INDEX($B$42:$ALY$100,START!$E$3,EO1)="","",INDEX($B$42:$ALY$100,START!$E$3,EO1))</f>
        <v/>
      </c>
      <c r="EP41" s="1278" t="str">
        <f>IF(INDEX($B$42:$ALY$100,START!$E$3,EP1)="","",INDEX($B$42:$ALY$100,START!$E$3,EP1))</f>
        <v/>
      </c>
      <c r="EQ41" s="1278" t="str">
        <f>IF(INDEX($B$42:$ALY$100,START!$E$3,EQ1)="","",INDEX($B$42:$ALY$100,START!$E$3,EQ1))</f>
        <v/>
      </c>
      <c r="ER41" s="1278" t="str">
        <f>IF(INDEX($B$42:$ALY$100,START!$E$3,ER1)="","",INDEX($B$42:$ALY$100,START!$E$3,ER1))</f>
        <v/>
      </c>
      <c r="ES41" s="1278" t="str">
        <f>IF(INDEX($B$42:$ALY$100,START!$E$3,ES1)="","",INDEX($B$42:$ALY$100,START!$E$3,ES1))</f>
        <v/>
      </c>
      <c r="ET41" s="1278" t="str">
        <f>IF(INDEX($B$42:$ALY$100,START!$E$3,ET1)="","",INDEX($B$42:$ALY$100,START!$E$3,ET1))</f>
        <v/>
      </c>
      <c r="EU41" s="1278" t="str">
        <f>IF(INDEX($B$42:$ALY$100,START!$E$3,EU1)="","",INDEX($B$42:$ALY$100,START!$E$3,EU1))</f>
        <v/>
      </c>
      <c r="EV41" s="1278" t="str">
        <f>IF(INDEX($B$42:$ALY$100,START!$E$3,EV1)="","",INDEX($B$42:$ALY$100,START!$E$3,EV1))</f>
        <v/>
      </c>
      <c r="EW41" s="1278" t="str">
        <f>IF(INDEX($B$42:$ALY$100,START!$E$3,EW1)="","",INDEX($B$42:$ALY$100,START!$E$3,EW1))</f>
        <v/>
      </c>
      <c r="EX41" s="1278" t="str">
        <f>IF(INDEX($B$42:$ALY$100,START!$E$3,EX1)="","",INDEX($B$42:$ALY$100,START!$E$3,EX1))</f>
        <v/>
      </c>
      <c r="EY41" s="1278" t="str">
        <f>IF(INDEX($B$42:$ALY$100,START!$E$3,EY1)="","",INDEX($B$42:$ALY$100,START!$E$3,EY1))</f>
        <v/>
      </c>
      <c r="EZ41" s="1278" t="str">
        <f>IF(INDEX($B$42:$ALY$100,START!$E$3,EZ1)="","",INDEX($B$42:$ALY$100,START!$E$3,EZ1))</f>
        <v/>
      </c>
      <c r="FA41" s="1278" t="str">
        <f>IF(INDEX($B$42:$ALY$100,START!$E$3,FA1)="","",INDEX($B$42:$ALY$100,START!$E$3,FA1))</f>
        <v/>
      </c>
      <c r="FB41" s="1278" t="str">
        <f>IF(INDEX($B$42:$ALY$100,START!$E$3,FB1)="","",INDEX($B$42:$ALY$100,START!$E$3,FB1))</f>
        <v/>
      </c>
      <c r="FC41" s="1278" t="str">
        <f>IF(INDEX($B$42:$ALY$100,START!$E$3,FC1)="","",INDEX($B$42:$ALY$100,START!$E$3,FC1))</f>
        <v/>
      </c>
      <c r="FD41" s="1278" t="str">
        <f>IF(INDEX($B$42:$ALY$100,START!$E$3,FD1)="","",INDEX($B$42:$ALY$100,START!$E$3,FD1))</f>
        <v/>
      </c>
      <c r="FE41" s="1278" t="str">
        <f>IF(INDEX($B$42:$ALY$100,START!$E$3,FE1)="","",INDEX($B$42:$ALY$100,START!$E$3,FE1))</f>
        <v/>
      </c>
      <c r="FF41" s="1278" t="str">
        <f>IF(INDEX($B$42:$ALY$100,START!$E$3,FF1)="","",INDEX($B$42:$ALY$100,START!$E$3,FF1))</f>
        <v/>
      </c>
      <c r="FG41" s="1278" t="str">
        <f>IF(INDEX($B$42:$ALY$100,START!$E$3,FG1)="","",INDEX($B$42:$ALY$100,START!$E$3,FG1))</f>
        <v/>
      </c>
      <c r="FH41" s="1278" t="str">
        <f>IF(INDEX($B$42:$ALY$100,START!$E$3,FH1)="","",INDEX($B$42:$ALY$100,START!$E$3,FH1))</f>
        <v/>
      </c>
      <c r="FI41" s="1278" t="str">
        <f>IF(INDEX($B$42:$ALY$100,START!$E$3,FI1)="","",INDEX($B$42:$ALY$100,START!$E$3,FI1))</f>
        <v/>
      </c>
      <c r="FJ41" s="1278" t="str">
        <f>IF(INDEX($B$42:$ALY$100,START!$E$3,FJ1)="","",INDEX($B$42:$ALY$100,START!$E$3,FJ1))</f>
        <v/>
      </c>
      <c r="FK41" s="1278" t="str">
        <f>IF(INDEX($B$42:$ALY$100,START!$E$3,FK1)="","",INDEX($B$42:$ALY$100,START!$E$3,FK1))</f>
        <v/>
      </c>
      <c r="FL41" s="1278" t="str">
        <f>IF(INDEX($B$42:$ALY$100,START!$E$3,FL1)="","",INDEX($B$42:$ALY$100,START!$E$3,FL1))</f>
        <v/>
      </c>
      <c r="FM41" s="1278" t="str">
        <f>IF(INDEX($B$42:$ALY$100,START!$E$3,FM1)="","",INDEX($B$42:$ALY$100,START!$E$3,FM1))</f>
        <v/>
      </c>
      <c r="FN41" s="1278" t="str">
        <f>IF(INDEX($B$42:$ALY$100,START!$E$3,FN1)="","",INDEX($B$42:$ALY$100,START!$E$3,FN1))</f>
        <v/>
      </c>
      <c r="FO41" s="1278" t="str">
        <f>IF(INDEX($B$42:$ALY$100,START!$E$3,FO1)="","",INDEX($B$42:$ALY$100,START!$E$3,FO1))</f>
        <v/>
      </c>
      <c r="FP41" s="1278" t="str">
        <f>IF(INDEX($B$42:$ALY$100,START!$E$3,FP1)="","",INDEX($B$42:$ALY$100,START!$E$3,FP1))</f>
        <v/>
      </c>
      <c r="FQ41" s="1278" t="str">
        <f>IF(INDEX($B$42:$ALY$100,START!$E$3,FQ1)="","",INDEX($B$42:$ALY$100,START!$E$3,FQ1))</f>
        <v/>
      </c>
      <c r="FR41" s="1278" t="str">
        <f>IF(INDEX($B$42:$ALY$100,START!$E$3,FR1)="","",INDEX($B$42:$ALY$100,START!$E$3,FR1))</f>
        <v/>
      </c>
      <c r="FS41" s="1278" t="str">
        <f>IF(INDEX($B$42:$ALY$100,START!$E$3,FS1)="","",INDEX($B$42:$ALY$100,START!$E$3,FS1))</f>
        <v/>
      </c>
      <c r="FT41" s="1278" t="str">
        <f>IF(INDEX($B$42:$ALY$100,START!$E$3,FT1)="","",INDEX($B$42:$ALY$100,START!$E$3,FT1))</f>
        <v/>
      </c>
      <c r="FU41" s="1278" t="str">
        <f>IF(INDEX($B$42:$ALY$100,START!$E$3,FU1)="","",INDEX($B$42:$ALY$100,START!$E$3,FU1))</f>
        <v/>
      </c>
      <c r="FV41" s="1278" t="str">
        <f>IF(INDEX($B$42:$ALY$100,START!$E$3,FV1)="","",INDEX($B$42:$ALY$100,START!$E$3,FV1))</f>
        <v/>
      </c>
      <c r="FW41" s="1278" t="str">
        <f>IF(INDEX($B$42:$ALY$100,START!$E$3,FW1)="","",INDEX($B$42:$ALY$100,START!$E$3,FW1))</f>
        <v/>
      </c>
      <c r="FX41" s="1278" t="str">
        <f>IF(INDEX($B$42:$ALY$100,START!$E$3,FX1)="","",INDEX($B$42:$ALY$100,START!$E$3,FX1))</f>
        <v/>
      </c>
      <c r="FY41" s="1278" t="str">
        <f>IF(INDEX($B$42:$ALY$100,START!$E$3,FY1)="","",INDEX($B$42:$ALY$100,START!$E$3,FY1))</f>
        <v/>
      </c>
      <c r="FZ41" s="1278" t="str">
        <f>IF(INDEX($B$42:$ALY$100,START!$E$3,FZ1)="","",INDEX($B$42:$ALY$100,START!$E$3,FZ1))</f>
        <v/>
      </c>
      <c r="GA41" s="1278" t="str">
        <f>IF(INDEX($B$42:$ALY$100,START!$E$3,GA1)="","",INDEX($B$42:$ALY$100,START!$E$3,GA1))</f>
        <v/>
      </c>
      <c r="GB41" s="1278" t="str">
        <f>IF(INDEX($B$42:$ALY$100,START!$E$3,GB1)="","",INDEX($B$42:$ALY$100,START!$E$3,GB1))</f>
        <v/>
      </c>
      <c r="GC41" s="1278" t="str">
        <f>IF(INDEX($B$42:$ALY$100,START!$E$3,GC1)="","",INDEX($B$42:$ALY$100,START!$E$3,GC1))</f>
        <v/>
      </c>
      <c r="GD41" s="1278" t="str">
        <f>IF(INDEX($B$42:$ALY$100,START!$E$3,GD1)="","",INDEX($B$42:$ALY$100,START!$E$3,GD1))</f>
        <v/>
      </c>
      <c r="GE41" s="1278" t="str">
        <f>IF(INDEX($B$42:$ALY$100,START!$E$3,GE1)="","",INDEX($B$42:$ALY$100,START!$E$3,GE1))</f>
        <v/>
      </c>
      <c r="GF41" s="1278" t="str">
        <f>IF(INDEX($B$42:$ALY$100,START!$E$3,GF1)="","",INDEX($B$42:$ALY$100,START!$E$3,GF1))</f>
        <v/>
      </c>
      <c r="GG41" s="1278" t="str">
        <f>IF(INDEX($B$42:$ALY$100,START!$E$3,GG1)="","",INDEX($B$42:$ALY$100,START!$E$3,GG1))</f>
        <v/>
      </c>
      <c r="GH41" s="1278" t="str">
        <f>IF(INDEX($B$42:$ALY$100,START!$E$3,GH1)="","",INDEX($B$42:$ALY$100,START!$E$3,GH1))</f>
        <v/>
      </c>
      <c r="GI41" s="1278" t="str">
        <f>IF(INDEX($B$42:$ALY$100,START!$E$3,GI1)="","",INDEX($B$42:$ALY$100,START!$E$3,GI1))</f>
        <v/>
      </c>
      <c r="GJ41" s="1278" t="str">
        <f>IF(INDEX($B$42:$ALY$100,START!$E$3,GJ1)="","",INDEX($B$42:$ALY$100,START!$E$3,GJ1))</f>
        <v/>
      </c>
      <c r="GK41" s="1278" t="str">
        <f>IF(INDEX($B$42:$ALY$100,START!$E$3,GK1)="","",INDEX($B$42:$ALY$100,START!$E$3,GK1))</f>
        <v/>
      </c>
      <c r="GL41" s="1278" t="str">
        <f>IF(INDEX($B$42:$ALY$100,START!$E$3,GL1)="","",INDEX($B$42:$ALY$100,START!$E$3,GL1))</f>
        <v/>
      </c>
      <c r="GM41" s="1278" t="str">
        <f>IF(INDEX($B$42:$ALY$100,START!$E$3,GM1)="","",INDEX($B$42:$ALY$100,START!$E$3,GM1))</f>
        <v/>
      </c>
      <c r="GN41" s="1278" t="str">
        <f>IF(INDEX($B$42:$ALY$100,START!$E$3,GN1)="","",INDEX($B$42:$ALY$100,START!$E$3,GN1))</f>
        <v/>
      </c>
      <c r="GO41" s="1278" t="str">
        <f>IF(INDEX($B$42:$ALY$100,START!$E$3,GO1)="","",INDEX($B$42:$ALY$100,START!$E$3,GO1))</f>
        <v/>
      </c>
      <c r="GP41" s="1278" t="str">
        <f>IF(INDEX($B$42:$ALY$100,START!$E$3,GP1)="","",INDEX($B$42:$ALY$100,START!$E$3,GP1))</f>
        <v/>
      </c>
      <c r="GQ41" s="1278" t="str">
        <f>IF(INDEX($B$42:$ALY$100,START!$E$3,GQ1)="","",INDEX($B$42:$ALY$100,START!$E$3,GQ1))</f>
        <v/>
      </c>
      <c r="GR41" s="1278" t="str">
        <f>IF(INDEX($B$42:$ALY$100,START!$E$3,GR1)="","",INDEX($B$42:$ALY$100,START!$E$3,GR1))</f>
        <v/>
      </c>
      <c r="GS41" s="1278" t="str">
        <f>IF(INDEX($B$42:$ALY$100,START!$E$3,GS1)="","",INDEX($B$42:$ALY$100,START!$E$3,GS1))</f>
        <v/>
      </c>
      <c r="GT41" s="1278" t="str">
        <f>IF(INDEX($B$42:$ALY$100,START!$E$3,GT1)="","",INDEX($B$42:$ALY$100,START!$E$3,GT1))</f>
        <v/>
      </c>
      <c r="GU41" s="1278" t="str">
        <f>IF(INDEX($B$42:$ALY$100,START!$E$3,GU1)="","",INDEX($B$42:$ALY$100,START!$E$3,GU1))</f>
        <v/>
      </c>
      <c r="GV41" s="1278" t="str">
        <f>IF(INDEX($B$42:$ALY$100,START!$E$3,GV1)="","",INDEX($B$42:$ALY$100,START!$E$3,GV1))</f>
        <v/>
      </c>
      <c r="GW41" s="1278" t="str">
        <f>IF(INDEX($B$42:$ALY$100,START!$E$3,GW1)="","",INDEX($B$42:$ALY$100,START!$E$3,GW1))</f>
        <v/>
      </c>
      <c r="GX41" s="1278" t="str">
        <f>IF(INDEX($B$42:$ALY$100,START!$E$3,GX1)="","",INDEX($B$42:$ALY$100,START!$E$3,GX1))</f>
        <v/>
      </c>
      <c r="GY41" s="1278" t="str">
        <f>IF(INDEX($B$42:$ALY$100,START!$E$3,GY1)="","",INDEX($B$42:$ALY$100,START!$E$3,GY1))</f>
        <v/>
      </c>
      <c r="GZ41" s="1278" t="str">
        <f>IF(INDEX($B$42:$ALY$100,START!$E$3,GZ1)="","",INDEX($B$42:$ALY$100,START!$E$3,GZ1))</f>
        <v/>
      </c>
      <c r="HA41" s="1278" t="str">
        <f>IF(INDEX($B$42:$ALY$100,START!$E$3,HA1)="","",INDEX($B$42:$ALY$100,START!$E$3,HA1))</f>
        <v/>
      </c>
      <c r="HB41" s="1278" t="str">
        <f>IF(INDEX($B$42:$ALY$100,START!$E$3,HB1)="","",INDEX($B$42:$ALY$100,START!$E$3,HB1))</f>
        <v/>
      </c>
      <c r="HC41" s="1278" t="str">
        <f>IF(INDEX($B$42:$ALY$100,START!$E$3,HC1)="","",INDEX($B$42:$ALY$100,START!$E$3,HC1))</f>
        <v/>
      </c>
      <c r="HD41" s="1278" t="str">
        <f>IF(INDEX($B$42:$ALY$100,START!$E$3,HD1)="","",INDEX($B$42:$ALY$100,START!$E$3,HD1))</f>
        <v/>
      </c>
      <c r="HE41" s="1278" t="str">
        <f>IF(INDEX($B$42:$ALY$100,START!$E$3,HE1)="","",INDEX($B$42:$ALY$100,START!$E$3,HE1))</f>
        <v/>
      </c>
      <c r="HF41" s="1278" t="str">
        <f>IF(INDEX($B$42:$ALY$100,START!$E$3,HF1)="","",INDEX($B$42:$ALY$100,START!$E$3,HF1))</f>
        <v/>
      </c>
      <c r="HG41" s="1278" t="str">
        <f>IF(INDEX($B$42:$ALY$100,START!$E$3,HG1)="","",INDEX($B$42:$ALY$100,START!$E$3,HG1))</f>
        <v/>
      </c>
      <c r="HH41" s="1278" t="str">
        <f>IF(INDEX($B$42:$ALY$100,START!$E$3,HH1)="","",INDEX($B$42:$ALY$100,START!$E$3,HH1))</f>
        <v/>
      </c>
      <c r="HI41" s="1278" t="str">
        <f>IF(INDEX($B$42:$ALY$100,START!$E$3,HI1)="","",INDEX($B$42:$ALY$100,START!$E$3,HI1))</f>
        <v/>
      </c>
      <c r="HJ41" s="1278" t="str">
        <f>IF(INDEX($B$42:$ALY$100,START!$E$3,HJ1)="","",INDEX($B$42:$ALY$100,START!$E$3,HJ1))</f>
        <v/>
      </c>
      <c r="HK41" s="1278" t="str">
        <f>IF(INDEX($B$42:$ALY$100,START!$E$3,HK1)="","",INDEX($B$42:$ALY$100,START!$E$3,HK1))</f>
        <v/>
      </c>
      <c r="HL41" s="1278" t="str">
        <f>IF(INDEX($B$42:$ALY$100,START!$E$3,HL1)="","",INDEX($B$42:$ALY$100,START!$E$3,HL1))</f>
        <v/>
      </c>
      <c r="HM41" s="1278" t="str">
        <f>IF(INDEX($B$42:$ALY$100,START!$E$3,HM1)="","",INDEX($B$42:$ALY$100,START!$E$3,HM1))</f>
        <v/>
      </c>
      <c r="HN41" s="1278" t="str">
        <f>IF(INDEX($B$42:$ALY$100,START!$E$3,HN1)="","",INDEX($B$42:$ALY$100,START!$E$3,HN1))</f>
        <v/>
      </c>
      <c r="HO41" s="1278" t="str">
        <f>IF(INDEX($B$42:$ALY$100,START!$E$3,HO1)="","",INDEX($B$42:$ALY$100,START!$E$3,HO1))</f>
        <v/>
      </c>
      <c r="HP41" s="1278" t="str">
        <f>IF(INDEX($B$42:$ALY$100,START!$E$3,HP1)="","",INDEX($B$42:$ALY$100,START!$E$3,HP1))</f>
        <v/>
      </c>
      <c r="HQ41" s="1278" t="str">
        <f>IF(INDEX($B$42:$ALY$100,START!$E$3,HQ1)="","",INDEX($B$42:$ALY$100,START!$E$3,HQ1))</f>
        <v/>
      </c>
      <c r="HR41" s="1278" t="str">
        <f>IF(INDEX($B$42:$ALY$100,START!$E$3,HR1)="","",INDEX($B$42:$ALY$100,START!$E$3,HR1))</f>
        <v/>
      </c>
      <c r="HS41" s="1278" t="str">
        <f>IF(INDEX($B$42:$ALY$100,START!$E$3,HS1)="","",INDEX($B$42:$ALY$100,START!$E$3,HS1))</f>
        <v/>
      </c>
      <c r="HT41" s="1278" t="str">
        <f>IF(INDEX($B$42:$ALY$100,START!$E$3,HT1)="","",INDEX($B$42:$ALY$100,START!$E$3,HT1))</f>
        <v/>
      </c>
      <c r="HU41" s="1278" t="str">
        <f>IF(INDEX($B$42:$ALY$100,START!$E$3,HU1)="","",INDEX($B$42:$ALY$100,START!$E$3,HU1))</f>
        <v/>
      </c>
      <c r="HV41" s="1278" t="str">
        <f>IF(INDEX($B$42:$ALY$100,START!$E$3,HV1)="","",INDEX($B$42:$ALY$100,START!$E$3,HV1))</f>
        <v/>
      </c>
      <c r="HW41" s="1278" t="str">
        <f>IF(INDEX($B$42:$ALY$100,START!$E$3,HW1)="","",INDEX($B$42:$ALY$100,START!$E$3,HW1))</f>
        <v/>
      </c>
      <c r="HX41" s="1278" t="str">
        <f>IF(INDEX($B$42:$ALY$100,START!$E$3,HX1)="","",INDEX($B$42:$ALY$100,START!$E$3,HX1))</f>
        <v/>
      </c>
      <c r="HY41" s="1278" t="str">
        <f>IF(INDEX($B$42:$ALY$100,START!$E$3,HY1)="","",INDEX($B$42:$ALY$100,START!$E$3,HY1))</f>
        <v/>
      </c>
      <c r="HZ41" s="1278" t="str">
        <f>IF(INDEX($B$42:$ALY$100,START!$E$3,HZ1)="","",INDEX($B$42:$ALY$100,START!$E$3,HZ1))</f>
        <v/>
      </c>
      <c r="IA41" s="1278" t="str">
        <f>IF(INDEX($B$42:$ALY$100,START!$E$3,IA1)="","",INDEX($B$42:$ALY$100,START!$E$3,IA1))</f>
        <v/>
      </c>
      <c r="IB41" s="1278" t="str">
        <f>IF(INDEX($B$42:$ALY$100,START!$E$3,IB1)="","",INDEX($B$42:$ALY$100,START!$E$3,IB1))</f>
        <v/>
      </c>
      <c r="IC41" s="1278" t="str">
        <f>IF(INDEX($B$42:$ALY$100,START!$E$3,IC1)="","",INDEX($B$42:$ALY$100,START!$E$3,IC1))</f>
        <v/>
      </c>
      <c r="ID41" s="1278" t="str">
        <f>IF(INDEX($B$42:$ALY$100,START!$E$3,ID1)="","",INDEX($B$42:$ALY$100,START!$E$3,ID1))</f>
        <v/>
      </c>
      <c r="IE41" s="1278" t="str">
        <f>IF(INDEX($B$42:$ALY$100,START!$E$3,IE1)="","",INDEX($B$42:$ALY$100,START!$E$3,IE1))</f>
        <v/>
      </c>
      <c r="IF41" s="1278" t="str">
        <f>IF(INDEX($B$42:$ALY$100,START!$E$3,IF1)="","",INDEX($B$42:$ALY$100,START!$E$3,IF1))</f>
        <v/>
      </c>
      <c r="IG41" s="1278" t="str">
        <f>IF(INDEX($B$42:$ALY$100,START!$E$3,IG1)="","",INDEX($B$42:$ALY$100,START!$E$3,IG1))</f>
        <v/>
      </c>
      <c r="IH41" s="1278" t="str">
        <f>IF(INDEX($B$42:$ALY$100,START!$E$3,IH1)="","",INDEX($B$42:$ALY$100,START!$E$3,IH1))</f>
        <v/>
      </c>
      <c r="II41" s="1278" t="str">
        <f>IF(INDEX($B$42:$ALY$100,START!$E$3,II1)="","",INDEX($B$42:$ALY$100,START!$E$3,II1))</f>
        <v/>
      </c>
      <c r="IJ41" s="1278" t="str">
        <f>IF(INDEX($B$42:$ALY$100,START!$E$3,IJ1)="","",INDEX($B$42:$ALY$100,START!$E$3,IJ1))</f>
        <v/>
      </c>
      <c r="IK41" s="1278" t="str">
        <f>IF(INDEX($B$42:$ALY$100,START!$E$3,IK1)="","",INDEX($B$42:$ALY$100,START!$E$3,IK1))</f>
        <v/>
      </c>
      <c r="IL41" s="1278" t="str">
        <f>IF(INDEX($B$42:$ALY$100,START!$E$3,IL1)="","",INDEX($B$42:$ALY$100,START!$E$3,IL1))</f>
        <v/>
      </c>
      <c r="IM41" s="1278" t="str">
        <f>IF(INDEX($B$42:$ALY$100,START!$E$3,IM1)="","",INDEX($B$42:$ALY$100,START!$E$3,IM1))</f>
        <v/>
      </c>
      <c r="IN41" s="1278" t="str">
        <f>IF(INDEX($B$42:$ALY$100,START!$E$3,IN1)="","",INDEX($B$42:$ALY$100,START!$E$3,IN1))</f>
        <v/>
      </c>
      <c r="IO41" s="1278" t="str">
        <f>IF(INDEX($B$42:$ALY$100,START!$E$3,IO1)="","",INDEX($B$42:$ALY$100,START!$E$3,IO1))</f>
        <v/>
      </c>
      <c r="IP41" s="1278" t="str">
        <f>IF(INDEX($B$42:$ALY$100,START!$E$3,IP1)="","",INDEX($B$42:$ALY$100,START!$E$3,IP1))</f>
        <v/>
      </c>
      <c r="IQ41" s="1278" t="str">
        <f>IF(INDEX($B$42:$ALY$100,START!$E$3,IQ1)="","",INDEX($B$42:$ALY$100,START!$E$3,IQ1))</f>
        <v/>
      </c>
      <c r="IR41" s="1278" t="str">
        <f>IF(INDEX($B$42:$ALY$100,START!$E$3,IR1)="","",INDEX($B$42:$ALY$100,START!$E$3,IR1))</f>
        <v/>
      </c>
      <c r="IS41" s="1278" t="str">
        <f>IF(INDEX($B$42:$ALY$100,START!$E$3,IS1)="","",INDEX($B$42:$ALY$100,START!$E$3,IS1))</f>
        <v/>
      </c>
      <c r="IT41" s="1278" t="str">
        <f>IF(INDEX($B$42:$ALY$100,START!$E$3,IT1)="","",INDEX($B$42:$ALY$100,START!$E$3,IT1))</f>
        <v/>
      </c>
      <c r="IU41" s="1278" t="str">
        <f>IF(INDEX($B$42:$ALY$100,START!$E$3,IU1)="","",INDEX($B$42:$ALY$100,START!$E$3,IU1))</f>
        <v/>
      </c>
      <c r="IV41" s="1278" t="str">
        <f>IF(INDEX($B$42:$ALY$100,START!$E$3,IV1)="","",INDEX($B$42:$ALY$100,START!$E$3,IV1))</f>
        <v/>
      </c>
      <c r="IW41" s="1278">
        <f>IF(INDEX($B$42:$ALY$100,START!$E$3,IW1)="","",INDEX($B$42:$ALY$100,START!$E$3,IW1))</f>
        <v>455.57067467001087</v>
      </c>
      <c r="IX41" s="1278">
        <f>IF(INDEX($B$42:$ALY$100,START!$E$3,IX1)="","",INDEX($B$42:$ALY$100,START!$E$3,IX1))</f>
        <v>179.9</v>
      </c>
      <c r="IY41" s="1278">
        <f>IF(INDEX($B$42:$ALY$100,START!$E$3,IY1)="","",INDEX($B$42:$ALY$100,START!$E$3,IY1))</f>
        <v>3624.5695652174013</v>
      </c>
      <c r="IZ41" s="1278" t="str">
        <f>IF(INDEX($B$42:$ALY$100,START!$E$3,IZ1)="","",INDEX($B$42:$ALY$100,START!$E$3,IZ1))</f>
        <v/>
      </c>
      <c r="JA41" s="1278" t="str">
        <f>IF(INDEX($B$42:$ALY$100,START!$E$3,JA1)="","",INDEX($B$42:$ALY$100,START!$E$3,JA1))</f>
        <v/>
      </c>
      <c r="JB41" s="1278">
        <f>IF(INDEX($B$42:$ALY$100,START!$E$3,JB1)="","",INDEX($B$42:$ALY$100,START!$E$3,JB1))</f>
        <v>0.8</v>
      </c>
      <c r="JC41" s="1278">
        <f>IF(INDEX($B$42:$ALY$100,START!$E$3,JC1)="","",INDEX($B$42:$ALY$100,START!$E$3,JC1))</f>
        <v>0.6</v>
      </c>
      <c r="JD41" s="1278">
        <f>IF(INDEX($B$42:$ALY$100,START!$E$3,JD1)="","",INDEX($B$42:$ALY$100,START!$E$3,JD1))</f>
        <v>0.6</v>
      </c>
      <c r="JE41" s="1278">
        <f>IF(INDEX($B$42:$ALY$100,START!$E$3,JE1)="","",INDEX($B$42:$ALY$100,START!$E$3,JE1))</f>
        <v>1</v>
      </c>
      <c r="JF41" s="1278">
        <f>IF(INDEX($B$42:$ALY$100,START!$E$3,JF1)="","",INDEX($B$42:$ALY$100,START!$E$3,JF1))</f>
        <v>1</v>
      </c>
      <c r="JG41" s="1278">
        <f>IF(INDEX($B$42:$ALY$100,START!$E$3,JG1)="","",INDEX($B$42:$ALY$100,START!$E$3,JG1))</f>
        <v>1</v>
      </c>
      <c r="JH41" s="1278">
        <f>IF(INDEX($B$42:$ALY$100,START!$E$3,JH1)="","",INDEX($B$42:$ALY$100,START!$E$3,JH1))</f>
        <v>1</v>
      </c>
      <c r="JI41" s="1278">
        <f>IF(INDEX($B$42:$ALY$100,START!$E$3,JI1)="","",INDEX($B$42:$ALY$100,START!$E$3,JI1))</f>
        <v>1</v>
      </c>
      <c r="JJ41" s="1278">
        <f>IF(INDEX($B$42:$ALY$100,START!$E$3,JJ1)="","",INDEX($B$42:$ALY$100,START!$E$3,JJ1))</f>
        <v>2.4643245884135658</v>
      </c>
      <c r="JK41" s="1278" t="str">
        <f>IF(INDEX($B$42:$ALY$100,START!$E$3,JK1)="","",INDEX($B$42:$ALY$100,START!$E$3,JK1))</f>
        <v/>
      </c>
      <c r="JL41" s="1278" t="str">
        <f>IF(INDEX($B$42:$ALY$100,START!$E$3,JL1)="","",INDEX($B$42:$ALY$100,START!$E$3,JL1))</f>
        <v/>
      </c>
      <c r="JM41" s="1278">
        <f>IF(INDEX($B$42:$ALY$100,START!$E$3,JM1)="","",INDEX($B$42:$ALY$100,START!$E$3,JM1))</f>
        <v>7623.1670434783009</v>
      </c>
      <c r="JN41" s="1278">
        <f>IF(INDEX($B$42:$ALY$100,START!$E$3,JN1)="","",INDEX($B$42:$ALY$100,START!$E$3,JN1))</f>
        <v>1.4</v>
      </c>
      <c r="JO41" s="1278">
        <f>IF(INDEX($B$42:$ALY$100,START!$E$3,JO1)="","",INDEX($B$42:$ALY$100,START!$E$3,JO1))</f>
        <v>1.1000000000000001</v>
      </c>
      <c r="JP41" s="1278">
        <f>IF(INDEX($B$42:$ALY$100,START!$E$3,JP1)="","",INDEX($B$42:$ALY$100,START!$E$3,JP1))</f>
        <v>1.1000000000000001</v>
      </c>
      <c r="JQ41" s="1278">
        <f>IF(INDEX($B$42:$ALY$100,START!$E$3,JQ1)="","",INDEX($B$42:$ALY$100,START!$E$3,JQ1))</f>
        <v>1</v>
      </c>
      <c r="JR41" s="1278">
        <f>IF(INDEX($B$42:$ALY$100,START!$E$3,JR1)="","",INDEX($B$42:$ALY$100,START!$E$3,JR1))</f>
        <v>1</v>
      </c>
      <c r="JS41" s="1278">
        <f>IF(INDEX($B$42:$ALY$100,START!$E$3,JS1)="","",INDEX($B$42:$ALY$100,START!$E$3,JS1))</f>
        <v>1</v>
      </c>
      <c r="JT41" s="1278">
        <f>IF(INDEX($B$42:$ALY$100,START!$E$3,JT1)="","",INDEX($B$42:$ALY$100,START!$E$3,JT1))</f>
        <v>1</v>
      </c>
      <c r="JU41" s="1278">
        <f>IF(INDEX($B$42:$ALY$100,START!$E$3,JU1)="","",INDEX($B$42:$ALY$100,START!$E$3,JU1))</f>
        <v>1</v>
      </c>
      <c r="JV41" s="1278" t="str">
        <f>IF(INDEX($B$42:$ALY$100,START!$E$3,JV1)="","",INDEX($B$42:$ALY$100,START!$E$3,JV1))</f>
        <v/>
      </c>
      <c r="JW41" s="1278">
        <f>IF(INDEX($B$42:$ALY$100,START!$E$3,JW1)="","",INDEX($B$42:$ALY$100,START!$E$3,JW1))</f>
        <v>417.57875862283845</v>
      </c>
      <c r="JX41" s="1278">
        <f>IF(INDEX($B$42:$ALY$100,START!$E$3,JX1)="","",INDEX($B$42:$ALY$100,START!$E$3,JX1))</f>
        <v>500</v>
      </c>
      <c r="JY41" s="1278">
        <f>IF(INDEX($B$42:$ALY$100,START!$E$3,JY1)="","",INDEX($B$42:$ALY$100,START!$E$3,JY1))</f>
        <v>2.5</v>
      </c>
      <c r="JZ41" s="1278">
        <f>IF(INDEX($B$42:$ALY$100,START!$E$3,JZ1)="","",INDEX($B$42:$ALY$100,START!$E$3,JZ1))</f>
        <v>1.3</v>
      </c>
      <c r="KA41" s="1278">
        <f>IF(INDEX($B$42:$ALY$100,START!$E$3,KA1)="","",INDEX($B$42:$ALY$100,START!$E$3,KA1))</f>
        <v>1.3</v>
      </c>
      <c r="KB41" s="1278">
        <f>IF(INDEX($B$42:$ALY$100,START!$E$3,KB1)="","",INDEX($B$42:$ALY$100,START!$E$3,KB1))</f>
        <v>1</v>
      </c>
      <c r="KC41" s="1278">
        <f>IF(INDEX($B$42:$ALY$100,START!$E$3,KC1)="","",INDEX($B$42:$ALY$100,START!$E$3,KC1))</f>
        <v>1</v>
      </c>
      <c r="KD41" s="1278">
        <f>IF(INDEX($B$42:$ALY$100,START!$E$3,KD1)="","",INDEX($B$42:$ALY$100,START!$E$3,KD1))</f>
        <v>1</v>
      </c>
      <c r="KE41" s="1278">
        <f>IF(INDEX($B$42:$ALY$100,START!$E$3,KE1)="","",INDEX($B$42:$ALY$100,START!$E$3,KE1))</f>
        <v>1</v>
      </c>
      <c r="KF41" s="1278">
        <f>IF(INDEX($B$42:$ALY$100,START!$E$3,KF1)="","",INDEX($B$42:$ALY$100,START!$E$3,KF1))</f>
        <v>1</v>
      </c>
      <c r="KG41" s="1278" t="str">
        <f>IF(INDEX($B$42:$ALY$100,START!$E$3,KG1)="","",INDEX($B$42:$ALY$100,START!$E$3,KG1))</f>
        <v/>
      </c>
      <c r="KH41" s="1278" t="str">
        <f>IF(INDEX($B$42:$ALY$100,START!$E$3,KH1)="","",INDEX($B$42:$ALY$100,START!$E$3,KH1))</f>
        <v/>
      </c>
      <c r="KI41" s="1278" t="str">
        <f>IF(INDEX($B$42:$ALY$100,START!$E$3,KI1)="","",INDEX($B$42:$ALY$100,START!$E$3,KI1))</f>
        <v/>
      </c>
      <c r="KJ41" s="1278" t="str">
        <f>IF(INDEX($B$42:$ALY$100,START!$E$3,KJ1)="","",INDEX($B$42:$ALY$100,START!$E$3,KJ1))</f>
        <v/>
      </c>
      <c r="KK41" s="1278" t="str">
        <f>IF(INDEX($B$42:$ALY$100,START!$E$3,KK1)="","",INDEX($B$42:$ALY$100,START!$E$3,KK1))</f>
        <v/>
      </c>
      <c r="KL41" s="1278" t="str">
        <f>IF(INDEX($B$42:$ALY$100,START!$E$3,KL1)="","",INDEX($B$42:$ALY$100,START!$E$3,KL1))</f>
        <v/>
      </c>
      <c r="KM41" s="1278" t="str">
        <f>IF(INDEX($B$42:$ALY$100,START!$E$3,KM1)="","",INDEX($B$42:$ALY$100,START!$E$3,KM1))</f>
        <v/>
      </c>
      <c r="KN41" s="1278" t="str">
        <f>IF(INDEX($B$42:$ALY$100,START!$E$3,KN1)="","",INDEX($B$42:$ALY$100,START!$E$3,KN1))</f>
        <v/>
      </c>
      <c r="KO41" s="1278" t="str">
        <f>IF(INDEX($B$42:$ALY$100,START!$E$3,KO1)="","",INDEX($B$42:$ALY$100,START!$E$3,KO1))</f>
        <v/>
      </c>
      <c r="KP41" s="1278" t="str">
        <f>IF(INDEX($B$42:$ALY$100,START!$E$3,KP1)="","",INDEX($B$42:$ALY$100,START!$E$3,KP1))</f>
        <v/>
      </c>
      <c r="KQ41" s="1278" t="str">
        <f>IF(INDEX($B$42:$ALY$100,START!$E$3,KQ1)="","",INDEX($B$42:$ALY$100,START!$E$3,KQ1))</f>
        <v/>
      </c>
      <c r="KR41" s="1278" t="str">
        <f>IF(INDEX($B$42:$ALY$100,START!$E$3,KR1)="","",INDEX($B$42:$ALY$100,START!$E$3,KR1))</f>
        <v/>
      </c>
      <c r="KS41" s="1278" t="str">
        <f>IF(INDEX($B$42:$ALY$100,START!$E$3,KS1)="","",INDEX($B$42:$ALY$100,START!$E$3,KS1))</f>
        <v/>
      </c>
      <c r="KT41" s="1278" t="str">
        <f>IF(INDEX($B$42:$ALY$100,START!$E$3,KT1)="","",INDEX($B$42:$ALY$100,START!$E$3,KT1))</f>
        <v/>
      </c>
      <c r="KU41" s="1278" t="str">
        <f>IF(INDEX($B$42:$ALY$100,START!$E$3,KU1)="","",INDEX($B$42:$ALY$100,START!$E$3,KU1))</f>
        <v/>
      </c>
      <c r="KV41" s="1278" t="str">
        <f>IF(INDEX($B$42:$ALY$100,START!$E$3,KV1)="","",INDEX($B$42:$ALY$100,START!$E$3,KV1))</f>
        <v/>
      </c>
      <c r="KW41" s="1278" t="str">
        <f>IF(INDEX($B$42:$ALY$100,START!$E$3,KW1)="","",INDEX($B$42:$ALY$100,START!$E$3,KW1))</f>
        <v/>
      </c>
      <c r="KX41" s="1278" t="str">
        <f>IF(INDEX($B$42:$ALY$100,START!$E$3,KX1)="","",INDEX($B$42:$ALY$100,START!$E$3,KX1))</f>
        <v/>
      </c>
      <c r="KY41" s="1278" t="str">
        <f>IF(INDEX($B$42:$ALY$100,START!$E$3,KY1)="","",INDEX($B$42:$ALY$100,START!$E$3,KY1))</f>
        <v/>
      </c>
      <c r="KZ41" s="1278" t="str">
        <f>IF(INDEX($B$42:$ALY$100,START!$E$3,KZ1)="","",INDEX($B$42:$ALY$100,START!$E$3,KZ1))</f>
        <v/>
      </c>
      <c r="LA41" s="1278" t="str">
        <f>IF(INDEX($B$42:$ALY$100,START!$E$3,LA1)="","",INDEX($B$42:$ALY$100,START!$E$3,LA1))</f>
        <v/>
      </c>
      <c r="LB41" s="1278" t="str">
        <f>IF(INDEX($B$42:$ALY$100,START!$E$3,LB1)="","",INDEX($B$42:$ALY$100,START!$E$3,LB1))</f>
        <v/>
      </c>
      <c r="LC41" s="1278" t="str">
        <f>IF(INDEX($B$42:$ALY$100,START!$E$3,LC1)="","",INDEX($B$42:$ALY$100,START!$E$3,LC1))</f>
        <v/>
      </c>
      <c r="LD41" s="1278" t="str">
        <f>IF(INDEX($B$42:$ALY$100,START!$E$3,LD1)="","",INDEX($B$42:$ALY$100,START!$E$3,LD1))</f>
        <v/>
      </c>
      <c r="LE41" s="1278" t="str">
        <f>IF(INDEX($B$42:$ALY$100,START!$E$3,LE1)="","",INDEX($B$42:$ALY$100,START!$E$3,LE1))</f>
        <v/>
      </c>
      <c r="LF41" s="1278" t="str">
        <f>IF(INDEX($B$42:$ALY$100,START!$E$3,LF1)="","",INDEX($B$42:$ALY$100,START!$E$3,LF1))</f>
        <v/>
      </c>
      <c r="LG41" s="1278" t="str">
        <f>IF(INDEX($B$42:$ALY$100,START!$E$3,LG1)="","",INDEX($B$42:$ALY$100,START!$E$3,LG1))</f>
        <v/>
      </c>
      <c r="LH41" s="1278" t="str">
        <f>IF(INDEX($B$42:$ALY$100,START!$E$3,LH1)="","",INDEX($B$42:$ALY$100,START!$E$3,LH1))</f>
        <v/>
      </c>
      <c r="LI41" s="1278" t="str">
        <f>IF(INDEX($B$42:$ALY$100,START!$E$3,LI1)="","",INDEX($B$42:$ALY$100,START!$E$3,LI1))</f>
        <v/>
      </c>
      <c r="LJ41" s="1278" t="str">
        <f>IF(INDEX($B$42:$ALY$100,START!$E$3,LJ1)="","",INDEX($B$42:$ALY$100,START!$E$3,LJ1))</f>
        <v/>
      </c>
      <c r="LK41" s="1278" t="str">
        <f>IF(INDEX($B$42:$ALY$100,START!$E$3,LK1)="","",INDEX($B$42:$ALY$100,START!$E$3,LK1))</f>
        <v/>
      </c>
      <c r="LL41" s="1278" t="str">
        <f>IF(INDEX($B$42:$ALY$100,START!$E$3,LL1)="","",INDEX($B$42:$ALY$100,START!$E$3,LL1))</f>
        <v/>
      </c>
      <c r="LM41" s="1278" t="str">
        <f>IF(INDEX($B$42:$ALY$100,START!$E$3,LM1)="","",INDEX($B$42:$ALY$100,START!$E$3,LM1))</f>
        <v/>
      </c>
      <c r="LN41" s="1278" t="str">
        <f>IF(INDEX($B$42:$ALY$100,START!$E$3,LN1)="","",INDEX($B$42:$ALY$100,START!$E$3,LN1))</f>
        <v/>
      </c>
      <c r="LO41" s="1278">
        <f>IF(INDEX($B$42:$ALY$100,START!$E$3,LO1)="","",INDEX($B$42:$ALY$100,START!$E$3,LO1))</f>
        <v>29</v>
      </c>
      <c r="LP41" s="1278">
        <f>IF(INDEX($B$42:$ALY$100,START!$E$3,LP1)="","",INDEX($B$42:$ALY$100,START!$E$3,LP1))</f>
        <v>1.6</v>
      </c>
      <c r="LQ41" s="1278">
        <f>IF(INDEX($B$42:$ALY$100,START!$E$3,LQ1)="","",INDEX($B$42:$ALY$100,START!$E$3,LQ1))</f>
        <v>1.2</v>
      </c>
      <c r="LR41" s="1278">
        <f>IF(INDEX($B$42:$ALY$100,START!$E$3,LR1)="","",INDEX($B$42:$ALY$100,START!$E$3,LR1))</f>
        <v>1.2</v>
      </c>
      <c r="LS41" s="1278">
        <f>IF(INDEX($B$42:$ALY$100,START!$E$3,LS1)="","",INDEX($B$42:$ALY$100,START!$E$3,LS1))</f>
        <v>1</v>
      </c>
      <c r="LT41" s="1278">
        <f>IF(INDEX($B$42:$ALY$100,START!$E$3,LT1)="","",INDEX($B$42:$ALY$100,START!$E$3,LT1))</f>
        <v>1</v>
      </c>
      <c r="LU41" s="1278">
        <f>IF(INDEX($B$42:$ALY$100,START!$E$3,LU1)="","",INDEX($B$42:$ALY$100,START!$E$3,LU1))</f>
        <v>1</v>
      </c>
      <c r="LV41" s="1278">
        <f>IF(INDEX($B$42:$ALY$100,START!$E$3,LV1)="","",INDEX($B$42:$ALY$100,START!$E$3,LV1))</f>
        <v>1</v>
      </c>
      <c r="LW41" s="1278">
        <f>IF(INDEX($B$42:$ALY$100,START!$E$3,LW1)="","",INDEX($B$42:$ALY$100,START!$E$3,LW1))</f>
        <v>1</v>
      </c>
      <c r="LX41" s="1278" t="str">
        <f>IF(INDEX($B$42:$ALY$100,START!$E$3,LX1)="","",INDEX($B$42:$ALY$100,START!$E$3,LX1))</f>
        <v/>
      </c>
      <c r="LY41" s="1278" t="str">
        <f>IF(INDEX($B$42:$ALY$100,START!$E$3,LY1)="","",INDEX($B$42:$ALY$100,START!$E$3,LY1))</f>
        <v/>
      </c>
      <c r="LZ41" s="1278">
        <f>IF(INDEX($B$42:$ALY$100,START!$E$3,LZ1)="","",INDEX($B$42:$ALY$100,START!$E$3,LZ1))</f>
        <v>0</v>
      </c>
      <c r="MA41" s="1278" t="str">
        <f>IF(INDEX($B$42:$ALY$100,START!$E$3,MA1)="","",INDEX($B$42:$ALY$100,START!$E$3,MA1))</f>
        <v/>
      </c>
      <c r="MB41" s="1278" t="str">
        <f>IF(INDEX($B$42:$ALY$100,START!$E$3,MB1)="","",INDEX($B$42:$ALY$100,START!$E$3,MB1))</f>
        <v/>
      </c>
      <c r="MC41" s="1278" t="str">
        <f>IF(INDEX($B$42:$ALY$100,START!$E$3,MC1)="","",INDEX($B$42:$ALY$100,START!$E$3,MC1))</f>
        <v/>
      </c>
      <c r="MD41" s="1278" t="str">
        <f>IF(INDEX($B$42:$ALY$100,START!$E$3,MD1)="","",INDEX($B$42:$ALY$100,START!$E$3,MD1))</f>
        <v/>
      </c>
      <c r="ME41" s="1278" t="str">
        <f>IF(INDEX($B$42:$ALY$100,START!$E$3,ME1)="","",INDEX($B$42:$ALY$100,START!$E$3,ME1))</f>
        <v/>
      </c>
      <c r="MF41" s="1278" t="str">
        <f>IF(INDEX($B$42:$ALY$100,START!$E$3,MF1)="","",INDEX($B$42:$ALY$100,START!$E$3,MF1))</f>
        <v/>
      </c>
      <c r="MG41" s="1278" t="str">
        <f>IF(INDEX($B$42:$ALY$100,START!$E$3,MG1)="","",INDEX($B$42:$ALY$100,START!$E$3,MG1))</f>
        <v/>
      </c>
      <c r="MH41" s="1278" t="str">
        <f>IF(INDEX($B$42:$ALY$100,START!$E$3,MH1)="","",INDEX($B$42:$ALY$100,START!$E$3,MH1))</f>
        <v/>
      </c>
      <c r="MI41" s="1278" t="str">
        <f>IF(INDEX($B$42:$ALY$100,START!$E$3,MI1)="","",INDEX($B$42:$ALY$100,START!$E$3,MI1))</f>
        <v/>
      </c>
      <c r="MJ41" s="1278" t="str">
        <f>IF(INDEX($B$42:$ALY$100,START!$E$3,MJ1)="","",INDEX($B$42:$ALY$100,START!$E$3,MJ1))</f>
        <v/>
      </c>
      <c r="MK41" s="1278" t="str">
        <f>IF(INDEX($B$42:$ALY$100,START!$E$3,MK1)="","",INDEX($B$42:$ALY$100,START!$E$3,MK1))</f>
        <v/>
      </c>
      <c r="ML41" s="1278" t="str">
        <f>IF(INDEX($B$42:$ALY$100,START!$E$3,ML1)="","",INDEX($B$42:$ALY$100,START!$E$3,ML1))</f>
        <v/>
      </c>
      <c r="MM41" s="1278" t="str">
        <f>IF(INDEX($B$42:$ALY$100,START!$E$3,MM1)="","",INDEX($B$42:$ALY$100,START!$E$3,MM1))</f>
        <v/>
      </c>
      <c r="MN41" s="1278" t="str">
        <f>IF(INDEX($B$42:$ALY$100,START!$E$3,MN1)="","",INDEX($B$42:$ALY$100,START!$E$3,MN1))</f>
        <v/>
      </c>
      <c r="MO41" s="1278" t="str">
        <f>IF(INDEX($B$42:$ALY$100,START!$E$3,MO1)="","",INDEX($B$42:$ALY$100,START!$E$3,MO1))</f>
        <v/>
      </c>
      <c r="MP41" s="1278" t="str">
        <f>IF(INDEX($B$42:$ALY$100,START!$E$3,MP1)="","",INDEX($B$42:$ALY$100,START!$E$3,MP1))</f>
        <v/>
      </c>
      <c r="MQ41" s="1278" t="str">
        <f>IF(INDEX($B$42:$ALY$100,START!$E$3,MQ1)="","",INDEX($B$42:$ALY$100,START!$E$3,MQ1))</f>
        <v/>
      </c>
      <c r="MR41" s="1278" t="str">
        <f>IF(INDEX($B$42:$ALY$100,START!$E$3,MR1)="","",INDEX($B$42:$ALY$100,START!$E$3,MR1))</f>
        <v/>
      </c>
      <c r="MS41" s="1278" t="str">
        <f>IF(INDEX($B$42:$ALY$100,START!$E$3,MS1)="","",INDEX($B$42:$ALY$100,START!$E$3,MS1))</f>
        <v/>
      </c>
      <c r="MT41" s="1278" t="str">
        <f>IF(INDEX($B$42:$ALY$100,START!$E$3,MT1)="","",INDEX($B$42:$ALY$100,START!$E$3,MT1))</f>
        <v/>
      </c>
      <c r="MU41" s="1278" t="str">
        <f>IF(INDEX($B$42:$ALY$100,START!$E$3,MU1)="","",INDEX($B$42:$ALY$100,START!$E$3,MU1))</f>
        <v/>
      </c>
      <c r="MV41" s="1278" t="str">
        <f>IF(INDEX($B$42:$ALY$100,START!$E$3,MV1)="","",INDEX($B$42:$ALY$100,START!$E$3,MV1))</f>
        <v/>
      </c>
      <c r="MW41" s="1278" t="str">
        <f>IF(INDEX($B$42:$ALY$100,START!$E$3,MW1)="","",INDEX($B$42:$ALY$100,START!$E$3,MW1))</f>
        <v/>
      </c>
      <c r="MX41" s="1278" t="str">
        <f>IF(INDEX($B$42:$ALY$100,START!$E$3,MX1)="","",INDEX($B$42:$ALY$100,START!$E$3,MX1))</f>
        <v/>
      </c>
      <c r="MY41" s="1278" t="str">
        <f>IF(INDEX($B$42:$ALY$100,START!$E$3,MY1)="","",INDEX($B$42:$ALY$100,START!$E$3,MY1))</f>
        <v/>
      </c>
      <c r="MZ41" s="1278" t="str">
        <f>IF(INDEX($B$42:$ALY$100,START!$E$3,MZ1)="","",INDEX($B$42:$ALY$100,START!$E$3,MZ1))</f>
        <v/>
      </c>
      <c r="NA41" s="1278" t="str">
        <f>IF(INDEX($B$42:$ALY$100,START!$E$3,NA1)="","",INDEX($B$42:$ALY$100,START!$E$3,NA1))</f>
        <v/>
      </c>
      <c r="NB41" s="1278" t="str">
        <f>IF(INDEX($B$42:$ALY$100,START!$E$3,NB1)="","",INDEX($B$42:$ALY$100,START!$E$3,NB1))</f>
        <v/>
      </c>
      <c r="NC41" s="1278" t="str">
        <f>IF(INDEX($B$42:$ALY$100,START!$E$3,NC1)="","",INDEX($B$42:$ALY$100,START!$E$3,NC1))</f>
        <v/>
      </c>
      <c r="ND41" s="1278" t="str">
        <f>IF(INDEX($B$42:$ALY$100,START!$E$3,ND1)="","",INDEX($B$42:$ALY$100,START!$E$3,ND1))</f>
        <v/>
      </c>
      <c r="NE41" s="1278" t="str">
        <f>IF(INDEX($B$42:$ALY$100,START!$E$3,NE1)="","",INDEX($B$42:$ALY$100,START!$E$3,NE1))</f>
        <v/>
      </c>
      <c r="NF41" s="1278" t="str">
        <f>IF(INDEX($B$42:$ALY$100,START!$E$3,NF1)="","",INDEX($B$42:$ALY$100,START!$E$3,NF1))</f>
        <v/>
      </c>
      <c r="NG41" s="1278" t="str">
        <f>IF(INDEX($B$42:$ALY$100,START!$E$3,NG1)="","",INDEX($B$42:$ALY$100,START!$E$3,NG1))</f>
        <v/>
      </c>
      <c r="NH41" s="1278" t="str">
        <f>IF(INDEX($B$42:$ALY$100,START!$E$3,NH1)="","",INDEX($B$42:$ALY$100,START!$E$3,NH1))</f>
        <v/>
      </c>
      <c r="NI41" s="1278" t="str">
        <f>IF(INDEX($B$42:$ALY$100,START!$E$3,NI1)="","",INDEX($B$42:$ALY$100,START!$E$3,NI1))</f>
        <v/>
      </c>
      <c r="NJ41" s="1278" t="str">
        <f>IF(INDEX($B$42:$ALY$100,START!$E$3,NJ1)="","",INDEX($B$42:$ALY$100,START!$E$3,NJ1))</f>
        <v/>
      </c>
      <c r="NK41" s="1278" t="str">
        <f>IF(INDEX($B$42:$ALY$100,START!$E$3,NK1)="","",INDEX($B$42:$ALY$100,START!$E$3,NK1))</f>
        <v/>
      </c>
      <c r="NL41" s="1278" t="str">
        <f>IF(INDEX($B$42:$ALY$100,START!$E$3,NL1)="","",INDEX($B$42:$ALY$100,START!$E$3,NL1))</f>
        <v/>
      </c>
      <c r="NM41" s="1278" t="str">
        <f>IF(INDEX($B$42:$ALY$100,START!$E$3,NM1)="","",INDEX($B$42:$ALY$100,START!$E$3,NM1))</f>
        <v/>
      </c>
      <c r="NN41" s="1278" t="str">
        <f>IF(INDEX($B$42:$ALY$100,START!$E$3,NN1)="","",INDEX($B$42:$ALY$100,START!$E$3,NN1))</f>
        <v/>
      </c>
      <c r="NO41" s="1278" t="str">
        <f>IF(INDEX($B$42:$ALY$100,START!$E$3,NO1)="","",INDEX($B$42:$ALY$100,START!$E$3,NO1))</f>
        <v/>
      </c>
      <c r="NP41" s="1278" t="str">
        <f>IF(INDEX($B$42:$ALY$100,START!$E$3,NP1)="","",INDEX($B$42:$ALY$100,START!$E$3,NP1))</f>
        <v/>
      </c>
      <c r="NQ41" s="1278" t="str">
        <f>IF(INDEX($B$42:$ALY$100,START!$E$3,NQ1)="","",INDEX($B$42:$ALY$100,START!$E$3,NQ1))</f>
        <v/>
      </c>
      <c r="NR41" s="1278" t="str">
        <f>IF(INDEX($B$42:$ALY$100,START!$E$3,NR1)="","",INDEX($B$42:$ALY$100,START!$E$3,NR1))</f>
        <v/>
      </c>
      <c r="NS41" s="1278" t="str">
        <f>IF(INDEX($B$42:$ALY$100,START!$E$3,NS1)="","",INDEX($B$42:$ALY$100,START!$E$3,NS1))</f>
        <v/>
      </c>
      <c r="NT41" s="1278" t="str">
        <f>IF(INDEX($B$42:$ALY$100,START!$E$3,NT1)="","",INDEX($B$42:$ALY$100,START!$E$3,NT1))</f>
        <v/>
      </c>
      <c r="NU41" s="1278" t="str">
        <f>IF(INDEX($B$42:$ALY$100,START!$E$3,NU1)="","",INDEX($B$42:$ALY$100,START!$E$3,NU1))</f>
        <v/>
      </c>
      <c r="NV41" s="1278">
        <f>IF(INDEX($B$42:$ALY$100,START!$E$3,NV1)="","",INDEX($B$42:$ALY$100,START!$E$3,NV1))</f>
        <v>200</v>
      </c>
      <c r="NW41" s="1278">
        <f>IF(INDEX($B$42:$ALY$100,START!$E$3,NW1)="","",INDEX($B$42:$ALY$100,START!$E$3,NW1))</f>
        <v>200</v>
      </c>
      <c r="NX41" s="1278">
        <f>IF(INDEX($B$42:$ALY$100,START!$E$3,NX1)="","",INDEX($B$42:$ALY$100,START!$E$3,NX1))</f>
        <v>200</v>
      </c>
      <c r="NY41" s="1278">
        <f>IF(INDEX($B$42:$ALY$100,START!$E$3,NY1)="","",INDEX($B$42:$ALY$100,START!$E$3,NY1))</f>
        <v>200</v>
      </c>
      <c r="NZ41" s="1278">
        <f>IF(INDEX($B$42:$ALY$100,START!$E$3,NZ1)="","",INDEX($B$42:$ALY$100,START!$E$3,NZ1))</f>
        <v>200</v>
      </c>
      <c r="OA41" s="1278">
        <f>IF(INDEX($B$42:$ALY$100,START!$E$3,OA1)="","",INDEX($B$42:$ALY$100,START!$E$3,OA1))</f>
        <v>200</v>
      </c>
      <c r="OB41" s="1278">
        <f>IF(INDEX($B$42:$ALY$100,START!$E$3,OB1)="","",INDEX($B$42:$ALY$100,START!$E$3,OB1))</f>
        <v>200</v>
      </c>
      <c r="OC41" s="1278">
        <f>IF(INDEX($B$42:$ALY$100,START!$E$3,OC1)="","",INDEX($B$42:$ALY$100,START!$E$3,OC1))</f>
        <v>200</v>
      </c>
      <c r="OD41" s="1278">
        <f>IF(INDEX($B$42:$ALY$100,START!$E$3,OD1)="","",INDEX($B$42:$ALY$100,START!$E$3,OD1))</f>
        <v>200</v>
      </c>
      <c r="OE41" s="1278">
        <f>IF(INDEX($B$42:$ALY$100,START!$E$3,OE1)="","",INDEX($B$42:$ALY$100,START!$E$3,OE1))</f>
        <v>200</v>
      </c>
      <c r="OF41" s="1278">
        <f>IF(INDEX($B$42:$ALY$100,START!$E$3,OF1)="","",INDEX($B$42:$ALY$100,START!$E$3,OF1))</f>
        <v>200</v>
      </c>
      <c r="OG41" s="1278">
        <f>IF(INDEX($B$42:$ALY$100,START!$E$3,OG1)="","",INDEX($B$42:$ALY$100,START!$E$3,OG1))</f>
        <v>200</v>
      </c>
      <c r="OH41" s="1278">
        <f>IF(INDEX($B$42:$ALY$100,START!$E$3,OH1)="","",INDEX($B$42:$ALY$100,START!$E$3,OH1))</f>
        <v>200</v>
      </c>
      <c r="OI41" s="1278">
        <f>IF(INDEX($B$42:$ALY$100,START!$E$3,OI1)="","",INDEX($B$42:$ALY$100,START!$E$3,OI1))</f>
        <v>200</v>
      </c>
      <c r="OJ41" s="1278">
        <f>IF(INDEX($B$42:$ALY$100,START!$E$3,OJ1)="","",INDEX($B$42:$ALY$100,START!$E$3,OJ1))</f>
        <v>200</v>
      </c>
      <c r="OK41" s="1278">
        <f>IF(INDEX($B$42:$ALY$100,START!$E$3,OK1)="","",INDEX($B$42:$ALY$100,START!$E$3,OK1))</f>
        <v>200</v>
      </c>
      <c r="OL41" s="1278">
        <f>IF(INDEX($B$42:$ALY$100,START!$E$3,OL1)="","",INDEX($B$42:$ALY$100,START!$E$3,OL1))</f>
        <v>200</v>
      </c>
      <c r="OM41" s="1278">
        <f>IF(INDEX($B$42:$ALY$100,START!$E$3,OM1)="","",INDEX($B$42:$ALY$100,START!$E$3,OM1))</f>
        <v>200</v>
      </c>
      <c r="ON41" s="1278">
        <f>IF(INDEX($B$42:$ALY$100,START!$E$3,ON1)="","",INDEX($B$42:$ALY$100,START!$E$3,ON1))</f>
        <v>200</v>
      </c>
      <c r="OO41" s="1278">
        <f>IF(INDEX($B$42:$ALY$100,START!$E$3,OO1)="","",INDEX($B$42:$ALY$100,START!$E$3,OO1))</f>
        <v>200</v>
      </c>
      <c r="OP41" s="1278">
        <f>IF(INDEX($B$42:$ALY$100,START!$E$3,OP1)="","",INDEX($B$42:$ALY$100,START!$E$3,OP1))</f>
        <v>200</v>
      </c>
      <c r="OQ41" s="1278">
        <f>IF(INDEX($B$42:$ALY$100,START!$E$3,OQ1)="","",INDEX($B$42:$ALY$100,START!$E$3,OQ1))</f>
        <v>200</v>
      </c>
      <c r="OR41" s="1278">
        <f>IF(INDEX($B$42:$ALY$100,START!$E$3,OR1)="","",INDEX($B$42:$ALY$100,START!$E$3,OR1))</f>
        <v>200</v>
      </c>
      <c r="OS41" s="1278">
        <f>IF(INDEX($B$42:$ALY$100,START!$E$3,OS1)="","",INDEX($B$42:$ALY$100,START!$E$3,OS1))</f>
        <v>200</v>
      </c>
      <c r="OT41" s="1278">
        <f>IF(INDEX($B$42:$ALY$100,START!$E$3,OT1)="","",INDEX($B$42:$ALY$100,START!$E$3,OT1))</f>
        <v>200</v>
      </c>
      <c r="OU41" s="1278">
        <f>IF(INDEX($B$42:$ALY$100,START!$E$3,OU1)="","",INDEX($B$42:$ALY$100,START!$E$3,OU1))</f>
        <v>200</v>
      </c>
      <c r="OV41" s="1278">
        <f>IF(INDEX($B$42:$ALY$100,START!$E$3,OV1)="","",INDEX($B$42:$ALY$100,START!$E$3,OV1))</f>
        <v>200</v>
      </c>
      <c r="OW41" s="1278">
        <f>IF(INDEX($B$42:$ALY$100,START!$E$3,OW1)="","",INDEX($B$42:$ALY$100,START!$E$3,OW1))</f>
        <v>200</v>
      </c>
      <c r="OX41" s="1278">
        <f>IF(INDEX($B$42:$ALY$100,START!$E$3,OX1)="","",INDEX($B$42:$ALY$100,START!$E$3,OX1))</f>
        <v>200</v>
      </c>
      <c r="OY41" s="1278">
        <f>IF(INDEX($B$42:$ALY$100,START!$E$3,OY1)="","",INDEX($B$42:$ALY$100,START!$E$3,OY1))</f>
        <v>200</v>
      </c>
      <c r="OZ41" s="1278">
        <f>IF(INDEX($B$42:$ALY$100,START!$E$3,OZ1)="","",INDEX($B$42:$ALY$100,START!$E$3,OZ1))</f>
        <v>200</v>
      </c>
      <c r="PA41" s="1278">
        <f>IF(INDEX($B$42:$ALY$100,START!$E$3,PA1)="","",INDEX($B$42:$ALY$100,START!$E$3,PA1))</f>
        <v>200</v>
      </c>
      <c r="PB41" s="1278">
        <f>IF(INDEX($B$42:$ALY$100,START!$E$3,PB1)="","",INDEX($B$42:$ALY$100,START!$E$3,PB1))</f>
        <v>200</v>
      </c>
      <c r="PC41" s="1278">
        <f>IF(INDEX($B$42:$ALY$100,START!$E$3,PC1)="","",INDEX($B$42:$ALY$100,START!$E$3,PC1))</f>
        <v>200</v>
      </c>
      <c r="PD41" s="1278">
        <f>IF(INDEX($B$42:$ALY$100,START!$E$3,PD1)="","",INDEX($B$42:$ALY$100,START!$E$3,PD1))</f>
        <v>200</v>
      </c>
      <c r="PE41" s="1278">
        <f>IF(INDEX($B$42:$ALY$100,START!$E$3,PE1)="","",INDEX($B$42:$ALY$100,START!$E$3,PE1))</f>
        <v>200</v>
      </c>
      <c r="PF41" s="1278">
        <f>IF(INDEX($B$42:$ALY$100,START!$E$3,PF1)="","",INDEX($B$42:$ALY$100,START!$E$3,PF1))</f>
        <v>200</v>
      </c>
      <c r="PG41" s="1278">
        <f>IF(INDEX($B$42:$ALY$100,START!$E$3,PG1)="","",INDEX($B$42:$ALY$100,START!$E$3,PG1))</f>
        <v>200</v>
      </c>
      <c r="PH41" s="1278">
        <f>IF(INDEX($B$42:$ALY$100,START!$E$3,PH1)="","",INDEX($B$42:$ALY$100,START!$E$3,PH1))</f>
        <v>200</v>
      </c>
      <c r="PI41" s="1278">
        <f>IF(INDEX($B$42:$ALY$100,START!$E$3,PI1)="","",INDEX($B$42:$ALY$100,START!$E$3,PI1))</f>
        <v>200</v>
      </c>
      <c r="PJ41" s="1278">
        <f>IF(INDEX($B$42:$ALY$100,START!$E$3,PJ1)="","",INDEX($B$42:$ALY$100,START!$E$3,PJ1))</f>
        <v>200</v>
      </c>
      <c r="PK41" s="1278">
        <f>IF(INDEX($B$42:$ALY$100,START!$E$3,PK1)="","",INDEX($B$42:$ALY$100,START!$E$3,PK1))</f>
        <v>200</v>
      </c>
      <c r="PL41" s="1278">
        <f>IF(INDEX($B$42:$ALY$100,START!$E$3,PL1)="","",INDEX($B$42:$ALY$100,START!$E$3,PL1))</f>
        <v>200</v>
      </c>
      <c r="PM41" s="1278">
        <f>IF(INDEX($B$42:$ALY$100,START!$E$3,PM1)="","",INDEX($B$42:$ALY$100,START!$E$3,PM1))</f>
        <v>200</v>
      </c>
      <c r="PN41" s="1278">
        <f>IF(INDEX($B$42:$ALY$100,START!$E$3,PN1)="","",INDEX($B$42:$ALY$100,START!$E$3,PN1))</f>
        <v>200</v>
      </c>
      <c r="PO41" s="1278">
        <f>IF(INDEX($B$42:$ALY$100,START!$E$3,PO1)="","",INDEX($B$42:$ALY$100,START!$E$3,PO1))</f>
        <v>200</v>
      </c>
      <c r="PP41" s="1278">
        <f>IF(INDEX($B$42:$ALY$100,START!$E$3,PP1)="","",INDEX($B$42:$ALY$100,START!$E$3,PP1))</f>
        <v>200</v>
      </c>
      <c r="PQ41" s="1278">
        <f>IF(INDEX($B$42:$ALY$100,START!$E$3,PQ1)="","",INDEX($B$42:$ALY$100,START!$E$3,PQ1))</f>
        <v>200</v>
      </c>
      <c r="PR41" s="1278">
        <f>IF(INDEX($B$42:$ALY$100,START!$E$3,PR1)="","",INDEX($B$42:$ALY$100,START!$E$3,PR1))</f>
        <v>200</v>
      </c>
      <c r="PS41" s="1278">
        <f>IF(INDEX($B$42:$ALY$100,START!$E$3,PS1)="","",INDEX($B$42:$ALY$100,START!$E$3,PS1))</f>
        <v>200</v>
      </c>
      <c r="PT41" s="1278">
        <f>IF(INDEX($B$42:$ALY$100,START!$E$3,PT1)="","",INDEX($B$42:$ALY$100,START!$E$3,PT1))</f>
        <v>200</v>
      </c>
      <c r="PU41" s="1278">
        <f>IF(INDEX($B$42:$ALY$100,START!$E$3,PU1)="","",INDEX($B$42:$ALY$100,START!$E$3,PU1))</f>
        <v>200</v>
      </c>
      <c r="PV41" s="1278">
        <f>IF(INDEX($B$42:$ALY$100,START!$E$3,PV1)="","",INDEX($B$42:$ALY$100,START!$E$3,PV1))</f>
        <v>200</v>
      </c>
      <c r="PW41" s="1278">
        <f>IF(INDEX($B$42:$ALY$100,START!$E$3,PW1)="","",INDEX($B$42:$ALY$100,START!$E$3,PW1))</f>
        <v>200</v>
      </c>
      <c r="PX41" s="1278">
        <f>IF(INDEX($B$42:$ALY$100,START!$E$3,PX1)="","",INDEX($B$42:$ALY$100,START!$E$3,PX1))</f>
        <v>200</v>
      </c>
      <c r="PY41" s="1278">
        <f>IF(INDEX($B$42:$ALY$100,START!$E$3,PY1)="","",INDEX($B$42:$ALY$100,START!$E$3,PY1))</f>
        <v>200</v>
      </c>
      <c r="PZ41" s="1278">
        <f>IF(INDEX($B$42:$ALY$100,START!$E$3,PZ1)="","",INDEX($B$42:$ALY$100,START!$E$3,PZ1))</f>
        <v>200</v>
      </c>
      <c r="QA41" s="1278">
        <f>IF(INDEX($B$42:$ALY$100,START!$E$3,QA1)="","",INDEX($B$42:$ALY$100,START!$E$3,QA1))</f>
        <v>200</v>
      </c>
      <c r="QB41" s="1278">
        <f>IF(INDEX($B$42:$ALY$100,START!$E$3,QB1)="","",INDEX($B$42:$ALY$100,START!$E$3,QB1))</f>
        <v>200</v>
      </c>
      <c r="QC41" s="1278">
        <f>IF(INDEX($B$42:$ALY$100,START!$E$3,QC1)="","",INDEX($B$42:$ALY$100,START!$E$3,QC1))</f>
        <v>200</v>
      </c>
      <c r="QD41" s="1278">
        <f>IF(INDEX($B$42:$ALY$100,START!$E$3,QD1)="","",INDEX($B$42:$ALY$100,START!$E$3,QD1))</f>
        <v>200</v>
      </c>
      <c r="QE41" s="1278">
        <f>IF(INDEX($B$42:$ALY$100,START!$E$3,QE1)="","",INDEX($B$42:$ALY$100,START!$E$3,QE1))</f>
        <v>200</v>
      </c>
      <c r="QF41" s="1278">
        <f>IF(INDEX($B$42:$ALY$100,START!$E$3,QF1)="","",INDEX($B$42:$ALY$100,START!$E$3,QF1))</f>
        <v>200</v>
      </c>
      <c r="QG41" s="1278">
        <f>IF(INDEX($B$42:$ALY$100,START!$E$3,QG1)="","",INDEX($B$42:$ALY$100,START!$E$3,QG1))</f>
        <v>200</v>
      </c>
      <c r="QH41" s="1278">
        <f>IF(INDEX($B$42:$ALY$100,START!$E$3,QH1)="","",INDEX($B$42:$ALY$100,START!$E$3,QH1))</f>
        <v>200</v>
      </c>
      <c r="QI41" s="1278">
        <f>IF(INDEX($B$42:$ALY$100,START!$E$3,QI1)="","",INDEX($B$42:$ALY$100,START!$E$3,QI1))</f>
        <v>200</v>
      </c>
      <c r="QJ41" s="1278">
        <f>IF(INDEX($B$42:$ALY$100,START!$E$3,QJ1)="","",INDEX($B$42:$ALY$100,START!$E$3,QJ1))</f>
        <v>200</v>
      </c>
      <c r="QK41" s="1278">
        <f>IF(INDEX($B$42:$ALY$100,START!$E$3,QK1)="","",INDEX($B$42:$ALY$100,START!$E$3,QK1))</f>
        <v>200</v>
      </c>
      <c r="QL41" s="1278">
        <f>IF(INDEX($B$42:$ALY$100,START!$E$3,QL1)="","",INDEX($B$42:$ALY$100,START!$E$3,QL1))</f>
        <v>200</v>
      </c>
      <c r="QM41" s="1278">
        <f>IF(INDEX($B$42:$ALY$100,START!$E$3,QM1)="","",INDEX($B$42:$ALY$100,START!$E$3,QM1))</f>
        <v>200</v>
      </c>
      <c r="QN41" s="1278">
        <f>IF(INDEX($B$42:$ALY$100,START!$E$3,QN1)="","",INDEX($B$42:$ALY$100,START!$E$3,QN1))</f>
        <v>200</v>
      </c>
      <c r="QO41" s="1278">
        <f>IF(INDEX($B$42:$ALY$100,START!$E$3,QO1)="","",INDEX($B$42:$ALY$100,START!$E$3,QO1))</f>
        <v>200</v>
      </c>
      <c r="QP41" s="1278">
        <f>IF(INDEX($B$42:$ALY$100,START!$E$3,QP1)="","",INDEX($B$42:$ALY$100,START!$E$3,QP1))</f>
        <v>200</v>
      </c>
      <c r="QQ41" s="1278">
        <f>IF(INDEX($B$42:$ALY$100,START!$E$3,QQ1)="","",INDEX($B$42:$ALY$100,START!$E$3,QQ1))</f>
        <v>200</v>
      </c>
      <c r="QR41" s="1278">
        <f>IF(INDEX($B$42:$ALY$100,START!$E$3,QR1)="","",INDEX($B$42:$ALY$100,START!$E$3,QR1))</f>
        <v>200</v>
      </c>
      <c r="QS41" s="1278">
        <f>IF(INDEX($B$42:$ALY$100,START!$E$3,QS1)="","",INDEX($B$42:$ALY$100,START!$E$3,QS1))</f>
        <v>200</v>
      </c>
      <c r="QT41" s="1278">
        <f>IF(INDEX($B$42:$ALY$100,START!$E$3,QT1)="","",INDEX($B$42:$ALY$100,START!$E$3,QT1))</f>
        <v>200</v>
      </c>
      <c r="QU41" s="1278">
        <f>IF(INDEX($B$42:$ALY$100,START!$E$3,QU1)="","",INDEX($B$42:$ALY$100,START!$E$3,QU1))</f>
        <v>200</v>
      </c>
      <c r="QV41" s="1278">
        <f>IF(INDEX($B$42:$ALY$100,START!$E$3,QV1)="","",INDEX($B$42:$ALY$100,START!$E$3,QV1))</f>
        <v>200</v>
      </c>
      <c r="QW41" s="1278">
        <f>IF(INDEX($B$42:$ALY$100,START!$E$3,QW1)="","",INDEX($B$42:$ALY$100,START!$E$3,QW1))</f>
        <v>200</v>
      </c>
      <c r="QX41" s="1278">
        <f>IF(INDEX($B$42:$ALY$100,START!$E$3,QX1)="","",INDEX($B$42:$ALY$100,START!$E$3,QX1))</f>
        <v>200</v>
      </c>
      <c r="QY41" s="1278">
        <f>IF(INDEX($B$42:$ALY$100,START!$E$3,QY1)="","",INDEX($B$42:$ALY$100,START!$E$3,QY1))</f>
        <v>200</v>
      </c>
      <c r="QZ41" s="1278">
        <f>IF(INDEX($B$42:$ALY$100,START!$E$3,QZ1)="","",INDEX($B$42:$ALY$100,START!$E$3,QZ1))</f>
        <v>200</v>
      </c>
      <c r="RA41" s="1278">
        <f>IF(INDEX($B$42:$ALY$100,START!$E$3,RA1)="","",INDEX($B$42:$ALY$100,START!$E$3,RA1))</f>
        <v>200</v>
      </c>
      <c r="RB41" s="1278">
        <f>IF(INDEX($B$42:$ALY$100,START!$E$3,RB1)="","",INDEX($B$42:$ALY$100,START!$E$3,RB1))</f>
        <v>200</v>
      </c>
      <c r="RC41" s="1278">
        <f>IF(INDEX($B$42:$ALY$100,START!$E$3,RC1)="","",INDEX($B$42:$ALY$100,START!$E$3,RC1))</f>
        <v>200</v>
      </c>
      <c r="RD41" s="1278">
        <f>IF(INDEX($B$42:$ALY$100,START!$E$3,RD1)="","",INDEX($B$42:$ALY$100,START!$E$3,RD1))</f>
        <v>200</v>
      </c>
      <c r="RE41" s="1278">
        <f>IF(INDEX($B$42:$ALY$100,START!$E$3,RE1)="","",INDEX($B$42:$ALY$100,START!$E$3,RE1))</f>
        <v>200</v>
      </c>
      <c r="RF41" s="1278">
        <f>IF(INDEX($B$42:$ALY$100,START!$E$3,RF1)="","",INDEX($B$42:$ALY$100,START!$E$3,RF1))</f>
        <v>200</v>
      </c>
      <c r="RG41" s="1278">
        <f>IF(INDEX($B$42:$ALY$100,START!$E$3,RG1)="","",INDEX($B$42:$ALY$100,START!$E$3,RG1))</f>
        <v>200</v>
      </c>
      <c r="RH41" s="1278">
        <f>IF(INDEX($B$42:$ALY$100,START!$E$3,RH1)="","",INDEX($B$42:$ALY$100,START!$E$3,RH1))</f>
        <v>200</v>
      </c>
      <c r="RI41" s="1278">
        <f>IF(INDEX($B$42:$ALY$100,START!$E$3,RI1)="","",INDEX($B$42:$ALY$100,START!$E$3,RI1))</f>
        <v>200</v>
      </c>
      <c r="RJ41" s="1278">
        <f>IF(INDEX($B$42:$ALY$100,START!$E$3,RJ1)="","",INDEX($B$42:$ALY$100,START!$E$3,RJ1))</f>
        <v>200</v>
      </c>
      <c r="RK41" s="1278">
        <f>IF(INDEX($B$42:$ALY$100,START!$E$3,RK1)="","",INDEX($B$42:$ALY$100,START!$E$3,RK1))</f>
        <v>200</v>
      </c>
      <c r="RL41" s="1278">
        <f>IF(INDEX($B$42:$ALY$100,START!$E$3,RL1)="","",INDEX($B$42:$ALY$100,START!$E$3,RL1))</f>
        <v>200</v>
      </c>
      <c r="RM41" s="1278">
        <f>IF(INDEX($B$42:$ALY$100,START!$E$3,RM1)="","",INDEX($B$42:$ALY$100,START!$E$3,RM1))</f>
        <v>200</v>
      </c>
      <c r="RN41" s="1278">
        <f>IF(INDEX($B$42:$ALY$100,START!$E$3,RN1)="","",INDEX($B$42:$ALY$100,START!$E$3,RN1))</f>
        <v>200</v>
      </c>
      <c r="RO41" s="1278">
        <f>IF(INDEX($B$42:$ALY$100,START!$E$3,RO1)="","",INDEX($B$42:$ALY$100,START!$E$3,RO1))</f>
        <v>200</v>
      </c>
      <c r="RP41" s="1278">
        <f>IF(INDEX($B$42:$ALY$100,START!$E$3,RP1)="","",INDEX($B$42:$ALY$100,START!$E$3,RP1))</f>
        <v>200</v>
      </c>
      <c r="RQ41" s="1278">
        <f>IF(INDEX($B$42:$ALY$100,START!$E$3,RQ1)="","",INDEX($B$42:$ALY$100,START!$E$3,RQ1))</f>
        <v>200</v>
      </c>
      <c r="RR41" s="1278">
        <f>IF(INDEX($B$42:$ALY$100,START!$E$3,RR1)="","",INDEX($B$42:$ALY$100,START!$E$3,RR1))</f>
        <v>200</v>
      </c>
      <c r="RS41" s="1278">
        <f>IF(INDEX($B$42:$ALY$100,START!$E$3,RS1)="","",INDEX($B$42:$ALY$100,START!$E$3,RS1))</f>
        <v>200</v>
      </c>
      <c r="RT41" s="1278">
        <f>IF(INDEX($B$42:$ALY$100,START!$E$3,RT1)="","",INDEX($B$42:$ALY$100,START!$E$3,RT1))</f>
        <v>200</v>
      </c>
      <c r="RU41" s="1278">
        <f>IF(INDEX($B$42:$ALY$100,START!$E$3,RU1)="","",INDEX($B$42:$ALY$100,START!$E$3,RU1))</f>
        <v>200</v>
      </c>
      <c r="RV41" s="1278">
        <f>IF(INDEX($B$42:$ALY$100,START!$E$3,RV1)="","",INDEX($B$42:$ALY$100,START!$E$3,RV1))</f>
        <v>200</v>
      </c>
      <c r="RW41" s="1278">
        <f>IF(INDEX($B$42:$ALY$100,START!$E$3,RW1)="","",INDEX($B$42:$ALY$100,START!$E$3,RW1))</f>
        <v>200</v>
      </c>
      <c r="RX41" s="1278">
        <f>IF(INDEX($B$42:$ALY$100,START!$E$3,RX1)="","",INDEX($B$42:$ALY$100,START!$E$3,RX1))</f>
        <v>200</v>
      </c>
      <c r="RY41" s="1278">
        <f>IF(INDEX($B$42:$ALY$100,START!$E$3,RY1)="","",INDEX($B$42:$ALY$100,START!$E$3,RY1))</f>
        <v>200</v>
      </c>
      <c r="RZ41" s="1278">
        <f>IF(INDEX($B$42:$ALY$100,START!$E$3,RZ1)="","",INDEX($B$42:$ALY$100,START!$E$3,RZ1))</f>
        <v>200</v>
      </c>
      <c r="SA41" s="1278">
        <f>IF(INDEX($B$42:$ALY$100,START!$E$3,SA1)="","",INDEX($B$42:$ALY$100,START!$E$3,SA1))</f>
        <v>200</v>
      </c>
      <c r="SB41" s="1278">
        <f>IF(INDEX($B$42:$ALY$100,START!$E$3,SB1)="","",INDEX($B$42:$ALY$100,START!$E$3,SB1))</f>
        <v>200</v>
      </c>
      <c r="SC41" s="1278">
        <f>IF(INDEX($B$42:$ALY$100,START!$E$3,SC1)="","",INDEX($B$42:$ALY$100,START!$E$3,SC1))</f>
        <v>200</v>
      </c>
      <c r="SD41" s="1278">
        <f>IF(INDEX($B$42:$ALY$100,START!$E$3,SD1)="","",INDEX($B$42:$ALY$100,START!$E$3,SD1))</f>
        <v>200</v>
      </c>
      <c r="SE41" s="1278">
        <f>IF(INDEX($B$42:$ALY$100,START!$E$3,SE1)="","",INDEX($B$42:$ALY$100,START!$E$3,SE1))</f>
        <v>200</v>
      </c>
      <c r="SF41" s="1278">
        <f>IF(INDEX($B$42:$ALY$100,START!$E$3,SF1)="","",INDEX($B$42:$ALY$100,START!$E$3,SF1))</f>
        <v>200</v>
      </c>
      <c r="SG41" s="1278">
        <f>IF(INDEX($B$42:$ALY$100,START!$E$3,SG1)="","",INDEX($B$42:$ALY$100,START!$E$3,SG1))</f>
        <v>200</v>
      </c>
      <c r="SH41" s="1278">
        <f>IF(INDEX($B$42:$ALY$100,START!$E$3,SH1)="","",INDEX($B$42:$ALY$100,START!$E$3,SH1))</f>
        <v>200</v>
      </c>
      <c r="SI41" s="1278">
        <f>IF(INDEX($B$42:$ALY$100,START!$E$3,SI1)="","",INDEX($B$42:$ALY$100,START!$E$3,SI1))</f>
        <v>200</v>
      </c>
      <c r="SJ41" s="1278">
        <f>IF(INDEX($B$42:$ALY$100,START!$E$3,SJ1)="","",INDEX($B$42:$ALY$100,START!$E$3,SJ1))</f>
        <v>200</v>
      </c>
      <c r="SK41" s="1278">
        <f>IF(INDEX($B$42:$ALY$100,START!$E$3,SK1)="","",INDEX($B$42:$ALY$100,START!$E$3,SK1))</f>
        <v>200</v>
      </c>
      <c r="SL41" s="1278">
        <f>IF(INDEX($B$42:$ALY$100,START!$E$3,SL1)="","",INDEX($B$42:$ALY$100,START!$E$3,SL1))</f>
        <v>200</v>
      </c>
      <c r="SM41" s="1278">
        <f>IF(INDEX($B$42:$ALY$100,START!$E$3,SM1)="","",INDEX($B$42:$ALY$100,START!$E$3,SM1))</f>
        <v>200</v>
      </c>
      <c r="SN41" s="1278">
        <f>IF(INDEX($B$42:$ALY$100,START!$E$3,SN1)="","",INDEX($B$42:$ALY$100,START!$E$3,SN1))</f>
        <v>200</v>
      </c>
      <c r="SO41" s="1278">
        <f>IF(INDEX($B$42:$ALY$100,START!$E$3,SO1)="","",INDEX($B$42:$ALY$100,START!$E$3,SO1))</f>
        <v>200</v>
      </c>
      <c r="SP41" s="1278">
        <f>IF(INDEX($B$42:$ALY$100,START!$E$3,SP1)="","",INDEX($B$42:$ALY$100,START!$E$3,SP1))</f>
        <v>200</v>
      </c>
      <c r="SQ41" s="1278">
        <f>IF(INDEX($B$42:$ALY$100,START!$E$3,SQ1)="","",INDEX($B$42:$ALY$100,START!$E$3,SQ1))</f>
        <v>200</v>
      </c>
      <c r="SR41" s="1278">
        <f>IF(INDEX($B$42:$ALY$100,START!$E$3,SR1)="","",INDEX($B$42:$ALY$100,START!$E$3,SR1))</f>
        <v>200</v>
      </c>
      <c r="SS41" s="1278">
        <f>IF(INDEX($B$42:$ALY$100,START!$E$3,SS1)="","",INDEX($B$42:$ALY$100,START!$E$3,SS1))</f>
        <v>200</v>
      </c>
      <c r="ST41" s="1278">
        <f>IF(INDEX($B$42:$ALY$100,START!$E$3,ST1)="","",INDEX($B$42:$ALY$100,START!$E$3,ST1))</f>
        <v>200</v>
      </c>
      <c r="SU41" s="1278">
        <f>IF(INDEX($B$42:$ALY$100,START!$E$3,SU1)="","",INDEX($B$42:$ALY$100,START!$E$3,SU1))</f>
        <v>200</v>
      </c>
      <c r="SV41" s="1278">
        <f>IF(INDEX($B$42:$ALY$100,START!$E$3,SV1)="","",INDEX($B$42:$ALY$100,START!$E$3,SV1))</f>
        <v>200</v>
      </c>
      <c r="SW41" s="1278">
        <f>IF(INDEX($B$42:$ALY$100,START!$E$3,SW1)="","",INDEX($B$42:$ALY$100,START!$E$3,SW1))</f>
        <v>200</v>
      </c>
      <c r="SX41" s="1278">
        <f>IF(INDEX($B$42:$ALY$100,START!$E$3,SX1)="","",INDEX($B$42:$ALY$100,START!$E$3,SX1))</f>
        <v>200</v>
      </c>
      <c r="SY41" s="1278">
        <f>IF(INDEX($B$42:$ALY$100,START!$E$3,SY1)="","",INDEX($B$42:$ALY$100,START!$E$3,SY1))</f>
        <v>200</v>
      </c>
      <c r="SZ41" s="1278">
        <f>IF(INDEX($B$42:$ALY$100,START!$E$3,SZ1)="","",INDEX($B$42:$ALY$100,START!$E$3,SZ1))</f>
        <v>200</v>
      </c>
      <c r="TA41" s="1278">
        <f>IF(INDEX($B$42:$ALY$100,START!$E$3,TA1)="","",INDEX($B$42:$ALY$100,START!$E$3,TA1))</f>
        <v>200</v>
      </c>
      <c r="TB41" s="1278">
        <f>IF(INDEX($B$42:$ALY$100,START!$E$3,TB1)="","",INDEX($B$42:$ALY$100,START!$E$3,TB1))</f>
        <v>200</v>
      </c>
      <c r="TC41" s="1278">
        <f>IF(INDEX($B$42:$ALY$100,START!$E$3,TC1)="","",INDEX($B$42:$ALY$100,START!$E$3,TC1))</f>
        <v>200</v>
      </c>
      <c r="TD41" s="1278">
        <f>IF(INDEX($B$42:$ALY$100,START!$E$3,TD1)="","",INDEX($B$42:$ALY$100,START!$E$3,TD1))</f>
        <v>200</v>
      </c>
      <c r="TE41" s="1278">
        <f>IF(INDEX($B$42:$ALY$100,START!$E$3,TE1)="","",INDEX($B$42:$ALY$100,START!$E$3,TE1))</f>
        <v>200</v>
      </c>
      <c r="TF41" s="1278">
        <f>IF(INDEX($B$42:$ALY$100,START!$E$3,TF1)="","",INDEX($B$42:$ALY$100,START!$E$3,TF1))</f>
        <v>200</v>
      </c>
      <c r="TG41" s="1278">
        <f>IF(INDEX($B$42:$ALY$100,START!$E$3,TG1)="","",INDEX($B$42:$ALY$100,START!$E$3,TG1))</f>
        <v>200</v>
      </c>
      <c r="TH41" s="1278">
        <f>IF(INDEX($B$42:$ALY$100,START!$E$3,TH1)="","",INDEX($B$42:$ALY$100,START!$E$3,TH1))</f>
        <v>200</v>
      </c>
      <c r="TI41" s="1278">
        <f>IF(INDEX($B$42:$ALY$100,START!$E$3,TI1)="","",INDEX($B$42:$ALY$100,START!$E$3,TI1))</f>
        <v>200</v>
      </c>
      <c r="TJ41" s="1278">
        <f>IF(INDEX($B$42:$ALY$100,START!$E$3,TJ1)="","",INDEX($B$42:$ALY$100,START!$E$3,TJ1))</f>
        <v>200</v>
      </c>
      <c r="TK41" s="1278">
        <f>IF(INDEX($B$42:$ALY$100,START!$E$3,TK1)="","",INDEX($B$42:$ALY$100,START!$E$3,TK1))</f>
        <v>200</v>
      </c>
      <c r="TL41" s="1278">
        <f>IF(INDEX($B$42:$ALY$100,START!$E$3,TL1)="","",INDEX($B$42:$ALY$100,START!$E$3,TL1))</f>
        <v>200</v>
      </c>
      <c r="TM41" s="1278">
        <f>IF(INDEX($B$42:$ALY$100,START!$E$3,TM1)="","",INDEX($B$42:$ALY$100,START!$E$3,TM1))</f>
        <v>200</v>
      </c>
      <c r="TN41" s="1278">
        <f>IF(INDEX($B$42:$ALY$100,START!$E$3,TN1)="","",INDEX($B$42:$ALY$100,START!$E$3,TN1))</f>
        <v>200</v>
      </c>
      <c r="TO41" s="1278">
        <f>IF(INDEX($B$42:$ALY$100,START!$E$3,TO1)="","",INDEX($B$42:$ALY$100,START!$E$3,TO1))</f>
        <v>200</v>
      </c>
      <c r="TP41" s="1278">
        <f>IF(INDEX($B$42:$ALY$100,START!$E$3,TP1)="","",INDEX($B$42:$ALY$100,START!$E$3,TP1))</f>
        <v>200</v>
      </c>
      <c r="TQ41" s="1278">
        <f>IF(INDEX($B$42:$ALY$100,START!$E$3,TQ1)="","",INDEX($B$42:$ALY$100,START!$E$3,TQ1))</f>
        <v>200</v>
      </c>
      <c r="TR41" s="1278">
        <f>IF(INDEX($B$42:$ALY$100,START!$E$3,TR1)="","",INDEX($B$42:$ALY$100,START!$E$3,TR1))</f>
        <v>200</v>
      </c>
      <c r="TS41" s="1278">
        <f>IF(INDEX($B$42:$ALY$100,START!$E$3,TS1)="","",INDEX($B$42:$ALY$100,START!$E$3,TS1))</f>
        <v>200</v>
      </c>
      <c r="TT41" s="1278">
        <f>IF(INDEX($B$42:$ALY$100,START!$E$3,TT1)="","",INDEX($B$42:$ALY$100,START!$E$3,TT1))</f>
        <v>200</v>
      </c>
      <c r="TU41" s="1278">
        <f>IF(INDEX($B$42:$ALY$100,START!$E$3,TU1)="","",INDEX($B$42:$ALY$100,START!$E$3,TU1))</f>
        <v>200</v>
      </c>
      <c r="TV41" s="1278">
        <f>IF(INDEX($B$42:$ALY$100,START!$E$3,TV1)="","",INDEX($B$42:$ALY$100,START!$E$3,TV1))</f>
        <v>200</v>
      </c>
      <c r="TW41" s="1278">
        <f>IF(INDEX($B$42:$ALY$100,START!$E$3,TW1)="","",INDEX($B$42:$ALY$100,START!$E$3,TW1))</f>
        <v>200</v>
      </c>
      <c r="TX41" s="1278">
        <f>IF(INDEX($B$42:$ALY$100,START!$E$3,TX1)="","",INDEX($B$42:$ALY$100,START!$E$3,TX1))</f>
        <v>200</v>
      </c>
      <c r="TY41" s="1278">
        <f>IF(INDEX($B$42:$ALY$100,START!$E$3,TY1)="","",INDEX($B$42:$ALY$100,START!$E$3,TY1))</f>
        <v>200</v>
      </c>
      <c r="TZ41" s="1278">
        <f>IF(INDEX($B$42:$ALY$100,START!$E$3,TZ1)="","",INDEX($B$42:$ALY$100,START!$E$3,TZ1))</f>
        <v>200</v>
      </c>
      <c r="UA41" s="1278">
        <f>IF(INDEX($B$42:$ALY$100,START!$E$3,UA1)="","",INDEX($B$42:$ALY$100,START!$E$3,UA1))</f>
        <v>200</v>
      </c>
      <c r="UB41" s="1278">
        <f>IF(INDEX($B$42:$ALY$100,START!$E$3,UB1)="","",INDEX($B$42:$ALY$100,START!$E$3,UB1))</f>
        <v>200</v>
      </c>
      <c r="UC41" s="1278">
        <f>IF(INDEX($B$42:$ALY$100,START!$E$3,UC1)="","",INDEX($B$42:$ALY$100,START!$E$3,UC1))</f>
        <v>200</v>
      </c>
      <c r="UD41" s="1278">
        <f>IF(INDEX($B$42:$ALY$100,START!$E$3,UD1)="","",INDEX($B$42:$ALY$100,START!$E$3,UD1))</f>
        <v>200</v>
      </c>
      <c r="UE41" s="1278">
        <f>IF(INDEX($B$42:$ALY$100,START!$E$3,UE1)="","",INDEX($B$42:$ALY$100,START!$E$3,UE1))</f>
        <v>200</v>
      </c>
      <c r="UF41" s="1278">
        <f>IF(INDEX($B$42:$ALY$100,START!$E$3,UF1)="","",INDEX($B$42:$ALY$100,START!$E$3,UF1))</f>
        <v>200</v>
      </c>
      <c r="UG41" s="1278">
        <f>IF(INDEX($B$42:$ALY$100,START!$E$3,UG1)="","",INDEX($B$42:$ALY$100,START!$E$3,UG1))</f>
        <v>200</v>
      </c>
      <c r="UH41" s="1278">
        <f>IF(INDEX($B$42:$ALY$100,START!$E$3,UH1)="","",INDEX($B$42:$ALY$100,START!$E$3,UH1))</f>
        <v>200</v>
      </c>
      <c r="UI41" s="1278">
        <f>IF(INDEX($B$42:$ALY$100,START!$E$3,UI1)="","",INDEX($B$42:$ALY$100,START!$E$3,UI1))</f>
        <v>200</v>
      </c>
      <c r="UJ41" s="1278">
        <f>IF(INDEX($B$42:$ALY$100,START!$E$3,UJ1)="","",INDEX($B$42:$ALY$100,START!$E$3,UJ1))</f>
        <v>200</v>
      </c>
      <c r="UK41" s="1278">
        <f>IF(INDEX($B$42:$ALY$100,START!$E$3,UK1)="","",INDEX($B$42:$ALY$100,START!$E$3,UK1))</f>
        <v>200</v>
      </c>
      <c r="UL41" s="1278">
        <f>IF(INDEX($B$42:$ALY$100,START!$E$3,UL1)="","",INDEX($B$42:$ALY$100,START!$E$3,UL1))</f>
        <v>200</v>
      </c>
      <c r="UM41" s="1278">
        <f>IF(INDEX($B$42:$ALY$100,START!$E$3,UM1)="","",INDEX($B$42:$ALY$100,START!$E$3,UM1))</f>
        <v>200</v>
      </c>
      <c r="UN41" s="1278">
        <f>IF(INDEX($B$42:$ALY$100,START!$E$3,UN1)="","",INDEX($B$42:$ALY$100,START!$E$3,UN1))</f>
        <v>200</v>
      </c>
      <c r="UO41" s="1278">
        <f>IF(INDEX($B$42:$ALY$100,START!$E$3,UO1)="","",INDEX($B$42:$ALY$100,START!$E$3,UO1))</f>
        <v>200</v>
      </c>
      <c r="UP41" s="1278">
        <f>IF(INDEX($B$42:$ALY$100,START!$E$3,UP1)="","",INDEX($B$42:$ALY$100,START!$E$3,UP1))</f>
        <v>200</v>
      </c>
      <c r="UQ41" s="1278">
        <f>IF(INDEX($B$42:$ALY$100,START!$E$3,UQ1)="","",INDEX($B$42:$ALY$100,START!$E$3,UQ1))</f>
        <v>200</v>
      </c>
      <c r="UR41" s="1278">
        <f>IF(INDEX($B$42:$ALY$100,START!$E$3,UR1)="","",INDEX($B$42:$ALY$100,START!$E$3,UR1))</f>
        <v>200</v>
      </c>
      <c r="US41" s="1278">
        <f>IF(INDEX($B$42:$ALY$100,START!$E$3,US1)="","",INDEX($B$42:$ALY$100,START!$E$3,US1))</f>
        <v>200</v>
      </c>
      <c r="UT41" s="1278">
        <f>IF(INDEX($B$42:$ALY$100,START!$E$3,UT1)="","",INDEX($B$42:$ALY$100,START!$E$3,UT1))</f>
        <v>200</v>
      </c>
      <c r="UU41" s="1278">
        <f>IF(INDEX($B$42:$ALY$100,START!$E$3,UU1)="","",INDEX($B$42:$ALY$100,START!$E$3,UU1))</f>
        <v>200</v>
      </c>
      <c r="UV41" s="1278">
        <f>IF(INDEX($B$42:$ALY$100,START!$E$3,UV1)="","",INDEX($B$42:$ALY$100,START!$E$3,UV1))</f>
        <v>200</v>
      </c>
      <c r="UW41" s="1278">
        <f>IF(INDEX($B$42:$ALY$100,START!$E$3,UW1)="","",INDEX($B$42:$ALY$100,START!$E$3,UW1))</f>
        <v>200</v>
      </c>
      <c r="UX41" s="1278">
        <f>IF(INDEX($B$42:$ALY$100,START!$E$3,UX1)="","",INDEX($B$42:$ALY$100,START!$E$3,UX1))</f>
        <v>200</v>
      </c>
      <c r="UY41" s="1278">
        <f>IF(INDEX($B$42:$ALY$100,START!$E$3,UY1)="","",INDEX($B$42:$ALY$100,START!$E$3,UY1))</f>
        <v>200</v>
      </c>
      <c r="UZ41" s="1278">
        <f>IF(INDEX($B$42:$ALY$100,START!$E$3,UZ1)="","",INDEX($B$42:$ALY$100,START!$E$3,UZ1))</f>
        <v>200</v>
      </c>
      <c r="VA41" s="1278">
        <f>IF(INDEX($B$42:$ALY$100,START!$E$3,VA1)="","",INDEX($B$42:$ALY$100,START!$E$3,VA1))</f>
        <v>200</v>
      </c>
      <c r="VB41" s="1278">
        <f>IF(INDEX($B$42:$ALY$100,START!$E$3,VB1)="","",INDEX($B$42:$ALY$100,START!$E$3,VB1))</f>
        <v>200</v>
      </c>
      <c r="VC41" s="1278">
        <f>IF(INDEX($B$42:$ALY$100,START!$E$3,VC1)="","",INDEX($B$42:$ALY$100,START!$E$3,VC1))</f>
        <v>200</v>
      </c>
      <c r="VD41" s="1278">
        <f>IF(INDEX($B$42:$ALY$100,START!$E$3,VD1)="","",INDEX($B$42:$ALY$100,START!$E$3,VD1))</f>
        <v>200</v>
      </c>
      <c r="VE41" s="1278">
        <f>IF(INDEX($B$42:$ALY$100,START!$E$3,VE1)="","",INDEX($B$42:$ALY$100,START!$E$3,VE1))</f>
        <v>200</v>
      </c>
      <c r="VF41" s="1278">
        <f>IF(INDEX($B$42:$ALY$100,START!$E$3,VF1)="","",INDEX($B$42:$ALY$100,START!$E$3,VF1))</f>
        <v>200</v>
      </c>
      <c r="VG41" s="1278">
        <f>IF(INDEX($B$42:$ALY$100,START!$E$3,VG1)="","",INDEX($B$42:$ALY$100,START!$E$3,VG1))</f>
        <v>200</v>
      </c>
      <c r="VH41" s="1278">
        <f>IF(INDEX($B$42:$ALY$100,START!$E$3,VH1)="","",INDEX($B$42:$ALY$100,START!$E$3,VH1))</f>
        <v>200</v>
      </c>
      <c r="VI41" s="1278">
        <f>IF(INDEX($B$42:$ALY$100,START!$E$3,VI1)="","",INDEX($B$42:$ALY$100,START!$E$3,VI1))</f>
        <v>200</v>
      </c>
      <c r="VJ41" s="1278">
        <f>IF(INDEX($B$42:$ALY$100,START!$E$3,VJ1)="","",INDEX($B$42:$ALY$100,START!$E$3,VJ1))</f>
        <v>200</v>
      </c>
      <c r="VK41" s="1278">
        <f>IF(INDEX($B$42:$ALY$100,START!$E$3,VK1)="","",INDEX($B$42:$ALY$100,START!$E$3,VK1))</f>
        <v>200</v>
      </c>
      <c r="VL41" s="1278">
        <f>IF(INDEX($B$42:$ALY$100,START!$E$3,VL1)="","",INDEX($B$42:$ALY$100,START!$E$3,VL1))</f>
        <v>200</v>
      </c>
      <c r="VM41" s="1278">
        <f>IF(INDEX($B$42:$ALY$100,START!$E$3,VM1)="","",INDEX($B$42:$ALY$100,START!$E$3,VM1))</f>
        <v>200</v>
      </c>
      <c r="VN41" s="1278">
        <f>IF(INDEX($B$42:$ALY$100,START!$E$3,VN1)="","",INDEX($B$42:$ALY$100,START!$E$3,VN1))</f>
        <v>200</v>
      </c>
      <c r="VO41" s="1278">
        <f>IF(INDEX($B$42:$ALY$100,START!$E$3,VO1)="","",INDEX($B$42:$ALY$100,START!$E$3,VO1))</f>
        <v>200</v>
      </c>
      <c r="VP41" s="1278">
        <f>IF(INDEX($B$42:$ALY$100,START!$E$3,VP1)="","",INDEX($B$42:$ALY$100,START!$E$3,VP1))</f>
        <v>200</v>
      </c>
      <c r="VQ41" s="1278">
        <f>IF(INDEX($B$42:$ALY$100,START!$E$3,VQ1)="","",INDEX($B$42:$ALY$100,START!$E$3,VQ1))</f>
        <v>200</v>
      </c>
      <c r="VR41" s="1278">
        <f>IF(INDEX($B$42:$ALY$100,START!$E$3,VR1)="","",INDEX($B$42:$ALY$100,START!$E$3,VR1))</f>
        <v>200</v>
      </c>
      <c r="VS41" s="1278">
        <f>IF(INDEX($B$42:$ALY$100,START!$E$3,VS1)="","",INDEX($B$42:$ALY$100,START!$E$3,VS1))</f>
        <v>200</v>
      </c>
      <c r="VT41" s="1278">
        <f>IF(INDEX($B$42:$ALY$100,START!$E$3,VT1)="","",INDEX($B$42:$ALY$100,START!$E$3,VT1))</f>
        <v>200</v>
      </c>
      <c r="VU41" s="1278">
        <f>IF(INDEX($B$42:$ALY$100,START!$E$3,VU1)="","",INDEX($B$42:$ALY$100,START!$E$3,VU1))</f>
        <v>200</v>
      </c>
      <c r="VV41" s="1278">
        <f>IF(INDEX($B$42:$ALY$100,START!$E$3,VV1)="","",INDEX($B$42:$ALY$100,START!$E$3,VV1))</f>
        <v>200</v>
      </c>
      <c r="VW41" s="1278">
        <f>IF(INDEX($B$42:$ALY$100,START!$E$3,VW1)="","",INDEX($B$42:$ALY$100,START!$E$3,VW1))</f>
        <v>200</v>
      </c>
      <c r="VX41" s="1278">
        <f>IF(INDEX($B$42:$ALY$100,START!$E$3,VX1)="","",INDEX($B$42:$ALY$100,START!$E$3,VX1))</f>
        <v>200</v>
      </c>
      <c r="VY41" s="1278">
        <f>IF(INDEX($B$42:$ALY$100,START!$E$3,VY1)="","",INDEX($B$42:$ALY$100,START!$E$3,VY1))</f>
        <v>200</v>
      </c>
      <c r="VZ41" s="1278">
        <f>IF(INDEX($B$42:$ALY$100,START!$E$3,VZ1)="","",INDEX($B$42:$ALY$100,START!$E$3,VZ1))</f>
        <v>200</v>
      </c>
      <c r="WA41" s="1278">
        <f>IF(INDEX($B$42:$ALY$100,START!$E$3,WA1)="","",INDEX($B$42:$ALY$100,START!$E$3,WA1))</f>
        <v>200</v>
      </c>
      <c r="WB41" s="1278">
        <f>IF(INDEX($B$42:$ALY$100,START!$E$3,WB1)="","",INDEX($B$42:$ALY$100,START!$E$3,WB1))</f>
        <v>200</v>
      </c>
      <c r="WC41" s="1278">
        <f>IF(INDEX($B$42:$ALY$100,START!$E$3,WC1)="","",INDEX($B$42:$ALY$100,START!$E$3,WC1))</f>
        <v>200</v>
      </c>
      <c r="WD41" s="1278" t="str">
        <f>IF(INDEX($B$42:$ALY$100,START!$E$3,WD1)="","",INDEX($B$42:$ALY$100,START!$E$3,WD1))</f>
        <v/>
      </c>
      <c r="WE41" s="1278" t="str">
        <f>IF(INDEX($B$42:$ALY$100,START!$E$3,WE1)="","",INDEX($B$42:$ALY$100,START!$E$3,WE1))</f>
        <v/>
      </c>
      <c r="WF41" s="1278" t="str">
        <f>IF(INDEX($B$42:$ALY$100,START!$E$3,WF1)="","",INDEX($B$42:$ALY$100,START!$E$3,WF1))</f>
        <v/>
      </c>
      <c r="WG41" s="1278" t="str">
        <f>IF(INDEX($B$42:$ALY$100,START!$E$3,WG1)="","",INDEX($B$42:$ALY$100,START!$E$3,WG1))</f>
        <v/>
      </c>
      <c r="WH41" s="1278" t="str">
        <f>IF(INDEX($B$42:$ALY$100,START!$E$3,WH1)="","",INDEX($B$42:$ALY$100,START!$E$3,WH1))</f>
        <v/>
      </c>
      <c r="WI41" s="1278" t="str">
        <f>IF(INDEX($B$42:$ALY$100,START!$E$3,WI1)="","",INDEX($B$42:$ALY$100,START!$E$3,WI1))</f>
        <v/>
      </c>
      <c r="WJ41" s="1278" t="str">
        <f>IF(INDEX($B$42:$ALY$100,START!$E$3,WJ1)="","",INDEX($B$42:$ALY$100,START!$E$3,WJ1))</f>
        <v/>
      </c>
      <c r="WK41" s="1278" t="str">
        <f>IF(INDEX($B$42:$ALY$100,START!$E$3,WK1)="","",INDEX($B$42:$ALY$100,START!$E$3,WK1))</f>
        <v/>
      </c>
      <c r="WL41" s="1278" t="str">
        <f>IF(INDEX($B$42:$ALY$100,START!$E$3,WL1)="","",INDEX($B$42:$ALY$100,START!$E$3,WL1))</f>
        <v/>
      </c>
      <c r="WM41" s="1278" t="str">
        <f>IF(INDEX($B$42:$ALY$100,START!$E$3,WM1)="","",INDEX($B$42:$ALY$100,START!$E$3,WM1))</f>
        <v/>
      </c>
      <c r="WN41" s="1278" t="str">
        <f>IF(INDEX($B$42:$ALY$100,START!$E$3,WN1)="","",INDEX($B$42:$ALY$100,START!$E$3,WN1))</f>
        <v/>
      </c>
      <c r="WO41" s="1278" t="str">
        <f>IF(INDEX($B$42:$ALY$100,START!$E$3,WO1)="","",INDEX($B$42:$ALY$100,START!$E$3,WO1))</f>
        <v/>
      </c>
      <c r="WP41" s="1278" t="str">
        <f>IF(INDEX($B$42:$ALY$100,START!$E$3,WP1)="","",INDEX($B$42:$ALY$100,START!$E$3,WP1))</f>
        <v/>
      </c>
      <c r="WQ41" s="1278" t="str">
        <f>IF(INDEX($B$42:$ALY$100,START!$E$3,WQ1)="","",INDEX($B$42:$ALY$100,START!$E$3,WQ1))</f>
        <v/>
      </c>
      <c r="WR41" s="1278" t="str">
        <f>IF(INDEX($B$42:$ALY$100,START!$E$3,WR1)="","",INDEX($B$42:$ALY$100,START!$E$3,WR1))</f>
        <v/>
      </c>
      <c r="WS41" s="1278" t="str">
        <f>IF(INDEX($B$42:$ALY$100,START!$E$3,WS1)="","",INDEX($B$42:$ALY$100,START!$E$3,WS1))</f>
        <v/>
      </c>
      <c r="WT41" s="1278" t="str">
        <f>IF(INDEX($B$42:$ALY$100,START!$E$3,WT1)="","",INDEX($B$42:$ALY$100,START!$E$3,WT1))</f>
        <v/>
      </c>
      <c r="WU41" s="1278" t="str">
        <f>IF(INDEX($B$42:$ALY$100,START!$E$3,WU1)="","",INDEX($B$42:$ALY$100,START!$E$3,WU1))</f>
        <v/>
      </c>
      <c r="WV41" s="1278" t="str">
        <f>IF(INDEX($B$42:$ALY$100,START!$E$3,WV1)="","",INDEX($B$42:$ALY$100,START!$E$3,WV1))</f>
        <v/>
      </c>
      <c r="WW41" s="1278" t="str">
        <f>IF(INDEX($B$42:$ALY$100,START!$E$3,WW1)="","",INDEX($B$42:$ALY$100,START!$E$3,WW1))</f>
        <v/>
      </c>
      <c r="WX41" s="1278" t="str">
        <f>IF(INDEX($B$42:$ALY$100,START!$E$3,WX1)="","",INDEX($B$42:$ALY$100,START!$E$3,WX1))</f>
        <v/>
      </c>
      <c r="WY41" s="1278" t="str">
        <f>IF(INDEX($B$42:$ALY$100,START!$E$3,WY1)="","",INDEX($B$42:$ALY$100,START!$E$3,WY1))</f>
        <v/>
      </c>
      <c r="WZ41" s="1278" t="str">
        <f>IF(INDEX($B$42:$ALY$100,START!$E$3,WZ1)="","",INDEX($B$42:$ALY$100,START!$E$3,WZ1))</f>
        <v/>
      </c>
      <c r="XA41" s="1278" t="str">
        <f>IF(INDEX($B$42:$ALY$100,START!$E$3,XA1)="","",INDEX($B$42:$ALY$100,START!$E$3,XA1))</f>
        <v/>
      </c>
      <c r="XB41" s="1278" t="str">
        <f>IF(INDEX($B$42:$ALY$100,START!$E$3,XB1)="","",INDEX($B$42:$ALY$100,START!$E$3,XB1))</f>
        <v/>
      </c>
      <c r="XC41" s="1278" t="str">
        <f>IF(INDEX($B$42:$ALY$100,START!$E$3,XC1)="","",INDEX($B$42:$ALY$100,START!$E$3,XC1))</f>
        <v/>
      </c>
      <c r="XD41" s="1278" t="str">
        <f>IF(INDEX($B$42:$ALY$100,START!$E$3,XD1)="","",INDEX($B$42:$ALY$100,START!$E$3,XD1))</f>
        <v/>
      </c>
      <c r="XE41" s="1278" t="str">
        <f>IF(INDEX($B$42:$ALY$100,START!$E$3,XE1)="","",INDEX($B$42:$ALY$100,START!$E$3,XE1))</f>
        <v/>
      </c>
      <c r="XF41" s="1278" t="str">
        <f>IF(INDEX($B$42:$ALY$100,START!$E$3,XF1)="","",INDEX($B$42:$ALY$100,START!$E$3,XF1))</f>
        <v/>
      </c>
      <c r="XG41" s="1278" t="str">
        <f>IF(INDEX($B$42:$ALY$100,START!$E$3,XG1)="","",INDEX($B$42:$ALY$100,START!$E$3,XG1))</f>
        <v/>
      </c>
      <c r="XH41" s="1278" t="str">
        <f>IF(INDEX($B$42:$ALY$100,START!$E$3,XH1)="","",INDEX($B$42:$ALY$100,START!$E$3,XH1))</f>
        <v/>
      </c>
      <c r="XI41" s="1278" t="str">
        <f>IF(INDEX($B$42:$ALY$100,START!$E$3,XI1)="","",INDEX($B$42:$ALY$100,START!$E$3,XI1))</f>
        <v/>
      </c>
      <c r="XJ41" s="1278" t="str">
        <f>IF(INDEX($B$42:$ALY$100,START!$E$3,XJ1)="","",INDEX($B$42:$ALY$100,START!$E$3,XJ1))</f>
        <v/>
      </c>
      <c r="XK41" s="1278" t="str">
        <f>IF(INDEX($B$42:$ALY$100,START!$E$3,XK1)="","",INDEX($B$42:$ALY$100,START!$E$3,XK1))</f>
        <v/>
      </c>
      <c r="XL41" s="1278" t="str">
        <f>IF(INDEX($B$42:$ALY$100,START!$E$3,XL1)="","",INDEX($B$42:$ALY$100,START!$E$3,XL1))</f>
        <v/>
      </c>
      <c r="XM41" s="1278" t="str">
        <f>IF(INDEX($B$42:$ALY$100,START!$E$3,XM1)="","",INDEX($B$42:$ALY$100,START!$E$3,XM1))</f>
        <v/>
      </c>
      <c r="XN41" s="1278" t="str">
        <f>IF(INDEX($B$42:$ALY$100,START!$E$3,XN1)="","",INDEX($B$42:$ALY$100,START!$E$3,XN1))</f>
        <v/>
      </c>
      <c r="XO41" s="1278" t="str">
        <f>IF(INDEX($B$42:$ALY$100,START!$E$3,XO1)="","",INDEX($B$42:$ALY$100,START!$E$3,XO1))</f>
        <v/>
      </c>
      <c r="XP41" s="1278" t="str">
        <f>IF(INDEX($B$42:$ALY$100,START!$E$3,XP1)="","",INDEX($B$42:$ALY$100,START!$E$3,XP1))</f>
        <v/>
      </c>
      <c r="XQ41" s="1278" t="str">
        <f>IF(INDEX($B$42:$ALY$100,START!$E$3,XQ1)="","",INDEX($B$42:$ALY$100,START!$E$3,XQ1))</f>
        <v/>
      </c>
      <c r="XR41" s="1278" t="str">
        <f>IF(INDEX($B$42:$ALY$100,START!$E$3,XR1)="","",INDEX($B$42:$ALY$100,START!$E$3,XR1))</f>
        <v/>
      </c>
      <c r="XS41" s="1278" t="str">
        <f>IF(INDEX($B$42:$ALY$100,START!$E$3,XS1)="","",INDEX($B$42:$ALY$100,START!$E$3,XS1))</f>
        <v/>
      </c>
      <c r="XT41" s="1278" t="str">
        <f>IF(INDEX($B$42:$ALY$100,START!$E$3,XT1)="","",INDEX($B$42:$ALY$100,START!$E$3,XT1))</f>
        <v/>
      </c>
      <c r="XU41" s="1278" t="str">
        <f>IF(INDEX($B$42:$ALY$100,START!$E$3,XU1)="","",INDEX($B$42:$ALY$100,START!$E$3,XU1))</f>
        <v/>
      </c>
      <c r="XV41" s="1278" t="str">
        <f>IF(INDEX($B$42:$ALY$100,START!$E$3,XV1)="","",INDEX($B$42:$ALY$100,START!$E$3,XV1))</f>
        <v/>
      </c>
      <c r="XW41" s="1278" t="str">
        <f>IF(INDEX($B$42:$ALY$100,START!$E$3,XW1)="","",INDEX($B$42:$ALY$100,START!$E$3,XW1))</f>
        <v/>
      </c>
      <c r="XX41" s="1278" t="str">
        <f>IF(INDEX($B$42:$ALY$100,START!$E$3,XX1)="","",INDEX($B$42:$ALY$100,START!$E$3,XX1))</f>
        <v/>
      </c>
      <c r="XY41" s="1278" t="str">
        <f>IF(INDEX($B$42:$ALY$100,START!$E$3,XY1)="","",INDEX($B$42:$ALY$100,START!$E$3,XY1))</f>
        <v/>
      </c>
      <c r="XZ41" s="1278" t="str">
        <f>IF(INDEX($B$42:$ALY$100,START!$E$3,XZ1)="","",INDEX($B$42:$ALY$100,START!$E$3,XZ1))</f>
        <v/>
      </c>
      <c r="YA41" s="1278" t="str">
        <f>IF(INDEX($B$42:$ALY$100,START!$E$3,YA1)="","",INDEX($B$42:$ALY$100,START!$E$3,YA1))</f>
        <v/>
      </c>
      <c r="YB41" s="1278" t="str">
        <f>IF(INDEX($B$42:$ALY$100,START!$E$3,YB1)="","",INDEX($B$42:$ALY$100,START!$E$3,YB1))</f>
        <v/>
      </c>
      <c r="YC41" s="1278" t="str">
        <f>IF(INDEX($B$42:$ALY$100,START!$E$3,YC1)="","",INDEX($B$42:$ALY$100,START!$E$3,YC1))</f>
        <v/>
      </c>
      <c r="YD41" s="1278" t="str">
        <f>IF(INDEX($B$42:$ALY$100,START!$E$3,YD1)="","",INDEX($B$42:$ALY$100,START!$E$3,YD1))</f>
        <v/>
      </c>
      <c r="YE41" s="1278" t="str">
        <f>IF(INDEX($B$42:$ALY$100,START!$E$3,YE1)="","",INDEX($B$42:$ALY$100,START!$E$3,YE1))</f>
        <v/>
      </c>
      <c r="YF41" s="1278" t="str">
        <f>IF(INDEX($B$42:$ALY$100,START!$E$3,YF1)="","",INDEX($B$42:$ALY$100,START!$E$3,YF1))</f>
        <v/>
      </c>
      <c r="YG41" s="1278" t="str">
        <f>IF(INDEX($B$42:$ALY$100,START!$E$3,YG1)="","",INDEX($B$42:$ALY$100,START!$E$3,YG1))</f>
        <v/>
      </c>
      <c r="YH41" s="1278" t="str">
        <f>IF(INDEX($B$42:$ALY$100,START!$E$3,YH1)="","",INDEX($B$42:$ALY$100,START!$E$3,YH1))</f>
        <v/>
      </c>
      <c r="YI41" s="1278" t="str">
        <f>IF(INDEX($B$42:$ALY$100,START!$E$3,YI1)="","",INDEX($B$42:$ALY$100,START!$E$3,YI1))</f>
        <v/>
      </c>
      <c r="YJ41" s="1278" t="str">
        <f>IF(INDEX($B$42:$ALY$100,START!$E$3,YJ1)="","",INDEX($B$42:$ALY$100,START!$E$3,YJ1))</f>
        <v/>
      </c>
      <c r="YK41" s="1278" t="str">
        <f>IF(INDEX($B$42:$ALY$100,START!$E$3,YK1)="","",INDEX($B$42:$ALY$100,START!$E$3,YK1))</f>
        <v/>
      </c>
      <c r="YL41" s="1278" t="str">
        <f>IF(INDEX($B$42:$ALY$100,START!$E$3,YL1)="","",INDEX($B$42:$ALY$100,START!$E$3,YL1))</f>
        <v/>
      </c>
      <c r="YM41" s="1278" t="str">
        <f>IF(INDEX($B$42:$ALY$100,START!$E$3,YM1)="","",INDEX($B$42:$ALY$100,START!$E$3,YM1))</f>
        <v/>
      </c>
      <c r="YN41" s="1278" t="str">
        <f>IF(INDEX($B$42:$ALY$100,START!$E$3,YN1)="","",INDEX($B$42:$ALY$100,START!$E$3,YN1))</f>
        <v/>
      </c>
      <c r="YO41" s="1278" t="str">
        <f>IF(INDEX($B$42:$ALY$100,START!$E$3,YO1)="","",INDEX($B$42:$ALY$100,START!$E$3,YO1))</f>
        <v/>
      </c>
      <c r="YP41" s="1278" t="str">
        <f>IF(INDEX($B$42:$ALY$100,START!$E$3,YP1)="","",INDEX($B$42:$ALY$100,START!$E$3,YP1))</f>
        <v/>
      </c>
      <c r="YQ41" s="1278" t="str">
        <f>IF(INDEX($B$42:$ALY$100,START!$E$3,YQ1)="","",INDEX($B$42:$ALY$100,START!$E$3,YQ1))</f>
        <v/>
      </c>
      <c r="YR41" s="1278" t="str">
        <f>IF(INDEX($B$42:$ALY$100,START!$E$3,YR1)="","",INDEX($B$42:$ALY$100,START!$E$3,YR1))</f>
        <v/>
      </c>
      <c r="YS41" s="1278" t="str">
        <f>IF(INDEX($B$42:$ALY$100,START!$E$3,YS1)="","",INDEX($B$42:$ALY$100,START!$E$3,YS1))</f>
        <v/>
      </c>
      <c r="YT41" s="1278" t="str">
        <f>IF(INDEX($B$42:$ALY$100,START!$E$3,YT1)="","",INDEX($B$42:$ALY$100,START!$E$3,YT1))</f>
        <v/>
      </c>
      <c r="YU41" s="1278" t="str">
        <f>IF(INDEX($B$42:$ALY$100,START!$E$3,YU1)="","",INDEX($B$42:$ALY$100,START!$E$3,YU1))</f>
        <v/>
      </c>
      <c r="YV41" s="1278" t="str">
        <f>IF(INDEX($B$42:$ALY$100,START!$E$3,YV1)="","",INDEX($B$42:$ALY$100,START!$E$3,YV1))</f>
        <v/>
      </c>
      <c r="YW41" s="1278" t="str">
        <f>IF(INDEX($B$42:$ALY$100,START!$E$3,YW1)="","",INDEX($B$42:$ALY$100,START!$E$3,YW1))</f>
        <v/>
      </c>
      <c r="YX41" s="1278" t="str">
        <f>IF(INDEX($B$42:$ALY$100,START!$E$3,YX1)="","",INDEX($B$42:$ALY$100,START!$E$3,YX1))</f>
        <v/>
      </c>
      <c r="YY41" s="1278" t="str">
        <f>IF(INDEX($B$42:$ALY$100,START!$E$3,YY1)="","",INDEX($B$42:$ALY$100,START!$E$3,YY1))</f>
        <v/>
      </c>
      <c r="YZ41" s="1278" t="str">
        <f>IF(INDEX($B$42:$ALY$100,START!$E$3,YZ1)="","",INDEX($B$42:$ALY$100,START!$E$3,YZ1))</f>
        <v/>
      </c>
      <c r="ZA41" s="1278" t="str">
        <f>IF(INDEX($B$42:$ALY$100,START!$E$3,ZA1)="","",INDEX($B$42:$ALY$100,START!$E$3,ZA1))</f>
        <v/>
      </c>
      <c r="ZB41" s="1278" t="str">
        <f>IF(INDEX($B$42:$ALY$100,START!$E$3,ZB1)="","",INDEX($B$42:$ALY$100,START!$E$3,ZB1))</f>
        <v/>
      </c>
      <c r="ZC41" s="1278" t="str">
        <f>IF(INDEX($B$42:$ALY$100,START!$E$3,ZC1)="","",INDEX($B$42:$ALY$100,START!$E$3,ZC1))</f>
        <v/>
      </c>
      <c r="ZD41" s="1278" t="str">
        <f>IF(INDEX($B$42:$ALY$100,START!$E$3,ZD1)="","",INDEX($B$42:$ALY$100,START!$E$3,ZD1))</f>
        <v/>
      </c>
      <c r="ZE41" s="1278" t="str">
        <f>IF(INDEX($B$42:$ALY$100,START!$E$3,ZE1)="","",INDEX($B$42:$ALY$100,START!$E$3,ZE1))</f>
        <v/>
      </c>
      <c r="ZF41" s="1278" t="str">
        <f>IF(INDEX($B$42:$ALY$100,START!$E$3,ZF1)="","",INDEX($B$42:$ALY$100,START!$E$3,ZF1))</f>
        <v/>
      </c>
      <c r="ZG41" s="1278" t="str">
        <f>IF(INDEX($B$42:$ALY$100,START!$E$3,ZG1)="","",INDEX($B$42:$ALY$100,START!$E$3,ZG1))</f>
        <v/>
      </c>
      <c r="ZH41" s="1278" t="str">
        <f>IF(INDEX($B$42:$ALY$100,START!$E$3,ZH1)="","",INDEX($B$42:$ALY$100,START!$E$3,ZH1))</f>
        <v/>
      </c>
      <c r="ZI41" s="1278" t="str">
        <f>IF(INDEX($B$42:$ALY$100,START!$E$3,ZI1)="","",INDEX($B$42:$ALY$100,START!$E$3,ZI1))</f>
        <v/>
      </c>
      <c r="ZJ41" s="1278" t="str">
        <f>IF(INDEX($B$42:$ALY$100,START!$E$3,ZJ1)="","",INDEX($B$42:$ALY$100,START!$E$3,ZJ1))</f>
        <v/>
      </c>
      <c r="ZK41" s="1278" t="str">
        <f>IF(INDEX($B$42:$ALY$100,START!$E$3,ZK1)="","",INDEX($B$42:$ALY$100,START!$E$3,ZK1))</f>
        <v/>
      </c>
      <c r="ZL41" s="1278" t="str">
        <f>IF(INDEX($B$42:$ALY$100,START!$E$3,ZL1)="","",INDEX($B$42:$ALY$100,START!$E$3,ZL1))</f>
        <v/>
      </c>
      <c r="ZM41" s="1278" t="str">
        <f>IF(INDEX($B$42:$ALY$100,START!$E$3,ZM1)="","",INDEX($B$42:$ALY$100,START!$E$3,ZM1))</f>
        <v/>
      </c>
      <c r="ZN41" s="1278" t="str">
        <f>IF(INDEX($B$42:$ALY$100,START!$E$3,ZN1)="","",INDEX($B$42:$ALY$100,START!$E$3,ZN1))</f>
        <v/>
      </c>
      <c r="ZO41" s="1278" t="str">
        <f>IF(INDEX($B$42:$ALY$100,START!$E$3,ZO1)="","",INDEX($B$42:$ALY$100,START!$E$3,ZO1))</f>
        <v/>
      </c>
      <c r="ZP41" s="1278" t="str">
        <f>IF(INDEX($B$42:$ALY$100,START!$E$3,ZP1)="","",INDEX($B$42:$ALY$100,START!$E$3,ZP1))</f>
        <v/>
      </c>
      <c r="ZQ41" s="1278" t="str">
        <f>IF(INDEX($B$42:$ALY$100,START!$E$3,ZQ1)="","",INDEX($B$42:$ALY$100,START!$E$3,ZQ1))</f>
        <v/>
      </c>
      <c r="ZR41" s="1278" t="str">
        <f>IF(INDEX($B$42:$ALY$100,START!$E$3,ZR1)="","",INDEX($B$42:$ALY$100,START!$E$3,ZR1))</f>
        <v/>
      </c>
      <c r="ZS41" s="1278" t="str">
        <f>IF(INDEX($B$42:$ALY$100,START!$E$3,ZS1)="","",INDEX($B$42:$ALY$100,START!$E$3,ZS1))</f>
        <v/>
      </c>
      <c r="ZT41" s="1278" t="str">
        <f>IF(INDEX($B$42:$ALY$100,START!$E$3,ZT1)="","",INDEX($B$42:$ALY$100,START!$E$3,ZT1))</f>
        <v/>
      </c>
      <c r="ZU41" s="1278" t="str">
        <f>IF(INDEX($B$42:$ALY$100,START!$E$3,ZU1)="","",INDEX($B$42:$ALY$100,START!$E$3,ZU1))</f>
        <v/>
      </c>
      <c r="ZV41" s="1278" t="str">
        <f>IF(INDEX($B$42:$ALY$100,START!$E$3,ZV1)="","",INDEX($B$42:$ALY$100,START!$E$3,ZV1))</f>
        <v/>
      </c>
      <c r="ZW41" s="1278" t="str">
        <f>IF(INDEX($B$42:$ALY$100,START!$E$3,ZW1)="","",INDEX($B$42:$ALY$100,START!$E$3,ZW1))</f>
        <v/>
      </c>
      <c r="ZX41" s="1278" t="str">
        <f>IF(INDEX($B$42:$ALY$100,START!$E$3,ZX1)="","",INDEX($B$42:$ALY$100,START!$E$3,ZX1))</f>
        <v/>
      </c>
      <c r="ZY41" s="1278" t="str">
        <f>IF(INDEX($B$42:$ALY$100,START!$E$3,ZY1)="","",INDEX($B$42:$ALY$100,START!$E$3,ZY1))</f>
        <v/>
      </c>
      <c r="ZZ41" s="1278" t="str">
        <f>IF(INDEX($B$42:$ALY$100,START!$E$3,ZZ1)="","",INDEX($B$42:$ALY$100,START!$E$3,ZZ1))</f>
        <v/>
      </c>
      <c r="AAA41" s="1278" t="str">
        <f>IF(INDEX($B$42:$ALY$100,START!$E$3,AAA1)="","",INDEX($B$42:$ALY$100,START!$E$3,AAA1))</f>
        <v/>
      </c>
      <c r="AAB41" s="1278" t="str">
        <f>IF(INDEX($B$42:$ALY$100,START!$E$3,AAB1)="","",INDEX($B$42:$ALY$100,START!$E$3,AAB1))</f>
        <v/>
      </c>
      <c r="AAC41" s="1278" t="str">
        <f>IF(INDEX($B$42:$ALY$100,START!$E$3,AAC1)="","",INDEX($B$42:$ALY$100,START!$E$3,AAC1))</f>
        <v/>
      </c>
      <c r="AAD41" s="1278" t="str">
        <f>IF(INDEX($B$42:$ALY$100,START!$E$3,AAD1)="","",INDEX($B$42:$ALY$100,START!$E$3,AAD1))</f>
        <v/>
      </c>
      <c r="AAE41" s="1278" t="str">
        <f>IF(INDEX($B$42:$ALY$100,START!$E$3,AAE1)="","",INDEX($B$42:$ALY$100,START!$E$3,AAE1))</f>
        <v/>
      </c>
      <c r="AAF41" s="1278" t="str">
        <f>IF(INDEX($B$42:$ALY$100,START!$E$3,AAF1)="","",INDEX($B$42:$ALY$100,START!$E$3,AAF1))</f>
        <v/>
      </c>
      <c r="AAG41" s="1278" t="str">
        <f>IF(INDEX($B$42:$ALY$100,START!$E$3,AAG1)="","",INDEX($B$42:$ALY$100,START!$E$3,AAG1))</f>
        <v/>
      </c>
      <c r="AAH41" s="1278" t="str">
        <f>IF(INDEX($B$42:$ALY$100,START!$E$3,AAH1)="","",INDEX($B$42:$ALY$100,START!$E$3,AAH1))</f>
        <v/>
      </c>
      <c r="AAI41" s="1278" t="str">
        <f>IF(INDEX($B$42:$ALY$100,START!$E$3,AAI1)="","",INDEX($B$42:$ALY$100,START!$E$3,AAI1))</f>
        <v/>
      </c>
      <c r="AAJ41" s="1278" t="str">
        <f>IF(INDEX($B$42:$ALY$100,START!$E$3,AAJ1)="","",INDEX($B$42:$ALY$100,START!$E$3,AAJ1))</f>
        <v/>
      </c>
      <c r="AAK41" s="1278" t="str">
        <f>IF(INDEX($B$42:$ALY$100,START!$E$3,AAK1)="","",INDEX($B$42:$ALY$100,START!$E$3,AAK1))</f>
        <v/>
      </c>
      <c r="AAL41" s="1278" t="str">
        <f>IF(INDEX($B$42:$ALY$100,START!$E$3,AAL1)="","",INDEX($B$42:$ALY$100,START!$E$3,AAL1))</f>
        <v/>
      </c>
      <c r="AAM41" s="1278" t="str">
        <f>IF(INDEX($B$42:$ALY$100,START!$E$3,AAM1)="","",INDEX($B$42:$ALY$100,START!$E$3,AAM1))</f>
        <v/>
      </c>
      <c r="AAN41" s="1278" t="str">
        <f>IF(INDEX($B$42:$ALY$100,START!$E$3,AAN1)="","",INDEX($B$42:$ALY$100,START!$E$3,AAN1))</f>
        <v/>
      </c>
      <c r="AAO41" s="1278" t="str">
        <f>IF(INDEX($B$42:$ALY$100,START!$E$3,AAO1)="","",INDEX($B$42:$ALY$100,START!$E$3,AAO1))</f>
        <v/>
      </c>
      <c r="AAP41" s="1278" t="str">
        <f>IF(INDEX($B$42:$ALY$100,START!$E$3,AAP1)="","",INDEX($B$42:$ALY$100,START!$E$3,AAP1))</f>
        <v/>
      </c>
      <c r="AAQ41" s="1278" t="str">
        <f>IF(INDEX($B$42:$ALY$100,START!$E$3,AAQ1)="","",INDEX($B$42:$ALY$100,START!$E$3,AAQ1))</f>
        <v/>
      </c>
      <c r="AAR41" s="1278" t="str">
        <f>IF(INDEX($B$42:$ALY$100,START!$E$3,AAR1)="","",INDEX($B$42:$ALY$100,START!$E$3,AAR1))</f>
        <v/>
      </c>
      <c r="AAS41" s="1278" t="str">
        <f>IF(INDEX($B$42:$ALY$100,START!$E$3,AAS1)="","",INDEX($B$42:$ALY$100,START!$E$3,AAS1))</f>
        <v/>
      </c>
      <c r="AAT41" s="1278" t="str">
        <f>IF(INDEX($B$42:$ALY$100,START!$E$3,AAT1)="","",INDEX($B$42:$ALY$100,START!$E$3,AAT1))</f>
        <v/>
      </c>
      <c r="AAU41" s="1278" t="str">
        <f>IF(INDEX($B$42:$ALY$100,START!$E$3,AAU1)="","",INDEX($B$42:$ALY$100,START!$E$3,AAU1))</f>
        <v/>
      </c>
      <c r="AAV41" s="1278" t="str">
        <f>IF(INDEX($B$42:$ALY$100,START!$E$3,AAV1)="","",INDEX($B$42:$ALY$100,START!$E$3,AAV1))</f>
        <v/>
      </c>
      <c r="AAW41" s="1278" t="str">
        <f>IF(INDEX($B$42:$ALY$100,START!$E$3,AAW1)="","",INDEX($B$42:$ALY$100,START!$E$3,AAW1))</f>
        <v/>
      </c>
      <c r="AAX41" s="1278" t="str">
        <f>IF(INDEX($B$42:$ALY$100,START!$E$3,AAX1)="","",INDEX($B$42:$ALY$100,START!$E$3,AAX1))</f>
        <v/>
      </c>
      <c r="AAY41" s="1278" t="str">
        <f>IF(INDEX($B$42:$ALY$100,START!$E$3,AAY1)="","",INDEX($B$42:$ALY$100,START!$E$3,AAY1))</f>
        <v/>
      </c>
      <c r="AAZ41" s="1278" t="str">
        <f>IF(INDEX($B$42:$ALY$100,START!$E$3,AAZ1)="","",INDEX($B$42:$ALY$100,START!$E$3,AAZ1))</f>
        <v/>
      </c>
      <c r="ABA41" s="1278" t="str">
        <f>IF(INDEX($B$42:$ALY$100,START!$E$3,ABA1)="","",INDEX($B$42:$ALY$100,START!$E$3,ABA1))</f>
        <v/>
      </c>
      <c r="ABB41" s="1278" t="str">
        <f>IF(INDEX($B$42:$ALY$100,START!$E$3,ABB1)="","",INDEX($B$42:$ALY$100,START!$E$3,ABB1))</f>
        <v/>
      </c>
      <c r="ABC41" s="1278" t="str">
        <f>IF(INDEX($B$42:$ALY$100,START!$E$3,ABC1)="","",INDEX($B$42:$ALY$100,START!$E$3,ABC1))</f>
        <v/>
      </c>
      <c r="ABD41" s="1278" t="str">
        <f>IF(INDEX($B$42:$ALY$100,START!$E$3,ABD1)="","",INDEX($B$42:$ALY$100,START!$E$3,ABD1))</f>
        <v/>
      </c>
      <c r="ABE41" s="1278" t="str">
        <f>IF(INDEX($B$42:$ALY$100,START!$E$3,ABE1)="","",INDEX($B$42:$ALY$100,START!$E$3,ABE1))</f>
        <v/>
      </c>
      <c r="ABF41" s="1278" t="str">
        <f>IF(INDEX($B$42:$ALY$100,START!$E$3,ABF1)="","",INDEX($B$42:$ALY$100,START!$E$3,ABF1))</f>
        <v/>
      </c>
      <c r="ABG41" s="1278" t="str">
        <f>IF(INDEX($B$42:$ALY$100,START!$E$3,ABG1)="","",INDEX($B$42:$ALY$100,START!$E$3,ABG1))</f>
        <v/>
      </c>
      <c r="ABH41" s="1278" t="str">
        <f>IF(INDEX($B$42:$ALY$100,START!$E$3,ABH1)="","",INDEX($B$42:$ALY$100,START!$E$3,ABH1))</f>
        <v/>
      </c>
      <c r="ABI41" s="1278" t="str">
        <f>IF(INDEX($B$42:$ALY$100,START!$E$3,ABI1)="","",INDEX($B$42:$ALY$100,START!$E$3,ABI1))</f>
        <v/>
      </c>
      <c r="ABJ41" s="1278" t="str">
        <f>IF(INDEX($B$42:$ALY$100,START!$E$3,ABJ1)="","",INDEX($B$42:$ALY$100,START!$E$3,ABJ1))</f>
        <v/>
      </c>
      <c r="ABK41" s="1278" t="str">
        <f>IF(INDEX($B$42:$ALY$100,START!$E$3,ABK1)="","",INDEX($B$42:$ALY$100,START!$E$3,ABK1))</f>
        <v/>
      </c>
      <c r="ABL41" s="1278" t="str">
        <f>IF(INDEX($B$42:$ALY$100,START!$E$3,ABL1)="","",INDEX($B$42:$ALY$100,START!$E$3,ABL1))</f>
        <v/>
      </c>
      <c r="ABM41" s="1278" t="str">
        <f>IF(INDEX($B$42:$ALY$100,START!$E$3,ABM1)="","",INDEX($B$42:$ALY$100,START!$E$3,ABM1))</f>
        <v/>
      </c>
      <c r="ABN41" s="1278" t="str">
        <f>IF(INDEX($B$42:$ALY$100,START!$E$3,ABN1)="","",INDEX($B$42:$ALY$100,START!$E$3,ABN1))</f>
        <v/>
      </c>
      <c r="ABO41" s="1278" t="str">
        <f>IF(INDEX($B$42:$ALY$100,START!$E$3,ABO1)="","",INDEX($B$42:$ALY$100,START!$E$3,ABO1))</f>
        <v/>
      </c>
      <c r="ABP41" s="1278" t="str">
        <f>IF(INDEX($B$42:$ALY$100,START!$E$3,ABP1)="","",INDEX($B$42:$ALY$100,START!$E$3,ABP1))</f>
        <v/>
      </c>
      <c r="ABQ41" s="1278" t="str">
        <f>IF(INDEX($B$42:$ALY$100,START!$E$3,ABQ1)="","",INDEX($B$42:$ALY$100,START!$E$3,ABQ1))</f>
        <v/>
      </c>
      <c r="ABR41" s="1278" t="str">
        <f>IF(INDEX($B$42:$ALY$100,START!$E$3,ABR1)="","",INDEX($B$42:$ALY$100,START!$E$3,ABR1))</f>
        <v/>
      </c>
      <c r="ABS41" s="1278" t="str">
        <f>IF(INDEX($B$42:$ALY$100,START!$E$3,ABS1)="","",INDEX($B$42:$ALY$100,START!$E$3,ABS1))</f>
        <v/>
      </c>
      <c r="ABT41" s="1278" t="str">
        <f>IF(INDEX($B$42:$ALY$100,START!$E$3,ABT1)="","",INDEX($B$42:$ALY$100,START!$E$3,ABT1))</f>
        <v/>
      </c>
      <c r="ABU41" s="1278" t="str">
        <f>IF(INDEX($B$42:$ALY$100,START!$E$3,ABU1)="","",INDEX($B$42:$ALY$100,START!$E$3,ABU1))</f>
        <v/>
      </c>
      <c r="ABV41" s="1278" t="str">
        <f>IF(INDEX($B$42:$ALY$100,START!$E$3,ABV1)="","",INDEX($B$42:$ALY$100,START!$E$3,ABV1))</f>
        <v/>
      </c>
      <c r="ABW41" s="1278" t="str">
        <f>IF(INDEX($B$42:$ALY$100,START!$E$3,ABW1)="","",INDEX($B$42:$ALY$100,START!$E$3,ABW1))</f>
        <v/>
      </c>
      <c r="ABX41" s="1278" t="str">
        <f>IF(INDEX($B$42:$ALY$100,START!$E$3,ABX1)="","",INDEX($B$42:$ALY$100,START!$E$3,ABX1))</f>
        <v/>
      </c>
      <c r="ABY41" s="1278" t="str">
        <f>IF(INDEX($B$42:$ALY$100,START!$E$3,ABY1)="","",INDEX($B$42:$ALY$100,START!$E$3,ABY1))</f>
        <v/>
      </c>
      <c r="ABZ41" s="1278" t="str">
        <f>IF(INDEX($B$42:$ALY$100,START!$E$3,ABZ1)="","",INDEX($B$42:$ALY$100,START!$E$3,ABZ1))</f>
        <v/>
      </c>
      <c r="ACA41" s="1278" t="str">
        <f>IF(INDEX($B$42:$ALY$100,START!$E$3,ACA1)="","",INDEX($B$42:$ALY$100,START!$E$3,ACA1))</f>
        <v/>
      </c>
      <c r="ACB41" s="1278" t="str">
        <f>IF(INDEX($B$42:$ALY$100,START!$E$3,ACB1)="","",INDEX($B$42:$ALY$100,START!$E$3,ACB1))</f>
        <v/>
      </c>
      <c r="ACC41" s="1278" t="str">
        <f>IF(INDEX($B$42:$ALY$100,START!$E$3,ACC1)="","",INDEX($B$42:$ALY$100,START!$E$3,ACC1))</f>
        <v/>
      </c>
      <c r="ACD41" s="1278" t="str">
        <f>IF(INDEX($B$42:$ALY$100,START!$E$3,ACD1)="","",INDEX($B$42:$ALY$100,START!$E$3,ACD1))</f>
        <v/>
      </c>
      <c r="ACE41" s="1278" t="str">
        <f>IF(INDEX($B$42:$ALY$100,START!$E$3,ACE1)="","",INDEX($B$42:$ALY$100,START!$E$3,ACE1))</f>
        <v/>
      </c>
      <c r="ACF41" s="1278" t="str">
        <f>IF(INDEX($B$42:$ALY$100,START!$E$3,ACF1)="","",INDEX($B$42:$ALY$100,START!$E$3,ACF1))</f>
        <v/>
      </c>
      <c r="ACG41" s="1278" t="str">
        <f>IF(INDEX($B$42:$ALY$100,START!$E$3,ACG1)="","",INDEX($B$42:$ALY$100,START!$E$3,ACG1))</f>
        <v/>
      </c>
      <c r="ACH41" s="1278" t="str">
        <f>IF(INDEX($B$42:$ALY$100,START!$E$3,ACH1)="","",INDEX($B$42:$ALY$100,START!$E$3,ACH1))</f>
        <v/>
      </c>
      <c r="ACI41" s="1278" t="str">
        <f>IF(INDEX($B$42:$ALY$100,START!$E$3,ACI1)="","",INDEX($B$42:$ALY$100,START!$E$3,ACI1))</f>
        <v/>
      </c>
      <c r="ACJ41" s="1278" t="str">
        <f>IF(INDEX($B$42:$ALY$100,START!$E$3,ACJ1)="","",INDEX($B$42:$ALY$100,START!$E$3,ACJ1))</f>
        <v/>
      </c>
      <c r="ACK41" s="1278" t="str">
        <f>IF(INDEX($B$42:$ALY$100,START!$E$3,ACK1)="","",INDEX($B$42:$ALY$100,START!$E$3,ACK1))</f>
        <v/>
      </c>
      <c r="ACL41" s="1278" t="str">
        <f>IF(INDEX($B$42:$ALY$100,START!$E$3,ACL1)="","",INDEX($B$42:$ALY$100,START!$E$3,ACL1))</f>
        <v/>
      </c>
      <c r="ACM41" s="1278" t="str">
        <f>IF(INDEX($B$42:$ALY$100,START!$E$3,ACM1)="","",INDEX($B$42:$ALY$100,START!$E$3,ACM1))</f>
        <v/>
      </c>
      <c r="ACN41" s="1278" t="str">
        <f>IF(INDEX($B$42:$ALY$100,START!$E$3,ACN1)="","",INDEX($B$42:$ALY$100,START!$E$3,ACN1))</f>
        <v/>
      </c>
      <c r="ACO41" s="1278" t="str">
        <f>IF(INDEX($B$42:$ALY$100,START!$E$3,ACO1)="","",INDEX($B$42:$ALY$100,START!$E$3,ACO1))</f>
        <v/>
      </c>
      <c r="ACP41" s="1278" t="str">
        <f>IF(INDEX($B$42:$ALY$100,START!$E$3,ACP1)="","",INDEX($B$42:$ALY$100,START!$E$3,ACP1))</f>
        <v/>
      </c>
      <c r="ACQ41" s="1278" t="str">
        <f>IF(INDEX($B$42:$ALY$100,START!$E$3,ACQ1)="","",INDEX($B$42:$ALY$100,START!$E$3,ACQ1))</f>
        <v/>
      </c>
      <c r="ACR41" s="1278" t="str">
        <f>IF(INDEX($B$42:$ALY$100,START!$E$3,ACR1)="","",INDEX($B$42:$ALY$100,START!$E$3,ACR1))</f>
        <v/>
      </c>
      <c r="ACS41" s="1278" t="str">
        <f>IF(INDEX($B$42:$ALY$100,START!$E$3,ACS1)="","",INDEX($B$42:$ALY$100,START!$E$3,ACS1))</f>
        <v/>
      </c>
      <c r="ACT41" s="1278" t="str">
        <f>IF(INDEX($B$42:$ALY$100,START!$E$3,ACT1)="","",INDEX($B$42:$ALY$100,START!$E$3,ACT1))</f>
        <v/>
      </c>
      <c r="ACU41" s="1278" t="str">
        <f>IF(INDEX($B$42:$ALY$100,START!$E$3,ACU1)="","",INDEX($B$42:$ALY$100,START!$E$3,ACU1))</f>
        <v/>
      </c>
      <c r="ACV41" s="1278" t="str">
        <f>IF(INDEX($B$42:$ALY$100,START!$E$3,ACV1)="","",INDEX($B$42:$ALY$100,START!$E$3,ACV1))</f>
        <v/>
      </c>
      <c r="ACW41" s="1278" t="str">
        <f>IF(INDEX($B$42:$ALY$100,START!$E$3,ACW1)="","",INDEX($B$42:$ALY$100,START!$E$3,ACW1))</f>
        <v/>
      </c>
      <c r="ACX41" s="1278" t="str">
        <f>IF(INDEX($B$42:$ALY$100,START!$E$3,ACX1)="","",INDEX($B$42:$ALY$100,START!$E$3,ACX1))</f>
        <v/>
      </c>
      <c r="ACY41" s="1278" t="str">
        <f>IF(INDEX($B$42:$ALY$100,START!$E$3,ACY1)="","",INDEX($B$42:$ALY$100,START!$E$3,ACY1))</f>
        <v/>
      </c>
      <c r="ACZ41" s="1278" t="str">
        <f>IF(INDEX($B$42:$ALY$100,START!$E$3,ACZ1)="","",INDEX($B$42:$ALY$100,START!$E$3,ACZ1))</f>
        <v/>
      </c>
      <c r="ADA41" s="1278" t="str">
        <f>IF(INDEX($B$42:$ALY$100,START!$E$3,ADA1)="","",INDEX($B$42:$ALY$100,START!$E$3,ADA1))</f>
        <v/>
      </c>
      <c r="ADB41" s="1278" t="str">
        <f>IF(INDEX($B$42:$ALY$100,START!$E$3,ADB1)="","",INDEX($B$42:$ALY$100,START!$E$3,ADB1))</f>
        <v/>
      </c>
      <c r="ADC41" s="1278" t="str">
        <f>IF(INDEX($B$42:$ALY$100,START!$E$3,ADC1)="","",INDEX($B$42:$ALY$100,START!$E$3,ADC1))</f>
        <v/>
      </c>
      <c r="ADD41" s="1278" t="str">
        <f>IF(INDEX($B$42:$ALY$100,START!$E$3,ADD1)="","",INDEX($B$42:$ALY$100,START!$E$3,ADD1))</f>
        <v/>
      </c>
      <c r="ADE41" s="1278" t="str">
        <f>IF(INDEX($B$42:$ALY$100,START!$E$3,ADE1)="","",INDEX($B$42:$ALY$100,START!$E$3,ADE1))</f>
        <v/>
      </c>
      <c r="ADF41" s="1278" t="str">
        <f>IF(INDEX($B$42:$ALY$100,START!$E$3,ADF1)="","",INDEX($B$42:$ALY$100,START!$E$3,ADF1))</f>
        <v/>
      </c>
      <c r="ADG41" s="1278" t="str">
        <f>IF(INDEX($B$42:$ALY$100,START!$E$3,ADG1)="","",INDEX($B$42:$ALY$100,START!$E$3,ADG1))</f>
        <v/>
      </c>
      <c r="ADH41" s="1278" t="str">
        <f>IF(INDEX($B$42:$ALY$100,START!$E$3,ADH1)="","",INDEX($B$42:$ALY$100,START!$E$3,ADH1))</f>
        <v/>
      </c>
      <c r="ADI41" s="1278" t="str">
        <f>IF(INDEX($B$42:$ALY$100,START!$E$3,ADI1)="","",INDEX($B$42:$ALY$100,START!$E$3,ADI1))</f>
        <v/>
      </c>
      <c r="ADJ41" s="1278" t="str">
        <f>IF(INDEX($B$42:$ALY$100,START!$E$3,ADJ1)="","",INDEX($B$42:$ALY$100,START!$E$3,ADJ1))</f>
        <v/>
      </c>
      <c r="ADK41" s="1278" t="str">
        <f>IF(INDEX($B$42:$ALY$100,START!$E$3,ADK1)="","",INDEX($B$42:$ALY$100,START!$E$3,ADK1))</f>
        <v/>
      </c>
      <c r="ADL41" s="1278" t="str">
        <f>IF(INDEX($B$42:$ALY$100,START!$E$3,ADL1)="","",INDEX($B$42:$ALY$100,START!$E$3,ADL1))</f>
        <v/>
      </c>
      <c r="ADM41" s="1278" t="str">
        <f>IF(INDEX($B$42:$ALY$100,START!$E$3,ADM1)="","",INDEX($B$42:$ALY$100,START!$E$3,ADM1))</f>
        <v/>
      </c>
      <c r="ADN41" s="1278" t="str">
        <f>IF(INDEX($B$42:$ALY$100,START!$E$3,ADN1)="","",INDEX($B$42:$ALY$100,START!$E$3,ADN1))</f>
        <v/>
      </c>
      <c r="ADO41" s="1278" t="str">
        <f>IF(INDEX($B$42:$ALY$100,START!$E$3,ADO1)="","",INDEX($B$42:$ALY$100,START!$E$3,ADO1))</f>
        <v/>
      </c>
      <c r="ADP41" s="1278" t="str">
        <f>IF(INDEX($B$42:$ALY$100,START!$E$3,ADP1)="","",INDEX($B$42:$ALY$100,START!$E$3,ADP1))</f>
        <v/>
      </c>
      <c r="ADQ41" s="1278" t="str">
        <f>IF(INDEX($B$42:$ALY$100,START!$E$3,ADQ1)="","",INDEX($B$42:$ALY$100,START!$E$3,ADQ1))</f>
        <v/>
      </c>
      <c r="ADR41" s="1278" t="str">
        <f>IF(INDEX($B$42:$ALY$100,START!$E$3,ADR1)="","",INDEX($B$42:$ALY$100,START!$E$3,ADR1))</f>
        <v/>
      </c>
      <c r="ADS41" s="1278" t="str">
        <f>IF(INDEX($B$42:$ALY$100,START!$E$3,ADS1)="","",INDEX($B$42:$ALY$100,START!$E$3,ADS1))</f>
        <v/>
      </c>
      <c r="ADT41" s="1278" t="str">
        <f>IF(INDEX($B$42:$ALY$100,START!$E$3,ADT1)="","",INDEX($B$42:$ALY$100,START!$E$3,ADT1))</f>
        <v/>
      </c>
      <c r="ADU41" s="1278" t="str">
        <f>IF(INDEX($B$42:$ALY$100,START!$E$3,ADU1)="","",INDEX($B$42:$ALY$100,START!$E$3,ADU1))</f>
        <v/>
      </c>
      <c r="ADV41" s="1278" t="str">
        <f>IF(INDEX($B$42:$ALY$100,START!$E$3,ADV1)="","",INDEX($B$42:$ALY$100,START!$E$3,ADV1))</f>
        <v/>
      </c>
      <c r="ADW41" s="1278" t="str">
        <f>IF(INDEX($B$42:$ALY$100,START!$E$3,ADW1)="","",INDEX($B$42:$ALY$100,START!$E$3,ADW1))</f>
        <v/>
      </c>
      <c r="ADX41" s="1278" t="str">
        <f>IF(INDEX($B$42:$ALY$100,START!$E$3,ADX1)="","",INDEX($B$42:$ALY$100,START!$E$3,ADX1))</f>
        <v/>
      </c>
      <c r="ADY41" s="1278" t="str">
        <f>IF(INDEX($B$42:$ALY$100,START!$E$3,ADY1)="","",INDEX($B$42:$ALY$100,START!$E$3,ADY1))</f>
        <v/>
      </c>
      <c r="ADZ41" s="1278" t="str">
        <f>IF(INDEX($B$42:$ALY$100,START!$E$3,ADZ1)="","",INDEX($B$42:$ALY$100,START!$E$3,ADZ1))</f>
        <v/>
      </c>
      <c r="AEA41" s="1278" t="str">
        <f>IF(INDEX($B$42:$ALY$100,START!$E$3,AEA1)="","",INDEX($B$42:$ALY$100,START!$E$3,AEA1))</f>
        <v/>
      </c>
      <c r="AEB41" s="1278" t="str">
        <f>IF(INDEX($B$42:$ALY$100,START!$E$3,AEB1)="","",INDEX($B$42:$ALY$100,START!$E$3,AEB1))</f>
        <v/>
      </c>
      <c r="AEC41" s="1278" t="str">
        <f>IF(INDEX($B$42:$ALY$100,START!$E$3,AEC1)="","",INDEX($B$42:$ALY$100,START!$E$3,AEC1))</f>
        <v/>
      </c>
      <c r="AED41" s="1278" t="str">
        <f>IF(INDEX($B$42:$ALY$100,START!$E$3,AED1)="","",INDEX($B$42:$ALY$100,START!$E$3,AED1))</f>
        <v/>
      </c>
      <c r="AEE41" s="1278" t="str">
        <f>IF(INDEX($B$42:$ALY$100,START!$E$3,AEE1)="","",INDEX($B$42:$ALY$100,START!$E$3,AEE1))</f>
        <v/>
      </c>
      <c r="AEF41" s="1278" t="str">
        <f>IF(INDEX($B$42:$ALY$100,START!$E$3,AEF1)="","",INDEX($B$42:$ALY$100,START!$E$3,AEF1))</f>
        <v/>
      </c>
      <c r="AEG41" s="1278" t="str">
        <f>IF(INDEX($B$42:$ALY$100,START!$E$3,AEG1)="","",INDEX($B$42:$ALY$100,START!$E$3,AEG1))</f>
        <v/>
      </c>
      <c r="AEH41" s="1278" t="str">
        <f>IF(INDEX($B$42:$ALY$100,START!$E$3,AEH1)="","",INDEX($B$42:$ALY$100,START!$E$3,AEH1))</f>
        <v/>
      </c>
      <c r="AEI41" s="1278" t="str">
        <f>IF(INDEX($B$42:$ALY$100,START!$E$3,AEI1)="","",INDEX($B$42:$ALY$100,START!$E$3,AEI1))</f>
        <v/>
      </c>
      <c r="AEJ41" s="1278" t="str">
        <f>IF(INDEX($B$42:$ALY$100,START!$E$3,AEJ1)="","",INDEX($B$42:$ALY$100,START!$E$3,AEJ1))</f>
        <v/>
      </c>
      <c r="AEK41" s="1278" t="str">
        <f>IF(INDEX($B$42:$ALY$100,START!$E$3,AEK1)="","",INDEX($B$42:$ALY$100,START!$E$3,AEK1))</f>
        <v/>
      </c>
      <c r="AEL41" s="1278" t="str">
        <f>IF(INDEX($B$42:$ALY$100,START!$E$3,AEL1)="","",INDEX($B$42:$ALY$100,START!$E$3,AEL1))</f>
        <v/>
      </c>
      <c r="AEM41" s="1278" t="str">
        <f>IF(INDEX($B$42:$ALY$100,START!$E$3,AEM1)="","",INDEX($B$42:$ALY$100,START!$E$3,AEM1))</f>
        <v/>
      </c>
      <c r="AEN41" s="1278" t="str">
        <f>IF(INDEX($B$42:$ALY$100,START!$E$3,AEN1)="","",INDEX($B$42:$ALY$100,START!$E$3,AEN1))</f>
        <v/>
      </c>
      <c r="AEO41" s="1278" t="str">
        <f>IF(INDEX($B$42:$ALY$100,START!$E$3,AEO1)="","",INDEX($B$42:$ALY$100,START!$E$3,AEO1))</f>
        <v/>
      </c>
      <c r="AEP41" s="1278" t="str">
        <f>IF(INDEX($B$42:$ALY$100,START!$E$3,AEP1)="","",INDEX($B$42:$ALY$100,START!$E$3,AEP1))</f>
        <v/>
      </c>
      <c r="AEQ41" s="1278" t="str">
        <f>IF(INDEX($B$42:$ALY$100,START!$E$3,AEQ1)="","",INDEX($B$42:$ALY$100,START!$E$3,AEQ1))</f>
        <v/>
      </c>
      <c r="AER41" s="1278" t="str">
        <f>IF(INDEX($B$42:$ALY$100,START!$E$3,AER1)="","",INDEX($B$42:$ALY$100,START!$E$3,AER1))</f>
        <v/>
      </c>
      <c r="AES41" s="1278" t="str">
        <f>IF(INDEX($B$42:$ALY$100,START!$E$3,AES1)="","",INDEX($B$42:$ALY$100,START!$E$3,AES1))</f>
        <v/>
      </c>
      <c r="AET41" s="1278" t="str">
        <f>IF(INDEX($B$42:$ALY$100,START!$E$3,AET1)="","",INDEX($B$42:$ALY$100,START!$E$3,AET1))</f>
        <v/>
      </c>
      <c r="AEU41" s="1278" t="str">
        <f>IF(INDEX($B$42:$ALY$100,START!$E$3,AEU1)="","",INDEX($B$42:$ALY$100,START!$E$3,AEU1))</f>
        <v/>
      </c>
      <c r="AEV41" s="1278" t="str">
        <f>IF(INDEX($B$42:$ALY$100,START!$E$3,AEV1)="","",INDEX($B$42:$ALY$100,START!$E$3,AEV1))</f>
        <v/>
      </c>
      <c r="AEW41" s="1278" t="str">
        <f>IF(INDEX($B$42:$ALY$100,START!$E$3,AEW1)="","",INDEX($B$42:$ALY$100,START!$E$3,AEW1))</f>
        <v/>
      </c>
      <c r="AEX41" s="1278" t="str">
        <f>IF(INDEX($B$42:$ALY$100,START!$E$3,AEX1)="","",INDEX($B$42:$ALY$100,START!$E$3,AEX1))</f>
        <v/>
      </c>
      <c r="AEY41" s="1278" t="str">
        <f>IF(INDEX($B$42:$ALY$100,START!$E$3,AEY1)="","",INDEX($B$42:$ALY$100,START!$E$3,AEY1))</f>
        <v/>
      </c>
      <c r="AEZ41" s="1278" t="str">
        <f>IF(INDEX($B$42:$ALY$100,START!$E$3,AEZ1)="","",INDEX($B$42:$ALY$100,START!$E$3,AEZ1))</f>
        <v/>
      </c>
      <c r="AFA41" s="1278" t="str">
        <f>IF(INDEX($B$42:$ALY$100,START!$E$3,AFA1)="","",INDEX($B$42:$ALY$100,START!$E$3,AFA1))</f>
        <v/>
      </c>
      <c r="AFB41" s="1278" t="str">
        <f>IF(INDEX($B$42:$ALY$100,START!$E$3,AFB1)="","",INDEX($B$42:$ALY$100,START!$E$3,AFB1))</f>
        <v/>
      </c>
      <c r="AFC41" s="1278" t="str">
        <f>IF(INDEX($B$42:$ALY$100,START!$E$3,AFC1)="","",INDEX($B$42:$ALY$100,START!$E$3,AFC1))</f>
        <v/>
      </c>
      <c r="AFD41" s="1278" t="str">
        <f>IF(INDEX($B$42:$ALY$100,START!$E$3,AFD1)="","",INDEX($B$42:$ALY$100,START!$E$3,AFD1))</f>
        <v/>
      </c>
      <c r="AFE41" s="1278" t="str">
        <f>IF(INDEX($B$42:$ALY$100,START!$E$3,AFE1)="","",INDEX($B$42:$ALY$100,START!$E$3,AFE1))</f>
        <v/>
      </c>
      <c r="AFF41" s="1278" t="str">
        <f>IF(INDEX($B$42:$ALY$100,START!$E$3,AFF1)="","",INDEX($B$42:$ALY$100,START!$E$3,AFF1))</f>
        <v/>
      </c>
      <c r="AFG41" s="1278" t="str">
        <f>IF(INDEX($B$42:$ALY$100,START!$E$3,AFG1)="","",INDEX($B$42:$ALY$100,START!$E$3,AFG1))</f>
        <v/>
      </c>
      <c r="AFH41" s="1278" t="str">
        <f>IF(INDEX($B$42:$ALY$100,START!$E$3,AFH1)="","",INDEX($B$42:$ALY$100,START!$E$3,AFH1))</f>
        <v/>
      </c>
      <c r="AFI41" s="1278" t="str">
        <f>IF(INDEX($B$42:$ALY$100,START!$E$3,AFI1)="","",INDEX($B$42:$ALY$100,START!$E$3,AFI1))</f>
        <v/>
      </c>
      <c r="AFJ41" s="1278" t="str">
        <f>IF(INDEX($B$42:$ALY$100,START!$E$3,AFJ1)="","",INDEX($B$42:$ALY$100,START!$E$3,AFJ1))</f>
        <v/>
      </c>
      <c r="AFK41" s="1278" t="str">
        <f>IF(INDEX($B$42:$ALY$100,START!$E$3,AFK1)="","",INDEX($B$42:$ALY$100,START!$E$3,AFK1))</f>
        <v/>
      </c>
      <c r="AFL41" s="1278" t="str">
        <f>IF(INDEX($B$42:$ALY$100,START!$E$3,AFL1)="","",INDEX($B$42:$ALY$100,START!$E$3,AFL1))</f>
        <v/>
      </c>
      <c r="AFM41" s="1278" t="str">
        <f>IF(INDEX($B$42:$ALY$100,START!$E$3,AFM1)="","",INDEX($B$42:$ALY$100,START!$E$3,AFM1))</f>
        <v/>
      </c>
      <c r="AFN41" s="1278" t="str">
        <f>IF(INDEX($B$42:$ALY$100,START!$E$3,AFN1)="","",INDEX($B$42:$ALY$100,START!$E$3,AFN1))</f>
        <v/>
      </c>
      <c r="AFO41" s="1278" t="str">
        <f>IF(INDEX($B$42:$ALY$100,START!$E$3,AFO1)="","",INDEX($B$42:$ALY$100,START!$E$3,AFO1))</f>
        <v/>
      </c>
      <c r="AFP41" s="1278" t="str">
        <f>IF(INDEX($B$42:$ALY$100,START!$E$3,AFP1)="","",INDEX($B$42:$ALY$100,START!$E$3,AFP1))</f>
        <v/>
      </c>
      <c r="AFQ41" s="1278" t="str">
        <f>IF(INDEX($B$42:$ALY$100,START!$E$3,AFQ1)="","",INDEX($B$42:$ALY$100,START!$E$3,AFQ1))</f>
        <v/>
      </c>
      <c r="AFR41" s="1278" t="str">
        <f>IF(INDEX($B$42:$ALY$100,START!$E$3,AFR1)="","",INDEX($B$42:$ALY$100,START!$E$3,AFR1))</f>
        <v/>
      </c>
      <c r="AFS41" s="1278" t="str">
        <f>IF(INDEX($B$42:$ALY$100,START!$E$3,AFS1)="","",INDEX($B$42:$ALY$100,START!$E$3,AFS1))</f>
        <v/>
      </c>
      <c r="AFT41" s="1278" t="str">
        <f>IF(INDEX($B$42:$ALY$100,START!$E$3,AFT1)="","",INDEX($B$42:$ALY$100,START!$E$3,AFT1))</f>
        <v/>
      </c>
      <c r="AFU41" s="1278" t="str">
        <f>IF(INDEX($B$42:$ALY$100,START!$E$3,AFU1)="","",INDEX($B$42:$ALY$100,START!$E$3,AFU1))</f>
        <v/>
      </c>
      <c r="AFV41" s="1278" t="str">
        <f>IF(INDEX($B$42:$ALY$100,START!$E$3,AFV1)="","",INDEX($B$42:$ALY$100,START!$E$3,AFV1))</f>
        <v/>
      </c>
      <c r="AFW41" s="1278" t="str">
        <f>IF(INDEX($B$42:$ALY$100,START!$E$3,AFW1)="","",INDEX($B$42:$ALY$100,START!$E$3,AFW1))</f>
        <v/>
      </c>
      <c r="AFX41" s="1278" t="str">
        <f>IF(INDEX($B$42:$ALY$100,START!$E$3,AFX1)="","",INDEX($B$42:$ALY$100,START!$E$3,AFX1))</f>
        <v/>
      </c>
      <c r="AFY41" s="1278" t="str">
        <f>IF(INDEX($B$42:$ALY$100,START!$E$3,AFY1)="","",INDEX($B$42:$ALY$100,START!$E$3,AFY1))</f>
        <v/>
      </c>
      <c r="AFZ41" s="1278" t="str">
        <f>IF(INDEX($B$42:$ALY$100,START!$E$3,AFZ1)="","",INDEX($B$42:$ALY$100,START!$E$3,AFZ1))</f>
        <v/>
      </c>
      <c r="AGA41" s="1278" t="str">
        <f>IF(INDEX($B$42:$ALY$100,START!$E$3,AGA1)="","",INDEX($B$42:$ALY$100,START!$E$3,AGA1))</f>
        <v/>
      </c>
      <c r="AGB41" s="1278" t="str">
        <f>IF(INDEX($B$42:$ALY$100,START!$E$3,AGB1)="","",INDEX($B$42:$ALY$100,START!$E$3,AGB1))</f>
        <v/>
      </c>
      <c r="AGC41" s="1278" t="str">
        <f>IF(INDEX($B$42:$ALY$100,START!$E$3,AGC1)="","",INDEX($B$42:$ALY$100,START!$E$3,AGC1))</f>
        <v/>
      </c>
      <c r="AGD41" s="1278" t="str">
        <f>IF(INDEX($B$42:$ALY$100,START!$E$3,AGD1)="","",INDEX($B$42:$ALY$100,START!$E$3,AGD1))</f>
        <v/>
      </c>
      <c r="AGE41" s="1278" t="str">
        <f>IF(INDEX($B$42:$ALY$100,START!$E$3,AGE1)="","",INDEX($B$42:$ALY$100,START!$E$3,AGE1))</f>
        <v/>
      </c>
      <c r="AGF41" s="1278" t="str">
        <f>IF(INDEX($B$42:$ALY$100,START!$E$3,AGF1)="","",INDEX($B$42:$ALY$100,START!$E$3,AGF1))</f>
        <v/>
      </c>
      <c r="AGG41" s="1278" t="str">
        <f>IF(INDEX($B$42:$ALY$100,START!$E$3,AGG1)="","",INDEX($B$42:$ALY$100,START!$E$3,AGG1))</f>
        <v/>
      </c>
      <c r="AGH41" s="1278" t="str">
        <f>IF(INDEX($B$42:$ALY$100,START!$E$3,AGH1)="","",INDEX($B$42:$ALY$100,START!$E$3,AGH1))</f>
        <v/>
      </c>
      <c r="AGI41" s="1278" t="str">
        <f>IF(INDEX($B$42:$ALY$100,START!$E$3,AGI1)="","",INDEX($B$42:$ALY$100,START!$E$3,AGI1))</f>
        <v/>
      </c>
      <c r="AGJ41" s="1278" t="str">
        <f>IF(INDEX($B$42:$ALY$100,START!$E$3,AGJ1)="","",INDEX($B$42:$ALY$100,START!$E$3,AGJ1))</f>
        <v/>
      </c>
      <c r="AGK41" s="1278" t="str">
        <f>IF(INDEX($B$42:$ALY$100,START!$E$3,AGK1)="","",INDEX($B$42:$ALY$100,START!$E$3,AGK1))</f>
        <v/>
      </c>
      <c r="AGL41" s="1278" t="str">
        <f>IF(INDEX($B$42:$ALY$100,START!$E$3,AGL1)="","",INDEX($B$42:$ALY$100,START!$E$3,AGL1))</f>
        <v/>
      </c>
      <c r="AGM41" s="1278" t="str">
        <f>IF(INDEX($B$42:$ALY$100,START!$E$3,AGM1)="","",INDEX($B$42:$ALY$100,START!$E$3,AGM1))</f>
        <v/>
      </c>
      <c r="AGN41" s="1278" t="str">
        <f>IF(INDEX($B$42:$ALY$100,START!$E$3,AGN1)="","",INDEX($B$42:$ALY$100,START!$E$3,AGN1))</f>
        <v/>
      </c>
      <c r="AGO41" s="1278" t="str">
        <f>IF(INDEX($B$42:$ALY$100,START!$E$3,AGO1)="","",INDEX($B$42:$ALY$100,START!$E$3,AGO1))</f>
        <v/>
      </c>
      <c r="AGP41" s="1278" t="str">
        <f>IF(INDEX($B$42:$ALY$100,START!$E$3,AGP1)="","",INDEX($B$42:$ALY$100,START!$E$3,AGP1))</f>
        <v/>
      </c>
      <c r="AGQ41" s="1278" t="str">
        <f>IF(INDEX($B$42:$ALY$100,START!$E$3,AGQ1)="","",INDEX($B$42:$ALY$100,START!$E$3,AGQ1))</f>
        <v/>
      </c>
      <c r="AGR41" s="1278" t="str">
        <f>IF(INDEX($B$42:$ALY$100,START!$E$3,AGR1)="","",INDEX($B$42:$ALY$100,START!$E$3,AGR1))</f>
        <v/>
      </c>
      <c r="AGS41" s="1278" t="str">
        <f>IF(INDEX($B$42:$ALY$100,START!$E$3,AGS1)="","",INDEX($B$42:$ALY$100,START!$E$3,AGS1))</f>
        <v/>
      </c>
      <c r="AGT41" s="1278" t="str">
        <f>IF(INDEX($B$42:$ALY$100,START!$E$3,AGT1)="","",INDEX($B$42:$ALY$100,START!$E$3,AGT1))</f>
        <v/>
      </c>
      <c r="AGU41" s="1278" t="str">
        <f>IF(INDEX($B$42:$ALY$100,START!$E$3,AGU1)="","",INDEX($B$42:$ALY$100,START!$E$3,AGU1))</f>
        <v/>
      </c>
      <c r="AGV41" s="1278" t="str">
        <f>IF(INDEX($B$42:$ALY$100,START!$E$3,AGV1)="","",INDEX($B$42:$ALY$100,START!$E$3,AGV1))</f>
        <v/>
      </c>
      <c r="AGW41" s="1278" t="str">
        <f>IF(INDEX($B$42:$ALY$100,START!$E$3,AGW1)="","",INDEX($B$42:$ALY$100,START!$E$3,AGW1))</f>
        <v/>
      </c>
      <c r="AGX41" s="1278" t="str">
        <f>IF(INDEX($B$42:$ALY$100,START!$E$3,AGX1)="","",INDEX($B$42:$ALY$100,START!$E$3,AGX1))</f>
        <v/>
      </c>
      <c r="AGY41" s="1278" t="str">
        <f>IF(INDEX($B$42:$ALY$100,START!$E$3,AGY1)="","",INDEX($B$42:$ALY$100,START!$E$3,AGY1))</f>
        <v/>
      </c>
      <c r="AGZ41" s="1278" t="str">
        <f>IF(INDEX($B$42:$ALY$100,START!$E$3,AGZ1)="","",INDEX($B$42:$ALY$100,START!$E$3,AGZ1))</f>
        <v/>
      </c>
      <c r="AHA41" s="1278" t="str">
        <f>IF(INDEX($B$42:$ALY$100,START!$E$3,AHA1)="","",INDEX($B$42:$ALY$100,START!$E$3,AHA1))</f>
        <v/>
      </c>
      <c r="AHB41" s="1278" t="str">
        <f>IF(INDEX($B$42:$ALY$100,START!$E$3,AHB1)="","",INDEX($B$42:$ALY$100,START!$E$3,AHB1))</f>
        <v/>
      </c>
      <c r="AHC41" s="1278" t="str">
        <f>IF(INDEX($B$42:$ALY$100,START!$E$3,AHC1)="","",INDEX($B$42:$ALY$100,START!$E$3,AHC1))</f>
        <v/>
      </c>
      <c r="AHD41" s="1278" t="str">
        <f>IF(INDEX($B$42:$ALY$100,START!$E$3,AHD1)="","",INDEX($B$42:$ALY$100,START!$E$3,AHD1))</f>
        <v/>
      </c>
      <c r="AHE41" s="1278" t="str">
        <f>IF(INDEX($B$42:$ALY$100,START!$E$3,AHE1)="","",INDEX($B$42:$ALY$100,START!$E$3,AHE1))</f>
        <v/>
      </c>
      <c r="AHF41" s="1278" t="str">
        <f>IF(INDEX($B$42:$ALY$100,START!$E$3,AHF1)="","",INDEX($B$42:$ALY$100,START!$E$3,AHF1))</f>
        <v/>
      </c>
      <c r="AHG41" s="1278" t="str">
        <f>IF(INDEX($B$42:$ALY$100,START!$E$3,AHG1)="","",INDEX($B$42:$ALY$100,START!$E$3,AHG1))</f>
        <v/>
      </c>
      <c r="AHH41" s="1278" t="str">
        <f>IF(INDEX($B$42:$ALY$100,START!$E$3,AHH1)="","",INDEX($B$42:$ALY$100,START!$E$3,AHH1))</f>
        <v/>
      </c>
      <c r="AHI41" s="1278" t="str">
        <f>IF(INDEX($B$42:$ALY$100,START!$E$3,AHI1)="","",INDEX($B$42:$ALY$100,START!$E$3,AHI1))</f>
        <v/>
      </c>
      <c r="AHJ41" s="1278" t="str">
        <f>IF(INDEX($B$42:$ALY$100,START!$E$3,AHJ1)="","",INDEX($B$42:$ALY$100,START!$E$3,AHJ1))</f>
        <v/>
      </c>
      <c r="AHK41" s="1278" t="str">
        <f>IF(INDEX($B$42:$ALY$100,START!$E$3,AHK1)="","",INDEX($B$42:$ALY$100,START!$E$3,AHK1))</f>
        <v/>
      </c>
      <c r="AHL41" s="1278" t="str">
        <f>IF(INDEX($B$42:$ALY$100,START!$E$3,AHL1)="","",INDEX($B$42:$ALY$100,START!$E$3,AHL1))</f>
        <v/>
      </c>
      <c r="AHM41" s="1278" t="str">
        <f>IF(INDEX($B$42:$ALY$100,START!$E$3,AHM1)="","",INDEX($B$42:$ALY$100,START!$E$3,AHM1))</f>
        <v/>
      </c>
      <c r="AHN41" s="1278" t="str">
        <f>IF(INDEX($B$42:$ALY$100,START!$E$3,AHN1)="","",INDEX($B$42:$ALY$100,START!$E$3,AHN1))</f>
        <v/>
      </c>
      <c r="AHO41" s="1278" t="str">
        <f>IF(INDEX($B$42:$ALY$100,START!$E$3,AHO1)="","",INDEX($B$42:$ALY$100,START!$E$3,AHO1))</f>
        <v/>
      </c>
      <c r="AHP41" s="1278" t="str">
        <f>IF(INDEX($B$42:$ALY$100,START!$E$3,AHP1)="","",INDEX($B$42:$ALY$100,START!$E$3,AHP1))</f>
        <v/>
      </c>
      <c r="AHQ41" s="1278" t="str">
        <f>IF(INDEX($B$42:$ALY$100,START!$E$3,AHQ1)="","",INDEX($B$42:$ALY$100,START!$E$3,AHQ1))</f>
        <v/>
      </c>
      <c r="AHR41" s="1278" t="str">
        <f>IF(INDEX($B$42:$ALY$100,START!$E$3,AHR1)="","",INDEX($B$42:$ALY$100,START!$E$3,AHR1))</f>
        <v/>
      </c>
      <c r="AHS41" s="1278" t="str">
        <f>IF(INDEX($B$42:$ALY$100,START!$E$3,AHS1)="","",INDEX($B$42:$ALY$100,START!$E$3,AHS1))</f>
        <v/>
      </c>
      <c r="AHT41" s="1278" t="str">
        <f>IF(INDEX($B$42:$ALY$100,START!$E$3,AHT1)="","",INDEX($B$42:$ALY$100,START!$E$3,AHT1))</f>
        <v/>
      </c>
      <c r="AHU41" s="1278" t="str">
        <f>IF(INDEX($B$42:$ALY$100,START!$E$3,AHU1)="","",INDEX($B$42:$ALY$100,START!$E$3,AHU1))</f>
        <v/>
      </c>
      <c r="AHV41" s="1278" t="str">
        <f>IF(INDEX($B$42:$ALY$100,START!$E$3,AHV1)="","",INDEX($B$42:$ALY$100,START!$E$3,AHV1))</f>
        <v/>
      </c>
      <c r="AHW41" s="1278" t="str">
        <f>IF(INDEX($B$42:$ALY$100,START!$E$3,AHW1)="","",INDEX($B$42:$ALY$100,START!$E$3,AHW1))</f>
        <v/>
      </c>
      <c r="AHX41" s="1278" t="str">
        <f>IF(INDEX($B$42:$ALY$100,START!$E$3,AHX1)="","",INDEX($B$42:$ALY$100,START!$E$3,AHX1))</f>
        <v/>
      </c>
      <c r="AHY41" s="1278" t="str">
        <f>IF(INDEX($B$42:$ALY$100,START!$E$3,AHY1)="","",INDEX($B$42:$ALY$100,START!$E$3,AHY1))</f>
        <v/>
      </c>
      <c r="AHZ41" s="1278" t="str">
        <f>IF(INDEX($B$42:$ALY$100,START!$E$3,AHZ1)="","",INDEX($B$42:$ALY$100,START!$E$3,AHZ1))</f>
        <v/>
      </c>
      <c r="AIA41" s="1278" t="str">
        <f>IF(INDEX($B$42:$ALY$100,START!$E$3,AIA1)="","",INDEX($B$42:$ALY$100,START!$E$3,AIA1))</f>
        <v/>
      </c>
      <c r="AIB41" s="1278" t="str">
        <f>IF(INDEX($B$42:$ALY$100,START!$E$3,AIB1)="","",INDEX($B$42:$ALY$100,START!$E$3,AIB1))</f>
        <v/>
      </c>
      <c r="AIC41" s="1278" t="str">
        <f>IF(INDEX($B$42:$ALY$100,START!$E$3,AIC1)="","",INDEX($B$42:$ALY$100,START!$E$3,AIC1))</f>
        <v/>
      </c>
      <c r="AID41" s="1278" t="str">
        <f>IF(INDEX($B$42:$ALY$100,START!$E$3,AID1)="","",INDEX($B$42:$ALY$100,START!$E$3,AID1))</f>
        <v/>
      </c>
      <c r="AIE41" s="1278" t="str">
        <f>IF(INDEX($B$42:$ALY$100,START!$E$3,AIE1)="","",INDEX($B$42:$ALY$100,START!$E$3,AIE1))</f>
        <v/>
      </c>
      <c r="AIF41" s="1278" t="str">
        <f>IF(INDEX($B$42:$ALY$100,START!$E$3,AIF1)="","",INDEX($B$42:$ALY$100,START!$E$3,AIF1))</f>
        <v/>
      </c>
      <c r="AIG41" s="1278" t="str">
        <f>IF(INDEX($B$42:$ALY$100,START!$E$3,AIG1)="","",INDEX($B$42:$ALY$100,START!$E$3,AIG1))</f>
        <v/>
      </c>
      <c r="AIH41" s="1278" t="str">
        <f>IF(INDEX($B$42:$ALY$100,START!$E$3,AIH1)="","",INDEX($B$42:$ALY$100,START!$E$3,AIH1))</f>
        <v/>
      </c>
      <c r="AII41" s="1278" t="str">
        <f>IF(INDEX($B$42:$ALY$100,START!$E$3,AII1)="","",INDEX($B$42:$ALY$100,START!$E$3,AII1))</f>
        <v/>
      </c>
      <c r="AIJ41" s="1278" t="str">
        <f>IF(INDEX($B$42:$ALY$100,START!$E$3,AIJ1)="","",INDEX($B$42:$ALY$100,START!$E$3,AIJ1))</f>
        <v/>
      </c>
      <c r="AIK41" s="1278" t="str">
        <f>IF(INDEX($B$42:$ALY$100,START!$E$3,AIK1)="","",INDEX($B$42:$ALY$100,START!$E$3,AIK1))</f>
        <v/>
      </c>
      <c r="AIL41" s="1278" t="str">
        <f>IF(INDEX($B$42:$ALY$100,START!$E$3,AIL1)="","",INDEX($B$42:$ALY$100,START!$E$3,AIL1))</f>
        <v/>
      </c>
      <c r="AIM41" s="1278" t="str">
        <f>IF(INDEX($B$42:$ALY$100,START!$E$3,AIM1)="","",INDEX($B$42:$ALY$100,START!$E$3,AIM1))</f>
        <v/>
      </c>
      <c r="AIN41" s="1278" t="str">
        <f>IF(INDEX($B$42:$ALY$100,START!$E$3,AIN1)="","",INDEX($B$42:$ALY$100,START!$E$3,AIN1))</f>
        <v/>
      </c>
      <c r="AIO41" s="1278" t="str">
        <f>IF(INDEX($B$42:$ALY$100,START!$E$3,AIO1)="","",INDEX($B$42:$ALY$100,START!$E$3,AIO1))</f>
        <v/>
      </c>
      <c r="AIP41" s="1278" t="str">
        <f>IF(INDEX($B$42:$ALY$100,START!$E$3,AIP1)="","",INDEX($B$42:$ALY$100,START!$E$3,AIP1))</f>
        <v/>
      </c>
      <c r="AIQ41" s="1278" t="str">
        <f>IF(INDEX($B$42:$ALY$100,START!$E$3,AIQ1)="","",INDEX($B$42:$ALY$100,START!$E$3,AIQ1))</f>
        <v/>
      </c>
      <c r="AIR41" s="1278" t="str">
        <f>IF(INDEX($B$42:$ALY$100,START!$E$3,AIR1)="","",INDEX($B$42:$ALY$100,START!$E$3,AIR1))</f>
        <v/>
      </c>
      <c r="AIS41" s="1278" t="str">
        <f>IF(INDEX($B$42:$ALY$100,START!$E$3,AIS1)="","",INDEX($B$42:$ALY$100,START!$E$3,AIS1))</f>
        <v/>
      </c>
      <c r="AIT41" s="1278" t="str">
        <f>IF(INDEX($B$42:$ALY$100,START!$E$3,AIT1)="","",INDEX($B$42:$ALY$100,START!$E$3,AIT1))</f>
        <v/>
      </c>
      <c r="AIU41" s="1278" t="str">
        <f>IF(INDEX($B$42:$ALY$100,START!$E$3,AIU1)="","",INDEX($B$42:$ALY$100,START!$E$3,AIU1))</f>
        <v/>
      </c>
      <c r="AIV41" s="1278" t="str">
        <f>IF(INDEX($B$42:$ALY$100,START!$E$3,AIV1)="","",INDEX($B$42:$ALY$100,START!$E$3,AIV1))</f>
        <v/>
      </c>
      <c r="AIW41" s="1278" t="str">
        <f>IF(INDEX($B$42:$ALY$100,START!$E$3,AIW1)="","",INDEX($B$42:$ALY$100,START!$E$3,AIW1))</f>
        <v/>
      </c>
      <c r="AIX41" s="1278" t="str">
        <f>IF(INDEX($B$42:$ALY$100,START!$E$3,AIX1)="","",INDEX($B$42:$ALY$100,START!$E$3,AIX1))</f>
        <v/>
      </c>
      <c r="AIY41" s="1278" t="str">
        <f>IF(INDEX($B$42:$ALY$100,START!$E$3,AIY1)="","",INDEX($B$42:$ALY$100,START!$E$3,AIY1))</f>
        <v/>
      </c>
      <c r="AIZ41" s="1278" t="str">
        <f>IF(INDEX($B$42:$ALY$100,START!$E$3,AIZ1)="","",INDEX($B$42:$ALY$100,START!$E$3,AIZ1))</f>
        <v/>
      </c>
      <c r="AJA41" s="1278" t="str">
        <f>IF(INDEX($B$42:$ALY$100,START!$E$3,AJA1)="","",INDEX($B$42:$ALY$100,START!$E$3,AJA1))</f>
        <v/>
      </c>
      <c r="AJB41" s="1278" t="str">
        <f>IF(INDEX($B$42:$ALY$100,START!$E$3,AJB1)="","",INDEX($B$42:$ALY$100,START!$E$3,AJB1))</f>
        <v/>
      </c>
      <c r="AJC41" s="1278" t="str">
        <f>IF(INDEX($B$42:$ALY$100,START!$E$3,AJC1)="","",INDEX($B$42:$ALY$100,START!$E$3,AJC1))</f>
        <v/>
      </c>
      <c r="AJD41" s="1278" t="str">
        <f>IF(INDEX($B$42:$ALY$100,START!$E$3,AJD1)="","",INDEX($B$42:$ALY$100,START!$E$3,AJD1))</f>
        <v/>
      </c>
      <c r="AJE41" s="1278" t="str">
        <f>IF(INDEX($B$42:$ALY$100,START!$E$3,AJE1)="","",INDEX($B$42:$ALY$100,START!$E$3,AJE1))</f>
        <v/>
      </c>
      <c r="AJF41" s="1278" t="str">
        <f>IF(INDEX($B$42:$ALY$100,START!$E$3,AJF1)="","",INDEX($B$42:$ALY$100,START!$E$3,AJF1))</f>
        <v/>
      </c>
      <c r="AJG41" s="1278" t="str">
        <f>IF(INDEX($B$42:$ALY$100,START!$E$3,AJG1)="","",INDEX($B$42:$ALY$100,START!$E$3,AJG1))</f>
        <v/>
      </c>
      <c r="AJH41" s="1278" t="str">
        <f>IF(INDEX($B$42:$ALY$100,START!$E$3,AJH1)="","",INDEX($B$42:$ALY$100,START!$E$3,AJH1))</f>
        <v/>
      </c>
      <c r="AJI41" s="1278" t="str">
        <f>IF(INDEX($B$42:$ALY$100,START!$E$3,AJI1)="","",INDEX($B$42:$ALY$100,START!$E$3,AJI1))</f>
        <v/>
      </c>
      <c r="AJJ41" s="1278" t="str">
        <f>IF(INDEX($B$42:$ALY$100,START!$E$3,AJJ1)="","",INDEX($B$42:$ALY$100,START!$E$3,AJJ1))</f>
        <v/>
      </c>
      <c r="AJK41" s="1278" t="str">
        <f>IF(INDEX($B$42:$ALY$100,START!$E$3,AJK1)="","",INDEX($B$42:$ALY$100,START!$E$3,AJK1))</f>
        <v/>
      </c>
      <c r="AJL41" s="1278" t="str">
        <f>IF(INDEX($B$42:$ALY$100,START!$E$3,AJL1)="","",INDEX($B$42:$ALY$100,START!$E$3,AJL1))</f>
        <v/>
      </c>
      <c r="AJM41" s="1278" t="str">
        <f>IF(INDEX($B$42:$ALY$100,START!$E$3,AJM1)="","",INDEX($B$42:$ALY$100,START!$E$3,AJM1))</f>
        <v/>
      </c>
      <c r="AJN41" s="1278" t="str">
        <f>IF(INDEX($B$42:$ALY$100,START!$E$3,AJN1)="","",INDEX($B$42:$ALY$100,START!$E$3,AJN1))</f>
        <v/>
      </c>
      <c r="AJO41" s="1278" t="str">
        <f>IF(INDEX($B$42:$ALY$100,START!$E$3,AJO1)="","",INDEX($B$42:$ALY$100,START!$E$3,AJO1))</f>
        <v/>
      </c>
      <c r="AJP41" s="1278" t="str">
        <f>IF(INDEX($B$42:$ALY$100,START!$E$3,AJP1)="","",INDEX($B$42:$ALY$100,START!$E$3,AJP1))</f>
        <v/>
      </c>
      <c r="AJQ41" s="1278" t="str">
        <f>IF(INDEX($B$42:$ALY$100,START!$E$3,AJQ1)="","",INDEX($B$42:$ALY$100,START!$E$3,AJQ1))</f>
        <v/>
      </c>
      <c r="AJR41" s="1278" t="str">
        <f>IF(INDEX($B$42:$ALY$100,START!$E$3,AJR1)="","",INDEX($B$42:$ALY$100,START!$E$3,AJR1))</f>
        <v/>
      </c>
      <c r="AJS41" s="1278" t="str">
        <f>IF(INDEX($B$42:$ALY$100,START!$E$3,AJS1)="","",INDEX($B$42:$ALY$100,START!$E$3,AJS1))</f>
        <v/>
      </c>
      <c r="AJT41" s="1278" t="str">
        <f>IF(INDEX($B$42:$ALY$100,START!$E$3,AJT1)="","",INDEX($B$42:$ALY$100,START!$E$3,AJT1))</f>
        <v/>
      </c>
      <c r="AJU41" s="1278" t="str">
        <f>IF(INDEX($B$42:$ALY$100,START!$E$3,AJU1)="","",INDEX($B$42:$ALY$100,START!$E$3,AJU1))</f>
        <v/>
      </c>
      <c r="AJV41" s="1278" t="str">
        <f>IF(INDEX($B$42:$ALY$100,START!$E$3,AJV1)="","",INDEX($B$42:$ALY$100,START!$E$3,AJV1))</f>
        <v/>
      </c>
      <c r="AJW41" s="1278" t="str">
        <f>IF(INDEX($B$42:$ALY$100,START!$E$3,AJW1)="","",INDEX($B$42:$ALY$100,START!$E$3,AJW1))</f>
        <v/>
      </c>
      <c r="AJX41" s="1278" t="str">
        <f>IF(INDEX($B$42:$ALY$100,START!$E$3,AJX1)="","",INDEX($B$42:$ALY$100,START!$E$3,AJX1))</f>
        <v/>
      </c>
      <c r="AJY41" s="1278" t="str">
        <f>IF(INDEX($B$42:$ALY$100,START!$E$3,AJY1)="","",INDEX($B$42:$ALY$100,START!$E$3,AJY1))</f>
        <v/>
      </c>
      <c r="AJZ41" s="1278" t="str">
        <f>IF(INDEX($B$42:$ALY$100,START!$E$3,AJZ1)="","",INDEX($B$42:$ALY$100,START!$E$3,AJZ1))</f>
        <v/>
      </c>
      <c r="AKA41" s="1278" t="str">
        <f>IF(INDEX($B$42:$ALY$100,START!$E$3,AKA1)="","",INDEX($B$42:$ALY$100,START!$E$3,AKA1))</f>
        <v/>
      </c>
      <c r="AKB41" s="1278" t="str">
        <f>IF(INDEX($B$42:$ALY$100,START!$E$3,AKB1)="","",INDEX($B$42:$ALY$100,START!$E$3,AKB1))</f>
        <v/>
      </c>
      <c r="AKC41" s="1278" t="str">
        <f>IF(INDEX($B$42:$ALY$100,START!$E$3,AKC1)="","",INDEX($B$42:$ALY$100,START!$E$3,AKC1))</f>
        <v/>
      </c>
      <c r="AKD41" s="1278" t="str">
        <f>IF(INDEX($B$42:$ALY$100,START!$E$3,AKD1)="","",INDEX($B$42:$ALY$100,START!$E$3,AKD1))</f>
        <v/>
      </c>
      <c r="AKE41" s="1278" t="str">
        <f>IF(INDEX($B$42:$ALY$100,START!$E$3,AKE1)="","",INDEX($B$42:$ALY$100,START!$E$3,AKE1))</f>
        <v/>
      </c>
      <c r="AKF41" s="1278" t="str">
        <f>IF(INDEX($B$42:$ALY$100,START!$E$3,AKF1)="","",INDEX($B$42:$ALY$100,START!$E$3,AKF1))</f>
        <v/>
      </c>
      <c r="AKG41" s="1278" t="str">
        <f>IF(INDEX($B$42:$ALY$100,START!$E$3,AKG1)="","",INDEX($B$42:$ALY$100,START!$E$3,AKG1))</f>
        <v/>
      </c>
      <c r="AKH41" s="1278" t="str">
        <f>IF(INDEX($B$42:$ALY$100,START!$E$3,AKH1)="","",INDEX($B$42:$ALY$100,START!$E$3,AKH1))</f>
        <v/>
      </c>
      <c r="AKI41" s="1278" t="str">
        <f>IF(INDEX($B$42:$ALY$100,START!$E$3,AKI1)="","",INDEX($B$42:$ALY$100,START!$E$3,AKI1))</f>
        <v/>
      </c>
      <c r="AKJ41" s="1278" t="str">
        <f>IF(INDEX($B$42:$ALY$100,START!$E$3,AKJ1)="","",INDEX($B$42:$ALY$100,START!$E$3,AKJ1))</f>
        <v/>
      </c>
      <c r="AKK41" s="1278" t="str">
        <f>IF(INDEX($B$42:$ALY$100,START!$E$3,AKK1)="","",INDEX($B$42:$ALY$100,START!$E$3,AKK1))</f>
        <v/>
      </c>
      <c r="AKL41" s="1278" t="str">
        <f>IF(INDEX($B$42:$ALY$100,START!$E$3,AKL1)="","",INDEX($B$42:$ALY$100,START!$E$3,AKL1))</f>
        <v/>
      </c>
      <c r="AKM41" s="1278" t="str">
        <f>IF(INDEX($B$42:$ALY$100,START!$E$3,AKM1)="","",INDEX($B$42:$ALY$100,START!$E$3,AKM1))</f>
        <v/>
      </c>
      <c r="AKN41" s="1278" t="str">
        <f>IF(INDEX($B$42:$ALY$100,START!$E$3,AKN1)="","",INDEX($B$42:$ALY$100,START!$E$3,AKN1))</f>
        <v/>
      </c>
      <c r="AKO41" s="1278" t="str">
        <f>IF(INDEX($B$42:$ALY$100,START!$E$3,AKO1)="","",INDEX($B$42:$ALY$100,START!$E$3,AKO1))</f>
        <v/>
      </c>
      <c r="AKP41" s="1278" t="str">
        <f>IF(INDEX($B$42:$ALY$100,START!$E$3,AKP1)="","",INDEX($B$42:$ALY$100,START!$E$3,AKP1))</f>
        <v/>
      </c>
      <c r="AKQ41" s="1278" t="str">
        <f>IF(INDEX($B$42:$ALY$100,START!$E$3,AKQ1)="","",INDEX($B$42:$ALY$100,START!$E$3,AKQ1))</f>
        <v/>
      </c>
      <c r="AKR41" s="1278" t="str">
        <f>IF(INDEX($B$42:$ALY$100,START!$E$3,AKR1)="","",INDEX($B$42:$ALY$100,START!$E$3,AKR1))</f>
        <v/>
      </c>
      <c r="AKS41" s="1278" t="str">
        <f>IF(INDEX($B$42:$ALY$100,START!$E$3,AKS1)="","",INDEX($B$42:$ALY$100,START!$E$3,AKS1))</f>
        <v/>
      </c>
      <c r="AKT41" s="1278" t="str">
        <f>IF(INDEX($B$42:$ALY$100,START!$E$3,AKT1)="","",INDEX($B$42:$ALY$100,START!$E$3,AKT1))</f>
        <v/>
      </c>
      <c r="AKU41" s="1278" t="str">
        <f>IF(INDEX($B$42:$ALY$100,START!$E$3,AKU1)="","",INDEX($B$42:$ALY$100,START!$E$3,AKU1))</f>
        <v/>
      </c>
      <c r="AKV41" s="1278" t="str">
        <f>IF(INDEX($B$42:$ALY$100,START!$E$3,AKV1)="","",INDEX($B$42:$ALY$100,START!$E$3,AKV1))</f>
        <v/>
      </c>
      <c r="AKW41" s="1278" t="str">
        <f>IF(INDEX($B$42:$ALY$100,START!$E$3,AKW1)="","",INDEX($B$42:$ALY$100,START!$E$3,AKW1))</f>
        <v/>
      </c>
      <c r="AKX41" s="1278" t="str">
        <f>IF(INDEX($B$42:$ALY$100,START!$E$3,AKX1)="","",INDEX($B$42:$ALY$100,START!$E$3,AKX1))</f>
        <v/>
      </c>
      <c r="AKY41" s="1278" t="str">
        <f>IF(INDEX($B$42:$ALY$100,START!$E$3,AKY1)="","",INDEX($B$42:$ALY$100,START!$E$3,AKY1))</f>
        <v/>
      </c>
      <c r="AKZ41" s="1278" t="str">
        <f>IF(INDEX($B$42:$ALY$100,START!$E$3,AKZ1)="","",INDEX($B$42:$ALY$100,START!$E$3,AKZ1))</f>
        <v/>
      </c>
      <c r="ALA41" s="1278" t="str">
        <f>IF(INDEX($B$42:$ALY$100,START!$E$3,ALA1)="","",INDEX($B$42:$ALY$100,START!$E$3,ALA1))</f>
        <v/>
      </c>
      <c r="ALB41" s="1278" t="str">
        <f>IF(INDEX($B$42:$ALY$100,START!$E$3,ALB1)="","",INDEX($B$42:$ALY$100,START!$E$3,ALB1))</f>
        <v/>
      </c>
      <c r="ALC41" s="1278" t="str">
        <f>IF(INDEX($B$42:$ALY$100,START!$E$3,ALC1)="","",INDEX($B$42:$ALY$100,START!$E$3,ALC1))</f>
        <v/>
      </c>
      <c r="ALD41" s="1278" t="str">
        <f>IF(INDEX($B$42:$ALY$100,START!$E$3,ALD1)="","",INDEX($B$42:$ALY$100,START!$E$3,ALD1))</f>
        <v/>
      </c>
      <c r="ALE41" s="1278" t="str">
        <f>IF(INDEX($B$42:$ALY$100,START!$E$3,ALE1)="","",INDEX($B$42:$ALY$100,START!$E$3,ALE1))</f>
        <v/>
      </c>
      <c r="ALF41" s="1278" t="str">
        <f>IF(INDEX($B$42:$ALY$100,START!$E$3,ALF1)="","",INDEX($B$42:$ALY$100,START!$E$3,ALF1))</f>
        <v/>
      </c>
      <c r="ALG41" s="1278" t="str">
        <f>IF(INDEX($B$42:$ALY$100,START!$E$3,ALG1)="","",INDEX($B$42:$ALY$100,START!$E$3,ALG1))</f>
        <v/>
      </c>
      <c r="ALH41" s="1278" t="str">
        <f>IF(INDEX($B$42:$ALY$100,START!$E$3,ALH1)="","",INDEX($B$42:$ALY$100,START!$E$3,ALH1))</f>
        <v/>
      </c>
      <c r="ALI41" s="1278" t="str">
        <f>IF(INDEX($B$42:$ALY$100,START!$E$3,ALI1)="","",INDEX($B$42:$ALY$100,START!$E$3,ALI1))</f>
        <v/>
      </c>
      <c r="ALJ41" s="1278" t="str">
        <f>IF(INDEX($B$42:$ALY$100,START!$E$3,ALJ1)="","",INDEX($B$42:$ALY$100,START!$E$3,ALJ1))</f>
        <v/>
      </c>
      <c r="ALK41" s="1278" t="str">
        <f>IF(INDEX($B$42:$ALY$100,START!$E$3,ALK1)="","",INDEX($B$42:$ALY$100,START!$E$3,ALK1))</f>
        <v/>
      </c>
      <c r="ALL41" s="1278" t="str">
        <f>IF(INDEX($B$42:$ALY$100,START!$E$3,ALL1)="","",INDEX($B$42:$ALY$100,START!$E$3,ALL1))</f>
        <v/>
      </c>
      <c r="ALM41" s="1278" t="str">
        <f>IF(INDEX($B$42:$ALY$100,START!$E$3,ALM1)="","",INDEX($B$42:$ALY$100,START!$E$3,ALM1))</f>
        <v/>
      </c>
      <c r="ALN41" s="1278" t="str">
        <f>IF(INDEX($B$42:$ALY$100,START!$E$3,ALN1)="","",INDEX($B$42:$ALY$100,START!$E$3,ALN1))</f>
        <v/>
      </c>
      <c r="ALO41" s="1278" t="str">
        <f>IF(INDEX($B$42:$ALY$100,START!$E$3,ALO1)="","",INDEX($B$42:$ALY$100,START!$E$3,ALO1))</f>
        <v/>
      </c>
      <c r="ALP41" s="1278" t="str">
        <f>IF(INDEX($B$42:$ALY$100,START!$E$3,ALP1)="","",INDEX($B$42:$ALY$100,START!$E$3,ALP1))</f>
        <v/>
      </c>
      <c r="ALQ41" s="1278" t="str">
        <f>IF(INDEX($B$42:$ALY$100,START!$E$3,ALQ1)="","",INDEX($B$42:$ALY$100,START!$E$3,ALQ1))</f>
        <v/>
      </c>
      <c r="ALR41" s="1278" t="str">
        <f>IF(INDEX($B$42:$ALY$100,START!$E$3,ALR1)="","",INDEX($B$42:$ALY$100,START!$E$3,ALR1))</f>
        <v/>
      </c>
      <c r="ALS41" s="1278" t="str">
        <f>IF(INDEX($B$42:$ALY$100,START!$E$3,ALS1)="","",INDEX($B$42:$ALY$100,START!$E$3,ALS1))</f>
        <v/>
      </c>
      <c r="ALT41" s="1278" t="str">
        <f>IF(INDEX($B$42:$ALY$100,START!$E$3,ALT1)="","",INDEX($B$42:$ALY$100,START!$E$3,ALT1))</f>
        <v/>
      </c>
      <c r="ALU41" s="1278" t="str">
        <f>IF(INDEX($B$42:$ALY$100,START!$E$3,ALU1)="","",INDEX($B$42:$ALY$100,START!$E$3,ALU1))</f>
        <v/>
      </c>
      <c r="ALV41" s="1278" t="str">
        <f>IF(INDEX($B$42:$ALY$100,START!$E$3,ALV1)="","",INDEX($B$42:$ALY$100,START!$E$3,ALV1))</f>
        <v/>
      </c>
      <c r="ALW41" s="1278" t="str">
        <f>IF(INDEX($B$42:$ALY$100,START!$E$3,ALW1)="","",INDEX($B$42:$ALY$100,START!$E$3,ALW1))</f>
        <v/>
      </c>
      <c r="ALX41" s="1278" t="str">
        <f>IF(INDEX($B$42:$ALY$100,START!$E$3,ALX1)="","",INDEX($B$42:$ALY$100,START!$E$3,ALX1))</f>
        <v/>
      </c>
      <c r="ALY41" s="1278" t="str">
        <f>IF(INDEX($B$42:$ALY$100,START!$E$3,ALY1)="","",INDEX($B$42:$ALY$100,START!$E$3,ALY1))</f>
        <v/>
      </c>
    </row>
    <row r="42" spans="1:1013" ht="18" customHeight="1">
      <c r="A42" s="1280" t="s">
        <v>165</v>
      </c>
      <c r="B42" s="1260" t="s">
        <v>3063</v>
      </c>
      <c r="C42" s="1260">
        <v>2022</v>
      </c>
      <c r="D42" s="1260"/>
      <c r="E42" s="1281">
        <v>0.5</v>
      </c>
      <c r="F42" s="1282">
        <v>0.5</v>
      </c>
      <c r="G42" s="1282">
        <v>0.5</v>
      </c>
      <c r="H42" s="1263">
        <v>259.61373390557941</v>
      </c>
      <c r="I42" s="1282">
        <v>-5.8</v>
      </c>
      <c r="J42" s="1282">
        <v>-1.5</v>
      </c>
      <c r="K42" s="1282">
        <v>-1.5</v>
      </c>
      <c r="L42" s="1282"/>
      <c r="M42" s="1282"/>
      <c r="N42" s="1282"/>
      <c r="O42" s="1282"/>
      <c r="P42" s="1263">
        <v>541.70374958491891</v>
      </c>
      <c r="Q42" s="1266">
        <v>12</v>
      </c>
      <c r="R42" s="1266">
        <v>0.3</v>
      </c>
      <c r="S42" s="1266">
        <v>0.1</v>
      </c>
      <c r="T42" s="1266">
        <v>0.1</v>
      </c>
      <c r="U42" s="1282">
        <v>2.5</v>
      </c>
      <c r="V42" s="1282">
        <v>0</v>
      </c>
      <c r="W42" s="1282">
        <v>97.5</v>
      </c>
      <c r="X42" s="1282">
        <v>0</v>
      </c>
      <c r="Y42" s="1266">
        <v>0</v>
      </c>
      <c r="Z42" s="1266">
        <v>1</v>
      </c>
      <c r="AA42" s="1266">
        <v>1</v>
      </c>
      <c r="AB42" s="1266">
        <v>1</v>
      </c>
      <c r="AC42" s="1266">
        <v>1</v>
      </c>
      <c r="AD42" s="1266">
        <v>1</v>
      </c>
      <c r="AE42" s="1266"/>
      <c r="AF42" s="1266"/>
      <c r="AG42" s="1266"/>
      <c r="AH42" s="1266"/>
      <c r="AI42" s="1266"/>
      <c r="AJ42" s="1266"/>
      <c r="AK42" s="1266"/>
      <c r="AL42" s="1266"/>
      <c r="AM42" s="1266"/>
      <c r="AN42" s="1266"/>
      <c r="AO42" s="1266"/>
      <c r="AP42" s="1266"/>
      <c r="AQ42" s="1266"/>
      <c r="AR42" s="1266"/>
      <c r="AS42" s="1266"/>
      <c r="AT42" s="1266"/>
      <c r="AU42" s="1266"/>
      <c r="AV42" s="1266"/>
      <c r="AW42" s="1266"/>
      <c r="AX42" s="1266"/>
      <c r="AY42" s="1266"/>
      <c r="AZ42" s="1266"/>
      <c r="BA42" s="989">
        <v>10062.301353275248</v>
      </c>
      <c r="BB42" s="1037">
        <v>1.56</v>
      </c>
      <c r="BC42" s="991">
        <v>0.8</v>
      </c>
      <c r="BD42" s="991">
        <v>0.6</v>
      </c>
      <c r="BE42" s="991">
        <v>0.6</v>
      </c>
      <c r="BF42" s="992">
        <v>0.18084</v>
      </c>
      <c r="BG42" s="992">
        <v>0.17335999999999999</v>
      </c>
      <c r="BH42" s="990"/>
      <c r="BI42" s="990">
        <v>1.202485753233595E-3</v>
      </c>
      <c r="BJ42" s="990">
        <v>0.26457534563712537</v>
      </c>
      <c r="BK42" s="990">
        <v>58.54078480422551</v>
      </c>
      <c r="BL42" s="990">
        <v>1.2708723837944664</v>
      </c>
      <c r="BM42" s="990">
        <v>0.39067812791701684</v>
      </c>
      <c r="BN42" s="1020">
        <v>39.231528062568245</v>
      </c>
      <c r="BO42" s="1020">
        <v>3.1881694641653864E-2</v>
      </c>
      <c r="BP42" s="1020">
        <v>5.1042355788573383E-3</v>
      </c>
      <c r="BQ42" s="1020">
        <v>3.2910136404287863E-4</v>
      </c>
      <c r="BR42" s="1020"/>
      <c r="BS42" s="1020"/>
      <c r="BT42" s="1020">
        <v>8.6854280181585475E-2</v>
      </c>
      <c r="BU42" s="1020">
        <v>1.0854016141029555E-3</v>
      </c>
      <c r="BV42" s="1020">
        <v>0.17510407672416045</v>
      </c>
      <c r="BW42" s="990"/>
      <c r="BX42" s="990"/>
      <c r="BY42" s="990"/>
      <c r="BZ42" s="990"/>
      <c r="CA42" s="990"/>
      <c r="CB42" s="990"/>
      <c r="CC42" s="990"/>
      <c r="CD42" s="990"/>
      <c r="CE42" s="990"/>
      <c r="CF42" s="990"/>
      <c r="CG42" s="990"/>
      <c r="CH42" s="990"/>
      <c r="CI42" s="990"/>
      <c r="CJ42" s="990"/>
      <c r="CK42" s="990"/>
      <c r="CL42" s="990"/>
      <c r="CM42" s="990"/>
      <c r="CN42" s="990"/>
      <c r="CO42" s="990"/>
      <c r="CP42" s="990"/>
      <c r="CQ42" s="990"/>
      <c r="CR42" s="990"/>
      <c r="CS42" s="990"/>
      <c r="CT42" s="990"/>
      <c r="CU42" s="990"/>
      <c r="CV42" s="990"/>
      <c r="CW42" s="990"/>
      <c r="CX42" s="990"/>
      <c r="CY42" s="990"/>
      <c r="CZ42" s="990"/>
      <c r="DA42" s="991">
        <v>1</v>
      </c>
      <c r="DB42" s="991">
        <v>1</v>
      </c>
      <c r="DC42" s="991">
        <v>1</v>
      </c>
      <c r="DD42" s="991">
        <v>1</v>
      </c>
      <c r="DE42" s="991">
        <v>1</v>
      </c>
      <c r="DF42" s="991"/>
      <c r="DG42" s="991"/>
      <c r="DH42" s="991"/>
      <c r="DI42" s="991"/>
      <c r="DJ42" s="991"/>
      <c r="DK42" s="991">
        <v>1.0682498070272575</v>
      </c>
      <c r="DL42" s="989">
        <v>18</v>
      </c>
      <c r="DM42" s="989">
        <f t="shared" ref="DM42" si="1">DK42*DL42</f>
        <v>19.228496526490634</v>
      </c>
      <c r="DN42" s="991">
        <v>1.1000000000000001</v>
      </c>
      <c r="DO42" s="991">
        <v>0.6</v>
      </c>
      <c r="DP42" s="991">
        <v>0.6</v>
      </c>
      <c r="DQ42" s="991"/>
      <c r="DR42" s="991"/>
      <c r="DS42" s="991"/>
      <c r="DT42" s="991"/>
      <c r="DU42" s="991"/>
      <c r="DV42" s="991"/>
      <c r="DW42" s="991"/>
      <c r="DX42" s="991"/>
      <c r="DY42" s="991"/>
      <c r="DZ42" s="991"/>
      <c r="EA42" s="991"/>
      <c r="EB42" s="991"/>
      <c r="EC42" s="991"/>
      <c r="ED42" s="991"/>
      <c r="EE42" s="991">
        <v>0.47705402341217251</v>
      </c>
      <c r="EF42" s="991">
        <v>18</v>
      </c>
      <c r="EG42" s="989">
        <v>8110.3330472103007</v>
      </c>
      <c r="EH42" s="991">
        <v>1.1000000000000001</v>
      </c>
      <c r="EI42" s="991">
        <v>0.6</v>
      </c>
      <c r="EJ42" s="991">
        <v>0.6</v>
      </c>
      <c r="EK42" s="991"/>
      <c r="EL42" s="991"/>
      <c r="EM42" s="991"/>
      <c r="EN42" s="991"/>
      <c r="EO42" s="991"/>
      <c r="EP42" s="991"/>
      <c r="EQ42" s="991"/>
      <c r="ER42" s="991"/>
      <c r="ES42" s="991"/>
      <c r="ET42" s="991"/>
      <c r="EU42" s="991"/>
      <c r="EV42" s="991"/>
      <c r="EW42" s="991"/>
      <c r="EX42" s="991"/>
      <c r="EY42" s="991"/>
      <c r="EZ42" s="991"/>
      <c r="FA42" s="991"/>
      <c r="FB42" s="991"/>
      <c r="FC42" s="991"/>
      <c r="FD42" s="991"/>
      <c r="FE42" s="991"/>
      <c r="FF42" s="991"/>
      <c r="FG42" s="991"/>
      <c r="FH42" s="991"/>
      <c r="FI42" s="991"/>
      <c r="FJ42" s="991"/>
      <c r="FK42" s="991"/>
      <c r="FL42" s="991"/>
      <c r="FM42" s="991"/>
      <c r="FN42" s="991"/>
      <c r="FO42" s="991"/>
      <c r="FP42" s="991"/>
      <c r="FQ42" s="991"/>
      <c r="FR42" s="991"/>
      <c r="FS42" s="991"/>
      <c r="FT42" s="991"/>
      <c r="FU42" s="991"/>
      <c r="FV42" s="991"/>
      <c r="FW42" s="991"/>
      <c r="FX42" s="991"/>
      <c r="FY42" s="991"/>
      <c r="FZ42" s="991"/>
      <c r="GA42" s="991"/>
      <c r="GB42" s="991"/>
      <c r="GC42" s="991"/>
      <c r="GD42" s="991"/>
      <c r="GE42" s="991"/>
      <c r="GF42" s="991"/>
      <c r="GG42" s="991"/>
      <c r="GH42" s="991"/>
      <c r="GI42" s="991"/>
      <c r="GJ42" s="991"/>
      <c r="GK42" s="991"/>
      <c r="GL42" s="991"/>
      <c r="GM42" s="991"/>
      <c r="GN42" s="991"/>
      <c r="GO42" s="991"/>
      <c r="GP42" s="991"/>
      <c r="GQ42" s="991"/>
      <c r="GR42" s="991"/>
      <c r="GS42" s="991"/>
      <c r="GT42" s="991"/>
      <c r="GU42" s="991"/>
      <c r="GV42" s="991"/>
      <c r="GW42" s="991"/>
      <c r="GX42" s="991"/>
      <c r="GY42" s="991"/>
      <c r="GZ42" s="991"/>
      <c r="HA42" s="991"/>
      <c r="HB42" s="991"/>
      <c r="HC42" s="991"/>
      <c r="HD42" s="991"/>
      <c r="HE42" s="991"/>
      <c r="HF42" s="991"/>
      <c r="HG42" s="991"/>
      <c r="HH42" s="991"/>
      <c r="HI42" s="991"/>
      <c r="HJ42" s="991"/>
      <c r="HK42" s="991"/>
      <c r="HL42" s="991"/>
      <c r="HM42" s="991"/>
      <c r="HN42" s="991"/>
      <c r="HO42" s="991"/>
      <c r="HP42" s="991"/>
      <c r="HQ42" s="991"/>
      <c r="HR42" s="991"/>
      <c r="HS42" s="991"/>
      <c r="HT42" s="991"/>
      <c r="HU42" s="991"/>
      <c r="HV42" s="991"/>
      <c r="HW42" s="991"/>
      <c r="HX42" s="991"/>
      <c r="HY42" s="991"/>
      <c r="HZ42" s="991"/>
      <c r="IA42" s="991"/>
      <c r="IB42" s="991"/>
      <c r="IC42" s="991"/>
      <c r="ID42" s="991"/>
      <c r="IE42" s="991"/>
      <c r="IF42" s="991"/>
      <c r="IG42" s="991"/>
      <c r="IH42" s="991"/>
      <c r="II42" s="991"/>
      <c r="IJ42" s="991"/>
      <c r="IK42" s="991"/>
      <c r="IL42" s="991"/>
      <c r="IM42" s="991"/>
      <c r="IN42" s="991"/>
      <c r="IO42" s="991"/>
      <c r="IP42" s="991"/>
      <c r="IQ42" s="991"/>
      <c r="IR42" s="991"/>
      <c r="IS42" s="991"/>
      <c r="IT42" s="991"/>
      <c r="IU42" s="991"/>
      <c r="IV42" s="991"/>
      <c r="IW42" s="989">
        <v>1020.0468636800275</v>
      </c>
      <c r="IX42" s="991">
        <v>179.9</v>
      </c>
      <c r="IY42" s="991">
        <v>2964.2987982832719</v>
      </c>
      <c r="IZ42" s="991"/>
      <c r="JA42" s="991"/>
      <c r="JB42" s="991">
        <v>1.1000000000000001</v>
      </c>
      <c r="JC42" s="991">
        <v>0.6</v>
      </c>
      <c r="JD42" s="991">
        <v>0.6</v>
      </c>
      <c r="JE42" s="991">
        <v>1</v>
      </c>
      <c r="JF42" s="991">
        <v>1</v>
      </c>
      <c r="JG42" s="991">
        <v>1</v>
      </c>
      <c r="JH42" s="991">
        <v>1</v>
      </c>
      <c r="JI42" s="991">
        <v>1</v>
      </c>
      <c r="JJ42" s="989">
        <v>27.2564358745006</v>
      </c>
      <c r="JK42" s="989"/>
      <c r="JL42" s="989"/>
      <c r="JM42" s="989">
        <v>7042.8182918455341</v>
      </c>
      <c r="JN42" s="991">
        <v>1.1000000000000001</v>
      </c>
      <c r="JO42" s="991">
        <v>0.7</v>
      </c>
      <c r="JP42" s="991">
        <v>0.7</v>
      </c>
      <c r="JQ42" s="991">
        <v>1</v>
      </c>
      <c r="JR42" s="991">
        <v>1</v>
      </c>
      <c r="JS42" s="991">
        <v>1</v>
      </c>
      <c r="JT42" s="991">
        <v>1</v>
      </c>
      <c r="JU42" s="991">
        <v>1</v>
      </c>
      <c r="JV42" s="991"/>
      <c r="JW42" s="989">
        <v>270.36392543224167</v>
      </c>
      <c r="JX42" s="989">
        <v>500</v>
      </c>
      <c r="JY42" s="991">
        <v>0.9</v>
      </c>
      <c r="JZ42" s="991">
        <v>0.8</v>
      </c>
      <c r="KA42" s="991">
        <v>0.8</v>
      </c>
      <c r="KB42" s="991">
        <v>1</v>
      </c>
      <c r="KC42" s="991">
        <v>1</v>
      </c>
      <c r="KD42" s="991">
        <v>1</v>
      </c>
      <c r="KE42" s="991">
        <v>1</v>
      </c>
      <c r="KF42" s="991">
        <v>1</v>
      </c>
      <c r="KG42" s="991"/>
      <c r="KH42" s="991"/>
      <c r="KI42" s="991"/>
      <c r="KJ42" s="991"/>
      <c r="KK42" s="991"/>
      <c r="KL42" s="991"/>
      <c r="KM42" s="991"/>
      <c r="KN42" s="991"/>
      <c r="KO42" s="991"/>
      <c r="KP42" s="991"/>
      <c r="KQ42" s="991"/>
      <c r="KR42" s="991"/>
      <c r="KS42" s="991"/>
      <c r="KT42" s="991"/>
      <c r="KU42" s="991"/>
      <c r="KV42" s="991"/>
      <c r="KW42" s="991"/>
      <c r="KX42" s="991"/>
      <c r="KY42" s="991"/>
      <c r="KZ42" s="991"/>
      <c r="LA42" s="991"/>
      <c r="LB42" s="991"/>
      <c r="LC42" s="991"/>
      <c r="LD42" s="991"/>
      <c r="LE42" s="991"/>
      <c r="LF42" s="991"/>
      <c r="LG42" s="991"/>
      <c r="LH42" s="991"/>
      <c r="LI42" s="991"/>
      <c r="LJ42" s="991"/>
      <c r="LK42" s="991"/>
      <c r="LL42" s="991"/>
      <c r="LM42" s="991"/>
      <c r="LN42" s="989"/>
      <c r="LO42" s="989">
        <v>29</v>
      </c>
      <c r="LP42" s="991">
        <v>0.7</v>
      </c>
      <c r="LQ42" s="991">
        <v>0.4</v>
      </c>
      <c r="LR42" s="991">
        <v>0.4</v>
      </c>
      <c r="LS42" s="991">
        <v>1</v>
      </c>
      <c r="LT42" s="991">
        <v>1</v>
      </c>
      <c r="LU42" s="991">
        <v>1</v>
      </c>
      <c r="LV42" s="991">
        <v>1</v>
      </c>
      <c r="LW42" s="991">
        <v>1</v>
      </c>
      <c r="LX42" s="991"/>
      <c r="LY42" s="991"/>
      <c r="LZ42" s="991">
        <v>0</v>
      </c>
      <c r="MA42" s="991"/>
      <c r="MB42" s="991"/>
      <c r="MC42" s="991"/>
      <c r="MD42" s="991"/>
      <c r="ME42" s="991"/>
      <c r="MF42" s="991"/>
      <c r="MG42" s="991"/>
      <c r="MH42" s="991"/>
      <c r="MI42" s="991"/>
      <c r="MJ42" s="991"/>
      <c r="MK42" s="991"/>
      <c r="ML42" s="991"/>
      <c r="MM42" s="991"/>
      <c r="MN42" s="991"/>
      <c r="MO42" s="991"/>
      <c r="MP42" s="991"/>
      <c r="MQ42" s="991"/>
      <c r="MR42" s="991"/>
      <c r="MS42" s="991"/>
      <c r="MT42" s="991"/>
      <c r="MU42" s="991"/>
      <c r="MV42" s="991"/>
      <c r="MW42" s="991"/>
      <c r="MX42" s="991"/>
      <c r="MY42" s="991"/>
      <c r="MZ42" s="991"/>
      <c r="NA42" s="991"/>
      <c r="NB42" s="991"/>
      <c r="NC42" s="991"/>
      <c r="ND42" s="991"/>
      <c r="NE42" s="991"/>
      <c r="NF42" s="991"/>
      <c r="NG42" s="991"/>
      <c r="NH42" s="991"/>
      <c r="NI42" s="991"/>
      <c r="NJ42" s="991"/>
      <c r="NK42" s="991"/>
      <c r="NL42" s="991"/>
      <c r="NM42" s="991"/>
      <c r="NN42" s="991"/>
      <c r="NO42" s="991"/>
      <c r="NP42" s="991"/>
      <c r="NQ42" s="991"/>
      <c r="NR42" s="991"/>
      <c r="NS42" s="991"/>
      <c r="NT42" s="991"/>
      <c r="NU42" s="991"/>
      <c r="NV42" s="994">
        <v>200</v>
      </c>
      <c r="NW42" s="994">
        <v>200</v>
      </c>
      <c r="NX42" s="994">
        <v>200</v>
      </c>
      <c r="NY42" s="994">
        <v>200</v>
      </c>
      <c r="NZ42" s="994">
        <v>200</v>
      </c>
      <c r="OA42" s="994">
        <v>200</v>
      </c>
      <c r="OB42" s="994">
        <v>200</v>
      </c>
      <c r="OC42" s="994">
        <v>200</v>
      </c>
      <c r="OD42" s="994">
        <v>200</v>
      </c>
      <c r="OE42" s="994">
        <v>200</v>
      </c>
      <c r="OF42" s="994">
        <v>200</v>
      </c>
      <c r="OG42" s="994">
        <v>200</v>
      </c>
      <c r="OH42" s="994">
        <v>200</v>
      </c>
      <c r="OI42" s="994">
        <v>200</v>
      </c>
      <c r="OJ42" s="994">
        <v>200</v>
      </c>
      <c r="OK42" s="994">
        <v>200</v>
      </c>
      <c r="OL42" s="994">
        <v>200</v>
      </c>
      <c r="OM42" s="994">
        <v>200</v>
      </c>
      <c r="ON42" s="994">
        <v>200</v>
      </c>
      <c r="OO42" s="994">
        <v>200</v>
      </c>
      <c r="OP42" s="994">
        <v>200</v>
      </c>
      <c r="OQ42" s="994">
        <v>200</v>
      </c>
      <c r="OR42" s="994">
        <v>200</v>
      </c>
      <c r="OS42" s="994">
        <v>200</v>
      </c>
      <c r="OT42" s="994">
        <v>200</v>
      </c>
      <c r="OU42" s="994">
        <v>200</v>
      </c>
      <c r="OV42" s="994">
        <v>200</v>
      </c>
      <c r="OW42" s="994">
        <v>200</v>
      </c>
      <c r="OX42" s="994">
        <v>200</v>
      </c>
      <c r="OY42" s="994">
        <v>200</v>
      </c>
      <c r="OZ42" s="994">
        <v>200</v>
      </c>
      <c r="PA42" s="994">
        <v>200</v>
      </c>
      <c r="PB42" s="994">
        <v>200</v>
      </c>
      <c r="PC42" s="994">
        <v>200</v>
      </c>
      <c r="PD42" s="994">
        <v>200</v>
      </c>
      <c r="PE42" s="994">
        <v>200</v>
      </c>
      <c r="PF42" s="994">
        <v>200</v>
      </c>
      <c r="PG42" s="994">
        <v>200</v>
      </c>
      <c r="PH42" s="994">
        <v>200</v>
      </c>
      <c r="PI42" s="994">
        <v>200</v>
      </c>
      <c r="PJ42" s="994">
        <v>200</v>
      </c>
      <c r="PK42" s="994">
        <v>200</v>
      </c>
      <c r="PL42" s="994">
        <v>200</v>
      </c>
      <c r="PM42" s="994">
        <v>200</v>
      </c>
      <c r="PN42" s="994">
        <v>200</v>
      </c>
      <c r="PO42" s="994">
        <v>200</v>
      </c>
      <c r="PP42" s="994">
        <v>200</v>
      </c>
      <c r="PQ42" s="994">
        <v>200</v>
      </c>
      <c r="PR42" s="994">
        <v>200</v>
      </c>
      <c r="PS42" s="994">
        <v>200</v>
      </c>
      <c r="PT42" s="994">
        <v>200</v>
      </c>
      <c r="PU42" s="994">
        <v>200</v>
      </c>
      <c r="PV42" s="994">
        <v>200</v>
      </c>
      <c r="PW42" s="994">
        <v>200</v>
      </c>
      <c r="PX42" s="994">
        <v>200</v>
      </c>
      <c r="PY42" s="994">
        <v>200</v>
      </c>
      <c r="PZ42" s="994">
        <v>200</v>
      </c>
      <c r="QA42" s="994">
        <v>200</v>
      </c>
      <c r="QB42" s="994">
        <v>200</v>
      </c>
      <c r="QC42" s="994">
        <v>200</v>
      </c>
      <c r="QD42" s="994">
        <v>200</v>
      </c>
      <c r="QE42" s="994">
        <v>200</v>
      </c>
      <c r="QF42" s="994">
        <v>200</v>
      </c>
      <c r="QG42" s="994">
        <v>200</v>
      </c>
      <c r="QH42" s="994">
        <v>200</v>
      </c>
      <c r="QI42" s="994">
        <v>200</v>
      </c>
      <c r="QJ42" s="994">
        <v>200</v>
      </c>
      <c r="QK42" s="994">
        <v>200</v>
      </c>
      <c r="QL42" s="994">
        <v>200</v>
      </c>
      <c r="QM42" s="994">
        <v>200</v>
      </c>
      <c r="QN42" s="994">
        <v>200</v>
      </c>
      <c r="QO42" s="994">
        <v>200</v>
      </c>
      <c r="QP42" s="994">
        <v>200</v>
      </c>
      <c r="QQ42" s="994">
        <v>200</v>
      </c>
      <c r="QR42" s="994">
        <v>200</v>
      </c>
      <c r="QS42" s="994">
        <v>200</v>
      </c>
      <c r="QT42" s="994">
        <v>200</v>
      </c>
      <c r="QU42" s="994">
        <v>200</v>
      </c>
      <c r="QV42" s="994">
        <v>200</v>
      </c>
      <c r="QW42" s="994">
        <v>200</v>
      </c>
      <c r="QX42" s="994">
        <v>200</v>
      </c>
      <c r="QY42" s="994">
        <v>200</v>
      </c>
      <c r="QZ42" s="994">
        <v>200</v>
      </c>
      <c r="RA42" s="994">
        <v>200</v>
      </c>
      <c r="RB42" s="994">
        <v>200</v>
      </c>
      <c r="RC42" s="994">
        <v>200</v>
      </c>
      <c r="RD42" s="994">
        <v>200</v>
      </c>
      <c r="RE42" s="994">
        <v>200</v>
      </c>
      <c r="RF42" s="994">
        <v>200</v>
      </c>
      <c r="RG42" s="994">
        <v>200</v>
      </c>
      <c r="RH42" s="994">
        <v>200</v>
      </c>
      <c r="RI42" s="994">
        <v>200</v>
      </c>
      <c r="RJ42" s="994">
        <v>200</v>
      </c>
      <c r="RK42" s="994">
        <v>200</v>
      </c>
      <c r="RL42" s="994">
        <v>200</v>
      </c>
      <c r="RM42" s="994">
        <v>200</v>
      </c>
      <c r="RN42" s="994">
        <v>200</v>
      </c>
      <c r="RO42" s="994">
        <v>200</v>
      </c>
      <c r="RP42" s="994">
        <v>200</v>
      </c>
      <c r="RQ42" s="994">
        <v>200</v>
      </c>
      <c r="RR42" s="994">
        <v>200</v>
      </c>
      <c r="RS42" s="994">
        <v>200</v>
      </c>
      <c r="RT42" s="994">
        <v>200</v>
      </c>
      <c r="RU42" s="994">
        <v>200</v>
      </c>
      <c r="RV42" s="994">
        <v>200</v>
      </c>
      <c r="RW42" s="994">
        <v>200</v>
      </c>
      <c r="RX42" s="994">
        <v>200</v>
      </c>
      <c r="RY42" s="994">
        <v>200</v>
      </c>
      <c r="RZ42" s="994">
        <v>200</v>
      </c>
      <c r="SA42" s="994">
        <v>200</v>
      </c>
      <c r="SB42" s="994">
        <v>200</v>
      </c>
      <c r="SC42" s="994">
        <v>200</v>
      </c>
      <c r="SD42" s="994">
        <v>200</v>
      </c>
      <c r="SE42" s="994">
        <v>200</v>
      </c>
      <c r="SF42" s="994">
        <v>200</v>
      </c>
      <c r="SG42" s="994">
        <v>200</v>
      </c>
      <c r="SH42" s="994">
        <v>200</v>
      </c>
      <c r="SI42" s="994">
        <v>200</v>
      </c>
      <c r="SJ42" s="994">
        <v>200</v>
      </c>
      <c r="SK42" s="994">
        <v>200</v>
      </c>
      <c r="SL42" s="994">
        <v>200</v>
      </c>
      <c r="SM42" s="994">
        <v>200</v>
      </c>
      <c r="SN42" s="994">
        <v>200</v>
      </c>
      <c r="SO42" s="994">
        <v>200</v>
      </c>
      <c r="SP42" s="994">
        <v>200</v>
      </c>
      <c r="SQ42" s="994">
        <v>200</v>
      </c>
      <c r="SR42" s="994">
        <v>200</v>
      </c>
      <c r="SS42" s="994">
        <v>200</v>
      </c>
      <c r="ST42" s="994">
        <v>200</v>
      </c>
      <c r="SU42" s="994">
        <v>200</v>
      </c>
      <c r="SV42" s="994">
        <v>200</v>
      </c>
      <c r="SW42" s="994">
        <v>200</v>
      </c>
      <c r="SX42" s="994">
        <v>200</v>
      </c>
      <c r="SY42" s="994">
        <v>200</v>
      </c>
      <c r="SZ42" s="994">
        <v>200</v>
      </c>
      <c r="TA42" s="994">
        <v>200</v>
      </c>
      <c r="TB42" s="994">
        <v>200</v>
      </c>
      <c r="TC42" s="994">
        <v>200</v>
      </c>
      <c r="TD42" s="994">
        <v>200</v>
      </c>
      <c r="TE42" s="994">
        <v>200</v>
      </c>
      <c r="TF42" s="994">
        <v>200</v>
      </c>
      <c r="TG42" s="994">
        <v>200</v>
      </c>
      <c r="TH42" s="994">
        <v>200</v>
      </c>
      <c r="TI42" s="994">
        <v>200</v>
      </c>
      <c r="TJ42" s="994">
        <v>200</v>
      </c>
      <c r="TK42" s="994">
        <v>200</v>
      </c>
      <c r="TL42" s="994">
        <v>200</v>
      </c>
      <c r="TM42" s="994">
        <v>200</v>
      </c>
      <c r="TN42" s="994">
        <v>200</v>
      </c>
      <c r="TO42" s="994">
        <v>200</v>
      </c>
      <c r="TP42" s="994">
        <v>200</v>
      </c>
      <c r="TQ42" s="994">
        <v>200</v>
      </c>
      <c r="TR42" s="994">
        <v>200</v>
      </c>
      <c r="TS42" s="994">
        <v>200</v>
      </c>
      <c r="TT42" s="994">
        <v>200</v>
      </c>
      <c r="TU42" s="994">
        <v>200</v>
      </c>
      <c r="TV42" s="994">
        <v>200</v>
      </c>
      <c r="TW42" s="994">
        <v>200</v>
      </c>
      <c r="TX42" s="994">
        <v>200</v>
      </c>
      <c r="TY42" s="994">
        <v>200</v>
      </c>
      <c r="TZ42" s="994">
        <v>200</v>
      </c>
      <c r="UA42" s="994">
        <v>200</v>
      </c>
      <c r="UB42" s="994">
        <v>200</v>
      </c>
      <c r="UC42" s="994">
        <v>200</v>
      </c>
      <c r="UD42" s="994">
        <v>200</v>
      </c>
      <c r="UE42" s="994">
        <v>200</v>
      </c>
      <c r="UF42" s="994">
        <v>200</v>
      </c>
      <c r="UG42" s="994">
        <v>200</v>
      </c>
      <c r="UH42" s="994">
        <v>200</v>
      </c>
      <c r="UI42" s="994">
        <v>200</v>
      </c>
      <c r="UJ42" s="994">
        <v>200</v>
      </c>
      <c r="UK42" s="994">
        <v>200</v>
      </c>
      <c r="UL42" s="994">
        <v>200</v>
      </c>
      <c r="UM42" s="994">
        <v>200</v>
      </c>
      <c r="UN42" s="994">
        <v>200</v>
      </c>
      <c r="UO42" s="994">
        <v>200</v>
      </c>
      <c r="UP42" s="994">
        <v>200</v>
      </c>
      <c r="UQ42" s="994">
        <v>200</v>
      </c>
      <c r="UR42" s="994">
        <v>200</v>
      </c>
      <c r="US42" s="994">
        <v>200</v>
      </c>
      <c r="UT42" s="994">
        <v>200</v>
      </c>
      <c r="UU42" s="994">
        <v>200</v>
      </c>
      <c r="UV42" s="994">
        <v>200</v>
      </c>
      <c r="UW42" s="994">
        <v>200</v>
      </c>
      <c r="UX42" s="994">
        <v>200</v>
      </c>
      <c r="UY42" s="994">
        <v>200</v>
      </c>
      <c r="UZ42" s="994">
        <v>200</v>
      </c>
      <c r="VA42" s="994">
        <v>200</v>
      </c>
      <c r="VB42" s="994">
        <v>200</v>
      </c>
      <c r="VC42" s="994">
        <v>200</v>
      </c>
      <c r="VD42" s="994">
        <v>200</v>
      </c>
      <c r="VE42" s="994">
        <v>200</v>
      </c>
      <c r="VF42" s="994">
        <v>200</v>
      </c>
      <c r="VG42" s="994">
        <v>200</v>
      </c>
      <c r="VH42" s="994">
        <v>200</v>
      </c>
      <c r="VI42" s="994">
        <v>200</v>
      </c>
      <c r="VJ42" s="994">
        <v>200</v>
      </c>
      <c r="VK42" s="994">
        <v>200</v>
      </c>
      <c r="VL42" s="994">
        <v>200</v>
      </c>
      <c r="VM42" s="994">
        <v>200</v>
      </c>
      <c r="VN42" s="994">
        <v>200</v>
      </c>
      <c r="VO42" s="994">
        <v>200</v>
      </c>
      <c r="VP42" s="994">
        <v>200</v>
      </c>
      <c r="VQ42" s="994">
        <v>200</v>
      </c>
      <c r="VR42" s="994">
        <v>200</v>
      </c>
      <c r="VS42" s="994">
        <v>200</v>
      </c>
      <c r="VT42" s="994">
        <v>200</v>
      </c>
      <c r="VU42" s="994">
        <v>200</v>
      </c>
      <c r="VV42" s="994">
        <v>200</v>
      </c>
      <c r="VW42" s="994">
        <v>200</v>
      </c>
      <c r="VX42" s="994">
        <v>200</v>
      </c>
      <c r="VY42" s="994">
        <v>200</v>
      </c>
      <c r="VZ42" s="994">
        <v>200</v>
      </c>
      <c r="WA42" s="994">
        <v>200</v>
      </c>
      <c r="WB42" s="994">
        <v>200</v>
      </c>
      <c r="WC42" s="994">
        <v>200</v>
      </c>
      <c r="WD42" s="994"/>
      <c r="WE42" s="994"/>
      <c r="WF42" s="994"/>
      <c r="WG42" s="994"/>
      <c r="WH42" s="994"/>
      <c r="WI42" s="994"/>
      <c r="WJ42" s="994"/>
      <c r="WK42" s="994"/>
      <c r="WL42" s="994"/>
      <c r="WM42" s="994"/>
      <c r="WN42" s="994"/>
      <c r="WO42" s="994"/>
      <c r="WP42" s="994"/>
      <c r="WQ42" s="994"/>
      <c r="WR42" s="994"/>
      <c r="WS42" s="994"/>
      <c r="WT42" s="994"/>
      <c r="WU42" s="994"/>
      <c r="WV42" s="994"/>
      <c r="WW42" s="994"/>
      <c r="WX42" s="994"/>
      <c r="WY42" s="994"/>
      <c r="WZ42" s="994"/>
      <c r="XA42" s="994"/>
      <c r="XB42" s="994"/>
      <c r="XC42" s="994"/>
      <c r="XD42" s="994"/>
      <c r="XE42" s="994"/>
      <c r="XF42" s="994"/>
      <c r="XG42" s="994"/>
      <c r="XH42" s="994"/>
      <c r="XI42" s="994"/>
      <c r="XJ42" s="994"/>
      <c r="XK42" s="994"/>
      <c r="XL42" s="994"/>
      <c r="XM42" s="994"/>
      <c r="XN42" s="994"/>
      <c r="XO42" s="994"/>
      <c r="XP42" s="994"/>
      <c r="XQ42" s="994"/>
      <c r="XR42" s="994"/>
      <c r="XS42" s="994"/>
      <c r="XT42" s="994"/>
      <c r="XU42" s="994"/>
      <c r="XV42" s="994"/>
      <c r="XW42" s="994"/>
      <c r="XX42" s="994"/>
      <c r="XY42" s="994"/>
      <c r="XZ42" s="994"/>
      <c r="YA42" s="994"/>
      <c r="YB42" s="994"/>
      <c r="YC42" s="994"/>
      <c r="YD42" s="994"/>
      <c r="YE42" s="994"/>
      <c r="YF42" s="994"/>
      <c r="YG42" s="994"/>
      <c r="YH42" s="994"/>
      <c r="YI42" s="994"/>
      <c r="YJ42" s="994"/>
      <c r="YK42" s="994"/>
      <c r="YL42" s="994"/>
      <c r="YM42" s="994"/>
      <c r="YN42" s="994"/>
      <c r="YO42" s="994"/>
      <c r="YP42" s="994"/>
      <c r="YQ42" s="994"/>
      <c r="YR42" s="994"/>
      <c r="YS42" s="994"/>
      <c r="YT42" s="994"/>
      <c r="YU42" s="994"/>
      <c r="YV42" s="994"/>
      <c r="YW42" s="994"/>
      <c r="YX42" s="994"/>
      <c r="YY42" s="994"/>
      <c r="YZ42" s="994"/>
      <c r="ZA42" s="994"/>
      <c r="ZB42" s="994"/>
      <c r="ZC42" s="994"/>
      <c r="ZD42" s="994"/>
      <c r="ZE42" s="994"/>
      <c r="ZF42" s="994"/>
      <c r="ZG42" s="994"/>
      <c r="ZH42" s="994"/>
      <c r="ZI42" s="994"/>
      <c r="ZJ42" s="994"/>
      <c r="ZK42" s="994"/>
      <c r="ZL42" s="994"/>
      <c r="ZM42" s="994"/>
      <c r="ZN42" s="994"/>
      <c r="ZO42" s="994"/>
      <c r="ZP42" s="994"/>
      <c r="ZQ42" s="994"/>
      <c r="ZR42" s="994"/>
      <c r="ZS42" s="994"/>
      <c r="ZT42" s="994"/>
      <c r="ZU42" s="994"/>
      <c r="ZV42" s="994"/>
      <c r="ZW42" s="994"/>
      <c r="ZX42" s="994"/>
      <c r="ZY42" s="994"/>
      <c r="ZZ42" s="994"/>
      <c r="AAA42" s="994"/>
      <c r="AAB42" s="994"/>
      <c r="AAC42" s="994"/>
      <c r="AAD42" s="994"/>
      <c r="AAE42" s="994"/>
      <c r="AAF42" s="994"/>
      <c r="AAG42" s="994"/>
      <c r="AAH42" s="994"/>
      <c r="AAI42" s="994"/>
      <c r="AAJ42" s="994"/>
      <c r="AAK42" s="994"/>
      <c r="AAL42" s="994"/>
      <c r="AAM42" s="994"/>
      <c r="AAN42" s="994"/>
      <c r="AAO42" s="994"/>
      <c r="AAP42" s="994"/>
      <c r="AAQ42" s="994"/>
      <c r="AAR42" s="994"/>
      <c r="AAS42" s="994"/>
      <c r="AAT42" s="994"/>
      <c r="AAU42" s="994"/>
      <c r="AAV42" s="994"/>
      <c r="AAW42" s="994"/>
      <c r="AAX42" s="994"/>
      <c r="AAY42" s="994"/>
      <c r="AAZ42" s="994"/>
      <c r="ABA42" s="994"/>
      <c r="ABB42" s="994"/>
      <c r="ABC42" s="994"/>
      <c r="ABD42" s="994"/>
      <c r="ABE42" s="994"/>
      <c r="ABF42" s="994"/>
      <c r="ABG42" s="994"/>
      <c r="ABH42" s="994"/>
      <c r="ABI42" s="994"/>
      <c r="ABJ42" s="994"/>
      <c r="ABK42" s="994"/>
      <c r="ABL42" s="994"/>
      <c r="ABM42" s="994"/>
      <c r="ABN42" s="994"/>
      <c r="ABO42" s="994"/>
      <c r="ABP42" s="994"/>
      <c r="ABQ42" s="994"/>
      <c r="ABR42" s="994"/>
      <c r="ABS42" s="994"/>
      <c r="ABT42" s="994"/>
      <c r="ABU42" s="994"/>
      <c r="ABV42" s="994"/>
      <c r="ABW42" s="994"/>
      <c r="ABX42" s="994"/>
      <c r="ABY42" s="994"/>
      <c r="ABZ42" s="994"/>
      <c r="ACA42" s="994"/>
      <c r="ACB42" s="994"/>
      <c r="ACC42" s="994"/>
      <c r="ACD42" s="994"/>
      <c r="ACE42" s="994"/>
      <c r="ACF42" s="994"/>
      <c r="ACG42" s="994"/>
      <c r="ACH42" s="994"/>
      <c r="ACI42" s="994"/>
      <c r="ACJ42" s="994"/>
      <c r="ACK42" s="994"/>
      <c r="ACL42" s="994"/>
      <c r="ACM42" s="994"/>
      <c r="ACN42" s="994"/>
      <c r="ACO42" s="994"/>
      <c r="ACP42" s="994"/>
      <c r="ACQ42" s="994"/>
      <c r="ACR42" s="994"/>
      <c r="ACS42" s="994"/>
      <c r="ACT42" s="994"/>
      <c r="ACU42" s="994"/>
      <c r="ACV42" s="994"/>
      <c r="ACW42" s="994"/>
      <c r="ACX42" s="994"/>
      <c r="ACY42" s="994"/>
      <c r="ACZ42" s="994"/>
      <c r="ADA42" s="994"/>
      <c r="ADB42" s="994"/>
      <c r="ADC42" s="994"/>
      <c r="ADD42" s="994"/>
      <c r="ADE42" s="994"/>
      <c r="ADF42" s="994"/>
      <c r="ADG42" s="994"/>
      <c r="ADH42" s="994"/>
      <c r="ADI42" s="994"/>
      <c r="ADJ42" s="994"/>
      <c r="ADK42" s="994"/>
      <c r="ADL42" s="994"/>
      <c r="ADM42" s="994"/>
      <c r="ADN42" s="994"/>
      <c r="ADO42" s="994"/>
      <c r="ADP42" s="994"/>
      <c r="ADQ42" s="994"/>
      <c r="ADR42" s="994"/>
      <c r="ADS42" s="994"/>
      <c r="ADT42" s="994"/>
      <c r="ADU42" s="994"/>
      <c r="ADV42" s="994"/>
      <c r="ADW42" s="994"/>
      <c r="ADX42" s="994"/>
      <c r="ADY42" s="994"/>
      <c r="ADZ42" s="994"/>
      <c r="AEA42" s="994"/>
      <c r="AEB42" s="994"/>
      <c r="AEC42" s="994"/>
      <c r="AED42" s="994"/>
      <c r="AEE42" s="994"/>
      <c r="AEF42" s="994"/>
      <c r="AEG42" s="994"/>
      <c r="AEH42" s="994"/>
      <c r="AEI42" s="994"/>
      <c r="AEJ42" s="994"/>
      <c r="AEK42" s="994"/>
      <c r="AEL42" s="994"/>
      <c r="AEM42" s="994"/>
      <c r="AEN42" s="994"/>
      <c r="AEO42" s="994"/>
      <c r="AEP42" s="994"/>
      <c r="AEQ42" s="994"/>
      <c r="AER42" s="994"/>
      <c r="AES42" s="994"/>
      <c r="AET42" s="994"/>
      <c r="AEU42" s="994"/>
      <c r="AEV42" s="994"/>
      <c r="AEW42" s="994"/>
      <c r="AEX42" s="994"/>
      <c r="AEY42" s="994"/>
      <c r="AEZ42" s="994"/>
      <c r="AFA42" s="994"/>
      <c r="AFB42" s="994"/>
      <c r="AFC42" s="994"/>
      <c r="AFD42" s="994"/>
      <c r="AFE42" s="994"/>
      <c r="AFF42" s="994"/>
      <c r="AFG42" s="994"/>
      <c r="AFH42" s="994"/>
      <c r="AFI42" s="994"/>
      <c r="AFJ42" s="994"/>
      <c r="AFK42" s="994"/>
      <c r="AFL42" s="994"/>
      <c r="AFM42" s="994"/>
      <c r="AFN42" s="994"/>
      <c r="AFO42" s="994"/>
      <c r="AFP42" s="994"/>
      <c r="AFQ42" s="994"/>
      <c r="AFR42" s="994"/>
      <c r="AFS42" s="994"/>
      <c r="AFT42" s="994"/>
      <c r="AFU42" s="994"/>
      <c r="AFV42" s="994"/>
      <c r="AFW42" s="994"/>
      <c r="AFX42" s="994"/>
      <c r="AFY42" s="994"/>
      <c r="AFZ42" s="994"/>
      <c r="AGA42" s="994"/>
      <c r="AGB42" s="994"/>
      <c r="AGC42" s="994"/>
      <c r="AGD42" s="994"/>
      <c r="AGE42" s="994"/>
      <c r="AGF42" s="994"/>
      <c r="AGG42" s="994"/>
      <c r="AGH42" s="994"/>
      <c r="AGI42" s="994"/>
      <c r="AGJ42" s="994"/>
      <c r="AGK42" s="994"/>
      <c r="AGL42" s="994"/>
      <c r="AGM42" s="994"/>
      <c r="AGN42" s="994"/>
      <c r="AGO42" s="994"/>
      <c r="AGP42" s="994"/>
      <c r="AGQ42" s="994"/>
      <c r="AGR42" s="994"/>
      <c r="AGS42" s="994"/>
      <c r="AGT42" s="994"/>
      <c r="AGU42" s="994"/>
      <c r="AGV42" s="994"/>
      <c r="AGW42" s="994"/>
      <c r="AGX42" s="994"/>
      <c r="AGY42" s="994"/>
      <c r="AGZ42" s="994"/>
      <c r="AHA42" s="994"/>
      <c r="AHB42" s="994"/>
      <c r="AHC42" s="994"/>
      <c r="AHD42" s="994"/>
      <c r="AHE42" s="994"/>
      <c r="AHF42" s="994"/>
      <c r="AHG42" s="994"/>
      <c r="AHH42" s="994"/>
      <c r="AHI42" s="994"/>
      <c r="AHJ42" s="994"/>
      <c r="AHK42" s="994"/>
      <c r="AHL42" s="994"/>
      <c r="AHM42" s="994"/>
      <c r="AHN42" s="994"/>
      <c r="AHO42" s="994"/>
      <c r="AHP42" s="994"/>
      <c r="AHQ42" s="994"/>
      <c r="AHR42" s="994"/>
      <c r="AHS42" s="994"/>
      <c r="AHT42" s="994"/>
      <c r="AHU42" s="994"/>
      <c r="AHV42" s="994"/>
      <c r="AHW42" s="994"/>
      <c r="AHX42" s="994"/>
      <c r="AHY42" s="994"/>
      <c r="AHZ42" s="994"/>
      <c r="AIA42" s="994"/>
      <c r="AIB42" s="994"/>
      <c r="AIC42" s="994"/>
      <c r="AID42" s="994"/>
      <c r="AIE42" s="994"/>
      <c r="AIF42" s="994"/>
      <c r="AIG42" s="994"/>
      <c r="AIH42" s="994"/>
      <c r="AII42" s="994"/>
      <c r="AIJ42" s="994"/>
      <c r="AIK42" s="994"/>
      <c r="AIL42" s="994"/>
      <c r="AIM42" s="994"/>
      <c r="AIN42" s="994"/>
      <c r="AIO42" s="994"/>
      <c r="AIP42" s="994"/>
      <c r="AIQ42" s="994"/>
      <c r="AIR42" s="994"/>
      <c r="AIS42" s="994"/>
      <c r="AIT42" s="994"/>
      <c r="AIU42" s="994"/>
      <c r="AIV42" s="994"/>
      <c r="AIW42" s="994"/>
      <c r="AIX42" s="994"/>
      <c r="AIY42" s="994"/>
      <c r="AIZ42" s="994"/>
      <c r="AJA42" s="994"/>
      <c r="AJB42" s="994"/>
      <c r="AJC42" s="994"/>
      <c r="AJD42" s="994"/>
      <c r="AJE42" s="994"/>
      <c r="AJF42" s="994"/>
      <c r="AJG42" s="994"/>
      <c r="AJH42" s="994"/>
      <c r="AJI42" s="994"/>
      <c r="AJJ42" s="994"/>
      <c r="AJK42" s="994"/>
      <c r="AJL42" s="994"/>
      <c r="AJM42" s="994"/>
      <c r="AJN42" s="994"/>
      <c r="AJO42" s="994"/>
      <c r="AJP42" s="994"/>
      <c r="AJQ42" s="994"/>
      <c r="AJR42" s="994"/>
      <c r="AJS42" s="994"/>
      <c r="AJT42" s="994"/>
      <c r="AJU42" s="994"/>
      <c r="AJV42" s="994"/>
      <c r="AJW42" s="994"/>
      <c r="AJX42" s="994"/>
      <c r="AJY42" s="994"/>
      <c r="AJZ42" s="994"/>
      <c r="AKA42" s="994"/>
      <c r="AKB42" s="994"/>
      <c r="AKC42" s="994"/>
      <c r="AKD42" s="994"/>
      <c r="AKE42" s="994"/>
      <c r="AKF42" s="994"/>
      <c r="AKG42" s="994"/>
      <c r="AKH42" s="994"/>
      <c r="AKI42" s="994"/>
      <c r="AKJ42" s="994"/>
      <c r="AKK42" s="994"/>
      <c r="AKL42" s="994"/>
      <c r="AKM42" s="994"/>
      <c r="AKN42" s="994"/>
      <c r="AKO42" s="994"/>
      <c r="AKP42" s="994"/>
      <c r="AKQ42" s="994"/>
      <c r="AKR42" s="994"/>
      <c r="AKS42" s="994"/>
      <c r="AKT42" s="994"/>
      <c r="AKU42" s="994"/>
      <c r="AKV42" s="994"/>
      <c r="AKW42" s="994"/>
      <c r="AKX42" s="994"/>
      <c r="AKY42" s="994"/>
      <c r="AKZ42" s="994"/>
      <c r="ALA42" s="994"/>
      <c r="ALB42" s="994"/>
      <c r="ALC42" s="994"/>
      <c r="ALD42" s="994"/>
      <c r="ALE42" s="994"/>
      <c r="ALF42" s="994"/>
      <c r="ALG42" s="994"/>
      <c r="ALH42" s="994"/>
      <c r="ALI42" s="994"/>
      <c r="ALJ42" s="994"/>
      <c r="ALK42" s="994"/>
      <c r="ALL42" s="994"/>
      <c r="ALM42" s="994"/>
      <c r="ALN42" s="994"/>
      <c r="ALO42" s="994"/>
      <c r="ALP42" s="994"/>
      <c r="ALQ42" s="994"/>
      <c r="ALR42" s="994"/>
      <c r="ALS42" s="994"/>
      <c r="ALT42" s="994"/>
      <c r="ALU42" s="994"/>
      <c r="ALV42" s="994"/>
      <c r="ALW42" s="994"/>
      <c r="ALX42" s="994"/>
      <c r="ALY42" s="994"/>
    </row>
    <row r="43" spans="1:1013" ht="18" customHeight="1">
      <c r="A43" s="1280" t="s">
        <v>168</v>
      </c>
      <c r="B43" s="1260" t="s">
        <v>3063</v>
      </c>
      <c r="C43" s="1260">
        <v>2022</v>
      </c>
      <c r="D43" s="1260"/>
      <c r="E43" s="1281">
        <v>0.5</v>
      </c>
      <c r="F43" s="1282">
        <v>0.19999999999999998</v>
      </c>
      <c r="G43" s="1282">
        <v>0.19999999999999998</v>
      </c>
      <c r="H43" s="1263">
        <v>100.05590062111801</v>
      </c>
      <c r="I43" s="1282">
        <v>-1</v>
      </c>
      <c r="J43" s="1282">
        <v>-5.5</v>
      </c>
      <c r="K43" s="1282">
        <v>-5.5</v>
      </c>
      <c r="L43" s="1282"/>
      <c r="M43" s="1282"/>
      <c r="N43" s="1282"/>
      <c r="O43" s="1282"/>
      <c r="P43" s="1263">
        <v>1458.7130772690623</v>
      </c>
      <c r="Q43" s="1266">
        <v>12</v>
      </c>
      <c r="R43" s="1266">
        <v>0.26999999999999996</v>
      </c>
      <c r="S43" s="1266">
        <v>0.29999999999999993</v>
      </c>
      <c r="T43" s="1266">
        <v>0.29999999999999993</v>
      </c>
      <c r="U43" s="1282">
        <v>0.2</v>
      </c>
      <c r="V43" s="1282">
        <v>0</v>
      </c>
      <c r="W43" s="1282">
        <v>99.3</v>
      </c>
      <c r="X43" s="1282">
        <v>0.5</v>
      </c>
      <c r="Y43" s="1266">
        <v>0</v>
      </c>
      <c r="Z43" s="1266">
        <v>1</v>
      </c>
      <c r="AA43" s="1266">
        <v>1</v>
      </c>
      <c r="AB43" s="1266">
        <v>1</v>
      </c>
      <c r="AC43" s="1266">
        <v>1</v>
      </c>
      <c r="AD43" s="1266">
        <v>1</v>
      </c>
      <c r="AE43" s="1266"/>
      <c r="AF43" s="1266"/>
      <c r="AG43" s="1266"/>
      <c r="AH43" s="1266"/>
      <c r="AI43" s="1266"/>
      <c r="AJ43" s="1266"/>
      <c r="AK43" s="1266"/>
      <c r="AL43" s="1266"/>
      <c r="AM43" s="1266"/>
      <c r="AN43" s="1266"/>
      <c r="AO43" s="1266"/>
      <c r="AP43" s="1266"/>
      <c r="AQ43" s="1266"/>
      <c r="AR43" s="1266"/>
      <c r="AS43" s="1266"/>
      <c r="AT43" s="1266"/>
      <c r="AU43" s="1266"/>
      <c r="AV43" s="1266"/>
      <c r="AW43" s="1266"/>
      <c r="AX43" s="1266"/>
      <c r="AY43" s="1266"/>
      <c r="AZ43" s="1266"/>
      <c r="BA43" s="989"/>
      <c r="BB43" s="1037"/>
      <c r="BC43" s="991"/>
      <c r="BD43" s="991"/>
      <c r="BE43" s="991"/>
      <c r="BF43" s="992"/>
      <c r="BG43" s="992"/>
      <c r="BH43" s="990"/>
      <c r="BI43" s="990"/>
      <c r="BJ43" s="990"/>
      <c r="BK43" s="990"/>
      <c r="BL43" s="990"/>
      <c r="BM43" s="990"/>
      <c r="BN43" s="990"/>
      <c r="BO43" s="990"/>
      <c r="BP43" s="990"/>
      <c r="BQ43" s="990"/>
      <c r="BR43" s="990"/>
      <c r="BS43" s="990"/>
      <c r="BT43" s="990"/>
      <c r="BU43" s="990"/>
      <c r="BV43" s="990"/>
      <c r="BW43" s="990"/>
      <c r="BX43" s="990"/>
      <c r="BY43" s="990"/>
      <c r="BZ43" s="990"/>
      <c r="CA43" s="990"/>
      <c r="CB43" s="990"/>
      <c r="CC43" s="990"/>
      <c r="CD43" s="990"/>
      <c r="CE43" s="990"/>
      <c r="CF43" s="990"/>
      <c r="CG43" s="990"/>
      <c r="CH43" s="990"/>
      <c r="CI43" s="990"/>
      <c r="CJ43" s="990"/>
      <c r="CK43" s="990"/>
      <c r="CL43" s="990"/>
      <c r="CM43" s="990"/>
      <c r="CN43" s="990"/>
      <c r="CO43" s="990"/>
      <c r="CP43" s="990"/>
      <c r="CQ43" s="990"/>
      <c r="CR43" s="990"/>
      <c r="CS43" s="990"/>
      <c r="CT43" s="990"/>
      <c r="CU43" s="990"/>
      <c r="CV43" s="990"/>
      <c r="CW43" s="990"/>
      <c r="CX43" s="990"/>
      <c r="CY43" s="990"/>
      <c r="CZ43" s="990"/>
      <c r="DA43" s="991">
        <v>1</v>
      </c>
      <c r="DB43" s="991">
        <v>1</v>
      </c>
      <c r="DC43" s="991">
        <v>1</v>
      </c>
      <c r="DD43" s="991">
        <v>1</v>
      </c>
      <c r="DE43" s="991">
        <v>1</v>
      </c>
      <c r="DF43" s="991"/>
      <c r="DG43" s="991"/>
      <c r="DH43" s="991"/>
      <c r="DI43" s="991"/>
      <c r="DJ43" s="991"/>
      <c r="DK43" s="991"/>
      <c r="DL43" s="989"/>
      <c r="DM43" s="989"/>
      <c r="DN43" s="991"/>
      <c r="DO43" s="991"/>
      <c r="DP43" s="991"/>
      <c r="DQ43" s="991"/>
      <c r="DR43" s="991"/>
      <c r="DS43" s="991"/>
      <c r="DT43" s="991"/>
      <c r="DU43" s="991"/>
      <c r="DV43" s="991"/>
      <c r="DW43" s="991"/>
      <c r="DX43" s="991"/>
      <c r="DY43" s="991"/>
      <c r="DZ43" s="991"/>
      <c r="EA43" s="991"/>
      <c r="EB43" s="991"/>
      <c r="EC43" s="991"/>
      <c r="ED43" s="991"/>
      <c r="EE43" s="991"/>
      <c r="EF43" s="991"/>
      <c r="EG43" s="989"/>
      <c r="EH43" s="991"/>
      <c r="EI43" s="991"/>
      <c r="EJ43" s="991"/>
      <c r="EK43" s="991"/>
      <c r="EL43" s="991"/>
      <c r="EM43" s="991"/>
      <c r="EN43" s="991"/>
      <c r="EO43" s="991"/>
      <c r="EP43" s="991"/>
      <c r="EQ43" s="991"/>
      <c r="ER43" s="991"/>
      <c r="ES43" s="991"/>
      <c r="ET43" s="991"/>
      <c r="EU43" s="991"/>
      <c r="EV43" s="991"/>
      <c r="EW43" s="991"/>
      <c r="EX43" s="991"/>
      <c r="EY43" s="991"/>
      <c r="EZ43" s="991"/>
      <c r="FA43" s="991"/>
      <c r="FB43" s="991"/>
      <c r="FC43" s="991"/>
      <c r="FD43" s="991"/>
      <c r="FE43" s="991"/>
      <c r="FF43" s="991"/>
      <c r="FG43" s="991"/>
      <c r="FH43" s="991"/>
      <c r="FI43" s="991"/>
      <c r="FJ43" s="991"/>
      <c r="FK43" s="991"/>
      <c r="FL43" s="991"/>
      <c r="FM43" s="991"/>
      <c r="FN43" s="991"/>
      <c r="FO43" s="991"/>
      <c r="FP43" s="991"/>
      <c r="FQ43" s="991"/>
      <c r="FR43" s="991"/>
      <c r="FS43" s="991"/>
      <c r="FT43" s="991"/>
      <c r="FU43" s="991"/>
      <c r="FV43" s="991"/>
      <c r="FW43" s="991"/>
      <c r="FX43" s="991"/>
      <c r="FY43" s="991"/>
      <c r="FZ43" s="991"/>
      <c r="GA43" s="991"/>
      <c r="GB43" s="991"/>
      <c r="GC43" s="991"/>
      <c r="GD43" s="991"/>
      <c r="GE43" s="991"/>
      <c r="GF43" s="991"/>
      <c r="GG43" s="991"/>
      <c r="GH43" s="991"/>
      <c r="GI43" s="991"/>
      <c r="GJ43" s="991"/>
      <c r="GK43" s="991"/>
      <c r="GL43" s="991"/>
      <c r="GM43" s="991"/>
      <c r="GN43" s="991"/>
      <c r="GO43" s="991"/>
      <c r="GP43" s="991"/>
      <c r="GQ43" s="991"/>
      <c r="GR43" s="991"/>
      <c r="GS43" s="991"/>
      <c r="GT43" s="991"/>
      <c r="GU43" s="991"/>
      <c r="GV43" s="991"/>
      <c r="GW43" s="991"/>
      <c r="GX43" s="991"/>
      <c r="GY43" s="991"/>
      <c r="GZ43" s="991"/>
      <c r="HA43" s="991"/>
      <c r="HB43" s="991"/>
      <c r="HC43" s="991"/>
      <c r="HD43" s="991"/>
      <c r="HE43" s="991"/>
      <c r="HF43" s="991"/>
      <c r="HG43" s="991"/>
      <c r="HH43" s="991"/>
      <c r="HI43" s="991"/>
      <c r="HJ43" s="991"/>
      <c r="HK43" s="991"/>
      <c r="HL43" s="991"/>
      <c r="HM43" s="991"/>
      <c r="HN43" s="991"/>
      <c r="HO43" s="991"/>
      <c r="HP43" s="991"/>
      <c r="HQ43" s="991"/>
      <c r="HR43" s="991"/>
      <c r="HS43" s="991"/>
      <c r="HT43" s="991"/>
      <c r="HU43" s="991"/>
      <c r="HV43" s="991"/>
      <c r="HW43" s="991"/>
      <c r="HX43" s="991"/>
      <c r="HY43" s="991"/>
      <c r="HZ43" s="991"/>
      <c r="IA43" s="991"/>
      <c r="IB43" s="991"/>
      <c r="IC43" s="991"/>
      <c r="ID43" s="991"/>
      <c r="IE43" s="991"/>
      <c r="IF43" s="991"/>
      <c r="IG43" s="991"/>
      <c r="IH43" s="991"/>
      <c r="II43" s="991"/>
      <c r="IJ43" s="991"/>
      <c r="IK43" s="991"/>
      <c r="IL43" s="991"/>
      <c r="IM43" s="991"/>
      <c r="IN43" s="991"/>
      <c r="IO43" s="991"/>
      <c r="IP43" s="991"/>
      <c r="IQ43" s="991"/>
      <c r="IR43" s="991"/>
      <c r="IS43" s="991"/>
      <c r="IT43" s="991"/>
      <c r="IU43" s="991"/>
      <c r="IV43" s="991"/>
      <c r="IW43" s="989"/>
      <c r="IX43" s="991"/>
      <c r="IY43" s="991"/>
      <c r="IZ43" s="991"/>
      <c r="JA43" s="991"/>
      <c r="JB43" s="991"/>
      <c r="JC43" s="991"/>
      <c r="JD43" s="991"/>
      <c r="JE43" s="991">
        <v>1</v>
      </c>
      <c r="JF43" s="991">
        <v>1</v>
      </c>
      <c r="JG43" s="991">
        <v>1</v>
      </c>
      <c r="JH43" s="991">
        <v>1</v>
      </c>
      <c r="JI43" s="991">
        <v>1</v>
      </c>
      <c r="JJ43" s="989"/>
      <c r="JK43" s="989"/>
      <c r="JL43" s="989"/>
      <c r="JM43" s="989"/>
      <c r="JN43" s="991"/>
      <c r="JO43" s="991"/>
      <c r="JP43" s="991"/>
      <c r="JQ43" s="991">
        <v>1</v>
      </c>
      <c r="JR43" s="991">
        <v>1</v>
      </c>
      <c r="JS43" s="991">
        <v>1</v>
      </c>
      <c r="JT43" s="991">
        <v>1</v>
      </c>
      <c r="JU43" s="991">
        <v>1</v>
      </c>
      <c r="JV43" s="991"/>
      <c r="JW43" s="989"/>
      <c r="JX43" s="989"/>
      <c r="JY43" s="991"/>
      <c r="JZ43" s="991"/>
      <c r="KA43" s="991"/>
      <c r="KB43" s="991">
        <v>1</v>
      </c>
      <c r="KC43" s="991">
        <v>1</v>
      </c>
      <c r="KD43" s="991">
        <v>1</v>
      </c>
      <c r="KE43" s="991">
        <v>1</v>
      </c>
      <c r="KF43" s="991">
        <v>1</v>
      </c>
      <c r="KG43" s="991"/>
      <c r="KH43" s="991"/>
      <c r="KI43" s="991"/>
      <c r="KJ43" s="991"/>
      <c r="KK43" s="991"/>
      <c r="KL43" s="991"/>
      <c r="KM43" s="991"/>
      <c r="KN43" s="991"/>
      <c r="KO43" s="991"/>
      <c r="KP43" s="991"/>
      <c r="KQ43" s="991"/>
      <c r="KR43" s="991"/>
      <c r="KS43" s="991"/>
      <c r="KT43" s="991"/>
      <c r="KU43" s="991"/>
      <c r="KV43" s="991"/>
      <c r="KW43" s="991"/>
      <c r="KX43" s="991"/>
      <c r="KY43" s="991"/>
      <c r="KZ43" s="991"/>
      <c r="LA43" s="991"/>
      <c r="LB43" s="991"/>
      <c r="LC43" s="991"/>
      <c r="LD43" s="991"/>
      <c r="LE43" s="991"/>
      <c r="LF43" s="991"/>
      <c r="LG43" s="991"/>
      <c r="LH43" s="991"/>
      <c r="LI43" s="991"/>
      <c r="LJ43" s="991"/>
      <c r="LK43" s="991"/>
      <c r="LL43" s="991"/>
      <c r="LM43" s="991"/>
      <c r="LN43" s="989"/>
      <c r="LO43" s="989"/>
      <c r="LP43" s="991"/>
      <c r="LQ43" s="991"/>
      <c r="LR43" s="991"/>
      <c r="LS43" s="991">
        <v>1</v>
      </c>
      <c r="LT43" s="991">
        <v>1</v>
      </c>
      <c r="LU43" s="991">
        <v>1</v>
      </c>
      <c r="LV43" s="991">
        <v>1</v>
      </c>
      <c r="LW43" s="991">
        <v>1</v>
      </c>
      <c r="LX43" s="991"/>
      <c r="LY43" s="991"/>
      <c r="LZ43" s="991">
        <v>0</v>
      </c>
      <c r="MA43" s="991"/>
      <c r="MB43" s="991"/>
      <c r="MC43" s="991"/>
      <c r="MD43" s="991"/>
      <c r="ME43" s="991"/>
      <c r="MF43" s="991"/>
      <c r="MG43" s="991"/>
      <c r="MH43" s="991"/>
      <c r="MI43" s="991"/>
      <c r="MJ43" s="991"/>
      <c r="MK43" s="991"/>
      <c r="ML43" s="991"/>
      <c r="MM43" s="991"/>
      <c r="MN43" s="991"/>
      <c r="MO43" s="991"/>
      <c r="MP43" s="991"/>
      <c r="MQ43" s="991"/>
      <c r="MR43" s="991"/>
      <c r="MS43" s="991"/>
      <c r="MT43" s="991"/>
      <c r="MU43" s="991"/>
      <c r="MV43" s="991"/>
      <c r="MW43" s="991"/>
      <c r="MX43" s="991">
        <v>-548379.96591493534</v>
      </c>
      <c r="MY43" s="991">
        <v>-5.6057976196632886E-2</v>
      </c>
      <c r="MZ43" s="991">
        <v>2.3169596365813168</v>
      </c>
      <c r="NA43" s="991">
        <v>2.3169596365813168</v>
      </c>
      <c r="NB43" s="991">
        <v>163008.86814203212</v>
      </c>
      <c r="NC43" s="991">
        <v>1.1935164277488752</v>
      </c>
      <c r="ND43" s="991">
        <v>0.16969509809525718</v>
      </c>
      <c r="NE43" s="991">
        <v>0.16969509809525718</v>
      </c>
      <c r="NF43" s="991">
        <v>16971.749140328644</v>
      </c>
      <c r="NG43" s="991">
        <v>-0.49105974754584114</v>
      </c>
      <c r="NH43" s="991">
        <v>4.5777144812553239E-2</v>
      </c>
      <c r="NI43" s="991">
        <v>4.5777144812553239E-2</v>
      </c>
      <c r="NJ43" s="991">
        <v>24937.229909639544</v>
      </c>
      <c r="NK43" s="991">
        <v>-0.5728508462310099</v>
      </c>
      <c r="NL43" s="991">
        <v>-0.31928389463363738</v>
      </c>
      <c r="NM43" s="991">
        <v>-0.31928389463363738</v>
      </c>
      <c r="NN43" s="991">
        <v>46903.788460051932</v>
      </c>
      <c r="NO43" s="991">
        <v>-0.10286391912811554</v>
      </c>
      <c r="NP43" s="991">
        <v>-1.2470099209330618</v>
      </c>
      <c r="NQ43" s="991">
        <v>-1.2470099209330618</v>
      </c>
      <c r="NR43" s="991">
        <v>-111907.03951127999</v>
      </c>
      <c r="NS43" s="991">
        <v>-1.0698418934196872</v>
      </c>
      <c r="NT43" s="991">
        <v>-1.6571095904057032</v>
      </c>
      <c r="NU43" s="991">
        <v>-1.6571095904057032</v>
      </c>
      <c r="NV43" s="994">
        <v>0</v>
      </c>
      <c r="NW43" s="994">
        <v>0</v>
      </c>
      <c r="NX43" s="994">
        <v>0</v>
      </c>
      <c r="NY43" s="994">
        <v>0</v>
      </c>
      <c r="NZ43" s="994">
        <v>0</v>
      </c>
      <c r="OA43" s="994">
        <v>0</v>
      </c>
      <c r="OB43" s="994">
        <v>2.3331596698950001</v>
      </c>
      <c r="OC43" s="994">
        <v>0</v>
      </c>
      <c r="OD43" s="994">
        <v>0</v>
      </c>
      <c r="OE43" s="994">
        <v>0.98609088910742004</v>
      </c>
      <c r="OF43" s="994">
        <v>9.6999770847580005E-2</v>
      </c>
      <c r="OG43" s="994">
        <v>-0.74905005460903995</v>
      </c>
      <c r="OH43" s="994">
        <v>2.3331596698949899</v>
      </c>
      <c r="OI43" s="994">
        <v>0</v>
      </c>
      <c r="OJ43" s="994">
        <v>0</v>
      </c>
      <c r="OK43" s="994">
        <v>0.98609088910742004</v>
      </c>
      <c r="OL43" s="994">
        <v>0</v>
      </c>
      <c r="OM43" s="994">
        <v>-0.74905005460903995</v>
      </c>
      <c r="ON43" s="994">
        <v>0</v>
      </c>
      <c r="OO43" s="994">
        <v>0</v>
      </c>
      <c r="OP43" s="994">
        <v>0</v>
      </c>
      <c r="OQ43" s="994">
        <v>0</v>
      </c>
      <c r="OR43" s="994">
        <v>0</v>
      </c>
      <c r="OS43" s="994">
        <v>0</v>
      </c>
      <c r="OT43" s="994">
        <v>0</v>
      </c>
      <c r="OU43" s="994">
        <v>0</v>
      </c>
      <c r="OV43" s="994">
        <v>0</v>
      </c>
      <c r="OW43" s="994">
        <v>0</v>
      </c>
      <c r="OX43" s="994">
        <v>0</v>
      </c>
      <c r="OY43" s="994">
        <v>0</v>
      </c>
      <c r="OZ43" s="994">
        <v>0</v>
      </c>
      <c r="PA43" s="994">
        <v>0</v>
      </c>
      <c r="PB43" s="994">
        <v>0</v>
      </c>
      <c r="PC43" s="994">
        <v>0</v>
      </c>
      <c r="PD43" s="994">
        <v>0</v>
      </c>
      <c r="PE43" s="994">
        <v>0</v>
      </c>
      <c r="PF43" s="994">
        <v>0</v>
      </c>
      <c r="PG43" s="994">
        <v>0</v>
      </c>
      <c r="PH43" s="994">
        <v>0</v>
      </c>
      <c r="PI43" s="994">
        <v>0</v>
      </c>
      <c r="PJ43" s="994">
        <v>0</v>
      </c>
      <c r="PK43" s="994">
        <v>0</v>
      </c>
      <c r="PL43" s="994">
        <v>0</v>
      </c>
      <c r="PM43" s="994">
        <v>0</v>
      </c>
      <c r="PN43" s="994">
        <v>0</v>
      </c>
      <c r="PO43" s="994">
        <v>0</v>
      </c>
      <c r="PP43" s="994">
        <v>0</v>
      </c>
      <c r="PQ43" s="994">
        <v>0</v>
      </c>
      <c r="PR43" s="994">
        <v>0</v>
      </c>
      <c r="PS43" s="994">
        <v>0</v>
      </c>
      <c r="PT43" s="994">
        <v>0</v>
      </c>
      <c r="PU43" s="994">
        <v>0</v>
      </c>
      <c r="PV43" s="994">
        <v>0</v>
      </c>
      <c r="PW43" s="994">
        <v>0</v>
      </c>
      <c r="PX43" s="994">
        <v>0</v>
      </c>
      <c r="PY43" s="994">
        <v>0</v>
      </c>
      <c r="PZ43" s="994">
        <v>0</v>
      </c>
      <c r="QA43" s="994">
        <v>0</v>
      </c>
      <c r="QB43" s="994">
        <v>0</v>
      </c>
      <c r="QC43" s="994">
        <v>0</v>
      </c>
      <c r="QD43" s="994">
        <v>-55.82</v>
      </c>
      <c r="QE43" s="994">
        <v>-11.99</v>
      </c>
      <c r="QF43" s="994">
        <v>-19.61</v>
      </c>
      <c r="QG43" s="994">
        <v>-12.92</v>
      </c>
      <c r="QH43" s="994">
        <v>4.6060068064949999E-2</v>
      </c>
      <c r="QI43" s="994">
        <v>-3.91</v>
      </c>
      <c r="QJ43" s="994">
        <v>0</v>
      </c>
      <c r="QK43" s="994">
        <v>0</v>
      </c>
      <c r="QL43" s="994">
        <v>0</v>
      </c>
      <c r="QM43" s="994">
        <v>0</v>
      </c>
      <c r="QN43" s="994">
        <v>0</v>
      </c>
      <c r="QO43" s="994">
        <v>0</v>
      </c>
      <c r="QP43" s="994">
        <v>0</v>
      </c>
      <c r="QQ43" s="994">
        <v>0</v>
      </c>
      <c r="QR43" s="994">
        <v>0</v>
      </c>
      <c r="QS43" s="994">
        <v>0</v>
      </c>
      <c r="QT43" s="994">
        <v>0</v>
      </c>
      <c r="QU43" s="994">
        <v>0</v>
      </c>
      <c r="QV43" s="994">
        <v>0</v>
      </c>
      <c r="QW43" s="994">
        <v>0</v>
      </c>
      <c r="QX43" s="994">
        <v>0</v>
      </c>
      <c r="QY43" s="994">
        <v>0</v>
      </c>
      <c r="QZ43" s="994">
        <v>0</v>
      </c>
      <c r="RA43" s="994">
        <v>0</v>
      </c>
      <c r="RB43" s="994">
        <v>0</v>
      </c>
      <c r="RC43" s="994">
        <v>0</v>
      </c>
      <c r="RD43" s="994">
        <v>0</v>
      </c>
      <c r="RE43" s="994">
        <v>0</v>
      </c>
      <c r="RF43" s="994">
        <v>0</v>
      </c>
      <c r="RG43" s="994">
        <v>0</v>
      </c>
      <c r="RH43" s="994">
        <v>-0.6</v>
      </c>
      <c r="RI43" s="994">
        <v>0</v>
      </c>
      <c r="RJ43" s="994">
        <v>0</v>
      </c>
      <c r="RK43" s="994">
        <v>0</v>
      </c>
      <c r="RL43" s="994">
        <v>0</v>
      </c>
      <c r="RM43" s="994">
        <v>-3.1108822695035498</v>
      </c>
      <c r="RN43" s="994">
        <v>0.1</v>
      </c>
      <c r="RO43" s="994">
        <v>0</v>
      </c>
      <c r="RP43" s="994">
        <v>0</v>
      </c>
      <c r="RQ43" s="994">
        <v>0</v>
      </c>
      <c r="RR43" s="994">
        <v>0</v>
      </c>
      <c r="RS43" s="994">
        <v>0.23</v>
      </c>
      <c r="RT43" s="994">
        <v>-9.0767508396599993E-3</v>
      </c>
      <c r="RU43" s="994">
        <v>0</v>
      </c>
      <c r="RV43" s="994">
        <v>0</v>
      </c>
      <c r="RW43" s="994">
        <v>-2.3954794799700002E-3</v>
      </c>
      <c r="RX43" s="994">
        <v>0</v>
      </c>
      <c r="RY43" s="994">
        <v>-0.47</v>
      </c>
      <c r="RZ43" s="994">
        <v>0</v>
      </c>
      <c r="SA43" s="994">
        <v>0</v>
      </c>
      <c r="SB43" s="994">
        <v>0</v>
      </c>
      <c r="SC43" s="994">
        <v>0</v>
      </c>
      <c r="SD43" s="994">
        <v>0</v>
      </c>
      <c r="SE43" s="994">
        <v>0</v>
      </c>
      <c r="SF43" s="994">
        <v>0</v>
      </c>
      <c r="SG43" s="994">
        <v>0</v>
      </c>
      <c r="SH43" s="994">
        <v>0</v>
      </c>
      <c r="SI43" s="994">
        <v>0</v>
      </c>
      <c r="SJ43" s="994">
        <v>0</v>
      </c>
      <c r="SK43" s="994">
        <v>0</v>
      </c>
      <c r="SL43" s="994">
        <v>-55.82</v>
      </c>
      <c r="SM43" s="994">
        <v>-11.99</v>
      </c>
      <c r="SN43" s="994">
        <v>-19.61</v>
      </c>
      <c r="SO43" s="994">
        <v>-12.92</v>
      </c>
      <c r="SP43" s="994">
        <v>-1.07225369578546</v>
      </c>
      <c r="SQ43" s="994">
        <v>-0.59</v>
      </c>
      <c r="SR43" s="994">
        <v>-0.12913436945737</v>
      </c>
      <c r="SS43" s="994">
        <v>0</v>
      </c>
      <c r="ST43" s="994">
        <v>0</v>
      </c>
      <c r="SU43" s="994">
        <v>0</v>
      </c>
      <c r="SV43" s="994">
        <v>-0.75737307686747002</v>
      </c>
      <c r="SW43" s="994">
        <v>0</v>
      </c>
      <c r="SX43" s="994">
        <v>-0.15496124334884001</v>
      </c>
      <c r="SY43" s="994">
        <v>0</v>
      </c>
      <c r="SZ43" s="994">
        <v>0</v>
      </c>
      <c r="TA43" s="994">
        <v>0</v>
      </c>
      <c r="TB43" s="994">
        <v>-1.39367584496439</v>
      </c>
      <c r="TC43" s="994">
        <v>0</v>
      </c>
      <c r="TD43" s="994">
        <v>0</v>
      </c>
      <c r="TE43" s="994">
        <v>0</v>
      </c>
      <c r="TF43" s="994">
        <v>0</v>
      </c>
      <c r="TG43" s="994">
        <v>0</v>
      </c>
      <c r="TH43" s="994">
        <v>0</v>
      </c>
      <c r="TI43" s="994">
        <v>0</v>
      </c>
      <c r="TJ43" s="994">
        <v>-0.15496124334885</v>
      </c>
      <c r="TK43" s="994">
        <v>0</v>
      </c>
      <c r="TL43" s="994">
        <v>0</v>
      </c>
      <c r="TM43" s="994">
        <v>0</v>
      </c>
      <c r="TN43" s="994">
        <v>-1.3435541332540599</v>
      </c>
      <c r="TO43" s="994">
        <v>0</v>
      </c>
      <c r="TP43" s="994">
        <v>-55.82</v>
      </c>
      <c r="TQ43" s="994">
        <v>-11.99</v>
      </c>
      <c r="TR43" s="994">
        <v>-19.61</v>
      </c>
      <c r="TS43" s="994">
        <v>-12.92</v>
      </c>
      <c r="TT43" s="994">
        <v>-0.84497718120804999</v>
      </c>
      <c r="TU43" s="994">
        <v>-0.9</v>
      </c>
      <c r="TV43" s="994">
        <v>0</v>
      </c>
      <c r="TW43" s="994">
        <v>0</v>
      </c>
      <c r="TX43" s="994">
        <v>0</v>
      </c>
      <c r="TY43" s="994">
        <v>0</v>
      </c>
      <c r="TZ43" s="994">
        <v>0</v>
      </c>
      <c r="UA43" s="994">
        <v>0</v>
      </c>
      <c r="UB43" s="994">
        <v>0</v>
      </c>
      <c r="UC43" s="994">
        <v>0</v>
      </c>
      <c r="UD43" s="994">
        <v>0</v>
      </c>
      <c r="UE43" s="994">
        <v>0</v>
      </c>
      <c r="UF43" s="994">
        <v>0</v>
      </c>
      <c r="UG43" s="994">
        <v>0</v>
      </c>
      <c r="UH43" s="994">
        <v>0</v>
      </c>
      <c r="UI43" s="994">
        <v>0</v>
      </c>
      <c r="UJ43" s="994">
        <v>0</v>
      </c>
      <c r="UK43" s="994">
        <v>0</v>
      </c>
      <c r="UL43" s="994">
        <v>0</v>
      </c>
      <c r="UM43" s="994">
        <v>0</v>
      </c>
      <c r="UN43" s="994">
        <v>0</v>
      </c>
      <c r="UO43" s="994">
        <v>0</v>
      </c>
      <c r="UP43" s="994">
        <v>0</v>
      </c>
      <c r="UQ43" s="994">
        <v>0</v>
      </c>
      <c r="UR43" s="994">
        <v>0</v>
      </c>
      <c r="US43" s="994">
        <v>0</v>
      </c>
      <c r="UT43" s="994">
        <v>1.0046888903139199</v>
      </c>
      <c r="UU43" s="994">
        <v>0.16710577309979999</v>
      </c>
      <c r="UV43" s="994">
        <v>-0.20275762945598999</v>
      </c>
      <c r="UW43" s="994">
        <v>1.2390474038300001E-2</v>
      </c>
      <c r="UX43" s="994">
        <v>-5.5329298001249999E-2</v>
      </c>
      <c r="UY43" s="994">
        <v>-0.44750344212965998</v>
      </c>
      <c r="UZ43" s="994">
        <v>-2.6800558377699998E-3</v>
      </c>
      <c r="VA43" s="994">
        <v>0</v>
      </c>
      <c r="VB43" s="994">
        <v>0</v>
      </c>
      <c r="VC43" s="994">
        <v>0</v>
      </c>
      <c r="VD43" s="994">
        <v>4.3345790606010001E-2</v>
      </c>
      <c r="VE43" s="994">
        <v>0</v>
      </c>
      <c r="VF43" s="994">
        <v>0</v>
      </c>
      <c r="VG43" s="994">
        <v>0</v>
      </c>
      <c r="VH43" s="994">
        <v>0</v>
      </c>
      <c r="VI43" s="994">
        <v>0</v>
      </c>
      <c r="VJ43" s="994">
        <v>0.14138326334163001</v>
      </c>
      <c r="VK43" s="994">
        <v>-6.76163329988798</v>
      </c>
      <c r="VL43" s="994">
        <v>0.12020443037641</v>
      </c>
      <c r="VM43" s="994">
        <v>0</v>
      </c>
      <c r="VN43" s="994">
        <v>0</v>
      </c>
      <c r="VO43" s="994">
        <v>0</v>
      </c>
      <c r="VP43" s="994">
        <v>0</v>
      </c>
      <c r="VQ43" s="994">
        <v>-3.11</v>
      </c>
      <c r="VR43" s="994">
        <v>6.8506595710599999E-3</v>
      </c>
      <c r="VS43" s="994">
        <v>0</v>
      </c>
      <c r="VT43" s="994">
        <v>0</v>
      </c>
      <c r="VU43" s="994">
        <v>0</v>
      </c>
      <c r="VV43" s="994">
        <v>0</v>
      </c>
      <c r="VW43" s="994">
        <v>-0.43889541996992998</v>
      </c>
      <c r="VX43" s="994">
        <v>0</v>
      </c>
      <c r="VY43" s="994">
        <v>0</v>
      </c>
      <c r="VZ43" s="994">
        <v>0</v>
      </c>
      <c r="WA43" s="994">
        <v>0</v>
      </c>
      <c r="WB43" s="994">
        <v>0</v>
      </c>
      <c r="WC43" s="994">
        <v>0</v>
      </c>
      <c r="WD43" s="988"/>
      <c r="WE43" s="988"/>
      <c r="WF43" s="988"/>
      <c r="WG43" s="988"/>
      <c r="WH43" s="988"/>
      <c r="WI43" s="988"/>
      <c r="WJ43" s="988"/>
      <c r="WK43" s="988"/>
      <c r="WL43" s="988"/>
      <c r="WM43" s="988"/>
      <c r="WN43" s="988"/>
      <c r="WO43" s="988"/>
      <c r="WP43" s="988"/>
      <c r="WQ43" s="988"/>
      <c r="WR43" s="988"/>
      <c r="WS43" s="988"/>
      <c r="WT43" s="988"/>
      <c r="WU43" s="988"/>
      <c r="WV43" s="988"/>
      <c r="WW43" s="988"/>
      <c r="WX43" s="988"/>
      <c r="WY43" s="988"/>
      <c r="WZ43" s="988"/>
      <c r="XA43" s="988"/>
      <c r="XB43" s="988"/>
      <c r="XC43" s="988"/>
      <c r="XD43" s="988"/>
      <c r="XE43" s="988"/>
      <c r="XF43" s="988"/>
      <c r="XG43" s="988"/>
      <c r="XH43" s="988"/>
      <c r="XI43" s="988"/>
      <c r="XJ43" s="988"/>
      <c r="XK43" s="988"/>
      <c r="XL43" s="988"/>
      <c r="XM43" s="988"/>
      <c r="XN43" s="988"/>
      <c r="XO43" s="988"/>
      <c r="XP43" s="988"/>
      <c r="XQ43" s="988"/>
      <c r="XR43" s="988"/>
      <c r="XS43" s="988"/>
      <c r="XT43" s="988"/>
      <c r="XU43" s="988"/>
      <c r="XV43" s="988"/>
      <c r="XW43" s="988"/>
      <c r="XX43" s="988"/>
      <c r="XY43" s="988"/>
      <c r="XZ43" s="988"/>
      <c r="YA43" s="988"/>
      <c r="YB43" s="988"/>
      <c r="YC43" s="988"/>
      <c r="YD43" s="988"/>
      <c r="YE43" s="988"/>
      <c r="YF43" s="988"/>
      <c r="YG43" s="988"/>
      <c r="YH43" s="988"/>
      <c r="YI43" s="988"/>
      <c r="YJ43" s="988"/>
      <c r="YK43" s="988"/>
      <c r="YL43" s="988"/>
      <c r="YM43" s="988"/>
      <c r="YN43" s="988"/>
      <c r="YO43" s="988"/>
      <c r="YP43" s="988"/>
      <c r="YQ43" s="988"/>
      <c r="YR43" s="988"/>
      <c r="YS43" s="988"/>
      <c r="YT43" s="988"/>
      <c r="YU43" s="988"/>
      <c r="YV43" s="988"/>
      <c r="YW43" s="988"/>
      <c r="YX43" s="988"/>
      <c r="YY43" s="988"/>
      <c r="YZ43" s="988"/>
      <c r="ZA43" s="988"/>
      <c r="ZB43" s="988"/>
      <c r="ZC43" s="988"/>
      <c r="ZD43" s="988"/>
      <c r="ZE43" s="988"/>
      <c r="ZF43" s="988"/>
      <c r="ZG43" s="988"/>
      <c r="ZH43" s="988"/>
      <c r="ZI43" s="988"/>
      <c r="ZJ43" s="988"/>
      <c r="ZK43" s="988"/>
      <c r="ZL43" s="988"/>
      <c r="ZM43" s="988"/>
      <c r="ZN43" s="988"/>
      <c r="ZO43" s="988"/>
      <c r="ZP43" s="988"/>
      <c r="ZQ43" s="988"/>
      <c r="ZR43" s="988"/>
      <c r="ZS43" s="988"/>
      <c r="ZT43" s="988"/>
      <c r="ZU43" s="988"/>
      <c r="ZV43" s="988"/>
      <c r="ZW43" s="988"/>
      <c r="ZX43" s="988"/>
      <c r="ZY43" s="988"/>
      <c r="ZZ43" s="988"/>
      <c r="AAA43" s="988"/>
      <c r="AAB43" s="988"/>
      <c r="AAC43" s="988"/>
      <c r="AAD43" s="988"/>
      <c r="AAE43" s="988"/>
      <c r="AAF43" s="988"/>
      <c r="AAG43" s="988"/>
      <c r="AAH43" s="988"/>
      <c r="AAI43" s="988"/>
      <c r="AAJ43" s="988"/>
      <c r="AAK43" s="988"/>
      <c r="AAL43" s="988"/>
      <c r="AAM43" s="988"/>
      <c r="AAN43" s="988"/>
      <c r="AAO43" s="988"/>
      <c r="AAP43" s="988"/>
      <c r="AAQ43" s="988"/>
      <c r="AAR43" s="988"/>
      <c r="AAS43" s="988"/>
      <c r="AAT43" s="988"/>
      <c r="AAU43" s="988"/>
      <c r="AAV43" s="988"/>
      <c r="AAW43" s="988"/>
      <c r="AAX43" s="988"/>
      <c r="AAY43" s="988"/>
      <c r="AAZ43" s="988"/>
      <c r="ABA43" s="988"/>
      <c r="ABB43" s="988"/>
      <c r="ABC43" s="988"/>
      <c r="ABD43" s="988"/>
      <c r="ABE43" s="988"/>
      <c r="ABF43" s="988"/>
      <c r="ABG43" s="988"/>
      <c r="ABH43" s="988"/>
      <c r="ABI43" s="988"/>
      <c r="ABJ43" s="988"/>
      <c r="ABK43" s="988"/>
      <c r="ABL43" s="988"/>
      <c r="ABM43" s="988"/>
      <c r="ABN43" s="988"/>
      <c r="ABO43" s="988"/>
      <c r="ABP43" s="988"/>
      <c r="ABQ43" s="988"/>
      <c r="ABR43" s="988"/>
      <c r="ABS43" s="988"/>
      <c r="ABT43" s="988"/>
      <c r="ABU43" s="988"/>
      <c r="ABV43" s="988"/>
      <c r="ABW43" s="988"/>
      <c r="ABX43" s="988"/>
      <c r="ABY43" s="988"/>
      <c r="ABZ43" s="988"/>
      <c r="ACA43" s="988"/>
      <c r="ACB43" s="988"/>
      <c r="ACC43" s="988"/>
      <c r="ACD43" s="988"/>
      <c r="ACE43" s="988"/>
      <c r="ACF43" s="988"/>
      <c r="ACG43" s="988"/>
      <c r="ACH43" s="988"/>
      <c r="ACI43" s="988"/>
      <c r="ACJ43" s="988"/>
      <c r="ACK43" s="988"/>
      <c r="ACL43" s="988"/>
      <c r="ACM43" s="988"/>
      <c r="ACN43" s="988"/>
      <c r="ACO43" s="988"/>
      <c r="ACP43" s="988"/>
      <c r="ACQ43" s="988"/>
      <c r="ACR43" s="988"/>
      <c r="ACS43" s="988"/>
      <c r="ACT43" s="988"/>
      <c r="ACU43" s="988"/>
      <c r="ACV43" s="988"/>
      <c r="ACW43" s="988"/>
      <c r="ACX43" s="988"/>
      <c r="ACY43" s="988"/>
      <c r="ACZ43" s="988"/>
      <c r="ADA43" s="988"/>
      <c r="ADB43" s="988"/>
      <c r="ADC43" s="988"/>
      <c r="ADD43" s="988"/>
      <c r="ADE43" s="988"/>
      <c r="ADF43" s="988"/>
      <c r="ADG43" s="988"/>
      <c r="ADH43" s="988"/>
      <c r="ADI43" s="988"/>
      <c r="ADJ43" s="988"/>
      <c r="ADK43" s="988"/>
      <c r="ADL43" s="988"/>
      <c r="ADM43" s="988"/>
      <c r="ADN43" s="988"/>
      <c r="ADO43" s="988"/>
      <c r="ADP43" s="988"/>
      <c r="ADQ43" s="988"/>
      <c r="ADR43" s="988"/>
      <c r="ADS43" s="988"/>
      <c r="ADT43" s="988"/>
      <c r="ADU43" s="988"/>
      <c r="ADV43" s="988"/>
      <c r="ADW43" s="988"/>
      <c r="ADX43" s="988"/>
      <c r="ADY43" s="988"/>
      <c r="ADZ43" s="988"/>
      <c r="AEA43" s="988"/>
      <c r="AEB43" s="988"/>
      <c r="AEC43" s="988"/>
      <c r="AED43" s="988"/>
      <c r="AEE43" s="988"/>
      <c r="AEF43" s="988"/>
      <c r="AEG43" s="988"/>
      <c r="AEH43" s="988"/>
      <c r="AEI43" s="988"/>
      <c r="AEJ43" s="988"/>
      <c r="AEK43" s="988"/>
      <c r="AEL43" s="988"/>
      <c r="AEM43" s="988"/>
      <c r="AEN43" s="988"/>
      <c r="AEO43" s="988"/>
      <c r="AEP43" s="988"/>
      <c r="AEQ43" s="988"/>
      <c r="AER43" s="988"/>
      <c r="AES43" s="988"/>
      <c r="AET43" s="988"/>
      <c r="AEU43" s="988"/>
      <c r="AEV43" s="988"/>
      <c r="AEW43" s="988"/>
      <c r="AEX43" s="988"/>
      <c r="AEY43" s="988"/>
      <c r="AEZ43" s="988"/>
      <c r="AFA43" s="988"/>
      <c r="AFB43" s="988"/>
      <c r="AFC43" s="988"/>
      <c r="AFD43" s="988"/>
      <c r="AFE43" s="988"/>
      <c r="AFF43" s="988"/>
      <c r="AFG43" s="988"/>
      <c r="AFH43" s="988"/>
      <c r="AFI43" s="988"/>
      <c r="AFJ43" s="988"/>
      <c r="AFK43" s="988"/>
      <c r="AFL43" s="988"/>
      <c r="AFM43" s="988"/>
      <c r="AFN43" s="988"/>
      <c r="AFO43" s="988"/>
      <c r="AFP43" s="988"/>
      <c r="AFQ43" s="988"/>
      <c r="AFR43" s="988"/>
      <c r="AFS43" s="988"/>
      <c r="AFT43" s="988"/>
      <c r="AFU43" s="988"/>
      <c r="AFV43" s="988"/>
      <c r="AFW43" s="988"/>
      <c r="AFX43" s="988"/>
      <c r="AFY43" s="988"/>
      <c r="AFZ43" s="988"/>
      <c r="AGA43" s="988"/>
      <c r="AGB43" s="988"/>
      <c r="AGC43" s="988"/>
      <c r="AGD43" s="988"/>
      <c r="AGE43" s="988"/>
      <c r="AGF43" s="988"/>
      <c r="AGG43" s="988"/>
      <c r="AGH43" s="988"/>
      <c r="AGI43" s="988"/>
      <c r="AGJ43" s="988"/>
      <c r="AGK43" s="988"/>
      <c r="AGL43" s="988"/>
      <c r="AGM43" s="988"/>
      <c r="AGN43" s="988"/>
      <c r="AGO43" s="988"/>
      <c r="AGP43" s="988"/>
      <c r="AGQ43" s="988"/>
      <c r="AGR43" s="988"/>
      <c r="AGS43" s="988"/>
      <c r="AGT43" s="988"/>
      <c r="AGU43" s="988"/>
      <c r="AGV43" s="988"/>
      <c r="AGW43" s="988"/>
      <c r="AGX43" s="988"/>
      <c r="AGY43" s="988"/>
      <c r="AGZ43" s="988"/>
      <c r="AHA43" s="988"/>
      <c r="AHB43" s="988"/>
      <c r="AHC43" s="988"/>
      <c r="AHD43" s="988"/>
      <c r="AHE43" s="988"/>
      <c r="AHF43" s="988"/>
      <c r="AHG43" s="988"/>
      <c r="AHH43" s="988"/>
      <c r="AHI43" s="988"/>
      <c r="AHJ43" s="988"/>
      <c r="AHK43" s="988"/>
      <c r="AHL43" s="988"/>
      <c r="AHM43" s="988"/>
      <c r="AHN43" s="988"/>
      <c r="AHO43" s="988"/>
      <c r="AHP43" s="988"/>
      <c r="AHQ43" s="988"/>
      <c r="AHR43" s="988"/>
      <c r="AHS43" s="988"/>
      <c r="AHT43" s="988"/>
      <c r="AHU43" s="988"/>
      <c r="AHV43" s="988"/>
      <c r="AHW43" s="988"/>
      <c r="AHX43" s="988"/>
      <c r="AHY43" s="988"/>
      <c r="AHZ43" s="988"/>
      <c r="AIA43" s="988"/>
      <c r="AIB43" s="988"/>
      <c r="AIC43" s="988"/>
      <c r="AID43" s="988"/>
      <c r="AIE43" s="988"/>
      <c r="AIF43" s="988"/>
      <c r="AIG43" s="988"/>
      <c r="AIH43" s="988"/>
      <c r="AII43" s="988"/>
      <c r="AIJ43" s="988"/>
      <c r="AIK43" s="988"/>
      <c r="AIL43" s="988"/>
      <c r="AIM43" s="988"/>
      <c r="AIN43" s="988"/>
      <c r="AIO43" s="988"/>
      <c r="AIP43" s="988"/>
      <c r="AIQ43" s="988"/>
      <c r="AIR43" s="988"/>
      <c r="AIS43" s="988"/>
      <c r="AIT43" s="988"/>
      <c r="AIU43" s="988"/>
      <c r="AIV43" s="988"/>
      <c r="AIW43" s="988"/>
      <c r="AIX43" s="988"/>
      <c r="AIY43" s="988"/>
      <c r="AIZ43" s="988"/>
      <c r="AJA43" s="988"/>
      <c r="AJB43" s="988"/>
      <c r="AJC43" s="988"/>
      <c r="AJD43" s="988"/>
      <c r="AJE43" s="988"/>
      <c r="AJF43" s="988"/>
      <c r="AJG43" s="988"/>
      <c r="AJH43" s="988"/>
      <c r="AJI43" s="988"/>
      <c r="AJJ43" s="988"/>
      <c r="AJK43" s="988"/>
      <c r="AJL43" s="988"/>
      <c r="AJM43" s="988"/>
      <c r="AJN43" s="988"/>
      <c r="AJO43" s="988"/>
      <c r="AJP43" s="988"/>
      <c r="AJQ43" s="988"/>
      <c r="AJR43" s="988"/>
      <c r="AJS43" s="988"/>
      <c r="AJT43" s="988"/>
      <c r="AJU43" s="988"/>
      <c r="AJV43" s="988"/>
      <c r="AJW43" s="988"/>
      <c r="AJX43" s="988"/>
      <c r="AJY43" s="988"/>
      <c r="AJZ43" s="988"/>
      <c r="AKA43" s="988"/>
      <c r="AKB43" s="988"/>
      <c r="AKC43" s="988"/>
      <c r="AKD43" s="988"/>
      <c r="AKE43" s="988"/>
      <c r="AKF43" s="988"/>
      <c r="AKG43" s="988"/>
      <c r="AKH43" s="988"/>
      <c r="AKI43" s="988"/>
      <c r="AKJ43" s="988"/>
      <c r="AKK43" s="988"/>
      <c r="AKL43" s="988"/>
      <c r="AKM43" s="988"/>
      <c r="AKN43" s="988"/>
      <c r="AKO43" s="988"/>
      <c r="AKP43" s="988"/>
      <c r="AKQ43" s="988"/>
      <c r="AKR43" s="988"/>
      <c r="AKS43" s="988"/>
      <c r="AKT43" s="988"/>
      <c r="AKU43" s="988"/>
      <c r="AKV43" s="988"/>
      <c r="AKW43" s="988"/>
      <c r="AKX43" s="988"/>
      <c r="AKY43" s="988"/>
      <c r="AKZ43" s="988"/>
      <c r="ALA43" s="988"/>
      <c r="ALB43" s="988"/>
      <c r="ALC43" s="988"/>
      <c r="ALD43" s="988"/>
      <c r="ALE43" s="988"/>
      <c r="ALF43" s="988"/>
      <c r="ALG43" s="988"/>
      <c r="ALH43" s="988"/>
      <c r="ALI43" s="988"/>
      <c r="ALJ43" s="988"/>
      <c r="ALK43" s="988"/>
      <c r="ALL43" s="988"/>
      <c r="ALM43" s="988"/>
      <c r="ALN43" s="988"/>
      <c r="ALO43" s="988"/>
      <c r="ALP43" s="988"/>
      <c r="ALQ43" s="988"/>
      <c r="ALR43" s="988"/>
      <c r="ALS43" s="988"/>
      <c r="ALT43" s="988"/>
      <c r="ALU43" s="988"/>
      <c r="ALV43" s="988"/>
      <c r="ALW43" s="988"/>
      <c r="ALX43" s="988"/>
      <c r="ALY43" s="988"/>
    </row>
    <row r="44" spans="1:1013" ht="18" customHeight="1">
      <c r="A44" s="1280" t="s">
        <v>166</v>
      </c>
      <c r="B44" s="1260" t="s">
        <v>3063</v>
      </c>
      <c r="C44" s="1260">
        <v>2022</v>
      </c>
      <c r="D44" s="1260"/>
      <c r="E44" s="1261">
        <v>0.5</v>
      </c>
      <c r="F44" s="1262">
        <v>0.5</v>
      </c>
      <c r="G44" s="1262">
        <v>0.5</v>
      </c>
      <c r="H44" s="1263">
        <v>259.61373390557941</v>
      </c>
      <c r="I44" s="1262">
        <v>-5.8</v>
      </c>
      <c r="J44" s="1262">
        <v>-1.5</v>
      </c>
      <c r="K44" s="1262">
        <v>-1.5</v>
      </c>
      <c r="L44" s="1262"/>
      <c r="M44" s="1262"/>
      <c r="N44" s="1262"/>
      <c r="O44" s="1262"/>
      <c r="P44" s="1263">
        <v>541.70374958491891</v>
      </c>
      <c r="Q44" s="1266">
        <v>12</v>
      </c>
      <c r="R44" s="1264">
        <v>0.3</v>
      </c>
      <c r="S44" s="1264">
        <v>0.1</v>
      </c>
      <c r="T44" s="1264">
        <v>0.1</v>
      </c>
      <c r="U44" s="1262">
        <v>2.5</v>
      </c>
      <c r="V44" s="1262">
        <v>0</v>
      </c>
      <c r="W44" s="1262">
        <v>97.5</v>
      </c>
      <c r="X44" s="1262">
        <v>0</v>
      </c>
      <c r="Y44" s="1267">
        <v>0</v>
      </c>
      <c r="Z44" s="1266">
        <v>1</v>
      </c>
      <c r="AA44" s="1266">
        <v>1</v>
      </c>
      <c r="AB44" s="1266">
        <v>1</v>
      </c>
      <c r="AC44" s="1266">
        <v>1</v>
      </c>
      <c r="AD44" s="1266">
        <v>1</v>
      </c>
      <c r="AE44" s="1266"/>
      <c r="AF44" s="1266"/>
      <c r="AG44" s="1266"/>
      <c r="AH44" s="1266"/>
      <c r="AI44" s="1266"/>
      <c r="AJ44" s="1266"/>
      <c r="AK44" s="1266"/>
      <c r="AL44" s="1266"/>
      <c r="AM44" s="1266"/>
      <c r="AN44" s="1266"/>
      <c r="AO44" s="1266"/>
      <c r="AP44" s="1266"/>
      <c r="AQ44" s="1266"/>
      <c r="AR44" s="1266"/>
      <c r="AS44" s="1266"/>
      <c r="AT44" s="1266"/>
      <c r="AU44" s="1266"/>
      <c r="AV44" s="1266"/>
      <c r="AW44" s="1266"/>
      <c r="AX44" s="1266"/>
      <c r="AY44" s="1266"/>
      <c r="AZ44" s="1266"/>
      <c r="BA44" s="989">
        <v>10062.301353275248</v>
      </c>
      <c r="BB44" s="1038">
        <v>1.56</v>
      </c>
      <c r="BC44" s="994">
        <v>0.8</v>
      </c>
      <c r="BD44" s="994">
        <v>0.6</v>
      </c>
      <c r="BE44" s="994">
        <v>0.6</v>
      </c>
      <c r="BF44" s="992">
        <v>0.18084</v>
      </c>
      <c r="BG44" s="992">
        <v>0.17335999999999999</v>
      </c>
      <c r="BH44" s="990"/>
      <c r="BI44" s="990">
        <v>1.202485753233595E-3</v>
      </c>
      <c r="BJ44" s="990">
        <v>0.26457534563712537</v>
      </c>
      <c r="BK44" s="990">
        <v>58.54078480422551</v>
      </c>
      <c r="BL44" s="990">
        <v>1.2708723837944664</v>
      </c>
      <c r="BM44" s="990">
        <v>0.39067812791701684</v>
      </c>
      <c r="BN44" s="990">
        <v>39.231528062568245</v>
      </c>
      <c r="BO44" s="990">
        <v>3.1881694641653864E-2</v>
      </c>
      <c r="BP44" s="990">
        <v>5.1042355788573383E-3</v>
      </c>
      <c r="BQ44" s="990">
        <v>3.2910136404287863E-4</v>
      </c>
      <c r="BR44" s="990"/>
      <c r="BS44" s="990"/>
      <c r="BT44" s="990">
        <v>8.6854280181585475E-2</v>
      </c>
      <c r="BU44" s="990">
        <v>1.0854016141029555E-3</v>
      </c>
      <c r="BV44" s="990">
        <v>0.17510407672416045</v>
      </c>
      <c r="BW44" s="990"/>
      <c r="BX44" s="990"/>
      <c r="BY44" s="990"/>
      <c r="BZ44" s="990"/>
      <c r="CA44" s="990"/>
      <c r="CB44" s="990"/>
      <c r="CC44" s="990"/>
      <c r="CD44" s="990"/>
      <c r="CE44" s="990"/>
      <c r="CF44" s="990"/>
      <c r="CG44" s="990"/>
      <c r="CH44" s="990"/>
      <c r="CI44" s="990"/>
      <c r="CJ44" s="990"/>
      <c r="CK44" s="990"/>
      <c r="CL44" s="990"/>
      <c r="CM44" s="990"/>
      <c r="CN44" s="990"/>
      <c r="CO44" s="990"/>
      <c r="CP44" s="990"/>
      <c r="CQ44" s="990"/>
      <c r="CR44" s="990"/>
      <c r="CS44" s="990"/>
      <c r="CT44" s="990"/>
      <c r="CU44" s="990"/>
      <c r="CV44" s="990"/>
      <c r="CW44" s="990"/>
      <c r="CX44" s="990"/>
      <c r="CY44" s="990"/>
      <c r="CZ44" s="990"/>
      <c r="DA44" s="991">
        <v>1</v>
      </c>
      <c r="DB44" s="991">
        <v>1</v>
      </c>
      <c r="DC44" s="991">
        <v>1</v>
      </c>
      <c r="DD44" s="991">
        <v>1</v>
      </c>
      <c r="DE44" s="991">
        <v>1</v>
      </c>
      <c r="DF44" s="991"/>
      <c r="DG44" s="991"/>
      <c r="DH44" s="991"/>
      <c r="DI44" s="991"/>
      <c r="DJ44" s="991"/>
      <c r="DK44" s="991">
        <v>1.0682498070272575</v>
      </c>
      <c r="DL44" s="991">
        <v>18</v>
      </c>
      <c r="DM44" s="989">
        <f t="shared" ref="DM44:DM46" si="2">DK44*DL44</f>
        <v>19.228496526490634</v>
      </c>
      <c r="DN44" s="994">
        <v>1.1000000000000001</v>
      </c>
      <c r="DO44" s="994">
        <v>0.6</v>
      </c>
      <c r="DP44" s="994">
        <v>0.6</v>
      </c>
      <c r="DQ44" s="994"/>
      <c r="DR44" s="994"/>
      <c r="DS44" s="994"/>
      <c r="DT44" s="994"/>
      <c r="DU44" s="994"/>
      <c r="DV44" s="994"/>
      <c r="DW44" s="994"/>
      <c r="DX44" s="994"/>
      <c r="DY44" s="994"/>
      <c r="DZ44" s="994"/>
      <c r="EA44" s="994"/>
      <c r="EB44" s="994"/>
      <c r="EC44" s="994"/>
      <c r="ED44" s="994"/>
      <c r="EE44" s="991">
        <v>0.47705402341217251</v>
      </c>
      <c r="EF44" s="991">
        <v>18</v>
      </c>
      <c r="EG44" s="989">
        <v>8110.3330472103007</v>
      </c>
      <c r="EH44" s="994">
        <v>1.1000000000000001</v>
      </c>
      <c r="EI44" s="994">
        <v>0.6</v>
      </c>
      <c r="EJ44" s="994">
        <v>0.6</v>
      </c>
      <c r="EK44" s="994"/>
      <c r="EL44" s="994"/>
      <c r="EM44" s="994"/>
      <c r="EN44" s="994"/>
      <c r="EO44" s="994"/>
      <c r="EP44" s="994"/>
      <c r="EQ44" s="994"/>
      <c r="ER44" s="994"/>
      <c r="ES44" s="994"/>
      <c r="ET44" s="994"/>
      <c r="EU44" s="994"/>
      <c r="EV44" s="994"/>
      <c r="EW44" s="994"/>
      <c r="EX44" s="994"/>
      <c r="EY44" s="994"/>
      <c r="EZ44" s="994"/>
      <c r="FA44" s="994"/>
      <c r="FB44" s="994"/>
      <c r="FC44" s="994"/>
      <c r="FD44" s="994"/>
      <c r="FE44" s="994"/>
      <c r="FF44" s="994"/>
      <c r="FG44" s="994"/>
      <c r="FH44" s="994"/>
      <c r="FI44" s="994"/>
      <c r="FJ44" s="994"/>
      <c r="FK44" s="994"/>
      <c r="FL44" s="994"/>
      <c r="FM44" s="994"/>
      <c r="FN44" s="994"/>
      <c r="FO44" s="994"/>
      <c r="FP44" s="994"/>
      <c r="FQ44" s="994"/>
      <c r="FR44" s="994"/>
      <c r="FS44" s="994"/>
      <c r="FT44" s="994"/>
      <c r="FU44" s="994"/>
      <c r="FV44" s="994"/>
      <c r="FW44" s="994"/>
      <c r="FX44" s="994"/>
      <c r="FY44" s="994"/>
      <c r="FZ44" s="994"/>
      <c r="GA44" s="994"/>
      <c r="GB44" s="994"/>
      <c r="GC44" s="994"/>
      <c r="GD44" s="994"/>
      <c r="GE44" s="994"/>
      <c r="GF44" s="994"/>
      <c r="GG44" s="994"/>
      <c r="GH44" s="994"/>
      <c r="GI44" s="994"/>
      <c r="GJ44" s="994"/>
      <c r="GK44" s="994"/>
      <c r="GL44" s="994"/>
      <c r="GM44" s="994"/>
      <c r="GN44" s="994"/>
      <c r="GO44" s="994"/>
      <c r="GP44" s="994"/>
      <c r="GQ44" s="994"/>
      <c r="GR44" s="994"/>
      <c r="GS44" s="994"/>
      <c r="GT44" s="994"/>
      <c r="GU44" s="994"/>
      <c r="GV44" s="994"/>
      <c r="GW44" s="994"/>
      <c r="GX44" s="994"/>
      <c r="GY44" s="994"/>
      <c r="GZ44" s="994"/>
      <c r="HA44" s="994"/>
      <c r="HB44" s="994"/>
      <c r="HC44" s="994"/>
      <c r="HD44" s="994"/>
      <c r="HE44" s="994"/>
      <c r="HF44" s="994"/>
      <c r="HG44" s="994"/>
      <c r="HH44" s="994"/>
      <c r="HI44" s="994"/>
      <c r="HJ44" s="994"/>
      <c r="HK44" s="994"/>
      <c r="HL44" s="994"/>
      <c r="HM44" s="994"/>
      <c r="HN44" s="994"/>
      <c r="HO44" s="994"/>
      <c r="HP44" s="994"/>
      <c r="HQ44" s="994"/>
      <c r="HR44" s="994"/>
      <c r="HS44" s="994"/>
      <c r="HT44" s="994"/>
      <c r="HU44" s="994"/>
      <c r="HV44" s="994"/>
      <c r="HW44" s="994"/>
      <c r="HX44" s="994"/>
      <c r="HY44" s="994"/>
      <c r="HZ44" s="994"/>
      <c r="IA44" s="994"/>
      <c r="IB44" s="994"/>
      <c r="IC44" s="994"/>
      <c r="ID44" s="994"/>
      <c r="IE44" s="994"/>
      <c r="IF44" s="994"/>
      <c r="IG44" s="994"/>
      <c r="IH44" s="994"/>
      <c r="II44" s="994"/>
      <c r="IJ44" s="994"/>
      <c r="IK44" s="994"/>
      <c r="IL44" s="994"/>
      <c r="IM44" s="994"/>
      <c r="IN44" s="994"/>
      <c r="IO44" s="994"/>
      <c r="IP44" s="994"/>
      <c r="IQ44" s="994"/>
      <c r="IR44" s="994"/>
      <c r="IS44" s="994"/>
      <c r="IT44" s="994"/>
      <c r="IU44" s="994"/>
      <c r="IV44" s="994"/>
      <c r="IW44" s="989">
        <v>1020.0468636800275</v>
      </c>
      <c r="IX44" s="991">
        <v>179.9</v>
      </c>
      <c r="IY44" s="991">
        <v>2964.2987982832719</v>
      </c>
      <c r="IZ44" s="991"/>
      <c r="JA44" s="991"/>
      <c r="JB44" s="994">
        <v>1.1000000000000001</v>
      </c>
      <c r="JC44" s="994">
        <v>0.6</v>
      </c>
      <c r="JD44" s="994">
        <v>0.6</v>
      </c>
      <c r="JE44" s="991">
        <v>1</v>
      </c>
      <c r="JF44" s="991">
        <v>1</v>
      </c>
      <c r="JG44" s="991">
        <v>1</v>
      </c>
      <c r="JH44" s="991">
        <v>1</v>
      </c>
      <c r="JI44" s="991">
        <v>1</v>
      </c>
      <c r="JJ44" s="989">
        <v>27.2564358745006</v>
      </c>
      <c r="JK44" s="989"/>
      <c r="JL44" s="989"/>
      <c r="JM44" s="989">
        <v>7042.8182918455341</v>
      </c>
      <c r="JN44" s="994">
        <v>1.1000000000000001</v>
      </c>
      <c r="JO44" s="994">
        <v>0.7</v>
      </c>
      <c r="JP44" s="994">
        <v>0.7</v>
      </c>
      <c r="JQ44" s="991">
        <v>1</v>
      </c>
      <c r="JR44" s="991">
        <v>1</v>
      </c>
      <c r="JS44" s="991">
        <v>1</v>
      </c>
      <c r="JT44" s="991">
        <v>1</v>
      </c>
      <c r="JU44" s="991">
        <v>1</v>
      </c>
      <c r="JV44" s="991"/>
      <c r="JW44" s="989">
        <v>270.36392543224167</v>
      </c>
      <c r="JX44" s="989">
        <v>500</v>
      </c>
      <c r="JY44" s="991">
        <v>0.9</v>
      </c>
      <c r="JZ44" s="991">
        <v>0.8</v>
      </c>
      <c r="KA44" s="991">
        <v>0.8</v>
      </c>
      <c r="KB44" s="991">
        <v>1</v>
      </c>
      <c r="KC44" s="991">
        <v>1</v>
      </c>
      <c r="KD44" s="991">
        <v>1</v>
      </c>
      <c r="KE44" s="991">
        <v>1</v>
      </c>
      <c r="KF44" s="991">
        <v>1</v>
      </c>
      <c r="KG44" s="991"/>
      <c r="KH44" s="991"/>
      <c r="KI44" s="991"/>
      <c r="KJ44" s="991"/>
      <c r="KK44" s="991"/>
      <c r="KL44" s="991"/>
      <c r="KM44" s="991"/>
      <c r="KN44" s="991"/>
      <c r="KO44" s="991"/>
      <c r="KP44" s="991"/>
      <c r="KQ44" s="991"/>
      <c r="KR44" s="991"/>
      <c r="KS44" s="991"/>
      <c r="KT44" s="991"/>
      <c r="KU44" s="991"/>
      <c r="KV44" s="991"/>
      <c r="KW44" s="991"/>
      <c r="KX44" s="991"/>
      <c r="KY44" s="991"/>
      <c r="KZ44" s="991"/>
      <c r="LA44" s="991"/>
      <c r="LB44" s="991"/>
      <c r="LC44" s="991"/>
      <c r="LD44" s="991"/>
      <c r="LE44" s="991"/>
      <c r="LF44" s="991"/>
      <c r="LG44" s="991"/>
      <c r="LH44" s="991"/>
      <c r="LI44" s="991"/>
      <c r="LJ44" s="991"/>
      <c r="LK44" s="991"/>
      <c r="LL44" s="991"/>
      <c r="LM44" s="991"/>
      <c r="LN44" s="989"/>
      <c r="LO44" s="994">
        <v>29</v>
      </c>
      <c r="LP44" s="994">
        <v>0.7</v>
      </c>
      <c r="LQ44" s="994">
        <v>0.4</v>
      </c>
      <c r="LR44" s="994">
        <v>0.4</v>
      </c>
      <c r="LS44" s="991">
        <v>1</v>
      </c>
      <c r="LT44" s="991">
        <v>1</v>
      </c>
      <c r="LU44" s="991">
        <v>1</v>
      </c>
      <c r="LV44" s="991">
        <v>1</v>
      </c>
      <c r="LW44" s="991">
        <v>1</v>
      </c>
      <c r="LX44" s="991"/>
      <c r="LY44" s="991"/>
      <c r="LZ44" s="991">
        <v>0</v>
      </c>
      <c r="MA44" s="991"/>
      <c r="MB44" s="991"/>
      <c r="MC44" s="991"/>
      <c r="MD44" s="991"/>
      <c r="ME44" s="991"/>
      <c r="MF44" s="991"/>
      <c r="MG44" s="991"/>
      <c r="MH44" s="991"/>
      <c r="MI44" s="991"/>
      <c r="MJ44" s="991"/>
      <c r="MK44" s="991"/>
      <c r="ML44" s="991"/>
      <c r="MM44" s="991"/>
      <c r="MN44" s="991"/>
      <c r="MO44" s="991"/>
      <c r="MP44" s="991"/>
      <c r="MQ44" s="991"/>
      <c r="MR44" s="991"/>
      <c r="MS44" s="991"/>
      <c r="MT44" s="991"/>
      <c r="MU44" s="991"/>
      <c r="MV44" s="991"/>
      <c r="MW44" s="991"/>
      <c r="MX44" s="991"/>
      <c r="MY44" s="991"/>
      <c r="MZ44" s="991"/>
      <c r="NA44" s="991"/>
      <c r="NB44" s="991"/>
      <c r="NC44" s="991"/>
      <c r="ND44" s="991"/>
      <c r="NE44" s="991"/>
      <c r="NF44" s="991"/>
      <c r="NG44" s="991"/>
      <c r="NH44" s="991"/>
      <c r="NI44" s="991"/>
      <c r="NJ44" s="991"/>
      <c r="NK44" s="991"/>
      <c r="NL44" s="991"/>
      <c r="NM44" s="991"/>
      <c r="NN44" s="991"/>
      <c r="NO44" s="991"/>
      <c r="NP44" s="991"/>
      <c r="NQ44" s="991"/>
      <c r="NR44" s="991"/>
      <c r="NS44" s="991"/>
      <c r="NT44" s="991"/>
      <c r="NU44" s="991"/>
      <c r="NV44" s="994">
        <v>200</v>
      </c>
      <c r="NW44" s="994">
        <v>200</v>
      </c>
      <c r="NX44" s="994">
        <v>200</v>
      </c>
      <c r="NY44" s="994">
        <v>200</v>
      </c>
      <c r="NZ44" s="994">
        <v>200</v>
      </c>
      <c r="OA44" s="994">
        <v>200</v>
      </c>
      <c r="OB44" s="994">
        <v>200</v>
      </c>
      <c r="OC44" s="994">
        <v>200</v>
      </c>
      <c r="OD44" s="994">
        <v>200</v>
      </c>
      <c r="OE44" s="994">
        <v>200</v>
      </c>
      <c r="OF44" s="994">
        <v>200</v>
      </c>
      <c r="OG44" s="994">
        <v>200</v>
      </c>
      <c r="OH44" s="994">
        <v>200</v>
      </c>
      <c r="OI44" s="994">
        <v>200</v>
      </c>
      <c r="OJ44" s="994">
        <v>200</v>
      </c>
      <c r="OK44" s="994">
        <v>200</v>
      </c>
      <c r="OL44" s="994">
        <v>200</v>
      </c>
      <c r="OM44" s="994">
        <v>200</v>
      </c>
      <c r="ON44" s="994">
        <v>200</v>
      </c>
      <c r="OO44" s="994">
        <v>200</v>
      </c>
      <c r="OP44" s="994">
        <v>200</v>
      </c>
      <c r="OQ44" s="994">
        <v>200</v>
      </c>
      <c r="OR44" s="994">
        <v>200</v>
      </c>
      <c r="OS44" s="994">
        <v>200</v>
      </c>
      <c r="OT44" s="994">
        <v>200</v>
      </c>
      <c r="OU44" s="994">
        <v>200</v>
      </c>
      <c r="OV44" s="994">
        <v>200</v>
      </c>
      <c r="OW44" s="994">
        <v>200</v>
      </c>
      <c r="OX44" s="994">
        <v>200</v>
      </c>
      <c r="OY44" s="994">
        <v>200</v>
      </c>
      <c r="OZ44" s="994">
        <v>200</v>
      </c>
      <c r="PA44" s="994">
        <v>200</v>
      </c>
      <c r="PB44" s="994">
        <v>200</v>
      </c>
      <c r="PC44" s="994">
        <v>200</v>
      </c>
      <c r="PD44" s="994">
        <v>200</v>
      </c>
      <c r="PE44" s="994">
        <v>200</v>
      </c>
      <c r="PF44" s="994">
        <v>200</v>
      </c>
      <c r="PG44" s="994">
        <v>200</v>
      </c>
      <c r="PH44" s="994">
        <v>200</v>
      </c>
      <c r="PI44" s="994">
        <v>200</v>
      </c>
      <c r="PJ44" s="994">
        <v>200</v>
      </c>
      <c r="PK44" s="994">
        <v>200</v>
      </c>
      <c r="PL44" s="994">
        <v>200</v>
      </c>
      <c r="PM44" s="994">
        <v>200</v>
      </c>
      <c r="PN44" s="994">
        <v>200</v>
      </c>
      <c r="PO44" s="994">
        <v>200</v>
      </c>
      <c r="PP44" s="994">
        <v>200</v>
      </c>
      <c r="PQ44" s="994">
        <v>200</v>
      </c>
      <c r="PR44" s="994">
        <v>200</v>
      </c>
      <c r="PS44" s="994">
        <v>200</v>
      </c>
      <c r="PT44" s="994">
        <v>200</v>
      </c>
      <c r="PU44" s="994">
        <v>200</v>
      </c>
      <c r="PV44" s="994">
        <v>200</v>
      </c>
      <c r="PW44" s="994">
        <v>200</v>
      </c>
      <c r="PX44" s="994">
        <v>200</v>
      </c>
      <c r="PY44" s="994">
        <v>200</v>
      </c>
      <c r="PZ44" s="994">
        <v>200</v>
      </c>
      <c r="QA44" s="994">
        <v>200</v>
      </c>
      <c r="QB44" s="994">
        <v>200</v>
      </c>
      <c r="QC44" s="994">
        <v>200</v>
      </c>
      <c r="QD44" s="994">
        <v>200</v>
      </c>
      <c r="QE44" s="994">
        <v>200</v>
      </c>
      <c r="QF44" s="994">
        <v>200</v>
      </c>
      <c r="QG44" s="994">
        <v>200</v>
      </c>
      <c r="QH44" s="994">
        <v>200</v>
      </c>
      <c r="QI44" s="994">
        <v>200</v>
      </c>
      <c r="QJ44" s="994">
        <v>200</v>
      </c>
      <c r="QK44" s="994">
        <v>200</v>
      </c>
      <c r="QL44" s="994">
        <v>200</v>
      </c>
      <c r="QM44" s="994">
        <v>200</v>
      </c>
      <c r="QN44" s="994">
        <v>200</v>
      </c>
      <c r="QO44" s="994">
        <v>200</v>
      </c>
      <c r="QP44" s="994">
        <v>200</v>
      </c>
      <c r="QQ44" s="994">
        <v>200</v>
      </c>
      <c r="QR44" s="994">
        <v>200</v>
      </c>
      <c r="QS44" s="994">
        <v>200</v>
      </c>
      <c r="QT44" s="994">
        <v>200</v>
      </c>
      <c r="QU44" s="994">
        <v>200</v>
      </c>
      <c r="QV44" s="994">
        <v>200</v>
      </c>
      <c r="QW44" s="994">
        <v>200</v>
      </c>
      <c r="QX44" s="994">
        <v>200</v>
      </c>
      <c r="QY44" s="994">
        <v>200</v>
      </c>
      <c r="QZ44" s="994">
        <v>200</v>
      </c>
      <c r="RA44" s="994">
        <v>200</v>
      </c>
      <c r="RB44" s="994">
        <v>200</v>
      </c>
      <c r="RC44" s="994">
        <v>200</v>
      </c>
      <c r="RD44" s="994">
        <v>200</v>
      </c>
      <c r="RE44" s="994">
        <v>200</v>
      </c>
      <c r="RF44" s="994">
        <v>200</v>
      </c>
      <c r="RG44" s="994">
        <v>200</v>
      </c>
      <c r="RH44" s="994">
        <v>200</v>
      </c>
      <c r="RI44" s="994">
        <v>200</v>
      </c>
      <c r="RJ44" s="994">
        <v>200</v>
      </c>
      <c r="RK44" s="994">
        <v>200</v>
      </c>
      <c r="RL44" s="994">
        <v>200</v>
      </c>
      <c r="RM44" s="994">
        <v>200</v>
      </c>
      <c r="RN44" s="994">
        <v>200</v>
      </c>
      <c r="RO44" s="994">
        <v>200</v>
      </c>
      <c r="RP44" s="994">
        <v>200</v>
      </c>
      <c r="RQ44" s="994">
        <v>200</v>
      </c>
      <c r="RR44" s="994">
        <v>200</v>
      </c>
      <c r="RS44" s="994">
        <v>200</v>
      </c>
      <c r="RT44" s="994">
        <v>200</v>
      </c>
      <c r="RU44" s="994">
        <v>200</v>
      </c>
      <c r="RV44" s="994">
        <v>200</v>
      </c>
      <c r="RW44" s="994">
        <v>200</v>
      </c>
      <c r="RX44" s="994">
        <v>200</v>
      </c>
      <c r="RY44" s="994">
        <v>200</v>
      </c>
      <c r="RZ44" s="994">
        <v>200</v>
      </c>
      <c r="SA44" s="994">
        <v>200</v>
      </c>
      <c r="SB44" s="994">
        <v>200</v>
      </c>
      <c r="SC44" s="994">
        <v>200</v>
      </c>
      <c r="SD44" s="994">
        <v>200</v>
      </c>
      <c r="SE44" s="994">
        <v>200</v>
      </c>
      <c r="SF44" s="994">
        <v>200</v>
      </c>
      <c r="SG44" s="994">
        <v>200</v>
      </c>
      <c r="SH44" s="994">
        <v>200</v>
      </c>
      <c r="SI44" s="994">
        <v>200</v>
      </c>
      <c r="SJ44" s="994">
        <v>200</v>
      </c>
      <c r="SK44" s="994">
        <v>200</v>
      </c>
      <c r="SL44" s="994">
        <v>200</v>
      </c>
      <c r="SM44" s="994">
        <v>200</v>
      </c>
      <c r="SN44" s="994">
        <v>200</v>
      </c>
      <c r="SO44" s="994">
        <v>200</v>
      </c>
      <c r="SP44" s="994">
        <v>200</v>
      </c>
      <c r="SQ44" s="994">
        <v>200</v>
      </c>
      <c r="SR44" s="994">
        <v>200</v>
      </c>
      <c r="SS44" s="994">
        <v>200</v>
      </c>
      <c r="ST44" s="994">
        <v>200</v>
      </c>
      <c r="SU44" s="994">
        <v>200</v>
      </c>
      <c r="SV44" s="994">
        <v>200</v>
      </c>
      <c r="SW44" s="994">
        <v>200</v>
      </c>
      <c r="SX44" s="994">
        <v>200</v>
      </c>
      <c r="SY44" s="994">
        <v>200</v>
      </c>
      <c r="SZ44" s="994">
        <v>200</v>
      </c>
      <c r="TA44" s="994">
        <v>200</v>
      </c>
      <c r="TB44" s="994">
        <v>200</v>
      </c>
      <c r="TC44" s="994">
        <v>200</v>
      </c>
      <c r="TD44" s="994">
        <v>200</v>
      </c>
      <c r="TE44" s="994">
        <v>200</v>
      </c>
      <c r="TF44" s="994">
        <v>200</v>
      </c>
      <c r="TG44" s="994">
        <v>200</v>
      </c>
      <c r="TH44" s="994">
        <v>200</v>
      </c>
      <c r="TI44" s="994">
        <v>200</v>
      </c>
      <c r="TJ44" s="994">
        <v>200</v>
      </c>
      <c r="TK44" s="994">
        <v>200</v>
      </c>
      <c r="TL44" s="994">
        <v>200</v>
      </c>
      <c r="TM44" s="994">
        <v>200</v>
      </c>
      <c r="TN44" s="994">
        <v>200</v>
      </c>
      <c r="TO44" s="994">
        <v>200</v>
      </c>
      <c r="TP44" s="994">
        <v>200</v>
      </c>
      <c r="TQ44" s="994">
        <v>200</v>
      </c>
      <c r="TR44" s="994">
        <v>200</v>
      </c>
      <c r="TS44" s="994">
        <v>200</v>
      </c>
      <c r="TT44" s="994">
        <v>200</v>
      </c>
      <c r="TU44" s="994">
        <v>200</v>
      </c>
      <c r="TV44" s="994">
        <v>200</v>
      </c>
      <c r="TW44" s="994">
        <v>200</v>
      </c>
      <c r="TX44" s="994">
        <v>200</v>
      </c>
      <c r="TY44" s="994">
        <v>200</v>
      </c>
      <c r="TZ44" s="994">
        <v>200</v>
      </c>
      <c r="UA44" s="994">
        <v>200</v>
      </c>
      <c r="UB44" s="994">
        <v>200</v>
      </c>
      <c r="UC44" s="994">
        <v>200</v>
      </c>
      <c r="UD44" s="994">
        <v>200</v>
      </c>
      <c r="UE44" s="994">
        <v>200</v>
      </c>
      <c r="UF44" s="994">
        <v>200</v>
      </c>
      <c r="UG44" s="994">
        <v>200</v>
      </c>
      <c r="UH44" s="994">
        <v>200</v>
      </c>
      <c r="UI44" s="994">
        <v>200</v>
      </c>
      <c r="UJ44" s="994">
        <v>200</v>
      </c>
      <c r="UK44" s="994">
        <v>200</v>
      </c>
      <c r="UL44" s="994">
        <v>200</v>
      </c>
      <c r="UM44" s="994">
        <v>200</v>
      </c>
      <c r="UN44" s="994">
        <v>200</v>
      </c>
      <c r="UO44" s="994">
        <v>200</v>
      </c>
      <c r="UP44" s="994">
        <v>200</v>
      </c>
      <c r="UQ44" s="994">
        <v>200</v>
      </c>
      <c r="UR44" s="994">
        <v>200</v>
      </c>
      <c r="US44" s="994">
        <v>200</v>
      </c>
      <c r="UT44" s="994">
        <v>200</v>
      </c>
      <c r="UU44" s="994">
        <v>200</v>
      </c>
      <c r="UV44" s="994">
        <v>200</v>
      </c>
      <c r="UW44" s="994">
        <v>200</v>
      </c>
      <c r="UX44" s="994">
        <v>200</v>
      </c>
      <c r="UY44" s="994">
        <v>200</v>
      </c>
      <c r="UZ44" s="994">
        <v>200</v>
      </c>
      <c r="VA44" s="994">
        <v>200</v>
      </c>
      <c r="VB44" s="994">
        <v>200</v>
      </c>
      <c r="VC44" s="994">
        <v>200</v>
      </c>
      <c r="VD44" s="994">
        <v>200</v>
      </c>
      <c r="VE44" s="994">
        <v>200</v>
      </c>
      <c r="VF44" s="994">
        <v>200</v>
      </c>
      <c r="VG44" s="994">
        <v>200</v>
      </c>
      <c r="VH44" s="994">
        <v>200</v>
      </c>
      <c r="VI44" s="994">
        <v>200</v>
      </c>
      <c r="VJ44" s="994">
        <v>200</v>
      </c>
      <c r="VK44" s="994">
        <v>200</v>
      </c>
      <c r="VL44" s="994">
        <v>200</v>
      </c>
      <c r="VM44" s="994">
        <v>200</v>
      </c>
      <c r="VN44" s="994">
        <v>200</v>
      </c>
      <c r="VO44" s="994">
        <v>200</v>
      </c>
      <c r="VP44" s="994">
        <v>200</v>
      </c>
      <c r="VQ44" s="994">
        <v>200</v>
      </c>
      <c r="VR44" s="994">
        <v>200</v>
      </c>
      <c r="VS44" s="994">
        <v>200</v>
      </c>
      <c r="VT44" s="994">
        <v>200</v>
      </c>
      <c r="VU44" s="994">
        <v>200</v>
      </c>
      <c r="VV44" s="994">
        <v>200</v>
      </c>
      <c r="VW44" s="994">
        <v>200</v>
      </c>
      <c r="VX44" s="994">
        <v>200</v>
      </c>
      <c r="VY44" s="994">
        <v>200</v>
      </c>
      <c r="VZ44" s="994">
        <v>200</v>
      </c>
      <c r="WA44" s="994">
        <v>200</v>
      </c>
      <c r="WB44" s="994">
        <v>200</v>
      </c>
      <c r="WC44" s="994">
        <v>200</v>
      </c>
      <c r="WD44" s="988"/>
      <c r="WE44" s="988"/>
      <c r="WF44" s="988"/>
      <c r="WG44" s="988"/>
      <c r="WH44" s="988"/>
      <c r="WI44" s="988"/>
      <c r="WJ44" s="988"/>
      <c r="WK44" s="988"/>
      <c r="WL44" s="988"/>
      <c r="WM44" s="988"/>
      <c r="WN44" s="988"/>
      <c r="WO44" s="988"/>
      <c r="WP44" s="988"/>
      <c r="WQ44" s="988"/>
      <c r="WR44" s="988"/>
      <c r="WS44" s="988"/>
      <c r="WT44" s="988"/>
      <c r="WU44" s="988"/>
      <c r="WV44" s="988"/>
      <c r="WW44" s="988"/>
      <c r="WX44" s="988"/>
      <c r="WY44" s="988"/>
      <c r="WZ44" s="988"/>
      <c r="XA44" s="988"/>
      <c r="XB44" s="988"/>
      <c r="XC44" s="988"/>
      <c r="XD44" s="988"/>
      <c r="XE44" s="988"/>
      <c r="XF44" s="988"/>
      <c r="XG44" s="988"/>
      <c r="XH44" s="988"/>
      <c r="XI44" s="988"/>
      <c r="XJ44" s="988"/>
      <c r="XK44" s="988"/>
      <c r="XL44" s="988"/>
      <c r="XM44" s="988"/>
      <c r="XN44" s="988"/>
      <c r="XO44" s="988"/>
      <c r="XP44" s="988"/>
      <c r="XQ44" s="988"/>
      <c r="XR44" s="988"/>
      <c r="XS44" s="988"/>
      <c r="XT44" s="988"/>
      <c r="XU44" s="988"/>
      <c r="XV44" s="988"/>
      <c r="XW44" s="988"/>
      <c r="XX44" s="988"/>
      <c r="XY44" s="988"/>
      <c r="XZ44" s="988"/>
      <c r="YA44" s="988"/>
      <c r="YB44" s="988"/>
      <c r="YC44" s="988"/>
      <c r="YD44" s="988"/>
      <c r="YE44" s="988"/>
      <c r="YF44" s="988"/>
      <c r="YG44" s="988"/>
      <c r="YH44" s="988"/>
      <c r="YI44" s="988"/>
      <c r="YJ44" s="988"/>
      <c r="YK44" s="988"/>
      <c r="YL44" s="988"/>
      <c r="YM44" s="988"/>
      <c r="YN44" s="988"/>
      <c r="YO44" s="988"/>
      <c r="YP44" s="988"/>
      <c r="YQ44" s="988"/>
      <c r="YR44" s="988"/>
      <c r="YS44" s="988"/>
      <c r="YT44" s="988"/>
      <c r="YU44" s="988"/>
      <c r="YV44" s="988"/>
      <c r="YW44" s="988"/>
      <c r="YX44" s="988"/>
      <c r="YY44" s="988"/>
      <c r="YZ44" s="988"/>
      <c r="ZA44" s="988"/>
      <c r="ZB44" s="988"/>
      <c r="ZC44" s="988"/>
      <c r="ZD44" s="988"/>
      <c r="ZE44" s="988"/>
      <c r="ZF44" s="988"/>
      <c r="ZG44" s="988"/>
      <c r="ZH44" s="988"/>
      <c r="ZI44" s="988"/>
      <c r="ZJ44" s="988"/>
      <c r="ZK44" s="988"/>
      <c r="ZL44" s="988"/>
      <c r="ZM44" s="988"/>
      <c r="ZN44" s="988"/>
      <c r="ZO44" s="988"/>
      <c r="ZP44" s="988"/>
      <c r="ZQ44" s="988"/>
      <c r="ZR44" s="988"/>
      <c r="ZS44" s="988"/>
      <c r="ZT44" s="988"/>
      <c r="ZU44" s="988"/>
      <c r="ZV44" s="988"/>
      <c r="ZW44" s="988"/>
      <c r="ZX44" s="988"/>
      <c r="ZY44" s="988"/>
      <c r="ZZ44" s="988"/>
      <c r="AAA44" s="988"/>
      <c r="AAB44" s="988"/>
      <c r="AAC44" s="988"/>
      <c r="AAD44" s="988"/>
      <c r="AAE44" s="988"/>
      <c r="AAF44" s="988"/>
      <c r="AAG44" s="988"/>
      <c r="AAH44" s="988"/>
      <c r="AAI44" s="988"/>
      <c r="AAJ44" s="988"/>
      <c r="AAK44" s="988"/>
      <c r="AAL44" s="988"/>
      <c r="AAM44" s="988"/>
      <c r="AAN44" s="988"/>
      <c r="AAO44" s="988"/>
      <c r="AAP44" s="988"/>
      <c r="AAQ44" s="988"/>
      <c r="AAR44" s="988"/>
      <c r="AAS44" s="988"/>
      <c r="AAT44" s="988"/>
      <c r="AAU44" s="988"/>
      <c r="AAV44" s="988"/>
      <c r="AAW44" s="988"/>
      <c r="AAX44" s="988"/>
      <c r="AAY44" s="988"/>
      <c r="AAZ44" s="988"/>
      <c r="ABA44" s="988"/>
      <c r="ABB44" s="988"/>
      <c r="ABC44" s="988"/>
      <c r="ABD44" s="988"/>
      <c r="ABE44" s="988"/>
      <c r="ABF44" s="988"/>
      <c r="ABG44" s="988"/>
      <c r="ABH44" s="988"/>
      <c r="ABI44" s="988"/>
      <c r="ABJ44" s="988"/>
      <c r="ABK44" s="988"/>
      <c r="ABL44" s="988"/>
      <c r="ABM44" s="988"/>
      <c r="ABN44" s="988"/>
      <c r="ABO44" s="988"/>
      <c r="ABP44" s="988"/>
      <c r="ABQ44" s="988"/>
      <c r="ABR44" s="988"/>
      <c r="ABS44" s="988"/>
      <c r="ABT44" s="988"/>
      <c r="ABU44" s="988"/>
      <c r="ABV44" s="988"/>
      <c r="ABW44" s="988"/>
      <c r="ABX44" s="988"/>
      <c r="ABY44" s="988"/>
      <c r="ABZ44" s="988"/>
      <c r="ACA44" s="988"/>
      <c r="ACB44" s="988"/>
      <c r="ACC44" s="988"/>
      <c r="ACD44" s="988"/>
      <c r="ACE44" s="988"/>
      <c r="ACF44" s="988"/>
      <c r="ACG44" s="988"/>
      <c r="ACH44" s="988"/>
      <c r="ACI44" s="988"/>
      <c r="ACJ44" s="988"/>
      <c r="ACK44" s="988"/>
      <c r="ACL44" s="988"/>
      <c r="ACM44" s="988"/>
      <c r="ACN44" s="988"/>
      <c r="ACO44" s="988"/>
      <c r="ACP44" s="988"/>
      <c r="ACQ44" s="988"/>
      <c r="ACR44" s="988"/>
      <c r="ACS44" s="988"/>
      <c r="ACT44" s="988"/>
      <c r="ACU44" s="988"/>
      <c r="ACV44" s="988"/>
      <c r="ACW44" s="988"/>
      <c r="ACX44" s="988"/>
      <c r="ACY44" s="988"/>
      <c r="ACZ44" s="988"/>
      <c r="ADA44" s="988"/>
      <c r="ADB44" s="988"/>
      <c r="ADC44" s="988"/>
      <c r="ADD44" s="988"/>
      <c r="ADE44" s="988"/>
      <c r="ADF44" s="988"/>
      <c r="ADG44" s="988"/>
      <c r="ADH44" s="988"/>
      <c r="ADI44" s="988"/>
      <c r="ADJ44" s="988"/>
      <c r="ADK44" s="988"/>
      <c r="ADL44" s="988"/>
      <c r="ADM44" s="988"/>
      <c r="ADN44" s="988"/>
      <c r="ADO44" s="988"/>
      <c r="ADP44" s="988"/>
      <c r="ADQ44" s="988"/>
      <c r="ADR44" s="988"/>
      <c r="ADS44" s="988"/>
      <c r="ADT44" s="988"/>
      <c r="ADU44" s="988"/>
      <c r="ADV44" s="988"/>
      <c r="ADW44" s="988"/>
      <c r="ADX44" s="988"/>
      <c r="ADY44" s="988"/>
      <c r="ADZ44" s="988"/>
      <c r="AEA44" s="988"/>
      <c r="AEB44" s="988"/>
      <c r="AEC44" s="988"/>
      <c r="AED44" s="988"/>
      <c r="AEE44" s="988"/>
      <c r="AEF44" s="988"/>
      <c r="AEG44" s="988"/>
      <c r="AEH44" s="988"/>
      <c r="AEI44" s="988"/>
      <c r="AEJ44" s="988"/>
      <c r="AEK44" s="988"/>
      <c r="AEL44" s="988"/>
      <c r="AEM44" s="988"/>
      <c r="AEN44" s="988"/>
      <c r="AEO44" s="988"/>
      <c r="AEP44" s="988"/>
      <c r="AEQ44" s="988"/>
      <c r="AER44" s="988"/>
      <c r="AES44" s="988"/>
      <c r="AET44" s="988"/>
      <c r="AEU44" s="988"/>
      <c r="AEV44" s="988"/>
      <c r="AEW44" s="988"/>
      <c r="AEX44" s="988"/>
      <c r="AEY44" s="988"/>
      <c r="AEZ44" s="988"/>
      <c r="AFA44" s="988"/>
      <c r="AFB44" s="988"/>
      <c r="AFC44" s="988"/>
      <c r="AFD44" s="988"/>
      <c r="AFE44" s="988"/>
      <c r="AFF44" s="988"/>
      <c r="AFG44" s="988"/>
      <c r="AFH44" s="988"/>
      <c r="AFI44" s="988"/>
      <c r="AFJ44" s="988"/>
      <c r="AFK44" s="988"/>
      <c r="AFL44" s="988"/>
      <c r="AFM44" s="988"/>
      <c r="AFN44" s="988"/>
      <c r="AFO44" s="988"/>
      <c r="AFP44" s="988"/>
      <c r="AFQ44" s="988"/>
      <c r="AFR44" s="988"/>
      <c r="AFS44" s="988"/>
      <c r="AFT44" s="988"/>
      <c r="AFU44" s="988"/>
      <c r="AFV44" s="988"/>
      <c r="AFW44" s="988"/>
      <c r="AFX44" s="988"/>
      <c r="AFY44" s="988"/>
      <c r="AFZ44" s="988"/>
      <c r="AGA44" s="988"/>
      <c r="AGB44" s="988"/>
      <c r="AGC44" s="988"/>
      <c r="AGD44" s="988"/>
      <c r="AGE44" s="988"/>
      <c r="AGF44" s="988"/>
      <c r="AGG44" s="988"/>
      <c r="AGH44" s="988"/>
      <c r="AGI44" s="988"/>
      <c r="AGJ44" s="988"/>
      <c r="AGK44" s="988"/>
      <c r="AGL44" s="988"/>
      <c r="AGM44" s="988"/>
      <c r="AGN44" s="988"/>
      <c r="AGO44" s="988"/>
      <c r="AGP44" s="988"/>
      <c r="AGQ44" s="988"/>
      <c r="AGR44" s="988"/>
      <c r="AGS44" s="988"/>
      <c r="AGT44" s="988"/>
      <c r="AGU44" s="988"/>
      <c r="AGV44" s="988"/>
      <c r="AGW44" s="988"/>
      <c r="AGX44" s="988"/>
      <c r="AGY44" s="988"/>
      <c r="AGZ44" s="988"/>
      <c r="AHA44" s="988"/>
      <c r="AHB44" s="988"/>
      <c r="AHC44" s="988"/>
      <c r="AHD44" s="988"/>
      <c r="AHE44" s="988"/>
      <c r="AHF44" s="988"/>
      <c r="AHG44" s="988"/>
      <c r="AHH44" s="988"/>
      <c r="AHI44" s="988"/>
      <c r="AHJ44" s="988"/>
      <c r="AHK44" s="988"/>
      <c r="AHL44" s="988"/>
      <c r="AHM44" s="988"/>
      <c r="AHN44" s="988"/>
      <c r="AHO44" s="988"/>
      <c r="AHP44" s="988"/>
      <c r="AHQ44" s="988"/>
      <c r="AHR44" s="988"/>
      <c r="AHS44" s="988"/>
      <c r="AHT44" s="988"/>
      <c r="AHU44" s="988"/>
      <c r="AHV44" s="988"/>
      <c r="AHW44" s="988"/>
      <c r="AHX44" s="988"/>
      <c r="AHY44" s="988"/>
      <c r="AHZ44" s="988"/>
      <c r="AIA44" s="988"/>
      <c r="AIB44" s="988"/>
      <c r="AIC44" s="988"/>
      <c r="AID44" s="988"/>
      <c r="AIE44" s="988"/>
      <c r="AIF44" s="988"/>
      <c r="AIG44" s="988"/>
      <c r="AIH44" s="988"/>
      <c r="AII44" s="988"/>
      <c r="AIJ44" s="988"/>
      <c r="AIK44" s="988"/>
      <c r="AIL44" s="988"/>
      <c r="AIM44" s="988"/>
      <c r="AIN44" s="988"/>
      <c r="AIO44" s="988"/>
      <c r="AIP44" s="988"/>
      <c r="AIQ44" s="988"/>
      <c r="AIR44" s="988"/>
      <c r="AIS44" s="988"/>
      <c r="AIT44" s="988"/>
      <c r="AIU44" s="988"/>
      <c r="AIV44" s="988"/>
      <c r="AIW44" s="988"/>
      <c r="AIX44" s="988"/>
      <c r="AIY44" s="988"/>
      <c r="AIZ44" s="988"/>
      <c r="AJA44" s="988"/>
      <c r="AJB44" s="988"/>
      <c r="AJC44" s="988"/>
      <c r="AJD44" s="988"/>
      <c r="AJE44" s="988"/>
      <c r="AJF44" s="988"/>
      <c r="AJG44" s="988"/>
      <c r="AJH44" s="988"/>
      <c r="AJI44" s="988"/>
      <c r="AJJ44" s="988"/>
      <c r="AJK44" s="988"/>
      <c r="AJL44" s="988"/>
      <c r="AJM44" s="988"/>
      <c r="AJN44" s="988"/>
      <c r="AJO44" s="988"/>
      <c r="AJP44" s="988"/>
      <c r="AJQ44" s="988"/>
      <c r="AJR44" s="988"/>
      <c r="AJS44" s="988"/>
      <c r="AJT44" s="988"/>
      <c r="AJU44" s="988"/>
      <c r="AJV44" s="988"/>
      <c r="AJW44" s="988"/>
      <c r="AJX44" s="988"/>
      <c r="AJY44" s="988"/>
      <c r="AJZ44" s="988"/>
      <c r="AKA44" s="988"/>
      <c r="AKB44" s="988"/>
      <c r="AKC44" s="988"/>
      <c r="AKD44" s="988"/>
      <c r="AKE44" s="988"/>
      <c r="AKF44" s="988"/>
      <c r="AKG44" s="988"/>
      <c r="AKH44" s="988"/>
      <c r="AKI44" s="988"/>
      <c r="AKJ44" s="988"/>
      <c r="AKK44" s="988"/>
      <c r="AKL44" s="988"/>
      <c r="AKM44" s="988"/>
      <c r="AKN44" s="988"/>
      <c r="AKO44" s="988"/>
      <c r="AKP44" s="988"/>
      <c r="AKQ44" s="988"/>
      <c r="AKR44" s="988"/>
      <c r="AKS44" s="988"/>
      <c r="AKT44" s="988"/>
      <c r="AKU44" s="988"/>
      <c r="AKV44" s="988"/>
      <c r="AKW44" s="988"/>
      <c r="AKX44" s="988"/>
      <c r="AKY44" s="988"/>
      <c r="AKZ44" s="988"/>
      <c r="ALA44" s="988"/>
      <c r="ALB44" s="988"/>
      <c r="ALC44" s="988"/>
      <c r="ALD44" s="988"/>
      <c r="ALE44" s="988"/>
      <c r="ALF44" s="988"/>
      <c r="ALG44" s="988"/>
      <c r="ALH44" s="988"/>
      <c r="ALI44" s="988"/>
      <c r="ALJ44" s="988"/>
      <c r="ALK44" s="988"/>
      <c r="ALL44" s="988"/>
      <c r="ALM44" s="988"/>
      <c r="ALN44" s="988"/>
      <c r="ALO44" s="988"/>
      <c r="ALP44" s="988"/>
      <c r="ALQ44" s="988"/>
      <c r="ALR44" s="988"/>
      <c r="ALS44" s="988"/>
      <c r="ALT44" s="988"/>
      <c r="ALU44" s="988"/>
      <c r="ALV44" s="988"/>
      <c r="ALW44" s="988"/>
      <c r="ALX44" s="988"/>
      <c r="ALY44" s="988"/>
    </row>
    <row r="45" spans="1:1013" ht="18" customHeight="1">
      <c r="A45" s="1283" t="s">
        <v>167</v>
      </c>
      <c r="B45" s="1260" t="s">
        <v>3063</v>
      </c>
      <c r="C45" s="1274">
        <v>2022</v>
      </c>
      <c r="D45" s="1274"/>
      <c r="E45" s="1270">
        <v>0</v>
      </c>
      <c r="F45" s="1271">
        <v>0.4</v>
      </c>
      <c r="G45" s="1271">
        <v>0.4</v>
      </c>
      <c r="H45" s="76">
        <v>364.08695652173913</v>
      </c>
      <c r="I45" s="72">
        <v>-1.5</v>
      </c>
      <c r="J45" s="1271">
        <v>-3.8</v>
      </c>
      <c r="K45" s="1271">
        <v>-3.8</v>
      </c>
      <c r="L45" s="1271"/>
      <c r="M45" s="1271"/>
      <c r="N45" s="1271"/>
      <c r="O45" s="1271"/>
      <c r="P45" s="76">
        <v>2124.3106214374661</v>
      </c>
      <c r="Q45" s="75">
        <v>12</v>
      </c>
      <c r="R45" s="72">
        <v>0.7</v>
      </c>
      <c r="S45" s="72">
        <v>0.7</v>
      </c>
      <c r="T45" s="72">
        <v>0.7</v>
      </c>
      <c r="U45" s="1271">
        <v>0.1</v>
      </c>
      <c r="V45" s="1271">
        <v>0</v>
      </c>
      <c r="W45" s="1271">
        <v>99.9</v>
      </c>
      <c r="X45" s="1271">
        <v>0</v>
      </c>
      <c r="Y45" s="1272">
        <v>0</v>
      </c>
      <c r="Z45" s="75">
        <v>1</v>
      </c>
      <c r="AA45" s="75">
        <v>1</v>
      </c>
      <c r="AB45" s="75">
        <v>1</v>
      </c>
      <c r="AC45" s="75">
        <v>1</v>
      </c>
      <c r="AD45" s="75">
        <v>1</v>
      </c>
      <c r="AE45" s="75"/>
      <c r="AF45" s="75"/>
      <c r="AG45" s="75"/>
      <c r="AH45" s="75"/>
      <c r="AI45" s="75"/>
      <c r="AJ45" s="75"/>
      <c r="AK45" s="75"/>
      <c r="AL45" s="75"/>
      <c r="AM45" s="75"/>
      <c r="AN45" s="75"/>
      <c r="AO45" s="75"/>
      <c r="AP45" s="75"/>
      <c r="AQ45" s="75"/>
      <c r="AR45" s="75"/>
      <c r="AS45" s="75"/>
      <c r="AT45" s="75"/>
      <c r="AU45" s="75"/>
      <c r="AV45" s="75"/>
      <c r="AW45" s="75"/>
      <c r="AX45" s="75"/>
      <c r="AY45" s="75"/>
      <c r="AZ45" s="75"/>
      <c r="BA45" s="1019">
        <v>11785.626724936825</v>
      </c>
      <c r="BB45" s="1031">
        <v>1.5</v>
      </c>
      <c r="BC45" s="988">
        <v>1.8</v>
      </c>
      <c r="BD45" s="988">
        <v>0.8</v>
      </c>
      <c r="BE45" s="988">
        <v>0.8</v>
      </c>
      <c r="BF45" s="1021">
        <v>0.16458882635095481</v>
      </c>
      <c r="BG45" s="1021">
        <v>0.17241435895653787</v>
      </c>
      <c r="BH45" s="1020"/>
      <c r="BI45" s="1020"/>
      <c r="BJ45" s="1020">
        <v>3.1069255412930827</v>
      </c>
      <c r="BK45" s="1020">
        <v>38.101872755810703</v>
      </c>
      <c r="BL45" s="1020"/>
      <c r="BM45" s="1020"/>
      <c r="BN45" s="1020">
        <v>55.68427616160313</v>
      </c>
      <c r="BO45" s="1020"/>
      <c r="BP45" s="1020"/>
      <c r="BQ45" s="1020"/>
      <c r="BR45" s="1020"/>
      <c r="BS45" s="1020"/>
      <c r="BT45" s="1020"/>
      <c r="BU45" s="1020">
        <v>2.7375346707088952</v>
      </c>
      <c r="BV45" s="1020">
        <v>0.36939087058418801</v>
      </c>
      <c r="BW45" s="990"/>
      <c r="BX45" s="990"/>
      <c r="BY45" s="990"/>
      <c r="BZ45" s="990"/>
      <c r="CA45" s="990"/>
      <c r="CB45" s="990"/>
      <c r="CC45" s="990"/>
      <c r="CD45" s="990"/>
      <c r="CE45" s="990"/>
      <c r="CF45" s="990"/>
      <c r="CG45" s="990"/>
      <c r="CH45" s="990"/>
      <c r="CI45" s="990"/>
      <c r="CJ45" s="990"/>
      <c r="CK45" s="990"/>
      <c r="CL45" s="990"/>
      <c r="CM45" s="990"/>
      <c r="CN45" s="990"/>
      <c r="CO45" s="990"/>
      <c r="CP45" s="990"/>
      <c r="CQ45" s="990"/>
      <c r="CR45" s="990"/>
      <c r="CS45" s="990"/>
      <c r="CT45" s="990"/>
      <c r="CU45" s="990"/>
      <c r="CV45" s="990"/>
      <c r="CW45" s="990"/>
      <c r="CX45" s="990"/>
      <c r="CY45" s="990"/>
      <c r="CZ45" s="990"/>
      <c r="DA45" s="991">
        <v>1</v>
      </c>
      <c r="DB45" s="991">
        <v>1</v>
      </c>
      <c r="DC45" s="991">
        <v>1</v>
      </c>
      <c r="DD45" s="991">
        <v>1</v>
      </c>
      <c r="DE45" s="991">
        <v>1</v>
      </c>
      <c r="DF45" s="991"/>
      <c r="DG45" s="991"/>
      <c r="DH45" s="991"/>
      <c r="DI45" s="991"/>
      <c r="DJ45" s="991"/>
      <c r="DK45" s="1022">
        <v>0</v>
      </c>
      <c r="DL45" s="1022">
        <v>18</v>
      </c>
      <c r="DM45" s="1019">
        <f t="shared" si="2"/>
        <v>0</v>
      </c>
      <c r="DN45" s="988">
        <v>0.8</v>
      </c>
      <c r="DO45" s="988">
        <v>0.6</v>
      </c>
      <c r="DP45" s="988">
        <v>0.6</v>
      </c>
      <c r="DQ45" s="988"/>
      <c r="DR45" s="988"/>
      <c r="DS45" s="988"/>
      <c r="DT45" s="988"/>
      <c r="DU45" s="988"/>
      <c r="DV45" s="988"/>
      <c r="DW45" s="988"/>
      <c r="DX45" s="988"/>
      <c r="DY45" s="988"/>
      <c r="DZ45" s="988"/>
      <c r="EA45" s="988"/>
      <c r="EB45" s="988"/>
      <c r="EC45" s="988"/>
      <c r="ED45" s="988"/>
      <c r="EE45" s="1022">
        <v>0.86295970746011463</v>
      </c>
      <c r="EF45" s="1022">
        <v>18</v>
      </c>
      <c r="EG45" s="1019">
        <v>5184.5982608695649</v>
      </c>
      <c r="EH45" s="988">
        <v>0.8</v>
      </c>
      <c r="EI45" s="988">
        <v>0.6</v>
      </c>
      <c r="EJ45" s="988">
        <v>0.6</v>
      </c>
      <c r="EK45" s="988"/>
      <c r="EL45" s="988"/>
      <c r="EM45" s="988"/>
      <c r="EN45" s="988"/>
      <c r="EO45" s="988"/>
      <c r="EP45" s="988"/>
      <c r="EQ45" s="988"/>
      <c r="ER45" s="988"/>
      <c r="ES45" s="988"/>
      <c r="ET45" s="988"/>
      <c r="EU45" s="988"/>
      <c r="EV45" s="988"/>
      <c r="EW45" s="988"/>
      <c r="EX45" s="988"/>
      <c r="EY45" s="988"/>
      <c r="EZ45" s="988"/>
      <c r="FA45" s="988"/>
      <c r="FB45" s="988"/>
      <c r="FC45" s="988"/>
      <c r="FD45" s="988"/>
      <c r="FE45" s="988"/>
      <c r="FF45" s="988"/>
      <c r="FG45" s="988"/>
      <c r="FH45" s="988"/>
      <c r="FI45" s="988"/>
      <c r="FJ45" s="988"/>
      <c r="FK45" s="988"/>
      <c r="FL45" s="988"/>
      <c r="FM45" s="988"/>
      <c r="FN45" s="988"/>
      <c r="FO45" s="988"/>
      <c r="FP45" s="988"/>
      <c r="FQ45" s="988"/>
      <c r="FR45" s="988"/>
      <c r="FS45" s="988"/>
      <c r="FT45" s="988"/>
      <c r="FU45" s="988"/>
      <c r="FV45" s="988"/>
      <c r="FW45" s="988"/>
      <c r="FX45" s="988"/>
      <c r="FY45" s="988"/>
      <c r="FZ45" s="988"/>
      <c r="GA45" s="988"/>
      <c r="GB45" s="988"/>
      <c r="GC45" s="988"/>
      <c r="GD45" s="988"/>
      <c r="GE45" s="988"/>
      <c r="GF45" s="988"/>
      <c r="GG45" s="988"/>
      <c r="GH45" s="988"/>
      <c r="GI45" s="988"/>
      <c r="GJ45" s="988"/>
      <c r="GK45" s="988"/>
      <c r="GL45" s="988"/>
      <c r="GM45" s="988"/>
      <c r="GN45" s="988"/>
      <c r="GO45" s="988"/>
      <c r="GP45" s="988"/>
      <c r="GQ45" s="988"/>
      <c r="GR45" s="988"/>
      <c r="GS45" s="988"/>
      <c r="GT45" s="988"/>
      <c r="GU45" s="988"/>
      <c r="GV45" s="988"/>
      <c r="GW45" s="988"/>
      <c r="GX45" s="988"/>
      <c r="GY45" s="988"/>
      <c r="GZ45" s="988"/>
      <c r="HA45" s="988"/>
      <c r="HB45" s="988"/>
      <c r="HC45" s="988"/>
      <c r="HD45" s="988"/>
      <c r="HE45" s="988"/>
      <c r="HF45" s="988"/>
      <c r="HG45" s="988"/>
      <c r="HH45" s="988"/>
      <c r="HI45" s="988"/>
      <c r="HJ45" s="988"/>
      <c r="HK45" s="988"/>
      <c r="HL45" s="988"/>
      <c r="HM45" s="988"/>
      <c r="HN45" s="988"/>
      <c r="HO45" s="988"/>
      <c r="HP45" s="988"/>
      <c r="HQ45" s="988"/>
      <c r="HR45" s="988"/>
      <c r="HS45" s="988"/>
      <c r="HT45" s="988"/>
      <c r="HU45" s="988"/>
      <c r="HV45" s="988"/>
      <c r="HW45" s="988"/>
      <c r="HX45" s="988"/>
      <c r="HY45" s="988"/>
      <c r="HZ45" s="988"/>
      <c r="IA45" s="988"/>
      <c r="IB45" s="988"/>
      <c r="IC45" s="988"/>
      <c r="ID45" s="988"/>
      <c r="IE45" s="988"/>
      <c r="IF45" s="988"/>
      <c r="IG45" s="988"/>
      <c r="IH45" s="988"/>
      <c r="II45" s="988"/>
      <c r="IJ45" s="988"/>
      <c r="IK45" s="988"/>
      <c r="IL45" s="988"/>
      <c r="IM45" s="988"/>
      <c r="IN45" s="988"/>
      <c r="IO45" s="988"/>
      <c r="IP45" s="988"/>
      <c r="IQ45" s="988"/>
      <c r="IR45" s="988"/>
      <c r="IS45" s="988"/>
      <c r="IT45" s="988"/>
      <c r="IU45" s="988"/>
      <c r="IV45" s="988"/>
      <c r="IW45" s="1019">
        <v>455.57067467001087</v>
      </c>
      <c r="IX45" s="1022">
        <v>179.9</v>
      </c>
      <c r="IY45" s="1022">
        <v>3624.5695652174013</v>
      </c>
      <c r="IZ45" s="1022"/>
      <c r="JA45" s="1022"/>
      <c r="JB45" s="988">
        <v>0.8</v>
      </c>
      <c r="JC45" s="988">
        <v>0.6</v>
      </c>
      <c r="JD45" s="988">
        <v>0.6</v>
      </c>
      <c r="JE45" s="991">
        <v>1</v>
      </c>
      <c r="JF45" s="991">
        <v>1</v>
      </c>
      <c r="JG45" s="991">
        <v>1</v>
      </c>
      <c r="JH45" s="991">
        <v>1</v>
      </c>
      <c r="JI45" s="991">
        <v>1</v>
      </c>
      <c r="JJ45" s="1019">
        <v>2.4643245884135658</v>
      </c>
      <c r="JK45" s="1019"/>
      <c r="JL45" s="1019"/>
      <c r="JM45" s="1019">
        <v>7623.1670434783009</v>
      </c>
      <c r="JN45" s="988">
        <v>1.4</v>
      </c>
      <c r="JO45" s="988">
        <v>1.1000000000000001</v>
      </c>
      <c r="JP45" s="988">
        <v>1.1000000000000001</v>
      </c>
      <c r="JQ45" s="991">
        <v>1</v>
      </c>
      <c r="JR45" s="991">
        <v>1</v>
      </c>
      <c r="JS45" s="991">
        <v>1</v>
      </c>
      <c r="JT45" s="991">
        <v>1</v>
      </c>
      <c r="JU45" s="991">
        <v>1</v>
      </c>
      <c r="JV45" s="991"/>
      <c r="JW45" s="1019">
        <v>417.57875862283845</v>
      </c>
      <c r="JX45" s="1019">
        <v>500</v>
      </c>
      <c r="JY45" s="1022">
        <v>2.5</v>
      </c>
      <c r="JZ45" s="1022">
        <v>1.3</v>
      </c>
      <c r="KA45" s="1022">
        <v>1.3</v>
      </c>
      <c r="KB45" s="991">
        <v>1</v>
      </c>
      <c r="KC45" s="991">
        <v>1</v>
      </c>
      <c r="KD45" s="991">
        <v>1</v>
      </c>
      <c r="KE45" s="991">
        <v>1</v>
      </c>
      <c r="KF45" s="991">
        <v>1</v>
      </c>
      <c r="KG45" s="991"/>
      <c r="KH45" s="991"/>
      <c r="KI45" s="991"/>
      <c r="KJ45" s="991"/>
      <c r="KK45" s="991"/>
      <c r="KL45" s="991"/>
      <c r="KM45" s="991"/>
      <c r="KN45" s="991"/>
      <c r="KO45" s="991"/>
      <c r="KP45" s="991"/>
      <c r="KQ45" s="991"/>
      <c r="KR45" s="991"/>
      <c r="KS45" s="991"/>
      <c r="KT45" s="991"/>
      <c r="KU45" s="991"/>
      <c r="KV45" s="991"/>
      <c r="KW45" s="991"/>
      <c r="KX45" s="991"/>
      <c r="KY45" s="991"/>
      <c r="KZ45" s="991"/>
      <c r="LA45" s="991"/>
      <c r="LB45" s="991"/>
      <c r="LC45" s="991"/>
      <c r="LD45" s="991"/>
      <c r="LE45" s="991"/>
      <c r="LF45" s="991"/>
      <c r="LG45" s="991"/>
      <c r="LH45" s="991"/>
      <c r="LI45" s="991"/>
      <c r="LJ45" s="991"/>
      <c r="LK45" s="991"/>
      <c r="LL45" s="991"/>
      <c r="LM45" s="991"/>
      <c r="LN45" s="1019"/>
      <c r="LO45" s="988">
        <v>29</v>
      </c>
      <c r="LP45" s="988">
        <v>1.6</v>
      </c>
      <c r="LQ45" s="988">
        <v>1.2</v>
      </c>
      <c r="LR45" s="988">
        <v>1.2</v>
      </c>
      <c r="LS45" s="991">
        <v>1</v>
      </c>
      <c r="LT45" s="991">
        <v>1</v>
      </c>
      <c r="LU45" s="991">
        <v>1</v>
      </c>
      <c r="LV45" s="991">
        <v>1</v>
      </c>
      <c r="LW45" s="991">
        <v>1</v>
      </c>
      <c r="LX45" s="991"/>
      <c r="LY45" s="991"/>
      <c r="LZ45" s="991">
        <v>0</v>
      </c>
      <c r="MA45" s="991"/>
      <c r="MB45" s="991"/>
      <c r="MC45" s="991"/>
      <c r="MD45" s="991"/>
      <c r="ME45" s="991"/>
      <c r="MF45" s="991"/>
      <c r="MG45" s="991"/>
      <c r="MH45" s="991"/>
      <c r="MI45" s="991"/>
      <c r="MJ45" s="991"/>
      <c r="MK45" s="991"/>
      <c r="ML45" s="991"/>
      <c r="MM45" s="991"/>
      <c r="MN45" s="991"/>
      <c r="MO45" s="991"/>
      <c r="MP45" s="991"/>
      <c r="MQ45" s="991"/>
      <c r="MR45" s="991"/>
      <c r="MS45" s="991"/>
      <c r="MT45" s="991"/>
      <c r="MU45" s="991"/>
      <c r="MV45" s="991"/>
      <c r="MW45" s="991"/>
      <c r="MX45" s="991"/>
      <c r="MY45" s="991"/>
      <c r="MZ45" s="991"/>
      <c r="NA45" s="991"/>
      <c r="NB45" s="991"/>
      <c r="NC45" s="991"/>
      <c r="ND45" s="991"/>
      <c r="NE45" s="991"/>
      <c r="NF45" s="991"/>
      <c r="NG45" s="991"/>
      <c r="NH45" s="991"/>
      <c r="NI45" s="991"/>
      <c r="NJ45" s="991"/>
      <c r="NK45" s="991"/>
      <c r="NL45" s="991"/>
      <c r="NM45" s="991"/>
      <c r="NN45" s="991"/>
      <c r="NO45" s="991"/>
      <c r="NP45" s="991"/>
      <c r="NQ45" s="991"/>
      <c r="NR45" s="991"/>
      <c r="NS45" s="991"/>
      <c r="NT45" s="991"/>
      <c r="NU45" s="991"/>
      <c r="NV45" s="994">
        <v>200</v>
      </c>
      <c r="NW45" s="994">
        <v>200</v>
      </c>
      <c r="NX45" s="994">
        <v>200</v>
      </c>
      <c r="NY45" s="994">
        <v>200</v>
      </c>
      <c r="NZ45" s="994">
        <v>200</v>
      </c>
      <c r="OA45" s="994">
        <v>200</v>
      </c>
      <c r="OB45" s="994">
        <v>200</v>
      </c>
      <c r="OC45" s="994">
        <v>200</v>
      </c>
      <c r="OD45" s="994">
        <v>200</v>
      </c>
      <c r="OE45" s="994">
        <v>200</v>
      </c>
      <c r="OF45" s="994">
        <v>200</v>
      </c>
      <c r="OG45" s="994">
        <v>200</v>
      </c>
      <c r="OH45" s="994">
        <v>200</v>
      </c>
      <c r="OI45" s="994">
        <v>200</v>
      </c>
      <c r="OJ45" s="994">
        <v>200</v>
      </c>
      <c r="OK45" s="994">
        <v>200</v>
      </c>
      <c r="OL45" s="994">
        <v>200</v>
      </c>
      <c r="OM45" s="994">
        <v>200</v>
      </c>
      <c r="ON45" s="994">
        <v>200</v>
      </c>
      <c r="OO45" s="994">
        <v>200</v>
      </c>
      <c r="OP45" s="994">
        <v>200</v>
      </c>
      <c r="OQ45" s="994">
        <v>200</v>
      </c>
      <c r="OR45" s="994">
        <v>200</v>
      </c>
      <c r="OS45" s="994">
        <v>200</v>
      </c>
      <c r="OT45" s="994">
        <v>200</v>
      </c>
      <c r="OU45" s="994">
        <v>200</v>
      </c>
      <c r="OV45" s="994">
        <v>200</v>
      </c>
      <c r="OW45" s="994">
        <v>200</v>
      </c>
      <c r="OX45" s="994">
        <v>200</v>
      </c>
      <c r="OY45" s="994">
        <v>200</v>
      </c>
      <c r="OZ45" s="994">
        <v>200</v>
      </c>
      <c r="PA45" s="994">
        <v>200</v>
      </c>
      <c r="PB45" s="994">
        <v>200</v>
      </c>
      <c r="PC45" s="994">
        <v>200</v>
      </c>
      <c r="PD45" s="994">
        <v>200</v>
      </c>
      <c r="PE45" s="994">
        <v>200</v>
      </c>
      <c r="PF45" s="994">
        <v>200</v>
      </c>
      <c r="PG45" s="994">
        <v>200</v>
      </c>
      <c r="PH45" s="994">
        <v>200</v>
      </c>
      <c r="PI45" s="994">
        <v>200</v>
      </c>
      <c r="PJ45" s="994">
        <v>200</v>
      </c>
      <c r="PK45" s="994">
        <v>200</v>
      </c>
      <c r="PL45" s="994">
        <v>200</v>
      </c>
      <c r="PM45" s="994">
        <v>200</v>
      </c>
      <c r="PN45" s="994">
        <v>200</v>
      </c>
      <c r="PO45" s="994">
        <v>200</v>
      </c>
      <c r="PP45" s="994">
        <v>200</v>
      </c>
      <c r="PQ45" s="994">
        <v>200</v>
      </c>
      <c r="PR45" s="994">
        <v>200</v>
      </c>
      <c r="PS45" s="994">
        <v>200</v>
      </c>
      <c r="PT45" s="994">
        <v>200</v>
      </c>
      <c r="PU45" s="994">
        <v>200</v>
      </c>
      <c r="PV45" s="994">
        <v>200</v>
      </c>
      <c r="PW45" s="994">
        <v>200</v>
      </c>
      <c r="PX45" s="994">
        <v>200</v>
      </c>
      <c r="PY45" s="994">
        <v>200</v>
      </c>
      <c r="PZ45" s="994">
        <v>200</v>
      </c>
      <c r="QA45" s="994">
        <v>200</v>
      </c>
      <c r="QB45" s="994">
        <v>200</v>
      </c>
      <c r="QC45" s="994">
        <v>200</v>
      </c>
      <c r="QD45" s="994">
        <v>200</v>
      </c>
      <c r="QE45" s="994">
        <v>200</v>
      </c>
      <c r="QF45" s="994">
        <v>200</v>
      </c>
      <c r="QG45" s="994">
        <v>200</v>
      </c>
      <c r="QH45" s="994">
        <v>200</v>
      </c>
      <c r="QI45" s="994">
        <v>200</v>
      </c>
      <c r="QJ45" s="994">
        <v>200</v>
      </c>
      <c r="QK45" s="994">
        <v>200</v>
      </c>
      <c r="QL45" s="994">
        <v>200</v>
      </c>
      <c r="QM45" s="994">
        <v>200</v>
      </c>
      <c r="QN45" s="994">
        <v>200</v>
      </c>
      <c r="QO45" s="994">
        <v>200</v>
      </c>
      <c r="QP45" s="994">
        <v>200</v>
      </c>
      <c r="QQ45" s="994">
        <v>200</v>
      </c>
      <c r="QR45" s="994">
        <v>200</v>
      </c>
      <c r="QS45" s="994">
        <v>200</v>
      </c>
      <c r="QT45" s="994">
        <v>200</v>
      </c>
      <c r="QU45" s="994">
        <v>200</v>
      </c>
      <c r="QV45" s="994">
        <v>200</v>
      </c>
      <c r="QW45" s="994">
        <v>200</v>
      </c>
      <c r="QX45" s="994">
        <v>200</v>
      </c>
      <c r="QY45" s="994">
        <v>200</v>
      </c>
      <c r="QZ45" s="994">
        <v>200</v>
      </c>
      <c r="RA45" s="994">
        <v>200</v>
      </c>
      <c r="RB45" s="994">
        <v>200</v>
      </c>
      <c r="RC45" s="994">
        <v>200</v>
      </c>
      <c r="RD45" s="994">
        <v>200</v>
      </c>
      <c r="RE45" s="994">
        <v>200</v>
      </c>
      <c r="RF45" s="994">
        <v>200</v>
      </c>
      <c r="RG45" s="994">
        <v>200</v>
      </c>
      <c r="RH45" s="994">
        <v>200</v>
      </c>
      <c r="RI45" s="994">
        <v>200</v>
      </c>
      <c r="RJ45" s="994">
        <v>200</v>
      </c>
      <c r="RK45" s="994">
        <v>200</v>
      </c>
      <c r="RL45" s="994">
        <v>200</v>
      </c>
      <c r="RM45" s="994">
        <v>200</v>
      </c>
      <c r="RN45" s="994">
        <v>200</v>
      </c>
      <c r="RO45" s="994">
        <v>200</v>
      </c>
      <c r="RP45" s="994">
        <v>200</v>
      </c>
      <c r="RQ45" s="994">
        <v>200</v>
      </c>
      <c r="RR45" s="994">
        <v>200</v>
      </c>
      <c r="RS45" s="994">
        <v>200</v>
      </c>
      <c r="RT45" s="994">
        <v>200</v>
      </c>
      <c r="RU45" s="994">
        <v>200</v>
      </c>
      <c r="RV45" s="994">
        <v>200</v>
      </c>
      <c r="RW45" s="994">
        <v>200</v>
      </c>
      <c r="RX45" s="994">
        <v>200</v>
      </c>
      <c r="RY45" s="994">
        <v>200</v>
      </c>
      <c r="RZ45" s="994">
        <v>200</v>
      </c>
      <c r="SA45" s="994">
        <v>200</v>
      </c>
      <c r="SB45" s="994">
        <v>200</v>
      </c>
      <c r="SC45" s="994">
        <v>200</v>
      </c>
      <c r="SD45" s="994">
        <v>200</v>
      </c>
      <c r="SE45" s="994">
        <v>200</v>
      </c>
      <c r="SF45" s="994">
        <v>200</v>
      </c>
      <c r="SG45" s="994">
        <v>200</v>
      </c>
      <c r="SH45" s="994">
        <v>200</v>
      </c>
      <c r="SI45" s="994">
        <v>200</v>
      </c>
      <c r="SJ45" s="994">
        <v>200</v>
      </c>
      <c r="SK45" s="994">
        <v>200</v>
      </c>
      <c r="SL45" s="994">
        <v>200</v>
      </c>
      <c r="SM45" s="994">
        <v>200</v>
      </c>
      <c r="SN45" s="994">
        <v>200</v>
      </c>
      <c r="SO45" s="994">
        <v>200</v>
      </c>
      <c r="SP45" s="994">
        <v>200</v>
      </c>
      <c r="SQ45" s="994">
        <v>200</v>
      </c>
      <c r="SR45" s="994">
        <v>200</v>
      </c>
      <c r="SS45" s="994">
        <v>200</v>
      </c>
      <c r="ST45" s="994">
        <v>200</v>
      </c>
      <c r="SU45" s="994">
        <v>200</v>
      </c>
      <c r="SV45" s="994">
        <v>200</v>
      </c>
      <c r="SW45" s="994">
        <v>200</v>
      </c>
      <c r="SX45" s="994">
        <v>200</v>
      </c>
      <c r="SY45" s="994">
        <v>200</v>
      </c>
      <c r="SZ45" s="994">
        <v>200</v>
      </c>
      <c r="TA45" s="994">
        <v>200</v>
      </c>
      <c r="TB45" s="994">
        <v>200</v>
      </c>
      <c r="TC45" s="994">
        <v>200</v>
      </c>
      <c r="TD45" s="994">
        <v>200</v>
      </c>
      <c r="TE45" s="994">
        <v>200</v>
      </c>
      <c r="TF45" s="994">
        <v>200</v>
      </c>
      <c r="TG45" s="994">
        <v>200</v>
      </c>
      <c r="TH45" s="994">
        <v>200</v>
      </c>
      <c r="TI45" s="994">
        <v>200</v>
      </c>
      <c r="TJ45" s="994">
        <v>200</v>
      </c>
      <c r="TK45" s="994">
        <v>200</v>
      </c>
      <c r="TL45" s="994">
        <v>200</v>
      </c>
      <c r="TM45" s="994">
        <v>200</v>
      </c>
      <c r="TN45" s="994">
        <v>200</v>
      </c>
      <c r="TO45" s="994">
        <v>200</v>
      </c>
      <c r="TP45" s="994">
        <v>200</v>
      </c>
      <c r="TQ45" s="994">
        <v>200</v>
      </c>
      <c r="TR45" s="994">
        <v>200</v>
      </c>
      <c r="TS45" s="994">
        <v>200</v>
      </c>
      <c r="TT45" s="994">
        <v>200</v>
      </c>
      <c r="TU45" s="994">
        <v>200</v>
      </c>
      <c r="TV45" s="994">
        <v>200</v>
      </c>
      <c r="TW45" s="994">
        <v>200</v>
      </c>
      <c r="TX45" s="994">
        <v>200</v>
      </c>
      <c r="TY45" s="994">
        <v>200</v>
      </c>
      <c r="TZ45" s="994">
        <v>200</v>
      </c>
      <c r="UA45" s="994">
        <v>200</v>
      </c>
      <c r="UB45" s="994">
        <v>200</v>
      </c>
      <c r="UC45" s="994">
        <v>200</v>
      </c>
      <c r="UD45" s="994">
        <v>200</v>
      </c>
      <c r="UE45" s="994">
        <v>200</v>
      </c>
      <c r="UF45" s="994">
        <v>200</v>
      </c>
      <c r="UG45" s="994">
        <v>200</v>
      </c>
      <c r="UH45" s="994">
        <v>200</v>
      </c>
      <c r="UI45" s="994">
        <v>200</v>
      </c>
      <c r="UJ45" s="994">
        <v>200</v>
      </c>
      <c r="UK45" s="994">
        <v>200</v>
      </c>
      <c r="UL45" s="994">
        <v>200</v>
      </c>
      <c r="UM45" s="994">
        <v>200</v>
      </c>
      <c r="UN45" s="994">
        <v>200</v>
      </c>
      <c r="UO45" s="994">
        <v>200</v>
      </c>
      <c r="UP45" s="994">
        <v>200</v>
      </c>
      <c r="UQ45" s="994">
        <v>200</v>
      </c>
      <c r="UR45" s="994">
        <v>200</v>
      </c>
      <c r="US45" s="994">
        <v>200</v>
      </c>
      <c r="UT45" s="994">
        <v>200</v>
      </c>
      <c r="UU45" s="994">
        <v>200</v>
      </c>
      <c r="UV45" s="994">
        <v>200</v>
      </c>
      <c r="UW45" s="994">
        <v>200</v>
      </c>
      <c r="UX45" s="994">
        <v>200</v>
      </c>
      <c r="UY45" s="994">
        <v>200</v>
      </c>
      <c r="UZ45" s="994">
        <v>200</v>
      </c>
      <c r="VA45" s="994">
        <v>200</v>
      </c>
      <c r="VB45" s="994">
        <v>200</v>
      </c>
      <c r="VC45" s="994">
        <v>200</v>
      </c>
      <c r="VD45" s="994">
        <v>200</v>
      </c>
      <c r="VE45" s="994">
        <v>200</v>
      </c>
      <c r="VF45" s="994">
        <v>200</v>
      </c>
      <c r="VG45" s="994">
        <v>200</v>
      </c>
      <c r="VH45" s="994">
        <v>200</v>
      </c>
      <c r="VI45" s="994">
        <v>200</v>
      </c>
      <c r="VJ45" s="994">
        <v>200</v>
      </c>
      <c r="VK45" s="994">
        <v>200</v>
      </c>
      <c r="VL45" s="994">
        <v>200</v>
      </c>
      <c r="VM45" s="994">
        <v>200</v>
      </c>
      <c r="VN45" s="994">
        <v>200</v>
      </c>
      <c r="VO45" s="994">
        <v>200</v>
      </c>
      <c r="VP45" s="994">
        <v>200</v>
      </c>
      <c r="VQ45" s="994">
        <v>200</v>
      </c>
      <c r="VR45" s="994">
        <v>200</v>
      </c>
      <c r="VS45" s="994">
        <v>200</v>
      </c>
      <c r="VT45" s="994">
        <v>200</v>
      </c>
      <c r="VU45" s="994">
        <v>200</v>
      </c>
      <c r="VV45" s="994">
        <v>200</v>
      </c>
      <c r="VW45" s="994">
        <v>200</v>
      </c>
      <c r="VX45" s="994">
        <v>200</v>
      </c>
      <c r="VY45" s="994">
        <v>200</v>
      </c>
      <c r="VZ45" s="994">
        <v>200</v>
      </c>
      <c r="WA45" s="994">
        <v>200</v>
      </c>
      <c r="WB45" s="994">
        <v>200</v>
      </c>
      <c r="WC45" s="994">
        <v>200</v>
      </c>
      <c r="WD45" s="988"/>
      <c r="WE45" s="988"/>
      <c r="WF45" s="988"/>
      <c r="WG45" s="988"/>
      <c r="WH45" s="988"/>
      <c r="WI45" s="988"/>
      <c r="WJ45" s="988"/>
      <c r="WK45" s="988"/>
      <c r="WL45" s="988"/>
      <c r="WM45" s="988"/>
      <c r="WN45" s="988"/>
      <c r="WO45" s="988"/>
      <c r="WP45" s="988"/>
      <c r="WQ45" s="988"/>
      <c r="WR45" s="988"/>
      <c r="WS45" s="988"/>
      <c r="WT45" s="988"/>
      <c r="WU45" s="988"/>
      <c r="WV45" s="988"/>
      <c r="WW45" s="988"/>
      <c r="WX45" s="988"/>
      <c r="WY45" s="988"/>
      <c r="WZ45" s="988"/>
      <c r="XA45" s="988"/>
      <c r="XB45" s="988"/>
      <c r="XC45" s="988"/>
      <c r="XD45" s="988"/>
      <c r="XE45" s="988"/>
      <c r="XF45" s="988"/>
      <c r="XG45" s="988"/>
      <c r="XH45" s="988"/>
      <c r="XI45" s="988"/>
      <c r="XJ45" s="988"/>
      <c r="XK45" s="988"/>
      <c r="XL45" s="988"/>
      <c r="XM45" s="988"/>
      <c r="XN45" s="988"/>
      <c r="XO45" s="988"/>
      <c r="XP45" s="988"/>
      <c r="XQ45" s="988"/>
      <c r="XR45" s="988"/>
      <c r="XS45" s="988"/>
      <c r="XT45" s="988"/>
      <c r="XU45" s="988"/>
      <c r="XV45" s="988"/>
      <c r="XW45" s="988"/>
      <c r="XX45" s="988"/>
      <c r="XY45" s="988"/>
      <c r="XZ45" s="988"/>
      <c r="YA45" s="988"/>
      <c r="YB45" s="988"/>
      <c r="YC45" s="988"/>
      <c r="YD45" s="988"/>
      <c r="YE45" s="988"/>
      <c r="YF45" s="988"/>
      <c r="YG45" s="988"/>
      <c r="YH45" s="988"/>
      <c r="YI45" s="988"/>
      <c r="YJ45" s="988"/>
      <c r="YK45" s="988"/>
      <c r="YL45" s="988"/>
      <c r="YM45" s="988"/>
      <c r="YN45" s="988"/>
      <c r="YO45" s="988"/>
      <c r="YP45" s="988"/>
      <c r="YQ45" s="988"/>
      <c r="YR45" s="988"/>
      <c r="YS45" s="988"/>
      <c r="YT45" s="988"/>
      <c r="YU45" s="988"/>
      <c r="YV45" s="988"/>
      <c r="YW45" s="988"/>
      <c r="YX45" s="988"/>
      <c r="YY45" s="988"/>
      <c r="YZ45" s="988"/>
      <c r="ZA45" s="988"/>
      <c r="ZB45" s="988"/>
      <c r="ZC45" s="988"/>
      <c r="ZD45" s="988"/>
      <c r="ZE45" s="988"/>
      <c r="ZF45" s="988"/>
      <c r="ZG45" s="988"/>
      <c r="ZH45" s="988"/>
      <c r="ZI45" s="988"/>
      <c r="ZJ45" s="988"/>
      <c r="ZK45" s="988"/>
      <c r="ZL45" s="988"/>
      <c r="ZM45" s="988"/>
      <c r="ZN45" s="988"/>
      <c r="ZO45" s="988"/>
      <c r="ZP45" s="988"/>
      <c r="ZQ45" s="988"/>
      <c r="ZR45" s="988"/>
      <c r="ZS45" s="988"/>
      <c r="ZT45" s="988"/>
      <c r="ZU45" s="988"/>
      <c r="ZV45" s="988"/>
      <c r="ZW45" s="988"/>
      <c r="ZX45" s="988"/>
      <c r="ZY45" s="988"/>
      <c r="ZZ45" s="988"/>
      <c r="AAA45" s="988"/>
      <c r="AAB45" s="988"/>
      <c r="AAC45" s="988"/>
      <c r="AAD45" s="988"/>
      <c r="AAE45" s="988"/>
      <c r="AAF45" s="988"/>
      <c r="AAG45" s="988"/>
      <c r="AAH45" s="988"/>
      <c r="AAI45" s="988"/>
      <c r="AAJ45" s="988"/>
      <c r="AAK45" s="988"/>
      <c r="AAL45" s="988"/>
      <c r="AAM45" s="988"/>
      <c r="AAN45" s="988"/>
      <c r="AAO45" s="988"/>
      <c r="AAP45" s="988"/>
      <c r="AAQ45" s="988"/>
      <c r="AAR45" s="988"/>
      <c r="AAS45" s="988"/>
      <c r="AAT45" s="988"/>
      <c r="AAU45" s="988"/>
      <c r="AAV45" s="988"/>
      <c r="AAW45" s="988"/>
      <c r="AAX45" s="988"/>
      <c r="AAY45" s="988"/>
      <c r="AAZ45" s="988"/>
      <c r="ABA45" s="988"/>
      <c r="ABB45" s="988"/>
      <c r="ABC45" s="988"/>
      <c r="ABD45" s="988"/>
      <c r="ABE45" s="988"/>
      <c r="ABF45" s="988"/>
      <c r="ABG45" s="988"/>
      <c r="ABH45" s="988"/>
      <c r="ABI45" s="988"/>
      <c r="ABJ45" s="988"/>
      <c r="ABK45" s="988"/>
      <c r="ABL45" s="988"/>
      <c r="ABM45" s="988"/>
      <c r="ABN45" s="988"/>
      <c r="ABO45" s="988"/>
      <c r="ABP45" s="988"/>
      <c r="ABQ45" s="988"/>
      <c r="ABR45" s="988"/>
      <c r="ABS45" s="988"/>
      <c r="ABT45" s="988"/>
      <c r="ABU45" s="988"/>
      <c r="ABV45" s="988"/>
      <c r="ABW45" s="988"/>
      <c r="ABX45" s="988"/>
      <c r="ABY45" s="988"/>
      <c r="ABZ45" s="988"/>
      <c r="ACA45" s="988"/>
      <c r="ACB45" s="988"/>
      <c r="ACC45" s="988"/>
      <c r="ACD45" s="988"/>
      <c r="ACE45" s="988"/>
      <c r="ACF45" s="988"/>
      <c r="ACG45" s="988"/>
      <c r="ACH45" s="988"/>
      <c r="ACI45" s="988"/>
      <c r="ACJ45" s="988"/>
      <c r="ACK45" s="988"/>
      <c r="ACL45" s="988"/>
      <c r="ACM45" s="988"/>
      <c r="ACN45" s="988"/>
      <c r="ACO45" s="988"/>
      <c r="ACP45" s="988"/>
      <c r="ACQ45" s="988"/>
      <c r="ACR45" s="988"/>
      <c r="ACS45" s="988"/>
      <c r="ACT45" s="988"/>
      <c r="ACU45" s="988"/>
      <c r="ACV45" s="988"/>
      <c r="ACW45" s="988"/>
      <c r="ACX45" s="988"/>
      <c r="ACY45" s="988"/>
      <c r="ACZ45" s="988"/>
      <c r="ADA45" s="988"/>
      <c r="ADB45" s="988"/>
      <c r="ADC45" s="988"/>
      <c r="ADD45" s="988"/>
      <c r="ADE45" s="988"/>
      <c r="ADF45" s="988"/>
      <c r="ADG45" s="988"/>
      <c r="ADH45" s="988"/>
      <c r="ADI45" s="988"/>
      <c r="ADJ45" s="988"/>
      <c r="ADK45" s="988"/>
      <c r="ADL45" s="988"/>
      <c r="ADM45" s="988"/>
      <c r="ADN45" s="988"/>
      <c r="ADO45" s="988"/>
      <c r="ADP45" s="988"/>
      <c r="ADQ45" s="988"/>
      <c r="ADR45" s="988"/>
      <c r="ADS45" s="988"/>
      <c r="ADT45" s="988"/>
      <c r="ADU45" s="988"/>
      <c r="ADV45" s="988"/>
      <c r="ADW45" s="988"/>
      <c r="ADX45" s="988"/>
      <c r="ADY45" s="988"/>
      <c r="ADZ45" s="988"/>
      <c r="AEA45" s="988"/>
      <c r="AEB45" s="988"/>
      <c r="AEC45" s="988"/>
      <c r="AED45" s="988"/>
      <c r="AEE45" s="988"/>
      <c r="AEF45" s="988"/>
      <c r="AEG45" s="988"/>
      <c r="AEH45" s="988"/>
      <c r="AEI45" s="988"/>
      <c r="AEJ45" s="988"/>
      <c r="AEK45" s="988"/>
      <c r="AEL45" s="988"/>
      <c r="AEM45" s="988"/>
      <c r="AEN45" s="988"/>
      <c r="AEO45" s="988"/>
      <c r="AEP45" s="988"/>
      <c r="AEQ45" s="988"/>
      <c r="AER45" s="988"/>
      <c r="AES45" s="988"/>
      <c r="AET45" s="988"/>
      <c r="AEU45" s="988"/>
      <c r="AEV45" s="988"/>
      <c r="AEW45" s="988"/>
      <c r="AEX45" s="988"/>
      <c r="AEY45" s="988"/>
      <c r="AEZ45" s="988"/>
      <c r="AFA45" s="988"/>
      <c r="AFB45" s="988"/>
      <c r="AFC45" s="988"/>
      <c r="AFD45" s="988"/>
      <c r="AFE45" s="988"/>
      <c r="AFF45" s="988"/>
      <c r="AFG45" s="988"/>
      <c r="AFH45" s="988"/>
      <c r="AFI45" s="988"/>
      <c r="AFJ45" s="988"/>
      <c r="AFK45" s="988"/>
      <c r="AFL45" s="988"/>
      <c r="AFM45" s="988"/>
      <c r="AFN45" s="988"/>
      <c r="AFO45" s="988"/>
      <c r="AFP45" s="988"/>
      <c r="AFQ45" s="988"/>
      <c r="AFR45" s="988"/>
      <c r="AFS45" s="988"/>
      <c r="AFT45" s="988"/>
      <c r="AFU45" s="988"/>
      <c r="AFV45" s="988"/>
      <c r="AFW45" s="988"/>
      <c r="AFX45" s="988"/>
      <c r="AFY45" s="988"/>
      <c r="AFZ45" s="988"/>
      <c r="AGA45" s="988"/>
      <c r="AGB45" s="988"/>
      <c r="AGC45" s="988"/>
      <c r="AGD45" s="988"/>
      <c r="AGE45" s="988"/>
      <c r="AGF45" s="988"/>
      <c r="AGG45" s="988"/>
      <c r="AGH45" s="988"/>
      <c r="AGI45" s="988"/>
      <c r="AGJ45" s="988"/>
      <c r="AGK45" s="988"/>
      <c r="AGL45" s="988"/>
      <c r="AGM45" s="988"/>
      <c r="AGN45" s="988"/>
      <c r="AGO45" s="988"/>
      <c r="AGP45" s="988"/>
      <c r="AGQ45" s="988"/>
      <c r="AGR45" s="988"/>
      <c r="AGS45" s="988"/>
      <c r="AGT45" s="988"/>
      <c r="AGU45" s="988"/>
      <c r="AGV45" s="988"/>
      <c r="AGW45" s="988"/>
      <c r="AGX45" s="988"/>
      <c r="AGY45" s="988"/>
      <c r="AGZ45" s="988"/>
      <c r="AHA45" s="988"/>
      <c r="AHB45" s="988"/>
      <c r="AHC45" s="988"/>
      <c r="AHD45" s="988"/>
      <c r="AHE45" s="988"/>
      <c r="AHF45" s="988"/>
      <c r="AHG45" s="988"/>
      <c r="AHH45" s="988"/>
      <c r="AHI45" s="988"/>
      <c r="AHJ45" s="988"/>
      <c r="AHK45" s="988"/>
      <c r="AHL45" s="988"/>
      <c r="AHM45" s="988"/>
      <c r="AHN45" s="988"/>
      <c r="AHO45" s="988"/>
      <c r="AHP45" s="988"/>
      <c r="AHQ45" s="988"/>
      <c r="AHR45" s="988"/>
      <c r="AHS45" s="988"/>
      <c r="AHT45" s="988"/>
      <c r="AHU45" s="988"/>
      <c r="AHV45" s="988"/>
      <c r="AHW45" s="988"/>
      <c r="AHX45" s="988"/>
      <c r="AHY45" s="988"/>
      <c r="AHZ45" s="988"/>
      <c r="AIA45" s="988"/>
      <c r="AIB45" s="988"/>
      <c r="AIC45" s="988"/>
      <c r="AID45" s="988"/>
      <c r="AIE45" s="988"/>
      <c r="AIF45" s="988"/>
      <c r="AIG45" s="988"/>
      <c r="AIH45" s="988"/>
      <c r="AII45" s="988"/>
      <c r="AIJ45" s="988"/>
      <c r="AIK45" s="988"/>
      <c r="AIL45" s="988"/>
      <c r="AIM45" s="988"/>
      <c r="AIN45" s="988"/>
      <c r="AIO45" s="988"/>
      <c r="AIP45" s="988"/>
      <c r="AIQ45" s="988"/>
      <c r="AIR45" s="988"/>
      <c r="AIS45" s="988"/>
      <c r="AIT45" s="988"/>
      <c r="AIU45" s="988"/>
      <c r="AIV45" s="988"/>
      <c r="AIW45" s="988"/>
      <c r="AIX45" s="988"/>
      <c r="AIY45" s="988"/>
      <c r="AIZ45" s="988"/>
      <c r="AJA45" s="988"/>
      <c r="AJB45" s="988"/>
      <c r="AJC45" s="988"/>
      <c r="AJD45" s="988"/>
      <c r="AJE45" s="988"/>
      <c r="AJF45" s="988"/>
      <c r="AJG45" s="988"/>
      <c r="AJH45" s="988"/>
      <c r="AJI45" s="988"/>
      <c r="AJJ45" s="988"/>
      <c r="AJK45" s="988"/>
      <c r="AJL45" s="988"/>
      <c r="AJM45" s="988"/>
      <c r="AJN45" s="988"/>
      <c r="AJO45" s="988"/>
      <c r="AJP45" s="988"/>
      <c r="AJQ45" s="988"/>
      <c r="AJR45" s="988"/>
      <c r="AJS45" s="988"/>
      <c r="AJT45" s="988"/>
      <c r="AJU45" s="988"/>
      <c r="AJV45" s="988"/>
      <c r="AJW45" s="988"/>
      <c r="AJX45" s="988"/>
      <c r="AJY45" s="988"/>
      <c r="AJZ45" s="988"/>
      <c r="AKA45" s="988"/>
      <c r="AKB45" s="988"/>
      <c r="AKC45" s="988"/>
      <c r="AKD45" s="988"/>
      <c r="AKE45" s="988"/>
      <c r="AKF45" s="988"/>
      <c r="AKG45" s="988"/>
      <c r="AKH45" s="988"/>
      <c r="AKI45" s="988"/>
      <c r="AKJ45" s="988"/>
      <c r="AKK45" s="988"/>
      <c r="AKL45" s="988"/>
      <c r="AKM45" s="988"/>
      <c r="AKN45" s="988"/>
      <c r="AKO45" s="988"/>
      <c r="AKP45" s="988"/>
      <c r="AKQ45" s="988"/>
      <c r="AKR45" s="988"/>
      <c r="AKS45" s="988"/>
      <c r="AKT45" s="988"/>
      <c r="AKU45" s="988"/>
      <c r="AKV45" s="988"/>
      <c r="AKW45" s="988"/>
      <c r="AKX45" s="988"/>
      <c r="AKY45" s="988"/>
      <c r="AKZ45" s="988"/>
      <c r="ALA45" s="988"/>
      <c r="ALB45" s="988"/>
      <c r="ALC45" s="988"/>
      <c r="ALD45" s="988"/>
      <c r="ALE45" s="988"/>
      <c r="ALF45" s="988"/>
      <c r="ALG45" s="988"/>
      <c r="ALH45" s="988"/>
      <c r="ALI45" s="988"/>
      <c r="ALJ45" s="988"/>
      <c r="ALK45" s="988"/>
      <c r="ALL45" s="988"/>
      <c r="ALM45" s="988"/>
      <c r="ALN45" s="988"/>
      <c r="ALO45" s="988"/>
      <c r="ALP45" s="988"/>
      <c r="ALQ45" s="988"/>
      <c r="ALR45" s="988"/>
      <c r="ALS45" s="988"/>
      <c r="ALT45" s="988"/>
      <c r="ALU45" s="988"/>
      <c r="ALV45" s="988"/>
      <c r="ALW45" s="988"/>
      <c r="ALX45" s="988"/>
      <c r="ALY45" s="988"/>
    </row>
    <row r="46" spans="1:1013" ht="18" customHeight="1">
      <c r="A46" s="1283" t="s">
        <v>169</v>
      </c>
      <c r="B46" s="1274" t="s">
        <v>3067</v>
      </c>
      <c r="C46" s="1274">
        <v>2022</v>
      </c>
      <c r="D46" s="1274"/>
      <c r="E46" s="1270">
        <v>-0.6</v>
      </c>
      <c r="F46" s="1271">
        <v>-0.3</v>
      </c>
      <c r="G46" s="1271">
        <v>-0.3</v>
      </c>
      <c r="H46" s="76">
        <v>710.87615148413511</v>
      </c>
      <c r="I46" s="72">
        <v>-1.3</v>
      </c>
      <c r="J46" s="1271">
        <v>-6.1</v>
      </c>
      <c r="K46" s="1271">
        <v>-6.1</v>
      </c>
      <c r="L46" s="1271"/>
      <c r="M46" s="1271"/>
      <c r="N46" s="1271"/>
      <c r="O46" s="1271"/>
      <c r="P46" s="76">
        <v>2171.6667850440722</v>
      </c>
      <c r="Q46" s="75">
        <v>12</v>
      </c>
      <c r="R46" s="72">
        <v>0.6</v>
      </c>
      <c r="S46" s="72">
        <v>0.3</v>
      </c>
      <c r="T46" s="72">
        <v>0.3</v>
      </c>
      <c r="U46" s="1271">
        <v>4.2</v>
      </c>
      <c r="V46" s="1271">
        <v>0</v>
      </c>
      <c r="W46" s="1271">
        <v>92.4</v>
      </c>
      <c r="X46" s="1271">
        <v>3.4</v>
      </c>
      <c r="Y46" s="1272">
        <v>0</v>
      </c>
      <c r="Z46" s="75">
        <v>1</v>
      </c>
      <c r="AA46" s="75">
        <v>1</v>
      </c>
      <c r="AB46" s="75">
        <v>1</v>
      </c>
      <c r="AC46" s="75">
        <v>1</v>
      </c>
      <c r="AD46" s="75">
        <v>1</v>
      </c>
      <c r="AE46" s="75"/>
      <c r="AF46" s="75"/>
      <c r="AG46" s="75"/>
      <c r="AH46" s="75"/>
      <c r="AI46" s="75"/>
      <c r="AJ46" s="75"/>
      <c r="AK46" s="75"/>
      <c r="AL46" s="75"/>
      <c r="AM46" s="75"/>
      <c r="AN46" s="75"/>
      <c r="AO46" s="75"/>
      <c r="AP46" s="75"/>
      <c r="AQ46" s="75"/>
      <c r="AR46" s="75"/>
      <c r="AS46" s="75"/>
      <c r="AT46" s="75"/>
      <c r="AU46" s="75"/>
      <c r="AV46" s="75"/>
      <c r="AW46" s="75"/>
      <c r="AX46" s="75"/>
      <c r="AY46" s="75"/>
      <c r="AZ46" s="75"/>
      <c r="BA46" s="1019">
        <v>10221.459910814488</v>
      </c>
      <c r="BB46" s="1031">
        <v>1.45</v>
      </c>
      <c r="BC46" s="988">
        <v>0.5</v>
      </c>
      <c r="BD46" s="988">
        <v>0.5</v>
      </c>
      <c r="BE46" s="988">
        <v>0.5</v>
      </c>
      <c r="BF46" s="1021">
        <v>0.19961001253043553</v>
      </c>
      <c r="BG46" s="1021">
        <v>0.18771489791382917</v>
      </c>
      <c r="BH46" s="1020">
        <v>3.7611188074745966E-4</v>
      </c>
      <c r="BI46" s="1020">
        <v>0.16599071003654553</v>
      </c>
      <c r="BJ46" s="1020">
        <v>0.33962902831495606</v>
      </c>
      <c r="BK46" s="1020">
        <v>58.709309395901634</v>
      </c>
      <c r="BL46" s="1020">
        <v>1.1223178521504196</v>
      </c>
      <c r="BM46" s="1020"/>
      <c r="BN46" s="1020">
        <v>39.43332476634049</v>
      </c>
      <c r="BO46" s="1020">
        <v>5.578992897753985E-2</v>
      </c>
      <c r="BP46" s="1020"/>
      <c r="BQ46" s="1020"/>
      <c r="BR46" s="1020"/>
      <c r="BS46" s="1020"/>
      <c r="BT46" s="1020"/>
      <c r="BU46" s="1020"/>
      <c r="BV46" s="1020">
        <v>0.1732622063976631</v>
      </c>
      <c r="BW46" s="990"/>
      <c r="BX46" s="990"/>
      <c r="BY46" s="990"/>
      <c r="BZ46" s="990"/>
      <c r="CA46" s="990"/>
      <c r="CB46" s="990"/>
      <c r="CC46" s="990"/>
      <c r="CD46" s="990"/>
      <c r="CE46" s="990"/>
      <c r="CF46" s="990"/>
      <c r="CG46" s="990"/>
      <c r="CH46" s="990"/>
      <c r="CI46" s="990"/>
      <c r="CJ46" s="990"/>
      <c r="CK46" s="990"/>
      <c r="CL46" s="990"/>
      <c r="CM46" s="990"/>
      <c r="CN46" s="990"/>
      <c r="CO46" s="990"/>
      <c r="CP46" s="990"/>
      <c r="CQ46" s="990"/>
      <c r="CR46" s="990"/>
      <c r="CS46" s="990"/>
      <c r="CT46" s="990"/>
      <c r="CU46" s="990"/>
      <c r="CV46" s="990"/>
      <c r="CW46" s="990"/>
      <c r="CX46" s="990"/>
      <c r="CY46" s="990"/>
      <c r="CZ46" s="990"/>
      <c r="DA46" s="991">
        <v>1</v>
      </c>
      <c r="DB46" s="991">
        <v>1</v>
      </c>
      <c r="DC46" s="991">
        <v>1</v>
      </c>
      <c r="DD46" s="991">
        <v>1</v>
      </c>
      <c r="DE46" s="991">
        <v>1</v>
      </c>
      <c r="DF46" s="991"/>
      <c r="DG46" s="991"/>
      <c r="DH46" s="991"/>
      <c r="DI46" s="991"/>
      <c r="DJ46" s="991"/>
      <c r="DK46" s="1022">
        <v>0</v>
      </c>
      <c r="DL46" s="1022">
        <v>18</v>
      </c>
      <c r="DM46" s="1019">
        <f t="shared" si="2"/>
        <v>0</v>
      </c>
      <c r="DN46" s="988">
        <v>2.4</v>
      </c>
      <c r="DO46" s="988">
        <v>1.2</v>
      </c>
      <c r="DP46" s="988">
        <v>1.2</v>
      </c>
      <c r="DQ46" s="988"/>
      <c r="DR46" s="988"/>
      <c r="DS46" s="988"/>
      <c r="DT46" s="988"/>
      <c r="DU46" s="988"/>
      <c r="DV46" s="988"/>
      <c r="DW46" s="988"/>
      <c r="DX46" s="988"/>
      <c r="DY46" s="988"/>
      <c r="DZ46" s="988"/>
      <c r="EA46" s="988"/>
      <c r="EB46" s="988"/>
      <c r="EC46" s="988"/>
      <c r="ED46" s="988"/>
      <c r="EE46" s="1022">
        <v>5.7196825024484994</v>
      </c>
      <c r="EF46" s="1022">
        <v>18</v>
      </c>
      <c r="EG46" s="1019">
        <v>5146.7433367451385</v>
      </c>
      <c r="EH46" s="988">
        <v>2.4</v>
      </c>
      <c r="EI46" s="988">
        <v>1.2</v>
      </c>
      <c r="EJ46" s="988">
        <v>1.2</v>
      </c>
      <c r="EK46" s="988"/>
      <c r="EL46" s="988"/>
      <c r="EM46" s="988"/>
      <c r="EN46" s="988"/>
      <c r="EO46" s="988"/>
      <c r="EP46" s="988"/>
      <c r="EQ46" s="988"/>
      <c r="ER46" s="988"/>
      <c r="ES46" s="988"/>
      <c r="ET46" s="988"/>
      <c r="EU46" s="988"/>
      <c r="EV46" s="988"/>
      <c r="EW46" s="988"/>
      <c r="EX46" s="988"/>
      <c r="EY46" s="988"/>
      <c r="EZ46" s="988"/>
      <c r="FA46" s="988"/>
      <c r="FB46" s="988"/>
      <c r="FC46" s="988"/>
      <c r="FD46" s="988"/>
      <c r="FE46" s="988"/>
      <c r="FF46" s="988"/>
      <c r="FG46" s="988"/>
      <c r="FH46" s="988"/>
      <c r="FI46" s="988"/>
      <c r="FJ46" s="988"/>
      <c r="FK46" s="988"/>
      <c r="FL46" s="988"/>
      <c r="FM46" s="988"/>
      <c r="FN46" s="988"/>
      <c r="FO46" s="988"/>
      <c r="FP46" s="988"/>
      <c r="FQ46" s="988"/>
      <c r="FR46" s="988"/>
      <c r="FS46" s="988"/>
      <c r="FT46" s="988"/>
      <c r="FU46" s="988"/>
      <c r="FV46" s="988"/>
      <c r="FW46" s="988"/>
      <c r="FX46" s="988"/>
      <c r="FY46" s="988"/>
      <c r="FZ46" s="988"/>
      <c r="GA46" s="988"/>
      <c r="GB46" s="988"/>
      <c r="GC46" s="988"/>
      <c r="GD46" s="988"/>
      <c r="GE46" s="988"/>
      <c r="GF46" s="988"/>
      <c r="GG46" s="988"/>
      <c r="GH46" s="988"/>
      <c r="GI46" s="988"/>
      <c r="GJ46" s="988"/>
      <c r="GK46" s="988"/>
      <c r="GL46" s="988"/>
      <c r="GM46" s="988"/>
      <c r="GN46" s="988"/>
      <c r="GO46" s="988"/>
      <c r="GP46" s="988"/>
      <c r="GQ46" s="988"/>
      <c r="GR46" s="988"/>
      <c r="GS46" s="988"/>
      <c r="GT46" s="988"/>
      <c r="GU46" s="988"/>
      <c r="GV46" s="988"/>
      <c r="GW46" s="988"/>
      <c r="GX46" s="988"/>
      <c r="GY46" s="988"/>
      <c r="GZ46" s="988"/>
      <c r="HA46" s="988"/>
      <c r="HB46" s="988"/>
      <c r="HC46" s="988"/>
      <c r="HD46" s="988"/>
      <c r="HE46" s="988"/>
      <c r="HF46" s="988"/>
      <c r="HG46" s="988"/>
      <c r="HH46" s="988"/>
      <c r="HI46" s="988"/>
      <c r="HJ46" s="988"/>
      <c r="HK46" s="988"/>
      <c r="HL46" s="988"/>
      <c r="HM46" s="988"/>
      <c r="HN46" s="988"/>
      <c r="HO46" s="988"/>
      <c r="HP46" s="988"/>
      <c r="HQ46" s="988"/>
      <c r="HR46" s="988"/>
      <c r="HS46" s="988"/>
      <c r="HT46" s="988"/>
      <c r="HU46" s="988"/>
      <c r="HV46" s="988"/>
      <c r="HW46" s="988"/>
      <c r="HX46" s="988"/>
      <c r="HY46" s="988"/>
      <c r="HZ46" s="988"/>
      <c r="IA46" s="988"/>
      <c r="IB46" s="988"/>
      <c r="IC46" s="988"/>
      <c r="ID46" s="988"/>
      <c r="IE46" s="988"/>
      <c r="IF46" s="988"/>
      <c r="IG46" s="988"/>
      <c r="IH46" s="988"/>
      <c r="II46" s="988"/>
      <c r="IJ46" s="988"/>
      <c r="IK46" s="988"/>
      <c r="IL46" s="988"/>
      <c r="IM46" s="988"/>
      <c r="IN46" s="988"/>
      <c r="IO46" s="988"/>
      <c r="IP46" s="988"/>
      <c r="IQ46" s="988"/>
      <c r="IR46" s="988"/>
      <c r="IS46" s="988"/>
      <c r="IT46" s="988"/>
      <c r="IU46" s="988"/>
      <c r="IV46" s="988"/>
      <c r="IW46" s="1019">
        <v>313.51780510470144</v>
      </c>
      <c r="IX46" s="1022">
        <v>179.9</v>
      </c>
      <c r="IY46" s="1022">
        <v>5816.2772773797442</v>
      </c>
      <c r="IZ46" s="1022"/>
      <c r="JA46" s="1022"/>
      <c r="JB46" s="988">
        <v>2.4</v>
      </c>
      <c r="JC46" s="988">
        <v>1.2</v>
      </c>
      <c r="JD46" s="988">
        <v>1.2</v>
      </c>
      <c r="JE46" s="991">
        <v>1</v>
      </c>
      <c r="JF46" s="991">
        <v>1</v>
      </c>
      <c r="JG46" s="991">
        <v>1</v>
      </c>
      <c r="JH46" s="991">
        <v>1</v>
      </c>
      <c r="JI46" s="991">
        <v>1</v>
      </c>
      <c r="JJ46" s="1019">
        <v>117.28496305452052</v>
      </c>
      <c r="JK46" s="1019"/>
      <c r="JL46" s="1019"/>
      <c r="JM46" s="1019">
        <v>9549.5810214944104</v>
      </c>
      <c r="JN46" s="988">
        <v>2.2000000000000002</v>
      </c>
      <c r="JO46" s="988">
        <v>1.3</v>
      </c>
      <c r="JP46" s="988">
        <v>1.3</v>
      </c>
      <c r="JQ46" s="991">
        <v>1</v>
      </c>
      <c r="JR46" s="991">
        <v>1</v>
      </c>
      <c r="JS46" s="991">
        <v>1</v>
      </c>
      <c r="JT46" s="991">
        <v>1</v>
      </c>
      <c r="JU46" s="991">
        <v>1</v>
      </c>
      <c r="JV46" s="991"/>
      <c r="JW46" s="1019">
        <v>162.58874371836629</v>
      </c>
      <c r="JX46" s="1019">
        <v>500</v>
      </c>
      <c r="JY46" s="1022">
        <v>1.3</v>
      </c>
      <c r="JZ46" s="1022">
        <v>0.9</v>
      </c>
      <c r="KA46" s="1022">
        <v>0.9</v>
      </c>
      <c r="KB46" s="991">
        <v>1</v>
      </c>
      <c r="KC46" s="991">
        <v>1</v>
      </c>
      <c r="KD46" s="991">
        <v>1</v>
      </c>
      <c r="KE46" s="991">
        <v>1</v>
      </c>
      <c r="KF46" s="991">
        <v>1</v>
      </c>
      <c r="KG46" s="991"/>
      <c r="KH46" s="991"/>
      <c r="KI46" s="991"/>
      <c r="KJ46" s="991"/>
      <c r="KK46" s="991"/>
      <c r="KL46" s="991"/>
      <c r="KM46" s="991"/>
      <c r="KN46" s="991"/>
      <c r="KO46" s="991"/>
      <c r="KP46" s="991"/>
      <c r="KQ46" s="991"/>
      <c r="KR46" s="991"/>
      <c r="KS46" s="991"/>
      <c r="KT46" s="991"/>
      <c r="KU46" s="991"/>
      <c r="KV46" s="991"/>
      <c r="KW46" s="991"/>
      <c r="KX46" s="991"/>
      <c r="KY46" s="991"/>
      <c r="KZ46" s="991"/>
      <c r="LA46" s="991"/>
      <c r="LB46" s="991"/>
      <c r="LC46" s="991"/>
      <c r="LD46" s="991"/>
      <c r="LE46" s="991"/>
      <c r="LF46" s="991"/>
      <c r="LG46" s="991"/>
      <c r="LH46" s="991"/>
      <c r="LI46" s="991"/>
      <c r="LJ46" s="991"/>
      <c r="LK46" s="991"/>
      <c r="LL46" s="991"/>
      <c r="LM46" s="991"/>
      <c r="LN46" s="1019"/>
      <c r="LO46" s="988">
        <v>29</v>
      </c>
      <c r="LP46" s="988">
        <v>1.2</v>
      </c>
      <c r="LQ46" s="988">
        <v>0.9</v>
      </c>
      <c r="LR46" s="988">
        <v>0.9</v>
      </c>
      <c r="LS46" s="991">
        <v>1</v>
      </c>
      <c r="LT46" s="991">
        <v>1</v>
      </c>
      <c r="LU46" s="991">
        <v>1</v>
      </c>
      <c r="LV46" s="991">
        <v>1</v>
      </c>
      <c r="LW46" s="991">
        <v>1</v>
      </c>
      <c r="LX46" s="991"/>
      <c r="LY46" s="991"/>
      <c r="LZ46" s="991">
        <v>0</v>
      </c>
      <c r="MA46" s="991"/>
      <c r="MB46" s="991"/>
      <c r="MC46" s="991"/>
      <c r="MD46" s="991"/>
      <c r="ME46" s="991"/>
      <c r="MF46" s="991"/>
      <c r="MG46" s="991"/>
      <c r="MH46" s="991"/>
      <c r="MI46" s="991"/>
      <c r="MJ46" s="991"/>
      <c r="MK46" s="991"/>
      <c r="ML46" s="991"/>
      <c r="MM46" s="991"/>
      <c r="MN46" s="991"/>
      <c r="MO46" s="991"/>
      <c r="MP46" s="991"/>
      <c r="MQ46" s="991"/>
      <c r="MR46" s="991"/>
      <c r="MS46" s="991"/>
      <c r="MT46" s="991"/>
      <c r="MU46" s="991"/>
      <c r="MV46" s="991"/>
      <c r="MW46" s="991"/>
      <c r="MX46" s="991"/>
      <c r="MY46" s="991"/>
      <c r="MZ46" s="991"/>
      <c r="NA46" s="991"/>
      <c r="NB46" s="991"/>
      <c r="NC46" s="991"/>
      <c r="ND46" s="991"/>
      <c r="NE46" s="991"/>
      <c r="NF46" s="991"/>
      <c r="NG46" s="991"/>
      <c r="NH46" s="991"/>
      <c r="NI46" s="991"/>
      <c r="NJ46" s="991"/>
      <c r="NK46" s="991"/>
      <c r="NL46" s="991"/>
      <c r="NM46" s="991"/>
      <c r="NN46" s="991"/>
      <c r="NO46" s="991"/>
      <c r="NP46" s="991"/>
      <c r="NQ46" s="991"/>
      <c r="NR46" s="991"/>
      <c r="NS46" s="991"/>
      <c r="NT46" s="991"/>
      <c r="NU46" s="991"/>
      <c r="NV46" s="994">
        <v>200</v>
      </c>
      <c r="NW46" s="994">
        <v>200</v>
      </c>
      <c r="NX46" s="994">
        <v>200</v>
      </c>
      <c r="NY46" s="994">
        <v>200</v>
      </c>
      <c r="NZ46" s="994">
        <v>200</v>
      </c>
      <c r="OA46" s="994">
        <v>200</v>
      </c>
      <c r="OB46" s="994">
        <v>200</v>
      </c>
      <c r="OC46" s="994">
        <v>200</v>
      </c>
      <c r="OD46" s="994">
        <v>200</v>
      </c>
      <c r="OE46" s="994">
        <v>200</v>
      </c>
      <c r="OF46" s="994">
        <v>200</v>
      </c>
      <c r="OG46" s="994">
        <v>200</v>
      </c>
      <c r="OH46" s="994">
        <v>200</v>
      </c>
      <c r="OI46" s="994">
        <v>200</v>
      </c>
      <c r="OJ46" s="994">
        <v>200</v>
      </c>
      <c r="OK46" s="994">
        <v>200</v>
      </c>
      <c r="OL46" s="994">
        <v>200</v>
      </c>
      <c r="OM46" s="994">
        <v>200</v>
      </c>
      <c r="ON46" s="994">
        <v>200</v>
      </c>
      <c r="OO46" s="994">
        <v>200</v>
      </c>
      <c r="OP46" s="994">
        <v>200</v>
      </c>
      <c r="OQ46" s="994">
        <v>200</v>
      </c>
      <c r="OR46" s="994">
        <v>200</v>
      </c>
      <c r="OS46" s="994">
        <v>200</v>
      </c>
      <c r="OT46" s="994">
        <v>200</v>
      </c>
      <c r="OU46" s="994">
        <v>200</v>
      </c>
      <c r="OV46" s="994">
        <v>200</v>
      </c>
      <c r="OW46" s="994">
        <v>200</v>
      </c>
      <c r="OX46" s="994">
        <v>200</v>
      </c>
      <c r="OY46" s="994">
        <v>200</v>
      </c>
      <c r="OZ46" s="994">
        <v>200</v>
      </c>
      <c r="PA46" s="994">
        <v>200</v>
      </c>
      <c r="PB46" s="994">
        <v>200</v>
      </c>
      <c r="PC46" s="994">
        <v>200</v>
      </c>
      <c r="PD46" s="994">
        <v>200</v>
      </c>
      <c r="PE46" s="994">
        <v>200</v>
      </c>
      <c r="PF46" s="994">
        <v>200</v>
      </c>
      <c r="PG46" s="994">
        <v>200</v>
      </c>
      <c r="PH46" s="994">
        <v>200</v>
      </c>
      <c r="PI46" s="994">
        <v>200</v>
      </c>
      <c r="PJ46" s="994">
        <v>200</v>
      </c>
      <c r="PK46" s="994">
        <v>200</v>
      </c>
      <c r="PL46" s="994">
        <v>200</v>
      </c>
      <c r="PM46" s="994">
        <v>200</v>
      </c>
      <c r="PN46" s="994">
        <v>200</v>
      </c>
      <c r="PO46" s="994">
        <v>200</v>
      </c>
      <c r="PP46" s="994">
        <v>200</v>
      </c>
      <c r="PQ46" s="994">
        <v>200</v>
      </c>
      <c r="PR46" s="994">
        <v>200</v>
      </c>
      <c r="PS46" s="994">
        <v>200</v>
      </c>
      <c r="PT46" s="994">
        <v>200</v>
      </c>
      <c r="PU46" s="994">
        <v>200</v>
      </c>
      <c r="PV46" s="994">
        <v>200</v>
      </c>
      <c r="PW46" s="994">
        <v>200</v>
      </c>
      <c r="PX46" s="994">
        <v>200</v>
      </c>
      <c r="PY46" s="994">
        <v>200</v>
      </c>
      <c r="PZ46" s="994">
        <v>200</v>
      </c>
      <c r="QA46" s="994">
        <v>200</v>
      </c>
      <c r="QB46" s="994">
        <v>200</v>
      </c>
      <c r="QC46" s="994">
        <v>200</v>
      </c>
      <c r="QD46" s="994">
        <v>200</v>
      </c>
      <c r="QE46" s="994">
        <v>200</v>
      </c>
      <c r="QF46" s="994">
        <v>200</v>
      </c>
      <c r="QG46" s="994">
        <v>200</v>
      </c>
      <c r="QH46" s="994">
        <v>200</v>
      </c>
      <c r="QI46" s="994">
        <v>200</v>
      </c>
      <c r="QJ46" s="994">
        <v>200</v>
      </c>
      <c r="QK46" s="994">
        <v>200</v>
      </c>
      <c r="QL46" s="994">
        <v>200</v>
      </c>
      <c r="QM46" s="994">
        <v>200</v>
      </c>
      <c r="QN46" s="994">
        <v>200</v>
      </c>
      <c r="QO46" s="994">
        <v>200</v>
      </c>
      <c r="QP46" s="994">
        <v>200</v>
      </c>
      <c r="QQ46" s="994">
        <v>200</v>
      </c>
      <c r="QR46" s="994">
        <v>200</v>
      </c>
      <c r="QS46" s="994">
        <v>200</v>
      </c>
      <c r="QT46" s="994">
        <v>200</v>
      </c>
      <c r="QU46" s="994">
        <v>200</v>
      </c>
      <c r="QV46" s="994">
        <v>200</v>
      </c>
      <c r="QW46" s="994">
        <v>200</v>
      </c>
      <c r="QX46" s="994">
        <v>200</v>
      </c>
      <c r="QY46" s="994">
        <v>200</v>
      </c>
      <c r="QZ46" s="994">
        <v>200</v>
      </c>
      <c r="RA46" s="994">
        <v>200</v>
      </c>
      <c r="RB46" s="994">
        <v>200</v>
      </c>
      <c r="RC46" s="994">
        <v>200</v>
      </c>
      <c r="RD46" s="994">
        <v>200</v>
      </c>
      <c r="RE46" s="994">
        <v>200</v>
      </c>
      <c r="RF46" s="994">
        <v>200</v>
      </c>
      <c r="RG46" s="994">
        <v>200</v>
      </c>
      <c r="RH46" s="994">
        <v>200</v>
      </c>
      <c r="RI46" s="994">
        <v>200</v>
      </c>
      <c r="RJ46" s="994">
        <v>200</v>
      </c>
      <c r="RK46" s="994">
        <v>200</v>
      </c>
      <c r="RL46" s="994">
        <v>200</v>
      </c>
      <c r="RM46" s="994">
        <v>200</v>
      </c>
      <c r="RN46" s="994">
        <v>200</v>
      </c>
      <c r="RO46" s="994">
        <v>200</v>
      </c>
      <c r="RP46" s="994">
        <v>200</v>
      </c>
      <c r="RQ46" s="994">
        <v>200</v>
      </c>
      <c r="RR46" s="994">
        <v>200</v>
      </c>
      <c r="RS46" s="994">
        <v>200</v>
      </c>
      <c r="RT46" s="994">
        <v>200</v>
      </c>
      <c r="RU46" s="994">
        <v>200</v>
      </c>
      <c r="RV46" s="994">
        <v>200</v>
      </c>
      <c r="RW46" s="994">
        <v>200</v>
      </c>
      <c r="RX46" s="994">
        <v>200</v>
      </c>
      <c r="RY46" s="994">
        <v>200</v>
      </c>
      <c r="RZ46" s="994">
        <v>200</v>
      </c>
      <c r="SA46" s="994">
        <v>200</v>
      </c>
      <c r="SB46" s="994">
        <v>200</v>
      </c>
      <c r="SC46" s="994">
        <v>200</v>
      </c>
      <c r="SD46" s="994">
        <v>200</v>
      </c>
      <c r="SE46" s="994">
        <v>200</v>
      </c>
      <c r="SF46" s="994">
        <v>200</v>
      </c>
      <c r="SG46" s="994">
        <v>200</v>
      </c>
      <c r="SH46" s="994">
        <v>200</v>
      </c>
      <c r="SI46" s="994">
        <v>200</v>
      </c>
      <c r="SJ46" s="994">
        <v>200</v>
      </c>
      <c r="SK46" s="994">
        <v>200</v>
      </c>
      <c r="SL46" s="994">
        <v>200</v>
      </c>
      <c r="SM46" s="994">
        <v>200</v>
      </c>
      <c r="SN46" s="994">
        <v>200</v>
      </c>
      <c r="SO46" s="994">
        <v>200</v>
      </c>
      <c r="SP46" s="994">
        <v>200</v>
      </c>
      <c r="SQ46" s="994">
        <v>200</v>
      </c>
      <c r="SR46" s="994">
        <v>200</v>
      </c>
      <c r="SS46" s="994">
        <v>200</v>
      </c>
      <c r="ST46" s="994">
        <v>200</v>
      </c>
      <c r="SU46" s="994">
        <v>200</v>
      </c>
      <c r="SV46" s="994">
        <v>200</v>
      </c>
      <c r="SW46" s="994">
        <v>200</v>
      </c>
      <c r="SX46" s="994">
        <v>200</v>
      </c>
      <c r="SY46" s="994">
        <v>200</v>
      </c>
      <c r="SZ46" s="994">
        <v>200</v>
      </c>
      <c r="TA46" s="994">
        <v>200</v>
      </c>
      <c r="TB46" s="994">
        <v>200</v>
      </c>
      <c r="TC46" s="994">
        <v>200</v>
      </c>
      <c r="TD46" s="994">
        <v>200</v>
      </c>
      <c r="TE46" s="994">
        <v>200</v>
      </c>
      <c r="TF46" s="994">
        <v>200</v>
      </c>
      <c r="TG46" s="994">
        <v>200</v>
      </c>
      <c r="TH46" s="994">
        <v>200</v>
      </c>
      <c r="TI46" s="994">
        <v>200</v>
      </c>
      <c r="TJ46" s="994">
        <v>200</v>
      </c>
      <c r="TK46" s="994">
        <v>200</v>
      </c>
      <c r="TL46" s="994">
        <v>200</v>
      </c>
      <c r="TM46" s="994">
        <v>200</v>
      </c>
      <c r="TN46" s="994">
        <v>200</v>
      </c>
      <c r="TO46" s="994">
        <v>200</v>
      </c>
      <c r="TP46" s="994">
        <v>200</v>
      </c>
      <c r="TQ46" s="994">
        <v>200</v>
      </c>
      <c r="TR46" s="994">
        <v>200</v>
      </c>
      <c r="TS46" s="994">
        <v>200</v>
      </c>
      <c r="TT46" s="994">
        <v>200</v>
      </c>
      <c r="TU46" s="994">
        <v>200</v>
      </c>
      <c r="TV46" s="994">
        <v>200</v>
      </c>
      <c r="TW46" s="994">
        <v>200</v>
      </c>
      <c r="TX46" s="994">
        <v>200</v>
      </c>
      <c r="TY46" s="994">
        <v>200</v>
      </c>
      <c r="TZ46" s="994">
        <v>200</v>
      </c>
      <c r="UA46" s="994">
        <v>200</v>
      </c>
      <c r="UB46" s="994">
        <v>200</v>
      </c>
      <c r="UC46" s="994">
        <v>200</v>
      </c>
      <c r="UD46" s="994">
        <v>200</v>
      </c>
      <c r="UE46" s="994">
        <v>200</v>
      </c>
      <c r="UF46" s="994">
        <v>200</v>
      </c>
      <c r="UG46" s="994">
        <v>200</v>
      </c>
      <c r="UH46" s="994">
        <v>200</v>
      </c>
      <c r="UI46" s="994">
        <v>200</v>
      </c>
      <c r="UJ46" s="994">
        <v>200</v>
      </c>
      <c r="UK46" s="994">
        <v>200</v>
      </c>
      <c r="UL46" s="994">
        <v>200</v>
      </c>
      <c r="UM46" s="994">
        <v>200</v>
      </c>
      <c r="UN46" s="994">
        <v>200</v>
      </c>
      <c r="UO46" s="994">
        <v>200</v>
      </c>
      <c r="UP46" s="994">
        <v>200</v>
      </c>
      <c r="UQ46" s="994">
        <v>200</v>
      </c>
      <c r="UR46" s="994">
        <v>200</v>
      </c>
      <c r="US46" s="994">
        <v>200</v>
      </c>
      <c r="UT46" s="994">
        <v>200</v>
      </c>
      <c r="UU46" s="994">
        <v>200</v>
      </c>
      <c r="UV46" s="994">
        <v>200</v>
      </c>
      <c r="UW46" s="994">
        <v>200</v>
      </c>
      <c r="UX46" s="994">
        <v>200</v>
      </c>
      <c r="UY46" s="994">
        <v>200</v>
      </c>
      <c r="UZ46" s="994">
        <v>200</v>
      </c>
      <c r="VA46" s="994">
        <v>200</v>
      </c>
      <c r="VB46" s="994">
        <v>200</v>
      </c>
      <c r="VC46" s="994">
        <v>200</v>
      </c>
      <c r="VD46" s="994">
        <v>200</v>
      </c>
      <c r="VE46" s="994">
        <v>200</v>
      </c>
      <c r="VF46" s="994">
        <v>200</v>
      </c>
      <c r="VG46" s="994">
        <v>200</v>
      </c>
      <c r="VH46" s="994">
        <v>200</v>
      </c>
      <c r="VI46" s="994">
        <v>200</v>
      </c>
      <c r="VJ46" s="994">
        <v>200</v>
      </c>
      <c r="VK46" s="994">
        <v>200</v>
      </c>
      <c r="VL46" s="994">
        <v>200</v>
      </c>
      <c r="VM46" s="994">
        <v>200</v>
      </c>
      <c r="VN46" s="994">
        <v>200</v>
      </c>
      <c r="VO46" s="994">
        <v>200</v>
      </c>
      <c r="VP46" s="994">
        <v>200</v>
      </c>
      <c r="VQ46" s="994">
        <v>200</v>
      </c>
      <c r="VR46" s="994">
        <v>200</v>
      </c>
      <c r="VS46" s="994">
        <v>200</v>
      </c>
      <c r="VT46" s="994">
        <v>200</v>
      </c>
      <c r="VU46" s="994">
        <v>200</v>
      </c>
      <c r="VV46" s="994">
        <v>200</v>
      </c>
      <c r="VW46" s="994">
        <v>200</v>
      </c>
      <c r="VX46" s="994">
        <v>200</v>
      </c>
      <c r="VY46" s="994">
        <v>200</v>
      </c>
      <c r="VZ46" s="994">
        <v>200</v>
      </c>
      <c r="WA46" s="994">
        <v>200</v>
      </c>
      <c r="WB46" s="994">
        <v>200</v>
      </c>
      <c r="WC46" s="994">
        <v>200</v>
      </c>
      <c r="WD46" s="988"/>
      <c r="WE46" s="988"/>
      <c r="WF46" s="988"/>
      <c r="WG46" s="988"/>
      <c r="WH46" s="988"/>
      <c r="WI46" s="988"/>
      <c r="WJ46" s="988"/>
      <c r="WK46" s="988"/>
      <c r="WL46" s="988"/>
      <c r="WM46" s="988"/>
      <c r="WN46" s="988"/>
      <c r="WO46" s="988"/>
      <c r="WP46" s="988"/>
      <c r="WQ46" s="988"/>
      <c r="WR46" s="988"/>
      <c r="WS46" s="988"/>
      <c r="WT46" s="988"/>
      <c r="WU46" s="988"/>
      <c r="WV46" s="988"/>
      <c r="WW46" s="988"/>
      <c r="WX46" s="988"/>
      <c r="WY46" s="988"/>
      <c r="WZ46" s="988"/>
      <c r="XA46" s="988"/>
      <c r="XB46" s="988"/>
      <c r="XC46" s="988"/>
      <c r="XD46" s="988"/>
      <c r="XE46" s="988"/>
      <c r="XF46" s="988"/>
      <c r="XG46" s="988"/>
      <c r="XH46" s="988"/>
      <c r="XI46" s="988"/>
      <c r="XJ46" s="988"/>
      <c r="XK46" s="988"/>
      <c r="XL46" s="988"/>
      <c r="XM46" s="988"/>
      <c r="XN46" s="988"/>
      <c r="XO46" s="988"/>
      <c r="XP46" s="988"/>
      <c r="XQ46" s="988"/>
      <c r="XR46" s="988"/>
      <c r="XS46" s="988"/>
      <c r="XT46" s="988"/>
      <c r="XU46" s="988"/>
      <c r="XV46" s="988"/>
      <c r="XW46" s="988"/>
      <c r="XX46" s="988"/>
      <c r="XY46" s="988"/>
      <c r="XZ46" s="988"/>
      <c r="YA46" s="988"/>
      <c r="YB46" s="988"/>
      <c r="YC46" s="988"/>
      <c r="YD46" s="988"/>
      <c r="YE46" s="988"/>
      <c r="YF46" s="988"/>
      <c r="YG46" s="988"/>
      <c r="YH46" s="988"/>
      <c r="YI46" s="988"/>
      <c r="YJ46" s="988"/>
      <c r="YK46" s="988"/>
      <c r="YL46" s="988"/>
      <c r="YM46" s="988"/>
      <c r="YN46" s="988"/>
      <c r="YO46" s="988"/>
      <c r="YP46" s="988"/>
      <c r="YQ46" s="988"/>
      <c r="YR46" s="988"/>
      <c r="YS46" s="988"/>
      <c r="YT46" s="988"/>
      <c r="YU46" s="988"/>
      <c r="YV46" s="988"/>
      <c r="YW46" s="988"/>
      <c r="YX46" s="988"/>
      <c r="YY46" s="988"/>
      <c r="YZ46" s="988"/>
      <c r="ZA46" s="988"/>
      <c r="ZB46" s="988"/>
      <c r="ZC46" s="988"/>
      <c r="ZD46" s="988"/>
      <c r="ZE46" s="988"/>
      <c r="ZF46" s="988"/>
      <c r="ZG46" s="988"/>
      <c r="ZH46" s="988"/>
      <c r="ZI46" s="988"/>
      <c r="ZJ46" s="988"/>
      <c r="ZK46" s="988"/>
      <c r="ZL46" s="988"/>
      <c r="ZM46" s="988"/>
      <c r="ZN46" s="988"/>
      <c r="ZO46" s="988"/>
      <c r="ZP46" s="988"/>
      <c r="ZQ46" s="988"/>
      <c r="ZR46" s="988"/>
      <c r="ZS46" s="988"/>
      <c r="ZT46" s="988"/>
      <c r="ZU46" s="988"/>
      <c r="ZV46" s="988"/>
      <c r="ZW46" s="988"/>
      <c r="ZX46" s="988"/>
      <c r="ZY46" s="988"/>
      <c r="ZZ46" s="988"/>
      <c r="AAA46" s="988"/>
      <c r="AAB46" s="988"/>
      <c r="AAC46" s="988"/>
      <c r="AAD46" s="988"/>
      <c r="AAE46" s="988"/>
      <c r="AAF46" s="988"/>
      <c r="AAG46" s="988"/>
      <c r="AAH46" s="988"/>
      <c r="AAI46" s="988"/>
      <c r="AAJ46" s="988"/>
      <c r="AAK46" s="988"/>
      <c r="AAL46" s="988"/>
      <c r="AAM46" s="988"/>
      <c r="AAN46" s="988"/>
      <c r="AAO46" s="988"/>
      <c r="AAP46" s="988"/>
      <c r="AAQ46" s="988"/>
      <c r="AAR46" s="988"/>
      <c r="AAS46" s="988"/>
      <c r="AAT46" s="988"/>
      <c r="AAU46" s="988"/>
      <c r="AAV46" s="988"/>
      <c r="AAW46" s="988"/>
      <c r="AAX46" s="988"/>
      <c r="AAY46" s="988"/>
      <c r="AAZ46" s="988"/>
      <c r="ABA46" s="988"/>
      <c r="ABB46" s="988"/>
      <c r="ABC46" s="988"/>
      <c r="ABD46" s="988"/>
      <c r="ABE46" s="988"/>
      <c r="ABF46" s="988"/>
      <c r="ABG46" s="988"/>
      <c r="ABH46" s="988"/>
      <c r="ABI46" s="988"/>
      <c r="ABJ46" s="988"/>
      <c r="ABK46" s="988"/>
      <c r="ABL46" s="988"/>
      <c r="ABM46" s="988"/>
      <c r="ABN46" s="988"/>
      <c r="ABO46" s="988"/>
      <c r="ABP46" s="988"/>
      <c r="ABQ46" s="988"/>
      <c r="ABR46" s="988"/>
      <c r="ABS46" s="988"/>
      <c r="ABT46" s="988"/>
      <c r="ABU46" s="988"/>
      <c r="ABV46" s="988"/>
      <c r="ABW46" s="988"/>
      <c r="ABX46" s="988"/>
      <c r="ABY46" s="988"/>
      <c r="ABZ46" s="988"/>
      <c r="ACA46" s="988"/>
      <c r="ACB46" s="988"/>
      <c r="ACC46" s="988"/>
      <c r="ACD46" s="988"/>
      <c r="ACE46" s="988"/>
      <c r="ACF46" s="988"/>
      <c r="ACG46" s="988"/>
      <c r="ACH46" s="988"/>
      <c r="ACI46" s="988"/>
      <c r="ACJ46" s="988"/>
      <c r="ACK46" s="988"/>
      <c r="ACL46" s="988"/>
      <c r="ACM46" s="988"/>
      <c r="ACN46" s="988"/>
      <c r="ACO46" s="988"/>
      <c r="ACP46" s="988"/>
      <c r="ACQ46" s="988"/>
      <c r="ACR46" s="988"/>
      <c r="ACS46" s="988"/>
      <c r="ACT46" s="988"/>
      <c r="ACU46" s="988"/>
      <c r="ACV46" s="988"/>
      <c r="ACW46" s="988"/>
      <c r="ACX46" s="988"/>
      <c r="ACY46" s="988"/>
      <c r="ACZ46" s="988"/>
      <c r="ADA46" s="988"/>
      <c r="ADB46" s="988"/>
      <c r="ADC46" s="988"/>
      <c r="ADD46" s="988"/>
      <c r="ADE46" s="988"/>
      <c r="ADF46" s="988"/>
      <c r="ADG46" s="988"/>
      <c r="ADH46" s="988"/>
      <c r="ADI46" s="988"/>
      <c r="ADJ46" s="988"/>
      <c r="ADK46" s="988"/>
      <c r="ADL46" s="988"/>
      <c r="ADM46" s="988"/>
      <c r="ADN46" s="988"/>
      <c r="ADO46" s="988"/>
      <c r="ADP46" s="988"/>
      <c r="ADQ46" s="988"/>
      <c r="ADR46" s="988"/>
      <c r="ADS46" s="988"/>
      <c r="ADT46" s="988"/>
      <c r="ADU46" s="988"/>
      <c r="ADV46" s="988"/>
      <c r="ADW46" s="988"/>
      <c r="ADX46" s="988"/>
      <c r="ADY46" s="988"/>
      <c r="ADZ46" s="988"/>
      <c r="AEA46" s="988"/>
      <c r="AEB46" s="988"/>
      <c r="AEC46" s="988"/>
      <c r="AED46" s="988"/>
      <c r="AEE46" s="988"/>
      <c r="AEF46" s="988"/>
      <c r="AEG46" s="988"/>
      <c r="AEH46" s="988"/>
      <c r="AEI46" s="988"/>
      <c r="AEJ46" s="988"/>
      <c r="AEK46" s="988"/>
      <c r="AEL46" s="988"/>
      <c r="AEM46" s="988"/>
      <c r="AEN46" s="988"/>
      <c r="AEO46" s="988"/>
      <c r="AEP46" s="988"/>
      <c r="AEQ46" s="988"/>
      <c r="AER46" s="988"/>
      <c r="AES46" s="988"/>
      <c r="AET46" s="988"/>
      <c r="AEU46" s="988"/>
      <c r="AEV46" s="988"/>
      <c r="AEW46" s="988"/>
      <c r="AEX46" s="988"/>
      <c r="AEY46" s="988"/>
      <c r="AEZ46" s="988"/>
      <c r="AFA46" s="988"/>
      <c r="AFB46" s="988"/>
      <c r="AFC46" s="988"/>
      <c r="AFD46" s="988"/>
      <c r="AFE46" s="988"/>
      <c r="AFF46" s="988"/>
      <c r="AFG46" s="988"/>
      <c r="AFH46" s="988"/>
      <c r="AFI46" s="988"/>
      <c r="AFJ46" s="988"/>
      <c r="AFK46" s="988"/>
      <c r="AFL46" s="988"/>
      <c r="AFM46" s="988"/>
      <c r="AFN46" s="988"/>
      <c r="AFO46" s="988"/>
      <c r="AFP46" s="988"/>
      <c r="AFQ46" s="988"/>
      <c r="AFR46" s="988"/>
      <c r="AFS46" s="988"/>
      <c r="AFT46" s="988"/>
      <c r="AFU46" s="988"/>
      <c r="AFV46" s="988"/>
      <c r="AFW46" s="988"/>
      <c r="AFX46" s="988"/>
      <c r="AFY46" s="988"/>
      <c r="AFZ46" s="988"/>
      <c r="AGA46" s="988"/>
      <c r="AGB46" s="988"/>
      <c r="AGC46" s="988"/>
      <c r="AGD46" s="988"/>
      <c r="AGE46" s="988"/>
      <c r="AGF46" s="988"/>
      <c r="AGG46" s="988"/>
      <c r="AGH46" s="988"/>
      <c r="AGI46" s="988"/>
      <c r="AGJ46" s="988"/>
      <c r="AGK46" s="988"/>
      <c r="AGL46" s="988"/>
      <c r="AGM46" s="988"/>
      <c r="AGN46" s="988"/>
      <c r="AGO46" s="988"/>
      <c r="AGP46" s="988"/>
      <c r="AGQ46" s="988"/>
      <c r="AGR46" s="988"/>
      <c r="AGS46" s="988"/>
      <c r="AGT46" s="988"/>
      <c r="AGU46" s="988"/>
      <c r="AGV46" s="988"/>
      <c r="AGW46" s="988"/>
      <c r="AGX46" s="988"/>
      <c r="AGY46" s="988"/>
      <c r="AGZ46" s="988"/>
      <c r="AHA46" s="988"/>
      <c r="AHB46" s="988"/>
      <c r="AHC46" s="988"/>
      <c r="AHD46" s="988"/>
      <c r="AHE46" s="988"/>
      <c r="AHF46" s="988"/>
      <c r="AHG46" s="988"/>
      <c r="AHH46" s="988"/>
      <c r="AHI46" s="988"/>
      <c r="AHJ46" s="988"/>
      <c r="AHK46" s="988"/>
      <c r="AHL46" s="988"/>
      <c r="AHM46" s="988"/>
      <c r="AHN46" s="988"/>
      <c r="AHO46" s="988"/>
      <c r="AHP46" s="988"/>
      <c r="AHQ46" s="988"/>
      <c r="AHR46" s="988"/>
      <c r="AHS46" s="988"/>
      <c r="AHT46" s="988"/>
      <c r="AHU46" s="988"/>
      <c r="AHV46" s="988"/>
      <c r="AHW46" s="988"/>
      <c r="AHX46" s="988"/>
      <c r="AHY46" s="988"/>
      <c r="AHZ46" s="988"/>
      <c r="AIA46" s="988"/>
      <c r="AIB46" s="988"/>
      <c r="AIC46" s="988"/>
      <c r="AID46" s="988"/>
      <c r="AIE46" s="988"/>
      <c r="AIF46" s="988"/>
      <c r="AIG46" s="988"/>
      <c r="AIH46" s="988"/>
      <c r="AII46" s="988"/>
      <c r="AIJ46" s="988"/>
      <c r="AIK46" s="988"/>
      <c r="AIL46" s="988"/>
      <c r="AIM46" s="988"/>
      <c r="AIN46" s="988"/>
      <c r="AIO46" s="988"/>
      <c r="AIP46" s="988"/>
      <c r="AIQ46" s="988"/>
      <c r="AIR46" s="988"/>
      <c r="AIS46" s="988"/>
      <c r="AIT46" s="988"/>
      <c r="AIU46" s="988"/>
      <c r="AIV46" s="988"/>
      <c r="AIW46" s="988"/>
      <c r="AIX46" s="988"/>
      <c r="AIY46" s="988"/>
      <c r="AIZ46" s="988"/>
      <c r="AJA46" s="988"/>
      <c r="AJB46" s="988"/>
      <c r="AJC46" s="988"/>
      <c r="AJD46" s="988"/>
      <c r="AJE46" s="988"/>
      <c r="AJF46" s="988"/>
      <c r="AJG46" s="988"/>
      <c r="AJH46" s="988"/>
      <c r="AJI46" s="988"/>
      <c r="AJJ46" s="988"/>
      <c r="AJK46" s="988"/>
      <c r="AJL46" s="988"/>
      <c r="AJM46" s="988"/>
      <c r="AJN46" s="988"/>
      <c r="AJO46" s="988"/>
      <c r="AJP46" s="988"/>
      <c r="AJQ46" s="988"/>
      <c r="AJR46" s="988"/>
      <c r="AJS46" s="988"/>
      <c r="AJT46" s="988"/>
      <c r="AJU46" s="988"/>
      <c r="AJV46" s="988"/>
      <c r="AJW46" s="988"/>
      <c r="AJX46" s="988"/>
      <c r="AJY46" s="988"/>
      <c r="AJZ46" s="988"/>
      <c r="AKA46" s="988"/>
      <c r="AKB46" s="988"/>
      <c r="AKC46" s="988"/>
      <c r="AKD46" s="988"/>
      <c r="AKE46" s="988"/>
      <c r="AKF46" s="988"/>
      <c r="AKG46" s="988"/>
      <c r="AKH46" s="988"/>
      <c r="AKI46" s="988"/>
      <c r="AKJ46" s="988"/>
      <c r="AKK46" s="988"/>
      <c r="AKL46" s="988"/>
      <c r="AKM46" s="988"/>
      <c r="AKN46" s="988"/>
      <c r="AKO46" s="988"/>
      <c r="AKP46" s="988"/>
      <c r="AKQ46" s="988"/>
      <c r="AKR46" s="988"/>
      <c r="AKS46" s="988"/>
      <c r="AKT46" s="988"/>
      <c r="AKU46" s="988"/>
      <c r="AKV46" s="988"/>
      <c r="AKW46" s="988"/>
      <c r="AKX46" s="988"/>
      <c r="AKY46" s="988"/>
      <c r="AKZ46" s="988"/>
      <c r="ALA46" s="988"/>
      <c r="ALB46" s="988"/>
      <c r="ALC46" s="988"/>
      <c r="ALD46" s="988"/>
      <c r="ALE46" s="988"/>
      <c r="ALF46" s="988"/>
      <c r="ALG46" s="988"/>
      <c r="ALH46" s="988"/>
      <c r="ALI46" s="988"/>
      <c r="ALJ46" s="988"/>
      <c r="ALK46" s="988"/>
      <c r="ALL46" s="988"/>
      <c r="ALM46" s="988"/>
      <c r="ALN46" s="988"/>
      <c r="ALO46" s="988"/>
      <c r="ALP46" s="988"/>
      <c r="ALQ46" s="988"/>
      <c r="ALR46" s="988"/>
      <c r="ALS46" s="988"/>
      <c r="ALT46" s="988"/>
      <c r="ALU46" s="988"/>
      <c r="ALV46" s="988"/>
      <c r="ALW46" s="988"/>
      <c r="ALX46" s="988"/>
      <c r="ALY46" s="988"/>
    </row>
  </sheetData>
  <mergeCells count="44">
    <mergeCell ref="B2:D2"/>
    <mergeCell ref="AKD2:ALY2"/>
    <mergeCell ref="JJ2:JV2"/>
    <mergeCell ref="JW2:LM2"/>
    <mergeCell ref="LN2:LX2"/>
    <mergeCell ref="NB2:NE2"/>
    <mergeCell ref="RH2:SK2"/>
    <mergeCell ref="WK2:XQ2"/>
    <mergeCell ref="NF2:NI2"/>
    <mergeCell ref="NJ2:NM2"/>
    <mergeCell ref="NV2:PE2"/>
    <mergeCell ref="PF2:QC2"/>
    <mergeCell ref="QD2:RG2"/>
    <mergeCell ref="AJT2:AKC2"/>
    <mergeCell ref="AHX2:AJS2"/>
    <mergeCell ref="ZH2:AAM2"/>
    <mergeCell ref="EE2:IV2"/>
    <mergeCell ref="SL2:TO2"/>
    <mergeCell ref="TP2:US2"/>
    <mergeCell ref="XR2:XV2"/>
    <mergeCell ref="XX2:YA2"/>
    <mergeCell ref="MU2:MW2"/>
    <mergeCell ref="IW2:JI2"/>
    <mergeCell ref="WD2:WJ2"/>
    <mergeCell ref="NN2:NQ2"/>
    <mergeCell ref="NR2:NU2"/>
    <mergeCell ref="MX2:NA2"/>
    <mergeCell ref="UT2:WC2"/>
    <mergeCell ref="E2:G2"/>
    <mergeCell ref="L2:O2"/>
    <mergeCell ref="P2:AN2"/>
    <mergeCell ref="DK2:ED2"/>
    <mergeCell ref="BA2:DJ2"/>
    <mergeCell ref="H2:K2"/>
    <mergeCell ref="YB2:ZG2"/>
    <mergeCell ref="ABT2:ACY2"/>
    <mergeCell ref="AAN2:ABS2"/>
    <mergeCell ref="ACZ2:AEE2"/>
    <mergeCell ref="AEF2:AFK2"/>
    <mergeCell ref="AHP2:AHW2"/>
    <mergeCell ref="AHH2:AHO2"/>
    <mergeCell ref="AGZ2:AHG2"/>
    <mergeCell ref="AGR2:AGY2"/>
    <mergeCell ref="AFL2:AGQ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34998626667073579"/>
  </sheetPr>
  <dimension ref="A1:AN141"/>
  <sheetViews>
    <sheetView topLeftCell="S1" workbookViewId="0">
      <selection activeCell="AK3" sqref="AK3"/>
    </sheetView>
  </sheetViews>
  <sheetFormatPr defaultRowHeight="15"/>
  <cols>
    <col min="1" max="1" width="9.140625" style="110"/>
    <col min="2" max="2" width="35.140625" style="61" bestFit="1" customWidth="1"/>
    <col min="3" max="3" width="5.140625" style="61" bestFit="1" customWidth="1"/>
    <col min="4" max="5" width="9.140625" style="61"/>
    <col min="6" max="8" width="9.5703125" style="61" bestFit="1" customWidth="1"/>
    <col min="9" max="10" width="9.28515625" style="61" bestFit="1" customWidth="1"/>
    <col min="11" max="12" width="9.5703125" style="61" bestFit="1" customWidth="1"/>
    <col min="13" max="13" width="9.28515625" style="61" bestFit="1" customWidth="1"/>
    <col min="14" max="14" width="9.5703125" style="61" bestFit="1" customWidth="1"/>
    <col min="15" max="16" width="9.28515625" style="61" bestFit="1" customWidth="1"/>
    <col min="17" max="18" width="9.5703125" style="61" bestFit="1" customWidth="1"/>
    <col min="19" max="27" width="9.28515625" style="61" bestFit="1" customWidth="1"/>
    <col min="28" max="31" width="9.5703125" style="61" bestFit="1" customWidth="1"/>
    <col min="32" max="34" width="9.28515625" style="61" bestFit="1" customWidth="1"/>
    <col min="35" max="36" width="9.5703125" style="61" bestFit="1" customWidth="1"/>
    <col min="37" max="37" width="9.28515625" style="61" bestFit="1" customWidth="1"/>
    <col min="38" max="38" width="9.140625" style="61"/>
    <col min="39" max="39" width="13.5703125" style="61" bestFit="1" customWidth="1"/>
    <col min="40" max="40" width="11.28515625" style="61" bestFit="1" customWidth="1"/>
    <col min="41" max="16384" width="9.140625" style="61"/>
  </cols>
  <sheetData>
    <row r="1" spans="1:40">
      <c r="A1" s="110">
        <f>2022</f>
        <v>2022</v>
      </c>
      <c r="B1" s="66" t="s">
        <v>901</v>
      </c>
      <c r="C1" s="108"/>
      <c r="F1" s="110">
        <v>1</v>
      </c>
      <c r="G1" s="110">
        <f>F1+1</f>
        <v>2</v>
      </c>
      <c r="H1" s="110">
        <f t="shared" ref="H1:AK1" si="0">G1+1</f>
        <v>3</v>
      </c>
      <c r="I1" s="110">
        <f t="shared" si="0"/>
        <v>4</v>
      </c>
      <c r="J1" s="110">
        <f t="shared" si="0"/>
        <v>5</v>
      </c>
      <c r="K1" s="110">
        <f t="shared" si="0"/>
        <v>6</v>
      </c>
      <c r="L1" s="110">
        <f t="shared" si="0"/>
        <v>7</v>
      </c>
      <c r="M1" s="110">
        <f t="shared" si="0"/>
        <v>8</v>
      </c>
      <c r="N1" s="110">
        <f t="shared" si="0"/>
        <v>9</v>
      </c>
      <c r="O1" s="110">
        <f t="shared" si="0"/>
        <v>10</v>
      </c>
      <c r="P1" s="110">
        <f t="shared" si="0"/>
        <v>11</v>
      </c>
      <c r="Q1" s="110">
        <f t="shared" si="0"/>
        <v>12</v>
      </c>
      <c r="R1" s="110">
        <f t="shared" si="0"/>
        <v>13</v>
      </c>
      <c r="S1" s="110">
        <f t="shared" si="0"/>
        <v>14</v>
      </c>
      <c r="T1" s="110">
        <f t="shared" si="0"/>
        <v>15</v>
      </c>
      <c r="U1" s="110">
        <f t="shared" si="0"/>
        <v>16</v>
      </c>
      <c r="V1" s="110">
        <f t="shared" si="0"/>
        <v>17</v>
      </c>
      <c r="W1" s="110">
        <f t="shared" si="0"/>
        <v>18</v>
      </c>
      <c r="X1" s="110">
        <f t="shared" si="0"/>
        <v>19</v>
      </c>
      <c r="Y1" s="110">
        <f t="shared" si="0"/>
        <v>20</v>
      </c>
      <c r="Z1" s="110">
        <f t="shared" si="0"/>
        <v>21</v>
      </c>
      <c r="AA1" s="110">
        <f t="shared" si="0"/>
        <v>22</v>
      </c>
      <c r="AB1" s="110">
        <f t="shared" si="0"/>
        <v>23</v>
      </c>
      <c r="AC1" s="110">
        <f t="shared" si="0"/>
        <v>24</v>
      </c>
      <c r="AD1" s="110">
        <f t="shared" si="0"/>
        <v>25</v>
      </c>
      <c r="AE1" s="110">
        <f t="shared" si="0"/>
        <v>26</v>
      </c>
      <c r="AF1" s="110">
        <f t="shared" si="0"/>
        <v>27</v>
      </c>
      <c r="AG1" s="110">
        <f t="shared" si="0"/>
        <v>28</v>
      </c>
      <c r="AH1" s="110">
        <f t="shared" si="0"/>
        <v>29</v>
      </c>
      <c r="AI1" s="110">
        <f t="shared" si="0"/>
        <v>30</v>
      </c>
      <c r="AJ1" s="110">
        <f t="shared" si="0"/>
        <v>31</v>
      </c>
      <c r="AK1" s="110">
        <f t="shared" si="0"/>
        <v>32</v>
      </c>
      <c r="AL1" s="110">
        <v>33</v>
      </c>
      <c r="AM1" s="66" t="s">
        <v>858</v>
      </c>
      <c r="AN1" s="66" t="s">
        <v>870</v>
      </c>
    </row>
    <row r="2" spans="1:40">
      <c r="A2" s="110">
        <f>A1+1</f>
        <v>2023</v>
      </c>
      <c r="B2" s="978" t="s">
        <v>902</v>
      </c>
      <c r="C2" s="108"/>
      <c r="D2" s="110" t="s">
        <v>973</v>
      </c>
      <c r="F2" s="72" t="s">
        <v>1</v>
      </c>
      <c r="G2" s="72" t="s">
        <v>2</v>
      </c>
      <c r="H2" s="72" t="s">
        <v>3</v>
      </c>
      <c r="I2" s="72" t="s">
        <v>12</v>
      </c>
      <c r="J2" s="72" t="s">
        <v>4</v>
      </c>
      <c r="K2" s="72" t="s">
        <v>5</v>
      </c>
      <c r="L2" s="72" t="s">
        <v>6</v>
      </c>
      <c r="M2" s="72" t="s">
        <v>7</v>
      </c>
      <c r="N2" s="72" t="s">
        <v>0</v>
      </c>
      <c r="O2" s="72" t="s">
        <v>9</v>
      </c>
      <c r="P2" s="72" t="s">
        <v>27</v>
      </c>
      <c r="Q2" s="72" t="s">
        <v>10</v>
      </c>
      <c r="R2" s="72" t="s">
        <v>11</v>
      </c>
      <c r="S2" s="72" t="s">
        <v>29</v>
      </c>
      <c r="T2" s="72" t="s">
        <v>13</v>
      </c>
      <c r="U2" s="72" t="s">
        <v>14</v>
      </c>
      <c r="V2" s="72" t="s">
        <v>17</v>
      </c>
      <c r="W2" s="72" t="s">
        <v>32</v>
      </c>
      <c r="X2" s="72" t="s">
        <v>15</v>
      </c>
      <c r="Y2" s="72" t="s">
        <v>16</v>
      </c>
      <c r="Z2" s="72" t="s">
        <v>18</v>
      </c>
      <c r="AA2" s="72" t="s">
        <v>19</v>
      </c>
      <c r="AB2" s="72" t="s">
        <v>26</v>
      </c>
      <c r="AC2" s="72" t="s">
        <v>20</v>
      </c>
      <c r="AD2" s="72" t="s">
        <v>21</v>
      </c>
      <c r="AE2" s="72" t="s">
        <v>22</v>
      </c>
      <c r="AF2" s="72" t="s">
        <v>25</v>
      </c>
      <c r="AG2" s="72" t="s">
        <v>24</v>
      </c>
      <c r="AH2" s="72" t="s">
        <v>8</v>
      </c>
      <c r="AI2" s="72" t="s">
        <v>23</v>
      </c>
      <c r="AJ2" s="72" t="s">
        <v>30</v>
      </c>
      <c r="AK2" s="72" t="s">
        <v>28</v>
      </c>
      <c r="AL2" s="62" t="s">
        <v>3064</v>
      </c>
      <c r="AM2" s="66" t="s">
        <v>861</v>
      </c>
      <c r="AN2" s="66" t="s">
        <v>871</v>
      </c>
    </row>
    <row r="3" spans="1:40">
      <c r="A3" s="110">
        <f t="shared" ref="A3:A28" si="1">A2+1</f>
        <v>2024</v>
      </c>
      <c r="B3" s="61" t="str">
        <f>INDEX('DEFAULT DATA'!$MA$9:$MD$41,START!$C$3,1)</f>
        <v>none</v>
      </c>
      <c r="C3" s="979">
        <f>INDEX('DEFAULT DATA'!$ME$9:$MH$41,START!$C$3,1)</f>
        <v>0.5</v>
      </c>
      <c r="D3" s="110" t="s">
        <v>974</v>
      </c>
      <c r="E3" s="675">
        <v>1</v>
      </c>
      <c r="F3" s="72" t="str">
        <f>INDEX('DEFAULT DATA'!$DQ$9:$DW$41,F$1,$E3)</f>
        <v>Vienna</v>
      </c>
      <c r="G3" s="72" t="str">
        <f>INDEX('DEFAULT DATA'!$DQ$9:$DW$41,G$1,$E3)</f>
        <v>Brussels</v>
      </c>
      <c r="H3" s="72" t="str">
        <f>INDEX('DEFAULT DATA'!$DQ$9:$DW$41,H$1,$E3)</f>
        <v>Sofia</v>
      </c>
      <c r="I3" s="72" t="str">
        <f>INDEX('DEFAULT DATA'!$DQ$9:$DW$41,I$1,$E3)</f>
        <v>no metro</v>
      </c>
      <c r="J3" s="72" t="str">
        <f>INDEX('DEFAULT DATA'!$DQ$9:$DW$41,J$1,$E3)</f>
        <v>no metro</v>
      </c>
      <c r="K3" s="72" t="str">
        <f>INDEX('DEFAULT DATA'!$DQ$9:$DW$41,K$1,$E3)</f>
        <v>Prague</v>
      </c>
      <c r="L3" s="72" t="str">
        <f>INDEX('DEFAULT DATA'!$DQ$9:$DW$41,L$1,$E3)</f>
        <v>Copenhagen</v>
      </c>
      <c r="M3" s="72" t="str">
        <f>INDEX('DEFAULT DATA'!$DQ$9:$DW$41,M$1,$E3)</f>
        <v>no metro</v>
      </c>
      <c r="N3" s="72" t="str">
        <f>INDEX('DEFAULT DATA'!$DQ$9:$DW$41,N$1,$E3)</f>
        <v>Helsinki</v>
      </c>
      <c r="O3" s="72" t="str">
        <f>INDEX('DEFAULT DATA'!$DQ$9:$DW$41,O$1,$E3)</f>
        <v>Lille</v>
      </c>
      <c r="P3" s="72" t="str">
        <f>INDEX('DEFAULT DATA'!$DQ$9:$DW$41,P$1,$E3)</f>
        <v>Berlin</v>
      </c>
      <c r="Q3" s="72" t="str">
        <f>INDEX('DEFAULT DATA'!$DQ$9:$DW$41,Q$1,$E3)</f>
        <v>Athens</v>
      </c>
      <c r="R3" s="72" t="str">
        <f>INDEX('DEFAULT DATA'!$DQ$9:$DW$41,R$1,$E3)</f>
        <v>Budapest</v>
      </c>
      <c r="S3" s="72" t="str">
        <f>INDEX('DEFAULT DATA'!$DQ$9:$DW$41,S$1,$E3)</f>
        <v>no metro</v>
      </c>
      <c r="T3" s="72" t="str">
        <f>INDEX('DEFAULT DATA'!$DQ$9:$DW$41,T$1,$E3)</f>
        <v>no metro</v>
      </c>
      <c r="U3" s="72" t="str">
        <f>INDEX('DEFAULT DATA'!$DQ$9:$DW$41,U$1,$E3)</f>
        <v>Brescia</v>
      </c>
      <c r="V3" s="72" t="str">
        <f>INDEX('DEFAULT DATA'!$DQ$9:$DW$41,V$1,$E3)</f>
        <v>no metro</v>
      </c>
      <c r="W3" s="72" t="str">
        <f>INDEX('DEFAULT DATA'!$DQ$9:$DW$41,W$1,$E3)</f>
        <v>no metro</v>
      </c>
      <c r="X3" s="72" t="str">
        <f>INDEX('DEFAULT DATA'!$DQ$9:$DW$41,X$1,$E3)</f>
        <v>no metro</v>
      </c>
      <c r="Y3" s="72" t="str">
        <f>INDEX('DEFAULT DATA'!$DQ$9:$DW$41,Y$1,$E3)</f>
        <v>no metro</v>
      </c>
      <c r="Z3" s="72" t="str">
        <f>INDEX('DEFAULT DATA'!$DQ$9:$DW$41,Z$1,$E3)</f>
        <v>no metro</v>
      </c>
      <c r="AA3" s="72" t="str">
        <f>INDEX('DEFAULT DATA'!$DQ$9:$DW$41,AA$1,$E3)</f>
        <v>Amsterdam</v>
      </c>
      <c r="AB3" s="72" t="str">
        <f>INDEX('DEFAULT DATA'!$DQ$9:$DW$41,AB$1,$E3)</f>
        <v>Oslo</v>
      </c>
      <c r="AC3" s="72" t="str">
        <f>INDEX('DEFAULT DATA'!$DQ$9:$DW$41,AC$1,$E3)</f>
        <v>Warsaw</v>
      </c>
      <c r="AD3" s="72" t="str">
        <f>INDEX('DEFAULT DATA'!$DQ$9:$DW$41,AD$1,$E3)</f>
        <v>Lisbon</v>
      </c>
      <c r="AE3" s="72" t="str">
        <f>INDEX('DEFAULT DATA'!$DQ$9:$DW$41,AE$1,$E3)</f>
        <v>Bucharest</v>
      </c>
      <c r="AF3" s="72" t="str">
        <f>INDEX('DEFAULT DATA'!$DQ$9:$DW$41,AF$1,$E3)</f>
        <v>no metro</v>
      </c>
      <c r="AG3" s="72" t="str">
        <f>INDEX('DEFAULT DATA'!$DQ$9:$DW$41,AG$1,$E3)</f>
        <v>no metro</v>
      </c>
      <c r="AH3" s="72" t="str">
        <f>INDEX('DEFAULT DATA'!$DQ$9:$DW$41,AH$1,$E3)</f>
        <v>Barcelona</v>
      </c>
      <c r="AI3" s="72" t="str">
        <f>INDEX('DEFAULT DATA'!$DQ$9:$DW$41,AI$1,$E3)</f>
        <v>Stockholm</v>
      </c>
      <c r="AJ3" s="72" t="str">
        <f>INDEX('DEFAULT DATA'!$DQ$9:$DW$41,AJ$1,$E3)</f>
        <v>Lausanne</v>
      </c>
      <c r="AK3" s="72" t="str">
        <f>INDEX('DEFAULT DATA'!$DQ$9:$DW$41,AK$1,$E3)</f>
        <v>Glasgow</v>
      </c>
      <c r="AL3" s="72" t="str">
        <f>INDEX('DEFAULT DATA'!$DQ$9:$DW$41,AL$1,$E3)</f>
        <v/>
      </c>
      <c r="AM3" s="66" t="s">
        <v>860</v>
      </c>
      <c r="AN3" s="66" t="s">
        <v>872</v>
      </c>
    </row>
    <row r="4" spans="1:40">
      <c r="A4" s="110">
        <f t="shared" si="1"/>
        <v>2025</v>
      </c>
      <c r="B4" s="61" t="str">
        <f>INDEX('DEFAULT DATA'!$MA$9:$MD$41,START!$C$3,2)</f>
        <v>low intensity</v>
      </c>
      <c r="C4" s="979">
        <f>INDEX('DEFAULT DATA'!$ME$9:$MH$41,START!$C$3,2)</f>
        <v>0.75</v>
      </c>
      <c r="D4" s="110" t="s">
        <v>975</v>
      </c>
      <c r="E4" s="675">
        <v>2</v>
      </c>
      <c r="F4" s="72" t="str">
        <f>INDEX('DEFAULT DATA'!$DQ$9:$DW$41,F$1,$E4)</f>
        <v>-</v>
      </c>
      <c r="G4" s="72" t="str">
        <f>INDEX('DEFAULT DATA'!$DQ$9:$DW$41,G$1,$E4)</f>
        <v>-</v>
      </c>
      <c r="H4" s="72" t="str">
        <f>INDEX('DEFAULT DATA'!$DQ$9:$DW$41,H$1,$E4)</f>
        <v>-</v>
      </c>
      <c r="I4" s="72" t="str">
        <f>INDEX('DEFAULT DATA'!$DQ$9:$DW$41,I$1,$E4)</f>
        <v>-</v>
      </c>
      <c r="J4" s="72" t="str">
        <f>INDEX('DEFAULT DATA'!$DQ$9:$DW$41,J$1,$E4)</f>
        <v>-</v>
      </c>
      <c r="K4" s="72" t="str">
        <f>INDEX('DEFAULT DATA'!$DQ$9:$DW$41,K$1,$E4)</f>
        <v>-</v>
      </c>
      <c r="L4" s="72" t="str">
        <f>INDEX('DEFAULT DATA'!$DQ$9:$DW$41,L$1,$E4)</f>
        <v>-</v>
      </c>
      <c r="M4" s="72" t="str">
        <f>INDEX('DEFAULT DATA'!$DQ$9:$DW$41,M$1,$E4)</f>
        <v>-</v>
      </c>
      <c r="N4" s="72" t="str">
        <f>INDEX('DEFAULT DATA'!$DQ$9:$DW$41,N$1,$E4)</f>
        <v>-</v>
      </c>
      <c r="O4" s="72" t="str">
        <f>INDEX('DEFAULT DATA'!$DQ$9:$DW$41,O$1,$E4)</f>
        <v>Lyon</v>
      </c>
      <c r="P4" s="72" t="str">
        <f>INDEX('DEFAULT DATA'!$DQ$9:$DW$41,P$1,$E4)</f>
        <v>Hamburg</v>
      </c>
      <c r="Q4" s="72" t="str">
        <f>INDEX('DEFAULT DATA'!$DQ$9:$DW$41,Q$1,$E4)</f>
        <v>-</v>
      </c>
      <c r="R4" s="72" t="str">
        <f>INDEX('DEFAULT DATA'!$DQ$9:$DW$41,R$1,$E4)</f>
        <v>-</v>
      </c>
      <c r="S4" s="72" t="str">
        <f>INDEX('DEFAULT DATA'!$DQ$9:$DW$41,S$1,$E4)</f>
        <v>-</v>
      </c>
      <c r="T4" s="72" t="str">
        <f>INDEX('DEFAULT DATA'!$DQ$9:$DW$41,T$1,$E4)</f>
        <v>-</v>
      </c>
      <c r="U4" s="72" t="str">
        <f>INDEX('DEFAULT DATA'!$DQ$9:$DW$41,U$1,$E4)</f>
        <v>Catania</v>
      </c>
      <c r="V4" s="72" t="str">
        <f>INDEX('DEFAULT DATA'!$DQ$9:$DW$41,V$1,$E4)</f>
        <v>-</v>
      </c>
      <c r="W4" s="72" t="str">
        <f>INDEX('DEFAULT DATA'!$DQ$9:$DW$41,W$1,$E4)</f>
        <v>-</v>
      </c>
      <c r="X4" s="72" t="str">
        <f>INDEX('DEFAULT DATA'!$DQ$9:$DW$41,X$1,$E4)</f>
        <v>-</v>
      </c>
      <c r="Y4" s="72" t="str">
        <f>INDEX('DEFAULT DATA'!$DQ$9:$DW$41,Y$1,$E4)</f>
        <v>-</v>
      </c>
      <c r="Z4" s="72" t="str">
        <f>INDEX('DEFAULT DATA'!$DQ$9:$DW$41,Z$1,$E4)</f>
        <v>-</v>
      </c>
      <c r="AA4" s="72" t="str">
        <f>INDEX('DEFAULT DATA'!$DQ$9:$DW$41,AA$1,$E4)</f>
        <v>Rotterdam</v>
      </c>
      <c r="AB4" s="72" t="str">
        <f>INDEX('DEFAULT DATA'!$DQ$9:$DW$41,AB$1,$E4)</f>
        <v>-</v>
      </c>
      <c r="AC4" s="72" t="str">
        <f>INDEX('DEFAULT DATA'!$DQ$9:$DW$41,AC$1,$E4)</f>
        <v>-</v>
      </c>
      <c r="AD4" s="72" t="str">
        <f>INDEX('DEFAULT DATA'!$DQ$9:$DW$41,AD$1,$E4)</f>
        <v>-</v>
      </c>
      <c r="AE4" s="72" t="str">
        <f>INDEX('DEFAULT DATA'!$DQ$9:$DW$41,AE$1,$E4)</f>
        <v>-</v>
      </c>
      <c r="AF4" s="72" t="str">
        <f>INDEX('DEFAULT DATA'!$DQ$9:$DW$41,AF$1,$E4)</f>
        <v>-</v>
      </c>
      <c r="AG4" s="72" t="str">
        <f>INDEX('DEFAULT DATA'!$DQ$9:$DW$41,AG$1,$E4)</f>
        <v>-</v>
      </c>
      <c r="AH4" s="72" t="str">
        <f>INDEX('DEFAULT DATA'!$DQ$9:$DW$41,AH$1,$E4)</f>
        <v>Bilbao</v>
      </c>
      <c r="AI4" s="72" t="str">
        <f>INDEX('DEFAULT DATA'!$DQ$9:$DW$41,AI$1,$E4)</f>
        <v>-</v>
      </c>
      <c r="AJ4" s="72" t="str">
        <f>INDEX('DEFAULT DATA'!$DQ$9:$DW$41,AJ$1,$E4)</f>
        <v>-</v>
      </c>
      <c r="AK4" s="72" t="str">
        <f>INDEX('DEFAULT DATA'!$DQ$9:$DW$41,AK$1,$E4)</f>
        <v>London Underground</v>
      </c>
      <c r="AL4" s="72" t="str">
        <f>INDEX('DEFAULT DATA'!$DQ$9:$DW$41,AL$1,$E4)</f>
        <v/>
      </c>
      <c r="AM4" s="66" t="s">
        <v>859</v>
      </c>
      <c r="AN4" s="66" t="s">
        <v>873</v>
      </c>
    </row>
    <row r="5" spans="1:40">
      <c r="A5" s="110">
        <f t="shared" si="1"/>
        <v>2026</v>
      </c>
      <c r="B5" s="61" t="str">
        <f>INDEX('DEFAULT DATA'!$MA$9:$MD$41,START!$C$3,3)</f>
        <v>average intensity</v>
      </c>
      <c r="C5" s="979">
        <f>INDEX('DEFAULT DATA'!$ME$9:$MH$41,START!$C$3,3)</f>
        <v>1</v>
      </c>
      <c r="D5" s="110" t="s">
        <v>977</v>
      </c>
      <c r="E5" s="675">
        <v>3</v>
      </c>
      <c r="F5" s="72" t="str">
        <f>INDEX('DEFAULT DATA'!$DQ$9:$DW$41,F$1,$E5)</f>
        <v>-</v>
      </c>
      <c r="G5" s="72" t="str">
        <f>INDEX('DEFAULT DATA'!$DQ$9:$DW$41,G$1,$E5)</f>
        <v>-</v>
      </c>
      <c r="H5" s="72" t="str">
        <f>INDEX('DEFAULT DATA'!$DQ$9:$DW$41,H$1,$E5)</f>
        <v>-</v>
      </c>
      <c r="I5" s="72" t="str">
        <f>INDEX('DEFAULT DATA'!$DQ$9:$DW$41,I$1,$E5)</f>
        <v>-</v>
      </c>
      <c r="J5" s="72" t="str">
        <f>INDEX('DEFAULT DATA'!$DQ$9:$DW$41,J$1,$E5)</f>
        <v>-</v>
      </c>
      <c r="K5" s="72" t="str">
        <f>INDEX('DEFAULT DATA'!$DQ$9:$DW$41,K$1,$E5)</f>
        <v>-</v>
      </c>
      <c r="L5" s="72" t="str">
        <f>INDEX('DEFAULT DATA'!$DQ$9:$DW$41,L$1,$E5)</f>
        <v>-</v>
      </c>
      <c r="M5" s="72" t="str">
        <f>INDEX('DEFAULT DATA'!$DQ$9:$DW$41,M$1,$E5)</f>
        <v>-</v>
      </c>
      <c r="N5" s="72" t="str">
        <f>INDEX('DEFAULT DATA'!$DQ$9:$DW$41,N$1,$E5)</f>
        <v>-</v>
      </c>
      <c r="O5" s="72" t="str">
        <f>INDEX('DEFAULT DATA'!$DQ$9:$DW$41,O$1,$E5)</f>
        <v>Marseille</v>
      </c>
      <c r="P5" s="72" t="str">
        <f>INDEX('DEFAULT DATA'!$DQ$9:$DW$41,P$1,$E5)</f>
        <v>Munich</v>
      </c>
      <c r="Q5" s="72" t="str">
        <f>INDEX('DEFAULT DATA'!$DQ$9:$DW$41,Q$1,$E5)</f>
        <v>-</v>
      </c>
      <c r="R5" s="72" t="str">
        <f>INDEX('DEFAULT DATA'!$DQ$9:$DW$41,R$1,$E5)</f>
        <v>-</v>
      </c>
      <c r="S5" s="72" t="str">
        <f>INDEX('DEFAULT DATA'!$DQ$9:$DW$41,S$1,$E5)</f>
        <v>-</v>
      </c>
      <c r="T5" s="72" t="str">
        <f>INDEX('DEFAULT DATA'!$DQ$9:$DW$41,T$1,$E5)</f>
        <v>-</v>
      </c>
      <c r="U5" s="72" t="str">
        <f>INDEX('DEFAULT DATA'!$DQ$9:$DW$41,U$1,$E5)</f>
        <v>Genoa</v>
      </c>
      <c r="V5" s="72" t="str">
        <f>INDEX('DEFAULT DATA'!$DQ$9:$DW$41,V$1,$E5)</f>
        <v>-</v>
      </c>
      <c r="W5" s="72" t="str">
        <f>INDEX('DEFAULT DATA'!$DQ$9:$DW$41,W$1,$E5)</f>
        <v>-</v>
      </c>
      <c r="X5" s="72" t="str">
        <f>INDEX('DEFAULT DATA'!$DQ$9:$DW$41,X$1,$E5)</f>
        <v>-</v>
      </c>
      <c r="Y5" s="72" t="str">
        <f>INDEX('DEFAULT DATA'!$DQ$9:$DW$41,Y$1,$E5)</f>
        <v>-</v>
      </c>
      <c r="Z5" s="72" t="str">
        <f>INDEX('DEFAULT DATA'!$DQ$9:$DW$41,Z$1,$E5)</f>
        <v>-</v>
      </c>
      <c r="AA5" s="72" t="str">
        <f>INDEX('DEFAULT DATA'!$DQ$9:$DW$41,AA$1,$E5)</f>
        <v>-</v>
      </c>
      <c r="AB5" s="72" t="str">
        <f>INDEX('DEFAULT DATA'!$DQ$9:$DW$41,AB$1,$E5)</f>
        <v>-</v>
      </c>
      <c r="AC5" s="72" t="str">
        <f>INDEX('DEFAULT DATA'!$DQ$9:$DW$41,AC$1,$E5)</f>
        <v>-</v>
      </c>
      <c r="AD5" s="72" t="str">
        <f>INDEX('DEFAULT DATA'!$DQ$9:$DW$41,AD$1,$E5)</f>
        <v>-</v>
      </c>
      <c r="AE5" s="72" t="str">
        <f>INDEX('DEFAULT DATA'!$DQ$9:$DW$41,AE$1,$E5)</f>
        <v>-</v>
      </c>
      <c r="AF5" s="72" t="str">
        <f>INDEX('DEFAULT DATA'!$DQ$9:$DW$41,AF$1,$E5)</f>
        <v>-</v>
      </c>
      <c r="AG5" s="72" t="str">
        <f>INDEX('DEFAULT DATA'!$DQ$9:$DW$41,AG$1,$E5)</f>
        <v>-</v>
      </c>
      <c r="AH5" s="72" t="str">
        <f>INDEX('DEFAULT DATA'!$DQ$9:$DW$41,AH$1,$E5)</f>
        <v>Madrid</v>
      </c>
      <c r="AI5" s="72" t="str">
        <f>INDEX('DEFAULT DATA'!$DQ$9:$DW$41,AI$1,$E5)</f>
        <v>-</v>
      </c>
      <c r="AJ5" s="72" t="str">
        <f>INDEX('DEFAULT DATA'!$DQ$9:$DW$41,AJ$1,$E5)</f>
        <v>-</v>
      </c>
      <c r="AK5" s="72" t="str">
        <f>INDEX('DEFAULT DATA'!$DQ$9:$DW$41,AK$1,$E5)</f>
        <v>-</v>
      </c>
      <c r="AL5" s="72" t="str">
        <f>INDEX('DEFAULT DATA'!$DQ$9:$DW$41,AL$1,$E5)</f>
        <v/>
      </c>
      <c r="AM5" s="66"/>
      <c r="AN5" s="66" t="s">
        <v>874</v>
      </c>
    </row>
    <row r="6" spans="1:40">
      <c r="A6" s="110">
        <f t="shared" si="1"/>
        <v>2027</v>
      </c>
      <c r="B6" s="61" t="str">
        <f>INDEX('DEFAULT DATA'!$MA$9:$MD$41,START!$C$3,4)</f>
        <v>high intensity</v>
      </c>
      <c r="C6" s="979">
        <f>INDEX('DEFAULT DATA'!$ME$9:$MH$41,START!$C$3,4)</f>
        <v>2</v>
      </c>
      <c r="D6" s="110" t="s">
        <v>978</v>
      </c>
      <c r="E6" s="675">
        <v>4</v>
      </c>
      <c r="F6" s="72" t="str">
        <f>INDEX('DEFAULT DATA'!$DQ$9:$DW$41,F$1,$E6)</f>
        <v>-</v>
      </c>
      <c r="G6" s="72" t="str">
        <f>INDEX('DEFAULT DATA'!$DQ$9:$DW$41,G$1,$E6)</f>
        <v>-</v>
      </c>
      <c r="H6" s="72" t="str">
        <f>INDEX('DEFAULT DATA'!$DQ$9:$DW$41,H$1,$E6)</f>
        <v>-</v>
      </c>
      <c r="I6" s="72" t="str">
        <f>INDEX('DEFAULT DATA'!$DQ$9:$DW$41,I$1,$E6)</f>
        <v>-</v>
      </c>
      <c r="J6" s="72" t="str">
        <f>INDEX('DEFAULT DATA'!$DQ$9:$DW$41,J$1,$E6)</f>
        <v>-</v>
      </c>
      <c r="K6" s="72" t="str">
        <f>INDEX('DEFAULT DATA'!$DQ$9:$DW$41,K$1,$E6)</f>
        <v>-</v>
      </c>
      <c r="L6" s="72" t="str">
        <f>INDEX('DEFAULT DATA'!$DQ$9:$DW$41,L$1,$E6)</f>
        <v>-</v>
      </c>
      <c r="M6" s="72" t="str">
        <f>INDEX('DEFAULT DATA'!$DQ$9:$DW$41,M$1,$E6)</f>
        <v>-</v>
      </c>
      <c r="N6" s="72" t="str">
        <f>INDEX('DEFAULT DATA'!$DQ$9:$DW$41,N$1,$E6)</f>
        <v>-</v>
      </c>
      <c r="O6" s="72" t="str">
        <f>INDEX('DEFAULT DATA'!$DQ$9:$DW$41,O$1,$E6)</f>
        <v>Paris</v>
      </c>
      <c r="P6" s="72" t="str">
        <f>INDEX('DEFAULT DATA'!$DQ$9:$DW$41,P$1,$E6)</f>
        <v>Nuremberg</v>
      </c>
      <c r="Q6" s="72" t="str">
        <f>INDEX('DEFAULT DATA'!$DQ$9:$DW$41,Q$1,$E6)</f>
        <v>-</v>
      </c>
      <c r="R6" s="72" t="str">
        <f>INDEX('DEFAULT DATA'!$DQ$9:$DW$41,R$1,$E6)</f>
        <v>-</v>
      </c>
      <c r="S6" s="72" t="str">
        <f>INDEX('DEFAULT DATA'!$DQ$9:$DW$41,S$1,$E6)</f>
        <v>-</v>
      </c>
      <c r="T6" s="72" t="str">
        <f>INDEX('DEFAULT DATA'!$DQ$9:$DW$41,T$1,$E6)</f>
        <v>-</v>
      </c>
      <c r="U6" s="72" t="str">
        <f>INDEX('DEFAULT DATA'!$DQ$9:$DW$41,U$1,$E6)</f>
        <v>Milan</v>
      </c>
      <c r="V6" s="72" t="str">
        <f>INDEX('DEFAULT DATA'!$DQ$9:$DW$41,V$1,$E6)</f>
        <v>-</v>
      </c>
      <c r="W6" s="72" t="str">
        <f>INDEX('DEFAULT DATA'!$DQ$9:$DW$41,W$1,$E6)</f>
        <v>-</v>
      </c>
      <c r="X6" s="72" t="str">
        <f>INDEX('DEFAULT DATA'!$DQ$9:$DW$41,X$1,$E6)</f>
        <v>-</v>
      </c>
      <c r="Y6" s="72" t="str">
        <f>INDEX('DEFAULT DATA'!$DQ$9:$DW$41,Y$1,$E6)</f>
        <v>-</v>
      </c>
      <c r="Z6" s="72" t="str">
        <f>INDEX('DEFAULT DATA'!$DQ$9:$DW$41,Z$1,$E6)</f>
        <v>-</v>
      </c>
      <c r="AA6" s="72" t="str">
        <f>INDEX('DEFAULT DATA'!$DQ$9:$DW$41,AA$1,$E6)</f>
        <v>-</v>
      </c>
      <c r="AB6" s="72" t="str">
        <f>INDEX('DEFAULT DATA'!$DQ$9:$DW$41,AB$1,$E6)</f>
        <v>-</v>
      </c>
      <c r="AC6" s="72" t="str">
        <f>INDEX('DEFAULT DATA'!$DQ$9:$DW$41,AC$1,$E6)</f>
        <v>-</v>
      </c>
      <c r="AD6" s="72" t="str">
        <f>INDEX('DEFAULT DATA'!$DQ$9:$DW$41,AD$1,$E6)</f>
        <v>-</v>
      </c>
      <c r="AE6" s="72" t="str">
        <f>INDEX('DEFAULT DATA'!$DQ$9:$DW$41,AE$1,$E6)</f>
        <v>-</v>
      </c>
      <c r="AF6" s="72" t="str">
        <f>INDEX('DEFAULT DATA'!$DQ$9:$DW$41,AF$1,$E6)</f>
        <v>-</v>
      </c>
      <c r="AG6" s="72" t="str">
        <f>INDEX('DEFAULT DATA'!$DQ$9:$DW$41,AG$1,$E6)</f>
        <v>-</v>
      </c>
      <c r="AH6" s="72" t="str">
        <f>INDEX('DEFAULT DATA'!$DQ$9:$DW$41,AH$1,$E6)</f>
        <v>-</v>
      </c>
      <c r="AI6" s="72" t="str">
        <f>INDEX('DEFAULT DATA'!$DQ$9:$DW$41,AI$1,$E6)</f>
        <v>-</v>
      </c>
      <c r="AJ6" s="72" t="str">
        <f>INDEX('DEFAULT DATA'!$DQ$9:$DW$41,AJ$1,$E6)</f>
        <v>-</v>
      </c>
      <c r="AK6" s="72" t="str">
        <f>INDEX('DEFAULT DATA'!$DQ$9:$DW$41,AK$1,$E6)</f>
        <v>-</v>
      </c>
      <c r="AL6" s="72" t="str">
        <f>INDEX('DEFAULT DATA'!$DQ$9:$DW$41,AL$1,$E6)</f>
        <v/>
      </c>
      <c r="AM6" s="66"/>
      <c r="AN6" s="66" t="s">
        <v>875</v>
      </c>
    </row>
    <row r="7" spans="1:40">
      <c r="A7" s="110">
        <f t="shared" si="1"/>
        <v>2028</v>
      </c>
      <c r="B7" s="66" t="s">
        <v>903</v>
      </c>
      <c r="C7" s="66"/>
      <c r="D7" s="110" t="s">
        <v>979</v>
      </c>
      <c r="E7" s="675">
        <v>5</v>
      </c>
      <c r="F7" s="72" t="str">
        <f>INDEX('DEFAULT DATA'!$DQ$9:$DW$41,F$1,$E7)</f>
        <v>-</v>
      </c>
      <c r="G7" s="72" t="str">
        <f>INDEX('DEFAULT DATA'!$DQ$9:$DW$41,G$1,$E7)</f>
        <v>-</v>
      </c>
      <c r="H7" s="72" t="str">
        <f>INDEX('DEFAULT DATA'!$DQ$9:$DW$41,H$1,$E7)</f>
        <v>-</v>
      </c>
      <c r="I7" s="72" t="str">
        <f>INDEX('DEFAULT DATA'!$DQ$9:$DW$41,I$1,$E7)</f>
        <v>-</v>
      </c>
      <c r="J7" s="72" t="str">
        <f>INDEX('DEFAULT DATA'!$DQ$9:$DW$41,J$1,$E7)</f>
        <v>-</v>
      </c>
      <c r="K7" s="72" t="str">
        <f>INDEX('DEFAULT DATA'!$DQ$9:$DW$41,K$1,$E7)</f>
        <v>-</v>
      </c>
      <c r="L7" s="72" t="str">
        <f>INDEX('DEFAULT DATA'!$DQ$9:$DW$41,L$1,$E7)</f>
        <v>-</v>
      </c>
      <c r="M7" s="72" t="str">
        <f>INDEX('DEFAULT DATA'!$DQ$9:$DW$41,M$1,$E7)</f>
        <v>-</v>
      </c>
      <c r="N7" s="72" t="str">
        <f>INDEX('DEFAULT DATA'!$DQ$9:$DW$41,N$1,$E7)</f>
        <v>-</v>
      </c>
      <c r="O7" s="72" t="str">
        <f>INDEX('DEFAULT DATA'!$DQ$9:$DW$41,O$1,$E7)</f>
        <v>Rennes</v>
      </c>
      <c r="P7" s="72" t="str">
        <f>INDEX('DEFAULT DATA'!$DQ$9:$DW$41,P$1,$E7)</f>
        <v>-</v>
      </c>
      <c r="Q7" s="72" t="str">
        <f>INDEX('DEFAULT DATA'!$DQ$9:$DW$41,Q$1,$E7)</f>
        <v>-</v>
      </c>
      <c r="R7" s="72" t="str">
        <f>INDEX('DEFAULT DATA'!$DQ$9:$DW$41,R$1,$E7)</f>
        <v>-</v>
      </c>
      <c r="S7" s="72" t="str">
        <f>INDEX('DEFAULT DATA'!$DQ$9:$DW$41,S$1,$E7)</f>
        <v>-</v>
      </c>
      <c r="T7" s="72" t="str">
        <f>INDEX('DEFAULT DATA'!$DQ$9:$DW$41,T$1,$E7)</f>
        <v>-</v>
      </c>
      <c r="U7" s="72" t="str">
        <f>INDEX('DEFAULT DATA'!$DQ$9:$DW$41,U$1,$E7)</f>
        <v>Naples</v>
      </c>
      <c r="V7" s="72" t="str">
        <f>INDEX('DEFAULT DATA'!$DQ$9:$DW$41,V$1,$E7)</f>
        <v>-</v>
      </c>
      <c r="W7" s="72" t="str">
        <f>INDEX('DEFAULT DATA'!$DQ$9:$DW$41,W$1,$E7)</f>
        <v>-</v>
      </c>
      <c r="X7" s="72" t="str">
        <f>INDEX('DEFAULT DATA'!$DQ$9:$DW$41,X$1,$E7)</f>
        <v>-</v>
      </c>
      <c r="Y7" s="72" t="str">
        <f>INDEX('DEFAULT DATA'!$DQ$9:$DW$41,Y$1,$E7)</f>
        <v>-</v>
      </c>
      <c r="Z7" s="72" t="str">
        <f>INDEX('DEFAULT DATA'!$DQ$9:$DW$41,Z$1,$E7)</f>
        <v>-</v>
      </c>
      <c r="AA7" s="72" t="str">
        <f>INDEX('DEFAULT DATA'!$DQ$9:$DW$41,AA$1,$E7)</f>
        <v>-</v>
      </c>
      <c r="AB7" s="72" t="str">
        <f>INDEX('DEFAULT DATA'!$DQ$9:$DW$41,AB$1,$E7)</f>
        <v>-</v>
      </c>
      <c r="AC7" s="72" t="str">
        <f>INDEX('DEFAULT DATA'!$DQ$9:$DW$41,AC$1,$E7)</f>
        <v>-</v>
      </c>
      <c r="AD7" s="72" t="str">
        <f>INDEX('DEFAULT DATA'!$DQ$9:$DW$41,AD$1,$E7)</f>
        <v>-</v>
      </c>
      <c r="AE7" s="72" t="str">
        <f>INDEX('DEFAULT DATA'!$DQ$9:$DW$41,AE$1,$E7)</f>
        <v>-</v>
      </c>
      <c r="AF7" s="72" t="str">
        <f>INDEX('DEFAULT DATA'!$DQ$9:$DW$41,AF$1,$E7)</f>
        <v>-</v>
      </c>
      <c r="AG7" s="72" t="str">
        <f>INDEX('DEFAULT DATA'!$DQ$9:$DW$41,AG$1,$E7)</f>
        <v>-</v>
      </c>
      <c r="AH7" s="72" t="str">
        <f>INDEX('DEFAULT DATA'!$DQ$9:$DW$41,AH$1,$E7)</f>
        <v>-</v>
      </c>
      <c r="AI7" s="72" t="str">
        <f>INDEX('DEFAULT DATA'!$DQ$9:$DW$41,AI$1,$E7)</f>
        <v>-</v>
      </c>
      <c r="AJ7" s="72" t="str">
        <f>INDEX('DEFAULT DATA'!$DQ$9:$DW$41,AJ$1,$E7)</f>
        <v>-</v>
      </c>
      <c r="AK7" s="72" t="str">
        <f>INDEX('DEFAULT DATA'!$DQ$9:$DW$41,AK$1,$E7)</f>
        <v>-</v>
      </c>
      <c r="AL7" s="72" t="str">
        <f>INDEX('DEFAULT DATA'!$DQ$9:$DW$41,AL$1,$E7)</f>
        <v/>
      </c>
      <c r="AM7" s="66"/>
      <c r="AN7" s="66" t="s">
        <v>486</v>
      </c>
    </row>
    <row r="8" spans="1:40">
      <c r="A8" s="110">
        <f t="shared" si="1"/>
        <v>2029</v>
      </c>
      <c r="B8" s="978" t="s">
        <v>904</v>
      </c>
      <c r="C8" s="66"/>
      <c r="D8" s="110" t="s">
        <v>976</v>
      </c>
      <c r="E8" s="675">
        <v>6</v>
      </c>
      <c r="F8" s="72" t="str">
        <f>INDEX('DEFAULT DATA'!$DQ$9:$DW$41,F$1,$E8)</f>
        <v>-</v>
      </c>
      <c r="G8" s="72" t="str">
        <f>INDEX('DEFAULT DATA'!$DQ$9:$DW$41,G$1,$E8)</f>
        <v>-</v>
      </c>
      <c r="H8" s="72" t="str">
        <f>INDEX('DEFAULT DATA'!$DQ$9:$DW$41,H$1,$E8)</f>
        <v>-</v>
      </c>
      <c r="I8" s="72" t="str">
        <f>INDEX('DEFAULT DATA'!$DQ$9:$DW$41,I$1,$E8)</f>
        <v>-</v>
      </c>
      <c r="J8" s="72" t="str">
        <f>INDEX('DEFAULT DATA'!$DQ$9:$DW$41,J$1,$E8)</f>
        <v>-</v>
      </c>
      <c r="K8" s="72" t="str">
        <f>INDEX('DEFAULT DATA'!$DQ$9:$DW$41,K$1,$E8)</f>
        <v>-</v>
      </c>
      <c r="L8" s="72" t="str">
        <f>INDEX('DEFAULT DATA'!$DQ$9:$DW$41,L$1,$E8)</f>
        <v>-</v>
      </c>
      <c r="M8" s="72" t="str">
        <f>INDEX('DEFAULT DATA'!$DQ$9:$DW$41,M$1,$E8)</f>
        <v>-</v>
      </c>
      <c r="N8" s="72" t="str">
        <f>INDEX('DEFAULT DATA'!$DQ$9:$DW$41,N$1,$E8)</f>
        <v>-</v>
      </c>
      <c r="O8" s="72" t="str">
        <f>INDEX('DEFAULT DATA'!$DQ$9:$DW$41,O$1,$E8)</f>
        <v>Toulouse</v>
      </c>
      <c r="P8" s="72" t="str">
        <f>INDEX('DEFAULT DATA'!$DQ$9:$DW$41,P$1,$E8)</f>
        <v>-</v>
      </c>
      <c r="Q8" s="72" t="str">
        <f>INDEX('DEFAULT DATA'!$DQ$9:$DW$41,Q$1,$E8)</f>
        <v>-</v>
      </c>
      <c r="R8" s="72" t="str">
        <f>INDEX('DEFAULT DATA'!$DQ$9:$DW$41,R$1,$E8)</f>
        <v>-</v>
      </c>
      <c r="S8" s="72" t="str">
        <f>INDEX('DEFAULT DATA'!$DQ$9:$DW$41,S$1,$E8)</f>
        <v>-</v>
      </c>
      <c r="T8" s="72" t="str">
        <f>INDEX('DEFAULT DATA'!$DQ$9:$DW$41,T$1,$E8)</f>
        <v>-</v>
      </c>
      <c r="U8" s="72" t="str">
        <f>INDEX('DEFAULT DATA'!$DQ$9:$DW$41,U$1,$E8)</f>
        <v>Rome</v>
      </c>
      <c r="V8" s="72" t="str">
        <f>INDEX('DEFAULT DATA'!$DQ$9:$DW$41,V$1,$E8)</f>
        <v>-</v>
      </c>
      <c r="W8" s="72" t="str">
        <f>INDEX('DEFAULT DATA'!$DQ$9:$DW$41,W$1,$E8)</f>
        <v>-</v>
      </c>
      <c r="X8" s="72" t="str">
        <f>INDEX('DEFAULT DATA'!$DQ$9:$DW$41,X$1,$E8)</f>
        <v>-</v>
      </c>
      <c r="Y8" s="72" t="str">
        <f>INDEX('DEFAULT DATA'!$DQ$9:$DW$41,Y$1,$E8)</f>
        <v>-</v>
      </c>
      <c r="Z8" s="72" t="str">
        <f>INDEX('DEFAULT DATA'!$DQ$9:$DW$41,Z$1,$E8)</f>
        <v>-</v>
      </c>
      <c r="AA8" s="72" t="str">
        <f>INDEX('DEFAULT DATA'!$DQ$9:$DW$41,AA$1,$E8)</f>
        <v>-</v>
      </c>
      <c r="AB8" s="72" t="str">
        <f>INDEX('DEFAULT DATA'!$DQ$9:$DW$41,AB$1,$E8)</f>
        <v>-</v>
      </c>
      <c r="AC8" s="72" t="str">
        <f>INDEX('DEFAULT DATA'!$DQ$9:$DW$41,AC$1,$E8)</f>
        <v>-</v>
      </c>
      <c r="AD8" s="72" t="str">
        <f>INDEX('DEFAULT DATA'!$DQ$9:$DW$41,AD$1,$E8)</f>
        <v>-</v>
      </c>
      <c r="AE8" s="72" t="str">
        <f>INDEX('DEFAULT DATA'!$DQ$9:$DW$41,AE$1,$E8)</f>
        <v>-</v>
      </c>
      <c r="AF8" s="72" t="str">
        <f>INDEX('DEFAULT DATA'!$DQ$9:$DW$41,AF$1,$E8)</f>
        <v>-</v>
      </c>
      <c r="AG8" s="72" t="str">
        <f>INDEX('DEFAULT DATA'!$DQ$9:$DW$41,AG$1,$E8)</f>
        <v>-</v>
      </c>
      <c r="AH8" s="72" t="str">
        <f>INDEX('DEFAULT DATA'!$DQ$9:$DW$41,AH$1,$E8)</f>
        <v>-</v>
      </c>
      <c r="AI8" s="72" t="str">
        <f>INDEX('DEFAULT DATA'!$DQ$9:$DW$41,AI$1,$E8)</f>
        <v>-</v>
      </c>
      <c r="AJ8" s="72" t="str">
        <f>INDEX('DEFAULT DATA'!$DQ$9:$DW$41,AJ$1,$E8)</f>
        <v>-</v>
      </c>
      <c r="AK8" s="72" t="str">
        <f>INDEX('DEFAULT DATA'!$DQ$9:$DW$41,AK$1,$E8)</f>
        <v>-</v>
      </c>
      <c r="AL8" s="72" t="str">
        <f>INDEX('DEFAULT DATA'!$DQ$9:$DW$41,AL$1,$E8)</f>
        <v/>
      </c>
    </row>
    <row r="9" spans="1:40">
      <c r="A9" s="110">
        <f t="shared" si="1"/>
        <v>2030</v>
      </c>
      <c r="B9" s="66" t="str">
        <f>INDEX('DEFAULT DATA'!$MA$9:$MD$41,START!$C$3,1)</f>
        <v>none</v>
      </c>
      <c r="C9" s="980">
        <f>INDEX('DEFAULT DATA'!$MI$9:$ML$41,START!$C$3,1)</f>
        <v>0.5</v>
      </c>
      <c r="E9" s="675">
        <v>7</v>
      </c>
      <c r="F9" s="72" t="str">
        <f>INDEX('DEFAULT DATA'!$DQ$9:$DW$41,F$1,$E9)</f>
        <v>-</v>
      </c>
      <c r="G9" s="72" t="str">
        <f>INDEX('DEFAULT DATA'!$DQ$9:$DW$41,G$1,$E9)</f>
        <v>-</v>
      </c>
      <c r="H9" s="72" t="str">
        <f>INDEX('DEFAULT DATA'!$DQ$9:$DW$41,H$1,$E9)</f>
        <v>-</v>
      </c>
      <c r="I9" s="72" t="str">
        <f>INDEX('DEFAULT DATA'!$DQ$9:$DW$41,I$1,$E9)</f>
        <v>-</v>
      </c>
      <c r="J9" s="72" t="str">
        <f>INDEX('DEFAULT DATA'!$DQ$9:$DW$41,J$1,$E9)</f>
        <v>-</v>
      </c>
      <c r="K9" s="72" t="str">
        <f>INDEX('DEFAULT DATA'!$DQ$9:$DW$41,K$1,$E9)</f>
        <v>-</v>
      </c>
      <c r="L9" s="72" t="str">
        <f>INDEX('DEFAULT DATA'!$DQ$9:$DW$41,L$1,$E9)</f>
        <v>-</v>
      </c>
      <c r="M9" s="72" t="str">
        <f>INDEX('DEFAULT DATA'!$DQ$9:$DW$41,M$1,$E9)</f>
        <v>-</v>
      </c>
      <c r="N9" s="72" t="str">
        <f>INDEX('DEFAULT DATA'!$DQ$9:$DW$41,N$1,$E9)</f>
        <v>-</v>
      </c>
      <c r="O9" s="72" t="str">
        <f>INDEX('DEFAULT DATA'!$DQ$9:$DW$41,O$1,$E9)</f>
        <v>-</v>
      </c>
      <c r="P9" s="72" t="str">
        <f>INDEX('DEFAULT DATA'!$DQ$9:$DW$41,P$1,$E9)</f>
        <v>-</v>
      </c>
      <c r="Q9" s="72" t="str">
        <f>INDEX('DEFAULT DATA'!$DQ$9:$DW$41,Q$1,$E9)</f>
        <v>-</v>
      </c>
      <c r="R9" s="72" t="str">
        <f>INDEX('DEFAULT DATA'!$DQ$9:$DW$41,R$1,$E9)</f>
        <v>-</v>
      </c>
      <c r="S9" s="72" t="str">
        <f>INDEX('DEFAULT DATA'!$DQ$9:$DW$41,S$1,$E9)</f>
        <v>-</v>
      </c>
      <c r="T9" s="72" t="str">
        <f>INDEX('DEFAULT DATA'!$DQ$9:$DW$41,T$1,$E9)</f>
        <v>-</v>
      </c>
      <c r="U9" s="72" t="str">
        <f>INDEX('DEFAULT DATA'!$DQ$9:$DW$41,U$1,$E9)</f>
        <v>Turin</v>
      </c>
      <c r="V9" s="72" t="str">
        <f>INDEX('DEFAULT DATA'!$DQ$9:$DW$41,V$1,$E9)</f>
        <v>-</v>
      </c>
      <c r="W9" s="72" t="str">
        <f>INDEX('DEFAULT DATA'!$DQ$9:$DW$41,W$1,$E9)</f>
        <v>-</v>
      </c>
      <c r="X9" s="72" t="str">
        <f>INDEX('DEFAULT DATA'!$DQ$9:$DW$41,X$1,$E9)</f>
        <v>-</v>
      </c>
      <c r="Y9" s="72" t="str">
        <f>INDEX('DEFAULT DATA'!$DQ$9:$DW$41,Y$1,$E9)</f>
        <v>-</v>
      </c>
      <c r="Z9" s="72" t="str">
        <f>INDEX('DEFAULT DATA'!$DQ$9:$DW$41,Z$1,$E9)</f>
        <v>-</v>
      </c>
      <c r="AA9" s="72" t="str">
        <f>INDEX('DEFAULT DATA'!$DQ$9:$DW$41,AA$1,$E9)</f>
        <v>-</v>
      </c>
      <c r="AB9" s="72" t="str">
        <f>INDEX('DEFAULT DATA'!$DQ$9:$DW$41,AB$1,$E9)</f>
        <v>-</v>
      </c>
      <c r="AC9" s="72" t="str">
        <f>INDEX('DEFAULT DATA'!$DQ$9:$DW$41,AC$1,$E9)</f>
        <v>-</v>
      </c>
      <c r="AD9" s="72" t="str">
        <f>INDEX('DEFAULT DATA'!$DQ$9:$DW$41,AD$1,$E9)</f>
        <v>-</v>
      </c>
      <c r="AE9" s="72" t="str">
        <f>INDEX('DEFAULT DATA'!$DQ$9:$DW$41,AE$1,$E9)</f>
        <v>-</v>
      </c>
      <c r="AF9" s="72" t="str">
        <f>INDEX('DEFAULT DATA'!$DQ$9:$DW$41,AF$1,$E9)</f>
        <v>-</v>
      </c>
      <c r="AG9" s="72" t="str">
        <f>INDEX('DEFAULT DATA'!$DQ$9:$DW$41,AG$1,$E9)</f>
        <v>-</v>
      </c>
      <c r="AH9" s="72" t="str">
        <f>INDEX('DEFAULT DATA'!$DQ$9:$DW$41,AH$1,$E9)</f>
        <v>-</v>
      </c>
      <c r="AI9" s="72" t="str">
        <f>INDEX('DEFAULT DATA'!$DQ$9:$DW$41,AI$1,$E9)</f>
        <v>-</v>
      </c>
      <c r="AJ9" s="72" t="str">
        <f>INDEX('DEFAULT DATA'!$DQ$9:$DW$41,AJ$1,$E9)</f>
        <v>-</v>
      </c>
      <c r="AK9" s="72" t="str">
        <f>INDEX('DEFAULT DATA'!$DQ$9:$DW$41,AK$1,$E9)</f>
        <v>-</v>
      </c>
      <c r="AL9" s="72" t="str">
        <f>INDEX('DEFAULT DATA'!$DQ$9:$DW$41,AL$1,$E9)</f>
        <v/>
      </c>
    </row>
    <row r="10" spans="1:40">
      <c r="A10" s="110">
        <f t="shared" si="1"/>
        <v>2031</v>
      </c>
      <c r="B10" s="66" t="str">
        <f>INDEX('DEFAULT DATA'!$MA$9:$MD$41,START!$C$3,2)</f>
        <v>low intensity</v>
      </c>
      <c r="C10" s="980">
        <f>INDEX('DEFAULT DATA'!$MI$9:$ML$41,START!$C$3,2)</f>
        <v>0.75</v>
      </c>
      <c r="F10" s="73"/>
      <c r="G10" s="73"/>
      <c r="H10" s="74"/>
      <c r="I10" s="74"/>
      <c r="J10" s="74"/>
      <c r="K10" s="74"/>
      <c r="L10" s="74"/>
      <c r="M10" s="74"/>
      <c r="N10" s="74"/>
      <c r="O10" s="73"/>
      <c r="P10" s="74"/>
      <c r="Q10" s="74"/>
      <c r="R10" s="74"/>
      <c r="S10" s="74"/>
      <c r="T10" s="74"/>
      <c r="U10" s="73"/>
      <c r="V10" s="74"/>
      <c r="W10" s="74"/>
      <c r="X10" s="74"/>
      <c r="Y10" s="74"/>
      <c r="Z10" s="74"/>
      <c r="AA10" s="74"/>
      <c r="AB10" s="74"/>
      <c r="AC10" s="74"/>
      <c r="AD10" s="74"/>
      <c r="AE10" s="74"/>
      <c r="AF10" s="74"/>
      <c r="AG10" s="74"/>
      <c r="AH10" s="74"/>
      <c r="AI10" s="74"/>
      <c r="AJ10" s="74"/>
      <c r="AK10" s="74"/>
    </row>
    <row r="11" spans="1:40">
      <c r="A11" s="110">
        <f t="shared" si="1"/>
        <v>2032</v>
      </c>
      <c r="B11" s="66" t="str">
        <f>INDEX('DEFAULT DATA'!$MA$9:$MD$41,START!$C$3,3)</f>
        <v>average intensity</v>
      </c>
      <c r="C11" s="980">
        <f>INDEX('DEFAULT DATA'!$MI$9:$ML$41,START!$C$3,3)</f>
        <v>1</v>
      </c>
      <c r="F11" s="110">
        <v>1</v>
      </c>
      <c r="G11" s="110">
        <f>F11+1</f>
        <v>2</v>
      </c>
      <c r="H11" s="110">
        <f t="shared" ref="H11:AK11" si="2">G11+1</f>
        <v>3</v>
      </c>
      <c r="I11" s="110">
        <f t="shared" si="2"/>
        <v>4</v>
      </c>
      <c r="J11" s="110">
        <f t="shared" si="2"/>
        <v>5</v>
      </c>
      <c r="K11" s="110">
        <f t="shared" si="2"/>
        <v>6</v>
      </c>
      <c r="L11" s="110">
        <f t="shared" si="2"/>
        <v>7</v>
      </c>
      <c r="M11" s="110">
        <f t="shared" si="2"/>
        <v>8</v>
      </c>
      <c r="N11" s="110">
        <f t="shared" si="2"/>
        <v>9</v>
      </c>
      <c r="O11" s="110">
        <f t="shared" si="2"/>
        <v>10</v>
      </c>
      <c r="P11" s="110">
        <f t="shared" si="2"/>
        <v>11</v>
      </c>
      <c r="Q11" s="110">
        <f t="shared" si="2"/>
        <v>12</v>
      </c>
      <c r="R11" s="110">
        <f t="shared" si="2"/>
        <v>13</v>
      </c>
      <c r="S11" s="110">
        <f t="shared" si="2"/>
        <v>14</v>
      </c>
      <c r="T11" s="110">
        <f t="shared" si="2"/>
        <v>15</v>
      </c>
      <c r="U11" s="110">
        <f t="shared" si="2"/>
        <v>16</v>
      </c>
      <c r="V11" s="110">
        <f t="shared" si="2"/>
        <v>17</v>
      </c>
      <c r="W11" s="110">
        <f t="shared" si="2"/>
        <v>18</v>
      </c>
      <c r="X11" s="110">
        <f t="shared" si="2"/>
        <v>19</v>
      </c>
      <c r="Y11" s="110">
        <f t="shared" si="2"/>
        <v>20</v>
      </c>
      <c r="Z11" s="110">
        <f t="shared" si="2"/>
        <v>21</v>
      </c>
      <c r="AA11" s="110">
        <f t="shared" si="2"/>
        <v>22</v>
      </c>
      <c r="AB11" s="110">
        <f t="shared" si="2"/>
        <v>23</v>
      </c>
      <c r="AC11" s="110">
        <f t="shared" si="2"/>
        <v>24</v>
      </c>
      <c r="AD11" s="110">
        <f t="shared" si="2"/>
        <v>25</v>
      </c>
      <c r="AE11" s="110">
        <f t="shared" si="2"/>
        <v>26</v>
      </c>
      <c r="AF11" s="110">
        <f t="shared" si="2"/>
        <v>27</v>
      </c>
      <c r="AG11" s="110">
        <f t="shared" si="2"/>
        <v>28</v>
      </c>
      <c r="AH11" s="110">
        <f t="shared" si="2"/>
        <v>29</v>
      </c>
      <c r="AI11" s="110">
        <f t="shared" si="2"/>
        <v>30</v>
      </c>
      <c r="AJ11" s="110">
        <f t="shared" si="2"/>
        <v>31</v>
      </c>
      <c r="AK11" s="110">
        <f t="shared" si="2"/>
        <v>32</v>
      </c>
      <c r="AL11" s="110">
        <v>33</v>
      </c>
    </row>
    <row r="12" spans="1:40">
      <c r="A12" s="110">
        <f t="shared" si="1"/>
        <v>2033</v>
      </c>
      <c r="B12" s="66" t="str">
        <f>INDEX('DEFAULT DATA'!$MA$9:$MD$41,START!$C$3,4)</f>
        <v>high intensity</v>
      </c>
      <c r="C12" s="980">
        <f>INDEX('DEFAULT DATA'!$MI$9:$ML$41,START!$C$3,4)</f>
        <v>2</v>
      </c>
      <c r="F12" s="72" t="s">
        <v>1</v>
      </c>
      <c r="G12" s="72" t="s">
        <v>2</v>
      </c>
      <c r="H12" s="72" t="s">
        <v>3</v>
      </c>
      <c r="I12" s="72" t="s">
        <v>12</v>
      </c>
      <c r="J12" s="72" t="s">
        <v>4</v>
      </c>
      <c r="K12" s="72" t="s">
        <v>5</v>
      </c>
      <c r="L12" s="72" t="s">
        <v>6</v>
      </c>
      <c r="M12" s="72" t="s">
        <v>7</v>
      </c>
      <c r="N12" s="72" t="s">
        <v>0</v>
      </c>
      <c r="O12" s="72" t="s">
        <v>9</v>
      </c>
      <c r="P12" s="72" t="s">
        <v>27</v>
      </c>
      <c r="Q12" s="75" t="s">
        <v>10</v>
      </c>
      <c r="R12" s="72" t="s">
        <v>11</v>
      </c>
      <c r="S12" s="72" t="s">
        <v>29</v>
      </c>
      <c r="T12" s="72" t="s">
        <v>13</v>
      </c>
      <c r="U12" s="72" t="s">
        <v>14</v>
      </c>
      <c r="V12" s="72" t="s">
        <v>17</v>
      </c>
      <c r="W12" s="72" t="s">
        <v>32</v>
      </c>
      <c r="X12" s="72" t="s">
        <v>15</v>
      </c>
      <c r="Y12" s="72" t="s">
        <v>16</v>
      </c>
      <c r="Z12" s="72" t="s">
        <v>18</v>
      </c>
      <c r="AA12" s="72" t="s">
        <v>19</v>
      </c>
      <c r="AB12" s="72" t="s">
        <v>26</v>
      </c>
      <c r="AC12" s="72" t="s">
        <v>20</v>
      </c>
      <c r="AD12" s="72" t="s">
        <v>21</v>
      </c>
      <c r="AE12" s="72" t="s">
        <v>22</v>
      </c>
      <c r="AF12" s="72" t="s">
        <v>25</v>
      </c>
      <c r="AG12" s="72" t="s">
        <v>24</v>
      </c>
      <c r="AH12" s="72" t="s">
        <v>8</v>
      </c>
      <c r="AI12" s="72" t="s">
        <v>23</v>
      </c>
      <c r="AJ12" s="72" t="s">
        <v>30</v>
      </c>
      <c r="AK12" s="72" t="s">
        <v>28</v>
      </c>
      <c r="AL12" s="62" t="s">
        <v>3064</v>
      </c>
    </row>
    <row r="13" spans="1:40">
      <c r="A13" s="110">
        <f t="shared" si="1"/>
        <v>2034</v>
      </c>
      <c r="B13" s="978" t="s">
        <v>907</v>
      </c>
      <c r="C13" s="66"/>
      <c r="E13" s="675">
        <v>1</v>
      </c>
      <c r="F13" s="75">
        <f>INDEX('DEFAULT DATA'!$DX$9:$ED$41,F$11,$E13)</f>
        <v>3595.9771470241367</v>
      </c>
      <c r="G13" s="75">
        <f>INDEX('DEFAULT DATA'!$DX$9:$ED$41,G$11,$E13)</f>
        <v>698.21836923315277</v>
      </c>
      <c r="H13" s="75">
        <f>INDEX('DEFAULT DATA'!$DX$9:$ED$41,H$11,$E13)</f>
        <v>542.5</v>
      </c>
      <c r="I13" s="75">
        <f>INDEX('DEFAULT DATA'!$DX$9:$ED$41,I$11,$E13)</f>
        <v>0</v>
      </c>
      <c r="J13" s="75">
        <f>INDEX('DEFAULT DATA'!$DX$9:$ED$41,J$11,$E13)</f>
        <v>0</v>
      </c>
      <c r="K13" s="75">
        <f>INDEX('DEFAULT DATA'!$DX$9:$ED$41,K$11,$E13)</f>
        <v>5367.4</v>
      </c>
      <c r="L13" s="75">
        <f>INDEX('DEFAULT DATA'!$DX$9:$ED$41,L$11,$E13)</f>
        <v>176</v>
      </c>
      <c r="M13" s="75">
        <f>INDEX('DEFAULT DATA'!$DX$9:$ED$41,M$11,$E13)</f>
        <v>0</v>
      </c>
      <c r="N13" s="75">
        <f>INDEX('DEFAULT DATA'!$DX$9:$ED$41,N$11,$E13)</f>
        <v>327.36064891846928</v>
      </c>
      <c r="O13" s="75">
        <f>INDEX('DEFAULT DATA'!$DX$9:$ED$41,O$11,$E13)</f>
        <v>599.12359428473121</v>
      </c>
      <c r="P13" s="75">
        <f>INDEX('DEFAULT DATA'!$DX$9:$ED$41,P$11,$E13)</f>
        <v>3569.1233646032856</v>
      </c>
      <c r="Q13" s="75">
        <f>INDEX('DEFAULT DATA'!$DX$9:$ED$41,Q$11,$E13)</f>
        <v>844.27409026493683</v>
      </c>
      <c r="R13" s="75">
        <f>INDEX('DEFAULT DATA'!$DX$9:$ED$41,R$11,$E13)</f>
        <v>1353.85</v>
      </c>
      <c r="S13" s="75">
        <f>INDEX('DEFAULT DATA'!$DX$9:$ED$41,S$11,$E13)</f>
        <v>0</v>
      </c>
      <c r="T13" s="75">
        <f>INDEX('DEFAULT DATA'!$DX$9:$ED$41,T$11,$E13)</f>
        <v>0</v>
      </c>
      <c r="U13" s="75">
        <f>INDEX('DEFAULT DATA'!$DX$9:$ED$41,U$11,$E13)</f>
        <v>144.57072932062391</v>
      </c>
      <c r="V13" s="75">
        <f>INDEX('DEFAULT DATA'!$DX$9:$ED$41,V$11,$E13)</f>
        <v>0</v>
      </c>
      <c r="W13" s="75">
        <f>INDEX('DEFAULT DATA'!$DX$9:$ED$41,W$11,$E13)</f>
        <v>0</v>
      </c>
      <c r="X13" s="75">
        <f>INDEX('DEFAULT DATA'!$DX$9:$ED$41,X$11,$E13)</f>
        <v>0</v>
      </c>
      <c r="Y13" s="75">
        <f>INDEX('DEFAULT DATA'!$DX$9:$ED$41,Y$11,$E13)</f>
        <v>0</v>
      </c>
      <c r="Z13" s="75">
        <f>INDEX('DEFAULT DATA'!$DX$9:$ED$41,Z$11,$E13)</f>
        <v>0</v>
      </c>
      <c r="AA13" s="75">
        <f>INDEX('DEFAULT DATA'!$DX$9:$ED$41,AA$11,$E13)</f>
        <v>213.35139051807917</v>
      </c>
      <c r="AB13" s="75">
        <f>INDEX('DEFAULT DATA'!$DX$9:$ED$41,AB$11,$E13)</f>
        <v>498</v>
      </c>
      <c r="AC13" s="75">
        <f>INDEX('DEFAULT DATA'!$DX$9:$ED$41,AC$11,$E13)</f>
        <v>2176.1373675649024</v>
      </c>
      <c r="AD13" s="75">
        <f>INDEX('DEFAULT DATA'!$DX$9:$ED$41,AD$11,$E13)</f>
        <v>588</v>
      </c>
      <c r="AE13" s="75">
        <f>INDEX('DEFAULT DATA'!$DX$9:$ED$41,AE$11,$E13)</f>
        <v>4352.421788839999</v>
      </c>
      <c r="AF13" s="75">
        <f>INDEX('DEFAULT DATA'!$DX$9:$ED$41,AF$11,$E13)</f>
        <v>0</v>
      </c>
      <c r="AG13" s="75">
        <f>INDEX('DEFAULT DATA'!$DX$9:$ED$41,AG$11,$E13)</f>
        <v>0</v>
      </c>
      <c r="AH13" s="75">
        <f>INDEX('DEFAULT DATA'!$DX$9:$ED$41,AH$11,$E13)</f>
        <v>1306.7162288072805</v>
      </c>
      <c r="AI13" s="75">
        <f>INDEX('DEFAULT DATA'!$DX$9:$ED$41,AI$11,$E13)</f>
        <v>1368.5</v>
      </c>
      <c r="AJ13" s="75">
        <f>INDEX('DEFAULT DATA'!$DX$9:$ED$41,AJ$11,$E13)</f>
        <v>587.5</v>
      </c>
      <c r="AK13" s="75">
        <f>INDEX('DEFAULT DATA'!$DX$9:$ED$41,AK$11,$E13)</f>
        <v>38.52849315068493</v>
      </c>
      <c r="AL13" s="75" t="str">
        <f>INDEX('DEFAULT DATA'!$DX$9:$ED$41,AL$11,$E13)</f>
        <v/>
      </c>
    </row>
    <row r="14" spans="1:40">
      <c r="A14" s="110">
        <f t="shared" si="1"/>
        <v>2035</v>
      </c>
      <c r="B14" s="66" t="str">
        <f>INDEX('DEFAULT DATA'!$MA$9:$MD$41,START!$C$3,1)</f>
        <v>none</v>
      </c>
      <c r="C14" s="980">
        <f>INDEX('DEFAULT DATA'!$MM$9:$MP$41,START!$C$3,1)</f>
        <v>0</v>
      </c>
      <c r="E14" s="675">
        <v>2</v>
      </c>
      <c r="F14" s="75">
        <f>INDEX('DEFAULT DATA'!$DX$9:$ED$41,F$11,$E14)</f>
        <v>0</v>
      </c>
      <c r="G14" s="75">
        <f>INDEX('DEFAULT DATA'!$DX$9:$ED$41,G$11,$E14)</f>
        <v>0</v>
      </c>
      <c r="H14" s="75">
        <f>INDEX('DEFAULT DATA'!$DX$9:$ED$41,H$11,$E14)</f>
        <v>0</v>
      </c>
      <c r="I14" s="75">
        <f>INDEX('DEFAULT DATA'!$DX$9:$ED$41,I$11,$E14)</f>
        <v>0</v>
      </c>
      <c r="J14" s="75">
        <f>INDEX('DEFAULT DATA'!$DX$9:$ED$41,J$11,$E14)</f>
        <v>0</v>
      </c>
      <c r="K14" s="75">
        <f>INDEX('DEFAULT DATA'!$DX$9:$ED$41,K$11,$E14)</f>
        <v>0</v>
      </c>
      <c r="L14" s="75">
        <f>INDEX('DEFAULT DATA'!$DX$9:$ED$41,L$11,$E14)</f>
        <v>0</v>
      </c>
      <c r="M14" s="75">
        <f>INDEX('DEFAULT DATA'!$DX$9:$ED$41,M$11,$E14)</f>
        <v>0</v>
      </c>
      <c r="N14" s="75">
        <f>INDEX('DEFAULT DATA'!$DX$9:$ED$41,N$11,$E14)</f>
        <v>0</v>
      </c>
      <c r="O14" s="75">
        <f>INDEX('DEFAULT DATA'!$DX$9:$ED$41,O$11,$E14)</f>
        <v>687.01418028951286</v>
      </c>
      <c r="P14" s="75">
        <f>INDEX('DEFAULT DATA'!$DX$9:$ED$41,P$11,$E14)</f>
        <v>1993.8119039825283</v>
      </c>
      <c r="Q14" s="75">
        <f>INDEX('DEFAULT DATA'!$DX$9:$ED$41,Q$11,$E14)</f>
        <v>0</v>
      </c>
      <c r="R14" s="75">
        <f>INDEX('DEFAULT DATA'!$DX$9:$ED$41,R$11,$E14)</f>
        <v>0</v>
      </c>
      <c r="S14" s="75">
        <f>INDEX('DEFAULT DATA'!$DX$9:$ED$41,S$11,$E14)</f>
        <v>0</v>
      </c>
      <c r="T14" s="75">
        <f>INDEX('DEFAULT DATA'!$DX$9:$ED$41,T$11,$E14)</f>
        <v>0</v>
      </c>
      <c r="U14" s="75">
        <f>INDEX('DEFAULT DATA'!$DX$9:$ED$41,U$11,$E14)</f>
        <v>80.021714619943978</v>
      </c>
      <c r="V14" s="75">
        <f>INDEX('DEFAULT DATA'!$DX$9:$ED$41,V$11,$E14)</f>
        <v>0</v>
      </c>
      <c r="W14" s="75">
        <f>INDEX('DEFAULT DATA'!$DX$9:$ED$41,W$11,$E14)</f>
        <v>0</v>
      </c>
      <c r="X14" s="75">
        <f>INDEX('DEFAULT DATA'!$DX$9:$ED$41,X$11,$E14)</f>
        <v>0</v>
      </c>
      <c r="Y14" s="75">
        <f>INDEX('DEFAULT DATA'!$DX$9:$ED$41,Y$11,$E14)</f>
        <v>0</v>
      </c>
      <c r="Z14" s="75">
        <f>INDEX('DEFAULT DATA'!$DX$9:$ED$41,Z$11,$E14)</f>
        <v>0</v>
      </c>
      <c r="AA14" s="75">
        <f>INDEX('DEFAULT DATA'!$DX$9:$ED$41,AA$11,$E14)</f>
        <v>307.1486094819208</v>
      </c>
      <c r="AB14" s="75">
        <f>INDEX('DEFAULT DATA'!$DX$9:$ED$41,AB$11,$E14)</f>
        <v>0</v>
      </c>
      <c r="AC14" s="75">
        <f>INDEX('DEFAULT DATA'!$DX$9:$ED$41,AC$11,$E14)</f>
        <v>0</v>
      </c>
      <c r="AD14" s="75">
        <f>INDEX('DEFAULT DATA'!$DX$9:$ED$41,AD$11,$E14)</f>
        <v>0</v>
      </c>
      <c r="AE14" s="75">
        <f>INDEX('DEFAULT DATA'!$DX$9:$ED$41,AE$11,$E14)</f>
        <v>0</v>
      </c>
      <c r="AF14" s="75">
        <f>INDEX('DEFAULT DATA'!$DX$9:$ED$41,AF$11,$E14)</f>
        <v>0</v>
      </c>
      <c r="AG14" s="75">
        <f>INDEX('DEFAULT DATA'!$DX$9:$ED$41,AG$11,$E14)</f>
        <v>0</v>
      </c>
      <c r="AH14" s="75">
        <f>INDEX('DEFAULT DATA'!$DX$9:$ED$41,AH$11,$E14)</f>
        <v>519.05714372327691</v>
      </c>
      <c r="AI14" s="75">
        <f>INDEX('DEFAULT DATA'!$DX$9:$ED$41,AI$11,$E14)</f>
        <v>0</v>
      </c>
      <c r="AJ14" s="75">
        <f>INDEX('DEFAULT DATA'!$DX$9:$ED$41,AJ$11,$E14)</f>
        <v>0</v>
      </c>
      <c r="AK14" s="75">
        <f>INDEX('DEFAULT DATA'!$DX$9:$ED$41,AK$11,$E14)</f>
        <v>6992.921506849314</v>
      </c>
      <c r="AL14" s="75" t="str">
        <f>INDEX('DEFAULT DATA'!$DX$9:$ED$41,AL$11,$E14)</f>
        <v/>
      </c>
    </row>
    <row r="15" spans="1:40">
      <c r="A15" s="110">
        <f t="shared" si="1"/>
        <v>2036</v>
      </c>
      <c r="B15" s="66" t="str">
        <f>INDEX('DEFAULT DATA'!$MA$9:$MD$41,START!$C$3,2)</f>
        <v>low intensity</v>
      </c>
      <c r="C15" s="980">
        <f>INDEX('DEFAULT DATA'!$MM$9:$MP$41,START!$C$3,2)</f>
        <v>0.5</v>
      </c>
      <c r="E15" s="675">
        <v>3</v>
      </c>
      <c r="F15" s="75">
        <f>INDEX('DEFAULT DATA'!$DX$9:$ED$41,F$11,$E15)</f>
        <v>0</v>
      </c>
      <c r="G15" s="75">
        <f>INDEX('DEFAULT DATA'!$DX$9:$ED$41,G$11,$E15)</f>
        <v>0</v>
      </c>
      <c r="H15" s="75">
        <f>INDEX('DEFAULT DATA'!$DX$9:$ED$41,H$11,$E15)</f>
        <v>0</v>
      </c>
      <c r="I15" s="75">
        <f>INDEX('DEFAULT DATA'!$DX$9:$ED$41,I$11,$E15)</f>
        <v>0</v>
      </c>
      <c r="J15" s="75">
        <f>INDEX('DEFAULT DATA'!$DX$9:$ED$41,J$11,$E15)</f>
        <v>0</v>
      </c>
      <c r="K15" s="75">
        <f>INDEX('DEFAULT DATA'!$DX$9:$ED$41,K$11,$E15)</f>
        <v>0</v>
      </c>
      <c r="L15" s="75">
        <f>INDEX('DEFAULT DATA'!$DX$9:$ED$41,L$11,$E15)</f>
        <v>0</v>
      </c>
      <c r="M15" s="75">
        <f>INDEX('DEFAULT DATA'!$DX$9:$ED$41,M$11,$E15)</f>
        <v>0</v>
      </c>
      <c r="N15" s="75">
        <f>INDEX('DEFAULT DATA'!$DX$9:$ED$41,N$11,$E15)</f>
        <v>0</v>
      </c>
      <c r="O15" s="75">
        <f>INDEX('DEFAULT DATA'!$DX$9:$ED$41,O$11,$E15)</f>
        <v>323.9910154637542</v>
      </c>
      <c r="P15" s="75">
        <f>INDEX('DEFAULT DATA'!$DX$9:$ED$41,P$11,$E15)</f>
        <v>2439.5272931957988</v>
      </c>
      <c r="Q15" s="75">
        <f>INDEX('DEFAULT DATA'!$DX$9:$ED$41,Q$11,$E15)</f>
        <v>0</v>
      </c>
      <c r="R15" s="75">
        <f>INDEX('DEFAULT DATA'!$DX$9:$ED$41,R$11,$E15)</f>
        <v>0</v>
      </c>
      <c r="S15" s="75">
        <f>INDEX('DEFAULT DATA'!$DX$9:$ED$41,S$11,$E15)</f>
        <v>0</v>
      </c>
      <c r="T15" s="75">
        <f>INDEX('DEFAULT DATA'!$DX$9:$ED$41,T$11,$E15)</f>
        <v>0</v>
      </c>
      <c r="U15" s="75">
        <f>INDEX('DEFAULT DATA'!$DX$9:$ED$41,U$11,$E15)</f>
        <v>86.51835265463005</v>
      </c>
      <c r="V15" s="75">
        <f>INDEX('DEFAULT DATA'!$DX$9:$ED$41,V$11,$E15)</f>
        <v>0</v>
      </c>
      <c r="W15" s="75">
        <f>INDEX('DEFAULT DATA'!$DX$9:$ED$41,W$11,$E15)</f>
        <v>0</v>
      </c>
      <c r="X15" s="75">
        <f>INDEX('DEFAULT DATA'!$DX$9:$ED$41,X$11,$E15)</f>
        <v>0</v>
      </c>
      <c r="Y15" s="75">
        <f>INDEX('DEFAULT DATA'!$DX$9:$ED$41,Y$11,$E15)</f>
        <v>0</v>
      </c>
      <c r="Z15" s="75">
        <f>INDEX('DEFAULT DATA'!$DX$9:$ED$41,Z$11,$E15)</f>
        <v>0</v>
      </c>
      <c r="AA15" s="75">
        <f>INDEX('DEFAULT DATA'!$DX$9:$ED$41,AA$11,$E15)</f>
        <v>0</v>
      </c>
      <c r="AB15" s="75">
        <f>INDEX('DEFAULT DATA'!$DX$9:$ED$41,AB$11,$E15)</f>
        <v>0</v>
      </c>
      <c r="AC15" s="75">
        <f>INDEX('DEFAULT DATA'!$DX$9:$ED$41,AC$11,$E15)</f>
        <v>0</v>
      </c>
      <c r="AD15" s="75">
        <f>INDEX('DEFAULT DATA'!$DX$9:$ED$41,AD$11,$E15)</f>
        <v>0</v>
      </c>
      <c r="AE15" s="75">
        <f>INDEX('DEFAULT DATA'!$DX$9:$ED$41,AE$11,$E15)</f>
        <v>0</v>
      </c>
      <c r="AF15" s="75">
        <f>INDEX('DEFAULT DATA'!$DX$9:$ED$41,AF$11,$E15)</f>
        <v>0</v>
      </c>
      <c r="AG15" s="75">
        <f>INDEX('DEFAULT DATA'!$DX$9:$ED$41,AG$11,$E15)</f>
        <v>0</v>
      </c>
      <c r="AH15" s="75">
        <f>INDEX('DEFAULT DATA'!$DX$9:$ED$41,AH$11,$E15)</f>
        <v>2538.7266274694425</v>
      </c>
      <c r="AI15" s="75">
        <f>INDEX('DEFAULT DATA'!$DX$9:$ED$41,AI$11,$E15)</f>
        <v>0</v>
      </c>
      <c r="AJ15" s="75">
        <f>INDEX('DEFAULT DATA'!$DX$9:$ED$41,AJ$11,$E15)</f>
        <v>0</v>
      </c>
      <c r="AK15" s="75">
        <f>INDEX('DEFAULT DATA'!$DX$9:$ED$41,AK$11,$E15)</f>
        <v>0</v>
      </c>
      <c r="AL15" s="75" t="str">
        <f>INDEX('DEFAULT DATA'!$DX$9:$ED$41,AL$11,$E15)</f>
        <v/>
      </c>
    </row>
    <row r="16" spans="1:40">
      <c r="A16" s="110">
        <f t="shared" si="1"/>
        <v>2037</v>
      </c>
      <c r="B16" s="66" t="str">
        <f>INDEX('DEFAULT DATA'!$MA$9:$MD$41,START!$C$3,3)</f>
        <v>average intensity</v>
      </c>
      <c r="C16" s="980">
        <f>INDEX('DEFAULT DATA'!$MM$9:$MP$41,START!$C$3,3)</f>
        <v>1</v>
      </c>
      <c r="E16" s="675">
        <v>4</v>
      </c>
      <c r="F16" s="75">
        <f>INDEX('DEFAULT DATA'!$DX$9:$ED$41,F$11,$E16)</f>
        <v>0</v>
      </c>
      <c r="G16" s="75">
        <f>INDEX('DEFAULT DATA'!$DX$9:$ED$41,G$11,$E16)</f>
        <v>0</v>
      </c>
      <c r="H16" s="75">
        <f>INDEX('DEFAULT DATA'!$DX$9:$ED$41,H$11,$E16)</f>
        <v>0</v>
      </c>
      <c r="I16" s="75">
        <f>INDEX('DEFAULT DATA'!$DX$9:$ED$41,I$11,$E16)</f>
        <v>0</v>
      </c>
      <c r="J16" s="75">
        <f>INDEX('DEFAULT DATA'!$DX$9:$ED$41,J$11,$E16)</f>
        <v>0</v>
      </c>
      <c r="K16" s="75">
        <f>INDEX('DEFAULT DATA'!$DX$9:$ED$41,K$11,$E16)</f>
        <v>0</v>
      </c>
      <c r="L16" s="75">
        <f>INDEX('DEFAULT DATA'!$DX$9:$ED$41,L$11,$E16)</f>
        <v>0</v>
      </c>
      <c r="M16" s="75">
        <f>INDEX('DEFAULT DATA'!$DX$9:$ED$41,M$11,$E16)</f>
        <v>0</v>
      </c>
      <c r="N16" s="75">
        <f>INDEX('DEFAULT DATA'!$DX$9:$ED$41,N$11,$E16)</f>
        <v>0</v>
      </c>
      <c r="O16" s="75">
        <f>INDEX('DEFAULT DATA'!$DX$9:$ED$41,O$11,$E16)</f>
        <v>3190.1049666385361</v>
      </c>
      <c r="P16" s="75">
        <f>INDEX('DEFAULT DATA'!$DX$9:$ED$41,P$11,$E16)</f>
        <v>797.53743821838771</v>
      </c>
      <c r="Q16" s="75">
        <f>INDEX('DEFAULT DATA'!$DX$9:$ED$41,Q$11,$E16)</f>
        <v>0</v>
      </c>
      <c r="R16" s="75">
        <f>INDEX('DEFAULT DATA'!$DX$9:$ED$41,R$11,$E16)</f>
        <v>0</v>
      </c>
      <c r="S16" s="75">
        <f>INDEX('DEFAULT DATA'!$DX$9:$ED$41,S$11,$E16)</f>
        <v>0</v>
      </c>
      <c r="T16" s="75">
        <f>INDEX('DEFAULT DATA'!$DX$9:$ED$41,T$11,$E16)</f>
        <v>0</v>
      </c>
      <c r="U16" s="75">
        <f>INDEX('DEFAULT DATA'!$DX$9:$ED$41,U$11,$E16)</f>
        <v>1547.9680224671793</v>
      </c>
      <c r="V16" s="75">
        <f>INDEX('DEFAULT DATA'!$DX$9:$ED$41,V$11,$E16)</f>
        <v>0</v>
      </c>
      <c r="W16" s="75">
        <f>INDEX('DEFAULT DATA'!$DX$9:$ED$41,W$11,$E16)</f>
        <v>0</v>
      </c>
      <c r="X16" s="75">
        <f>INDEX('DEFAULT DATA'!$DX$9:$ED$41,X$11,$E16)</f>
        <v>0</v>
      </c>
      <c r="Y16" s="75">
        <f>INDEX('DEFAULT DATA'!$DX$9:$ED$41,Y$11,$E16)</f>
        <v>0</v>
      </c>
      <c r="Z16" s="75">
        <f>INDEX('DEFAULT DATA'!$DX$9:$ED$41,Z$11,$E16)</f>
        <v>0</v>
      </c>
      <c r="AA16" s="75">
        <f>INDEX('DEFAULT DATA'!$DX$9:$ED$41,AA$11,$E16)</f>
        <v>0</v>
      </c>
      <c r="AB16" s="75">
        <f>INDEX('DEFAULT DATA'!$DX$9:$ED$41,AB$11,$E16)</f>
        <v>0</v>
      </c>
      <c r="AC16" s="75">
        <f>INDEX('DEFAULT DATA'!$DX$9:$ED$41,AC$11,$E16)</f>
        <v>0</v>
      </c>
      <c r="AD16" s="75">
        <f>INDEX('DEFAULT DATA'!$DX$9:$ED$41,AD$11,$E16)</f>
        <v>0</v>
      </c>
      <c r="AE16" s="75">
        <f>INDEX('DEFAULT DATA'!$DX$9:$ED$41,AE$11,$E16)</f>
        <v>0</v>
      </c>
      <c r="AF16" s="75">
        <f>INDEX('DEFAULT DATA'!$DX$9:$ED$41,AF$11,$E16)</f>
        <v>0</v>
      </c>
      <c r="AG16" s="75">
        <f>INDEX('DEFAULT DATA'!$DX$9:$ED$41,AG$11,$E16)</f>
        <v>0</v>
      </c>
      <c r="AH16" s="75">
        <f>INDEX('DEFAULT DATA'!$DX$9:$ED$41,AH$11,$E16)</f>
        <v>0</v>
      </c>
      <c r="AI16" s="75">
        <f>INDEX('DEFAULT DATA'!$DX$9:$ED$41,AI$11,$E16)</f>
        <v>0</v>
      </c>
      <c r="AJ16" s="75">
        <f>INDEX('DEFAULT DATA'!$DX$9:$ED$41,AJ$11,$E16)</f>
        <v>0</v>
      </c>
      <c r="AK16" s="75">
        <f>INDEX('DEFAULT DATA'!$DX$9:$ED$41,AK$11,$E16)</f>
        <v>0</v>
      </c>
      <c r="AL16" s="75" t="str">
        <f>INDEX('DEFAULT DATA'!$DX$9:$ED$41,AL$11,$E16)</f>
        <v/>
      </c>
    </row>
    <row r="17" spans="1:38">
      <c r="A17" s="110">
        <f t="shared" si="1"/>
        <v>2038</v>
      </c>
      <c r="B17" s="66" t="str">
        <f>INDEX('DEFAULT DATA'!$MA$9:$MD$41,START!$C$3,4)</f>
        <v>high intensity</v>
      </c>
      <c r="C17" s="980">
        <f>INDEX('DEFAULT DATA'!$MM$9:$MP$41,START!$C$3,4)</f>
        <v>2</v>
      </c>
      <c r="E17" s="675">
        <v>5</v>
      </c>
      <c r="F17" s="75">
        <f>INDEX('DEFAULT DATA'!$DX$9:$ED$41,F$11,$E17)</f>
        <v>0</v>
      </c>
      <c r="G17" s="75">
        <f>INDEX('DEFAULT DATA'!$DX$9:$ED$41,G$11,$E17)</f>
        <v>0</v>
      </c>
      <c r="H17" s="75">
        <f>INDEX('DEFAULT DATA'!$DX$9:$ED$41,H$11,$E17)</f>
        <v>0</v>
      </c>
      <c r="I17" s="75">
        <f>INDEX('DEFAULT DATA'!$DX$9:$ED$41,I$11,$E17)</f>
        <v>0</v>
      </c>
      <c r="J17" s="75">
        <f>INDEX('DEFAULT DATA'!$DX$9:$ED$41,J$11,$E17)</f>
        <v>0</v>
      </c>
      <c r="K17" s="75">
        <f>INDEX('DEFAULT DATA'!$DX$9:$ED$41,K$11,$E17)</f>
        <v>0</v>
      </c>
      <c r="L17" s="75">
        <f>INDEX('DEFAULT DATA'!$DX$9:$ED$41,L$11,$E17)</f>
        <v>0</v>
      </c>
      <c r="M17" s="75">
        <f>INDEX('DEFAULT DATA'!$DX$9:$ED$41,M$11,$E17)</f>
        <v>0</v>
      </c>
      <c r="N17" s="75">
        <f>INDEX('DEFAULT DATA'!$DX$9:$ED$41,N$11,$E17)</f>
        <v>0</v>
      </c>
      <c r="O17" s="75">
        <f>INDEX('DEFAULT DATA'!$DX$9:$ED$41,O$11,$E17)</f>
        <v>146.52407276967594</v>
      </c>
      <c r="P17" s="75">
        <f>INDEX('DEFAULT DATA'!$DX$9:$ED$41,P$11,$E17)</f>
        <v>0</v>
      </c>
      <c r="Q17" s="75">
        <f>INDEX('DEFAULT DATA'!$DX$9:$ED$41,Q$11,$E17)</f>
        <v>0</v>
      </c>
      <c r="R17" s="75">
        <f>INDEX('DEFAULT DATA'!$DX$9:$ED$41,R$11,$E17)</f>
        <v>0</v>
      </c>
      <c r="S17" s="75">
        <f>INDEX('DEFAULT DATA'!$DX$9:$ED$41,S$11,$E17)</f>
        <v>0</v>
      </c>
      <c r="T17" s="75">
        <f>INDEX('DEFAULT DATA'!$DX$9:$ED$41,T$11,$E17)</f>
        <v>0</v>
      </c>
      <c r="U17" s="75">
        <f>INDEX('DEFAULT DATA'!$DX$9:$ED$41,U$11,$E17)</f>
        <v>243.44746313707105</v>
      </c>
      <c r="V17" s="75">
        <f>INDEX('DEFAULT DATA'!$DX$9:$ED$41,V$11,$E17)</f>
        <v>0</v>
      </c>
      <c r="W17" s="75">
        <f>INDEX('DEFAULT DATA'!$DX$9:$ED$41,W$11,$E17)</f>
        <v>0</v>
      </c>
      <c r="X17" s="75">
        <f>INDEX('DEFAULT DATA'!$DX$9:$ED$41,X$11,$E17)</f>
        <v>0</v>
      </c>
      <c r="Y17" s="75">
        <f>INDEX('DEFAULT DATA'!$DX$9:$ED$41,Y$11,$E17)</f>
        <v>0</v>
      </c>
      <c r="Z17" s="75">
        <f>INDEX('DEFAULT DATA'!$DX$9:$ED$41,Z$11,$E17)</f>
        <v>0</v>
      </c>
      <c r="AA17" s="75">
        <f>INDEX('DEFAULT DATA'!$DX$9:$ED$41,AA$11,$E17)</f>
        <v>0</v>
      </c>
      <c r="AB17" s="75">
        <f>INDEX('DEFAULT DATA'!$DX$9:$ED$41,AB$11,$E17)</f>
        <v>0</v>
      </c>
      <c r="AC17" s="75">
        <f>INDEX('DEFAULT DATA'!$DX$9:$ED$41,AC$11,$E17)</f>
        <v>0</v>
      </c>
      <c r="AD17" s="75">
        <f>INDEX('DEFAULT DATA'!$DX$9:$ED$41,AD$11,$E17)</f>
        <v>0</v>
      </c>
      <c r="AE17" s="75">
        <f>INDEX('DEFAULT DATA'!$DX$9:$ED$41,AE$11,$E17)</f>
        <v>0</v>
      </c>
      <c r="AF17" s="75">
        <f>INDEX('DEFAULT DATA'!$DX$9:$ED$41,AF$11,$E17)</f>
        <v>0</v>
      </c>
      <c r="AG17" s="75">
        <f>INDEX('DEFAULT DATA'!$DX$9:$ED$41,AG$11,$E17)</f>
        <v>0</v>
      </c>
      <c r="AH17" s="75">
        <f>INDEX('DEFAULT DATA'!$DX$9:$ED$41,AH$11,$E17)</f>
        <v>0</v>
      </c>
      <c r="AI17" s="75">
        <f>INDEX('DEFAULT DATA'!$DX$9:$ED$41,AI$11,$E17)</f>
        <v>0</v>
      </c>
      <c r="AJ17" s="75">
        <f>INDEX('DEFAULT DATA'!$DX$9:$ED$41,AJ$11,$E17)</f>
        <v>0</v>
      </c>
      <c r="AK17" s="75">
        <f>INDEX('DEFAULT DATA'!$DX$9:$ED$41,AK$11,$E17)</f>
        <v>0</v>
      </c>
      <c r="AL17" s="75" t="str">
        <f>INDEX('DEFAULT DATA'!$DX$9:$ED$41,AL$11,$E17)</f>
        <v/>
      </c>
    </row>
    <row r="18" spans="1:38">
      <c r="A18" s="110">
        <f t="shared" si="1"/>
        <v>2039</v>
      </c>
      <c r="B18" s="978" t="s">
        <v>908</v>
      </c>
      <c r="C18" s="66"/>
      <c r="E18" s="675">
        <v>6</v>
      </c>
      <c r="F18" s="75">
        <f>INDEX('DEFAULT DATA'!$DX$9:$ED$41,F$11,$E18)</f>
        <v>0</v>
      </c>
      <c r="G18" s="75">
        <f>INDEX('DEFAULT DATA'!$DX$9:$ED$41,G$11,$E18)</f>
        <v>0</v>
      </c>
      <c r="H18" s="75">
        <f>INDEX('DEFAULT DATA'!$DX$9:$ED$41,H$11,$E18)</f>
        <v>0</v>
      </c>
      <c r="I18" s="75">
        <f>INDEX('DEFAULT DATA'!$DX$9:$ED$41,I$11,$E18)</f>
        <v>0</v>
      </c>
      <c r="J18" s="75">
        <f>INDEX('DEFAULT DATA'!$DX$9:$ED$41,J$11,$E18)</f>
        <v>0</v>
      </c>
      <c r="K18" s="75">
        <f>INDEX('DEFAULT DATA'!$DX$9:$ED$41,K$11,$E18)</f>
        <v>0</v>
      </c>
      <c r="L18" s="75">
        <f>INDEX('DEFAULT DATA'!$DX$9:$ED$41,L$11,$E18)</f>
        <v>0</v>
      </c>
      <c r="M18" s="75">
        <f>INDEX('DEFAULT DATA'!$DX$9:$ED$41,M$11,$E18)</f>
        <v>0</v>
      </c>
      <c r="N18" s="75">
        <f>INDEX('DEFAULT DATA'!$DX$9:$ED$41,N$11,$E18)</f>
        <v>0</v>
      </c>
      <c r="O18" s="75">
        <f>INDEX('DEFAULT DATA'!$DX$9:$ED$41,O$11,$E18)</f>
        <v>452.9488657786186</v>
      </c>
      <c r="P18" s="75">
        <f>INDEX('DEFAULT DATA'!$DX$9:$ED$41,P$11,$E18)</f>
        <v>0</v>
      </c>
      <c r="Q18" s="75">
        <f>INDEX('DEFAULT DATA'!$DX$9:$ED$41,Q$11,$E18)</f>
        <v>0</v>
      </c>
      <c r="R18" s="75">
        <f>INDEX('DEFAULT DATA'!$DX$9:$ED$41,R$11,$E18)</f>
        <v>0</v>
      </c>
      <c r="S18" s="75">
        <f>INDEX('DEFAULT DATA'!$DX$9:$ED$41,S$11,$E18)</f>
        <v>0</v>
      </c>
      <c r="T18" s="75">
        <f>INDEX('DEFAULT DATA'!$DX$9:$ED$41,T$11,$E18)</f>
        <v>0</v>
      </c>
      <c r="U18" s="75">
        <f>INDEX('DEFAULT DATA'!$DX$9:$ED$41,U$11,$E18)</f>
        <v>1125.378694160313</v>
      </c>
      <c r="V18" s="75">
        <f>INDEX('DEFAULT DATA'!$DX$9:$ED$41,V$11,$E18)</f>
        <v>0</v>
      </c>
      <c r="W18" s="75">
        <f>INDEX('DEFAULT DATA'!$DX$9:$ED$41,W$11,$E18)</f>
        <v>0</v>
      </c>
      <c r="X18" s="75">
        <f>INDEX('DEFAULT DATA'!$DX$9:$ED$41,X$11,$E18)</f>
        <v>0</v>
      </c>
      <c r="Y18" s="75">
        <f>INDEX('DEFAULT DATA'!$DX$9:$ED$41,Y$11,$E18)</f>
        <v>0</v>
      </c>
      <c r="Z18" s="75">
        <f>INDEX('DEFAULT DATA'!$DX$9:$ED$41,Z$11,$E18)</f>
        <v>0</v>
      </c>
      <c r="AA18" s="75">
        <f>INDEX('DEFAULT DATA'!$DX$9:$ED$41,AA$11,$E18)</f>
        <v>0</v>
      </c>
      <c r="AB18" s="75">
        <f>INDEX('DEFAULT DATA'!$DX$9:$ED$41,AB$11,$E18)</f>
        <v>0</v>
      </c>
      <c r="AC18" s="75">
        <f>INDEX('DEFAULT DATA'!$DX$9:$ED$41,AC$11,$E18)</f>
        <v>0</v>
      </c>
      <c r="AD18" s="75">
        <f>INDEX('DEFAULT DATA'!$DX$9:$ED$41,AD$11,$E18)</f>
        <v>0</v>
      </c>
      <c r="AE18" s="75">
        <f>INDEX('DEFAULT DATA'!$DX$9:$ED$41,AE$11,$E18)</f>
        <v>0</v>
      </c>
      <c r="AF18" s="75">
        <f>INDEX('DEFAULT DATA'!$DX$9:$ED$41,AF$11,$E18)</f>
        <v>0</v>
      </c>
      <c r="AG18" s="75">
        <f>INDEX('DEFAULT DATA'!$DX$9:$ED$41,AG$11,$E18)</f>
        <v>0</v>
      </c>
      <c r="AH18" s="75">
        <f>INDEX('DEFAULT DATA'!$DX$9:$ED$41,AH$11,$E18)</f>
        <v>0</v>
      </c>
      <c r="AI18" s="75">
        <f>INDEX('DEFAULT DATA'!$DX$9:$ED$41,AI$11,$E18)</f>
        <v>0</v>
      </c>
      <c r="AJ18" s="75">
        <f>INDEX('DEFAULT DATA'!$DX$9:$ED$41,AJ$11,$E18)</f>
        <v>0</v>
      </c>
      <c r="AK18" s="75">
        <f>INDEX('DEFAULT DATA'!$DX$9:$ED$41,AK$11,$E18)</f>
        <v>0</v>
      </c>
      <c r="AL18" s="75" t="str">
        <f>INDEX('DEFAULT DATA'!$DX$9:$ED$41,AL$11,$E18)</f>
        <v/>
      </c>
    </row>
    <row r="19" spans="1:38">
      <c r="A19" s="110">
        <f t="shared" si="1"/>
        <v>2040</v>
      </c>
      <c r="B19" s="66" t="str">
        <f>INDEX('DEFAULT DATA'!$MA$9:$MD$41,START!$C$3,1)</f>
        <v>none</v>
      </c>
      <c r="C19" s="980">
        <f>INDEX('DEFAULT DATA'!$MQ$9:$MT$41,START!$C$3,1)</f>
        <v>0</v>
      </c>
      <c r="E19" s="675">
        <v>7</v>
      </c>
      <c r="F19" s="75">
        <f>INDEX('DEFAULT DATA'!$DX$9:$ED$41,F$11,$E19)</f>
        <v>0</v>
      </c>
      <c r="G19" s="75">
        <f>INDEX('DEFAULT DATA'!$DX$9:$ED$41,G$11,$E19)</f>
        <v>0</v>
      </c>
      <c r="H19" s="75">
        <f>INDEX('DEFAULT DATA'!$DX$9:$ED$41,H$11,$E19)</f>
        <v>0</v>
      </c>
      <c r="I19" s="75">
        <f>INDEX('DEFAULT DATA'!$DX$9:$ED$41,I$11,$E19)</f>
        <v>0</v>
      </c>
      <c r="J19" s="75">
        <f>INDEX('DEFAULT DATA'!$DX$9:$ED$41,J$11,$E19)</f>
        <v>0</v>
      </c>
      <c r="K19" s="75">
        <f>INDEX('DEFAULT DATA'!$DX$9:$ED$41,K$11,$E19)</f>
        <v>0</v>
      </c>
      <c r="L19" s="75">
        <f>INDEX('DEFAULT DATA'!$DX$9:$ED$41,L$11,$E19)</f>
        <v>0</v>
      </c>
      <c r="M19" s="75">
        <f>INDEX('DEFAULT DATA'!$DX$9:$ED$41,M$11,$E19)</f>
        <v>0</v>
      </c>
      <c r="N19" s="75">
        <f>INDEX('DEFAULT DATA'!$DX$9:$ED$41,N$11,$E19)</f>
        <v>0</v>
      </c>
      <c r="O19" s="75">
        <f>INDEX('DEFAULT DATA'!$DX$9:$ED$41,O$11,$E19)</f>
        <v>0</v>
      </c>
      <c r="P19" s="75">
        <f>INDEX('DEFAULT DATA'!$DX$9:$ED$41,P$11,$E19)</f>
        <v>0</v>
      </c>
      <c r="Q19" s="75">
        <f>INDEX('DEFAULT DATA'!$DX$9:$ED$41,Q$11,$E19)</f>
        <v>0</v>
      </c>
      <c r="R19" s="75">
        <f>INDEX('DEFAULT DATA'!$DX$9:$ED$41,R$11,$E19)</f>
        <v>0</v>
      </c>
      <c r="S19" s="75">
        <f>INDEX('DEFAULT DATA'!$DX$9:$ED$41,S$11,$E19)</f>
        <v>0</v>
      </c>
      <c r="T19" s="75">
        <f>INDEX('DEFAULT DATA'!$DX$9:$ED$41,T$11,$E19)</f>
        <v>0</v>
      </c>
      <c r="U19" s="75">
        <f>INDEX('DEFAULT DATA'!$DX$9:$ED$41,U$11,$E19)</f>
        <v>204.59502364023862</v>
      </c>
      <c r="V19" s="75">
        <f>INDEX('DEFAULT DATA'!$DX$9:$ED$41,V$11,$E19)</f>
        <v>0</v>
      </c>
      <c r="W19" s="75">
        <f>INDEX('DEFAULT DATA'!$DX$9:$ED$41,W$11,$E19)</f>
        <v>0</v>
      </c>
      <c r="X19" s="75">
        <f>INDEX('DEFAULT DATA'!$DX$9:$ED$41,X$11,$E19)</f>
        <v>0</v>
      </c>
      <c r="Y19" s="75">
        <f>INDEX('DEFAULT DATA'!$DX$9:$ED$41,Y$11,$E19)</f>
        <v>0</v>
      </c>
      <c r="Z19" s="75">
        <f>INDEX('DEFAULT DATA'!$DX$9:$ED$41,Z$11,$E19)</f>
        <v>0</v>
      </c>
      <c r="AA19" s="75">
        <f>INDEX('DEFAULT DATA'!$DX$9:$ED$41,AA$11,$E19)</f>
        <v>0</v>
      </c>
      <c r="AB19" s="75">
        <f>INDEX('DEFAULT DATA'!$DX$9:$ED$41,AB$11,$E19)</f>
        <v>0</v>
      </c>
      <c r="AC19" s="75">
        <f>INDEX('DEFAULT DATA'!$DX$9:$ED$41,AC$11,$E19)</f>
        <v>0</v>
      </c>
      <c r="AD19" s="75">
        <f>INDEX('DEFAULT DATA'!$DX$9:$ED$41,AD$11,$E19)</f>
        <v>0</v>
      </c>
      <c r="AE19" s="75">
        <f>INDEX('DEFAULT DATA'!$DX$9:$ED$41,AE$11,$E19)</f>
        <v>0</v>
      </c>
      <c r="AF19" s="75">
        <f>INDEX('DEFAULT DATA'!$DX$9:$ED$41,AF$11,$E19)</f>
        <v>0</v>
      </c>
      <c r="AG19" s="75">
        <f>INDEX('DEFAULT DATA'!$DX$9:$ED$41,AG$11,$E19)</f>
        <v>0</v>
      </c>
      <c r="AH19" s="75">
        <f>INDEX('DEFAULT DATA'!$DX$9:$ED$41,AH$11,$E19)</f>
        <v>0</v>
      </c>
      <c r="AI19" s="75">
        <f>INDEX('DEFAULT DATA'!$DX$9:$ED$41,AI$11,$E19)</f>
        <v>0</v>
      </c>
      <c r="AJ19" s="75">
        <f>INDEX('DEFAULT DATA'!$DX$9:$ED$41,AJ$11,$E19)</f>
        <v>0</v>
      </c>
      <c r="AK19" s="75">
        <f>INDEX('DEFAULT DATA'!$DX$9:$ED$41,AK$11,$E19)</f>
        <v>0</v>
      </c>
      <c r="AL19" s="75" t="str">
        <f>INDEX('DEFAULT DATA'!$DX$9:$ED$41,AL$11,$E19)</f>
        <v/>
      </c>
    </row>
    <row r="20" spans="1:38">
      <c r="A20" s="110">
        <f t="shared" si="1"/>
        <v>2041</v>
      </c>
      <c r="B20" s="66" t="str">
        <f>INDEX('DEFAULT DATA'!$MA$9:$MD$41,START!$C$3,2)</f>
        <v>low intensity</v>
      </c>
      <c r="C20" s="980">
        <f>INDEX('DEFAULT DATA'!$MQ$9:$MT$41,START!$C$3,2)</f>
        <v>0.5</v>
      </c>
    </row>
    <row r="21" spans="1:38">
      <c r="A21" s="110">
        <f t="shared" si="1"/>
        <v>2042</v>
      </c>
      <c r="B21" s="66" t="str">
        <f>INDEX('DEFAULT DATA'!$MA$9:$MD$41,START!$C$3,3)</f>
        <v>average intensity</v>
      </c>
      <c r="C21" s="980">
        <f>INDEX('DEFAULT DATA'!$MQ$9:$MT$41,START!$C$3,3)</f>
        <v>1</v>
      </c>
      <c r="F21" s="110">
        <v>1</v>
      </c>
      <c r="G21" s="110">
        <f>F21+1</f>
        <v>2</v>
      </c>
      <c r="H21" s="110">
        <f t="shared" ref="H21:AK21" si="3">G21+1</f>
        <v>3</v>
      </c>
      <c r="I21" s="110">
        <f t="shared" si="3"/>
        <v>4</v>
      </c>
      <c r="J21" s="110">
        <f t="shared" si="3"/>
        <v>5</v>
      </c>
      <c r="K21" s="110">
        <f t="shared" si="3"/>
        <v>6</v>
      </c>
      <c r="L21" s="110">
        <f t="shared" si="3"/>
        <v>7</v>
      </c>
      <c r="M21" s="110">
        <f t="shared" si="3"/>
        <v>8</v>
      </c>
      <c r="N21" s="110">
        <f t="shared" si="3"/>
        <v>9</v>
      </c>
      <c r="O21" s="110">
        <f t="shared" si="3"/>
        <v>10</v>
      </c>
      <c r="P21" s="110">
        <f t="shared" si="3"/>
        <v>11</v>
      </c>
      <c r="Q21" s="110">
        <f t="shared" si="3"/>
        <v>12</v>
      </c>
      <c r="R21" s="110">
        <f t="shared" si="3"/>
        <v>13</v>
      </c>
      <c r="S21" s="110">
        <f t="shared" si="3"/>
        <v>14</v>
      </c>
      <c r="T21" s="110">
        <f t="shared" si="3"/>
        <v>15</v>
      </c>
      <c r="U21" s="110">
        <f t="shared" si="3"/>
        <v>16</v>
      </c>
      <c r="V21" s="110">
        <f t="shared" si="3"/>
        <v>17</v>
      </c>
      <c r="W21" s="110">
        <f t="shared" si="3"/>
        <v>18</v>
      </c>
      <c r="X21" s="110">
        <f t="shared" si="3"/>
        <v>19</v>
      </c>
      <c r="Y21" s="110">
        <f t="shared" si="3"/>
        <v>20</v>
      </c>
      <c r="Z21" s="110">
        <f t="shared" si="3"/>
        <v>21</v>
      </c>
      <c r="AA21" s="110">
        <f t="shared" si="3"/>
        <v>22</v>
      </c>
      <c r="AB21" s="110">
        <f t="shared" si="3"/>
        <v>23</v>
      </c>
      <c r="AC21" s="110">
        <f t="shared" si="3"/>
        <v>24</v>
      </c>
      <c r="AD21" s="110">
        <f t="shared" si="3"/>
        <v>25</v>
      </c>
      <c r="AE21" s="110">
        <f t="shared" si="3"/>
        <v>26</v>
      </c>
      <c r="AF21" s="110">
        <f t="shared" si="3"/>
        <v>27</v>
      </c>
      <c r="AG21" s="110">
        <f t="shared" si="3"/>
        <v>28</v>
      </c>
      <c r="AH21" s="110">
        <f t="shared" si="3"/>
        <v>29</v>
      </c>
      <c r="AI21" s="110">
        <f t="shared" si="3"/>
        <v>30</v>
      </c>
      <c r="AJ21" s="110">
        <f t="shared" si="3"/>
        <v>31</v>
      </c>
      <c r="AK21" s="110">
        <f t="shared" si="3"/>
        <v>32</v>
      </c>
    </row>
    <row r="22" spans="1:38">
      <c r="A22" s="110">
        <f t="shared" si="1"/>
        <v>2043</v>
      </c>
      <c r="B22" s="66" t="str">
        <f>INDEX('DEFAULT DATA'!$MA$9:$MD$41,START!$C$3,4)</f>
        <v>high intensity</v>
      </c>
      <c r="C22" s="980">
        <f>INDEX('DEFAULT DATA'!$MQ$9:$MT$41,START!$C$3,4)</f>
        <v>2</v>
      </c>
      <c r="F22" s="72" t="s">
        <v>1</v>
      </c>
      <c r="G22" s="72" t="s">
        <v>2</v>
      </c>
      <c r="H22" s="72" t="s">
        <v>3</v>
      </c>
      <c r="I22" s="72" t="s">
        <v>12</v>
      </c>
      <c r="J22" s="72" t="s">
        <v>4</v>
      </c>
      <c r="K22" s="72" t="s">
        <v>5</v>
      </c>
      <c r="L22" s="72" t="s">
        <v>6</v>
      </c>
      <c r="M22" s="72" t="s">
        <v>7</v>
      </c>
      <c r="N22" s="72" t="s">
        <v>0</v>
      </c>
      <c r="O22" s="72" t="s">
        <v>9</v>
      </c>
      <c r="P22" s="72" t="s">
        <v>27</v>
      </c>
      <c r="Q22" s="72" t="s">
        <v>10</v>
      </c>
      <c r="R22" s="72" t="s">
        <v>11</v>
      </c>
      <c r="S22" s="72" t="s">
        <v>29</v>
      </c>
      <c r="T22" s="72" t="s">
        <v>13</v>
      </c>
      <c r="U22" s="72" t="s">
        <v>14</v>
      </c>
      <c r="V22" s="72" t="s">
        <v>17</v>
      </c>
      <c r="W22" s="72" t="s">
        <v>32</v>
      </c>
      <c r="X22" s="72" t="s">
        <v>15</v>
      </c>
      <c r="Y22" s="72" t="s">
        <v>16</v>
      </c>
      <c r="Z22" s="72" t="s">
        <v>18</v>
      </c>
      <c r="AA22" s="72" t="s">
        <v>19</v>
      </c>
      <c r="AB22" s="72" t="s">
        <v>26</v>
      </c>
      <c r="AC22" s="72" t="s">
        <v>20</v>
      </c>
      <c r="AD22" s="72" t="s">
        <v>21</v>
      </c>
      <c r="AE22" s="72" t="s">
        <v>22</v>
      </c>
      <c r="AF22" s="72" t="s">
        <v>25</v>
      </c>
      <c r="AG22" s="72" t="s">
        <v>24</v>
      </c>
      <c r="AH22" s="72" t="s">
        <v>8</v>
      </c>
      <c r="AI22" s="72" t="s">
        <v>23</v>
      </c>
      <c r="AJ22" s="72" t="s">
        <v>30</v>
      </c>
      <c r="AK22" s="72" t="s">
        <v>28</v>
      </c>
    </row>
    <row r="23" spans="1:38">
      <c r="A23" s="110">
        <f t="shared" si="1"/>
        <v>2044</v>
      </c>
      <c r="B23" s="66"/>
      <c r="C23" s="109"/>
      <c r="E23" s="61">
        <v>1</v>
      </c>
      <c r="F23" s="674" t="str">
        <f>INDEX('DEFAULT DATA'!$EK$9:$GP$41,F$21,$E23)</f>
        <v>Gmunden</v>
      </c>
      <c r="G23" s="674" t="str">
        <f>INDEX('DEFAULT DATA'!$EK$9:$GP$41,G$21,$E23)</f>
        <v>Antwerp</v>
      </c>
      <c r="H23" s="674" t="str">
        <f>INDEX('DEFAULT DATA'!$EK$9:$GP$41,H$21,$E23)</f>
        <v>Sofia</v>
      </c>
      <c r="I23" s="674" t="str">
        <f>INDEX('DEFAULT DATA'!$EK$9:$GP$41,I$21,$E23)</f>
        <v>Osijek</v>
      </c>
      <c r="J23" s="674" t="str">
        <f>INDEX('DEFAULT DATA'!$EK$9:$GP$41,J$21,$E23)</f>
        <v>no trams</v>
      </c>
      <c r="K23" s="674" t="str">
        <f>INDEX('DEFAULT DATA'!$EK$9:$GP$41,K$21,$E23)</f>
        <v>Brno</v>
      </c>
      <c r="L23" s="674" t="str">
        <f>INDEX('DEFAULT DATA'!$EK$9:$GP$41,L$21,$E23)</f>
        <v>Aarhus</v>
      </c>
      <c r="M23" s="674" t="str">
        <f>INDEX('DEFAULT DATA'!$EK$9:$GP$41,M$21,$E23)</f>
        <v>Tallinn</v>
      </c>
      <c r="N23" s="674" t="str">
        <f>INDEX('DEFAULT DATA'!$EK$9:$GP$41,N$21,$E23)</f>
        <v>Helsinki</v>
      </c>
      <c r="O23" s="674" t="str">
        <f>INDEX('DEFAULT DATA'!$EK$9:$GP$41,O$21,$E23)</f>
        <v>Angers</v>
      </c>
      <c r="P23" s="674" t="str">
        <f>INDEX('DEFAULT DATA'!$EK$9:$GP$41,P$21,$E23)</f>
        <v>Augsburg</v>
      </c>
      <c r="Q23" s="674" t="str">
        <f>INDEX('DEFAULT DATA'!$EK$9:$GP$41,Q$21,$E23)</f>
        <v>Athens</v>
      </c>
      <c r="R23" s="674" t="str">
        <f>INDEX('DEFAULT DATA'!$EK$9:$GP$41,R$21,$E23)</f>
        <v>Budapest</v>
      </c>
      <c r="S23" s="674" t="str">
        <f>INDEX('DEFAULT DATA'!$EK$9:$GP$41,S$21,$E23)</f>
        <v>no trams</v>
      </c>
      <c r="T23" s="674" t="str">
        <f>INDEX('DEFAULT DATA'!$EK$9:$GP$41,T$21,$E23)</f>
        <v>Dublin</v>
      </c>
      <c r="U23" s="674" t="str">
        <f>INDEX('DEFAULT DATA'!$EK$9:$GP$41,U$21,$E23)</f>
        <v>Bergamo–Albino light rail</v>
      </c>
      <c r="V23" s="674" t="str">
        <f>INDEX('DEFAULT DATA'!$EK$9:$GP$41,V$21,$E23)</f>
        <v>Daugavpils</v>
      </c>
      <c r="W23" s="674" t="str">
        <f>INDEX('DEFAULT DATA'!$EK$9:$GP$41,W$21,$E23)</f>
        <v>no trams</v>
      </c>
      <c r="X23" s="674" t="str">
        <f>INDEX('DEFAULT DATA'!$EK$9:$GP$41,X$21,$E23)</f>
        <v>no trams</v>
      </c>
      <c r="Y23" s="674" t="str">
        <f>INDEX('DEFAULT DATA'!$EK$9:$GP$41,Y$21,$E23)</f>
        <v>Luxembourg</v>
      </c>
      <c r="Z23" s="674" t="str">
        <f>INDEX('DEFAULT DATA'!$EK$9:$GP$41,Z$21,$E23)</f>
        <v>no trams</v>
      </c>
      <c r="AA23" s="674" t="str">
        <f>INDEX('DEFAULT DATA'!$EK$9:$GP$41,AA$21,$E23)</f>
        <v>Amsterdam</v>
      </c>
      <c r="AB23" s="674" t="str">
        <f>INDEX('DEFAULT DATA'!$EK$9:$GP$41,AB$21,$E23)</f>
        <v>Bergen Light Rail</v>
      </c>
      <c r="AC23" s="674" t="str">
        <f>INDEX('DEFAULT DATA'!$EK$9:$GP$41,AC$21,$E23)</f>
        <v>Bydgoszcz</v>
      </c>
      <c r="AD23" s="674" t="str">
        <f>INDEX('DEFAULT DATA'!$EK$9:$GP$41,AD$21,$E23)</f>
        <v>Almada-Seixal</v>
      </c>
      <c r="AE23" s="674" t="str">
        <f>INDEX('DEFAULT DATA'!$EK$9:$GP$41,AE$21,$E23)</f>
        <v>Arad</v>
      </c>
      <c r="AF23" s="674" t="str">
        <f>INDEX('DEFAULT DATA'!$EK$9:$GP$41,AF$21,$E23)</f>
        <v>Bratislava</v>
      </c>
      <c r="AG23" s="674" t="str">
        <f>INDEX('DEFAULT DATA'!$EK$9:$GP$41,AG$21,$E23)</f>
        <v>no trams</v>
      </c>
      <c r="AH23" s="674" t="str">
        <f>INDEX('DEFAULT DATA'!$EK$9:$GP$41,AH$21,$E23)</f>
        <v>Alicante</v>
      </c>
      <c r="AI23" s="674" t="str">
        <f>INDEX('DEFAULT DATA'!$EK$9:$GP$41,AI$21,$E23)</f>
        <v>Gothenburg</v>
      </c>
      <c r="AJ23" s="674" t="str">
        <f>INDEX('DEFAULT DATA'!$EK$9:$GP$41,AJ$21,$E23)</f>
        <v>Basel</v>
      </c>
      <c r="AK23" s="674" t="str">
        <f>INDEX('DEFAULT DATA'!$EK$9:$GP$41,AK$21,$E23)</f>
        <v>Birmingham, West Midlands Metro</v>
      </c>
    </row>
    <row r="24" spans="1:38">
      <c r="A24" s="110">
        <f t="shared" si="1"/>
        <v>2045</v>
      </c>
      <c r="E24" s="61">
        <f>E23+1</f>
        <v>2</v>
      </c>
      <c r="F24" s="674" t="str">
        <f>INDEX('DEFAULT DATA'!$EK$9:$GP$41,F$21,$E24)</f>
        <v>Graz</v>
      </c>
      <c r="G24" s="674" t="str">
        <f>INDEX('DEFAULT DATA'!$EK$9:$GP$41,G$21,$E24)</f>
        <v xml:space="preserve">Coast Tram </v>
      </c>
      <c r="H24" s="674" t="str">
        <f>INDEX('DEFAULT DATA'!$EK$9:$GP$41,H$21,$E24)</f>
        <v>-</v>
      </c>
      <c r="I24" s="674" t="str">
        <f>INDEX('DEFAULT DATA'!$EK$9:$GP$41,I$21,$E24)</f>
        <v>Zagreb</v>
      </c>
      <c r="J24" s="674" t="str">
        <f>INDEX('DEFAULT DATA'!$EK$9:$GP$41,J$21,$E24)</f>
        <v>-</v>
      </c>
      <c r="K24" s="674" t="str">
        <f>INDEX('DEFAULT DATA'!$EK$9:$GP$41,K$21,$E24)</f>
        <v>Liberec–Jablonec</v>
      </c>
      <c r="L24" s="674" t="str">
        <f>INDEX('DEFAULT DATA'!$EK$9:$GP$41,L$21,$E24)</f>
        <v>-</v>
      </c>
      <c r="M24" s="674" t="str">
        <f>INDEX('DEFAULT DATA'!$EK$9:$GP$41,M$21,$E24)</f>
        <v>-</v>
      </c>
      <c r="N24" s="674" t="str">
        <f>INDEX('DEFAULT DATA'!$EK$9:$GP$41,N$21,$E24)</f>
        <v>Tampere</v>
      </c>
      <c r="O24" s="674" t="str">
        <f>INDEX('DEFAULT DATA'!$EK$9:$GP$41,O$21,$E24)</f>
        <v>Aubagne</v>
      </c>
      <c r="P24" s="674" t="str">
        <f>INDEX('DEFAULT DATA'!$EK$9:$GP$41,P$21,$E24)</f>
        <v>Bad Schandau</v>
      </c>
      <c r="Q24" s="674" t="str">
        <f>INDEX('DEFAULT DATA'!$EK$9:$GP$41,Q$21,$E24)</f>
        <v>-</v>
      </c>
      <c r="R24" s="674" t="str">
        <f>INDEX('DEFAULT DATA'!$EK$9:$GP$41,R$21,$E24)</f>
        <v>Debrecen</v>
      </c>
      <c r="S24" s="674" t="str">
        <f>INDEX('DEFAULT DATA'!$EK$9:$GP$41,S$21,$E24)</f>
        <v>-</v>
      </c>
      <c r="T24" s="674" t="str">
        <f>INDEX('DEFAULT DATA'!$EK$9:$GP$41,T$21,$E24)</f>
        <v>-</v>
      </c>
      <c r="U24" s="674" t="str">
        <f>INDEX('DEFAULT DATA'!$EK$9:$GP$41,U$21,$E24)</f>
        <v>Cagliari light rail</v>
      </c>
      <c r="V24" s="674" t="str">
        <f>INDEX('DEFAULT DATA'!$EK$9:$GP$41,V$21,$E24)</f>
        <v>Liepāja</v>
      </c>
      <c r="W24" s="674" t="str">
        <f>INDEX('DEFAULT DATA'!$EK$9:$GP$41,W$21,$E24)</f>
        <v>-</v>
      </c>
      <c r="X24" s="674" t="str">
        <f>INDEX('DEFAULT DATA'!$EK$9:$GP$41,X$21,$E24)</f>
        <v>-</v>
      </c>
      <c r="Y24" s="674" t="str">
        <f>INDEX('DEFAULT DATA'!$EK$9:$GP$41,Y$21,$E24)</f>
        <v>-</v>
      </c>
      <c r="Z24" s="674" t="str">
        <f>INDEX('DEFAULT DATA'!$EK$9:$GP$41,Z$21,$E24)</f>
        <v>-</v>
      </c>
      <c r="AA24" s="674" t="str">
        <f>INDEX('DEFAULT DATA'!$EK$9:$GP$41,AA$21,$E24)</f>
        <v>Rotterdam</v>
      </c>
      <c r="AB24" s="674" t="str">
        <f>INDEX('DEFAULT DATA'!$EK$9:$GP$41,AB$21,$E24)</f>
        <v>Oslo</v>
      </c>
      <c r="AC24" s="674" t="str">
        <f>INDEX('DEFAULT DATA'!$EK$9:$GP$41,AC$21,$E24)</f>
        <v>Częstochowa</v>
      </c>
      <c r="AD24" s="674" t="str">
        <f>INDEX('DEFAULT DATA'!$EK$9:$GP$41,AD$21,$E24)</f>
        <v>Lisbon</v>
      </c>
      <c r="AE24" s="674" t="str">
        <f>INDEX('DEFAULT DATA'!$EK$9:$GP$41,AE$21,$E24)</f>
        <v>Botoșani</v>
      </c>
      <c r="AF24" s="674" t="str">
        <f>INDEX('DEFAULT DATA'!$EK$9:$GP$41,AF$21,$E24)</f>
        <v>Košice</v>
      </c>
      <c r="AG24" s="674" t="str">
        <f>INDEX('DEFAULT DATA'!$EK$9:$GP$41,AG$21,$E24)</f>
        <v>-</v>
      </c>
      <c r="AH24" s="674" t="str">
        <f>INDEX('DEFAULT DATA'!$EK$9:$GP$41,AH$21,$E24)</f>
        <v>Barcelona</v>
      </c>
      <c r="AI24" s="674" t="str">
        <f>INDEX('DEFAULT DATA'!$EK$9:$GP$41,AI$21,$E24)</f>
        <v>Lund</v>
      </c>
      <c r="AJ24" s="674" t="str">
        <f>INDEX('DEFAULT DATA'!$EK$9:$GP$41,AJ$21,$E24)</f>
        <v>Bern</v>
      </c>
      <c r="AK24" s="674" t="str">
        <f>INDEX('DEFAULT DATA'!$EK$9:$GP$41,AK$21,$E24)</f>
        <v>Blackpool tramway</v>
      </c>
    </row>
    <row r="25" spans="1:38">
      <c r="A25" s="110">
        <f>A24+1</f>
        <v>2046</v>
      </c>
      <c r="E25" s="61">
        <f t="shared" ref="E25:E80" si="4">E24+1</f>
        <v>3</v>
      </c>
      <c r="F25" s="674" t="str">
        <f>INDEX('DEFAULT DATA'!$EK$9:$GP$41,F$21,$E25)</f>
        <v>Innsbruck</v>
      </c>
      <c r="G25" s="674" t="str">
        <f>INDEX('DEFAULT DATA'!$EK$9:$GP$41,G$21,$E25)</f>
        <v>Brussels</v>
      </c>
      <c r="H25" s="674" t="str">
        <f>INDEX('DEFAULT DATA'!$EK$9:$GP$41,H$21,$E25)</f>
        <v>-</v>
      </c>
      <c r="I25" s="674" t="str">
        <f>INDEX('DEFAULT DATA'!$EK$9:$GP$41,I$21,$E25)</f>
        <v>-</v>
      </c>
      <c r="J25" s="674" t="str">
        <f>INDEX('DEFAULT DATA'!$EK$9:$GP$41,J$21,$E25)</f>
        <v>-</v>
      </c>
      <c r="K25" s="674" t="str">
        <f>INDEX('DEFAULT DATA'!$EK$9:$GP$41,K$21,$E25)</f>
        <v>Most-Litvínov</v>
      </c>
      <c r="L25" s="674" t="str">
        <f>INDEX('DEFAULT DATA'!$EK$9:$GP$41,L$21,$E25)</f>
        <v>-</v>
      </c>
      <c r="M25" s="674" t="str">
        <f>INDEX('DEFAULT DATA'!$EK$9:$GP$41,M$21,$E25)</f>
        <v>-</v>
      </c>
      <c r="N25" s="674" t="str">
        <f>INDEX('DEFAULT DATA'!$EK$9:$GP$41,N$21,$E25)</f>
        <v>-</v>
      </c>
      <c r="O25" s="674" t="str">
        <f>INDEX('DEFAULT DATA'!$EK$9:$GP$41,O$21,$E25)</f>
        <v>Avignon</v>
      </c>
      <c r="P25" s="674" t="str">
        <f>INDEX('DEFAULT DATA'!$EK$9:$GP$41,P$21,$E25)</f>
        <v>Berlin</v>
      </c>
      <c r="Q25" s="674" t="str">
        <f>INDEX('DEFAULT DATA'!$EK$9:$GP$41,Q$21,$E25)</f>
        <v>-</v>
      </c>
      <c r="R25" s="674" t="str">
        <f>INDEX('DEFAULT DATA'!$EK$9:$GP$41,R$21,$E25)</f>
        <v>Miskolc</v>
      </c>
      <c r="S25" s="674" t="str">
        <f>INDEX('DEFAULT DATA'!$EK$9:$GP$41,S$21,$E25)</f>
        <v>-</v>
      </c>
      <c r="T25" s="674" t="str">
        <f>INDEX('DEFAULT DATA'!$EK$9:$GP$41,T$21,$E25)</f>
        <v>-</v>
      </c>
      <c r="U25" s="674" t="str">
        <f>INDEX('DEFAULT DATA'!$EK$9:$GP$41,U$21,$E25)</f>
        <v>Florence</v>
      </c>
      <c r="V25" s="674" t="str">
        <f>INDEX('DEFAULT DATA'!$EK$9:$GP$41,V$21,$E25)</f>
        <v>Riga</v>
      </c>
      <c r="W25" s="674" t="str">
        <f>INDEX('DEFAULT DATA'!$EK$9:$GP$41,W$21,$E25)</f>
        <v>-</v>
      </c>
      <c r="X25" s="674" t="str">
        <f>INDEX('DEFAULT DATA'!$EK$9:$GP$41,X$21,$E25)</f>
        <v>-</v>
      </c>
      <c r="Y25" s="674" t="str">
        <f>INDEX('DEFAULT DATA'!$EK$9:$GP$41,Y$21,$E25)</f>
        <v>-</v>
      </c>
      <c r="Z25" s="674" t="str">
        <f>INDEX('DEFAULT DATA'!$EK$9:$GP$41,Z$21,$E25)</f>
        <v>-</v>
      </c>
      <c r="AA25" s="674" t="str">
        <f>INDEX('DEFAULT DATA'!$EK$9:$GP$41,AA$21,$E25)</f>
        <v>The Hague</v>
      </c>
      <c r="AB25" s="674" t="str">
        <f>INDEX('DEFAULT DATA'!$EK$9:$GP$41,AB$21,$E25)</f>
        <v>Trondheim</v>
      </c>
      <c r="AC25" s="674" t="str">
        <f>INDEX('DEFAULT DATA'!$EK$9:$GP$41,AC$21,$E25)</f>
        <v>Elbląg</v>
      </c>
      <c r="AD25" s="674" t="str">
        <f>INDEX('DEFAULT DATA'!$EK$9:$GP$41,AD$21,$E25)</f>
        <v>Porto Metro</v>
      </c>
      <c r="AE25" s="674" t="str">
        <f>INDEX('DEFAULT DATA'!$EK$9:$GP$41,AE$21,$E25)</f>
        <v>Brăila</v>
      </c>
      <c r="AF25" s="674" t="str">
        <f>INDEX('DEFAULT DATA'!$EK$9:$GP$41,AF$21,$E25)</f>
        <v>Trenčianske Teplice</v>
      </c>
      <c r="AG25" s="674" t="str">
        <f>INDEX('DEFAULT DATA'!$EK$9:$GP$41,AG$21,$E25)</f>
        <v>-</v>
      </c>
      <c r="AH25" s="674" t="str">
        <f>INDEX('DEFAULT DATA'!$EK$9:$GP$41,AH$21,$E25)</f>
        <v>Bilbao</v>
      </c>
      <c r="AI25" s="674" t="str">
        <f>INDEX('DEFAULT DATA'!$EK$9:$GP$41,AI$21,$E25)</f>
        <v>Norrköping</v>
      </c>
      <c r="AJ25" s="674" t="str">
        <f>INDEX('DEFAULT DATA'!$EK$9:$GP$41,AJ$21,$E25)</f>
        <v>Geneva</v>
      </c>
      <c r="AK25" s="674" t="str">
        <f>INDEX('DEFAULT DATA'!$EK$9:$GP$41,AK$21,$E25)</f>
        <v>Edinburgh</v>
      </c>
    </row>
    <row r="26" spans="1:38">
      <c r="A26" s="110">
        <f t="shared" si="1"/>
        <v>2047</v>
      </c>
      <c r="E26" s="61">
        <f t="shared" si="4"/>
        <v>4</v>
      </c>
      <c r="F26" s="674" t="str">
        <f>INDEX('DEFAULT DATA'!$EK$9:$GP$41,F$21,$E26)</f>
        <v>Linz</v>
      </c>
      <c r="G26" s="674" t="str">
        <f>INDEX('DEFAULT DATA'!$EK$9:$GP$41,G$21,$E26)</f>
        <v>Charleroi</v>
      </c>
      <c r="H26" s="674" t="str">
        <f>INDEX('DEFAULT DATA'!$EK$9:$GP$41,H$21,$E26)</f>
        <v>-</v>
      </c>
      <c r="I26" s="674" t="str">
        <f>INDEX('DEFAULT DATA'!$EK$9:$GP$41,I$21,$E26)</f>
        <v>-</v>
      </c>
      <c r="J26" s="674" t="str">
        <f>INDEX('DEFAULT DATA'!$EK$9:$GP$41,J$21,$E26)</f>
        <v>-</v>
      </c>
      <c r="K26" s="674" t="str">
        <f>INDEX('DEFAULT DATA'!$EK$9:$GP$41,K$21,$E26)</f>
        <v>Olomouc</v>
      </c>
      <c r="L26" s="674" t="str">
        <f>INDEX('DEFAULT DATA'!$EK$9:$GP$41,L$21,$E26)</f>
        <v>-</v>
      </c>
      <c r="M26" s="674" t="str">
        <f>INDEX('DEFAULT DATA'!$EK$9:$GP$41,M$21,$E26)</f>
        <v>-</v>
      </c>
      <c r="N26" s="674" t="str">
        <f>INDEX('DEFAULT DATA'!$EK$9:$GP$41,N$21,$E26)</f>
        <v>-</v>
      </c>
      <c r="O26" s="674" t="str">
        <f>INDEX('DEFAULT DATA'!$EK$9:$GP$41,O$21,$E26)</f>
        <v>Besançon</v>
      </c>
      <c r="P26" s="674" t="str">
        <f>INDEX('DEFAULT DATA'!$EK$9:$GP$41,P$21,$E26)</f>
        <v>Bielefeld</v>
      </c>
      <c r="Q26" s="674" t="str">
        <f>INDEX('DEFAULT DATA'!$EK$9:$GP$41,Q$21,$E26)</f>
        <v>-</v>
      </c>
      <c r="R26" s="674" t="str">
        <f>INDEX('DEFAULT DATA'!$EK$9:$GP$41,R$21,$E26)</f>
        <v>Szeged</v>
      </c>
      <c r="S26" s="674" t="str">
        <f>INDEX('DEFAULT DATA'!$EK$9:$GP$41,S$21,$E26)</f>
        <v>-</v>
      </c>
      <c r="T26" s="674" t="str">
        <f>INDEX('DEFAULT DATA'!$EK$9:$GP$41,T$21,$E26)</f>
        <v>-</v>
      </c>
      <c r="U26" s="674" t="str">
        <f>INDEX('DEFAULT DATA'!$EK$9:$GP$41,U$21,$E26)</f>
        <v>Messina</v>
      </c>
      <c r="V26" s="674" t="str">
        <f>INDEX('DEFAULT DATA'!$EK$9:$GP$41,V$21,$E26)</f>
        <v>-</v>
      </c>
      <c r="W26" s="674" t="str">
        <f>INDEX('DEFAULT DATA'!$EK$9:$GP$41,W$21,$E26)</f>
        <v>-</v>
      </c>
      <c r="X26" s="674" t="str">
        <f>INDEX('DEFAULT DATA'!$EK$9:$GP$41,X$21,$E26)</f>
        <v>-</v>
      </c>
      <c r="Y26" s="674" t="str">
        <f>INDEX('DEFAULT DATA'!$EK$9:$GP$41,Y$21,$E26)</f>
        <v>-</v>
      </c>
      <c r="Z26" s="674" t="str">
        <f>INDEX('DEFAULT DATA'!$EK$9:$GP$41,Z$21,$E26)</f>
        <v>-</v>
      </c>
      <c r="AA26" s="674" t="str">
        <f>INDEX('DEFAULT DATA'!$EK$9:$GP$41,AA$21,$E26)</f>
        <v>Utrecht sneltram</v>
      </c>
      <c r="AB26" s="674" t="str">
        <f>INDEX('DEFAULT DATA'!$EK$9:$GP$41,AB$21,$E26)</f>
        <v>-</v>
      </c>
      <c r="AC26" s="674" t="str">
        <f>INDEX('DEFAULT DATA'!$EK$9:$GP$41,AC$21,$E26)</f>
        <v>Gdańsk</v>
      </c>
      <c r="AD26" s="674" t="str">
        <f>INDEX('DEFAULT DATA'!$EK$9:$GP$41,AD$21,$E26)</f>
        <v>Porto</v>
      </c>
      <c r="AE26" s="674" t="str">
        <f>INDEX('DEFAULT DATA'!$EK$9:$GP$41,AE$21,$E26)</f>
        <v>Bucharest</v>
      </c>
      <c r="AF26" s="674" t="str">
        <f>INDEX('DEFAULT DATA'!$EK$9:$GP$41,AF$21,$E26)</f>
        <v>-</v>
      </c>
      <c r="AG26" s="674" t="str">
        <f>INDEX('DEFAULT DATA'!$EK$9:$GP$41,AG$21,$E26)</f>
        <v>-</v>
      </c>
      <c r="AH26" s="674" t="str">
        <f>INDEX('DEFAULT DATA'!$EK$9:$GP$41,AH$21,$E26)</f>
        <v>Granada</v>
      </c>
      <c r="AI26" s="674" t="str">
        <f>INDEX('DEFAULT DATA'!$EK$9:$GP$41,AI$21,$E26)</f>
        <v>Stockholm</v>
      </c>
      <c r="AJ26" s="674" t="str">
        <f>INDEX('DEFAULT DATA'!$EK$9:$GP$41,AJ$21,$E26)</f>
        <v>Lausanne</v>
      </c>
      <c r="AK26" s="674" t="str">
        <f>INDEX('DEFAULT DATA'!$EK$9:$GP$41,AK$21,$E26)</f>
        <v>London Tramlink</v>
      </c>
    </row>
    <row r="27" spans="1:38">
      <c r="A27" s="110">
        <f t="shared" si="1"/>
        <v>2048</v>
      </c>
      <c r="B27" s="66" t="s">
        <v>858</v>
      </c>
      <c r="E27" s="61">
        <f t="shared" si="4"/>
        <v>5</v>
      </c>
      <c r="F27" s="674" t="str">
        <f>INDEX('DEFAULT DATA'!$EK$9:$GP$41,F$21,$E27)</f>
        <v>Vienna tram</v>
      </c>
      <c r="G27" s="674" t="str">
        <f>INDEX('DEFAULT DATA'!$EK$9:$GP$41,G$21,$E27)</f>
        <v>Ghent</v>
      </c>
      <c r="H27" s="674" t="str">
        <f>INDEX('DEFAULT DATA'!$EK$9:$GP$41,H$21,$E27)</f>
        <v>-</v>
      </c>
      <c r="I27" s="674" t="str">
        <f>INDEX('DEFAULT DATA'!$EK$9:$GP$41,I$21,$E27)</f>
        <v>-</v>
      </c>
      <c r="J27" s="674" t="str">
        <f>INDEX('DEFAULT DATA'!$EK$9:$GP$41,J$21,$E27)</f>
        <v>-</v>
      </c>
      <c r="K27" s="674" t="str">
        <f>INDEX('DEFAULT DATA'!$EK$9:$GP$41,K$21,$E27)</f>
        <v>Ostrava</v>
      </c>
      <c r="L27" s="674" t="str">
        <f>INDEX('DEFAULT DATA'!$EK$9:$GP$41,L$21,$E27)</f>
        <v>-</v>
      </c>
      <c r="M27" s="674" t="str">
        <f>INDEX('DEFAULT DATA'!$EK$9:$GP$41,M$21,$E27)</f>
        <v>-</v>
      </c>
      <c r="N27" s="674" t="str">
        <f>INDEX('DEFAULT DATA'!$EK$9:$GP$41,N$21,$E27)</f>
        <v>-</v>
      </c>
      <c r="O27" s="674" t="str">
        <f>INDEX('DEFAULT DATA'!$EK$9:$GP$41,O$21,$E27)</f>
        <v>Bordeaux</v>
      </c>
      <c r="P27" s="674" t="str">
        <f>INDEX('DEFAULT DATA'!$EK$9:$GP$41,P$21,$E27)</f>
        <v>Bochum Stadtbahn</v>
      </c>
      <c r="Q27" s="674" t="str">
        <f>INDEX('DEFAULT DATA'!$EK$9:$GP$41,Q$21,$E27)</f>
        <v>-</v>
      </c>
      <c r="R27" s="674" t="str">
        <f>INDEX('DEFAULT DATA'!$EK$9:$GP$41,R$21,$E27)</f>
        <v>-</v>
      </c>
      <c r="S27" s="674" t="str">
        <f>INDEX('DEFAULT DATA'!$EK$9:$GP$41,S$21,$E27)</f>
        <v>-</v>
      </c>
      <c r="T27" s="674" t="str">
        <f>INDEX('DEFAULT DATA'!$EK$9:$GP$41,T$21,$E27)</f>
        <v>-</v>
      </c>
      <c r="U27" s="674" t="str">
        <f>INDEX('DEFAULT DATA'!$EK$9:$GP$41,U$21,$E27)</f>
        <v>Mestre</v>
      </c>
      <c r="V27" s="674" t="str">
        <f>INDEX('DEFAULT DATA'!$EK$9:$GP$41,V$21,$E27)</f>
        <v>-</v>
      </c>
      <c r="W27" s="674" t="str">
        <f>INDEX('DEFAULT DATA'!$EK$9:$GP$41,W$21,$E27)</f>
        <v>-</v>
      </c>
      <c r="X27" s="674" t="str">
        <f>INDEX('DEFAULT DATA'!$EK$9:$GP$41,X$21,$E27)</f>
        <v>-</v>
      </c>
      <c r="Y27" s="674" t="str">
        <f>INDEX('DEFAULT DATA'!$EK$9:$GP$41,Y$21,$E27)</f>
        <v>-</v>
      </c>
      <c r="Z27" s="674" t="str">
        <f>INDEX('DEFAULT DATA'!$EK$9:$GP$41,Z$21,$E27)</f>
        <v>-</v>
      </c>
      <c r="AA27" s="674" t="str">
        <f>INDEX('DEFAULT DATA'!$EK$9:$GP$41,AA$21,$E27)</f>
        <v>-</v>
      </c>
      <c r="AB27" s="674" t="str">
        <f>INDEX('DEFAULT DATA'!$EK$9:$GP$41,AB$21,$E27)</f>
        <v>-</v>
      </c>
      <c r="AC27" s="674" t="str">
        <f>INDEX('DEFAULT DATA'!$EK$9:$GP$41,AC$21,$E27)</f>
        <v>Gorzów Wielkopolski</v>
      </c>
      <c r="AD27" s="674" t="str">
        <f>INDEX('DEFAULT DATA'!$EK$9:$GP$41,AD$21,$E27)</f>
        <v>Sintra</v>
      </c>
      <c r="AE27" s="674" t="str">
        <f>INDEX('DEFAULT DATA'!$EK$9:$GP$41,AE$21,$E27)</f>
        <v>Cluj-Napoca</v>
      </c>
      <c r="AF27" s="674" t="str">
        <f>INDEX('DEFAULT DATA'!$EK$9:$GP$41,AF$21,$E27)</f>
        <v>-</v>
      </c>
      <c r="AG27" s="674" t="str">
        <f>INDEX('DEFAULT DATA'!$EK$9:$GP$41,AG$21,$E27)</f>
        <v>-</v>
      </c>
      <c r="AH27" s="674" t="str">
        <f>INDEX('DEFAULT DATA'!$EK$9:$GP$41,AH$21,$E27)</f>
        <v>Madrid</v>
      </c>
      <c r="AI27" s="674" t="str">
        <f>INDEX('DEFAULT DATA'!$EK$9:$GP$41,AI$21,$E27)</f>
        <v>-</v>
      </c>
      <c r="AJ27" s="674" t="str">
        <f>INDEX('DEFAULT DATA'!$EK$9:$GP$41,AJ$21,$E27)</f>
        <v>Neuchâtel</v>
      </c>
      <c r="AK27" s="674" t="str">
        <f>INDEX('DEFAULT DATA'!$EK$9:$GP$41,AK$21,$E27)</f>
        <v>Manchester Metrolink</v>
      </c>
    </row>
    <row r="28" spans="1:38">
      <c r="A28" s="110">
        <f t="shared" si="1"/>
        <v>2049</v>
      </c>
      <c r="B28" s="66" t="s">
        <v>861</v>
      </c>
      <c r="E28" s="61">
        <f t="shared" si="4"/>
        <v>6</v>
      </c>
      <c r="F28" s="674" t="str">
        <f>INDEX('DEFAULT DATA'!$EK$9:$GP$41,F$21,$E28)</f>
        <v>Wiener Lokalbahn</v>
      </c>
      <c r="G28" s="674" t="str">
        <f>INDEX('DEFAULT DATA'!$EK$9:$GP$41,G$21,$E28)</f>
        <v>-</v>
      </c>
      <c r="H28" s="674" t="str">
        <f>INDEX('DEFAULT DATA'!$EK$9:$GP$41,H$21,$E28)</f>
        <v>-</v>
      </c>
      <c r="I28" s="674" t="str">
        <f>INDEX('DEFAULT DATA'!$EK$9:$GP$41,I$21,$E28)</f>
        <v>-</v>
      </c>
      <c r="J28" s="674" t="str">
        <f>INDEX('DEFAULT DATA'!$EK$9:$GP$41,J$21,$E28)</f>
        <v>-</v>
      </c>
      <c r="K28" s="674" t="str">
        <f>INDEX('DEFAULT DATA'!$EK$9:$GP$41,K$21,$E28)</f>
        <v>Pilsen</v>
      </c>
      <c r="L28" s="674" t="str">
        <f>INDEX('DEFAULT DATA'!$EK$9:$GP$41,L$21,$E28)</f>
        <v>-</v>
      </c>
      <c r="M28" s="674" t="str">
        <f>INDEX('DEFAULT DATA'!$EK$9:$GP$41,M$21,$E28)</f>
        <v>-</v>
      </c>
      <c r="N28" s="674" t="str">
        <f>INDEX('DEFAULT DATA'!$EK$9:$GP$41,N$21,$E28)</f>
        <v>-</v>
      </c>
      <c r="O28" s="674" t="str">
        <f>INDEX('DEFAULT DATA'!$EK$9:$GP$41,O$21,$E28)</f>
        <v>Brest</v>
      </c>
      <c r="P28" s="674" t="str">
        <f>INDEX('DEFAULT DATA'!$EK$9:$GP$41,P$21,$E28)</f>
        <v>Bochum/Gelsenkirchen</v>
      </c>
      <c r="Q28" s="674" t="str">
        <f>INDEX('DEFAULT DATA'!$EK$9:$GP$41,Q$21,$E28)</f>
        <v>-</v>
      </c>
      <c r="R28" s="674" t="str">
        <f>INDEX('DEFAULT DATA'!$EK$9:$GP$41,R$21,$E28)</f>
        <v>-</v>
      </c>
      <c r="S28" s="674" t="str">
        <f>INDEX('DEFAULT DATA'!$EK$9:$GP$41,S$21,$E28)</f>
        <v>-</v>
      </c>
      <c r="T28" s="674" t="str">
        <f>INDEX('DEFAULT DATA'!$EK$9:$GP$41,T$21,$E28)</f>
        <v>-</v>
      </c>
      <c r="U28" s="674" t="str">
        <f>INDEX('DEFAULT DATA'!$EK$9:$GP$41,U$21,$E28)</f>
        <v>Milan</v>
      </c>
      <c r="V28" s="674" t="str">
        <f>INDEX('DEFAULT DATA'!$EK$9:$GP$41,V$21,$E28)</f>
        <v>-</v>
      </c>
      <c r="W28" s="674" t="str">
        <f>INDEX('DEFAULT DATA'!$EK$9:$GP$41,W$21,$E28)</f>
        <v>-</v>
      </c>
      <c r="X28" s="674" t="str">
        <f>INDEX('DEFAULT DATA'!$EK$9:$GP$41,X$21,$E28)</f>
        <v>-</v>
      </c>
      <c r="Y28" s="674" t="str">
        <f>INDEX('DEFAULT DATA'!$EK$9:$GP$41,Y$21,$E28)</f>
        <v>-</v>
      </c>
      <c r="Z28" s="674" t="str">
        <f>INDEX('DEFAULT DATA'!$EK$9:$GP$41,Z$21,$E28)</f>
        <v>-</v>
      </c>
      <c r="AA28" s="674" t="str">
        <f>INDEX('DEFAULT DATA'!$EK$9:$GP$41,AA$21,$E28)</f>
        <v>-</v>
      </c>
      <c r="AB28" s="674" t="str">
        <f>INDEX('DEFAULT DATA'!$EK$9:$GP$41,AB$21,$E28)</f>
        <v>-</v>
      </c>
      <c r="AC28" s="674" t="str">
        <f>INDEX('DEFAULT DATA'!$EK$9:$GP$41,AC$21,$E28)</f>
        <v>Grudziądz</v>
      </c>
      <c r="AD28" s="674" t="str">
        <f>INDEX('DEFAULT DATA'!$EK$9:$GP$41,AD$21,$E28)</f>
        <v>-</v>
      </c>
      <c r="AE28" s="674" t="str">
        <f>INDEX('DEFAULT DATA'!$EK$9:$GP$41,AE$21,$E28)</f>
        <v>Craiova</v>
      </c>
      <c r="AF28" s="674" t="str">
        <f>INDEX('DEFAULT DATA'!$EK$9:$GP$41,AF$21,$E28)</f>
        <v>-</v>
      </c>
      <c r="AG28" s="674" t="str">
        <f>INDEX('DEFAULT DATA'!$EK$9:$GP$41,AG$21,$E28)</f>
        <v>-</v>
      </c>
      <c r="AH28" s="674" t="str">
        <f>INDEX('DEFAULT DATA'!$EK$9:$GP$41,AH$21,$E28)</f>
        <v>Murcia</v>
      </c>
      <c r="AI28" s="674" t="str">
        <f>INDEX('DEFAULT DATA'!$EK$9:$GP$41,AI$21,$E28)</f>
        <v>-</v>
      </c>
      <c r="AJ28" s="674" t="str">
        <f>INDEX('DEFAULT DATA'!$EK$9:$GP$41,AJ$21,$E28)</f>
        <v>Zürich</v>
      </c>
      <c r="AK28" s="674" t="str">
        <f>INDEX('DEFAULT DATA'!$EK$9:$GP$41,AK$21,$E28)</f>
        <v>Newcastle, Tyne and Wear Metro</v>
      </c>
    </row>
    <row r="29" spans="1:38">
      <c r="A29" s="110">
        <f>A28+1</f>
        <v>2050</v>
      </c>
      <c r="B29" s="66" t="s">
        <v>860</v>
      </c>
      <c r="E29" s="61">
        <f t="shared" si="4"/>
        <v>7</v>
      </c>
      <c r="F29" s="674" t="str">
        <f>INDEX('DEFAULT DATA'!$EK$9:$GP$41,F$21,$E29)</f>
        <v>-</v>
      </c>
      <c r="G29" s="674" t="str">
        <f>INDEX('DEFAULT DATA'!$EK$9:$GP$41,G$21,$E29)</f>
        <v>-</v>
      </c>
      <c r="H29" s="674" t="str">
        <f>INDEX('DEFAULT DATA'!$EK$9:$GP$41,H$21,$E29)</f>
        <v>-</v>
      </c>
      <c r="I29" s="674" t="str">
        <f>INDEX('DEFAULT DATA'!$EK$9:$GP$41,I$21,$E29)</f>
        <v>-</v>
      </c>
      <c r="J29" s="674" t="str">
        <f>INDEX('DEFAULT DATA'!$EK$9:$GP$41,J$21,$E29)</f>
        <v>-</v>
      </c>
      <c r="K29" s="674" t="str">
        <f>INDEX('DEFAULT DATA'!$EK$9:$GP$41,K$21,$E29)</f>
        <v>-</v>
      </c>
      <c r="L29" s="674" t="str">
        <f>INDEX('DEFAULT DATA'!$EK$9:$GP$41,L$21,$E29)</f>
        <v>-</v>
      </c>
      <c r="M29" s="674" t="str">
        <f>INDEX('DEFAULT DATA'!$EK$9:$GP$41,M$21,$E29)</f>
        <v>-</v>
      </c>
      <c r="N29" s="674" t="str">
        <f>INDEX('DEFAULT DATA'!$EK$9:$GP$41,N$21,$E29)</f>
        <v>-</v>
      </c>
      <c r="O29" s="674" t="str">
        <f>INDEX('DEFAULT DATA'!$EK$9:$GP$41,O$21,$E29)</f>
        <v>-</v>
      </c>
      <c r="P29" s="674" t="str">
        <f>INDEX('DEFAULT DATA'!$EK$9:$GP$41,P$21,$E29)</f>
        <v>Bonn Stadtbahn</v>
      </c>
      <c r="Q29" s="674" t="str">
        <f>INDEX('DEFAULT DATA'!$EK$9:$GP$41,Q$21,$E29)</f>
        <v>-</v>
      </c>
      <c r="R29" s="674" t="str">
        <f>INDEX('DEFAULT DATA'!$EK$9:$GP$41,R$21,$E29)</f>
        <v>-</v>
      </c>
      <c r="S29" s="674" t="str">
        <f>INDEX('DEFAULT DATA'!$EK$9:$GP$41,S$21,$E29)</f>
        <v>-</v>
      </c>
      <c r="T29" s="674" t="str">
        <f>INDEX('DEFAULT DATA'!$EK$9:$GP$41,T$21,$E29)</f>
        <v>-</v>
      </c>
      <c r="U29" s="674" t="str">
        <f>INDEX('DEFAULT DATA'!$EK$9:$GP$41,U$21,$E29)</f>
        <v>Naples</v>
      </c>
      <c r="V29" s="674" t="str">
        <f>INDEX('DEFAULT DATA'!$EK$9:$GP$41,V$21,$E29)</f>
        <v>-</v>
      </c>
      <c r="W29" s="674" t="str">
        <f>INDEX('DEFAULT DATA'!$EK$9:$GP$41,W$21,$E29)</f>
        <v>-</v>
      </c>
      <c r="X29" s="674" t="str">
        <f>INDEX('DEFAULT DATA'!$EK$9:$GP$41,X$21,$E29)</f>
        <v>-</v>
      </c>
      <c r="Y29" s="674" t="str">
        <f>INDEX('DEFAULT DATA'!$EK$9:$GP$41,Y$21,$E29)</f>
        <v>-</v>
      </c>
      <c r="Z29" s="674" t="str">
        <f>INDEX('DEFAULT DATA'!$EK$9:$GP$41,Z$21,$E29)</f>
        <v>-</v>
      </c>
      <c r="AA29" s="674" t="str">
        <f>INDEX('DEFAULT DATA'!$EK$9:$GP$41,AA$21,$E29)</f>
        <v>-</v>
      </c>
      <c r="AB29" s="674" t="str">
        <f>INDEX('DEFAULT DATA'!$EK$9:$GP$41,AB$21,$E29)</f>
        <v>-</v>
      </c>
      <c r="AC29" s="674" t="str">
        <f>INDEX('DEFAULT DATA'!$EK$9:$GP$41,AC$21,$E29)</f>
        <v>Katowice</v>
      </c>
      <c r="AD29" s="674" t="str">
        <f>INDEX('DEFAULT DATA'!$EK$9:$GP$41,AD$21,$E29)</f>
        <v>-</v>
      </c>
      <c r="AE29" s="674" t="str">
        <f>INDEX('DEFAULT DATA'!$EK$9:$GP$41,AE$21,$E29)</f>
        <v>Galați</v>
      </c>
      <c r="AF29" s="674" t="str">
        <f>INDEX('DEFAULT DATA'!$EK$9:$GP$41,AF$21,$E29)</f>
        <v>-</v>
      </c>
      <c r="AG29" s="674" t="str">
        <f>INDEX('DEFAULT DATA'!$EK$9:$GP$41,AG$21,$E29)</f>
        <v>-</v>
      </c>
      <c r="AH29" s="674" t="str">
        <f>INDEX('DEFAULT DATA'!$EK$9:$GP$41,AH$21,$E29)</f>
        <v>Parla</v>
      </c>
      <c r="AI29" s="674" t="str">
        <f>INDEX('DEFAULT DATA'!$EK$9:$GP$41,AI$21,$E29)</f>
        <v>-</v>
      </c>
      <c r="AJ29" s="674" t="str">
        <f>INDEX('DEFAULT DATA'!$EK$9:$GP$41,AJ$21,$E29)</f>
        <v>-</v>
      </c>
      <c r="AK29" s="674" t="str">
        <f>INDEX('DEFAULT DATA'!$EK$9:$GP$41,AK$21,$E29)</f>
        <v>Nottingham Express Transit</v>
      </c>
    </row>
    <row r="30" spans="1:38">
      <c r="B30" s="66" t="s">
        <v>859</v>
      </c>
      <c r="E30" s="61">
        <f t="shared" si="4"/>
        <v>8</v>
      </c>
      <c r="F30" s="674" t="str">
        <f>INDEX('DEFAULT DATA'!$EK$9:$GP$41,F$21,$E30)</f>
        <v>-</v>
      </c>
      <c r="G30" s="674" t="str">
        <f>INDEX('DEFAULT DATA'!$EK$9:$GP$41,G$21,$E30)</f>
        <v>-</v>
      </c>
      <c r="H30" s="674" t="str">
        <f>INDEX('DEFAULT DATA'!$EK$9:$GP$41,H$21,$E30)</f>
        <v>-</v>
      </c>
      <c r="I30" s="674" t="str">
        <f>INDEX('DEFAULT DATA'!$EK$9:$GP$41,I$21,$E30)</f>
        <v>-</v>
      </c>
      <c r="J30" s="674" t="str">
        <f>INDEX('DEFAULT DATA'!$EK$9:$GP$41,J$21,$E30)</f>
        <v>-</v>
      </c>
      <c r="K30" s="674" t="str">
        <f>INDEX('DEFAULT DATA'!$EK$9:$GP$41,K$21,$E30)</f>
        <v>-</v>
      </c>
      <c r="L30" s="674" t="str">
        <f>INDEX('DEFAULT DATA'!$EK$9:$GP$41,L$21,$E30)</f>
        <v>-</v>
      </c>
      <c r="M30" s="674" t="str">
        <f>INDEX('DEFAULT DATA'!$EK$9:$GP$41,M$21,$E30)</f>
        <v>-</v>
      </c>
      <c r="N30" s="674" t="str">
        <f>INDEX('DEFAULT DATA'!$EK$9:$GP$41,N$21,$E30)</f>
        <v>-</v>
      </c>
      <c r="O30" s="674" t="str">
        <f>INDEX('DEFAULT DATA'!$EK$9:$GP$41,O$21,$E30)</f>
        <v>-</v>
      </c>
      <c r="P30" s="674" t="str">
        <f>INDEX('DEFAULT DATA'!$EK$9:$GP$41,P$21,$E30)</f>
        <v>Bonn</v>
      </c>
      <c r="Q30" s="674" t="str">
        <f>INDEX('DEFAULT DATA'!$EK$9:$GP$41,Q$21,$E30)</f>
        <v>-</v>
      </c>
      <c r="R30" s="674" t="str">
        <f>INDEX('DEFAULT DATA'!$EK$9:$GP$41,R$21,$E30)</f>
        <v>-</v>
      </c>
      <c r="S30" s="674" t="str">
        <f>INDEX('DEFAULT DATA'!$EK$9:$GP$41,S$21,$E30)</f>
        <v>-</v>
      </c>
      <c r="T30" s="674" t="str">
        <f>INDEX('DEFAULT DATA'!$EK$9:$GP$41,T$21,$E30)</f>
        <v>-</v>
      </c>
      <c r="U30" s="674" t="str">
        <f>INDEX('DEFAULT DATA'!$EK$9:$GP$41,U$21,$E30)</f>
        <v>Padua</v>
      </c>
      <c r="V30" s="674" t="str">
        <f>INDEX('DEFAULT DATA'!$EK$9:$GP$41,V$21,$E30)</f>
        <v>-</v>
      </c>
      <c r="W30" s="674" t="str">
        <f>INDEX('DEFAULT DATA'!$EK$9:$GP$41,W$21,$E30)</f>
        <v>-</v>
      </c>
      <c r="X30" s="674" t="str">
        <f>INDEX('DEFAULT DATA'!$EK$9:$GP$41,X$21,$E30)</f>
        <v>-</v>
      </c>
      <c r="Y30" s="674" t="str">
        <f>INDEX('DEFAULT DATA'!$EK$9:$GP$41,Y$21,$E30)</f>
        <v>-</v>
      </c>
      <c r="Z30" s="674" t="str">
        <f>INDEX('DEFAULT DATA'!$EK$9:$GP$41,Z$21,$E30)</f>
        <v>-</v>
      </c>
      <c r="AA30" s="674" t="str">
        <f>INDEX('DEFAULT DATA'!$EK$9:$GP$41,AA$21,$E30)</f>
        <v>-</v>
      </c>
      <c r="AB30" s="674" t="str">
        <f>INDEX('DEFAULT DATA'!$EK$9:$GP$41,AB$21,$E30)</f>
        <v>-</v>
      </c>
      <c r="AC30" s="674" t="str">
        <f>INDEX('DEFAULT DATA'!$EK$9:$GP$41,AC$21,$E30)</f>
        <v>Kraków</v>
      </c>
      <c r="AD30" s="674" t="str">
        <f>INDEX('DEFAULT DATA'!$EK$9:$GP$41,AD$21,$E30)</f>
        <v>-</v>
      </c>
      <c r="AE30" s="674" t="str">
        <f>INDEX('DEFAULT DATA'!$EK$9:$GP$41,AE$21,$E30)</f>
        <v>Iași (RATP Iași)</v>
      </c>
      <c r="AF30" s="674" t="str">
        <f>INDEX('DEFAULT DATA'!$EK$9:$GP$41,AF$21,$E30)</f>
        <v>-</v>
      </c>
      <c r="AG30" s="674" t="str">
        <f>INDEX('DEFAULT DATA'!$EK$9:$GP$41,AG$21,$E30)</f>
        <v>-</v>
      </c>
      <c r="AH30" s="674" t="str">
        <f>INDEX('DEFAULT DATA'!$EK$9:$GP$41,AH$21,$E30)</f>
        <v>Santa Cruz de Tenerife</v>
      </c>
      <c r="AI30" s="674" t="str">
        <f>INDEX('DEFAULT DATA'!$EK$9:$GP$41,AI$21,$E30)</f>
        <v>-</v>
      </c>
      <c r="AJ30" s="674" t="str">
        <f>INDEX('DEFAULT DATA'!$EK$9:$GP$41,AJ$21,$E30)</f>
        <v>-</v>
      </c>
      <c r="AK30" s="674" t="str">
        <f>INDEX('DEFAULT DATA'!$EK$9:$GP$41,AK$21,$E30)</f>
        <v>Sheffield Supertram</v>
      </c>
    </row>
    <row r="31" spans="1:38">
      <c r="B31" s="61" t="s">
        <v>870</v>
      </c>
      <c r="E31" s="61">
        <f t="shared" si="4"/>
        <v>9</v>
      </c>
      <c r="F31" s="674" t="str">
        <f>INDEX('DEFAULT DATA'!$EK$9:$GP$41,F$21,$E31)</f>
        <v>-</v>
      </c>
      <c r="G31" s="674" t="str">
        <f>INDEX('DEFAULT DATA'!$EK$9:$GP$41,G$21,$E31)</f>
        <v>-</v>
      </c>
      <c r="H31" s="674" t="str">
        <f>INDEX('DEFAULT DATA'!$EK$9:$GP$41,H$21,$E31)</f>
        <v>-</v>
      </c>
      <c r="I31" s="674" t="str">
        <f>INDEX('DEFAULT DATA'!$EK$9:$GP$41,I$21,$E31)</f>
        <v>-</v>
      </c>
      <c r="J31" s="674" t="str">
        <f>INDEX('DEFAULT DATA'!$EK$9:$GP$41,J$21,$E31)</f>
        <v>-</v>
      </c>
      <c r="K31" s="674" t="str">
        <f>INDEX('DEFAULT DATA'!$EK$9:$GP$41,K$21,$E31)</f>
        <v>-</v>
      </c>
      <c r="L31" s="674" t="str">
        <f>INDEX('DEFAULT DATA'!$EK$9:$GP$41,L$21,$E31)</f>
        <v>-</v>
      </c>
      <c r="M31" s="674" t="str">
        <f>INDEX('DEFAULT DATA'!$EK$9:$GP$41,M$21,$E31)</f>
        <v>-</v>
      </c>
      <c r="N31" s="674" t="str">
        <f>INDEX('DEFAULT DATA'!$EK$9:$GP$41,N$21,$E31)</f>
        <v>-</v>
      </c>
      <c r="O31" s="674" t="str">
        <f>INDEX('DEFAULT DATA'!$EK$9:$GP$41,O$21,$E31)</f>
        <v>-</v>
      </c>
      <c r="P31" s="674" t="str">
        <f>INDEX('DEFAULT DATA'!$EK$9:$GP$41,P$21,$E31)</f>
        <v>Brandenburg  and der Havel</v>
      </c>
      <c r="Q31" s="674" t="str">
        <f>INDEX('DEFAULT DATA'!$EK$9:$GP$41,Q$21,$E31)</f>
        <v>-</v>
      </c>
      <c r="R31" s="674" t="str">
        <f>INDEX('DEFAULT DATA'!$EK$9:$GP$41,R$21,$E31)</f>
        <v>-</v>
      </c>
      <c r="S31" s="674" t="str">
        <f>INDEX('DEFAULT DATA'!$EK$9:$GP$41,S$21,$E31)</f>
        <v>-</v>
      </c>
      <c r="T31" s="674" t="str">
        <f>INDEX('DEFAULT DATA'!$EK$9:$GP$41,T$21,$E31)</f>
        <v>-</v>
      </c>
      <c r="U31" s="674" t="str">
        <f>INDEX('DEFAULT DATA'!$EK$9:$GP$41,U$21,$E31)</f>
        <v>Palermo</v>
      </c>
      <c r="V31" s="674" t="str">
        <f>INDEX('DEFAULT DATA'!$EK$9:$GP$41,V$21,$E31)</f>
        <v>-</v>
      </c>
      <c r="W31" s="674" t="str">
        <f>INDEX('DEFAULT DATA'!$EK$9:$GP$41,W$21,$E31)</f>
        <v>-</v>
      </c>
      <c r="X31" s="674" t="str">
        <f>INDEX('DEFAULT DATA'!$EK$9:$GP$41,X$21,$E31)</f>
        <v>-</v>
      </c>
      <c r="Y31" s="674" t="str">
        <f>INDEX('DEFAULT DATA'!$EK$9:$GP$41,Y$21,$E31)</f>
        <v>-</v>
      </c>
      <c r="Z31" s="674" t="str">
        <f>INDEX('DEFAULT DATA'!$EK$9:$GP$41,Z$21,$E31)</f>
        <v>-</v>
      </c>
      <c r="AA31" s="674" t="str">
        <f>INDEX('DEFAULT DATA'!$EK$9:$GP$41,AA$21,$E31)</f>
        <v>-</v>
      </c>
      <c r="AB31" s="674" t="str">
        <f>INDEX('DEFAULT DATA'!$EK$9:$GP$41,AB$21,$E31)</f>
        <v>-</v>
      </c>
      <c r="AC31" s="674" t="str">
        <f>INDEX('DEFAULT DATA'!$EK$9:$GP$41,AC$21,$E31)</f>
        <v>Kraków Fast Tram</v>
      </c>
      <c r="AD31" s="674" t="str">
        <f>INDEX('DEFAULT DATA'!$EK$9:$GP$41,AD$21,$E31)</f>
        <v>-</v>
      </c>
      <c r="AE31" s="674" t="str">
        <f>INDEX('DEFAULT DATA'!$EK$9:$GP$41,AE$21,$E31)</f>
        <v>Oradea</v>
      </c>
      <c r="AF31" s="674" t="str">
        <f>INDEX('DEFAULT DATA'!$EK$9:$GP$41,AF$21,$E31)</f>
        <v>-</v>
      </c>
      <c r="AG31" s="674" t="str">
        <f>INDEX('DEFAULT DATA'!$EK$9:$GP$41,AG$21,$E31)</f>
        <v>-</v>
      </c>
      <c r="AH31" s="674" t="str">
        <f>INDEX('DEFAULT DATA'!$EK$9:$GP$41,AH$21,$E31)</f>
        <v>Seville</v>
      </c>
      <c r="AI31" s="674" t="str">
        <f>INDEX('DEFAULT DATA'!$EK$9:$GP$41,AI$21,$E31)</f>
        <v>-</v>
      </c>
      <c r="AJ31" s="674" t="str">
        <f>INDEX('DEFAULT DATA'!$EK$9:$GP$41,AJ$21,$E31)</f>
        <v>-</v>
      </c>
      <c r="AK31" s="674" t="str">
        <f>INDEX('DEFAULT DATA'!$EK$9:$GP$41,AK$21,$E31)</f>
        <v>Docklands Light Railway</v>
      </c>
    </row>
    <row r="32" spans="1:38">
      <c r="B32" s="61" t="s">
        <v>871</v>
      </c>
      <c r="E32" s="61">
        <f t="shared" si="4"/>
        <v>10</v>
      </c>
      <c r="F32" s="674" t="str">
        <f>INDEX('DEFAULT DATA'!$EK$9:$GP$41,F$21,$E32)</f>
        <v>-</v>
      </c>
      <c r="G32" s="674" t="str">
        <f>INDEX('DEFAULT DATA'!$EK$9:$GP$41,G$21,$E32)</f>
        <v>-</v>
      </c>
      <c r="H32" s="674" t="str">
        <f>INDEX('DEFAULT DATA'!$EK$9:$GP$41,H$21,$E32)</f>
        <v>-</v>
      </c>
      <c r="I32" s="674" t="str">
        <f>INDEX('DEFAULT DATA'!$EK$9:$GP$41,I$21,$E32)</f>
        <v>-</v>
      </c>
      <c r="J32" s="674" t="str">
        <f>INDEX('DEFAULT DATA'!$EK$9:$GP$41,J$21,$E32)</f>
        <v>-</v>
      </c>
      <c r="K32" s="674" t="str">
        <f>INDEX('DEFAULT DATA'!$EK$9:$GP$41,K$21,$E32)</f>
        <v>-</v>
      </c>
      <c r="L32" s="674" t="str">
        <f>INDEX('DEFAULT DATA'!$EK$9:$GP$41,L$21,$E32)</f>
        <v>-</v>
      </c>
      <c r="M32" s="674" t="str">
        <f>INDEX('DEFAULT DATA'!$EK$9:$GP$41,M$21,$E32)</f>
        <v>-</v>
      </c>
      <c r="N32" s="674" t="str">
        <f>INDEX('DEFAULT DATA'!$EK$9:$GP$41,N$21,$E32)</f>
        <v>-</v>
      </c>
      <c r="O32" s="674" t="str">
        <f>INDEX('DEFAULT DATA'!$EK$9:$GP$41,O$21,$E32)</f>
        <v>-</v>
      </c>
      <c r="P32" s="674" t="str">
        <f>INDEX('DEFAULT DATA'!$EK$9:$GP$41,P$21,$E32)</f>
        <v>Braunschweig</v>
      </c>
      <c r="Q32" s="674" t="str">
        <f>INDEX('DEFAULT DATA'!$EK$9:$GP$41,Q$21,$E32)</f>
        <v>-</v>
      </c>
      <c r="R32" s="674" t="str">
        <f>INDEX('DEFAULT DATA'!$EK$9:$GP$41,R$21,$E32)</f>
        <v>-</v>
      </c>
      <c r="S32" s="674" t="str">
        <f>INDEX('DEFAULT DATA'!$EK$9:$GP$41,S$21,$E32)</f>
        <v>-</v>
      </c>
      <c r="T32" s="674" t="str">
        <f>INDEX('DEFAULT DATA'!$EK$9:$GP$41,T$21,$E32)</f>
        <v>-</v>
      </c>
      <c r="U32" s="674" t="str">
        <f>INDEX('DEFAULT DATA'!$EK$9:$GP$41,U$21,$E32)</f>
        <v>Rome</v>
      </c>
      <c r="V32" s="674" t="str">
        <f>INDEX('DEFAULT DATA'!$EK$9:$GP$41,V$21,$E32)</f>
        <v>-</v>
      </c>
      <c r="W32" s="674" t="str">
        <f>INDEX('DEFAULT DATA'!$EK$9:$GP$41,W$21,$E32)</f>
        <v>-</v>
      </c>
      <c r="X32" s="674" t="str">
        <f>INDEX('DEFAULT DATA'!$EK$9:$GP$41,X$21,$E32)</f>
        <v>-</v>
      </c>
      <c r="Y32" s="674" t="str">
        <f>INDEX('DEFAULT DATA'!$EK$9:$GP$41,Y$21,$E32)</f>
        <v>-</v>
      </c>
      <c r="Z32" s="674" t="str">
        <f>INDEX('DEFAULT DATA'!$EK$9:$GP$41,Z$21,$E32)</f>
        <v>-</v>
      </c>
      <c r="AA32" s="674" t="str">
        <f>INDEX('DEFAULT DATA'!$EK$9:$GP$41,AA$21,$E32)</f>
        <v>-</v>
      </c>
      <c r="AB32" s="674" t="str">
        <f>INDEX('DEFAULT DATA'!$EK$9:$GP$41,AB$21,$E32)</f>
        <v>-</v>
      </c>
      <c r="AC32" s="674" t="str">
        <f>INDEX('DEFAULT DATA'!$EK$9:$GP$41,AC$21,$E32)</f>
        <v>Łódź</v>
      </c>
      <c r="AD32" s="674" t="str">
        <f>INDEX('DEFAULT DATA'!$EK$9:$GP$41,AD$21,$E32)</f>
        <v>-</v>
      </c>
      <c r="AE32" s="674" t="str">
        <f>INDEX('DEFAULT DATA'!$EK$9:$GP$41,AE$21,$E32)</f>
        <v>Ploiești</v>
      </c>
      <c r="AF32" s="674" t="str">
        <f>INDEX('DEFAULT DATA'!$EK$9:$GP$41,AF$21,$E32)</f>
        <v>-</v>
      </c>
      <c r="AG32" s="674" t="str">
        <f>INDEX('DEFAULT DATA'!$EK$9:$GP$41,AG$21,$E32)</f>
        <v>-</v>
      </c>
      <c r="AH32" s="674" t="str">
        <f>INDEX('DEFAULT DATA'!$EK$9:$GP$41,AH$21,$E32)</f>
        <v>Sóller, Mallorca</v>
      </c>
      <c r="AI32" s="674" t="str">
        <f>INDEX('DEFAULT DATA'!$EK$9:$GP$41,AI$21,$E32)</f>
        <v>-</v>
      </c>
      <c r="AJ32" s="674" t="str">
        <f>INDEX('DEFAULT DATA'!$EK$9:$GP$41,AJ$21,$E32)</f>
        <v>-</v>
      </c>
      <c r="AK32" s="674" t="str">
        <f>INDEX('DEFAULT DATA'!$EK$9:$GP$41,AK$21,$E32)</f>
        <v>-</v>
      </c>
    </row>
    <row r="33" spans="2:37">
      <c r="B33" s="61" t="s">
        <v>872</v>
      </c>
      <c r="E33" s="61">
        <f t="shared" si="4"/>
        <v>11</v>
      </c>
      <c r="F33" s="674" t="str">
        <f>INDEX('DEFAULT DATA'!$EK$9:$GP$41,F$21,$E33)</f>
        <v>-</v>
      </c>
      <c r="G33" s="674" t="str">
        <f>INDEX('DEFAULT DATA'!$EK$9:$GP$41,G$21,$E33)</f>
        <v>-</v>
      </c>
      <c r="H33" s="674" t="str">
        <f>INDEX('DEFAULT DATA'!$EK$9:$GP$41,H$21,$E33)</f>
        <v>-</v>
      </c>
      <c r="I33" s="674" t="str">
        <f>INDEX('DEFAULT DATA'!$EK$9:$GP$41,I$21,$E33)</f>
        <v>-</v>
      </c>
      <c r="J33" s="674" t="str">
        <f>INDEX('DEFAULT DATA'!$EK$9:$GP$41,J$21,$E33)</f>
        <v>-</v>
      </c>
      <c r="K33" s="674" t="str">
        <f>INDEX('DEFAULT DATA'!$EK$9:$GP$41,K$21,$E33)</f>
        <v>-</v>
      </c>
      <c r="L33" s="674" t="str">
        <f>INDEX('DEFAULT DATA'!$EK$9:$GP$41,L$21,$E33)</f>
        <v>-</v>
      </c>
      <c r="M33" s="674" t="str">
        <f>INDEX('DEFAULT DATA'!$EK$9:$GP$41,M$21,$E33)</f>
        <v>-</v>
      </c>
      <c r="N33" s="674" t="str">
        <f>INDEX('DEFAULT DATA'!$EK$9:$GP$41,N$21,$E33)</f>
        <v>-</v>
      </c>
      <c r="O33" s="674" t="str">
        <f>INDEX('DEFAULT DATA'!$EK$9:$GP$41,O$21,$E33)</f>
        <v>-</v>
      </c>
      <c r="P33" s="674" t="str">
        <f>INDEX('DEFAULT DATA'!$EK$9:$GP$41,P$21,$E33)</f>
        <v>Bremen</v>
      </c>
      <c r="Q33" s="674" t="str">
        <f>INDEX('DEFAULT DATA'!$EK$9:$GP$41,Q$21,$E33)</f>
        <v>-</v>
      </c>
      <c r="R33" s="674" t="str">
        <f>INDEX('DEFAULT DATA'!$EK$9:$GP$41,R$21,$E33)</f>
        <v>-</v>
      </c>
      <c r="S33" s="674" t="str">
        <f>INDEX('DEFAULT DATA'!$EK$9:$GP$41,S$21,$E33)</f>
        <v>-</v>
      </c>
      <c r="T33" s="674" t="str">
        <f>INDEX('DEFAULT DATA'!$EK$9:$GP$41,T$21,$E33)</f>
        <v>-</v>
      </c>
      <c r="U33" s="674" t="str">
        <f>INDEX('DEFAULT DATA'!$EK$9:$GP$41,U$21,$E33)</f>
        <v>Sassari</v>
      </c>
      <c r="V33" s="674" t="str">
        <f>INDEX('DEFAULT DATA'!$EK$9:$GP$41,V$21,$E33)</f>
        <v>-</v>
      </c>
      <c r="W33" s="674" t="str">
        <f>INDEX('DEFAULT DATA'!$EK$9:$GP$41,W$21,$E33)</f>
        <v>-</v>
      </c>
      <c r="X33" s="674" t="str">
        <f>INDEX('DEFAULT DATA'!$EK$9:$GP$41,X$21,$E33)</f>
        <v>-</v>
      </c>
      <c r="Y33" s="674" t="str">
        <f>INDEX('DEFAULT DATA'!$EK$9:$GP$41,Y$21,$E33)</f>
        <v>-</v>
      </c>
      <c r="Z33" s="674" t="str">
        <f>INDEX('DEFAULT DATA'!$EK$9:$GP$41,Z$21,$E33)</f>
        <v>-</v>
      </c>
      <c r="AA33" s="674" t="str">
        <f>INDEX('DEFAULT DATA'!$EK$9:$GP$41,AA$21,$E33)</f>
        <v>-</v>
      </c>
      <c r="AB33" s="674" t="str">
        <f>INDEX('DEFAULT DATA'!$EK$9:$GP$41,AB$21,$E33)</f>
        <v>-</v>
      </c>
      <c r="AC33" s="674" t="str">
        <f>INDEX('DEFAULT DATA'!$EK$9:$GP$41,AC$21,$E33)</f>
        <v>Olsztyn</v>
      </c>
      <c r="AD33" s="674" t="str">
        <f>INDEX('DEFAULT DATA'!$EK$9:$GP$41,AD$21,$E33)</f>
        <v>-</v>
      </c>
      <c r="AE33" s="674" t="str">
        <f>INDEX('DEFAULT DATA'!$EK$9:$GP$41,AE$21,$E33)</f>
        <v>Timișoara</v>
      </c>
      <c r="AF33" s="674" t="str">
        <f>INDEX('DEFAULT DATA'!$EK$9:$GP$41,AF$21,$E33)</f>
        <v>-</v>
      </c>
      <c r="AG33" s="674" t="str">
        <f>INDEX('DEFAULT DATA'!$EK$9:$GP$41,AG$21,$E33)</f>
        <v>-</v>
      </c>
      <c r="AH33" s="674" t="str">
        <f>INDEX('DEFAULT DATA'!$EK$9:$GP$41,AH$21,$E33)</f>
        <v>Valencia</v>
      </c>
      <c r="AI33" s="674" t="str">
        <f>INDEX('DEFAULT DATA'!$EK$9:$GP$41,AI$21,$E33)</f>
        <v>-</v>
      </c>
      <c r="AJ33" s="674" t="str">
        <f>INDEX('DEFAULT DATA'!$EK$9:$GP$41,AJ$21,$E33)</f>
        <v>-</v>
      </c>
      <c r="AK33" s="674" t="str">
        <f>INDEX('DEFAULT DATA'!$EK$9:$GP$41,AK$21,$E33)</f>
        <v>-</v>
      </c>
    </row>
    <row r="34" spans="2:37">
      <c r="B34" s="61" t="s">
        <v>873</v>
      </c>
      <c r="E34" s="61">
        <f t="shared" si="4"/>
        <v>12</v>
      </c>
      <c r="F34" s="674" t="str">
        <f>INDEX('DEFAULT DATA'!$EK$9:$GP$41,F$21,$E34)</f>
        <v>-</v>
      </c>
      <c r="G34" s="674" t="str">
        <f>INDEX('DEFAULT DATA'!$EK$9:$GP$41,G$21,$E34)</f>
        <v>-</v>
      </c>
      <c r="H34" s="674" t="str">
        <f>INDEX('DEFAULT DATA'!$EK$9:$GP$41,H$21,$E34)</f>
        <v>-</v>
      </c>
      <c r="I34" s="674" t="str">
        <f>INDEX('DEFAULT DATA'!$EK$9:$GP$41,I$21,$E34)</f>
        <v>-</v>
      </c>
      <c r="J34" s="674" t="str">
        <f>INDEX('DEFAULT DATA'!$EK$9:$GP$41,J$21,$E34)</f>
        <v>-</v>
      </c>
      <c r="K34" s="674" t="str">
        <f>INDEX('DEFAULT DATA'!$EK$9:$GP$41,K$21,$E34)</f>
        <v>-</v>
      </c>
      <c r="L34" s="674" t="str">
        <f>INDEX('DEFAULT DATA'!$EK$9:$GP$41,L$21,$E34)</f>
        <v>-</v>
      </c>
      <c r="M34" s="674" t="str">
        <f>INDEX('DEFAULT DATA'!$EK$9:$GP$41,M$21,$E34)</f>
        <v>-</v>
      </c>
      <c r="N34" s="674" t="str">
        <f>INDEX('DEFAULT DATA'!$EK$9:$GP$41,N$21,$E34)</f>
        <v>-</v>
      </c>
      <c r="O34" s="674" t="str">
        <f>INDEX('DEFAULT DATA'!$EK$9:$GP$41,O$21,$E34)</f>
        <v>-</v>
      </c>
      <c r="P34" s="674" t="str">
        <f>INDEX('DEFAULT DATA'!$EK$9:$GP$41,P$21,$E34)</f>
        <v>Chemnitz</v>
      </c>
      <c r="Q34" s="674" t="str">
        <f>INDEX('DEFAULT DATA'!$EK$9:$GP$41,Q$21,$E34)</f>
        <v>-</v>
      </c>
      <c r="R34" s="674" t="str">
        <f>INDEX('DEFAULT DATA'!$EK$9:$GP$41,R$21,$E34)</f>
        <v>-</v>
      </c>
      <c r="S34" s="674" t="str">
        <f>INDEX('DEFAULT DATA'!$EK$9:$GP$41,S$21,$E34)</f>
        <v>-</v>
      </c>
      <c r="T34" s="674" t="str">
        <f>INDEX('DEFAULT DATA'!$EK$9:$GP$41,T$21,$E34)</f>
        <v>-</v>
      </c>
      <c r="U34" s="674" t="str">
        <f>INDEX('DEFAULT DATA'!$EK$9:$GP$41,U$21,$E34)</f>
        <v>Turin</v>
      </c>
      <c r="V34" s="674" t="str">
        <f>INDEX('DEFAULT DATA'!$EK$9:$GP$41,V$21,$E34)</f>
        <v>-</v>
      </c>
      <c r="W34" s="674" t="str">
        <f>INDEX('DEFAULT DATA'!$EK$9:$GP$41,W$21,$E34)</f>
        <v>-</v>
      </c>
      <c r="X34" s="674" t="str">
        <f>INDEX('DEFAULT DATA'!$EK$9:$GP$41,X$21,$E34)</f>
        <v>-</v>
      </c>
      <c r="Y34" s="674" t="str">
        <f>INDEX('DEFAULT DATA'!$EK$9:$GP$41,Y$21,$E34)</f>
        <v>-</v>
      </c>
      <c r="Z34" s="674" t="str">
        <f>INDEX('DEFAULT DATA'!$EK$9:$GP$41,Z$21,$E34)</f>
        <v>-</v>
      </c>
      <c r="AA34" s="674" t="str">
        <f>INDEX('DEFAULT DATA'!$EK$9:$GP$41,AA$21,$E34)</f>
        <v>-</v>
      </c>
      <c r="AB34" s="674" t="str">
        <f>INDEX('DEFAULT DATA'!$EK$9:$GP$41,AB$21,$E34)</f>
        <v>-</v>
      </c>
      <c r="AC34" s="674" t="str">
        <f>INDEX('DEFAULT DATA'!$EK$9:$GP$41,AC$21,$E34)</f>
        <v>Poznań</v>
      </c>
      <c r="AD34" s="674" t="str">
        <f>INDEX('DEFAULT DATA'!$EK$9:$GP$41,AD$21,$E34)</f>
        <v>-</v>
      </c>
      <c r="AE34" s="674" t="str">
        <f>INDEX('DEFAULT DATA'!$EK$9:$GP$41,AE$21,$E34)</f>
        <v>-</v>
      </c>
      <c r="AF34" s="674" t="str">
        <f>INDEX('DEFAULT DATA'!$EK$9:$GP$41,AF$21,$E34)</f>
        <v>-</v>
      </c>
      <c r="AG34" s="674" t="str">
        <f>INDEX('DEFAULT DATA'!$EK$9:$GP$41,AG$21,$E34)</f>
        <v>-</v>
      </c>
      <c r="AH34" s="674" t="str">
        <f>INDEX('DEFAULT DATA'!$EK$9:$GP$41,AH$21,$E34)</f>
        <v>Vitoria-Gasteiz</v>
      </c>
      <c r="AI34" s="674" t="str">
        <f>INDEX('DEFAULT DATA'!$EK$9:$GP$41,AI$21,$E34)</f>
        <v>-</v>
      </c>
      <c r="AJ34" s="674" t="str">
        <f>INDEX('DEFAULT DATA'!$EK$9:$GP$41,AJ$21,$E34)</f>
        <v>-</v>
      </c>
      <c r="AK34" s="674" t="str">
        <f>INDEX('DEFAULT DATA'!$EK$9:$GP$41,AK$21,$E34)</f>
        <v>-</v>
      </c>
    </row>
    <row r="35" spans="2:37">
      <c r="B35" s="61" t="s">
        <v>874</v>
      </c>
      <c r="E35" s="61">
        <f t="shared" si="4"/>
        <v>13</v>
      </c>
      <c r="F35" s="674" t="str">
        <f>INDEX('DEFAULT DATA'!$EK$9:$GP$41,F$21,$E35)</f>
        <v>-</v>
      </c>
      <c r="G35" s="674" t="str">
        <f>INDEX('DEFAULT DATA'!$EK$9:$GP$41,G$21,$E35)</f>
        <v>-</v>
      </c>
      <c r="H35" s="674" t="str">
        <f>INDEX('DEFAULT DATA'!$EK$9:$GP$41,H$21,$E35)</f>
        <v>-</v>
      </c>
      <c r="I35" s="674" t="str">
        <f>INDEX('DEFAULT DATA'!$EK$9:$GP$41,I$21,$E35)</f>
        <v>-</v>
      </c>
      <c r="J35" s="674" t="str">
        <f>INDEX('DEFAULT DATA'!$EK$9:$GP$41,J$21,$E35)</f>
        <v>-</v>
      </c>
      <c r="K35" s="674" t="str">
        <f>INDEX('DEFAULT DATA'!$EK$9:$GP$41,K$21,$E35)</f>
        <v>-</v>
      </c>
      <c r="L35" s="674" t="str">
        <f>INDEX('DEFAULT DATA'!$EK$9:$GP$41,L$21,$E35)</f>
        <v>-</v>
      </c>
      <c r="M35" s="674" t="str">
        <f>INDEX('DEFAULT DATA'!$EK$9:$GP$41,M$21,$E35)</f>
        <v>-</v>
      </c>
      <c r="N35" s="674" t="str">
        <f>INDEX('DEFAULT DATA'!$EK$9:$GP$41,N$21,$E35)</f>
        <v>-</v>
      </c>
      <c r="O35" s="674" t="str">
        <f>INDEX('DEFAULT DATA'!$EK$9:$GP$41,O$21,$E35)</f>
        <v>-</v>
      </c>
      <c r="P35" s="674" t="str">
        <f>INDEX('DEFAULT DATA'!$EK$9:$GP$41,P$21,$E35)</f>
        <v>Cologne</v>
      </c>
      <c r="Q35" s="674" t="str">
        <f>INDEX('DEFAULT DATA'!$EK$9:$GP$41,Q$21,$E35)</f>
        <v>-</v>
      </c>
      <c r="R35" s="674" t="str">
        <f>INDEX('DEFAULT DATA'!$EK$9:$GP$41,R$21,$E35)</f>
        <v>-</v>
      </c>
      <c r="S35" s="674" t="str">
        <f>INDEX('DEFAULT DATA'!$EK$9:$GP$41,S$21,$E35)</f>
        <v>-</v>
      </c>
      <c r="T35" s="674" t="str">
        <f>INDEX('DEFAULT DATA'!$EK$9:$GP$41,T$21,$E35)</f>
        <v>-</v>
      </c>
      <c r="U35" s="674" t="str">
        <f>INDEX('DEFAULT DATA'!$EK$9:$GP$41,U$21,$E35)</f>
        <v>Trieste–Opicina</v>
      </c>
      <c r="V35" s="674" t="str">
        <f>INDEX('DEFAULT DATA'!$EK$9:$GP$41,V$21,$E35)</f>
        <v>-</v>
      </c>
      <c r="W35" s="674" t="str">
        <f>INDEX('DEFAULT DATA'!$EK$9:$GP$41,W$21,$E35)</f>
        <v>-</v>
      </c>
      <c r="X35" s="674" t="str">
        <f>INDEX('DEFAULT DATA'!$EK$9:$GP$41,X$21,$E35)</f>
        <v>-</v>
      </c>
      <c r="Y35" s="674" t="str">
        <f>INDEX('DEFAULT DATA'!$EK$9:$GP$41,Y$21,$E35)</f>
        <v>-</v>
      </c>
      <c r="Z35" s="674" t="str">
        <f>INDEX('DEFAULT DATA'!$EK$9:$GP$41,Z$21,$E35)</f>
        <v>-</v>
      </c>
      <c r="AA35" s="674" t="str">
        <f>INDEX('DEFAULT DATA'!$EK$9:$GP$41,AA$21,$E35)</f>
        <v>-</v>
      </c>
      <c r="AB35" s="674" t="str">
        <f>INDEX('DEFAULT DATA'!$EK$9:$GP$41,AB$21,$E35)</f>
        <v>-</v>
      </c>
      <c r="AC35" s="674" t="str">
        <f>INDEX('DEFAULT DATA'!$EK$9:$GP$41,AC$21,$E35)</f>
        <v>Poznań Fast Tram</v>
      </c>
      <c r="AD35" s="674" t="str">
        <f>INDEX('DEFAULT DATA'!$EK$9:$GP$41,AD$21,$E35)</f>
        <v>-</v>
      </c>
      <c r="AE35" s="674" t="str">
        <f>INDEX('DEFAULT DATA'!$EK$9:$GP$41,AE$21,$E35)</f>
        <v>-</v>
      </c>
      <c r="AF35" s="674" t="str">
        <f>INDEX('DEFAULT DATA'!$EK$9:$GP$41,AF$21,$E35)</f>
        <v>-</v>
      </c>
      <c r="AG35" s="674" t="str">
        <f>INDEX('DEFAULT DATA'!$EK$9:$GP$41,AG$21,$E35)</f>
        <v>-</v>
      </c>
      <c r="AH35" s="674" t="str">
        <f>INDEX('DEFAULT DATA'!$EK$9:$GP$41,AH$21,$E35)</f>
        <v>Zaragoza</v>
      </c>
      <c r="AI35" s="674" t="str">
        <f>INDEX('DEFAULT DATA'!$EK$9:$GP$41,AI$21,$E35)</f>
        <v>-</v>
      </c>
      <c r="AJ35" s="674" t="str">
        <f>INDEX('DEFAULT DATA'!$EK$9:$GP$41,AJ$21,$E35)</f>
        <v>-</v>
      </c>
      <c r="AK35" s="674" t="str">
        <f>INDEX('DEFAULT DATA'!$EK$9:$GP$41,AK$21,$E35)</f>
        <v>-</v>
      </c>
    </row>
    <row r="36" spans="2:37">
      <c r="B36" s="61" t="s">
        <v>875</v>
      </c>
      <c r="E36" s="61">
        <f t="shared" si="4"/>
        <v>14</v>
      </c>
      <c r="F36" s="674" t="str">
        <f>INDEX('DEFAULT DATA'!$EK$9:$GP$41,F$21,$E36)</f>
        <v>-</v>
      </c>
      <c r="G36" s="674" t="str">
        <f>INDEX('DEFAULT DATA'!$EK$9:$GP$41,G$21,$E36)</f>
        <v>-</v>
      </c>
      <c r="H36" s="674" t="str">
        <f>INDEX('DEFAULT DATA'!$EK$9:$GP$41,H$21,$E36)</f>
        <v>-</v>
      </c>
      <c r="I36" s="674" t="str">
        <f>INDEX('DEFAULT DATA'!$EK$9:$GP$41,I$21,$E36)</f>
        <v>-</v>
      </c>
      <c r="J36" s="674" t="str">
        <f>INDEX('DEFAULT DATA'!$EK$9:$GP$41,J$21,$E36)</f>
        <v>-</v>
      </c>
      <c r="K36" s="674" t="str">
        <f>INDEX('DEFAULT DATA'!$EK$9:$GP$41,K$21,$E36)</f>
        <v>-</v>
      </c>
      <c r="L36" s="674" t="str">
        <f>INDEX('DEFAULT DATA'!$EK$9:$GP$41,L$21,$E36)</f>
        <v>-</v>
      </c>
      <c r="M36" s="674" t="str">
        <f>INDEX('DEFAULT DATA'!$EK$9:$GP$41,M$21,$E36)</f>
        <v>-</v>
      </c>
      <c r="N36" s="674" t="str">
        <f>INDEX('DEFAULT DATA'!$EK$9:$GP$41,N$21,$E36)</f>
        <v>-</v>
      </c>
      <c r="O36" s="674" t="str">
        <f>INDEX('DEFAULT DATA'!$EK$9:$GP$41,O$21,$E36)</f>
        <v>-</v>
      </c>
      <c r="P36" s="674" t="str">
        <f>INDEX('DEFAULT DATA'!$EK$9:$GP$41,P$21,$E36)</f>
        <v>Cottbus</v>
      </c>
      <c r="Q36" s="674" t="str">
        <f>INDEX('DEFAULT DATA'!$EK$9:$GP$41,Q$21,$E36)</f>
        <v>-</v>
      </c>
      <c r="R36" s="674" t="str">
        <f>INDEX('DEFAULT DATA'!$EK$9:$GP$41,R$21,$E36)</f>
        <v>-</v>
      </c>
      <c r="S36" s="674" t="str">
        <f>INDEX('DEFAULT DATA'!$EK$9:$GP$41,S$21,$E36)</f>
        <v>-</v>
      </c>
      <c r="T36" s="674" t="str">
        <f>INDEX('DEFAULT DATA'!$EK$9:$GP$41,T$21,$E36)</f>
        <v>-</v>
      </c>
      <c r="U36" s="674" t="str">
        <f>INDEX('DEFAULT DATA'!$EK$9:$GP$41,U$21,$E36)</f>
        <v>-</v>
      </c>
      <c r="V36" s="674" t="str">
        <f>INDEX('DEFAULT DATA'!$EK$9:$GP$41,V$21,$E36)</f>
        <v>-</v>
      </c>
      <c r="W36" s="674" t="str">
        <f>INDEX('DEFAULT DATA'!$EK$9:$GP$41,W$21,$E36)</f>
        <v>-</v>
      </c>
      <c r="X36" s="674" t="str">
        <f>INDEX('DEFAULT DATA'!$EK$9:$GP$41,X$21,$E36)</f>
        <v>-</v>
      </c>
      <c r="Y36" s="674" t="str">
        <f>INDEX('DEFAULT DATA'!$EK$9:$GP$41,Y$21,$E36)</f>
        <v>-</v>
      </c>
      <c r="Z36" s="674" t="str">
        <f>INDEX('DEFAULT DATA'!$EK$9:$GP$41,Z$21,$E36)</f>
        <v>-</v>
      </c>
      <c r="AA36" s="674" t="str">
        <f>INDEX('DEFAULT DATA'!$EK$9:$GP$41,AA$21,$E36)</f>
        <v>-</v>
      </c>
      <c r="AB36" s="674" t="str">
        <f>INDEX('DEFAULT DATA'!$EK$9:$GP$41,AB$21,$E36)</f>
        <v>-</v>
      </c>
      <c r="AC36" s="674" t="str">
        <f>INDEX('DEFAULT DATA'!$EK$9:$GP$41,AC$21,$E36)</f>
        <v>Szczecin</v>
      </c>
      <c r="AD36" s="674" t="str">
        <f>INDEX('DEFAULT DATA'!$EK$9:$GP$41,AD$21,$E36)</f>
        <v>-</v>
      </c>
      <c r="AE36" s="674" t="str">
        <f>INDEX('DEFAULT DATA'!$EK$9:$GP$41,AE$21,$E36)</f>
        <v>-</v>
      </c>
      <c r="AF36" s="674" t="str">
        <f>INDEX('DEFAULT DATA'!$EK$9:$GP$41,AF$21,$E36)</f>
        <v>-</v>
      </c>
      <c r="AG36" s="674" t="str">
        <f>INDEX('DEFAULT DATA'!$EK$9:$GP$41,AG$21,$E36)</f>
        <v>-</v>
      </c>
      <c r="AH36" s="674" t="str">
        <f>INDEX('DEFAULT DATA'!$EK$9:$GP$41,AH$21,$E36)</f>
        <v>-</v>
      </c>
      <c r="AI36" s="674" t="str">
        <f>INDEX('DEFAULT DATA'!$EK$9:$GP$41,AI$21,$E36)</f>
        <v>-</v>
      </c>
      <c r="AJ36" s="674" t="str">
        <f>INDEX('DEFAULT DATA'!$EK$9:$GP$41,AJ$21,$E36)</f>
        <v>-</v>
      </c>
      <c r="AK36" s="674" t="str">
        <f>INDEX('DEFAULT DATA'!$EK$9:$GP$41,AK$21,$E36)</f>
        <v>-</v>
      </c>
    </row>
    <row r="37" spans="2:37">
      <c r="E37" s="61">
        <f t="shared" si="4"/>
        <v>15</v>
      </c>
      <c r="F37" s="674" t="str">
        <f>INDEX('DEFAULT DATA'!$EK$9:$GP$41,F$21,$E37)</f>
        <v>-</v>
      </c>
      <c r="G37" s="674" t="str">
        <f>INDEX('DEFAULT DATA'!$EK$9:$GP$41,G$21,$E37)</f>
        <v>-</v>
      </c>
      <c r="H37" s="674" t="str">
        <f>INDEX('DEFAULT DATA'!$EK$9:$GP$41,H$21,$E37)</f>
        <v>-</v>
      </c>
      <c r="I37" s="674" t="str">
        <f>INDEX('DEFAULT DATA'!$EK$9:$GP$41,I$21,$E37)</f>
        <v>-</v>
      </c>
      <c r="J37" s="674" t="str">
        <f>INDEX('DEFAULT DATA'!$EK$9:$GP$41,J$21,$E37)</f>
        <v>-</v>
      </c>
      <c r="K37" s="674" t="str">
        <f>INDEX('DEFAULT DATA'!$EK$9:$GP$41,K$21,$E37)</f>
        <v>-</v>
      </c>
      <c r="L37" s="674" t="str">
        <f>INDEX('DEFAULT DATA'!$EK$9:$GP$41,L$21,$E37)</f>
        <v>-</v>
      </c>
      <c r="M37" s="674" t="str">
        <f>INDEX('DEFAULT DATA'!$EK$9:$GP$41,M$21,$E37)</f>
        <v>-</v>
      </c>
      <c r="N37" s="674" t="str">
        <f>INDEX('DEFAULT DATA'!$EK$9:$GP$41,N$21,$E37)</f>
        <v>-</v>
      </c>
      <c r="O37" s="674" t="str">
        <f>INDEX('DEFAULT DATA'!$EK$9:$GP$41,O$21,$E37)</f>
        <v>-</v>
      </c>
      <c r="P37" s="674" t="str">
        <f>INDEX('DEFAULT DATA'!$EK$9:$GP$41,P$21,$E37)</f>
        <v>Darmstadt</v>
      </c>
      <c r="Q37" s="674" t="str">
        <f>INDEX('DEFAULT DATA'!$EK$9:$GP$41,Q$21,$E37)</f>
        <v>-</v>
      </c>
      <c r="R37" s="674" t="str">
        <f>INDEX('DEFAULT DATA'!$EK$9:$GP$41,R$21,$E37)</f>
        <v>-</v>
      </c>
      <c r="S37" s="674" t="str">
        <f>INDEX('DEFAULT DATA'!$EK$9:$GP$41,S$21,$E37)</f>
        <v>-</v>
      </c>
      <c r="T37" s="674" t="str">
        <f>INDEX('DEFAULT DATA'!$EK$9:$GP$41,T$21,$E37)</f>
        <v>-</v>
      </c>
      <c r="U37" s="674" t="str">
        <f>INDEX('DEFAULT DATA'!$EK$9:$GP$41,U$21,$E37)</f>
        <v>-</v>
      </c>
      <c r="V37" s="674" t="str">
        <f>INDEX('DEFAULT DATA'!$EK$9:$GP$41,V$21,$E37)</f>
        <v>-</v>
      </c>
      <c r="W37" s="674" t="str">
        <f>INDEX('DEFAULT DATA'!$EK$9:$GP$41,W$21,$E37)</f>
        <v>-</v>
      </c>
      <c r="X37" s="674" t="str">
        <f>INDEX('DEFAULT DATA'!$EK$9:$GP$41,X$21,$E37)</f>
        <v>-</v>
      </c>
      <c r="Y37" s="674" t="str">
        <f>INDEX('DEFAULT DATA'!$EK$9:$GP$41,Y$21,$E37)</f>
        <v>-</v>
      </c>
      <c r="Z37" s="674" t="str">
        <f>INDEX('DEFAULT DATA'!$EK$9:$GP$41,Z$21,$E37)</f>
        <v>-</v>
      </c>
      <c r="AA37" s="674" t="str">
        <f>INDEX('DEFAULT DATA'!$EK$9:$GP$41,AA$21,$E37)</f>
        <v>-</v>
      </c>
      <c r="AB37" s="674" t="str">
        <f>INDEX('DEFAULT DATA'!$EK$9:$GP$41,AB$21,$E37)</f>
        <v>-</v>
      </c>
      <c r="AC37" s="674" t="str">
        <f>INDEX('DEFAULT DATA'!$EK$9:$GP$41,AC$21,$E37)</f>
        <v>Toruń</v>
      </c>
      <c r="AD37" s="674" t="str">
        <f>INDEX('DEFAULT DATA'!$EK$9:$GP$41,AD$21,$E37)</f>
        <v>-</v>
      </c>
      <c r="AE37" s="674" t="str">
        <f>INDEX('DEFAULT DATA'!$EK$9:$GP$41,AE$21,$E37)</f>
        <v>-</v>
      </c>
      <c r="AF37" s="674" t="str">
        <f>INDEX('DEFAULT DATA'!$EK$9:$GP$41,AF$21,$E37)</f>
        <v>-</v>
      </c>
      <c r="AG37" s="674" t="str">
        <f>INDEX('DEFAULT DATA'!$EK$9:$GP$41,AG$21,$E37)</f>
        <v>-</v>
      </c>
      <c r="AH37" s="674" t="str">
        <f>INDEX('DEFAULT DATA'!$EK$9:$GP$41,AH$21,$E37)</f>
        <v>-</v>
      </c>
      <c r="AI37" s="674" t="str">
        <f>INDEX('DEFAULT DATA'!$EK$9:$GP$41,AI$21,$E37)</f>
        <v>-</v>
      </c>
      <c r="AJ37" s="674" t="str">
        <f>INDEX('DEFAULT DATA'!$EK$9:$GP$41,AJ$21,$E37)</f>
        <v>-</v>
      </c>
      <c r="AK37" s="674" t="str">
        <f>INDEX('DEFAULT DATA'!$EK$9:$GP$41,AK$21,$E37)</f>
        <v>-</v>
      </c>
    </row>
    <row r="38" spans="2:37">
      <c r="E38" s="61">
        <f t="shared" si="4"/>
        <v>16</v>
      </c>
      <c r="F38" s="674" t="str">
        <f>INDEX('DEFAULT DATA'!$EK$9:$GP$41,F$21,$E38)</f>
        <v>-</v>
      </c>
      <c r="G38" s="674" t="str">
        <f>INDEX('DEFAULT DATA'!$EK$9:$GP$41,G$21,$E38)</f>
        <v>-</v>
      </c>
      <c r="H38" s="674" t="str">
        <f>INDEX('DEFAULT DATA'!$EK$9:$GP$41,H$21,$E38)</f>
        <v>-</v>
      </c>
      <c r="I38" s="674" t="str">
        <f>INDEX('DEFAULT DATA'!$EK$9:$GP$41,I$21,$E38)</f>
        <v>-</v>
      </c>
      <c r="J38" s="674" t="str">
        <f>INDEX('DEFAULT DATA'!$EK$9:$GP$41,J$21,$E38)</f>
        <v>-</v>
      </c>
      <c r="K38" s="674" t="str">
        <f>INDEX('DEFAULT DATA'!$EK$9:$GP$41,K$21,$E38)</f>
        <v>-</v>
      </c>
      <c r="L38" s="674" t="str">
        <f>INDEX('DEFAULT DATA'!$EK$9:$GP$41,L$21,$E38)</f>
        <v>-</v>
      </c>
      <c r="M38" s="674" t="str">
        <f>INDEX('DEFAULT DATA'!$EK$9:$GP$41,M$21,$E38)</f>
        <v>-</v>
      </c>
      <c r="N38" s="674" t="str">
        <f>INDEX('DEFAULT DATA'!$EK$9:$GP$41,N$21,$E38)</f>
        <v>-</v>
      </c>
      <c r="O38" s="674" t="str">
        <f>INDEX('DEFAULT DATA'!$EK$9:$GP$41,O$21,$E38)</f>
        <v>-</v>
      </c>
      <c r="P38" s="674" t="str">
        <f>INDEX('DEFAULT DATA'!$EK$9:$GP$41,P$21,$E38)</f>
        <v>Dessau</v>
      </c>
      <c r="Q38" s="674" t="str">
        <f>INDEX('DEFAULT DATA'!$EK$9:$GP$41,Q$21,$E38)</f>
        <v>-</v>
      </c>
      <c r="R38" s="674" t="str">
        <f>INDEX('DEFAULT DATA'!$EK$9:$GP$41,R$21,$E38)</f>
        <v>-</v>
      </c>
      <c r="S38" s="674" t="str">
        <f>INDEX('DEFAULT DATA'!$EK$9:$GP$41,S$21,$E38)</f>
        <v>-</v>
      </c>
      <c r="T38" s="674" t="str">
        <f>INDEX('DEFAULT DATA'!$EK$9:$GP$41,T$21,$E38)</f>
        <v>-</v>
      </c>
      <c r="U38" s="674" t="str">
        <f>INDEX('DEFAULT DATA'!$EK$9:$GP$41,U$21,$E38)</f>
        <v>-</v>
      </c>
      <c r="V38" s="674" t="str">
        <f>INDEX('DEFAULT DATA'!$EK$9:$GP$41,V$21,$E38)</f>
        <v>-</v>
      </c>
      <c r="W38" s="674" t="str">
        <f>INDEX('DEFAULT DATA'!$EK$9:$GP$41,W$21,$E38)</f>
        <v>-</v>
      </c>
      <c r="X38" s="674" t="str">
        <f>INDEX('DEFAULT DATA'!$EK$9:$GP$41,X$21,$E38)</f>
        <v>-</v>
      </c>
      <c r="Y38" s="674" t="str">
        <f>INDEX('DEFAULT DATA'!$EK$9:$GP$41,Y$21,$E38)</f>
        <v>-</v>
      </c>
      <c r="Z38" s="674" t="str">
        <f>INDEX('DEFAULT DATA'!$EK$9:$GP$41,Z$21,$E38)</f>
        <v>-</v>
      </c>
      <c r="AA38" s="674" t="str">
        <f>INDEX('DEFAULT DATA'!$EK$9:$GP$41,AA$21,$E38)</f>
        <v>-</v>
      </c>
      <c r="AB38" s="674" t="str">
        <f>INDEX('DEFAULT DATA'!$EK$9:$GP$41,AB$21,$E38)</f>
        <v>-</v>
      </c>
      <c r="AC38" s="674" t="str">
        <f>INDEX('DEFAULT DATA'!$EK$9:$GP$41,AC$21,$E38)</f>
        <v>Warsaw</v>
      </c>
      <c r="AD38" s="674" t="str">
        <f>INDEX('DEFAULT DATA'!$EK$9:$GP$41,AD$21,$E38)</f>
        <v>-</v>
      </c>
      <c r="AE38" s="674" t="str">
        <f>INDEX('DEFAULT DATA'!$EK$9:$GP$41,AE$21,$E38)</f>
        <v>-</v>
      </c>
      <c r="AF38" s="674" t="str">
        <f>INDEX('DEFAULT DATA'!$EK$9:$GP$41,AF$21,$E38)</f>
        <v>-</v>
      </c>
      <c r="AG38" s="674" t="str">
        <f>INDEX('DEFAULT DATA'!$EK$9:$GP$41,AG$21,$E38)</f>
        <v>-</v>
      </c>
      <c r="AH38" s="674" t="str">
        <f>INDEX('DEFAULT DATA'!$EK$9:$GP$41,AH$21,$E38)</f>
        <v>-</v>
      </c>
      <c r="AI38" s="674" t="str">
        <f>INDEX('DEFAULT DATA'!$EK$9:$GP$41,AI$21,$E38)</f>
        <v>-</v>
      </c>
      <c r="AJ38" s="674" t="str">
        <f>INDEX('DEFAULT DATA'!$EK$9:$GP$41,AJ$21,$E38)</f>
        <v>-</v>
      </c>
      <c r="AK38" s="674" t="str">
        <f>INDEX('DEFAULT DATA'!$EK$9:$GP$41,AK$21,$E38)</f>
        <v>-</v>
      </c>
    </row>
    <row r="39" spans="2:37">
      <c r="E39" s="61">
        <f t="shared" si="4"/>
        <v>17</v>
      </c>
      <c r="F39" s="674" t="str">
        <f>INDEX('DEFAULT DATA'!$EK$9:$GP$41,F$21,$E39)</f>
        <v>-</v>
      </c>
      <c r="G39" s="674" t="str">
        <f>INDEX('DEFAULT DATA'!$EK$9:$GP$41,G$21,$E39)</f>
        <v>-</v>
      </c>
      <c r="H39" s="674" t="str">
        <f>INDEX('DEFAULT DATA'!$EK$9:$GP$41,H$21,$E39)</f>
        <v>-</v>
      </c>
      <c r="I39" s="674" t="str">
        <f>INDEX('DEFAULT DATA'!$EK$9:$GP$41,I$21,$E39)</f>
        <v>-</v>
      </c>
      <c r="J39" s="674" t="str">
        <f>INDEX('DEFAULT DATA'!$EK$9:$GP$41,J$21,$E39)</f>
        <v>-</v>
      </c>
      <c r="K39" s="674" t="str">
        <f>INDEX('DEFAULT DATA'!$EK$9:$GP$41,K$21,$E39)</f>
        <v>-</v>
      </c>
      <c r="L39" s="674" t="str">
        <f>INDEX('DEFAULT DATA'!$EK$9:$GP$41,L$21,$E39)</f>
        <v>-</v>
      </c>
      <c r="M39" s="674" t="str">
        <f>INDEX('DEFAULT DATA'!$EK$9:$GP$41,M$21,$E39)</f>
        <v>-</v>
      </c>
      <c r="N39" s="674" t="str">
        <f>INDEX('DEFAULT DATA'!$EK$9:$GP$41,N$21,$E39)</f>
        <v>-</v>
      </c>
      <c r="O39" s="674" t="str">
        <f>INDEX('DEFAULT DATA'!$EK$9:$GP$41,O$21,$E39)</f>
        <v>-</v>
      </c>
      <c r="P39" s="674" t="str">
        <f>INDEX('DEFAULT DATA'!$EK$9:$GP$41,P$21,$E39)</f>
        <v>Dortmund</v>
      </c>
      <c r="Q39" s="674" t="str">
        <f>INDEX('DEFAULT DATA'!$EK$9:$GP$41,Q$21,$E39)</f>
        <v>-</v>
      </c>
      <c r="R39" s="674" t="str">
        <f>INDEX('DEFAULT DATA'!$EK$9:$GP$41,R$21,$E39)</f>
        <v>-</v>
      </c>
      <c r="S39" s="674" t="str">
        <f>INDEX('DEFAULT DATA'!$EK$9:$GP$41,S$21,$E39)</f>
        <v>-</v>
      </c>
      <c r="T39" s="674" t="str">
        <f>INDEX('DEFAULT DATA'!$EK$9:$GP$41,T$21,$E39)</f>
        <v>-</v>
      </c>
      <c r="U39" s="674" t="str">
        <f>INDEX('DEFAULT DATA'!$EK$9:$GP$41,U$21,$E39)</f>
        <v>-</v>
      </c>
      <c r="V39" s="674" t="str">
        <f>INDEX('DEFAULT DATA'!$EK$9:$GP$41,V$21,$E39)</f>
        <v>-</v>
      </c>
      <c r="W39" s="674" t="str">
        <f>INDEX('DEFAULT DATA'!$EK$9:$GP$41,W$21,$E39)</f>
        <v>-</v>
      </c>
      <c r="X39" s="674" t="str">
        <f>INDEX('DEFAULT DATA'!$EK$9:$GP$41,X$21,$E39)</f>
        <v>-</v>
      </c>
      <c r="Y39" s="674" t="str">
        <f>INDEX('DEFAULT DATA'!$EK$9:$GP$41,Y$21,$E39)</f>
        <v>-</v>
      </c>
      <c r="Z39" s="674" t="str">
        <f>INDEX('DEFAULT DATA'!$EK$9:$GP$41,Z$21,$E39)</f>
        <v>-</v>
      </c>
      <c r="AA39" s="674" t="str">
        <f>INDEX('DEFAULT DATA'!$EK$9:$GP$41,AA$21,$E39)</f>
        <v>-</v>
      </c>
      <c r="AB39" s="674" t="str">
        <f>INDEX('DEFAULT DATA'!$EK$9:$GP$41,AB$21,$E39)</f>
        <v>-</v>
      </c>
      <c r="AC39" s="674" t="str">
        <f>INDEX('DEFAULT DATA'!$EK$9:$GP$41,AC$21,$E39)</f>
        <v>Wrocław</v>
      </c>
      <c r="AD39" s="674" t="str">
        <f>INDEX('DEFAULT DATA'!$EK$9:$GP$41,AD$21,$E39)</f>
        <v>-</v>
      </c>
      <c r="AE39" s="674" t="str">
        <f>INDEX('DEFAULT DATA'!$EK$9:$GP$41,AE$21,$E39)</f>
        <v>-</v>
      </c>
      <c r="AF39" s="674" t="str">
        <f>INDEX('DEFAULT DATA'!$EK$9:$GP$41,AF$21,$E39)</f>
        <v>-</v>
      </c>
      <c r="AG39" s="674" t="str">
        <f>INDEX('DEFAULT DATA'!$EK$9:$GP$41,AG$21,$E39)</f>
        <v>-</v>
      </c>
      <c r="AH39" s="674" t="str">
        <f>INDEX('DEFAULT DATA'!$EK$9:$GP$41,AH$21,$E39)</f>
        <v>-</v>
      </c>
      <c r="AI39" s="674" t="str">
        <f>INDEX('DEFAULT DATA'!$EK$9:$GP$41,AI$21,$E39)</f>
        <v>-</v>
      </c>
      <c r="AJ39" s="674" t="str">
        <f>INDEX('DEFAULT DATA'!$EK$9:$GP$41,AJ$21,$E39)</f>
        <v>-</v>
      </c>
      <c r="AK39" s="674" t="str">
        <f>INDEX('DEFAULT DATA'!$EK$9:$GP$41,AK$21,$E39)</f>
        <v>-</v>
      </c>
    </row>
    <row r="40" spans="2:37">
      <c r="E40" s="61">
        <f t="shared" si="4"/>
        <v>18</v>
      </c>
      <c r="F40" s="674" t="str">
        <f>INDEX('DEFAULT DATA'!$EK$9:$GP$41,F$21,$E40)</f>
        <v>-</v>
      </c>
      <c r="G40" s="674" t="str">
        <f>INDEX('DEFAULT DATA'!$EK$9:$GP$41,G$21,$E40)</f>
        <v>-</v>
      </c>
      <c r="H40" s="674" t="str">
        <f>INDEX('DEFAULT DATA'!$EK$9:$GP$41,H$21,$E40)</f>
        <v>-</v>
      </c>
      <c r="I40" s="674" t="str">
        <f>INDEX('DEFAULT DATA'!$EK$9:$GP$41,I$21,$E40)</f>
        <v>-</v>
      </c>
      <c r="J40" s="674" t="str">
        <f>INDEX('DEFAULT DATA'!$EK$9:$GP$41,J$21,$E40)</f>
        <v>-</v>
      </c>
      <c r="K40" s="674" t="str">
        <f>INDEX('DEFAULT DATA'!$EK$9:$GP$41,K$21,$E40)</f>
        <v>-</v>
      </c>
      <c r="L40" s="674" t="str">
        <f>INDEX('DEFAULT DATA'!$EK$9:$GP$41,L$21,$E40)</f>
        <v>-</v>
      </c>
      <c r="M40" s="674" t="str">
        <f>INDEX('DEFAULT DATA'!$EK$9:$GP$41,M$21,$E40)</f>
        <v>-</v>
      </c>
      <c r="N40" s="674" t="str">
        <f>INDEX('DEFAULT DATA'!$EK$9:$GP$41,N$21,$E40)</f>
        <v>-</v>
      </c>
      <c r="O40" s="674" t="str">
        <f>INDEX('DEFAULT DATA'!$EK$9:$GP$41,O$21,$E40)</f>
        <v>-</v>
      </c>
      <c r="P40" s="674" t="str">
        <f>INDEX('DEFAULT DATA'!$EK$9:$GP$41,P$21,$E40)</f>
        <v>Dresden</v>
      </c>
      <c r="Q40" s="674" t="str">
        <f>INDEX('DEFAULT DATA'!$EK$9:$GP$41,Q$21,$E40)</f>
        <v>-</v>
      </c>
      <c r="R40" s="674" t="str">
        <f>INDEX('DEFAULT DATA'!$EK$9:$GP$41,R$21,$E40)</f>
        <v>-</v>
      </c>
      <c r="S40" s="674" t="str">
        <f>INDEX('DEFAULT DATA'!$EK$9:$GP$41,S$21,$E40)</f>
        <v>-</v>
      </c>
      <c r="T40" s="674" t="str">
        <f>INDEX('DEFAULT DATA'!$EK$9:$GP$41,T$21,$E40)</f>
        <v>-</v>
      </c>
      <c r="U40" s="674" t="str">
        <f>INDEX('DEFAULT DATA'!$EK$9:$GP$41,U$21,$E40)</f>
        <v>-</v>
      </c>
      <c r="V40" s="674" t="str">
        <f>INDEX('DEFAULT DATA'!$EK$9:$GP$41,V$21,$E40)</f>
        <v>-</v>
      </c>
      <c r="W40" s="674" t="str">
        <f>INDEX('DEFAULT DATA'!$EK$9:$GP$41,W$21,$E40)</f>
        <v>-</v>
      </c>
      <c r="X40" s="674" t="str">
        <f>INDEX('DEFAULT DATA'!$EK$9:$GP$41,X$21,$E40)</f>
        <v>-</v>
      </c>
      <c r="Y40" s="674" t="str">
        <f>INDEX('DEFAULT DATA'!$EK$9:$GP$41,Y$21,$E40)</f>
        <v>-</v>
      </c>
      <c r="Z40" s="674" t="str">
        <f>INDEX('DEFAULT DATA'!$EK$9:$GP$41,Z$21,$E40)</f>
        <v>-</v>
      </c>
      <c r="AA40" s="674" t="str">
        <f>INDEX('DEFAULT DATA'!$EK$9:$GP$41,AA$21,$E40)</f>
        <v>-</v>
      </c>
      <c r="AB40" s="674" t="str">
        <f>INDEX('DEFAULT DATA'!$EK$9:$GP$41,AB$21,$E40)</f>
        <v>-</v>
      </c>
      <c r="AC40" s="674" t="str">
        <f>INDEX('DEFAULT DATA'!$EK$9:$GP$41,AC$21,$E40)</f>
        <v>-</v>
      </c>
      <c r="AD40" s="674" t="str">
        <f>INDEX('DEFAULT DATA'!$EK$9:$GP$41,AD$21,$E40)</f>
        <v>-</v>
      </c>
      <c r="AE40" s="674" t="str">
        <f>INDEX('DEFAULT DATA'!$EK$9:$GP$41,AE$21,$E40)</f>
        <v>-</v>
      </c>
      <c r="AF40" s="674" t="str">
        <f>INDEX('DEFAULT DATA'!$EK$9:$GP$41,AF$21,$E40)</f>
        <v>-</v>
      </c>
      <c r="AG40" s="674" t="str">
        <f>INDEX('DEFAULT DATA'!$EK$9:$GP$41,AG$21,$E40)</f>
        <v>-</v>
      </c>
      <c r="AH40" s="674" t="str">
        <f>INDEX('DEFAULT DATA'!$EK$9:$GP$41,AH$21,$E40)</f>
        <v>-</v>
      </c>
      <c r="AI40" s="674" t="str">
        <f>INDEX('DEFAULT DATA'!$EK$9:$GP$41,AI$21,$E40)</f>
        <v>-</v>
      </c>
      <c r="AJ40" s="674" t="str">
        <f>INDEX('DEFAULT DATA'!$EK$9:$GP$41,AJ$21,$E40)</f>
        <v>-</v>
      </c>
      <c r="AK40" s="674" t="str">
        <f>INDEX('DEFAULT DATA'!$EK$9:$GP$41,AK$21,$E40)</f>
        <v>-</v>
      </c>
    </row>
    <row r="41" spans="2:37">
      <c r="E41" s="61">
        <f t="shared" si="4"/>
        <v>19</v>
      </c>
      <c r="F41" s="674" t="str">
        <f>INDEX('DEFAULT DATA'!$EK$9:$GP$41,F$21,$E41)</f>
        <v>-</v>
      </c>
      <c r="G41" s="674" t="str">
        <f>INDEX('DEFAULT DATA'!$EK$9:$GP$41,G$21,$E41)</f>
        <v>-</v>
      </c>
      <c r="H41" s="674" t="str">
        <f>INDEX('DEFAULT DATA'!$EK$9:$GP$41,H$21,$E41)</f>
        <v>-</v>
      </c>
      <c r="I41" s="674" t="str">
        <f>INDEX('DEFAULT DATA'!$EK$9:$GP$41,I$21,$E41)</f>
        <v>-</v>
      </c>
      <c r="J41" s="674" t="str">
        <f>INDEX('DEFAULT DATA'!$EK$9:$GP$41,J$21,$E41)</f>
        <v>-</v>
      </c>
      <c r="K41" s="674" t="str">
        <f>INDEX('DEFAULT DATA'!$EK$9:$GP$41,K$21,$E41)</f>
        <v>-</v>
      </c>
      <c r="L41" s="674" t="str">
        <f>INDEX('DEFAULT DATA'!$EK$9:$GP$41,L$21,$E41)</f>
        <v>-</v>
      </c>
      <c r="M41" s="674" t="str">
        <f>INDEX('DEFAULT DATA'!$EK$9:$GP$41,M$21,$E41)</f>
        <v>-</v>
      </c>
      <c r="N41" s="674" t="str">
        <f>INDEX('DEFAULT DATA'!$EK$9:$GP$41,N$21,$E41)</f>
        <v>-</v>
      </c>
      <c r="O41" s="674" t="str">
        <f>INDEX('DEFAULT DATA'!$EK$9:$GP$41,O$21,$E41)</f>
        <v>-</v>
      </c>
      <c r="P41" s="674" t="str">
        <f>INDEX('DEFAULT DATA'!$EK$9:$GP$41,P$21,$E41)</f>
        <v>Duisburg</v>
      </c>
      <c r="Q41" s="674" t="str">
        <f>INDEX('DEFAULT DATA'!$EK$9:$GP$41,Q$21,$E41)</f>
        <v>-</v>
      </c>
      <c r="R41" s="674" t="str">
        <f>INDEX('DEFAULT DATA'!$EK$9:$GP$41,R$21,$E41)</f>
        <v>-</v>
      </c>
      <c r="S41" s="674" t="str">
        <f>INDEX('DEFAULT DATA'!$EK$9:$GP$41,S$21,$E41)</f>
        <v>-</v>
      </c>
      <c r="T41" s="674" t="str">
        <f>INDEX('DEFAULT DATA'!$EK$9:$GP$41,T$21,$E41)</f>
        <v>-</v>
      </c>
      <c r="U41" s="674" t="str">
        <f>INDEX('DEFAULT DATA'!$EK$9:$GP$41,U$21,$E41)</f>
        <v>-</v>
      </c>
      <c r="V41" s="674" t="str">
        <f>INDEX('DEFAULT DATA'!$EK$9:$GP$41,V$21,$E41)</f>
        <v>-</v>
      </c>
      <c r="W41" s="674" t="str">
        <f>INDEX('DEFAULT DATA'!$EK$9:$GP$41,W$21,$E41)</f>
        <v>-</v>
      </c>
      <c r="X41" s="674" t="str">
        <f>INDEX('DEFAULT DATA'!$EK$9:$GP$41,X$21,$E41)</f>
        <v>-</v>
      </c>
      <c r="Y41" s="674" t="str">
        <f>INDEX('DEFAULT DATA'!$EK$9:$GP$41,Y$21,$E41)</f>
        <v>-</v>
      </c>
      <c r="Z41" s="674" t="str">
        <f>INDEX('DEFAULT DATA'!$EK$9:$GP$41,Z$21,$E41)</f>
        <v>-</v>
      </c>
      <c r="AA41" s="674" t="str">
        <f>INDEX('DEFAULT DATA'!$EK$9:$GP$41,AA$21,$E41)</f>
        <v>-</v>
      </c>
      <c r="AB41" s="674" t="str">
        <f>INDEX('DEFAULT DATA'!$EK$9:$GP$41,AB$21,$E41)</f>
        <v>-</v>
      </c>
      <c r="AC41" s="674" t="str">
        <f>INDEX('DEFAULT DATA'!$EK$9:$GP$41,AC$21,$E41)</f>
        <v>-</v>
      </c>
      <c r="AD41" s="674" t="str">
        <f>INDEX('DEFAULT DATA'!$EK$9:$GP$41,AD$21,$E41)</f>
        <v>-</v>
      </c>
      <c r="AE41" s="674" t="str">
        <f>INDEX('DEFAULT DATA'!$EK$9:$GP$41,AE$21,$E41)</f>
        <v>-</v>
      </c>
      <c r="AF41" s="674" t="str">
        <f>INDEX('DEFAULT DATA'!$EK$9:$GP$41,AF$21,$E41)</f>
        <v>-</v>
      </c>
      <c r="AG41" s="674" t="str">
        <f>INDEX('DEFAULT DATA'!$EK$9:$GP$41,AG$21,$E41)</f>
        <v>-</v>
      </c>
      <c r="AH41" s="674" t="str">
        <f>INDEX('DEFAULT DATA'!$EK$9:$GP$41,AH$21,$E41)</f>
        <v>-</v>
      </c>
      <c r="AI41" s="674" t="str">
        <f>INDEX('DEFAULT DATA'!$EK$9:$GP$41,AI$21,$E41)</f>
        <v>-</v>
      </c>
      <c r="AJ41" s="674" t="str">
        <f>INDEX('DEFAULT DATA'!$EK$9:$GP$41,AJ$21,$E41)</f>
        <v>-</v>
      </c>
      <c r="AK41" s="674" t="str">
        <f>INDEX('DEFAULT DATA'!$EK$9:$GP$41,AK$21,$E41)</f>
        <v>-</v>
      </c>
    </row>
    <row r="42" spans="2:37">
      <c r="E42" s="61">
        <f t="shared" si="4"/>
        <v>20</v>
      </c>
      <c r="F42" s="674" t="str">
        <f>INDEX('DEFAULT DATA'!$EK$9:$GP$41,F$21,$E42)</f>
        <v>-</v>
      </c>
      <c r="G42" s="674" t="str">
        <f>INDEX('DEFAULT DATA'!$EK$9:$GP$41,G$21,$E42)</f>
        <v>-</v>
      </c>
      <c r="H42" s="674" t="str">
        <f>INDEX('DEFAULT DATA'!$EK$9:$GP$41,H$21,$E42)</f>
        <v>-</v>
      </c>
      <c r="I42" s="674" t="str">
        <f>INDEX('DEFAULT DATA'!$EK$9:$GP$41,I$21,$E42)</f>
        <v>-</v>
      </c>
      <c r="J42" s="674" t="str">
        <f>INDEX('DEFAULT DATA'!$EK$9:$GP$41,J$21,$E42)</f>
        <v>-</v>
      </c>
      <c r="K42" s="674" t="str">
        <f>INDEX('DEFAULT DATA'!$EK$9:$GP$41,K$21,$E42)</f>
        <v>-</v>
      </c>
      <c r="L42" s="674" t="str">
        <f>INDEX('DEFAULT DATA'!$EK$9:$GP$41,L$21,$E42)</f>
        <v>-</v>
      </c>
      <c r="M42" s="674" t="str">
        <f>INDEX('DEFAULT DATA'!$EK$9:$GP$41,M$21,$E42)</f>
        <v>-</v>
      </c>
      <c r="N42" s="674" t="str">
        <f>INDEX('DEFAULT DATA'!$EK$9:$GP$41,N$21,$E42)</f>
        <v>-</v>
      </c>
      <c r="O42" s="674" t="str">
        <f>INDEX('DEFAULT DATA'!$EK$9:$GP$41,O$21,$E42)</f>
        <v>-</v>
      </c>
      <c r="P42" s="674" t="str">
        <f>INDEX('DEFAULT DATA'!$EK$9:$GP$41,P$21,$E42)</f>
        <v>Düsseldorf Stadtbahn</v>
      </c>
      <c r="Q42" s="674" t="str">
        <f>INDEX('DEFAULT DATA'!$EK$9:$GP$41,Q$21,$E42)</f>
        <v>-</v>
      </c>
      <c r="R42" s="674" t="str">
        <f>INDEX('DEFAULT DATA'!$EK$9:$GP$41,R$21,$E42)</f>
        <v>-</v>
      </c>
      <c r="S42" s="674" t="str">
        <f>INDEX('DEFAULT DATA'!$EK$9:$GP$41,S$21,$E42)</f>
        <v>-</v>
      </c>
      <c r="T42" s="674" t="str">
        <f>INDEX('DEFAULT DATA'!$EK$9:$GP$41,T$21,$E42)</f>
        <v>-</v>
      </c>
      <c r="U42" s="674" t="str">
        <f>INDEX('DEFAULT DATA'!$EK$9:$GP$41,U$21,$E42)</f>
        <v>-</v>
      </c>
      <c r="V42" s="674" t="str">
        <f>INDEX('DEFAULT DATA'!$EK$9:$GP$41,V$21,$E42)</f>
        <v>-</v>
      </c>
      <c r="W42" s="674" t="str">
        <f>INDEX('DEFAULT DATA'!$EK$9:$GP$41,W$21,$E42)</f>
        <v>-</v>
      </c>
      <c r="X42" s="674" t="str">
        <f>INDEX('DEFAULT DATA'!$EK$9:$GP$41,X$21,$E42)</f>
        <v>-</v>
      </c>
      <c r="Y42" s="674" t="str">
        <f>INDEX('DEFAULT DATA'!$EK$9:$GP$41,Y$21,$E42)</f>
        <v>-</v>
      </c>
      <c r="Z42" s="674" t="str">
        <f>INDEX('DEFAULT DATA'!$EK$9:$GP$41,Z$21,$E42)</f>
        <v>-</v>
      </c>
      <c r="AA42" s="674" t="str">
        <f>INDEX('DEFAULT DATA'!$EK$9:$GP$41,AA$21,$E42)</f>
        <v>-</v>
      </c>
      <c r="AB42" s="674" t="str">
        <f>INDEX('DEFAULT DATA'!$EK$9:$GP$41,AB$21,$E42)</f>
        <v>-</v>
      </c>
      <c r="AC42" s="674" t="str">
        <f>INDEX('DEFAULT DATA'!$EK$9:$GP$41,AC$21,$E42)</f>
        <v>-</v>
      </c>
      <c r="AD42" s="674" t="str">
        <f>INDEX('DEFAULT DATA'!$EK$9:$GP$41,AD$21,$E42)</f>
        <v>-</v>
      </c>
      <c r="AE42" s="674" t="str">
        <f>INDEX('DEFAULT DATA'!$EK$9:$GP$41,AE$21,$E42)</f>
        <v>-</v>
      </c>
      <c r="AF42" s="674" t="str">
        <f>INDEX('DEFAULT DATA'!$EK$9:$GP$41,AF$21,$E42)</f>
        <v>-</v>
      </c>
      <c r="AG42" s="674" t="str">
        <f>INDEX('DEFAULT DATA'!$EK$9:$GP$41,AG$21,$E42)</f>
        <v>-</v>
      </c>
      <c r="AH42" s="674" t="str">
        <f>INDEX('DEFAULT DATA'!$EK$9:$GP$41,AH$21,$E42)</f>
        <v>-</v>
      </c>
      <c r="AI42" s="674" t="str">
        <f>INDEX('DEFAULT DATA'!$EK$9:$GP$41,AI$21,$E42)</f>
        <v>-</v>
      </c>
      <c r="AJ42" s="674" t="str">
        <f>INDEX('DEFAULT DATA'!$EK$9:$GP$41,AJ$21,$E42)</f>
        <v>-</v>
      </c>
      <c r="AK42" s="674" t="str">
        <f>INDEX('DEFAULT DATA'!$EK$9:$GP$41,AK$21,$E42)</f>
        <v>-</v>
      </c>
    </row>
    <row r="43" spans="2:37">
      <c r="E43" s="61">
        <f t="shared" si="4"/>
        <v>21</v>
      </c>
      <c r="F43" s="674" t="str">
        <f>INDEX('DEFAULT DATA'!$EK$9:$GP$41,F$21,$E43)</f>
        <v>-</v>
      </c>
      <c r="G43" s="674" t="str">
        <f>INDEX('DEFAULT DATA'!$EK$9:$GP$41,G$21,$E43)</f>
        <v>-</v>
      </c>
      <c r="H43" s="674" t="str">
        <f>INDEX('DEFAULT DATA'!$EK$9:$GP$41,H$21,$E43)</f>
        <v>-</v>
      </c>
      <c r="I43" s="674" t="str">
        <f>INDEX('DEFAULT DATA'!$EK$9:$GP$41,I$21,$E43)</f>
        <v>-</v>
      </c>
      <c r="J43" s="674" t="str">
        <f>INDEX('DEFAULT DATA'!$EK$9:$GP$41,J$21,$E43)</f>
        <v>-</v>
      </c>
      <c r="K43" s="674" t="str">
        <f>INDEX('DEFAULT DATA'!$EK$9:$GP$41,K$21,$E43)</f>
        <v>-</v>
      </c>
      <c r="L43" s="674" t="str">
        <f>INDEX('DEFAULT DATA'!$EK$9:$GP$41,L$21,$E43)</f>
        <v>-</v>
      </c>
      <c r="M43" s="674" t="str">
        <f>INDEX('DEFAULT DATA'!$EK$9:$GP$41,M$21,$E43)</f>
        <v>-</v>
      </c>
      <c r="N43" s="674" t="str">
        <f>INDEX('DEFAULT DATA'!$EK$9:$GP$41,N$21,$E43)</f>
        <v>-</v>
      </c>
      <c r="O43" s="674" t="str">
        <f>INDEX('DEFAULT DATA'!$EK$9:$GP$41,O$21,$E43)</f>
        <v>-</v>
      </c>
      <c r="P43" s="674" t="str">
        <f>INDEX('DEFAULT DATA'!$EK$9:$GP$41,P$21,$E43)</f>
        <v>Düsseldorf</v>
      </c>
      <c r="Q43" s="674" t="str">
        <f>INDEX('DEFAULT DATA'!$EK$9:$GP$41,Q$21,$E43)</f>
        <v>-</v>
      </c>
      <c r="R43" s="674" t="str">
        <f>INDEX('DEFAULT DATA'!$EK$9:$GP$41,R$21,$E43)</f>
        <v>-</v>
      </c>
      <c r="S43" s="674" t="str">
        <f>INDEX('DEFAULT DATA'!$EK$9:$GP$41,S$21,$E43)</f>
        <v>-</v>
      </c>
      <c r="T43" s="674" t="str">
        <f>INDEX('DEFAULT DATA'!$EK$9:$GP$41,T$21,$E43)</f>
        <v>-</v>
      </c>
      <c r="U43" s="674" t="str">
        <f>INDEX('DEFAULT DATA'!$EK$9:$GP$41,U$21,$E43)</f>
        <v>-</v>
      </c>
      <c r="V43" s="674" t="str">
        <f>INDEX('DEFAULT DATA'!$EK$9:$GP$41,V$21,$E43)</f>
        <v>-</v>
      </c>
      <c r="W43" s="674" t="str">
        <f>INDEX('DEFAULT DATA'!$EK$9:$GP$41,W$21,$E43)</f>
        <v>-</v>
      </c>
      <c r="X43" s="674" t="str">
        <f>INDEX('DEFAULT DATA'!$EK$9:$GP$41,X$21,$E43)</f>
        <v>-</v>
      </c>
      <c r="Y43" s="674" t="str">
        <f>INDEX('DEFAULT DATA'!$EK$9:$GP$41,Y$21,$E43)</f>
        <v>-</v>
      </c>
      <c r="Z43" s="674" t="str">
        <f>INDEX('DEFAULT DATA'!$EK$9:$GP$41,Z$21,$E43)</f>
        <v>-</v>
      </c>
      <c r="AA43" s="674" t="str">
        <f>INDEX('DEFAULT DATA'!$EK$9:$GP$41,AA$21,$E43)</f>
        <v>-</v>
      </c>
      <c r="AB43" s="674" t="str">
        <f>INDEX('DEFAULT DATA'!$EK$9:$GP$41,AB$21,$E43)</f>
        <v>-</v>
      </c>
      <c r="AC43" s="674" t="str">
        <f>INDEX('DEFAULT DATA'!$EK$9:$GP$41,AC$21,$E43)</f>
        <v>-</v>
      </c>
      <c r="AD43" s="674" t="str">
        <f>INDEX('DEFAULT DATA'!$EK$9:$GP$41,AD$21,$E43)</f>
        <v>-</v>
      </c>
      <c r="AE43" s="674" t="str">
        <f>INDEX('DEFAULT DATA'!$EK$9:$GP$41,AE$21,$E43)</f>
        <v>-</v>
      </c>
      <c r="AF43" s="674" t="str">
        <f>INDEX('DEFAULT DATA'!$EK$9:$GP$41,AF$21,$E43)</f>
        <v>-</v>
      </c>
      <c r="AG43" s="674" t="str">
        <f>INDEX('DEFAULT DATA'!$EK$9:$GP$41,AG$21,$E43)</f>
        <v>-</v>
      </c>
      <c r="AH43" s="674" t="str">
        <f>INDEX('DEFAULT DATA'!$EK$9:$GP$41,AH$21,$E43)</f>
        <v>-</v>
      </c>
      <c r="AI43" s="674" t="str">
        <f>INDEX('DEFAULT DATA'!$EK$9:$GP$41,AI$21,$E43)</f>
        <v>-</v>
      </c>
      <c r="AJ43" s="674" t="str">
        <f>INDEX('DEFAULT DATA'!$EK$9:$GP$41,AJ$21,$E43)</f>
        <v>-</v>
      </c>
      <c r="AK43" s="674" t="str">
        <f>INDEX('DEFAULT DATA'!$EK$9:$GP$41,AK$21,$E43)</f>
        <v>-</v>
      </c>
    </row>
    <row r="44" spans="2:37">
      <c r="E44" s="61">
        <f t="shared" si="4"/>
        <v>22</v>
      </c>
      <c r="F44" s="674" t="str">
        <f>INDEX('DEFAULT DATA'!$EK$9:$GP$41,F$21,$E44)</f>
        <v>-</v>
      </c>
      <c r="G44" s="674" t="str">
        <f>INDEX('DEFAULT DATA'!$EK$9:$GP$41,G$21,$E44)</f>
        <v>-</v>
      </c>
      <c r="H44" s="674" t="str">
        <f>INDEX('DEFAULT DATA'!$EK$9:$GP$41,H$21,$E44)</f>
        <v>-</v>
      </c>
      <c r="I44" s="674" t="str">
        <f>INDEX('DEFAULT DATA'!$EK$9:$GP$41,I$21,$E44)</f>
        <v>-</v>
      </c>
      <c r="J44" s="674" t="str">
        <f>INDEX('DEFAULT DATA'!$EK$9:$GP$41,J$21,$E44)</f>
        <v>-</v>
      </c>
      <c r="K44" s="674" t="str">
        <f>INDEX('DEFAULT DATA'!$EK$9:$GP$41,K$21,$E44)</f>
        <v>-</v>
      </c>
      <c r="L44" s="674" t="str">
        <f>INDEX('DEFAULT DATA'!$EK$9:$GP$41,L$21,$E44)</f>
        <v>-</v>
      </c>
      <c r="M44" s="674" t="str">
        <f>INDEX('DEFAULT DATA'!$EK$9:$GP$41,M$21,$E44)</f>
        <v>-</v>
      </c>
      <c r="N44" s="674" t="str">
        <f>INDEX('DEFAULT DATA'!$EK$9:$GP$41,N$21,$E44)</f>
        <v>-</v>
      </c>
      <c r="O44" s="674" t="str">
        <f>INDEX('DEFAULT DATA'!$EK$9:$GP$41,O$21,$E44)</f>
        <v>-</v>
      </c>
      <c r="P44" s="674" t="str">
        <f>INDEX('DEFAULT DATA'!$EK$9:$GP$41,P$21,$E44)</f>
        <v>Erfurt</v>
      </c>
      <c r="Q44" s="674" t="str">
        <f>INDEX('DEFAULT DATA'!$EK$9:$GP$41,Q$21,$E44)</f>
        <v>-</v>
      </c>
      <c r="R44" s="674" t="str">
        <f>INDEX('DEFAULT DATA'!$EK$9:$GP$41,R$21,$E44)</f>
        <v>-</v>
      </c>
      <c r="S44" s="674" t="str">
        <f>INDEX('DEFAULT DATA'!$EK$9:$GP$41,S$21,$E44)</f>
        <v>-</v>
      </c>
      <c r="T44" s="674" t="str">
        <f>INDEX('DEFAULT DATA'!$EK$9:$GP$41,T$21,$E44)</f>
        <v>-</v>
      </c>
      <c r="U44" s="674" t="str">
        <f>INDEX('DEFAULT DATA'!$EK$9:$GP$41,U$21,$E44)</f>
        <v>-</v>
      </c>
      <c r="V44" s="674" t="str">
        <f>INDEX('DEFAULT DATA'!$EK$9:$GP$41,V$21,$E44)</f>
        <v>-</v>
      </c>
      <c r="W44" s="674" t="str">
        <f>INDEX('DEFAULT DATA'!$EK$9:$GP$41,W$21,$E44)</f>
        <v>-</v>
      </c>
      <c r="X44" s="674" t="str">
        <f>INDEX('DEFAULT DATA'!$EK$9:$GP$41,X$21,$E44)</f>
        <v>-</v>
      </c>
      <c r="Y44" s="674" t="str">
        <f>INDEX('DEFAULT DATA'!$EK$9:$GP$41,Y$21,$E44)</f>
        <v>-</v>
      </c>
      <c r="Z44" s="674" t="str">
        <f>INDEX('DEFAULT DATA'!$EK$9:$GP$41,Z$21,$E44)</f>
        <v>-</v>
      </c>
      <c r="AA44" s="674" t="str">
        <f>INDEX('DEFAULT DATA'!$EK$9:$GP$41,AA$21,$E44)</f>
        <v>-</v>
      </c>
      <c r="AB44" s="674" t="str">
        <f>INDEX('DEFAULT DATA'!$EK$9:$GP$41,AB$21,$E44)</f>
        <v>-</v>
      </c>
      <c r="AC44" s="674" t="str">
        <f>INDEX('DEFAULT DATA'!$EK$9:$GP$41,AC$21,$E44)</f>
        <v>-</v>
      </c>
      <c r="AD44" s="674" t="str">
        <f>INDEX('DEFAULT DATA'!$EK$9:$GP$41,AD$21,$E44)</f>
        <v>-</v>
      </c>
      <c r="AE44" s="674" t="str">
        <f>INDEX('DEFAULT DATA'!$EK$9:$GP$41,AE$21,$E44)</f>
        <v>-</v>
      </c>
      <c r="AF44" s="674" t="str">
        <f>INDEX('DEFAULT DATA'!$EK$9:$GP$41,AF$21,$E44)</f>
        <v>-</v>
      </c>
      <c r="AG44" s="674" t="str">
        <f>INDEX('DEFAULT DATA'!$EK$9:$GP$41,AG$21,$E44)</f>
        <v>-</v>
      </c>
      <c r="AH44" s="674" t="str">
        <f>INDEX('DEFAULT DATA'!$EK$9:$GP$41,AH$21,$E44)</f>
        <v>-</v>
      </c>
      <c r="AI44" s="674" t="str">
        <f>INDEX('DEFAULT DATA'!$EK$9:$GP$41,AI$21,$E44)</f>
        <v>-</v>
      </c>
      <c r="AJ44" s="674" t="str">
        <f>INDEX('DEFAULT DATA'!$EK$9:$GP$41,AJ$21,$E44)</f>
        <v>-</v>
      </c>
      <c r="AK44" s="674" t="str">
        <f>INDEX('DEFAULT DATA'!$EK$9:$GP$41,AK$21,$E44)</f>
        <v>-</v>
      </c>
    </row>
    <row r="45" spans="2:37">
      <c r="E45" s="61">
        <f t="shared" si="4"/>
        <v>23</v>
      </c>
      <c r="F45" s="674" t="str">
        <f>INDEX('DEFAULT DATA'!$EK$9:$GP$41,F$21,$E45)</f>
        <v>-</v>
      </c>
      <c r="G45" s="674" t="str">
        <f>INDEX('DEFAULT DATA'!$EK$9:$GP$41,G$21,$E45)</f>
        <v>-</v>
      </c>
      <c r="H45" s="674" t="str">
        <f>INDEX('DEFAULT DATA'!$EK$9:$GP$41,H$21,$E45)</f>
        <v>-</v>
      </c>
      <c r="I45" s="674" t="str">
        <f>INDEX('DEFAULT DATA'!$EK$9:$GP$41,I$21,$E45)</f>
        <v>-</v>
      </c>
      <c r="J45" s="674" t="str">
        <f>INDEX('DEFAULT DATA'!$EK$9:$GP$41,J$21,$E45)</f>
        <v>-</v>
      </c>
      <c r="K45" s="674" t="str">
        <f>INDEX('DEFAULT DATA'!$EK$9:$GP$41,K$21,$E45)</f>
        <v>-</v>
      </c>
      <c r="L45" s="674" t="str">
        <f>INDEX('DEFAULT DATA'!$EK$9:$GP$41,L$21,$E45)</f>
        <v>-</v>
      </c>
      <c r="M45" s="674" t="str">
        <f>INDEX('DEFAULT DATA'!$EK$9:$GP$41,M$21,$E45)</f>
        <v>-</v>
      </c>
      <c r="N45" s="674" t="str">
        <f>INDEX('DEFAULT DATA'!$EK$9:$GP$41,N$21,$E45)</f>
        <v>-</v>
      </c>
      <c r="O45" s="674" t="str">
        <f>INDEX('DEFAULT DATA'!$EK$9:$GP$41,O$21,$E45)</f>
        <v>-</v>
      </c>
      <c r="P45" s="674" t="str">
        <f>INDEX('DEFAULT DATA'!$EK$9:$GP$41,P$21,$E45)</f>
        <v>Essen Stadtbahn</v>
      </c>
      <c r="Q45" s="674" t="str">
        <f>INDEX('DEFAULT DATA'!$EK$9:$GP$41,Q$21,$E45)</f>
        <v>-</v>
      </c>
      <c r="R45" s="674" t="str">
        <f>INDEX('DEFAULT DATA'!$EK$9:$GP$41,R$21,$E45)</f>
        <v>-</v>
      </c>
      <c r="S45" s="674" t="str">
        <f>INDEX('DEFAULT DATA'!$EK$9:$GP$41,S$21,$E45)</f>
        <v>-</v>
      </c>
      <c r="T45" s="674" t="str">
        <f>INDEX('DEFAULT DATA'!$EK$9:$GP$41,T$21,$E45)</f>
        <v>-</v>
      </c>
      <c r="U45" s="674" t="str">
        <f>INDEX('DEFAULT DATA'!$EK$9:$GP$41,U$21,$E45)</f>
        <v>-</v>
      </c>
      <c r="V45" s="674" t="str">
        <f>INDEX('DEFAULT DATA'!$EK$9:$GP$41,V$21,$E45)</f>
        <v>-</v>
      </c>
      <c r="W45" s="674" t="str">
        <f>INDEX('DEFAULT DATA'!$EK$9:$GP$41,W$21,$E45)</f>
        <v>-</v>
      </c>
      <c r="X45" s="674" t="str">
        <f>INDEX('DEFAULT DATA'!$EK$9:$GP$41,X$21,$E45)</f>
        <v>-</v>
      </c>
      <c r="Y45" s="674" t="str">
        <f>INDEX('DEFAULT DATA'!$EK$9:$GP$41,Y$21,$E45)</f>
        <v>-</v>
      </c>
      <c r="Z45" s="674" t="str">
        <f>INDEX('DEFAULT DATA'!$EK$9:$GP$41,Z$21,$E45)</f>
        <v>-</v>
      </c>
      <c r="AA45" s="674" t="str">
        <f>INDEX('DEFAULT DATA'!$EK$9:$GP$41,AA$21,$E45)</f>
        <v>-</v>
      </c>
      <c r="AB45" s="674" t="str">
        <f>INDEX('DEFAULT DATA'!$EK$9:$GP$41,AB$21,$E45)</f>
        <v>-</v>
      </c>
      <c r="AC45" s="674" t="str">
        <f>INDEX('DEFAULT DATA'!$EK$9:$GP$41,AC$21,$E45)</f>
        <v>-</v>
      </c>
      <c r="AD45" s="674" t="str">
        <f>INDEX('DEFAULT DATA'!$EK$9:$GP$41,AD$21,$E45)</f>
        <v>-</v>
      </c>
      <c r="AE45" s="674" t="str">
        <f>INDEX('DEFAULT DATA'!$EK$9:$GP$41,AE$21,$E45)</f>
        <v>-</v>
      </c>
      <c r="AF45" s="674" t="str">
        <f>INDEX('DEFAULT DATA'!$EK$9:$GP$41,AF$21,$E45)</f>
        <v>-</v>
      </c>
      <c r="AG45" s="674" t="str">
        <f>INDEX('DEFAULT DATA'!$EK$9:$GP$41,AG$21,$E45)</f>
        <v>-</v>
      </c>
      <c r="AH45" s="674" t="str">
        <f>INDEX('DEFAULT DATA'!$EK$9:$GP$41,AH$21,$E45)</f>
        <v>-</v>
      </c>
      <c r="AI45" s="674" t="str">
        <f>INDEX('DEFAULT DATA'!$EK$9:$GP$41,AI$21,$E45)</f>
        <v>-</v>
      </c>
      <c r="AJ45" s="674" t="str">
        <f>INDEX('DEFAULT DATA'!$EK$9:$GP$41,AJ$21,$E45)</f>
        <v>-</v>
      </c>
      <c r="AK45" s="674" t="str">
        <f>INDEX('DEFAULT DATA'!$EK$9:$GP$41,AK$21,$E45)</f>
        <v>-</v>
      </c>
    </row>
    <row r="46" spans="2:37">
      <c r="E46" s="61">
        <f t="shared" si="4"/>
        <v>24</v>
      </c>
      <c r="F46" s="674" t="str">
        <f>INDEX('DEFAULT DATA'!$EK$9:$GP$41,F$21,$E46)</f>
        <v>-</v>
      </c>
      <c r="G46" s="674" t="str">
        <f>INDEX('DEFAULT DATA'!$EK$9:$GP$41,G$21,$E46)</f>
        <v>-</v>
      </c>
      <c r="H46" s="674" t="str">
        <f>INDEX('DEFAULT DATA'!$EK$9:$GP$41,H$21,$E46)</f>
        <v>-</v>
      </c>
      <c r="I46" s="674" t="str">
        <f>INDEX('DEFAULT DATA'!$EK$9:$GP$41,I$21,$E46)</f>
        <v>-</v>
      </c>
      <c r="J46" s="674" t="str">
        <f>INDEX('DEFAULT DATA'!$EK$9:$GP$41,J$21,$E46)</f>
        <v>-</v>
      </c>
      <c r="K46" s="674" t="str">
        <f>INDEX('DEFAULT DATA'!$EK$9:$GP$41,K$21,$E46)</f>
        <v>-</v>
      </c>
      <c r="L46" s="674" t="str">
        <f>INDEX('DEFAULT DATA'!$EK$9:$GP$41,L$21,$E46)</f>
        <v>-</v>
      </c>
      <c r="M46" s="674" t="str">
        <f>INDEX('DEFAULT DATA'!$EK$9:$GP$41,M$21,$E46)</f>
        <v>-</v>
      </c>
      <c r="N46" s="674" t="str">
        <f>INDEX('DEFAULT DATA'!$EK$9:$GP$41,N$21,$E46)</f>
        <v>-</v>
      </c>
      <c r="O46" s="674" t="str">
        <f>INDEX('DEFAULT DATA'!$EK$9:$GP$41,O$21,$E46)</f>
        <v>-</v>
      </c>
      <c r="P46" s="674" t="str">
        <f>INDEX('DEFAULT DATA'!$EK$9:$GP$41,P$21,$E46)</f>
        <v>Essen trams</v>
      </c>
      <c r="Q46" s="674" t="str">
        <f>INDEX('DEFAULT DATA'!$EK$9:$GP$41,Q$21,$E46)</f>
        <v>-</v>
      </c>
      <c r="R46" s="674" t="str">
        <f>INDEX('DEFAULT DATA'!$EK$9:$GP$41,R$21,$E46)</f>
        <v>-</v>
      </c>
      <c r="S46" s="674" t="str">
        <f>INDEX('DEFAULT DATA'!$EK$9:$GP$41,S$21,$E46)</f>
        <v>-</v>
      </c>
      <c r="T46" s="674" t="str">
        <f>INDEX('DEFAULT DATA'!$EK$9:$GP$41,T$21,$E46)</f>
        <v>-</v>
      </c>
      <c r="U46" s="674" t="str">
        <f>INDEX('DEFAULT DATA'!$EK$9:$GP$41,U$21,$E46)</f>
        <v>-</v>
      </c>
      <c r="V46" s="674" t="str">
        <f>INDEX('DEFAULT DATA'!$EK$9:$GP$41,V$21,$E46)</f>
        <v>-</v>
      </c>
      <c r="W46" s="674" t="str">
        <f>INDEX('DEFAULT DATA'!$EK$9:$GP$41,W$21,$E46)</f>
        <v>-</v>
      </c>
      <c r="X46" s="674" t="str">
        <f>INDEX('DEFAULT DATA'!$EK$9:$GP$41,X$21,$E46)</f>
        <v>-</v>
      </c>
      <c r="Y46" s="674" t="str">
        <f>INDEX('DEFAULT DATA'!$EK$9:$GP$41,Y$21,$E46)</f>
        <v>-</v>
      </c>
      <c r="Z46" s="674" t="str">
        <f>INDEX('DEFAULT DATA'!$EK$9:$GP$41,Z$21,$E46)</f>
        <v>-</v>
      </c>
      <c r="AA46" s="674" t="str">
        <f>INDEX('DEFAULT DATA'!$EK$9:$GP$41,AA$21,$E46)</f>
        <v>-</v>
      </c>
      <c r="AB46" s="674" t="str">
        <f>INDEX('DEFAULT DATA'!$EK$9:$GP$41,AB$21,$E46)</f>
        <v>-</v>
      </c>
      <c r="AC46" s="674" t="str">
        <f>INDEX('DEFAULT DATA'!$EK$9:$GP$41,AC$21,$E46)</f>
        <v>-</v>
      </c>
      <c r="AD46" s="674" t="str">
        <f>INDEX('DEFAULT DATA'!$EK$9:$GP$41,AD$21,$E46)</f>
        <v>-</v>
      </c>
      <c r="AE46" s="674" t="str">
        <f>INDEX('DEFAULT DATA'!$EK$9:$GP$41,AE$21,$E46)</f>
        <v>-</v>
      </c>
      <c r="AF46" s="674" t="str">
        <f>INDEX('DEFAULT DATA'!$EK$9:$GP$41,AF$21,$E46)</f>
        <v>-</v>
      </c>
      <c r="AG46" s="674" t="str">
        <f>INDEX('DEFAULT DATA'!$EK$9:$GP$41,AG$21,$E46)</f>
        <v>-</v>
      </c>
      <c r="AH46" s="674" t="str">
        <f>INDEX('DEFAULT DATA'!$EK$9:$GP$41,AH$21,$E46)</f>
        <v>-</v>
      </c>
      <c r="AI46" s="674" t="str">
        <f>INDEX('DEFAULT DATA'!$EK$9:$GP$41,AI$21,$E46)</f>
        <v>-</v>
      </c>
      <c r="AJ46" s="674" t="str">
        <f>INDEX('DEFAULT DATA'!$EK$9:$GP$41,AJ$21,$E46)</f>
        <v>-</v>
      </c>
      <c r="AK46" s="674" t="str">
        <f>INDEX('DEFAULT DATA'!$EK$9:$GP$41,AK$21,$E46)</f>
        <v>-</v>
      </c>
    </row>
    <row r="47" spans="2:37">
      <c r="E47" s="61">
        <f t="shared" si="4"/>
        <v>25</v>
      </c>
      <c r="F47" s="674" t="str">
        <f>INDEX('DEFAULT DATA'!$EK$9:$GP$41,F$21,$E47)</f>
        <v>-</v>
      </c>
      <c r="G47" s="674" t="str">
        <f>INDEX('DEFAULT DATA'!$EK$9:$GP$41,G$21,$E47)</f>
        <v>-</v>
      </c>
      <c r="H47" s="674" t="str">
        <f>INDEX('DEFAULT DATA'!$EK$9:$GP$41,H$21,$E47)</f>
        <v>-</v>
      </c>
      <c r="I47" s="674" t="str">
        <f>INDEX('DEFAULT DATA'!$EK$9:$GP$41,I$21,$E47)</f>
        <v>-</v>
      </c>
      <c r="J47" s="674" t="str">
        <f>INDEX('DEFAULT DATA'!$EK$9:$GP$41,J$21,$E47)</f>
        <v>-</v>
      </c>
      <c r="K47" s="674" t="str">
        <f>INDEX('DEFAULT DATA'!$EK$9:$GP$41,K$21,$E47)</f>
        <v>-</v>
      </c>
      <c r="L47" s="674" t="str">
        <f>INDEX('DEFAULT DATA'!$EK$9:$GP$41,L$21,$E47)</f>
        <v>-</v>
      </c>
      <c r="M47" s="674" t="str">
        <f>INDEX('DEFAULT DATA'!$EK$9:$GP$41,M$21,$E47)</f>
        <v>-</v>
      </c>
      <c r="N47" s="674" t="str">
        <f>INDEX('DEFAULT DATA'!$EK$9:$GP$41,N$21,$E47)</f>
        <v>-</v>
      </c>
      <c r="O47" s="674" t="str">
        <f>INDEX('DEFAULT DATA'!$EK$9:$GP$41,O$21,$E47)</f>
        <v>-</v>
      </c>
      <c r="P47" s="674" t="str">
        <f>INDEX('DEFAULT DATA'!$EK$9:$GP$41,P$21,$E47)</f>
        <v>Frankfurt am Main U-Bahn</v>
      </c>
      <c r="Q47" s="674" t="str">
        <f>INDEX('DEFAULT DATA'!$EK$9:$GP$41,Q$21,$E47)</f>
        <v>-</v>
      </c>
      <c r="R47" s="674" t="str">
        <f>INDEX('DEFAULT DATA'!$EK$9:$GP$41,R$21,$E47)</f>
        <v>-</v>
      </c>
      <c r="S47" s="674" t="str">
        <f>INDEX('DEFAULT DATA'!$EK$9:$GP$41,S$21,$E47)</f>
        <v>-</v>
      </c>
      <c r="T47" s="674" t="str">
        <f>INDEX('DEFAULT DATA'!$EK$9:$GP$41,T$21,$E47)</f>
        <v>-</v>
      </c>
      <c r="U47" s="674" t="str">
        <f>INDEX('DEFAULT DATA'!$EK$9:$GP$41,U$21,$E47)</f>
        <v>-</v>
      </c>
      <c r="V47" s="674" t="str">
        <f>INDEX('DEFAULT DATA'!$EK$9:$GP$41,V$21,$E47)</f>
        <v>-</v>
      </c>
      <c r="W47" s="674" t="str">
        <f>INDEX('DEFAULT DATA'!$EK$9:$GP$41,W$21,$E47)</f>
        <v>-</v>
      </c>
      <c r="X47" s="674" t="str">
        <f>INDEX('DEFAULT DATA'!$EK$9:$GP$41,X$21,$E47)</f>
        <v>-</v>
      </c>
      <c r="Y47" s="674" t="str">
        <f>INDEX('DEFAULT DATA'!$EK$9:$GP$41,Y$21,$E47)</f>
        <v>-</v>
      </c>
      <c r="Z47" s="674" t="str">
        <f>INDEX('DEFAULT DATA'!$EK$9:$GP$41,Z$21,$E47)</f>
        <v>-</v>
      </c>
      <c r="AA47" s="674" t="str">
        <f>INDEX('DEFAULT DATA'!$EK$9:$GP$41,AA$21,$E47)</f>
        <v>-</v>
      </c>
      <c r="AB47" s="674" t="str">
        <f>INDEX('DEFAULT DATA'!$EK$9:$GP$41,AB$21,$E47)</f>
        <v>-</v>
      </c>
      <c r="AC47" s="674" t="str">
        <f>INDEX('DEFAULT DATA'!$EK$9:$GP$41,AC$21,$E47)</f>
        <v>-</v>
      </c>
      <c r="AD47" s="674" t="str">
        <f>INDEX('DEFAULT DATA'!$EK$9:$GP$41,AD$21,$E47)</f>
        <v>-</v>
      </c>
      <c r="AE47" s="674" t="str">
        <f>INDEX('DEFAULT DATA'!$EK$9:$GP$41,AE$21,$E47)</f>
        <v>-</v>
      </c>
      <c r="AF47" s="674" t="str">
        <f>INDEX('DEFAULT DATA'!$EK$9:$GP$41,AF$21,$E47)</f>
        <v>-</v>
      </c>
      <c r="AG47" s="674" t="str">
        <f>INDEX('DEFAULT DATA'!$EK$9:$GP$41,AG$21,$E47)</f>
        <v>-</v>
      </c>
      <c r="AH47" s="674" t="str">
        <f>INDEX('DEFAULT DATA'!$EK$9:$GP$41,AH$21,$E47)</f>
        <v>-</v>
      </c>
      <c r="AI47" s="674" t="str">
        <f>INDEX('DEFAULT DATA'!$EK$9:$GP$41,AI$21,$E47)</f>
        <v>-</v>
      </c>
      <c r="AJ47" s="674" t="str">
        <f>INDEX('DEFAULT DATA'!$EK$9:$GP$41,AJ$21,$E47)</f>
        <v>-</v>
      </c>
      <c r="AK47" s="674" t="str">
        <f>INDEX('DEFAULT DATA'!$EK$9:$GP$41,AK$21,$E47)</f>
        <v>-</v>
      </c>
    </row>
    <row r="48" spans="2:37">
      <c r="E48" s="61">
        <f t="shared" si="4"/>
        <v>26</v>
      </c>
      <c r="F48" s="674" t="str">
        <f>INDEX('DEFAULT DATA'!$EK$9:$GP$41,F$21,$E48)</f>
        <v>-</v>
      </c>
      <c r="G48" s="674" t="str">
        <f>INDEX('DEFAULT DATA'!$EK$9:$GP$41,G$21,$E48)</f>
        <v>-</v>
      </c>
      <c r="H48" s="674" t="str">
        <f>INDEX('DEFAULT DATA'!$EK$9:$GP$41,H$21,$E48)</f>
        <v>-</v>
      </c>
      <c r="I48" s="674" t="str">
        <f>INDEX('DEFAULT DATA'!$EK$9:$GP$41,I$21,$E48)</f>
        <v>-</v>
      </c>
      <c r="J48" s="674" t="str">
        <f>INDEX('DEFAULT DATA'!$EK$9:$GP$41,J$21,$E48)</f>
        <v>-</v>
      </c>
      <c r="K48" s="674" t="str">
        <f>INDEX('DEFAULT DATA'!$EK$9:$GP$41,K$21,$E48)</f>
        <v>-</v>
      </c>
      <c r="L48" s="674" t="str">
        <f>INDEX('DEFAULT DATA'!$EK$9:$GP$41,L$21,$E48)</f>
        <v>-</v>
      </c>
      <c r="M48" s="674" t="str">
        <f>INDEX('DEFAULT DATA'!$EK$9:$GP$41,M$21,$E48)</f>
        <v>-</v>
      </c>
      <c r="N48" s="674" t="str">
        <f>INDEX('DEFAULT DATA'!$EK$9:$GP$41,N$21,$E48)</f>
        <v>-</v>
      </c>
      <c r="O48" s="674" t="str">
        <f>INDEX('DEFAULT DATA'!$EK$9:$GP$41,O$21,$E48)</f>
        <v>-</v>
      </c>
      <c r="P48" s="674" t="str">
        <f>INDEX('DEFAULT DATA'!$EK$9:$GP$41,P$21,$E48)</f>
        <v>Frankfurt am Main</v>
      </c>
      <c r="Q48" s="674" t="str">
        <f>INDEX('DEFAULT DATA'!$EK$9:$GP$41,Q$21,$E48)</f>
        <v>-</v>
      </c>
      <c r="R48" s="674" t="str">
        <f>INDEX('DEFAULT DATA'!$EK$9:$GP$41,R$21,$E48)</f>
        <v>-</v>
      </c>
      <c r="S48" s="674" t="str">
        <f>INDEX('DEFAULT DATA'!$EK$9:$GP$41,S$21,$E48)</f>
        <v>-</v>
      </c>
      <c r="T48" s="674" t="str">
        <f>INDEX('DEFAULT DATA'!$EK$9:$GP$41,T$21,$E48)</f>
        <v>-</v>
      </c>
      <c r="U48" s="674" t="str">
        <f>INDEX('DEFAULT DATA'!$EK$9:$GP$41,U$21,$E48)</f>
        <v>-</v>
      </c>
      <c r="V48" s="674" t="str">
        <f>INDEX('DEFAULT DATA'!$EK$9:$GP$41,V$21,$E48)</f>
        <v>-</v>
      </c>
      <c r="W48" s="674" t="str">
        <f>INDEX('DEFAULT DATA'!$EK$9:$GP$41,W$21,$E48)</f>
        <v>-</v>
      </c>
      <c r="X48" s="674" t="str">
        <f>INDEX('DEFAULT DATA'!$EK$9:$GP$41,X$21,$E48)</f>
        <v>-</v>
      </c>
      <c r="Y48" s="674" t="str">
        <f>INDEX('DEFAULT DATA'!$EK$9:$GP$41,Y$21,$E48)</f>
        <v>-</v>
      </c>
      <c r="Z48" s="674" t="str">
        <f>INDEX('DEFAULT DATA'!$EK$9:$GP$41,Z$21,$E48)</f>
        <v>-</v>
      </c>
      <c r="AA48" s="674" t="str">
        <f>INDEX('DEFAULT DATA'!$EK$9:$GP$41,AA$21,$E48)</f>
        <v>-</v>
      </c>
      <c r="AB48" s="674" t="str">
        <f>INDEX('DEFAULT DATA'!$EK$9:$GP$41,AB$21,$E48)</f>
        <v>-</v>
      </c>
      <c r="AC48" s="674" t="str">
        <f>INDEX('DEFAULT DATA'!$EK$9:$GP$41,AC$21,$E48)</f>
        <v>-</v>
      </c>
      <c r="AD48" s="674" t="str">
        <f>INDEX('DEFAULT DATA'!$EK$9:$GP$41,AD$21,$E48)</f>
        <v>-</v>
      </c>
      <c r="AE48" s="674" t="str">
        <f>INDEX('DEFAULT DATA'!$EK$9:$GP$41,AE$21,$E48)</f>
        <v>-</v>
      </c>
      <c r="AF48" s="674" t="str">
        <f>INDEX('DEFAULT DATA'!$EK$9:$GP$41,AF$21,$E48)</f>
        <v>-</v>
      </c>
      <c r="AG48" s="674" t="str">
        <f>INDEX('DEFAULT DATA'!$EK$9:$GP$41,AG$21,$E48)</f>
        <v>-</v>
      </c>
      <c r="AH48" s="674" t="str">
        <f>INDEX('DEFAULT DATA'!$EK$9:$GP$41,AH$21,$E48)</f>
        <v>-</v>
      </c>
      <c r="AI48" s="674" t="str">
        <f>INDEX('DEFAULT DATA'!$EK$9:$GP$41,AI$21,$E48)</f>
        <v>-</v>
      </c>
      <c r="AJ48" s="674" t="str">
        <f>INDEX('DEFAULT DATA'!$EK$9:$GP$41,AJ$21,$E48)</f>
        <v>-</v>
      </c>
      <c r="AK48" s="674" t="str">
        <f>INDEX('DEFAULT DATA'!$EK$9:$GP$41,AK$21,$E48)</f>
        <v>-</v>
      </c>
    </row>
    <row r="49" spans="5:37">
      <c r="E49" s="61">
        <f t="shared" si="4"/>
        <v>27</v>
      </c>
      <c r="F49" s="674" t="str">
        <f>INDEX('DEFAULT DATA'!$EK$9:$GP$41,F$21,$E49)</f>
        <v>-</v>
      </c>
      <c r="G49" s="674" t="str">
        <f>INDEX('DEFAULT DATA'!$EK$9:$GP$41,G$21,$E49)</f>
        <v>-</v>
      </c>
      <c r="H49" s="674" t="str">
        <f>INDEX('DEFAULT DATA'!$EK$9:$GP$41,H$21,$E49)</f>
        <v>-</v>
      </c>
      <c r="I49" s="674" t="str">
        <f>INDEX('DEFAULT DATA'!$EK$9:$GP$41,I$21,$E49)</f>
        <v>-</v>
      </c>
      <c r="J49" s="674" t="str">
        <f>INDEX('DEFAULT DATA'!$EK$9:$GP$41,J$21,$E49)</f>
        <v>-</v>
      </c>
      <c r="K49" s="674" t="str">
        <f>INDEX('DEFAULT DATA'!$EK$9:$GP$41,K$21,$E49)</f>
        <v>-</v>
      </c>
      <c r="L49" s="674" t="str">
        <f>INDEX('DEFAULT DATA'!$EK$9:$GP$41,L$21,$E49)</f>
        <v>-</v>
      </c>
      <c r="M49" s="674" t="str">
        <f>INDEX('DEFAULT DATA'!$EK$9:$GP$41,M$21,$E49)</f>
        <v>-</v>
      </c>
      <c r="N49" s="674" t="str">
        <f>INDEX('DEFAULT DATA'!$EK$9:$GP$41,N$21,$E49)</f>
        <v>-</v>
      </c>
      <c r="O49" s="674" t="str">
        <f>INDEX('DEFAULT DATA'!$EK$9:$GP$41,O$21,$E49)</f>
        <v>-</v>
      </c>
      <c r="P49" s="674" t="str">
        <f>INDEX('DEFAULT DATA'!$EK$9:$GP$41,P$21,$E49)</f>
        <v>Frankfurt (Oder)</v>
      </c>
      <c r="Q49" s="674" t="str">
        <f>INDEX('DEFAULT DATA'!$EK$9:$GP$41,Q$21,$E49)</f>
        <v>-</v>
      </c>
      <c r="R49" s="674" t="str">
        <f>INDEX('DEFAULT DATA'!$EK$9:$GP$41,R$21,$E49)</f>
        <v>-</v>
      </c>
      <c r="S49" s="674" t="str">
        <f>INDEX('DEFAULT DATA'!$EK$9:$GP$41,S$21,$E49)</f>
        <v>-</v>
      </c>
      <c r="T49" s="674" t="str">
        <f>INDEX('DEFAULT DATA'!$EK$9:$GP$41,T$21,$E49)</f>
        <v>-</v>
      </c>
      <c r="U49" s="674" t="str">
        <f>INDEX('DEFAULT DATA'!$EK$9:$GP$41,U$21,$E49)</f>
        <v>-</v>
      </c>
      <c r="V49" s="674" t="str">
        <f>INDEX('DEFAULT DATA'!$EK$9:$GP$41,V$21,$E49)</f>
        <v>-</v>
      </c>
      <c r="W49" s="674" t="str">
        <f>INDEX('DEFAULT DATA'!$EK$9:$GP$41,W$21,$E49)</f>
        <v>-</v>
      </c>
      <c r="X49" s="674" t="str">
        <f>INDEX('DEFAULT DATA'!$EK$9:$GP$41,X$21,$E49)</f>
        <v>-</v>
      </c>
      <c r="Y49" s="674" t="str">
        <f>INDEX('DEFAULT DATA'!$EK$9:$GP$41,Y$21,$E49)</f>
        <v>-</v>
      </c>
      <c r="Z49" s="674" t="str">
        <f>INDEX('DEFAULT DATA'!$EK$9:$GP$41,Z$21,$E49)</f>
        <v>-</v>
      </c>
      <c r="AA49" s="674" t="str">
        <f>INDEX('DEFAULT DATA'!$EK$9:$GP$41,AA$21,$E49)</f>
        <v>-</v>
      </c>
      <c r="AB49" s="674" t="str">
        <f>INDEX('DEFAULT DATA'!$EK$9:$GP$41,AB$21,$E49)</f>
        <v>-</v>
      </c>
      <c r="AC49" s="674" t="str">
        <f>INDEX('DEFAULT DATA'!$EK$9:$GP$41,AC$21,$E49)</f>
        <v>-</v>
      </c>
      <c r="AD49" s="674" t="str">
        <f>INDEX('DEFAULT DATA'!$EK$9:$GP$41,AD$21,$E49)</f>
        <v>-</v>
      </c>
      <c r="AE49" s="674" t="str">
        <f>INDEX('DEFAULT DATA'!$EK$9:$GP$41,AE$21,$E49)</f>
        <v>-</v>
      </c>
      <c r="AF49" s="674" t="str">
        <f>INDEX('DEFAULT DATA'!$EK$9:$GP$41,AF$21,$E49)</f>
        <v>-</v>
      </c>
      <c r="AG49" s="674" t="str">
        <f>INDEX('DEFAULT DATA'!$EK$9:$GP$41,AG$21,$E49)</f>
        <v>-</v>
      </c>
      <c r="AH49" s="674" t="str">
        <f>INDEX('DEFAULT DATA'!$EK$9:$GP$41,AH$21,$E49)</f>
        <v>-</v>
      </c>
      <c r="AI49" s="674" t="str">
        <f>INDEX('DEFAULT DATA'!$EK$9:$GP$41,AI$21,$E49)</f>
        <v>-</v>
      </c>
      <c r="AJ49" s="674" t="str">
        <f>INDEX('DEFAULT DATA'!$EK$9:$GP$41,AJ$21,$E49)</f>
        <v>-</v>
      </c>
      <c r="AK49" s="674" t="str">
        <f>INDEX('DEFAULT DATA'!$EK$9:$GP$41,AK$21,$E49)</f>
        <v>-</v>
      </c>
    </row>
    <row r="50" spans="5:37">
      <c r="E50" s="61">
        <f t="shared" si="4"/>
        <v>28</v>
      </c>
      <c r="F50" s="674" t="str">
        <f>INDEX('DEFAULT DATA'!$EK$9:$GP$41,F$21,$E50)</f>
        <v>-</v>
      </c>
      <c r="G50" s="674" t="str">
        <f>INDEX('DEFAULT DATA'!$EK$9:$GP$41,G$21,$E50)</f>
        <v>-</v>
      </c>
      <c r="H50" s="674" t="str">
        <f>INDEX('DEFAULT DATA'!$EK$9:$GP$41,H$21,$E50)</f>
        <v>-</v>
      </c>
      <c r="I50" s="674" t="str">
        <f>INDEX('DEFAULT DATA'!$EK$9:$GP$41,I$21,$E50)</f>
        <v>-</v>
      </c>
      <c r="J50" s="674" t="str">
        <f>INDEX('DEFAULT DATA'!$EK$9:$GP$41,J$21,$E50)</f>
        <v>-</v>
      </c>
      <c r="K50" s="674" t="str">
        <f>INDEX('DEFAULT DATA'!$EK$9:$GP$41,K$21,$E50)</f>
        <v>-</v>
      </c>
      <c r="L50" s="674" t="str">
        <f>INDEX('DEFAULT DATA'!$EK$9:$GP$41,L$21,$E50)</f>
        <v>-</v>
      </c>
      <c r="M50" s="674" t="str">
        <f>INDEX('DEFAULT DATA'!$EK$9:$GP$41,M$21,$E50)</f>
        <v>-</v>
      </c>
      <c r="N50" s="674" t="str">
        <f>INDEX('DEFAULT DATA'!$EK$9:$GP$41,N$21,$E50)</f>
        <v>-</v>
      </c>
      <c r="O50" s="674" t="str">
        <f>INDEX('DEFAULT DATA'!$EK$9:$GP$41,O$21,$E50)</f>
        <v>-</v>
      </c>
      <c r="P50" s="674" t="str">
        <f>INDEX('DEFAULT DATA'!$EK$9:$GP$41,P$21,$E50)</f>
        <v>Freiburg im Breisgau</v>
      </c>
      <c r="Q50" s="674" t="str">
        <f>INDEX('DEFAULT DATA'!$EK$9:$GP$41,Q$21,$E50)</f>
        <v>-</v>
      </c>
      <c r="R50" s="674" t="str">
        <f>INDEX('DEFAULT DATA'!$EK$9:$GP$41,R$21,$E50)</f>
        <v>-</v>
      </c>
      <c r="S50" s="674" t="str">
        <f>INDEX('DEFAULT DATA'!$EK$9:$GP$41,S$21,$E50)</f>
        <v>-</v>
      </c>
      <c r="T50" s="674" t="str">
        <f>INDEX('DEFAULT DATA'!$EK$9:$GP$41,T$21,$E50)</f>
        <v>-</v>
      </c>
      <c r="U50" s="674" t="str">
        <f>INDEX('DEFAULT DATA'!$EK$9:$GP$41,U$21,$E50)</f>
        <v>-</v>
      </c>
      <c r="V50" s="674" t="str">
        <f>INDEX('DEFAULT DATA'!$EK$9:$GP$41,V$21,$E50)</f>
        <v>-</v>
      </c>
      <c r="W50" s="674" t="str">
        <f>INDEX('DEFAULT DATA'!$EK$9:$GP$41,W$21,$E50)</f>
        <v>-</v>
      </c>
      <c r="X50" s="674" t="str">
        <f>INDEX('DEFAULT DATA'!$EK$9:$GP$41,X$21,$E50)</f>
        <v>-</v>
      </c>
      <c r="Y50" s="674" t="str">
        <f>INDEX('DEFAULT DATA'!$EK$9:$GP$41,Y$21,$E50)</f>
        <v>-</v>
      </c>
      <c r="Z50" s="674" t="str">
        <f>INDEX('DEFAULT DATA'!$EK$9:$GP$41,Z$21,$E50)</f>
        <v>-</v>
      </c>
      <c r="AA50" s="674" t="str">
        <f>INDEX('DEFAULT DATA'!$EK$9:$GP$41,AA$21,$E50)</f>
        <v>-</v>
      </c>
      <c r="AB50" s="674" t="str">
        <f>INDEX('DEFAULT DATA'!$EK$9:$GP$41,AB$21,$E50)</f>
        <v>-</v>
      </c>
      <c r="AC50" s="674" t="str">
        <f>INDEX('DEFAULT DATA'!$EK$9:$GP$41,AC$21,$E50)</f>
        <v>-</v>
      </c>
      <c r="AD50" s="674" t="str">
        <f>INDEX('DEFAULT DATA'!$EK$9:$GP$41,AD$21,$E50)</f>
        <v>-</v>
      </c>
      <c r="AE50" s="674" t="str">
        <f>INDEX('DEFAULT DATA'!$EK$9:$GP$41,AE$21,$E50)</f>
        <v>-</v>
      </c>
      <c r="AF50" s="674" t="str">
        <f>INDEX('DEFAULT DATA'!$EK$9:$GP$41,AF$21,$E50)</f>
        <v>-</v>
      </c>
      <c r="AG50" s="674" t="str">
        <f>INDEX('DEFAULT DATA'!$EK$9:$GP$41,AG$21,$E50)</f>
        <v>-</v>
      </c>
      <c r="AH50" s="674" t="str">
        <f>INDEX('DEFAULT DATA'!$EK$9:$GP$41,AH$21,$E50)</f>
        <v>-</v>
      </c>
      <c r="AI50" s="674" t="str">
        <f>INDEX('DEFAULT DATA'!$EK$9:$GP$41,AI$21,$E50)</f>
        <v>-</v>
      </c>
      <c r="AJ50" s="674" t="str">
        <f>INDEX('DEFAULT DATA'!$EK$9:$GP$41,AJ$21,$E50)</f>
        <v>-</v>
      </c>
      <c r="AK50" s="674" t="str">
        <f>INDEX('DEFAULT DATA'!$EK$9:$GP$41,AK$21,$E50)</f>
        <v>-</v>
      </c>
    </row>
    <row r="51" spans="5:37">
      <c r="E51" s="61">
        <f t="shared" si="4"/>
        <v>29</v>
      </c>
      <c r="F51" s="674" t="str">
        <f>INDEX('DEFAULT DATA'!$EK$9:$GP$41,F$21,$E51)</f>
        <v>-</v>
      </c>
      <c r="G51" s="674" t="str">
        <f>INDEX('DEFAULT DATA'!$EK$9:$GP$41,G$21,$E51)</f>
        <v>-</v>
      </c>
      <c r="H51" s="674" t="str">
        <f>INDEX('DEFAULT DATA'!$EK$9:$GP$41,H$21,$E51)</f>
        <v>-</v>
      </c>
      <c r="I51" s="674" t="str">
        <f>INDEX('DEFAULT DATA'!$EK$9:$GP$41,I$21,$E51)</f>
        <v>-</v>
      </c>
      <c r="J51" s="674" t="str">
        <f>INDEX('DEFAULT DATA'!$EK$9:$GP$41,J$21,$E51)</f>
        <v>-</v>
      </c>
      <c r="K51" s="674" t="str">
        <f>INDEX('DEFAULT DATA'!$EK$9:$GP$41,K$21,$E51)</f>
        <v>-</v>
      </c>
      <c r="L51" s="674" t="str">
        <f>INDEX('DEFAULT DATA'!$EK$9:$GP$41,L$21,$E51)</f>
        <v>-</v>
      </c>
      <c r="M51" s="674" t="str">
        <f>INDEX('DEFAULT DATA'!$EK$9:$GP$41,M$21,$E51)</f>
        <v>-</v>
      </c>
      <c r="N51" s="674" t="str">
        <f>INDEX('DEFAULT DATA'!$EK$9:$GP$41,N$21,$E51)</f>
        <v>-</v>
      </c>
      <c r="O51" s="674" t="str">
        <f>INDEX('DEFAULT DATA'!$EK$9:$GP$41,O$21,$E51)</f>
        <v>-</v>
      </c>
      <c r="P51" s="674" t="str">
        <f>INDEX('DEFAULT DATA'!$EK$9:$GP$41,P$21,$E51)</f>
        <v>Gera</v>
      </c>
      <c r="Q51" s="674" t="str">
        <f>INDEX('DEFAULT DATA'!$EK$9:$GP$41,Q$21,$E51)</f>
        <v>-</v>
      </c>
      <c r="R51" s="674" t="str">
        <f>INDEX('DEFAULT DATA'!$EK$9:$GP$41,R$21,$E51)</f>
        <v>-</v>
      </c>
      <c r="S51" s="674" t="str">
        <f>INDEX('DEFAULT DATA'!$EK$9:$GP$41,S$21,$E51)</f>
        <v>-</v>
      </c>
      <c r="T51" s="674" t="str">
        <f>INDEX('DEFAULT DATA'!$EK$9:$GP$41,T$21,$E51)</f>
        <v>-</v>
      </c>
      <c r="U51" s="674" t="str">
        <f>INDEX('DEFAULT DATA'!$EK$9:$GP$41,U$21,$E51)</f>
        <v>-</v>
      </c>
      <c r="V51" s="674" t="str">
        <f>INDEX('DEFAULT DATA'!$EK$9:$GP$41,V$21,$E51)</f>
        <v>-</v>
      </c>
      <c r="W51" s="674" t="str">
        <f>INDEX('DEFAULT DATA'!$EK$9:$GP$41,W$21,$E51)</f>
        <v>-</v>
      </c>
      <c r="X51" s="674" t="str">
        <f>INDEX('DEFAULT DATA'!$EK$9:$GP$41,X$21,$E51)</f>
        <v>-</v>
      </c>
      <c r="Y51" s="674" t="str">
        <f>INDEX('DEFAULT DATA'!$EK$9:$GP$41,Y$21,$E51)</f>
        <v>-</v>
      </c>
      <c r="Z51" s="674" t="str">
        <f>INDEX('DEFAULT DATA'!$EK$9:$GP$41,Z$21,$E51)</f>
        <v>-</v>
      </c>
      <c r="AA51" s="674" t="str">
        <f>INDEX('DEFAULT DATA'!$EK$9:$GP$41,AA$21,$E51)</f>
        <v>-</v>
      </c>
      <c r="AB51" s="674" t="str">
        <f>INDEX('DEFAULT DATA'!$EK$9:$GP$41,AB$21,$E51)</f>
        <v>-</v>
      </c>
      <c r="AC51" s="674" t="str">
        <f>INDEX('DEFAULT DATA'!$EK$9:$GP$41,AC$21,$E51)</f>
        <v>-</v>
      </c>
      <c r="AD51" s="674" t="str">
        <f>INDEX('DEFAULT DATA'!$EK$9:$GP$41,AD$21,$E51)</f>
        <v>-</v>
      </c>
      <c r="AE51" s="674" t="str">
        <f>INDEX('DEFAULT DATA'!$EK$9:$GP$41,AE$21,$E51)</f>
        <v>-</v>
      </c>
      <c r="AF51" s="674" t="str">
        <f>INDEX('DEFAULT DATA'!$EK$9:$GP$41,AF$21,$E51)</f>
        <v>-</v>
      </c>
      <c r="AG51" s="674" t="str">
        <f>INDEX('DEFAULT DATA'!$EK$9:$GP$41,AG$21,$E51)</f>
        <v>-</v>
      </c>
      <c r="AH51" s="674" t="str">
        <f>INDEX('DEFAULT DATA'!$EK$9:$GP$41,AH$21,$E51)</f>
        <v>-</v>
      </c>
      <c r="AI51" s="674" t="str">
        <f>INDEX('DEFAULT DATA'!$EK$9:$GP$41,AI$21,$E51)</f>
        <v>-</v>
      </c>
      <c r="AJ51" s="674" t="str">
        <f>INDEX('DEFAULT DATA'!$EK$9:$GP$41,AJ$21,$E51)</f>
        <v>-</v>
      </c>
      <c r="AK51" s="674" t="str">
        <f>INDEX('DEFAULT DATA'!$EK$9:$GP$41,AK$21,$E51)</f>
        <v>-</v>
      </c>
    </row>
    <row r="52" spans="5:37">
      <c r="E52" s="61">
        <f t="shared" si="4"/>
        <v>30</v>
      </c>
      <c r="F52" s="674" t="str">
        <f>INDEX('DEFAULT DATA'!$EK$9:$GP$41,F$21,$E52)</f>
        <v>-</v>
      </c>
      <c r="G52" s="674" t="str">
        <f>INDEX('DEFAULT DATA'!$EK$9:$GP$41,G$21,$E52)</f>
        <v>-</v>
      </c>
      <c r="H52" s="674" t="str">
        <f>INDEX('DEFAULT DATA'!$EK$9:$GP$41,H$21,$E52)</f>
        <v>-</v>
      </c>
      <c r="I52" s="674" t="str">
        <f>INDEX('DEFAULT DATA'!$EK$9:$GP$41,I$21,$E52)</f>
        <v>-</v>
      </c>
      <c r="J52" s="674" t="str">
        <f>INDEX('DEFAULT DATA'!$EK$9:$GP$41,J$21,$E52)</f>
        <v>-</v>
      </c>
      <c r="K52" s="674" t="str">
        <f>INDEX('DEFAULT DATA'!$EK$9:$GP$41,K$21,$E52)</f>
        <v>-</v>
      </c>
      <c r="L52" s="674" t="str">
        <f>INDEX('DEFAULT DATA'!$EK$9:$GP$41,L$21,$E52)</f>
        <v>-</v>
      </c>
      <c r="M52" s="674" t="str">
        <f>INDEX('DEFAULT DATA'!$EK$9:$GP$41,M$21,$E52)</f>
        <v>-</v>
      </c>
      <c r="N52" s="674" t="str">
        <f>INDEX('DEFAULT DATA'!$EK$9:$GP$41,N$21,$E52)</f>
        <v>-</v>
      </c>
      <c r="O52" s="674" t="str">
        <f>INDEX('DEFAULT DATA'!$EK$9:$GP$41,O$21,$E52)</f>
        <v>-</v>
      </c>
      <c r="P52" s="674" t="str">
        <f>INDEX('DEFAULT DATA'!$EK$9:$GP$41,P$21,$E52)</f>
        <v>Görlitz</v>
      </c>
      <c r="Q52" s="674" t="str">
        <f>INDEX('DEFAULT DATA'!$EK$9:$GP$41,Q$21,$E52)</f>
        <v>-</v>
      </c>
      <c r="R52" s="674" t="str">
        <f>INDEX('DEFAULT DATA'!$EK$9:$GP$41,R$21,$E52)</f>
        <v>-</v>
      </c>
      <c r="S52" s="674" t="str">
        <f>INDEX('DEFAULT DATA'!$EK$9:$GP$41,S$21,$E52)</f>
        <v>-</v>
      </c>
      <c r="T52" s="674" t="str">
        <f>INDEX('DEFAULT DATA'!$EK$9:$GP$41,T$21,$E52)</f>
        <v>-</v>
      </c>
      <c r="U52" s="674" t="str">
        <f>INDEX('DEFAULT DATA'!$EK$9:$GP$41,U$21,$E52)</f>
        <v>-</v>
      </c>
      <c r="V52" s="674" t="str">
        <f>INDEX('DEFAULT DATA'!$EK$9:$GP$41,V$21,$E52)</f>
        <v>-</v>
      </c>
      <c r="W52" s="674" t="str">
        <f>INDEX('DEFAULT DATA'!$EK$9:$GP$41,W$21,$E52)</f>
        <v>-</v>
      </c>
      <c r="X52" s="674" t="str">
        <f>INDEX('DEFAULT DATA'!$EK$9:$GP$41,X$21,$E52)</f>
        <v>-</v>
      </c>
      <c r="Y52" s="674" t="str">
        <f>INDEX('DEFAULT DATA'!$EK$9:$GP$41,Y$21,$E52)</f>
        <v>-</v>
      </c>
      <c r="Z52" s="674" t="str">
        <f>INDEX('DEFAULT DATA'!$EK$9:$GP$41,Z$21,$E52)</f>
        <v>-</v>
      </c>
      <c r="AA52" s="674" t="str">
        <f>INDEX('DEFAULT DATA'!$EK$9:$GP$41,AA$21,$E52)</f>
        <v>-</v>
      </c>
      <c r="AB52" s="674" t="str">
        <f>INDEX('DEFAULT DATA'!$EK$9:$GP$41,AB$21,$E52)</f>
        <v>-</v>
      </c>
      <c r="AC52" s="674" t="str">
        <f>INDEX('DEFAULT DATA'!$EK$9:$GP$41,AC$21,$E52)</f>
        <v>-</v>
      </c>
      <c r="AD52" s="674" t="str">
        <f>INDEX('DEFAULT DATA'!$EK$9:$GP$41,AD$21,$E52)</f>
        <v>-</v>
      </c>
      <c r="AE52" s="674" t="str">
        <f>INDEX('DEFAULT DATA'!$EK$9:$GP$41,AE$21,$E52)</f>
        <v>-</v>
      </c>
      <c r="AF52" s="674" t="str">
        <f>INDEX('DEFAULT DATA'!$EK$9:$GP$41,AF$21,$E52)</f>
        <v>-</v>
      </c>
      <c r="AG52" s="674" t="str">
        <f>INDEX('DEFAULT DATA'!$EK$9:$GP$41,AG$21,$E52)</f>
        <v>-</v>
      </c>
      <c r="AH52" s="674" t="str">
        <f>INDEX('DEFAULT DATA'!$EK$9:$GP$41,AH$21,$E52)</f>
        <v>-</v>
      </c>
      <c r="AI52" s="674" t="str">
        <f>INDEX('DEFAULT DATA'!$EK$9:$GP$41,AI$21,$E52)</f>
        <v>-</v>
      </c>
      <c r="AJ52" s="674" t="str">
        <f>INDEX('DEFAULT DATA'!$EK$9:$GP$41,AJ$21,$E52)</f>
        <v>-</v>
      </c>
      <c r="AK52" s="674" t="str">
        <f>INDEX('DEFAULT DATA'!$EK$9:$GP$41,AK$21,$E52)</f>
        <v>-</v>
      </c>
    </row>
    <row r="53" spans="5:37">
      <c r="E53" s="61">
        <f t="shared" si="4"/>
        <v>31</v>
      </c>
      <c r="F53" s="674" t="str">
        <f>INDEX('DEFAULT DATA'!$EK$9:$GP$41,F$21,$E53)</f>
        <v>-</v>
      </c>
      <c r="G53" s="674" t="str">
        <f>INDEX('DEFAULT DATA'!$EK$9:$GP$41,G$21,$E53)</f>
        <v>-</v>
      </c>
      <c r="H53" s="674" t="str">
        <f>INDEX('DEFAULT DATA'!$EK$9:$GP$41,H$21,$E53)</f>
        <v>-</v>
      </c>
      <c r="I53" s="674" t="str">
        <f>INDEX('DEFAULT DATA'!$EK$9:$GP$41,I$21,$E53)</f>
        <v>-</v>
      </c>
      <c r="J53" s="674" t="str">
        <f>INDEX('DEFAULT DATA'!$EK$9:$GP$41,J$21,$E53)</f>
        <v>-</v>
      </c>
      <c r="K53" s="674" t="str">
        <f>INDEX('DEFAULT DATA'!$EK$9:$GP$41,K$21,$E53)</f>
        <v>-</v>
      </c>
      <c r="L53" s="674" t="str">
        <f>INDEX('DEFAULT DATA'!$EK$9:$GP$41,L$21,$E53)</f>
        <v>-</v>
      </c>
      <c r="M53" s="674" t="str">
        <f>INDEX('DEFAULT DATA'!$EK$9:$GP$41,M$21,$E53)</f>
        <v>-</v>
      </c>
      <c r="N53" s="674" t="str">
        <f>INDEX('DEFAULT DATA'!$EK$9:$GP$41,N$21,$E53)</f>
        <v>-</v>
      </c>
      <c r="O53" s="674" t="str">
        <f>INDEX('DEFAULT DATA'!$EK$9:$GP$41,O$21,$E53)</f>
        <v>-</v>
      </c>
      <c r="P53" s="674" t="str">
        <f>INDEX('DEFAULT DATA'!$EK$9:$GP$41,P$21,$E53)</f>
        <v>Gotha</v>
      </c>
      <c r="Q53" s="674" t="str">
        <f>INDEX('DEFAULT DATA'!$EK$9:$GP$41,Q$21,$E53)</f>
        <v>-</v>
      </c>
      <c r="R53" s="674" t="str">
        <f>INDEX('DEFAULT DATA'!$EK$9:$GP$41,R$21,$E53)</f>
        <v>-</v>
      </c>
      <c r="S53" s="674" t="str">
        <f>INDEX('DEFAULT DATA'!$EK$9:$GP$41,S$21,$E53)</f>
        <v>-</v>
      </c>
      <c r="T53" s="674" t="str">
        <f>INDEX('DEFAULT DATA'!$EK$9:$GP$41,T$21,$E53)</f>
        <v>-</v>
      </c>
      <c r="U53" s="674" t="str">
        <f>INDEX('DEFAULT DATA'!$EK$9:$GP$41,U$21,$E53)</f>
        <v>-</v>
      </c>
      <c r="V53" s="674" t="str">
        <f>INDEX('DEFAULT DATA'!$EK$9:$GP$41,V$21,$E53)</f>
        <v>-</v>
      </c>
      <c r="W53" s="674" t="str">
        <f>INDEX('DEFAULT DATA'!$EK$9:$GP$41,W$21,$E53)</f>
        <v>-</v>
      </c>
      <c r="X53" s="674" t="str">
        <f>INDEX('DEFAULT DATA'!$EK$9:$GP$41,X$21,$E53)</f>
        <v>-</v>
      </c>
      <c r="Y53" s="674" t="str">
        <f>INDEX('DEFAULT DATA'!$EK$9:$GP$41,Y$21,$E53)</f>
        <v>-</v>
      </c>
      <c r="Z53" s="674" t="str">
        <f>INDEX('DEFAULT DATA'!$EK$9:$GP$41,Z$21,$E53)</f>
        <v>-</v>
      </c>
      <c r="AA53" s="674" t="str">
        <f>INDEX('DEFAULT DATA'!$EK$9:$GP$41,AA$21,$E53)</f>
        <v>-</v>
      </c>
      <c r="AB53" s="674" t="str">
        <f>INDEX('DEFAULT DATA'!$EK$9:$GP$41,AB$21,$E53)</f>
        <v>-</v>
      </c>
      <c r="AC53" s="674" t="str">
        <f>INDEX('DEFAULT DATA'!$EK$9:$GP$41,AC$21,$E53)</f>
        <v>-</v>
      </c>
      <c r="AD53" s="674" t="str">
        <f>INDEX('DEFAULT DATA'!$EK$9:$GP$41,AD$21,$E53)</f>
        <v>-</v>
      </c>
      <c r="AE53" s="674" t="str">
        <f>INDEX('DEFAULT DATA'!$EK$9:$GP$41,AE$21,$E53)</f>
        <v>-</v>
      </c>
      <c r="AF53" s="674" t="str">
        <f>INDEX('DEFAULT DATA'!$EK$9:$GP$41,AF$21,$E53)</f>
        <v>-</v>
      </c>
      <c r="AG53" s="674" t="str">
        <f>INDEX('DEFAULT DATA'!$EK$9:$GP$41,AG$21,$E53)</f>
        <v>-</v>
      </c>
      <c r="AH53" s="674" t="str">
        <f>INDEX('DEFAULT DATA'!$EK$9:$GP$41,AH$21,$E53)</f>
        <v>-</v>
      </c>
      <c r="AI53" s="674" t="str">
        <f>INDEX('DEFAULT DATA'!$EK$9:$GP$41,AI$21,$E53)</f>
        <v>-</v>
      </c>
      <c r="AJ53" s="674" t="str">
        <f>INDEX('DEFAULT DATA'!$EK$9:$GP$41,AJ$21,$E53)</f>
        <v>-</v>
      </c>
      <c r="AK53" s="674" t="str">
        <f>INDEX('DEFAULT DATA'!$EK$9:$GP$41,AK$21,$E53)</f>
        <v>-</v>
      </c>
    </row>
    <row r="54" spans="5:37">
      <c r="E54" s="61">
        <f t="shared" si="4"/>
        <v>32</v>
      </c>
      <c r="F54" s="674" t="str">
        <f>INDEX('DEFAULT DATA'!$EK$9:$GP$41,F$21,$E54)</f>
        <v>-</v>
      </c>
      <c r="G54" s="674" t="str">
        <f>INDEX('DEFAULT DATA'!$EK$9:$GP$41,G$21,$E54)</f>
        <v>-</v>
      </c>
      <c r="H54" s="674" t="str">
        <f>INDEX('DEFAULT DATA'!$EK$9:$GP$41,H$21,$E54)</f>
        <v>-</v>
      </c>
      <c r="I54" s="674" t="str">
        <f>INDEX('DEFAULT DATA'!$EK$9:$GP$41,I$21,$E54)</f>
        <v>-</v>
      </c>
      <c r="J54" s="674" t="str">
        <f>INDEX('DEFAULT DATA'!$EK$9:$GP$41,J$21,$E54)</f>
        <v>-</v>
      </c>
      <c r="K54" s="674" t="str">
        <f>INDEX('DEFAULT DATA'!$EK$9:$GP$41,K$21,$E54)</f>
        <v>-</v>
      </c>
      <c r="L54" s="674" t="str">
        <f>INDEX('DEFAULT DATA'!$EK$9:$GP$41,L$21,$E54)</f>
        <v>-</v>
      </c>
      <c r="M54" s="674" t="str">
        <f>INDEX('DEFAULT DATA'!$EK$9:$GP$41,M$21,$E54)</f>
        <v>-</v>
      </c>
      <c r="N54" s="674" t="str">
        <f>INDEX('DEFAULT DATA'!$EK$9:$GP$41,N$21,$E54)</f>
        <v>-</v>
      </c>
      <c r="O54" s="674" t="str">
        <f>INDEX('DEFAULT DATA'!$EK$9:$GP$41,O$21,$E54)</f>
        <v>-</v>
      </c>
      <c r="P54" s="674" t="str">
        <f>INDEX('DEFAULT DATA'!$EK$9:$GP$41,P$21,$E54)</f>
        <v>Halberstadt</v>
      </c>
      <c r="Q54" s="674" t="str">
        <f>INDEX('DEFAULT DATA'!$EK$9:$GP$41,Q$21,$E54)</f>
        <v>-</v>
      </c>
      <c r="R54" s="674" t="str">
        <f>INDEX('DEFAULT DATA'!$EK$9:$GP$41,R$21,$E54)</f>
        <v>-</v>
      </c>
      <c r="S54" s="674" t="str">
        <f>INDEX('DEFAULT DATA'!$EK$9:$GP$41,S$21,$E54)</f>
        <v>-</v>
      </c>
      <c r="T54" s="674" t="str">
        <f>INDEX('DEFAULT DATA'!$EK$9:$GP$41,T$21,$E54)</f>
        <v>-</v>
      </c>
      <c r="U54" s="674" t="str">
        <f>INDEX('DEFAULT DATA'!$EK$9:$GP$41,U$21,$E54)</f>
        <v>-</v>
      </c>
      <c r="V54" s="674" t="str">
        <f>INDEX('DEFAULT DATA'!$EK$9:$GP$41,V$21,$E54)</f>
        <v>-</v>
      </c>
      <c r="W54" s="674" t="str">
        <f>INDEX('DEFAULT DATA'!$EK$9:$GP$41,W$21,$E54)</f>
        <v>-</v>
      </c>
      <c r="X54" s="674" t="str">
        <f>INDEX('DEFAULT DATA'!$EK$9:$GP$41,X$21,$E54)</f>
        <v>-</v>
      </c>
      <c r="Y54" s="674" t="str">
        <f>INDEX('DEFAULT DATA'!$EK$9:$GP$41,Y$21,$E54)</f>
        <v>-</v>
      </c>
      <c r="Z54" s="674" t="str">
        <f>INDEX('DEFAULT DATA'!$EK$9:$GP$41,Z$21,$E54)</f>
        <v>-</v>
      </c>
      <c r="AA54" s="674" t="str">
        <f>INDEX('DEFAULT DATA'!$EK$9:$GP$41,AA$21,$E54)</f>
        <v>-</v>
      </c>
      <c r="AB54" s="674" t="str">
        <f>INDEX('DEFAULT DATA'!$EK$9:$GP$41,AB$21,$E54)</f>
        <v>-</v>
      </c>
      <c r="AC54" s="674" t="str">
        <f>INDEX('DEFAULT DATA'!$EK$9:$GP$41,AC$21,$E54)</f>
        <v>-</v>
      </c>
      <c r="AD54" s="674" t="str">
        <f>INDEX('DEFAULT DATA'!$EK$9:$GP$41,AD$21,$E54)</f>
        <v>-</v>
      </c>
      <c r="AE54" s="674" t="str">
        <f>INDEX('DEFAULT DATA'!$EK$9:$GP$41,AE$21,$E54)</f>
        <v>-</v>
      </c>
      <c r="AF54" s="674" t="str">
        <f>INDEX('DEFAULT DATA'!$EK$9:$GP$41,AF$21,$E54)</f>
        <v>-</v>
      </c>
      <c r="AG54" s="674" t="str">
        <f>INDEX('DEFAULT DATA'!$EK$9:$GP$41,AG$21,$E54)</f>
        <v>-</v>
      </c>
      <c r="AH54" s="674" t="str">
        <f>INDEX('DEFAULT DATA'!$EK$9:$GP$41,AH$21,$E54)</f>
        <v>-</v>
      </c>
      <c r="AI54" s="674" t="str">
        <f>INDEX('DEFAULT DATA'!$EK$9:$GP$41,AI$21,$E54)</f>
        <v>-</v>
      </c>
      <c r="AJ54" s="674" t="str">
        <f>INDEX('DEFAULT DATA'!$EK$9:$GP$41,AJ$21,$E54)</f>
        <v>-</v>
      </c>
      <c r="AK54" s="674" t="str">
        <f>INDEX('DEFAULT DATA'!$EK$9:$GP$41,AK$21,$E54)</f>
        <v>-</v>
      </c>
    </row>
    <row r="55" spans="5:37">
      <c r="E55" s="61">
        <f t="shared" si="4"/>
        <v>33</v>
      </c>
      <c r="F55" s="674" t="str">
        <f>INDEX('DEFAULT DATA'!$EK$9:$GP$41,F$21,$E55)</f>
        <v>-</v>
      </c>
      <c r="G55" s="674" t="str">
        <f>INDEX('DEFAULT DATA'!$EK$9:$GP$41,G$21,$E55)</f>
        <v>-</v>
      </c>
      <c r="H55" s="674" t="str">
        <f>INDEX('DEFAULT DATA'!$EK$9:$GP$41,H$21,$E55)</f>
        <v>-</v>
      </c>
      <c r="I55" s="674" t="str">
        <f>INDEX('DEFAULT DATA'!$EK$9:$GP$41,I$21,$E55)</f>
        <v>-</v>
      </c>
      <c r="J55" s="674" t="str">
        <f>INDEX('DEFAULT DATA'!$EK$9:$GP$41,J$21,$E55)</f>
        <v>-</v>
      </c>
      <c r="K55" s="674" t="str">
        <f>INDEX('DEFAULT DATA'!$EK$9:$GP$41,K$21,$E55)</f>
        <v>-</v>
      </c>
      <c r="L55" s="674" t="str">
        <f>INDEX('DEFAULT DATA'!$EK$9:$GP$41,L$21,$E55)</f>
        <v>-</v>
      </c>
      <c r="M55" s="674" t="str">
        <f>INDEX('DEFAULT DATA'!$EK$9:$GP$41,M$21,$E55)</f>
        <v>-</v>
      </c>
      <c r="N55" s="674" t="str">
        <f>INDEX('DEFAULT DATA'!$EK$9:$GP$41,N$21,$E55)</f>
        <v>-</v>
      </c>
      <c r="O55" s="674" t="str">
        <f>INDEX('DEFAULT DATA'!$EK$9:$GP$41,O$21,$E55)</f>
        <v>-</v>
      </c>
      <c r="P55" s="674" t="str">
        <f>INDEX('DEFAULT DATA'!$EK$9:$GP$41,P$21,$E55)</f>
        <v>Halle (Saale)</v>
      </c>
      <c r="Q55" s="674" t="str">
        <f>INDEX('DEFAULT DATA'!$EK$9:$GP$41,Q$21,$E55)</f>
        <v>-</v>
      </c>
      <c r="R55" s="674" t="str">
        <f>INDEX('DEFAULT DATA'!$EK$9:$GP$41,R$21,$E55)</f>
        <v>-</v>
      </c>
      <c r="S55" s="674" t="str">
        <f>INDEX('DEFAULT DATA'!$EK$9:$GP$41,S$21,$E55)</f>
        <v>-</v>
      </c>
      <c r="T55" s="674" t="str">
        <f>INDEX('DEFAULT DATA'!$EK$9:$GP$41,T$21,$E55)</f>
        <v>-</v>
      </c>
      <c r="U55" s="674" t="str">
        <f>INDEX('DEFAULT DATA'!$EK$9:$GP$41,U$21,$E55)</f>
        <v>-</v>
      </c>
      <c r="V55" s="674" t="str">
        <f>INDEX('DEFAULT DATA'!$EK$9:$GP$41,V$21,$E55)</f>
        <v>-</v>
      </c>
      <c r="W55" s="674" t="str">
        <f>INDEX('DEFAULT DATA'!$EK$9:$GP$41,W$21,$E55)</f>
        <v>-</v>
      </c>
      <c r="X55" s="674" t="str">
        <f>INDEX('DEFAULT DATA'!$EK$9:$GP$41,X$21,$E55)</f>
        <v>-</v>
      </c>
      <c r="Y55" s="674" t="str">
        <f>INDEX('DEFAULT DATA'!$EK$9:$GP$41,Y$21,$E55)</f>
        <v>-</v>
      </c>
      <c r="Z55" s="674" t="str">
        <f>INDEX('DEFAULT DATA'!$EK$9:$GP$41,Z$21,$E55)</f>
        <v>-</v>
      </c>
      <c r="AA55" s="674" t="str">
        <f>INDEX('DEFAULT DATA'!$EK$9:$GP$41,AA$21,$E55)</f>
        <v>-</v>
      </c>
      <c r="AB55" s="674" t="str">
        <f>INDEX('DEFAULT DATA'!$EK$9:$GP$41,AB$21,$E55)</f>
        <v>-</v>
      </c>
      <c r="AC55" s="674" t="str">
        <f>INDEX('DEFAULT DATA'!$EK$9:$GP$41,AC$21,$E55)</f>
        <v>-</v>
      </c>
      <c r="AD55" s="674" t="str">
        <f>INDEX('DEFAULT DATA'!$EK$9:$GP$41,AD$21,$E55)</f>
        <v>-</v>
      </c>
      <c r="AE55" s="674" t="str">
        <f>INDEX('DEFAULT DATA'!$EK$9:$GP$41,AE$21,$E55)</f>
        <v>-</v>
      </c>
      <c r="AF55" s="674" t="str">
        <f>INDEX('DEFAULT DATA'!$EK$9:$GP$41,AF$21,$E55)</f>
        <v>-</v>
      </c>
      <c r="AG55" s="674" t="str">
        <f>INDEX('DEFAULT DATA'!$EK$9:$GP$41,AG$21,$E55)</f>
        <v>-</v>
      </c>
      <c r="AH55" s="674" t="str">
        <f>INDEX('DEFAULT DATA'!$EK$9:$GP$41,AH$21,$E55)</f>
        <v>-</v>
      </c>
      <c r="AI55" s="674" t="str">
        <f>INDEX('DEFAULT DATA'!$EK$9:$GP$41,AI$21,$E55)</f>
        <v>-</v>
      </c>
      <c r="AJ55" s="674" t="str">
        <f>INDEX('DEFAULT DATA'!$EK$9:$GP$41,AJ$21,$E55)</f>
        <v>-</v>
      </c>
      <c r="AK55" s="674" t="str">
        <f>INDEX('DEFAULT DATA'!$EK$9:$GP$41,AK$21,$E55)</f>
        <v>-</v>
      </c>
    </row>
    <row r="56" spans="5:37">
      <c r="E56" s="61">
        <f t="shared" si="4"/>
        <v>34</v>
      </c>
      <c r="F56" s="674" t="str">
        <f>INDEX('DEFAULT DATA'!$EK$9:$GP$41,F$21,$E56)</f>
        <v>-</v>
      </c>
      <c r="G56" s="674" t="str">
        <f>INDEX('DEFAULT DATA'!$EK$9:$GP$41,G$21,$E56)</f>
        <v>-</v>
      </c>
      <c r="H56" s="674" t="str">
        <f>INDEX('DEFAULT DATA'!$EK$9:$GP$41,H$21,$E56)</f>
        <v>-</v>
      </c>
      <c r="I56" s="674" t="str">
        <f>INDEX('DEFAULT DATA'!$EK$9:$GP$41,I$21,$E56)</f>
        <v>-</v>
      </c>
      <c r="J56" s="674" t="str">
        <f>INDEX('DEFAULT DATA'!$EK$9:$GP$41,J$21,$E56)</f>
        <v>-</v>
      </c>
      <c r="K56" s="674" t="str">
        <f>INDEX('DEFAULT DATA'!$EK$9:$GP$41,K$21,$E56)</f>
        <v>-</v>
      </c>
      <c r="L56" s="674" t="str">
        <f>INDEX('DEFAULT DATA'!$EK$9:$GP$41,L$21,$E56)</f>
        <v>-</v>
      </c>
      <c r="M56" s="674" t="str">
        <f>INDEX('DEFAULT DATA'!$EK$9:$GP$41,M$21,$E56)</f>
        <v>-</v>
      </c>
      <c r="N56" s="674" t="str">
        <f>INDEX('DEFAULT DATA'!$EK$9:$GP$41,N$21,$E56)</f>
        <v>-</v>
      </c>
      <c r="O56" s="674" t="str">
        <f>INDEX('DEFAULT DATA'!$EK$9:$GP$41,O$21,$E56)</f>
        <v>-</v>
      </c>
      <c r="P56" s="674" t="str">
        <f>INDEX('DEFAULT DATA'!$EK$9:$GP$41,P$21,$E56)</f>
        <v>Heidelberg</v>
      </c>
      <c r="Q56" s="674" t="str">
        <f>INDEX('DEFAULT DATA'!$EK$9:$GP$41,Q$21,$E56)</f>
        <v>-</v>
      </c>
      <c r="R56" s="674" t="str">
        <f>INDEX('DEFAULT DATA'!$EK$9:$GP$41,R$21,$E56)</f>
        <v>-</v>
      </c>
      <c r="S56" s="674" t="str">
        <f>INDEX('DEFAULT DATA'!$EK$9:$GP$41,S$21,$E56)</f>
        <v>-</v>
      </c>
      <c r="T56" s="674" t="str">
        <f>INDEX('DEFAULT DATA'!$EK$9:$GP$41,T$21,$E56)</f>
        <v>-</v>
      </c>
      <c r="U56" s="674" t="str">
        <f>INDEX('DEFAULT DATA'!$EK$9:$GP$41,U$21,$E56)</f>
        <v>-</v>
      </c>
      <c r="V56" s="674" t="str">
        <f>INDEX('DEFAULT DATA'!$EK$9:$GP$41,V$21,$E56)</f>
        <v>-</v>
      </c>
      <c r="W56" s="674" t="str">
        <f>INDEX('DEFAULT DATA'!$EK$9:$GP$41,W$21,$E56)</f>
        <v>-</v>
      </c>
      <c r="X56" s="674" t="str">
        <f>INDEX('DEFAULT DATA'!$EK$9:$GP$41,X$21,$E56)</f>
        <v>-</v>
      </c>
      <c r="Y56" s="674" t="str">
        <f>INDEX('DEFAULT DATA'!$EK$9:$GP$41,Y$21,$E56)</f>
        <v>-</v>
      </c>
      <c r="Z56" s="674" t="str">
        <f>INDEX('DEFAULT DATA'!$EK$9:$GP$41,Z$21,$E56)</f>
        <v>-</v>
      </c>
      <c r="AA56" s="674" t="str">
        <f>INDEX('DEFAULT DATA'!$EK$9:$GP$41,AA$21,$E56)</f>
        <v>-</v>
      </c>
      <c r="AB56" s="674" t="str">
        <f>INDEX('DEFAULT DATA'!$EK$9:$GP$41,AB$21,$E56)</f>
        <v>-</v>
      </c>
      <c r="AC56" s="674" t="str">
        <f>INDEX('DEFAULT DATA'!$EK$9:$GP$41,AC$21,$E56)</f>
        <v>-</v>
      </c>
      <c r="AD56" s="674" t="str">
        <f>INDEX('DEFAULT DATA'!$EK$9:$GP$41,AD$21,$E56)</f>
        <v>-</v>
      </c>
      <c r="AE56" s="674" t="str">
        <f>INDEX('DEFAULT DATA'!$EK$9:$GP$41,AE$21,$E56)</f>
        <v>-</v>
      </c>
      <c r="AF56" s="674" t="str">
        <f>INDEX('DEFAULT DATA'!$EK$9:$GP$41,AF$21,$E56)</f>
        <v>-</v>
      </c>
      <c r="AG56" s="674" t="str">
        <f>INDEX('DEFAULT DATA'!$EK$9:$GP$41,AG$21,$E56)</f>
        <v>-</v>
      </c>
      <c r="AH56" s="674" t="str">
        <f>INDEX('DEFAULT DATA'!$EK$9:$GP$41,AH$21,$E56)</f>
        <v>-</v>
      </c>
      <c r="AI56" s="674" t="str">
        <f>INDEX('DEFAULT DATA'!$EK$9:$GP$41,AI$21,$E56)</f>
        <v>-</v>
      </c>
      <c r="AJ56" s="674" t="str">
        <f>INDEX('DEFAULT DATA'!$EK$9:$GP$41,AJ$21,$E56)</f>
        <v>-</v>
      </c>
      <c r="AK56" s="674" t="str">
        <f>INDEX('DEFAULT DATA'!$EK$9:$GP$41,AK$21,$E56)</f>
        <v>-</v>
      </c>
    </row>
    <row r="57" spans="5:37">
      <c r="E57" s="61">
        <f t="shared" si="4"/>
        <v>35</v>
      </c>
      <c r="F57" s="674" t="str">
        <f>INDEX('DEFAULT DATA'!$EK$9:$GP$41,F$21,$E57)</f>
        <v>-</v>
      </c>
      <c r="G57" s="674" t="str">
        <f>INDEX('DEFAULT DATA'!$EK$9:$GP$41,G$21,$E57)</f>
        <v>-</v>
      </c>
      <c r="H57" s="674" t="str">
        <f>INDEX('DEFAULT DATA'!$EK$9:$GP$41,H$21,$E57)</f>
        <v>-</v>
      </c>
      <c r="I57" s="674" t="str">
        <f>INDEX('DEFAULT DATA'!$EK$9:$GP$41,I$21,$E57)</f>
        <v>-</v>
      </c>
      <c r="J57" s="674" t="str">
        <f>INDEX('DEFAULT DATA'!$EK$9:$GP$41,J$21,$E57)</f>
        <v>-</v>
      </c>
      <c r="K57" s="674" t="str">
        <f>INDEX('DEFAULT DATA'!$EK$9:$GP$41,K$21,$E57)</f>
        <v>-</v>
      </c>
      <c r="L57" s="674" t="str">
        <f>INDEX('DEFAULT DATA'!$EK$9:$GP$41,L$21,$E57)</f>
        <v>-</v>
      </c>
      <c r="M57" s="674" t="str">
        <f>INDEX('DEFAULT DATA'!$EK$9:$GP$41,M$21,$E57)</f>
        <v>-</v>
      </c>
      <c r="N57" s="674" t="str">
        <f>INDEX('DEFAULT DATA'!$EK$9:$GP$41,N$21,$E57)</f>
        <v>-</v>
      </c>
      <c r="O57" s="674" t="str">
        <f>INDEX('DEFAULT DATA'!$EK$9:$GP$41,O$21,$E57)</f>
        <v>-</v>
      </c>
      <c r="P57" s="674" t="str">
        <f>INDEX('DEFAULT DATA'!$EK$9:$GP$41,P$21,$E57)</f>
        <v>Hanover</v>
      </c>
      <c r="Q57" s="674" t="str">
        <f>INDEX('DEFAULT DATA'!$EK$9:$GP$41,Q$21,$E57)</f>
        <v>-</v>
      </c>
      <c r="R57" s="674" t="str">
        <f>INDEX('DEFAULT DATA'!$EK$9:$GP$41,R$21,$E57)</f>
        <v>-</v>
      </c>
      <c r="S57" s="674" t="str">
        <f>INDEX('DEFAULT DATA'!$EK$9:$GP$41,S$21,$E57)</f>
        <v>-</v>
      </c>
      <c r="T57" s="674" t="str">
        <f>INDEX('DEFAULT DATA'!$EK$9:$GP$41,T$21,$E57)</f>
        <v>-</v>
      </c>
      <c r="U57" s="674" t="str">
        <f>INDEX('DEFAULT DATA'!$EK$9:$GP$41,U$21,$E57)</f>
        <v>-</v>
      </c>
      <c r="V57" s="674" t="str">
        <f>INDEX('DEFAULT DATA'!$EK$9:$GP$41,V$21,$E57)</f>
        <v>-</v>
      </c>
      <c r="W57" s="674" t="str">
        <f>INDEX('DEFAULT DATA'!$EK$9:$GP$41,W$21,$E57)</f>
        <v>-</v>
      </c>
      <c r="X57" s="674" t="str">
        <f>INDEX('DEFAULT DATA'!$EK$9:$GP$41,X$21,$E57)</f>
        <v>-</v>
      </c>
      <c r="Y57" s="674" t="str">
        <f>INDEX('DEFAULT DATA'!$EK$9:$GP$41,Y$21,$E57)</f>
        <v>-</v>
      </c>
      <c r="Z57" s="674" t="str">
        <f>INDEX('DEFAULT DATA'!$EK$9:$GP$41,Z$21,$E57)</f>
        <v>-</v>
      </c>
      <c r="AA57" s="674" t="str">
        <f>INDEX('DEFAULT DATA'!$EK$9:$GP$41,AA$21,$E57)</f>
        <v>-</v>
      </c>
      <c r="AB57" s="674" t="str">
        <f>INDEX('DEFAULT DATA'!$EK$9:$GP$41,AB$21,$E57)</f>
        <v>-</v>
      </c>
      <c r="AC57" s="674" t="str">
        <f>INDEX('DEFAULT DATA'!$EK$9:$GP$41,AC$21,$E57)</f>
        <v>-</v>
      </c>
      <c r="AD57" s="674" t="str">
        <f>INDEX('DEFAULT DATA'!$EK$9:$GP$41,AD$21,$E57)</f>
        <v>-</v>
      </c>
      <c r="AE57" s="674" t="str">
        <f>INDEX('DEFAULT DATA'!$EK$9:$GP$41,AE$21,$E57)</f>
        <v>-</v>
      </c>
      <c r="AF57" s="674" t="str">
        <f>INDEX('DEFAULT DATA'!$EK$9:$GP$41,AF$21,$E57)</f>
        <v>-</v>
      </c>
      <c r="AG57" s="674" t="str">
        <f>INDEX('DEFAULT DATA'!$EK$9:$GP$41,AG$21,$E57)</f>
        <v>-</v>
      </c>
      <c r="AH57" s="674" t="str">
        <f>INDEX('DEFAULT DATA'!$EK$9:$GP$41,AH$21,$E57)</f>
        <v>-</v>
      </c>
      <c r="AI57" s="674" t="str">
        <f>INDEX('DEFAULT DATA'!$EK$9:$GP$41,AI$21,$E57)</f>
        <v>-</v>
      </c>
      <c r="AJ57" s="674" t="str">
        <f>INDEX('DEFAULT DATA'!$EK$9:$GP$41,AJ$21,$E57)</f>
        <v>-</v>
      </c>
      <c r="AK57" s="674" t="str">
        <f>INDEX('DEFAULT DATA'!$EK$9:$GP$41,AK$21,$E57)</f>
        <v>-</v>
      </c>
    </row>
    <row r="58" spans="5:37">
      <c r="E58" s="61">
        <f t="shared" si="4"/>
        <v>36</v>
      </c>
      <c r="F58" s="674" t="str">
        <f>INDEX('DEFAULT DATA'!$EK$9:$GP$41,F$21,$E58)</f>
        <v>-</v>
      </c>
      <c r="G58" s="674" t="str">
        <f>INDEX('DEFAULT DATA'!$EK$9:$GP$41,G$21,$E58)</f>
        <v>-</v>
      </c>
      <c r="H58" s="674" t="str">
        <f>INDEX('DEFAULT DATA'!$EK$9:$GP$41,H$21,$E58)</f>
        <v>-</v>
      </c>
      <c r="I58" s="674" t="str">
        <f>INDEX('DEFAULT DATA'!$EK$9:$GP$41,I$21,$E58)</f>
        <v>-</v>
      </c>
      <c r="J58" s="674" t="str">
        <f>INDEX('DEFAULT DATA'!$EK$9:$GP$41,J$21,$E58)</f>
        <v>-</v>
      </c>
      <c r="K58" s="674" t="str">
        <f>INDEX('DEFAULT DATA'!$EK$9:$GP$41,K$21,$E58)</f>
        <v>-</v>
      </c>
      <c r="L58" s="674" t="str">
        <f>INDEX('DEFAULT DATA'!$EK$9:$GP$41,L$21,$E58)</f>
        <v>-</v>
      </c>
      <c r="M58" s="674" t="str">
        <f>INDEX('DEFAULT DATA'!$EK$9:$GP$41,M$21,$E58)</f>
        <v>-</v>
      </c>
      <c r="N58" s="674" t="str">
        <f>INDEX('DEFAULT DATA'!$EK$9:$GP$41,N$21,$E58)</f>
        <v>-</v>
      </c>
      <c r="O58" s="674" t="str">
        <f>INDEX('DEFAULT DATA'!$EK$9:$GP$41,O$21,$E58)</f>
        <v>-</v>
      </c>
      <c r="P58" s="674" t="str">
        <f>INDEX('DEFAULT DATA'!$EK$9:$GP$41,P$21,$E58)</f>
        <v>Jena</v>
      </c>
      <c r="Q58" s="674" t="str">
        <f>INDEX('DEFAULT DATA'!$EK$9:$GP$41,Q$21,$E58)</f>
        <v>-</v>
      </c>
      <c r="R58" s="674" t="str">
        <f>INDEX('DEFAULT DATA'!$EK$9:$GP$41,R$21,$E58)</f>
        <v>-</v>
      </c>
      <c r="S58" s="674" t="str">
        <f>INDEX('DEFAULT DATA'!$EK$9:$GP$41,S$21,$E58)</f>
        <v>-</v>
      </c>
      <c r="T58" s="674" t="str">
        <f>INDEX('DEFAULT DATA'!$EK$9:$GP$41,T$21,$E58)</f>
        <v>-</v>
      </c>
      <c r="U58" s="674" t="str">
        <f>INDEX('DEFAULT DATA'!$EK$9:$GP$41,U$21,$E58)</f>
        <v>-</v>
      </c>
      <c r="V58" s="674" t="str">
        <f>INDEX('DEFAULT DATA'!$EK$9:$GP$41,V$21,$E58)</f>
        <v>-</v>
      </c>
      <c r="W58" s="674" t="str">
        <f>INDEX('DEFAULT DATA'!$EK$9:$GP$41,W$21,$E58)</f>
        <v>-</v>
      </c>
      <c r="X58" s="674" t="str">
        <f>INDEX('DEFAULT DATA'!$EK$9:$GP$41,X$21,$E58)</f>
        <v>-</v>
      </c>
      <c r="Y58" s="674" t="str">
        <f>INDEX('DEFAULT DATA'!$EK$9:$GP$41,Y$21,$E58)</f>
        <v>-</v>
      </c>
      <c r="Z58" s="674" t="str">
        <f>INDEX('DEFAULT DATA'!$EK$9:$GP$41,Z$21,$E58)</f>
        <v>-</v>
      </c>
      <c r="AA58" s="674" t="str">
        <f>INDEX('DEFAULT DATA'!$EK$9:$GP$41,AA$21,$E58)</f>
        <v>-</v>
      </c>
      <c r="AB58" s="674" t="str">
        <f>INDEX('DEFAULT DATA'!$EK$9:$GP$41,AB$21,$E58)</f>
        <v>-</v>
      </c>
      <c r="AC58" s="674" t="str">
        <f>INDEX('DEFAULT DATA'!$EK$9:$GP$41,AC$21,$E58)</f>
        <v>-</v>
      </c>
      <c r="AD58" s="674" t="str">
        <f>INDEX('DEFAULT DATA'!$EK$9:$GP$41,AD$21,$E58)</f>
        <v>-</v>
      </c>
      <c r="AE58" s="674" t="str">
        <f>INDEX('DEFAULT DATA'!$EK$9:$GP$41,AE$21,$E58)</f>
        <v>-</v>
      </c>
      <c r="AF58" s="674" t="str">
        <f>INDEX('DEFAULT DATA'!$EK$9:$GP$41,AF$21,$E58)</f>
        <v>-</v>
      </c>
      <c r="AG58" s="674" t="str">
        <f>INDEX('DEFAULT DATA'!$EK$9:$GP$41,AG$21,$E58)</f>
        <v>-</v>
      </c>
      <c r="AH58" s="674" t="str">
        <f>INDEX('DEFAULT DATA'!$EK$9:$GP$41,AH$21,$E58)</f>
        <v>-</v>
      </c>
      <c r="AI58" s="674" t="str">
        <f>INDEX('DEFAULT DATA'!$EK$9:$GP$41,AI$21,$E58)</f>
        <v>-</v>
      </c>
      <c r="AJ58" s="674" t="str">
        <f>INDEX('DEFAULT DATA'!$EK$9:$GP$41,AJ$21,$E58)</f>
        <v>-</v>
      </c>
      <c r="AK58" s="674" t="str">
        <f>INDEX('DEFAULT DATA'!$EK$9:$GP$41,AK$21,$E58)</f>
        <v>-</v>
      </c>
    </row>
    <row r="59" spans="5:37">
      <c r="E59" s="61">
        <f t="shared" si="4"/>
        <v>37</v>
      </c>
      <c r="F59" s="674" t="str">
        <f>INDEX('DEFAULT DATA'!$EK$9:$GP$41,F$21,$E59)</f>
        <v>-</v>
      </c>
      <c r="G59" s="674" t="str">
        <f>INDEX('DEFAULT DATA'!$EK$9:$GP$41,G$21,$E59)</f>
        <v>-</v>
      </c>
      <c r="H59" s="674" t="str">
        <f>INDEX('DEFAULT DATA'!$EK$9:$GP$41,H$21,$E59)</f>
        <v>-</v>
      </c>
      <c r="I59" s="674" t="str">
        <f>INDEX('DEFAULT DATA'!$EK$9:$GP$41,I$21,$E59)</f>
        <v>-</v>
      </c>
      <c r="J59" s="674" t="str">
        <f>INDEX('DEFAULT DATA'!$EK$9:$GP$41,J$21,$E59)</f>
        <v>-</v>
      </c>
      <c r="K59" s="674" t="str">
        <f>INDEX('DEFAULT DATA'!$EK$9:$GP$41,K$21,$E59)</f>
        <v>-</v>
      </c>
      <c r="L59" s="674" t="str">
        <f>INDEX('DEFAULT DATA'!$EK$9:$GP$41,L$21,$E59)</f>
        <v>-</v>
      </c>
      <c r="M59" s="674" t="str">
        <f>INDEX('DEFAULT DATA'!$EK$9:$GP$41,M$21,$E59)</f>
        <v>-</v>
      </c>
      <c r="N59" s="674" t="str">
        <f>INDEX('DEFAULT DATA'!$EK$9:$GP$41,N$21,$E59)</f>
        <v>-</v>
      </c>
      <c r="O59" s="674" t="str">
        <f>INDEX('DEFAULT DATA'!$EK$9:$GP$41,O$21,$E59)</f>
        <v>-</v>
      </c>
      <c r="P59" s="674" t="str">
        <f>INDEX('DEFAULT DATA'!$EK$9:$GP$41,P$21,$E59)</f>
        <v>Karlsruhe Stadtbahn</v>
      </c>
      <c r="Q59" s="674" t="str">
        <f>INDEX('DEFAULT DATA'!$EK$9:$GP$41,Q$21,$E59)</f>
        <v>-</v>
      </c>
      <c r="R59" s="674" t="str">
        <f>INDEX('DEFAULT DATA'!$EK$9:$GP$41,R$21,$E59)</f>
        <v>-</v>
      </c>
      <c r="S59" s="674" t="str">
        <f>INDEX('DEFAULT DATA'!$EK$9:$GP$41,S$21,$E59)</f>
        <v>-</v>
      </c>
      <c r="T59" s="674" t="str">
        <f>INDEX('DEFAULT DATA'!$EK$9:$GP$41,T$21,$E59)</f>
        <v>-</v>
      </c>
      <c r="U59" s="674" t="str">
        <f>INDEX('DEFAULT DATA'!$EK$9:$GP$41,U$21,$E59)</f>
        <v>-</v>
      </c>
      <c r="V59" s="674" t="str">
        <f>INDEX('DEFAULT DATA'!$EK$9:$GP$41,V$21,$E59)</f>
        <v>-</v>
      </c>
      <c r="W59" s="674" t="str">
        <f>INDEX('DEFAULT DATA'!$EK$9:$GP$41,W$21,$E59)</f>
        <v>-</v>
      </c>
      <c r="X59" s="674" t="str">
        <f>INDEX('DEFAULT DATA'!$EK$9:$GP$41,X$21,$E59)</f>
        <v>-</v>
      </c>
      <c r="Y59" s="674" t="str">
        <f>INDEX('DEFAULT DATA'!$EK$9:$GP$41,Y$21,$E59)</f>
        <v>-</v>
      </c>
      <c r="Z59" s="674" t="str">
        <f>INDEX('DEFAULT DATA'!$EK$9:$GP$41,Z$21,$E59)</f>
        <v>-</v>
      </c>
      <c r="AA59" s="674" t="str">
        <f>INDEX('DEFAULT DATA'!$EK$9:$GP$41,AA$21,$E59)</f>
        <v>-</v>
      </c>
      <c r="AB59" s="674" t="str">
        <f>INDEX('DEFAULT DATA'!$EK$9:$GP$41,AB$21,$E59)</f>
        <v>-</v>
      </c>
      <c r="AC59" s="674" t="str">
        <f>INDEX('DEFAULT DATA'!$EK$9:$GP$41,AC$21,$E59)</f>
        <v>-</v>
      </c>
      <c r="AD59" s="674" t="str">
        <f>INDEX('DEFAULT DATA'!$EK$9:$GP$41,AD$21,$E59)</f>
        <v>-</v>
      </c>
      <c r="AE59" s="674" t="str">
        <f>INDEX('DEFAULT DATA'!$EK$9:$GP$41,AE$21,$E59)</f>
        <v>-</v>
      </c>
      <c r="AF59" s="674" t="str">
        <f>INDEX('DEFAULT DATA'!$EK$9:$GP$41,AF$21,$E59)</f>
        <v>-</v>
      </c>
      <c r="AG59" s="674" t="str">
        <f>INDEX('DEFAULT DATA'!$EK$9:$GP$41,AG$21,$E59)</f>
        <v>-</v>
      </c>
      <c r="AH59" s="674" t="str">
        <f>INDEX('DEFAULT DATA'!$EK$9:$GP$41,AH$21,$E59)</f>
        <v>-</v>
      </c>
      <c r="AI59" s="674" t="str">
        <f>INDEX('DEFAULT DATA'!$EK$9:$GP$41,AI$21,$E59)</f>
        <v>-</v>
      </c>
      <c r="AJ59" s="674" t="str">
        <f>INDEX('DEFAULT DATA'!$EK$9:$GP$41,AJ$21,$E59)</f>
        <v>-</v>
      </c>
      <c r="AK59" s="674" t="str">
        <f>INDEX('DEFAULT DATA'!$EK$9:$GP$41,AK$21,$E59)</f>
        <v>-</v>
      </c>
    </row>
    <row r="60" spans="5:37">
      <c r="E60" s="61">
        <f t="shared" si="4"/>
        <v>38</v>
      </c>
      <c r="F60" s="674" t="str">
        <f>INDEX('DEFAULT DATA'!$EK$9:$GP$41,F$21,$E60)</f>
        <v>-</v>
      </c>
      <c r="G60" s="674" t="str">
        <f>INDEX('DEFAULT DATA'!$EK$9:$GP$41,G$21,$E60)</f>
        <v>-</v>
      </c>
      <c r="H60" s="674" t="str">
        <f>INDEX('DEFAULT DATA'!$EK$9:$GP$41,H$21,$E60)</f>
        <v>-</v>
      </c>
      <c r="I60" s="674" t="str">
        <f>INDEX('DEFAULT DATA'!$EK$9:$GP$41,I$21,$E60)</f>
        <v>-</v>
      </c>
      <c r="J60" s="674" t="str">
        <f>INDEX('DEFAULT DATA'!$EK$9:$GP$41,J$21,$E60)</f>
        <v>-</v>
      </c>
      <c r="K60" s="674" t="str">
        <f>INDEX('DEFAULT DATA'!$EK$9:$GP$41,K$21,$E60)</f>
        <v>-</v>
      </c>
      <c r="L60" s="674" t="str">
        <f>INDEX('DEFAULT DATA'!$EK$9:$GP$41,L$21,$E60)</f>
        <v>-</v>
      </c>
      <c r="M60" s="674" t="str">
        <f>INDEX('DEFAULT DATA'!$EK$9:$GP$41,M$21,$E60)</f>
        <v>-</v>
      </c>
      <c r="N60" s="674" t="str">
        <f>INDEX('DEFAULT DATA'!$EK$9:$GP$41,N$21,$E60)</f>
        <v>-</v>
      </c>
      <c r="O60" s="674" t="str">
        <f>INDEX('DEFAULT DATA'!$EK$9:$GP$41,O$21,$E60)</f>
        <v>-</v>
      </c>
      <c r="P60" s="674" t="str">
        <f>INDEX('DEFAULT DATA'!$EK$9:$GP$41,P$21,$E60)</f>
        <v>Karlsruhe</v>
      </c>
      <c r="Q60" s="674" t="str">
        <f>INDEX('DEFAULT DATA'!$EK$9:$GP$41,Q$21,$E60)</f>
        <v>-</v>
      </c>
      <c r="R60" s="674" t="str">
        <f>INDEX('DEFAULT DATA'!$EK$9:$GP$41,R$21,$E60)</f>
        <v>-</v>
      </c>
      <c r="S60" s="674" t="str">
        <f>INDEX('DEFAULT DATA'!$EK$9:$GP$41,S$21,$E60)</f>
        <v>-</v>
      </c>
      <c r="T60" s="674" t="str">
        <f>INDEX('DEFAULT DATA'!$EK$9:$GP$41,T$21,$E60)</f>
        <v>-</v>
      </c>
      <c r="U60" s="674" t="str">
        <f>INDEX('DEFAULT DATA'!$EK$9:$GP$41,U$21,$E60)</f>
        <v>-</v>
      </c>
      <c r="V60" s="674" t="str">
        <f>INDEX('DEFAULT DATA'!$EK$9:$GP$41,V$21,$E60)</f>
        <v>-</v>
      </c>
      <c r="W60" s="674" t="str">
        <f>INDEX('DEFAULT DATA'!$EK$9:$GP$41,W$21,$E60)</f>
        <v>-</v>
      </c>
      <c r="X60" s="674" t="str">
        <f>INDEX('DEFAULT DATA'!$EK$9:$GP$41,X$21,$E60)</f>
        <v>-</v>
      </c>
      <c r="Y60" s="674" t="str">
        <f>INDEX('DEFAULT DATA'!$EK$9:$GP$41,Y$21,$E60)</f>
        <v>-</v>
      </c>
      <c r="Z60" s="674" t="str">
        <f>INDEX('DEFAULT DATA'!$EK$9:$GP$41,Z$21,$E60)</f>
        <v>-</v>
      </c>
      <c r="AA60" s="674" t="str">
        <f>INDEX('DEFAULT DATA'!$EK$9:$GP$41,AA$21,$E60)</f>
        <v>-</v>
      </c>
      <c r="AB60" s="674" t="str">
        <f>INDEX('DEFAULT DATA'!$EK$9:$GP$41,AB$21,$E60)</f>
        <v>-</v>
      </c>
      <c r="AC60" s="674" t="str">
        <f>INDEX('DEFAULT DATA'!$EK$9:$GP$41,AC$21,$E60)</f>
        <v>-</v>
      </c>
      <c r="AD60" s="674" t="str">
        <f>INDEX('DEFAULT DATA'!$EK$9:$GP$41,AD$21,$E60)</f>
        <v>-</v>
      </c>
      <c r="AE60" s="674" t="str">
        <f>INDEX('DEFAULT DATA'!$EK$9:$GP$41,AE$21,$E60)</f>
        <v>-</v>
      </c>
      <c r="AF60" s="674" t="str">
        <f>INDEX('DEFAULT DATA'!$EK$9:$GP$41,AF$21,$E60)</f>
        <v>-</v>
      </c>
      <c r="AG60" s="674" t="str">
        <f>INDEX('DEFAULT DATA'!$EK$9:$GP$41,AG$21,$E60)</f>
        <v>-</v>
      </c>
      <c r="AH60" s="674" t="str">
        <f>INDEX('DEFAULT DATA'!$EK$9:$GP$41,AH$21,$E60)</f>
        <v>-</v>
      </c>
      <c r="AI60" s="674" t="str">
        <f>INDEX('DEFAULT DATA'!$EK$9:$GP$41,AI$21,$E60)</f>
        <v>-</v>
      </c>
      <c r="AJ60" s="674" t="str">
        <f>INDEX('DEFAULT DATA'!$EK$9:$GP$41,AJ$21,$E60)</f>
        <v>-</v>
      </c>
      <c r="AK60" s="674" t="str">
        <f>INDEX('DEFAULT DATA'!$EK$9:$GP$41,AK$21,$E60)</f>
        <v>-</v>
      </c>
    </row>
    <row r="61" spans="5:37">
      <c r="E61" s="61">
        <f t="shared" si="4"/>
        <v>39</v>
      </c>
      <c r="F61" s="674" t="str">
        <f>INDEX('DEFAULT DATA'!$EK$9:$GP$41,F$21,$E61)</f>
        <v>-</v>
      </c>
      <c r="G61" s="674" t="str">
        <f>INDEX('DEFAULT DATA'!$EK$9:$GP$41,G$21,$E61)</f>
        <v>-</v>
      </c>
      <c r="H61" s="674" t="str">
        <f>INDEX('DEFAULT DATA'!$EK$9:$GP$41,H$21,$E61)</f>
        <v>-</v>
      </c>
      <c r="I61" s="674" t="str">
        <f>INDEX('DEFAULT DATA'!$EK$9:$GP$41,I$21,$E61)</f>
        <v>-</v>
      </c>
      <c r="J61" s="674" t="str">
        <f>INDEX('DEFAULT DATA'!$EK$9:$GP$41,J$21,$E61)</f>
        <v>-</v>
      </c>
      <c r="K61" s="674" t="str">
        <f>INDEX('DEFAULT DATA'!$EK$9:$GP$41,K$21,$E61)</f>
        <v>-</v>
      </c>
      <c r="L61" s="674" t="str">
        <f>INDEX('DEFAULT DATA'!$EK$9:$GP$41,L$21,$E61)</f>
        <v>-</v>
      </c>
      <c r="M61" s="674" t="str">
        <f>INDEX('DEFAULT DATA'!$EK$9:$GP$41,M$21,$E61)</f>
        <v>-</v>
      </c>
      <c r="N61" s="674" t="str">
        <f>INDEX('DEFAULT DATA'!$EK$9:$GP$41,N$21,$E61)</f>
        <v>-</v>
      </c>
      <c r="O61" s="674" t="str">
        <f>INDEX('DEFAULT DATA'!$EK$9:$GP$41,O$21,$E61)</f>
        <v>-</v>
      </c>
      <c r="P61" s="674" t="str">
        <f>INDEX('DEFAULT DATA'!$EK$9:$GP$41,P$21,$E61)</f>
        <v>Kassel RegioTram</v>
      </c>
      <c r="Q61" s="674" t="str">
        <f>INDEX('DEFAULT DATA'!$EK$9:$GP$41,Q$21,$E61)</f>
        <v>-</v>
      </c>
      <c r="R61" s="674" t="str">
        <f>INDEX('DEFAULT DATA'!$EK$9:$GP$41,R$21,$E61)</f>
        <v>-</v>
      </c>
      <c r="S61" s="674" t="str">
        <f>INDEX('DEFAULT DATA'!$EK$9:$GP$41,S$21,$E61)</f>
        <v>-</v>
      </c>
      <c r="T61" s="674" t="str">
        <f>INDEX('DEFAULT DATA'!$EK$9:$GP$41,T$21,$E61)</f>
        <v>-</v>
      </c>
      <c r="U61" s="674" t="str">
        <f>INDEX('DEFAULT DATA'!$EK$9:$GP$41,U$21,$E61)</f>
        <v>-</v>
      </c>
      <c r="V61" s="674" t="str">
        <f>INDEX('DEFAULT DATA'!$EK$9:$GP$41,V$21,$E61)</f>
        <v>-</v>
      </c>
      <c r="W61" s="674" t="str">
        <f>INDEX('DEFAULT DATA'!$EK$9:$GP$41,W$21,$E61)</f>
        <v>-</v>
      </c>
      <c r="X61" s="674" t="str">
        <f>INDEX('DEFAULT DATA'!$EK$9:$GP$41,X$21,$E61)</f>
        <v>-</v>
      </c>
      <c r="Y61" s="674" t="str">
        <f>INDEX('DEFAULT DATA'!$EK$9:$GP$41,Y$21,$E61)</f>
        <v>-</v>
      </c>
      <c r="Z61" s="674" t="str">
        <f>INDEX('DEFAULT DATA'!$EK$9:$GP$41,Z$21,$E61)</f>
        <v>-</v>
      </c>
      <c r="AA61" s="674" t="str">
        <f>INDEX('DEFAULT DATA'!$EK$9:$GP$41,AA$21,$E61)</f>
        <v>-</v>
      </c>
      <c r="AB61" s="674" t="str">
        <f>INDEX('DEFAULT DATA'!$EK$9:$GP$41,AB$21,$E61)</f>
        <v>-</v>
      </c>
      <c r="AC61" s="674" t="str">
        <f>INDEX('DEFAULT DATA'!$EK$9:$GP$41,AC$21,$E61)</f>
        <v>-</v>
      </c>
      <c r="AD61" s="674" t="str">
        <f>INDEX('DEFAULT DATA'!$EK$9:$GP$41,AD$21,$E61)</f>
        <v>-</v>
      </c>
      <c r="AE61" s="674" t="str">
        <f>INDEX('DEFAULT DATA'!$EK$9:$GP$41,AE$21,$E61)</f>
        <v>-</v>
      </c>
      <c r="AF61" s="674" t="str">
        <f>INDEX('DEFAULT DATA'!$EK$9:$GP$41,AF$21,$E61)</f>
        <v>-</v>
      </c>
      <c r="AG61" s="674" t="str">
        <f>INDEX('DEFAULT DATA'!$EK$9:$GP$41,AG$21,$E61)</f>
        <v>-</v>
      </c>
      <c r="AH61" s="674" t="str">
        <f>INDEX('DEFAULT DATA'!$EK$9:$GP$41,AH$21,$E61)</f>
        <v>-</v>
      </c>
      <c r="AI61" s="674" t="str">
        <f>INDEX('DEFAULT DATA'!$EK$9:$GP$41,AI$21,$E61)</f>
        <v>-</v>
      </c>
      <c r="AJ61" s="674" t="str">
        <f>INDEX('DEFAULT DATA'!$EK$9:$GP$41,AJ$21,$E61)</f>
        <v>-</v>
      </c>
      <c r="AK61" s="674" t="str">
        <f>INDEX('DEFAULT DATA'!$EK$9:$GP$41,AK$21,$E61)</f>
        <v>-</v>
      </c>
    </row>
    <row r="62" spans="5:37">
      <c r="E62" s="61">
        <f t="shared" si="4"/>
        <v>40</v>
      </c>
      <c r="F62" s="674" t="str">
        <f>INDEX('DEFAULT DATA'!$EK$9:$GP$41,F$21,$E62)</f>
        <v>-</v>
      </c>
      <c r="G62" s="674" t="str">
        <f>INDEX('DEFAULT DATA'!$EK$9:$GP$41,G$21,$E62)</f>
        <v>-</v>
      </c>
      <c r="H62" s="674" t="str">
        <f>INDEX('DEFAULT DATA'!$EK$9:$GP$41,H$21,$E62)</f>
        <v>-</v>
      </c>
      <c r="I62" s="674" t="str">
        <f>INDEX('DEFAULT DATA'!$EK$9:$GP$41,I$21,$E62)</f>
        <v>-</v>
      </c>
      <c r="J62" s="674" t="str">
        <f>INDEX('DEFAULT DATA'!$EK$9:$GP$41,J$21,$E62)</f>
        <v>-</v>
      </c>
      <c r="K62" s="674" t="str">
        <f>INDEX('DEFAULT DATA'!$EK$9:$GP$41,K$21,$E62)</f>
        <v>-</v>
      </c>
      <c r="L62" s="674" t="str">
        <f>INDEX('DEFAULT DATA'!$EK$9:$GP$41,L$21,$E62)</f>
        <v>-</v>
      </c>
      <c r="M62" s="674" t="str">
        <f>INDEX('DEFAULT DATA'!$EK$9:$GP$41,M$21,$E62)</f>
        <v>-</v>
      </c>
      <c r="N62" s="674" t="str">
        <f>INDEX('DEFAULT DATA'!$EK$9:$GP$41,N$21,$E62)</f>
        <v>-</v>
      </c>
      <c r="O62" s="674" t="str">
        <f>INDEX('DEFAULT DATA'!$EK$9:$GP$41,O$21,$E62)</f>
        <v>-</v>
      </c>
      <c r="P62" s="674" t="str">
        <f>INDEX('DEFAULT DATA'!$EK$9:$GP$41,P$21,$E62)</f>
        <v>Kassel</v>
      </c>
      <c r="Q62" s="674" t="str">
        <f>INDEX('DEFAULT DATA'!$EK$9:$GP$41,Q$21,$E62)</f>
        <v>-</v>
      </c>
      <c r="R62" s="674" t="str">
        <f>INDEX('DEFAULT DATA'!$EK$9:$GP$41,R$21,$E62)</f>
        <v>-</v>
      </c>
      <c r="S62" s="674" t="str">
        <f>INDEX('DEFAULT DATA'!$EK$9:$GP$41,S$21,$E62)</f>
        <v>-</v>
      </c>
      <c r="T62" s="674" t="str">
        <f>INDEX('DEFAULT DATA'!$EK$9:$GP$41,T$21,$E62)</f>
        <v>-</v>
      </c>
      <c r="U62" s="674" t="str">
        <f>INDEX('DEFAULT DATA'!$EK$9:$GP$41,U$21,$E62)</f>
        <v>-</v>
      </c>
      <c r="V62" s="674" t="str">
        <f>INDEX('DEFAULT DATA'!$EK$9:$GP$41,V$21,$E62)</f>
        <v>-</v>
      </c>
      <c r="W62" s="674" t="str">
        <f>INDEX('DEFAULT DATA'!$EK$9:$GP$41,W$21,$E62)</f>
        <v>-</v>
      </c>
      <c r="X62" s="674" t="str">
        <f>INDEX('DEFAULT DATA'!$EK$9:$GP$41,X$21,$E62)</f>
        <v>-</v>
      </c>
      <c r="Y62" s="674" t="str">
        <f>INDEX('DEFAULT DATA'!$EK$9:$GP$41,Y$21,$E62)</f>
        <v>-</v>
      </c>
      <c r="Z62" s="674" t="str">
        <f>INDEX('DEFAULT DATA'!$EK$9:$GP$41,Z$21,$E62)</f>
        <v>-</v>
      </c>
      <c r="AA62" s="674" t="str">
        <f>INDEX('DEFAULT DATA'!$EK$9:$GP$41,AA$21,$E62)</f>
        <v>-</v>
      </c>
      <c r="AB62" s="674" t="str">
        <f>INDEX('DEFAULT DATA'!$EK$9:$GP$41,AB$21,$E62)</f>
        <v>-</v>
      </c>
      <c r="AC62" s="674" t="str">
        <f>INDEX('DEFAULT DATA'!$EK$9:$GP$41,AC$21,$E62)</f>
        <v>-</v>
      </c>
      <c r="AD62" s="674" t="str">
        <f>INDEX('DEFAULT DATA'!$EK$9:$GP$41,AD$21,$E62)</f>
        <v>-</v>
      </c>
      <c r="AE62" s="674" t="str">
        <f>INDEX('DEFAULT DATA'!$EK$9:$GP$41,AE$21,$E62)</f>
        <v>-</v>
      </c>
      <c r="AF62" s="674" t="str">
        <f>INDEX('DEFAULT DATA'!$EK$9:$GP$41,AF$21,$E62)</f>
        <v>-</v>
      </c>
      <c r="AG62" s="674" t="str">
        <f>INDEX('DEFAULT DATA'!$EK$9:$GP$41,AG$21,$E62)</f>
        <v>-</v>
      </c>
      <c r="AH62" s="674" t="str">
        <f>INDEX('DEFAULT DATA'!$EK$9:$GP$41,AH$21,$E62)</f>
        <v>-</v>
      </c>
      <c r="AI62" s="674" t="str">
        <f>INDEX('DEFAULT DATA'!$EK$9:$GP$41,AI$21,$E62)</f>
        <v>-</v>
      </c>
      <c r="AJ62" s="674" t="str">
        <f>INDEX('DEFAULT DATA'!$EK$9:$GP$41,AJ$21,$E62)</f>
        <v>-</v>
      </c>
      <c r="AK62" s="674" t="str">
        <f>INDEX('DEFAULT DATA'!$EK$9:$GP$41,AK$21,$E62)</f>
        <v>-</v>
      </c>
    </row>
    <row r="63" spans="5:37">
      <c r="E63" s="61">
        <f t="shared" si="4"/>
        <v>41</v>
      </c>
      <c r="F63" s="674" t="str">
        <f>INDEX('DEFAULT DATA'!$EK$9:$GP$41,F$21,$E63)</f>
        <v>-</v>
      </c>
      <c r="G63" s="674" t="str">
        <f>INDEX('DEFAULT DATA'!$EK$9:$GP$41,G$21,$E63)</f>
        <v>-</v>
      </c>
      <c r="H63" s="674" t="str">
        <f>INDEX('DEFAULT DATA'!$EK$9:$GP$41,H$21,$E63)</f>
        <v>-</v>
      </c>
      <c r="I63" s="674" t="str">
        <f>INDEX('DEFAULT DATA'!$EK$9:$GP$41,I$21,$E63)</f>
        <v>-</v>
      </c>
      <c r="J63" s="674" t="str">
        <f>INDEX('DEFAULT DATA'!$EK$9:$GP$41,J$21,$E63)</f>
        <v>-</v>
      </c>
      <c r="K63" s="674" t="str">
        <f>INDEX('DEFAULT DATA'!$EK$9:$GP$41,K$21,$E63)</f>
        <v>-</v>
      </c>
      <c r="L63" s="674" t="str">
        <f>INDEX('DEFAULT DATA'!$EK$9:$GP$41,L$21,$E63)</f>
        <v>-</v>
      </c>
      <c r="M63" s="674" t="str">
        <f>INDEX('DEFAULT DATA'!$EK$9:$GP$41,M$21,$E63)</f>
        <v>-</v>
      </c>
      <c r="N63" s="674" t="str">
        <f>INDEX('DEFAULT DATA'!$EK$9:$GP$41,N$21,$E63)</f>
        <v>-</v>
      </c>
      <c r="O63" s="674" t="str">
        <f>INDEX('DEFAULT DATA'!$EK$9:$GP$41,O$21,$E63)</f>
        <v>-</v>
      </c>
      <c r="P63" s="674" t="str">
        <f>INDEX('DEFAULT DATA'!$EK$9:$GP$41,P$21,$E63)</f>
        <v>Krefeld</v>
      </c>
      <c r="Q63" s="674" t="str">
        <f>INDEX('DEFAULT DATA'!$EK$9:$GP$41,Q$21,$E63)</f>
        <v>-</v>
      </c>
      <c r="R63" s="674" t="str">
        <f>INDEX('DEFAULT DATA'!$EK$9:$GP$41,R$21,$E63)</f>
        <v>-</v>
      </c>
      <c r="S63" s="674" t="str">
        <f>INDEX('DEFAULT DATA'!$EK$9:$GP$41,S$21,$E63)</f>
        <v>-</v>
      </c>
      <c r="T63" s="674" t="str">
        <f>INDEX('DEFAULT DATA'!$EK$9:$GP$41,T$21,$E63)</f>
        <v>-</v>
      </c>
      <c r="U63" s="674" t="str">
        <f>INDEX('DEFAULT DATA'!$EK$9:$GP$41,U$21,$E63)</f>
        <v>-</v>
      </c>
      <c r="V63" s="674" t="str">
        <f>INDEX('DEFAULT DATA'!$EK$9:$GP$41,V$21,$E63)</f>
        <v>-</v>
      </c>
      <c r="W63" s="674" t="str">
        <f>INDEX('DEFAULT DATA'!$EK$9:$GP$41,W$21,$E63)</f>
        <v>-</v>
      </c>
      <c r="X63" s="674" t="str">
        <f>INDEX('DEFAULT DATA'!$EK$9:$GP$41,X$21,$E63)</f>
        <v>-</v>
      </c>
      <c r="Y63" s="674" t="str">
        <f>INDEX('DEFAULT DATA'!$EK$9:$GP$41,Y$21,$E63)</f>
        <v>-</v>
      </c>
      <c r="Z63" s="674" t="str">
        <f>INDEX('DEFAULT DATA'!$EK$9:$GP$41,Z$21,$E63)</f>
        <v>-</v>
      </c>
      <c r="AA63" s="674" t="str">
        <f>INDEX('DEFAULT DATA'!$EK$9:$GP$41,AA$21,$E63)</f>
        <v>-</v>
      </c>
      <c r="AB63" s="674" t="str">
        <f>INDEX('DEFAULT DATA'!$EK$9:$GP$41,AB$21,$E63)</f>
        <v>-</v>
      </c>
      <c r="AC63" s="674" t="str">
        <f>INDEX('DEFAULT DATA'!$EK$9:$GP$41,AC$21,$E63)</f>
        <v>-</v>
      </c>
      <c r="AD63" s="674" t="str">
        <f>INDEX('DEFAULT DATA'!$EK$9:$GP$41,AD$21,$E63)</f>
        <v>-</v>
      </c>
      <c r="AE63" s="674" t="str">
        <f>INDEX('DEFAULT DATA'!$EK$9:$GP$41,AE$21,$E63)</f>
        <v>-</v>
      </c>
      <c r="AF63" s="674" t="str">
        <f>INDEX('DEFAULT DATA'!$EK$9:$GP$41,AF$21,$E63)</f>
        <v>-</v>
      </c>
      <c r="AG63" s="674" t="str">
        <f>INDEX('DEFAULT DATA'!$EK$9:$GP$41,AG$21,$E63)</f>
        <v>-</v>
      </c>
      <c r="AH63" s="674" t="str">
        <f>INDEX('DEFAULT DATA'!$EK$9:$GP$41,AH$21,$E63)</f>
        <v>-</v>
      </c>
      <c r="AI63" s="674" t="str">
        <f>INDEX('DEFAULT DATA'!$EK$9:$GP$41,AI$21,$E63)</f>
        <v>-</v>
      </c>
      <c r="AJ63" s="674" t="str">
        <f>INDEX('DEFAULT DATA'!$EK$9:$GP$41,AJ$21,$E63)</f>
        <v>-</v>
      </c>
      <c r="AK63" s="674" t="str">
        <f>INDEX('DEFAULT DATA'!$EK$9:$GP$41,AK$21,$E63)</f>
        <v>-</v>
      </c>
    </row>
    <row r="64" spans="5:37">
      <c r="E64" s="61">
        <f t="shared" si="4"/>
        <v>42</v>
      </c>
      <c r="F64" s="674" t="str">
        <f>INDEX('DEFAULT DATA'!$EK$9:$GP$41,F$21,$E64)</f>
        <v>-</v>
      </c>
      <c r="G64" s="674" t="str">
        <f>INDEX('DEFAULT DATA'!$EK$9:$GP$41,G$21,$E64)</f>
        <v>-</v>
      </c>
      <c r="H64" s="674" t="str">
        <f>INDEX('DEFAULT DATA'!$EK$9:$GP$41,H$21,$E64)</f>
        <v>-</v>
      </c>
      <c r="I64" s="674" t="str">
        <f>INDEX('DEFAULT DATA'!$EK$9:$GP$41,I$21,$E64)</f>
        <v>-</v>
      </c>
      <c r="J64" s="674" t="str">
        <f>INDEX('DEFAULT DATA'!$EK$9:$GP$41,J$21,$E64)</f>
        <v>-</v>
      </c>
      <c r="K64" s="674" t="str">
        <f>INDEX('DEFAULT DATA'!$EK$9:$GP$41,K$21,$E64)</f>
        <v>-</v>
      </c>
      <c r="L64" s="674" t="str">
        <f>INDEX('DEFAULT DATA'!$EK$9:$GP$41,L$21,$E64)</f>
        <v>-</v>
      </c>
      <c r="M64" s="674" t="str">
        <f>INDEX('DEFAULT DATA'!$EK$9:$GP$41,M$21,$E64)</f>
        <v>-</v>
      </c>
      <c r="N64" s="674" t="str">
        <f>INDEX('DEFAULT DATA'!$EK$9:$GP$41,N$21,$E64)</f>
        <v>-</v>
      </c>
      <c r="O64" s="674" t="str">
        <f>INDEX('DEFAULT DATA'!$EK$9:$GP$41,O$21,$E64)</f>
        <v>-</v>
      </c>
      <c r="P64" s="674" t="str">
        <f>INDEX('DEFAULT DATA'!$EK$9:$GP$41,P$21,$E64)</f>
        <v>Leipzig</v>
      </c>
      <c r="Q64" s="674" t="str">
        <f>INDEX('DEFAULT DATA'!$EK$9:$GP$41,Q$21,$E64)</f>
        <v>-</v>
      </c>
      <c r="R64" s="674" t="str">
        <f>INDEX('DEFAULT DATA'!$EK$9:$GP$41,R$21,$E64)</f>
        <v>-</v>
      </c>
      <c r="S64" s="674" t="str">
        <f>INDEX('DEFAULT DATA'!$EK$9:$GP$41,S$21,$E64)</f>
        <v>-</v>
      </c>
      <c r="T64" s="674" t="str">
        <f>INDEX('DEFAULT DATA'!$EK$9:$GP$41,T$21,$E64)</f>
        <v>-</v>
      </c>
      <c r="U64" s="674" t="str">
        <f>INDEX('DEFAULT DATA'!$EK$9:$GP$41,U$21,$E64)</f>
        <v>-</v>
      </c>
      <c r="V64" s="674" t="str">
        <f>INDEX('DEFAULT DATA'!$EK$9:$GP$41,V$21,$E64)</f>
        <v>-</v>
      </c>
      <c r="W64" s="674" t="str">
        <f>INDEX('DEFAULT DATA'!$EK$9:$GP$41,W$21,$E64)</f>
        <v>-</v>
      </c>
      <c r="X64" s="674" t="str">
        <f>INDEX('DEFAULT DATA'!$EK$9:$GP$41,X$21,$E64)</f>
        <v>-</v>
      </c>
      <c r="Y64" s="674" t="str">
        <f>INDEX('DEFAULT DATA'!$EK$9:$GP$41,Y$21,$E64)</f>
        <v>-</v>
      </c>
      <c r="Z64" s="674" t="str">
        <f>INDEX('DEFAULT DATA'!$EK$9:$GP$41,Z$21,$E64)</f>
        <v>-</v>
      </c>
      <c r="AA64" s="674" t="str">
        <f>INDEX('DEFAULT DATA'!$EK$9:$GP$41,AA$21,$E64)</f>
        <v>-</v>
      </c>
      <c r="AB64" s="674" t="str">
        <f>INDEX('DEFAULT DATA'!$EK$9:$GP$41,AB$21,$E64)</f>
        <v>-</v>
      </c>
      <c r="AC64" s="674" t="str">
        <f>INDEX('DEFAULT DATA'!$EK$9:$GP$41,AC$21,$E64)</f>
        <v>-</v>
      </c>
      <c r="AD64" s="674" t="str">
        <f>INDEX('DEFAULT DATA'!$EK$9:$GP$41,AD$21,$E64)</f>
        <v>-</v>
      </c>
      <c r="AE64" s="674" t="str">
        <f>INDEX('DEFAULT DATA'!$EK$9:$GP$41,AE$21,$E64)</f>
        <v>-</v>
      </c>
      <c r="AF64" s="674" t="str">
        <f>INDEX('DEFAULT DATA'!$EK$9:$GP$41,AF$21,$E64)</f>
        <v>-</v>
      </c>
      <c r="AG64" s="674" t="str">
        <f>INDEX('DEFAULT DATA'!$EK$9:$GP$41,AG$21,$E64)</f>
        <v>-</v>
      </c>
      <c r="AH64" s="674" t="str">
        <f>INDEX('DEFAULT DATA'!$EK$9:$GP$41,AH$21,$E64)</f>
        <v>-</v>
      </c>
      <c r="AI64" s="674" t="str">
        <f>INDEX('DEFAULT DATA'!$EK$9:$GP$41,AI$21,$E64)</f>
        <v>-</v>
      </c>
      <c r="AJ64" s="674" t="str">
        <f>INDEX('DEFAULT DATA'!$EK$9:$GP$41,AJ$21,$E64)</f>
        <v>-</v>
      </c>
      <c r="AK64" s="674" t="str">
        <f>INDEX('DEFAULT DATA'!$EK$9:$GP$41,AK$21,$E64)</f>
        <v>-</v>
      </c>
    </row>
    <row r="65" spans="5:37">
      <c r="E65" s="61">
        <f t="shared" si="4"/>
        <v>43</v>
      </c>
      <c r="F65" s="674" t="str">
        <f>INDEX('DEFAULT DATA'!$EK$9:$GP$41,F$21,$E65)</f>
        <v>-</v>
      </c>
      <c r="G65" s="674" t="str">
        <f>INDEX('DEFAULT DATA'!$EK$9:$GP$41,G$21,$E65)</f>
        <v>-</v>
      </c>
      <c r="H65" s="674" t="str">
        <f>INDEX('DEFAULT DATA'!$EK$9:$GP$41,H$21,$E65)</f>
        <v>-</v>
      </c>
      <c r="I65" s="674" t="str">
        <f>INDEX('DEFAULT DATA'!$EK$9:$GP$41,I$21,$E65)</f>
        <v>-</v>
      </c>
      <c r="J65" s="674" t="str">
        <f>INDEX('DEFAULT DATA'!$EK$9:$GP$41,J$21,$E65)</f>
        <v>-</v>
      </c>
      <c r="K65" s="674" t="str">
        <f>INDEX('DEFAULT DATA'!$EK$9:$GP$41,K$21,$E65)</f>
        <v>-</v>
      </c>
      <c r="L65" s="674" t="str">
        <f>INDEX('DEFAULT DATA'!$EK$9:$GP$41,L$21,$E65)</f>
        <v>-</v>
      </c>
      <c r="M65" s="674" t="str">
        <f>INDEX('DEFAULT DATA'!$EK$9:$GP$41,M$21,$E65)</f>
        <v>-</v>
      </c>
      <c r="N65" s="674" t="str">
        <f>INDEX('DEFAULT DATA'!$EK$9:$GP$41,N$21,$E65)</f>
        <v>-</v>
      </c>
      <c r="O65" s="674" t="str">
        <f>INDEX('DEFAULT DATA'!$EK$9:$GP$41,O$21,$E65)</f>
        <v>-</v>
      </c>
      <c r="P65" s="674" t="str">
        <f>INDEX('DEFAULT DATA'!$EK$9:$GP$41,P$21,$E65)</f>
        <v>Magdeburg</v>
      </c>
      <c r="Q65" s="674" t="str">
        <f>INDEX('DEFAULT DATA'!$EK$9:$GP$41,Q$21,$E65)</f>
        <v>-</v>
      </c>
      <c r="R65" s="674" t="str">
        <f>INDEX('DEFAULT DATA'!$EK$9:$GP$41,R$21,$E65)</f>
        <v>-</v>
      </c>
      <c r="S65" s="674" t="str">
        <f>INDEX('DEFAULT DATA'!$EK$9:$GP$41,S$21,$E65)</f>
        <v>-</v>
      </c>
      <c r="T65" s="674" t="str">
        <f>INDEX('DEFAULT DATA'!$EK$9:$GP$41,T$21,$E65)</f>
        <v>-</v>
      </c>
      <c r="U65" s="674" t="str">
        <f>INDEX('DEFAULT DATA'!$EK$9:$GP$41,U$21,$E65)</f>
        <v>-</v>
      </c>
      <c r="V65" s="674" t="str">
        <f>INDEX('DEFAULT DATA'!$EK$9:$GP$41,V$21,$E65)</f>
        <v>-</v>
      </c>
      <c r="W65" s="674" t="str">
        <f>INDEX('DEFAULT DATA'!$EK$9:$GP$41,W$21,$E65)</f>
        <v>-</v>
      </c>
      <c r="X65" s="674" t="str">
        <f>INDEX('DEFAULT DATA'!$EK$9:$GP$41,X$21,$E65)</f>
        <v>-</v>
      </c>
      <c r="Y65" s="674" t="str">
        <f>INDEX('DEFAULT DATA'!$EK$9:$GP$41,Y$21,$E65)</f>
        <v>-</v>
      </c>
      <c r="Z65" s="674" t="str">
        <f>INDEX('DEFAULT DATA'!$EK$9:$GP$41,Z$21,$E65)</f>
        <v>-</v>
      </c>
      <c r="AA65" s="674" t="str">
        <f>INDEX('DEFAULT DATA'!$EK$9:$GP$41,AA$21,$E65)</f>
        <v>-</v>
      </c>
      <c r="AB65" s="674" t="str">
        <f>INDEX('DEFAULT DATA'!$EK$9:$GP$41,AB$21,$E65)</f>
        <v>-</v>
      </c>
      <c r="AC65" s="674" t="str">
        <f>INDEX('DEFAULT DATA'!$EK$9:$GP$41,AC$21,$E65)</f>
        <v>-</v>
      </c>
      <c r="AD65" s="674" t="str">
        <f>INDEX('DEFAULT DATA'!$EK$9:$GP$41,AD$21,$E65)</f>
        <v>-</v>
      </c>
      <c r="AE65" s="674" t="str">
        <f>INDEX('DEFAULT DATA'!$EK$9:$GP$41,AE$21,$E65)</f>
        <v>-</v>
      </c>
      <c r="AF65" s="674" t="str">
        <f>INDEX('DEFAULT DATA'!$EK$9:$GP$41,AF$21,$E65)</f>
        <v>-</v>
      </c>
      <c r="AG65" s="674" t="str">
        <f>INDEX('DEFAULT DATA'!$EK$9:$GP$41,AG$21,$E65)</f>
        <v>-</v>
      </c>
      <c r="AH65" s="674" t="str">
        <f>INDEX('DEFAULT DATA'!$EK$9:$GP$41,AH$21,$E65)</f>
        <v>-</v>
      </c>
      <c r="AI65" s="674" t="str">
        <f>INDEX('DEFAULT DATA'!$EK$9:$GP$41,AI$21,$E65)</f>
        <v>-</v>
      </c>
      <c r="AJ65" s="674" t="str">
        <f>INDEX('DEFAULT DATA'!$EK$9:$GP$41,AJ$21,$E65)</f>
        <v>-</v>
      </c>
      <c r="AK65" s="674" t="str">
        <f>INDEX('DEFAULT DATA'!$EK$9:$GP$41,AK$21,$E65)</f>
        <v>-</v>
      </c>
    </row>
    <row r="66" spans="5:37">
      <c r="E66" s="61">
        <f t="shared" si="4"/>
        <v>44</v>
      </c>
      <c r="F66" s="674" t="str">
        <f>INDEX('DEFAULT DATA'!$EK$9:$GP$41,F$21,$E66)</f>
        <v>-</v>
      </c>
      <c r="G66" s="674" t="str">
        <f>INDEX('DEFAULT DATA'!$EK$9:$GP$41,G$21,$E66)</f>
        <v>-</v>
      </c>
      <c r="H66" s="674" t="str">
        <f>INDEX('DEFAULT DATA'!$EK$9:$GP$41,H$21,$E66)</f>
        <v>-</v>
      </c>
      <c r="I66" s="674" t="str">
        <f>INDEX('DEFAULT DATA'!$EK$9:$GP$41,I$21,$E66)</f>
        <v>-</v>
      </c>
      <c r="J66" s="674" t="str">
        <f>INDEX('DEFAULT DATA'!$EK$9:$GP$41,J$21,$E66)</f>
        <v>-</v>
      </c>
      <c r="K66" s="674" t="str">
        <f>INDEX('DEFAULT DATA'!$EK$9:$GP$41,K$21,$E66)</f>
        <v>-</v>
      </c>
      <c r="L66" s="674" t="str">
        <f>INDEX('DEFAULT DATA'!$EK$9:$GP$41,L$21,$E66)</f>
        <v>-</v>
      </c>
      <c r="M66" s="674" t="str">
        <f>INDEX('DEFAULT DATA'!$EK$9:$GP$41,M$21,$E66)</f>
        <v>-</v>
      </c>
      <c r="N66" s="674" t="str">
        <f>INDEX('DEFAULT DATA'!$EK$9:$GP$41,N$21,$E66)</f>
        <v>-</v>
      </c>
      <c r="O66" s="674" t="str">
        <f>INDEX('DEFAULT DATA'!$EK$9:$GP$41,O$21,$E66)</f>
        <v>-</v>
      </c>
      <c r="P66" s="674" t="str">
        <f>INDEX('DEFAULT DATA'!$EK$9:$GP$41,P$21,$E66)</f>
        <v>Mainz</v>
      </c>
      <c r="Q66" s="674" t="str">
        <f>INDEX('DEFAULT DATA'!$EK$9:$GP$41,Q$21,$E66)</f>
        <v>-</v>
      </c>
      <c r="R66" s="674" t="str">
        <f>INDEX('DEFAULT DATA'!$EK$9:$GP$41,R$21,$E66)</f>
        <v>-</v>
      </c>
      <c r="S66" s="674" t="str">
        <f>INDEX('DEFAULT DATA'!$EK$9:$GP$41,S$21,$E66)</f>
        <v>-</v>
      </c>
      <c r="T66" s="674" t="str">
        <f>INDEX('DEFAULT DATA'!$EK$9:$GP$41,T$21,$E66)</f>
        <v>-</v>
      </c>
      <c r="U66" s="674" t="str">
        <f>INDEX('DEFAULT DATA'!$EK$9:$GP$41,U$21,$E66)</f>
        <v>-</v>
      </c>
      <c r="V66" s="674" t="str">
        <f>INDEX('DEFAULT DATA'!$EK$9:$GP$41,V$21,$E66)</f>
        <v>-</v>
      </c>
      <c r="W66" s="674" t="str">
        <f>INDEX('DEFAULT DATA'!$EK$9:$GP$41,W$21,$E66)</f>
        <v>-</v>
      </c>
      <c r="X66" s="674" t="str">
        <f>INDEX('DEFAULT DATA'!$EK$9:$GP$41,X$21,$E66)</f>
        <v>-</v>
      </c>
      <c r="Y66" s="674" t="str">
        <f>INDEX('DEFAULT DATA'!$EK$9:$GP$41,Y$21,$E66)</f>
        <v>-</v>
      </c>
      <c r="Z66" s="674" t="str">
        <f>INDEX('DEFAULT DATA'!$EK$9:$GP$41,Z$21,$E66)</f>
        <v>-</v>
      </c>
      <c r="AA66" s="674" t="str">
        <f>INDEX('DEFAULT DATA'!$EK$9:$GP$41,AA$21,$E66)</f>
        <v>-</v>
      </c>
      <c r="AB66" s="674" t="str">
        <f>INDEX('DEFAULT DATA'!$EK$9:$GP$41,AB$21,$E66)</f>
        <v>-</v>
      </c>
      <c r="AC66" s="674" t="str">
        <f>INDEX('DEFAULT DATA'!$EK$9:$GP$41,AC$21,$E66)</f>
        <v>-</v>
      </c>
      <c r="AD66" s="674" t="str">
        <f>INDEX('DEFAULT DATA'!$EK$9:$GP$41,AD$21,$E66)</f>
        <v>-</v>
      </c>
      <c r="AE66" s="674" t="str">
        <f>INDEX('DEFAULT DATA'!$EK$9:$GP$41,AE$21,$E66)</f>
        <v>-</v>
      </c>
      <c r="AF66" s="674" t="str">
        <f>INDEX('DEFAULT DATA'!$EK$9:$GP$41,AF$21,$E66)</f>
        <v>-</v>
      </c>
      <c r="AG66" s="674" t="str">
        <f>INDEX('DEFAULT DATA'!$EK$9:$GP$41,AG$21,$E66)</f>
        <v>-</v>
      </c>
      <c r="AH66" s="674" t="str">
        <f>INDEX('DEFAULT DATA'!$EK$9:$GP$41,AH$21,$E66)</f>
        <v>-</v>
      </c>
      <c r="AI66" s="674" t="str">
        <f>INDEX('DEFAULT DATA'!$EK$9:$GP$41,AI$21,$E66)</f>
        <v>-</v>
      </c>
      <c r="AJ66" s="674" t="str">
        <f>INDEX('DEFAULT DATA'!$EK$9:$GP$41,AJ$21,$E66)</f>
        <v>-</v>
      </c>
      <c r="AK66" s="674" t="str">
        <f>INDEX('DEFAULT DATA'!$EK$9:$GP$41,AK$21,$E66)</f>
        <v>-</v>
      </c>
    </row>
    <row r="67" spans="5:37">
      <c r="E67" s="61">
        <f t="shared" si="4"/>
        <v>45</v>
      </c>
      <c r="F67" s="674" t="str">
        <f>INDEX('DEFAULT DATA'!$EK$9:$GP$41,F$21,$E67)</f>
        <v>-</v>
      </c>
      <c r="G67" s="674" t="str">
        <f>INDEX('DEFAULT DATA'!$EK$9:$GP$41,G$21,$E67)</f>
        <v>-</v>
      </c>
      <c r="H67" s="674" t="str">
        <f>INDEX('DEFAULT DATA'!$EK$9:$GP$41,H$21,$E67)</f>
        <v>-</v>
      </c>
      <c r="I67" s="674" t="str">
        <f>INDEX('DEFAULT DATA'!$EK$9:$GP$41,I$21,$E67)</f>
        <v>-</v>
      </c>
      <c r="J67" s="674" t="str">
        <f>INDEX('DEFAULT DATA'!$EK$9:$GP$41,J$21,$E67)</f>
        <v>-</v>
      </c>
      <c r="K67" s="674" t="str">
        <f>INDEX('DEFAULT DATA'!$EK$9:$GP$41,K$21,$E67)</f>
        <v>-</v>
      </c>
      <c r="L67" s="674" t="str">
        <f>INDEX('DEFAULT DATA'!$EK$9:$GP$41,L$21,$E67)</f>
        <v>-</v>
      </c>
      <c r="M67" s="674" t="str">
        <f>INDEX('DEFAULT DATA'!$EK$9:$GP$41,M$21,$E67)</f>
        <v>-</v>
      </c>
      <c r="N67" s="674" t="str">
        <f>INDEX('DEFAULT DATA'!$EK$9:$GP$41,N$21,$E67)</f>
        <v>-</v>
      </c>
      <c r="O67" s="674" t="str">
        <f>INDEX('DEFAULT DATA'!$EK$9:$GP$41,O$21,$E67)</f>
        <v>-</v>
      </c>
      <c r="P67" s="674" t="str">
        <f>INDEX('DEFAULT DATA'!$EK$9:$GP$41,P$21,$E67)</f>
        <v>Mannheim/Ludwigshafen</v>
      </c>
      <c r="Q67" s="674" t="str">
        <f>INDEX('DEFAULT DATA'!$EK$9:$GP$41,Q$21,$E67)</f>
        <v>-</v>
      </c>
      <c r="R67" s="674" t="str">
        <f>INDEX('DEFAULT DATA'!$EK$9:$GP$41,R$21,$E67)</f>
        <v>-</v>
      </c>
      <c r="S67" s="674" t="str">
        <f>INDEX('DEFAULT DATA'!$EK$9:$GP$41,S$21,$E67)</f>
        <v>-</v>
      </c>
      <c r="T67" s="674" t="str">
        <f>INDEX('DEFAULT DATA'!$EK$9:$GP$41,T$21,$E67)</f>
        <v>-</v>
      </c>
      <c r="U67" s="674" t="str">
        <f>INDEX('DEFAULT DATA'!$EK$9:$GP$41,U$21,$E67)</f>
        <v>-</v>
      </c>
      <c r="V67" s="674" t="str">
        <f>INDEX('DEFAULT DATA'!$EK$9:$GP$41,V$21,$E67)</f>
        <v>-</v>
      </c>
      <c r="W67" s="674" t="str">
        <f>INDEX('DEFAULT DATA'!$EK$9:$GP$41,W$21,$E67)</f>
        <v>-</v>
      </c>
      <c r="X67" s="674" t="str">
        <f>INDEX('DEFAULT DATA'!$EK$9:$GP$41,X$21,$E67)</f>
        <v>-</v>
      </c>
      <c r="Y67" s="674" t="str">
        <f>INDEX('DEFAULT DATA'!$EK$9:$GP$41,Y$21,$E67)</f>
        <v>-</v>
      </c>
      <c r="Z67" s="674" t="str">
        <f>INDEX('DEFAULT DATA'!$EK$9:$GP$41,Z$21,$E67)</f>
        <v>-</v>
      </c>
      <c r="AA67" s="674" t="str">
        <f>INDEX('DEFAULT DATA'!$EK$9:$GP$41,AA$21,$E67)</f>
        <v>-</v>
      </c>
      <c r="AB67" s="674" t="str">
        <f>INDEX('DEFAULT DATA'!$EK$9:$GP$41,AB$21,$E67)</f>
        <v>-</v>
      </c>
      <c r="AC67" s="674" t="str">
        <f>INDEX('DEFAULT DATA'!$EK$9:$GP$41,AC$21,$E67)</f>
        <v>-</v>
      </c>
      <c r="AD67" s="674" t="str">
        <f>INDEX('DEFAULT DATA'!$EK$9:$GP$41,AD$21,$E67)</f>
        <v>-</v>
      </c>
      <c r="AE67" s="674" t="str">
        <f>INDEX('DEFAULT DATA'!$EK$9:$GP$41,AE$21,$E67)</f>
        <v>-</v>
      </c>
      <c r="AF67" s="674" t="str">
        <f>INDEX('DEFAULT DATA'!$EK$9:$GP$41,AF$21,$E67)</f>
        <v>-</v>
      </c>
      <c r="AG67" s="674" t="str">
        <f>INDEX('DEFAULT DATA'!$EK$9:$GP$41,AG$21,$E67)</f>
        <v>-</v>
      </c>
      <c r="AH67" s="674" t="str">
        <f>INDEX('DEFAULT DATA'!$EK$9:$GP$41,AH$21,$E67)</f>
        <v>-</v>
      </c>
      <c r="AI67" s="674" t="str">
        <f>INDEX('DEFAULT DATA'!$EK$9:$GP$41,AI$21,$E67)</f>
        <v>-</v>
      </c>
      <c r="AJ67" s="674" t="str">
        <f>INDEX('DEFAULT DATA'!$EK$9:$GP$41,AJ$21,$E67)</f>
        <v>-</v>
      </c>
      <c r="AK67" s="674" t="str">
        <f>INDEX('DEFAULT DATA'!$EK$9:$GP$41,AK$21,$E67)</f>
        <v>-</v>
      </c>
    </row>
    <row r="68" spans="5:37">
      <c r="E68" s="61">
        <f t="shared" si="4"/>
        <v>46</v>
      </c>
      <c r="F68" s="674" t="str">
        <f>INDEX('DEFAULT DATA'!$EK$9:$GP$41,F$21,$E68)</f>
        <v>-</v>
      </c>
      <c r="G68" s="674" t="str">
        <f>INDEX('DEFAULT DATA'!$EK$9:$GP$41,G$21,$E68)</f>
        <v>-</v>
      </c>
      <c r="H68" s="674" t="str">
        <f>INDEX('DEFAULT DATA'!$EK$9:$GP$41,H$21,$E68)</f>
        <v>-</v>
      </c>
      <c r="I68" s="674" t="str">
        <f>INDEX('DEFAULT DATA'!$EK$9:$GP$41,I$21,$E68)</f>
        <v>-</v>
      </c>
      <c r="J68" s="674" t="str">
        <f>INDEX('DEFAULT DATA'!$EK$9:$GP$41,J$21,$E68)</f>
        <v>-</v>
      </c>
      <c r="K68" s="674" t="str">
        <f>INDEX('DEFAULT DATA'!$EK$9:$GP$41,K$21,$E68)</f>
        <v>-</v>
      </c>
      <c r="L68" s="674" t="str">
        <f>INDEX('DEFAULT DATA'!$EK$9:$GP$41,L$21,$E68)</f>
        <v>-</v>
      </c>
      <c r="M68" s="674" t="str">
        <f>INDEX('DEFAULT DATA'!$EK$9:$GP$41,M$21,$E68)</f>
        <v>-</v>
      </c>
      <c r="N68" s="674" t="str">
        <f>INDEX('DEFAULT DATA'!$EK$9:$GP$41,N$21,$E68)</f>
        <v>-</v>
      </c>
      <c r="O68" s="674" t="str">
        <f>INDEX('DEFAULT DATA'!$EK$9:$GP$41,O$21,$E68)</f>
        <v>-</v>
      </c>
      <c r="P68" s="674" t="str">
        <f>INDEX('DEFAULT DATA'!$EK$9:$GP$41,P$21,$E68)</f>
        <v>Mülheim/Oberhausen</v>
      </c>
      <c r="Q68" s="674" t="str">
        <f>INDEX('DEFAULT DATA'!$EK$9:$GP$41,Q$21,$E68)</f>
        <v>-</v>
      </c>
      <c r="R68" s="674" t="str">
        <f>INDEX('DEFAULT DATA'!$EK$9:$GP$41,R$21,$E68)</f>
        <v>-</v>
      </c>
      <c r="S68" s="674" t="str">
        <f>INDEX('DEFAULT DATA'!$EK$9:$GP$41,S$21,$E68)</f>
        <v>-</v>
      </c>
      <c r="T68" s="674" t="str">
        <f>INDEX('DEFAULT DATA'!$EK$9:$GP$41,T$21,$E68)</f>
        <v>-</v>
      </c>
      <c r="U68" s="674" t="str">
        <f>INDEX('DEFAULT DATA'!$EK$9:$GP$41,U$21,$E68)</f>
        <v>-</v>
      </c>
      <c r="V68" s="674" t="str">
        <f>INDEX('DEFAULT DATA'!$EK$9:$GP$41,V$21,$E68)</f>
        <v>-</v>
      </c>
      <c r="W68" s="674" t="str">
        <f>INDEX('DEFAULT DATA'!$EK$9:$GP$41,W$21,$E68)</f>
        <v>-</v>
      </c>
      <c r="X68" s="674" t="str">
        <f>INDEX('DEFAULT DATA'!$EK$9:$GP$41,X$21,$E68)</f>
        <v>-</v>
      </c>
      <c r="Y68" s="674" t="str">
        <f>INDEX('DEFAULT DATA'!$EK$9:$GP$41,Y$21,$E68)</f>
        <v>-</v>
      </c>
      <c r="Z68" s="674" t="str">
        <f>INDEX('DEFAULT DATA'!$EK$9:$GP$41,Z$21,$E68)</f>
        <v>-</v>
      </c>
      <c r="AA68" s="674" t="str">
        <f>INDEX('DEFAULT DATA'!$EK$9:$GP$41,AA$21,$E68)</f>
        <v>-</v>
      </c>
      <c r="AB68" s="674" t="str">
        <f>INDEX('DEFAULT DATA'!$EK$9:$GP$41,AB$21,$E68)</f>
        <v>-</v>
      </c>
      <c r="AC68" s="674" t="str">
        <f>INDEX('DEFAULT DATA'!$EK$9:$GP$41,AC$21,$E68)</f>
        <v>-</v>
      </c>
      <c r="AD68" s="674" t="str">
        <f>INDEX('DEFAULT DATA'!$EK$9:$GP$41,AD$21,$E68)</f>
        <v>-</v>
      </c>
      <c r="AE68" s="674" t="str">
        <f>INDEX('DEFAULT DATA'!$EK$9:$GP$41,AE$21,$E68)</f>
        <v>-</v>
      </c>
      <c r="AF68" s="674" t="str">
        <f>INDEX('DEFAULT DATA'!$EK$9:$GP$41,AF$21,$E68)</f>
        <v>-</v>
      </c>
      <c r="AG68" s="674" t="str">
        <f>INDEX('DEFAULT DATA'!$EK$9:$GP$41,AG$21,$E68)</f>
        <v>-</v>
      </c>
      <c r="AH68" s="674" t="str">
        <f>INDEX('DEFAULT DATA'!$EK$9:$GP$41,AH$21,$E68)</f>
        <v>-</v>
      </c>
      <c r="AI68" s="674" t="str">
        <f>INDEX('DEFAULT DATA'!$EK$9:$GP$41,AI$21,$E68)</f>
        <v>-</v>
      </c>
      <c r="AJ68" s="674" t="str">
        <f>INDEX('DEFAULT DATA'!$EK$9:$GP$41,AJ$21,$E68)</f>
        <v>-</v>
      </c>
      <c r="AK68" s="674" t="str">
        <f>INDEX('DEFAULT DATA'!$EK$9:$GP$41,AK$21,$E68)</f>
        <v>-</v>
      </c>
    </row>
    <row r="69" spans="5:37">
      <c r="E69" s="61">
        <f t="shared" si="4"/>
        <v>47</v>
      </c>
      <c r="F69" s="674" t="str">
        <f>INDEX('DEFAULT DATA'!$EK$9:$GP$41,F$21,$E69)</f>
        <v>-</v>
      </c>
      <c r="G69" s="674" t="str">
        <f>INDEX('DEFAULT DATA'!$EK$9:$GP$41,G$21,$E69)</f>
        <v>-</v>
      </c>
      <c r="H69" s="674" t="str">
        <f>INDEX('DEFAULT DATA'!$EK$9:$GP$41,H$21,$E69)</f>
        <v>-</v>
      </c>
      <c r="I69" s="674" t="str">
        <f>INDEX('DEFAULT DATA'!$EK$9:$GP$41,I$21,$E69)</f>
        <v>-</v>
      </c>
      <c r="J69" s="674" t="str">
        <f>INDEX('DEFAULT DATA'!$EK$9:$GP$41,J$21,$E69)</f>
        <v>-</v>
      </c>
      <c r="K69" s="674" t="str">
        <f>INDEX('DEFAULT DATA'!$EK$9:$GP$41,K$21,$E69)</f>
        <v>-</v>
      </c>
      <c r="L69" s="674" t="str">
        <f>INDEX('DEFAULT DATA'!$EK$9:$GP$41,L$21,$E69)</f>
        <v>-</v>
      </c>
      <c r="M69" s="674" t="str">
        <f>INDEX('DEFAULT DATA'!$EK$9:$GP$41,M$21,$E69)</f>
        <v>-</v>
      </c>
      <c r="N69" s="674" t="str">
        <f>INDEX('DEFAULT DATA'!$EK$9:$GP$41,N$21,$E69)</f>
        <v>-</v>
      </c>
      <c r="O69" s="674" t="str">
        <f>INDEX('DEFAULT DATA'!$EK$9:$GP$41,O$21,$E69)</f>
        <v>-</v>
      </c>
      <c r="P69" s="674" t="str">
        <f>INDEX('DEFAULT DATA'!$EK$9:$GP$41,P$21,$E69)</f>
        <v>Munich</v>
      </c>
      <c r="Q69" s="674" t="str">
        <f>INDEX('DEFAULT DATA'!$EK$9:$GP$41,Q$21,$E69)</f>
        <v>-</v>
      </c>
      <c r="R69" s="674" t="str">
        <f>INDEX('DEFAULT DATA'!$EK$9:$GP$41,R$21,$E69)</f>
        <v>-</v>
      </c>
      <c r="S69" s="674" t="str">
        <f>INDEX('DEFAULT DATA'!$EK$9:$GP$41,S$21,$E69)</f>
        <v>-</v>
      </c>
      <c r="T69" s="674" t="str">
        <f>INDEX('DEFAULT DATA'!$EK$9:$GP$41,T$21,$E69)</f>
        <v>-</v>
      </c>
      <c r="U69" s="674" t="str">
        <f>INDEX('DEFAULT DATA'!$EK$9:$GP$41,U$21,$E69)</f>
        <v>-</v>
      </c>
      <c r="V69" s="674" t="str">
        <f>INDEX('DEFAULT DATA'!$EK$9:$GP$41,V$21,$E69)</f>
        <v>-</v>
      </c>
      <c r="W69" s="674" t="str">
        <f>INDEX('DEFAULT DATA'!$EK$9:$GP$41,W$21,$E69)</f>
        <v>-</v>
      </c>
      <c r="X69" s="674" t="str">
        <f>INDEX('DEFAULT DATA'!$EK$9:$GP$41,X$21,$E69)</f>
        <v>-</v>
      </c>
      <c r="Y69" s="674" t="str">
        <f>INDEX('DEFAULT DATA'!$EK$9:$GP$41,Y$21,$E69)</f>
        <v>-</v>
      </c>
      <c r="Z69" s="674" t="str">
        <f>INDEX('DEFAULT DATA'!$EK$9:$GP$41,Z$21,$E69)</f>
        <v>-</v>
      </c>
      <c r="AA69" s="674" t="str">
        <f>INDEX('DEFAULT DATA'!$EK$9:$GP$41,AA$21,$E69)</f>
        <v>-</v>
      </c>
      <c r="AB69" s="674" t="str">
        <f>INDEX('DEFAULT DATA'!$EK$9:$GP$41,AB$21,$E69)</f>
        <v>-</v>
      </c>
      <c r="AC69" s="674" t="str">
        <f>INDEX('DEFAULT DATA'!$EK$9:$GP$41,AC$21,$E69)</f>
        <v>-</v>
      </c>
      <c r="AD69" s="674" t="str">
        <f>INDEX('DEFAULT DATA'!$EK$9:$GP$41,AD$21,$E69)</f>
        <v>-</v>
      </c>
      <c r="AE69" s="674" t="str">
        <f>INDEX('DEFAULT DATA'!$EK$9:$GP$41,AE$21,$E69)</f>
        <v>-</v>
      </c>
      <c r="AF69" s="674" t="str">
        <f>INDEX('DEFAULT DATA'!$EK$9:$GP$41,AF$21,$E69)</f>
        <v>-</v>
      </c>
      <c r="AG69" s="674" t="str">
        <f>INDEX('DEFAULT DATA'!$EK$9:$GP$41,AG$21,$E69)</f>
        <v>-</v>
      </c>
      <c r="AH69" s="674" t="str">
        <f>INDEX('DEFAULT DATA'!$EK$9:$GP$41,AH$21,$E69)</f>
        <v>-</v>
      </c>
      <c r="AI69" s="674" t="str">
        <f>INDEX('DEFAULT DATA'!$EK$9:$GP$41,AI$21,$E69)</f>
        <v>-</v>
      </c>
      <c r="AJ69" s="674" t="str">
        <f>INDEX('DEFAULT DATA'!$EK$9:$GP$41,AJ$21,$E69)</f>
        <v>-</v>
      </c>
      <c r="AK69" s="674" t="str">
        <f>INDEX('DEFAULT DATA'!$EK$9:$GP$41,AK$21,$E69)</f>
        <v>-</v>
      </c>
    </row>
    <row r="70" spans="5:37">
      <c r="E70" s="61">
        <f t="shared" si="4"/>
        <v>48</v>
      </c>
      <c r="F70" s="674" t="str">
        <f>INDEX('DEFAULT DATA'!$EK$9:$GP$41,F$21,$E70)</f>
        <v>-</v>
      </c>
      <c r="G70" s="674" t="str">
        <f>INDEX('DEFAULT DATA'!$EK$9:$GP$41,G$21,$E70)</f>
        <v>-</v>
      </c>
      <c r="H70" s="674" t="str">
        <f>INDEX('DEFAULT DATA'!$EK$9:$GP$41,H$21,$E70)</f>
        <v>-</v>
      </c>
      <c r="I70" s="674" t="str">
        <f>INDEX('DEFAULT DATA'!$EK$9:$GP$41,I$21,$E70)</f>
        <v>-</v>
      </c>
      <c r="J70" s="674" t="str">
        <f>INDEX('DEFAULT DATA'!$EK$9:$GP$41,J$21,$E70)</f>
        <v>-</v>
      </c>
      <c r="K70" s="674" t="str">
        <f>INDEX('DEFAULT DATA'!$EK$9:$GP$41,K$21,$E70)</f>
        <v>-</v>
      </c>
      <c r="L70" s="674" t="str">
        <f>INDEX('DEFAULT DATA'!$EK$9:$GP$41,L$21,$E70)</f>
        <v>-</v>
      </c>
      <c r="M70" s="674" t="str">
        <f>INDEX('DEFAULT DATA'!$EK$9:$GP$41,M$21,$E70)</f>
        <v>-</v>
      </c>
      <c r="N70" s="674" t="str">
        <f>INDEX('DEFAULT DATA'!$EK$9:$GP$41,N$21,$E70)</f>
        <v>-</v>
      </c>
      <c r="O70" s="674" t="str">
        <f>INDEX('DEFAULT DATA'!$EK$9:$GP$41,O$21,$E70)</f>
        <v>-</v>
      </c>
      <c r="P70" s="674" t="str">
        <f>INDEX('DEFAULT DATA'!$EK$9:$GP$41,P$21,$E70)</f>
        <v>Naumburg (Saale)</v>
      </c>
      <c r="Q70" s="674" t="str">
        <f>INDEX('DEFAULT DATA'!$EK$9:$GP$41,Q$21,$E70)</f>
        <v>-</v>
      </c>
      <c r="R70" s="674" t="str">
        <f>INDEX('DEFAULT DATA'!$EK$9:$GP$41,R$21,$E70)</f>
        <v>-</v>
      </c>
      <c r="S70" s="674" t="str">
        <f>INDEX('DEFAULT DATA'!$EK$9:$GP$41,S$21,$E70)</f>
        <v>-</v>
      </c>
      <c r="T70" s="674" t="str">
        <f>INDEX('DEFAULT DATA'!$EK$9:$GP$41,T$21,$E70)</f>
        <v>-</v>
      </c>
      <c r="U70" s="674" t="str">
        <f>INDEX('DEFAULT DATA'!$EK$9:$GP$41,U$21,$E70)</f>
        <v>-</v>
      </c>
      <c r="V70" s="674" t="str">
        <f>INDEX('DEFAULT DATA'!$EK$9:$GP$41,V$21,$E70)</f>
        <v>-</v>
      </c>
      <c r="W70" s="674" t="str">
        <f>INDEX('DEFAULT DATA'!$EK$9:$GP$41,W$21,$E70)</f>
        <v>-</v>
      </c>
      <c r="X70" s="674" t="str">
        <f>INDEX('DEFAULT DATA'!$EK$9:$GP$41,X$21,$E70)</f>
        <v>-</v>
      </c>
      <c r="Y70" s="674" t="str">
        <f>INDEX('DEFAULT DATA'!$EK$9:$GP$41,Y$21,$E70)</f>
        <v>-</v>
      </c>
      <c r="Z70" s="674" t="str">
        <f>INDEX('DEFAULT DATA'!$EK$9:$GP$41,Z$21,$E70)</f>
        <v>-</v>
      </c>
      <c r="AA70" s="674" t="str">
        <f>INDEX('DEFAULT DATA'!$EK$9:$GP$41,AA$21,$E70)</f>
        <v>-</v>
      </c>
      <c r="AB70" s="674" t="str">
        <f>INDEX('DEFAULT DATA'!$EK$9:$GP$41,AB$21,$E70)</f>
        <v>-</v>
      </c>
      <c r="AC70" s="674" t="str">
        <f>INDEX('DEFAULT DATA'!$EK$9:$GP$41,AC$21,$E70)</f>
        <v>-</v>
      </c>
      <c r="AD70" s="674" t="str">
        <f>INDEX('DEFAULT DATA'!$EK$9:$GP$41,AD$21,$E70)</f>
        <v>-</v>
      </c>
      <c r="AE70" s="674" t="str">
        <f>INDEX('DEFAULT DATA'!$EK$9:$GP$41,AE$21,$E70)</f>
        <v>-</v>
      </c>
      <c r="AF70" s="674" t="str">
        <f>INDEX('DEFAULT DATA'!$EK$9:$GP$41,AF$21,$E70)</f>
        <v>-</v>
      </c>
      <c r="AG70" s="674" t="str">
        <f>INDEX('DEFAULT DATA'!$EK$9:$GP$41,AG$21,$E70)</f>
        <v>-</v>
      </c>
      <c r="AH70" s="674" t="str">
        <f>INDEX('DEFAULT DATA'!$EK$9:$GP$41,AH$21,$E70)</f>
        <v>-</v>
      </c>
      <c r="AI70" s="674" t="str">
        <f>INDEX('DEFAULT DATA'!$EK$9:$GP$41,AI$21,$E70)</f>
        <v>-</v>
      </c>
      <c r="AJ70" s="674" t="str">
        <f>INDEX('DEFAULT DATA'!$EK$9:$GP$41,AJ$21,$E70)</f>
        <v>-</v>
      </c>
      <c r="AK70" s="674" t="str">
        <f>INDEX('DEFAULT DATA'!$EK$9:$GP$41,AK$21,$E70)</f>
        <v>-</v>
      </c>
    </row>
    <row r="71" spans="5:37">
      <c r="E71" s="61">
        <f t="shared" si="4"/>
        <v>49</v>
      </c>
      <c r="F71" s="674" t="str">
        <f>INDEX('DEFAULT DATA'!$EK$9:$GP$41,F$21,$E71)</f>
        <v>-</v>
      </c>
      <c r="G71" s="674" t="str">
        <f>INDEX('DEFAULT DATA'!$EK$9:$GP$41,G$21,$E71)</f>
        <v>-</v>
      </c>
      <c r="H71" s="674" t="str">
        <f>INDEX('DEFAULT DATA'!$EK$9:$GP$41,H$21,$E71)</f>
        <v>-</v>
      </c>
      <c r="I71" s="674" t="str">
        <f>INDEX('DEFAULT DATA'!$EK$9:$GP$41,I$21,$E71)</f>
        <v>-</v>
      </c>
      <c r="J71" s="674" t="str">
        <f>INDEX('DEFAULT DATA'!$EK$9:$GP$41,J$21,$E71)</f>
        <v>-</v>
      </c>
      <c r="K71" s="674" t="str">
        <f>INDEX('DEFAULT DATA'!$EK$9:$GP$41,K$21,$E71)</f>
        <v>-</v>
      </c>
      <c r="L71" s="674" t="str">
        <f>INDEX('DEFAULT DATA'!$EK$9:$GP$41,L$21,$E71)</f>
        <v>-</v>
      </c>
      <c r="M71" s="674" t="str">
        <f>INDEX('DEFAULT DATA'!$EK$9:$GP$41,M$21,$E71)</f>
        <v>-</v>
      </c>
      <c r="N71" s="674" t="str">
        <f>INDEX('DEFAULT DATA'!$EK$9:$GP$41,N$21,$E71)</f>
        <v>-</v>
      </c>
      <c r="O71" s="674" t="str">
        <f>INDEX('DEFAULT DATA'!$EK$9:$GP$41,O$21,$E71)</f>
        <v>-</v>
      </c>
      <c r="P71" s="674" t="str">
        <f>INDEX('DEFAULT DATA'!$EK$9:$GP$41,P$21,$E71)</f>
        <v>Nordhausen</v>
      </c>
      <c r="Q71" s="674" t="str">
        <f>INDEX('DEFAULT DATA'!$EK$9:$GP$41,Q$21,$E71)</f>
        <v>-</v>
      </c>
      <c r="R71" s="674" t="str">
        <f>INDEX('DEFAULT DATA'!$EK$9:$GP$41,R$21,$E71)</f>
        <v>-</v>
      </c>
      <c r="S71" s="674" t="str">
        <f>INDEX('DEFAULT DATA'!$EK$9:$GP$41,S$21,$E71)</f>
        <v>-</v>
      </c>
      <c r="T71" s="674" t="str">
        <f>INDEX('DEFAULT DATA'!$EK$9:$GP$41,T$21,$E71)</f>
        <v>-</v>
      </c>
      <c r="U71" s="674" t="str">
        <f>INDEX('DEFAULT DATA'!$EK$9:$GP$41,U$21,$E71)</f>
        <v>-</v>
      </c>
      <c r="V71" s="674" t="str">
        <f>INDEX('DEFAULT DATA'!$EK$9:$GP$41,V$21,$E71)</f>
        <v>-</v>
      </c>
      <c r="W71" s="674" t="str">
        <f>INDEX('DEFAULT DATA'!$EK$9:$GP$41,W$21,$E71)</f>
        <v>-</v>
      </c>
      <c r="X71" s="674" t="str">
        <f>INDEX('DEFAULT DATA'!$EK$9:$GP$41,X$21,$E71)</f>
        <v>-</v>
      </c>
      <c r="Y71" s="674" t="str">
        <f>INDEX('DEFAULT DATA'!$EK$9:$GP$41,Y$21,$E71)</f>
        <v>-</v>
      </c>
      <c r="Z71" s="674" t="str">
        <f>INDEX('DEFAULT DATA'!$EK$9:$GP$41,Z$21,$E71)</f>
        <v>-</v>
      </c>
      <c r="AA71" s="674" t="str">
        <f>INDEX('DEFAULT DATA'!$EK$9:$GP$41,AA$21,$E71)</f>
        <v>-</v>
      </c>
      <c r="AB71" s="674" t="str">
        <f>INDEX('DEFAULT DATA'!$EK$9:$GP$41,AB$21,$E71)</f>
        <v>-</v>
      </c>
      <c r="AC71" s="674" t="str">
        <f>INDEX('DEFAULT DATA'!$EK$9:$GP$41,AC$21,$E71)</f>
        <v>-</v>
      </c>
      <c r="AD71" s="674" t="str">
        <f>INDEX('DEFAULT DATA'!$EK$9:$GP$41,AD$21,$E71)</f>
        <v>-</v>
      </c>
      <c r="AE71" s="674" t="str">
        <f>INDEX('DEFAULT DATA'!$EK$9:$GP$41,AE$21,$E71)</f>
        <v>-</v>
      </c>
      <c r="AF71" s="674" t="str">
        <f>INDEX('DEFAULT DATA'!$EK$9:$GP$41,AF$21,$E71)</f>
        <v>-</v>
      </c>
      <c r="AG71" s="674" t="str">
        <f>INDEX('DEFAULT DATA'!$EK$9:$GP$41,AG$21,$E71)</f>
        <v>-</v>
      </c>
      <c r="AH71" s="674" t="str">
        <f>INDEX('DEFAULT DATA'!$EK$9:$GP$41,AH$21,$E71)</f>
        <v>-</v>
      </c>
      <c r="AI71" s="674" t="str">
        <f>INDEX('DEFAULT DATA'!$EK$9:$GP$41,AI$21,$E71)</f>
        <v>-</v>
      </c>
      <c r="AJ71" s="674" t="str">
        <f>INDEX('DEFAULT DATA'!$EK$9:$GP$41,AJ$21,$E71)</f>
        <v>-</v>
      </c>
      <c r="AK71" s="674" t="str">
        <f>INDEX('DEFAULT DATA'!$EK$9:$GP$41,AK$21,$E71)</f>
        <v>-</v>
      </c>
    </row>
    <row r="72" spans="5:37">
      <c r="E72" s="61">
        <f t="shared" si="4"/>
        <v>50</v>
      </c>
      <c r="F72" s="674" t="str">
        <f>INDEX('DEFAULT DATA'!$EK$9:$GP$41,F$21,$E72)</f>
        <v>-</v>
      </c>
      <c r="G72" s="674" t="str">
        <f>INDEX('DEFAULT DATA'!$EK$9:$GP$41,G$21,$E72)</f>
        <v>-</v>
      </c>
      <c r="H72" s="674" t="str">
        <f>INDEX('DEFAULT DATA'!$EK$9:$GP$41,H$21,$E72)</f>
        <v>-</v>
      </c>
      <c r="I72" s="674" t="str">
        <f>INDEX('DEFAULT DATA'!$EK$9:$GP$41,I$21,$E72)</f>
        <v>-</v>
      </c>
      <c r="J72" s="674" t="str">
        <f>INDEX('DEFAULT DATA'!$EK$9:$GP$41,J$21,$E72)</f>
        <v>-</v>
      </c>
      <c r="K72" s="674" t="str">
        <f>INDEX('DEFAULT DATA'!$EK$9:$GP$41,K$21,$E72)</f>
        <v>-</v>
      </c>
      <c r="L72" s="674" t="str">
        <f>INDEX('DEFAULT DATA'!$EK$9:$GP$41,L$21,$E72)</f>
        <v>-</v>
      </c>
      <c r="M72" s="674" t="str">
        <f>INDEX('DEFAULT DATA'!$EK$9:$GP$41,M$21,$E72)</f>
        <v>-</v>
      </c>
      <c r="N72" s="674" t="str">
        <f>INDEX('DEFAULT DATA'!$EK$9:$GP$41,N$21,$E72)</f>
        <v>-</v>
      </c>
      <c r="O72" s="674" t="str">
        <f>INDEX('DEFAULT DATA'!$EK$9:$GP$41,O$21,$E72)</f>
        <v>-</v>
      </c>
      <c r="P72" s="674" t="str">
        <f>INDEX('DEFAULT DATA'!$EK$9:$GP$41,P$21,$E72)</f>
        <v>Nuremberg</v>
      </c>
      <c r="Q72" s="674" t="str">
        <f>INDEX('DEFAULT DATA'!$EK$9:$GP$41,Q$21,$E72)</f>
        <v>-</v>
      </c>
      <c r="R72" s="674" t="str">
        <f>INDEX('DEFAULT DATA'!$EK$9:$GP$41,R$21,$E72)</f>
        <v>-</v>
      </c>
      <c r="S72" s="674" t="str">
        <f>INDEX('DEFAULT DATA'!$EK$9:$GP$41,S$21,$E72)</f>
        <v>-</v>
      </c>
      <c r="T72" s="674" t="str">
        <f>INDEX('DEFAULT DATA'!$EK$9:$GP$41,T$21,$E72)</f>
        <v>-</v>
      </c>
      <c r="U72" s="674" t="str">
        <f>INDEX('DEFAULT DATA'!$EK$9:$GP$41,U$21,$E72)</f>
        <v>-</v>
      </c>
      <c r="V72" s="674" t="str">
        <f>INDEX('DEFAULT DATA'!$EK$9:$GP$41,V$21,$E72)</f>
        <v>-</v>
      </c>
      <c r="W72" s="674" t="str">
        <f>INDEX('DEFAULT DATA'!$EK$9:$GP$41,W$21,$E72)</f>
        <v>-</v>
      </c>
      <c r="X72" s="674" t="str">
        <f>INDEX('DEFAULT DATA'!$EK$9:$GP$41,X$21,$E72)</f>
        <v>-</v>
      </c>
      <c r="Y72" s="674" t="str">
        <f>INDEX('DEFAULT DATA'!$EK$9:$GP$41,Y$21,$E72)</f>
        <v>-</v>
      </c>
      <c r="Z72" s="674" t="str">
        <f>INDEX('DEFAULT DATA'!$EK$9:$GP$41,Z$21,$E72)</f>
        <v>-</v>
      </c>
      <c r="AA72" s="674" t="str">
        <f>INDEX('DEFAULT DATA'!$EK$9:$GP$41,AA$21,$E72)</f>
        <v>-</v>
      </c>
      <c r="AB72" s="674" t="str">
        <f>INDEX('DEFAULT DATA'!$EK$9:$GP$41,AB$21,$E72)</f>
        <v>-</v>
      </c>
      <c r="AC72" s="674" t="str">
        <f>INDEX('DEFAULT DATA'!$EK$9:$GP$41,AC$21,$E72)</f>
        <v>-</v>
      </c>
      <c r="AD72" s="674" t="str">
        <f>INDEX('DEFAULT DATA'!$EK$9:$GP$41,AD$21,$E72)</f>
        <v>-</v>
      </c>
      <c r="AE72" s="674" t="str">
        <f>INDEX('DEFAULT DATA'!$EK$9:$GP$41,AE$21,$E72)</f>
        <v>-</v>
      </c>
      <c r="AF72" s="674" t="str">
        <f>INDEX('DEFAULT DATA'!$EK$9:$GP$41,AF$21,$E72)</f>
        <v>-</v>
      </c>
      <c r="AG72" s="674" t="str">
        <f>INDEX('DEFAULT DATA'!$EK$9:$GP$41,AG$21,$E72)</f>
        <v>-</v>
      </c>
      <c r="AH72" s="674" t="str">
        <f>INDEX('DEFAULT DATA'!$EK$9:$GP$41,AH$21,$E72)</f>
        <v>-</v>
      </c>
      <c r="AI72" s="674" t="str">
        <f>INDEX('DEFAULT DATA'!$EK$9:$GP$41,AI$21,$E72)</f>
        <v>-</v>
      </c>
      <c r="AJ72" s="674" t="str">
        <f>INDEX('DEFAULT DATA'!$EK$9:$GP$41,AJ$21,$E72)</f>
        <v>-</v>
      </c>
      <c r="AK72" s="674" t="str">
        <f>INDEX('DEFAULT DATA'!$EK$9:$GP$41,AK$21,$E72)</f>
        <v>-</v>
      </c>
    </row>
    <row r="73" spans="5:37">
      <c r="E73" s="61">
        <f t="shared" si="4"/>
        <v>51</v>
      </c>
      <c r="F73" s="674" t="str">
        <f>INDEX('DEFAULT DATA'!$EK$9:$GP$41,F$21,$E73)</f>
        <v>-</v>
      </c>
      <c r="G73" s="674" t="str">
        <f>INDEX('DEFAULT DATA'!$EK$9:$GP$41,G$21,$E73)</f>
        <v>-</v>
      </c>
      <c r="H73" s="674" t="str">
        <f>INDEX('DEFAULT DATA'!$EK$9:$GP$41,H$21,$E73)</f>
        <v>-</v>
      </c>
      <c r="I73" s="674" t="str">
        <f>INDEX('DEFAULT DATA'!$EK$9:$GP$41,I$21,$E73)</f>
        <v>-</v>
      </c>
      <c r="J73" s="674" t="str">
        <f>INDEX('DEFAULT DATA'!$EK$9:$GP$41,J$21,$E73)</f>
        <v>-</v>
      </c>
      <c r="K73" s="674" t="str">
        <f>INDEX('DEFAULT DATA'!$EK$9:$GP$41,K$21,$E73)</f>
        <v>-</v>
      </c>
      <c r="L73" s="674" t="str">
        <f>INDEX('DEFAULT DATA'!$EK$9:$GP$41,L$21,$E73)</f>
        <v>-</v>
      </c>
      <c r="M73" s="674" t="str">
        <f>INDEX('DEFAULT DATA'!$EK$9:$GP$41,M$21,$E73)</f>
        <v>-</v>
      </c>
      <c r="N73" s="674" t="str">
        <f>INDEX('DEFAULT DATA'!$EK$9:$GP$41,N$21,$E73)</f>
        <v>-</v>
      </c>
      <c r="O73" s="674" t="str">
        <f>INDEX('DEFAULT DATA'!$EK$9:$GP$41,O$21,$E73)</f>
        <v>-</v>
      </c>
      <c r="P73" s="674" t="str">
        <f>INDEX('DEFAULT DATA'!$EK$9:$GP$41,P$21,$E73)</f>
        <v>Plauen</v>
      </c>
      <c r="Q73" s="674" t="str">
        <f>INDEX('DEFAULT DATA'!$EK$9:$GP$41,Q$21,$E73)</f>
        <v>-</v>
      </c>
      <c r="R73" s="674" t="str">
        <f>INDEX('DEFAULT DATA'!$EK$9:$GP$41,R$21,$E73)</f>
        <v>-</v>
      </c>
      <c r="S73" s="674" t="str">
        <f>INDEX('DEFAULT DATA'!$EK$9:$GP$41,S$21,$E73)</f>
        <v>-</v>
      </c>
      <c r="T73" s="674" t="str">
        <f>INDEX('DEFAULT DATA'!$EK$9:$GP$41,T$21,$E73)</f>
        <v>-</v>
      </c>
      <c r="U73" s="674" t="str">
        <f>INDEX('DEFAULT DATA'!$EK$9:$GP$41,U$21,$E73)</f>
        <v>-</v>
      </c>
      <c r="V73" s="674" t="str">
        <f>INDEX('DEFAULT DATA'!$EK$9:$GP$41,V$21,$E73)</f>
        <v>-</v>
      </c>
      <c r="W73" s="674" t="str">
        <f>INDEX('DEFAULT DATA'!$EK$9:$GP$41,W$21,$E73)</f>
        <v>-</v>
      </c>
      <c r="X73" s="674" t="str">
        <f>INDEX('DEFAULT DATA'!$EK$9:$GP$41,X$21,$E73)</f>
        <v>-</v>
      </c>
      <c r="Y73" s="674" t="str">
        <f>INDEX('DEFAULT DATA'!$EK$9:$GP$41,Y$21,$E73)</f>
        <v>-</v>
      </c>
      <c r="Z73" s="674" t="str">
        <f>INDEX('DEFAULT DATA'!$EK$9:$GP$41,Z$21,$E73)</f>
        <v>-</v>
      </c>
      <c r="AA73" s="674" t="str">
        <f>INDEX('DEFAULT DATA'!$EK$9:$GP$41,AA$21,$E73)</f>
        <v>-</v>
      </c>
      <c r="AB73" s="674" t="str">
        <f>INDEX('DEFAULT DATA'!$EK$9:$GP$41,AB$21,$E73)</f>
        <v>-</v>
      </c>
      <c r="AC73" s="674" t="str">
        <f>INDEX('DEFAULT DATA'!$EK$9:$GP$41,AC$21,$E73)</f>
        <v>-</v>
      </c>
      <c r="AD73" s="674" t="str">
        <f>INDEX('DEFAULT DATA'!$EK$9:$GP$41,AD$21,$E73)</f>
        <v>-</v>
      </c>
      <c r="AE73" s="674" t="str">
        <f>INDEX('DEFAULT DATA'!$EK$9:$GP$41,AE$21,$E73)</f>
        <v>-</v>
      </c>
      <c r="AF73" s="674" t="str">
        <f>INDEX('DEFAULT DATA'!$EK$9:$GP$41,AF$21,$E73)</f>
        <v>-</v>
      </c>
      <c r="AG73" s="674" t="str">
        <f>INDEX('DEFAULT DATA'!$EK$9:$GP$41,AG$21,$E73)</f>
        <v>-</v>
      </c>
      <c r="AH73" s="674" t="str">
        <f>INDEX('DEFAULT DATA'!$EK$9:$GP$41,AH$21,$E73)</f>
        <v>-</v>
      </c>
      <c r="AI73" s="674" t="str">
        <f>INDEX('DEFAULT DATA'!$EK$9:$GP$41,AI$21,$E73)</f>
        <v>-</v>
      </c>
      <c r="AJ73" s="674" t="str">
        <f>INDEX('DEFAULT DATA'!$EK$9:$GP$41,AJ$21,$E73)</f>
        <v>-</v>
      </c>
      <c r="AK73" s="674" t="str">
        <f>INDEX('DEFAULT DATA'!$EK$9:$GP$41,AK$21,$E73)</f>
        <v>-</v>
      </c>
    </row>
    <row r="74" spans="5:37">
      <c r="E74" s="61">
        <f t="shared" si="4"/>
        <v>52</v>
      </c>
      <c r="F74" s="674" t="str">
        <f>INDEX('DEFAULT DATA'!$EK$9:$GP$41,F$21,$E74)</f>
        <v>-</v>
      </c>
      <c r="G74" s="674" t="str">
        <f>INDEX('DEFAULT DATA'!$EK$9:$GP$41,G$21,$E74)</f>
        <v>-</v>
      </c>
      <c r="H74" s="674" t="str">
        <f>INDEX('DEFAULT DATA'!$EK$9:$GP$41,H$21,$E74)</f>
        <v>-</v>
      </c>
      <c r="I74" s="674" t="str">
        <f>INDEX('DEFAULT DATA'!$EK$9:$GP$41,I$21,$E74)</f>
        <v>-</v>
      </c>
      <c r="J74" s="674" t="str">
        <f>INDEX('DEFAULT DATA'!$EK$9:$GP$41,J$21,$E74)</f>
        <v>-</v>
      </c>
      <c r="K74" s="674" t="str">
        <f>INDEX('DEFAULT DATA'!$EK$9:$GP$41,K$21,$E74)</f>
        <v>-</v>
      </c>
      <c r="L74" s="674" t="str">
        <f>INDEX('DEFAULT DATA'!$EK$9:$GP$41,L$21,$E74)</f>
        <v>-</v>
      </c>
      <c r="M74" s="674" t="str">
        <f>INDEX('DEFAULT DATA'!$EK$9:$GP$41,M$21,$E74)</f>
        <v>-</v>
      </c>
      <c r="N74" s="674" t="str">
        <f>INDEX('DEFAULT DATA'!$EK$9:$GP$41,N$21,$E74)</f>
        <v>-</v>
      </c>
      <c r="O74" s="674" t="str">
        <f>INDEX('DEFAULT DATA'!$EK$9:$GP$41,O$21,$E74)</f>
        <v>-</v>
      </c>
      <c r="P74" s="674" t="str">
        <f>INDEX('DEFAULT DATA'!$EK$9:$GP$41,P$21,$E74)</f>
        <v>Potsdam</v>
      </c>
      <c r="Q74" s="674" t="str">
        <f>INDEX('DEFAULT DATA'!$EK$9:$GP$41,Q$21,$E74)</f>
        <v>-</v>
      </c>
      <c r="R74" s="674" t="str">
        <f>INDEX('DEFAULT DATA'!$EK$9:$GP$41,R$21,$E74)</f>
        <v>-</v>
      </c>
      <c r="S74" s="674" t="str">
        <f>INDEX('DEFAULT DATA'!$EK$9:$GP$41,S$21,$E74)</f>
        <v>-</v>
      </c>
      <c r="T74" s="674" t="str">
        <f>INDEX('DEFAULT DATA'!$EK$9:$GP$41,T$21,$E74)</f>
        <v>-</v>
      </c>
      <c r="U74" s="674" t="str">
        <f>INDEX('DEFAULT DATA'!$EK$9:$GP$41,U$21,$E74)</f>
        <v>-</v>
      </c>
      <c r="V74" s="674" t="str">
        <f>INDEX('DEFAULT DATA'!$EK$9:$GP$41,V$21,$E74)</f>
        <v>-</v>
      </c>
      <c r="W74" s="674" t="str">
        <f>INDEX('DEFAULT DATA'!$EK$9:$GP$41,W$21,$E74)</f>
        <v>-</v>
      </c>
      <c r="X74" s="674" t="str">
        <f>INDEX('DEFAULT DATA'!$EK$9:$GP$41,X$21,$E74)</f>
        <v>-</v>
      </c>
      <c r="Y74" s="674" t="str">
        <f>INDEX('DEFAULT DATA'!$EK$9:$GP$41,Y$21,$E74)</f>
        <v>-</v>
      </c>
      <c r="Z74" s="674" t="str">
        <f>INDEX('DEFAULT DATA'!$EK$9:$GP$41,Z$21,$E74)</f>
        <v>-</v>
      </c>
      <c r="AA74" s="674" t="str">
        <f>INDEX('DEFAULT DATA'!$EK$9:$GP$41,AA$21,$E74)</f>
        <v>-</v>
      </c>
      <c r="AB74" s="674" t="str">
        <f>INDEX('DEFAULT DATA'!$EK$9:$GP$41,AB$21,$E74)</f>
        <v>-</v>
      </c>
      <c r="AC74" s="674" t="str">
        <f>INDEX('DEFAULT DATA'!$EK$9:$GP$41,AC$21,$E74)</f>
        <v>-</v>
      </c>
      <c r="AD74" s="674" t="str">
        <f>INDEX('DEFAULT DATA'!$EK$9:$GP$41,AD$21,$E74)</f>
        <v>-</v>
      </c>
      <c r="AE74" s="674" t="str">
        <f>INDEX('DEFAULT DATA'!$EK$9:$GP$41,AE$21,$E74)</f>
        <v>-</v>
      </c>
      <c r="AF74" s="674" t="str">
        <f>INDEX('DEFAULT DATA'!$EK$9:$GP$41,AF$21,$E74)</f>
        <v>-</v>
      </c>
      <c r="AG74" s="674" t="str">
        <f>INDEX('DEFAULT DATA'!$EK$9:$GP$41,AG$21,$E74)</f>
        <v>-</v>
      </c>
      <c r="AH74" s="674" t="str">
        <f>INDEX('DEFAULT DATA'!$EK$9:$GP$41,AH$21,$E74)</f>
        <v>-</v>
      </c>
      <c r="AI74" s="674" t="str">
        <f>INDEX('DEFAULT DATA'!$EK$9:$GP$41,AI$21,$E74)</f>
        <v>-</v>
      </c>
      <c r="AJ74" s="674" t="str">
        <f>INDEX('DEFAULT DATA'!$EK$9:$GP$41,AJ$21,$E74)</f>
        <v>-</v>
      </c>
      <c r="AK74" s="674" t="str">
        <f>INDEX('DEFAULT DATA'!$EK$9:$GP$41,AK$21,$E74)</f>
        <v>-</v>
      </c>
    </row>
    <row r="75" spans="5:37">
      <c r="E75" s="61">
        <f t="shared" si="4"/>
        <v>53</v>
      </c>
      <c r="F75" s="674" t="str">
        <f>INDEX('DEFAULT DATA'!$EK$9:$GP$41,F$21,$E75)</f>
        <v>-</v>
      </c>
      <c r="G75" s="674" t="str">
        <f>INDEX('DEFAULT DATA'!$EK$9:$GP$41,G$21,$E75)</f>
        <v>-</v>
      </c>
      <c r="H75" s="674" t="str">
        <f>INDEX('DEFAULT DATA'!$EK$9:$GP$41,H$21,$E75)</f>
        <v>-</v>
      </c>
      <c r="I75" s="674" t="str">
        <f>INDEX('DEFAULT DATA'!$EK$9:$GP$41,I$21,$E75)</f>
        <v>-</v>
      </c>
      <c r="J75" s="674" t="str">
        <f>INDEX('DEFAULT DATA'!$EK$9:$GP$41,J$21,$E75)</f>
        <v>-</v>
      </c>
      <c r="K75" s="674" t="str">
        <f>INDEX('DEFAULT DATA'!$EK$9:$GP$41,K$21,$E75)</f>
        <v>-</v>
      </c>
      <c r="L75" s="674" t="str">
        <f>INDEX('DEFAULT DATA'!$EK$9:$GP$41,L$21,$E75)</f>
        <v>-</v>
      </c>
      <c r="M75" s="674" t="str">
        <f>INDEX('DEFAULT DATA'!$EK$9:$GP$41,M$21,$E75)</f>
        <v>-</v>
      </c>
      <c r="N75" s="674" t="str">
        <f>INDEX('DEFAULT DATA'!$EK$9:$GP$41,N$21,$E75)</f>
        <v>-</v>
      </c>
      <c r="O75" s="674" t="str">
        <f>INDEX('DEFAULT DATA'!$EK$9:$GP$41,O$21,$E75)</f>
        <v>-</v>
      </c>
      <c r="P75" s="674" t="str">
        <f>INDEX('DEFAULT DATA'!$EK$9:$GP$41,P$21,$E75)</f>
        <v>Rostock</v>
      </c>
      <c r="Q75" s="674" t="str">
        <f>INDEX('DEFAULT DATA'!$EK$9:$GP$41,Q$21,$E75)</f>
        <v>-</v>
      </c>
      <c r="R75" s="674" t="str">
        <f>INDEX('DEFAULT DATA'!$EK$9:$GP$41,R$21,$E75)</f>
        <v>-</v>
      </c>
      <c r="S75" s="674" t="str">
        <f>INDEX('DEFAULT DATA'!$EK$9:$GP$41,S$21,$E75)</f>
        <v>-</v>
      </c>
      <c r="T75" s="674" t="str">
        <f>INDEX('DEFAULT DATA'!$EK$9:$GP$41,T$21,$E75)</f>
        <v>-</v>
      </c>
      <c r="U75" s="674" t="str">
        <f>INDEX('DEFAULT DATA'!$EK$9:$GP$41,U$21,$E75)</f>
        <v>-</v>
      </c>
      <c r="V75" s="674" t="str">
        <f>INDEX('DEFAULT DATA'!$EK$9:$GP$41,V$21,$E75)</f>
        <v>-</v>
      </c>
      <c r="W75" s="674" t="str">
        <f>INDEX('DEFAULT DATA'!$EK$9:$GP$41,W$21,$E75)</f>
        <v>-</v>
      </c>
      <c r="X75" s="674" t="str">
        <f>INDEX('DEFAULT DATA'!$EK$9:$GP$41,X$21,$E75)</f>
        <v>-</v>
      </c>
      <c r="Y75" s="674" t="str">
        <f>INDEX('DEFAULT DATA'!$EK$9:$GP$41,Y$21,$E75)</f>
        <v>-</v>
      </c>
      <c r="Z75" s="674" t="str">
        <f>INDEX('DEFAULT DATA'!$EK$9:$GP$41,Z$21,$E75)</f>
        <v>-</v>
      </c>
      <c r="AA75" s="674" t="str">
        <f>INDEX('DEFAULT DATA'!$EK$9:$GP$41,AA$21,$E75)</f>
        <v>-</v>
      </c>
      <c r="AB75" s="674" t="str">
        <f>INDEX('DEFAULT DATA'!$EK$9:$GP$41,AB$21,$E75)</f>
        <v>-</v>
      </c>
      <c r="AC75" s="674" t="str">
        <f>INDEX('DEFAULT DATA'!$EK$9:$GP$41,AC$21,$E75)</f>
        <v>-</v>
      </c>
      <c r="AD75" s="674" t="str">
        <f>INDEX('DEFAULT DATA'!$EK$9:$GP$41,AD$21,$E75)</f>
        <v>-</v>
      </c>
      <c r="AE75" s="674" t="str">
        <f>INDEX('DEFAULT DATA'!$EK$9:$GP$41,AE$21,$E75)</f>
        <v>-</v>
      </c>
      <c r="AF75" s="674" t="str">
        <f>INDEX('DEFAULT DATA'!$EK$9:$GP$41,AF$21,$E75)</f>
        <v>-</v>
      </c>
      <c r="AG75" s="674" t="str">
        <f>INDEX('DEFAULT DATA'!$EK$9:$GP$41,AG$21,$E75)</f>
        <v>-</v>
      </c>
      <c r="AH75" s="674" t="str">
        <f>INDEX('DEFAULT DATA'!$EK$9:$GP$41,AH$21,$E75)</f>
        <v>-</v>
      </c>
      <c r="AI75" s="674" t="str">
        <f>INDEX('DEFAULT DATA'!$EK$9:$GP$41,AI$21,$E75)</f>
        <v>-</v>
      </c>
      <c r="AJ75" s="674" t="str">
        <f>INDEX('DEFAULT DATA'!$EK$9:$GP$41,AJ$21,$E75)</f>
        <v>-</v>
      </c>
      <c r="AK75" s="674" t="str">
        <f>INDEX('DEFAULT DATA'!$EK$9:$GP$41,AK$21,$E75)</f>
        <v>-</v>
      </c>
    </row>
    <row r="76" spans="5:37">
      <c r="E76" s="61">
        <f t="shared" si="4"/>
        <v>54</v>
      </c>
      <c r="F76" s="674" t="str">
        <f>INDEX('DEFAULT DATA'!$EK$9:$GP$41,F$21,$E76)</f>
        <v>-</v>
      </c>
      <c r="G76" s="674" t="str">
        <f>INDEX('DEFAULT DATA'!$EK$9:$GP$41,G$21,$E76)</f>
        <v>-</v>
      </c>
      <c r="H76" s="674" t="str">
        <f>INDEX('DEFAULT DATA'!$EK$9:$GP$41,H$21,$E76)</f>
        <v>-</v>
      </c>
      <c r="I76" s="674" t="str">
        <f>INDEX('DEFAULT DATA'!$EK$9:$GP$41,I$21,$E76)</f>
        <v>-</v>
      </c>
      <c r="J76" s="674" t="str">
        <f>INDEX('DEFAULT DATA'!$EK$9:$GP$41,J$21,$E76)</f>
        <v>-</v>
      </c>
      <c r="K76" s="674" t="str">
        <f>INDEX('DEFAULT DATA'!$EK$9:$GP$41,K$21,$E76)</f>
        <v>-</v>
      </c>
      <c r="L76" s="674" t="str">
        <f>INDEX('DEFAULT DATA'!$EK$9:$GP$41,L$21,$E76)</f>
        <v>-</v>
      </c>
      <c r="M76" s="674" t="str">
        <f>INDEX('DEFAULT DATA'!$EK$9:$GP$41,M$21,$E76)</f>
        <v>-</v>
      </c>
      <c r="N76" s="674" t="str">
        <f>INDEX('DEFAULT DATA'!$EK$9:$GP$41,N$21,$E76)</f>
        <v>-</v>
      </c>
      <c r="O76" s="674" t="str">
        <f>INDEX('DEFAULT DATA'!$EK$9:$GP$41,O$21,$E76)</f>
        <v>-</v>
      </c>
      <c r="P76" s="674" t="str">
        <f>INDEX('DEFAULT DATA'!$EK$9:$GP$41,P$21,$E76)</f>
        <v>Saarbahn</v>
      </c>
      <c r="Q76" s="674" t="str">
        <f>INDEX('DEFAULT DATA'!$EK$9:$GP$41,Q$21,$E76)</f>
        <v>-</v>
      </c>
      <c r="R76" s="674" t="str">
        <f>INDEX('DEFAULT DATA'!$EK$9:$GP$41,R$21,$E76)</f>
        <v>-</v>
      </c>
      <c r="S76" s="674" t="str">
        <f>INDEX('DEFAULT DATA'!$EK$9:$GP$41,S$21,$E76)</f>
        <v>-</v>
      </c>
      <c r="T76" s="674" t="str">
        <f>INDEX('DEFAULT DATA'!$EK$9:$GP$41,T$21,$E76)</f>
        <v>-</v>
      </c>
      <c r="U76" s="674" t="str">
        <f>INDEX('DEFAULT DATA'!$EK$9:$GP$41,U$21,$E76)</f>
        <v>-</v>
      </c>
      <c r="V76" s="674" t="str">
        <f>INDEX('DEFAULT DATA'!$EK$9:$GP$41,V$21,$E76)</f>
        <v>-</v>
      </c>
      <c r="W76" s="674" t="str">
        <f>INDEX('DEFAULT DATA'!$EK$9:$GP$41,W$21,$E76)</f>
        <v>-</v>
      </c>
      <c r="X76" s="674" t="str">
        <f>INDEX('DEFAULT DATA'!$EK$9:$GP$41,X$21,$E76)</f>
        <v>-</v>
      </c>
      <c r="Y76" s="674" t="str">
        <f>INDEX('DEFAULT DATA'!$EK$9:$GP$41,Y$21,$E76)</f>
        <v>-</v>
      </c>
      <c r="Z76" s="674" t="str">
        <f>INDEX('DEFAULT DATA'!$EK$9:$GP$41,Z$21,$E76)</f>
        <v>-</v>
      </c>
      <c r="AA76" s="674" t="str">
        <f>INDEX('DEFAULT DATA'!$EK$9:$GP$41,AA$21,$E76)</f>
        <v>-</v>
      </c>
      <c r="AB76" s="674" t="str">
        <f>INDEX('DEFAULT DATA'!$EK$9:$GP$41,AB$21,$E76)</f>
        <v>-</v>
      </c>
      <c r="AC76" s="674" t="str">
        <f>INDEX('DEFAULT DATA'!$EK$9:$GP$41,AC$21,$E76)</f>
        <v>-</v>
      </c>
      <c r="AD76" s="674" t="str">
        <f>INDEX('DEFAULT DATA'!$EK$9:$GP$41,AD$21,$E76)</f>
        <v>-</v>
      </c>
      <c r="AE76" s="674" t="str">
        <f>INDEX('DEFAULT DATA'!$EK$9:$GP$41,AE$21,$E76)</f>
        <v>-</v>
      </c>
      <c r="AF76" s="674" t="str">
        <f>INDEX('DEFAULT DATA'!$EK$9:$GP$41,AF$21,$E76)</f>
        <v>-</v>
      </c>
      <c r="AG76" s="674" t="str">
        <f>INDEX('DEFAULT DATA'!$EK$9:$GP$41,AG$21,$E76)</f>
        <v>-</v>
      </c>
      <c r="AH76" s="674" t="str">
        <f>INDEX('DEFAULT DATA'!$EK$9:$GP$41,AH$21,$E76)</f>
        <v>-</v>
      </c>
      <c r="AI76" s="674" t="str">
        <f>INDEX('DEFAULT DATA'!$EK$9:$GP$41,AI$21,$E76)</f>
        <v>-</v>
      </c>
      <c r="AJ76" s="674" t="str">
        <f>INDEX('DEFAULT DATA'!$EK$9:$GP$41,AJ$21,$E76)</f>
        <v>-</v>
      </c>
      <c r="AK76" s="674" t="str">
        <f>INDEX('DEFAULT DATA'!$EK$9:$GP$41,AK$21,$E76)</f>
        <v>-</v>
      </c>
    </row>
    <row r="77" spans="5:37">
      <c r="E77" s="61">
        <f t="shared" si="4"/>
        <v>55</v>
      </c>
      <c r="F77" s="674" t="str">
        <f>INDEX('DEFAULT DATA'!$EK$9:$GP$41,F$21,$E77)</f>
        <v>-</v>
      </c>
      <c r="G77" s="674" t="str">
        <f>INDEX('DEFAULT DATA'!$EK$9:$GP$41,G$21,$E77)</f>
        <v>-</v>
      </c>
      <c r="H77" s="674" t="str">
        <f>INDEX('DEFAULT DATA'!$EK$9:$GP$41,H$21,$E77)</f>
        <v>-</v>
      </c>
      <c r="I77" s="674" t="str">
        <f>INDEX('DEFAULT DATA'!$EK$9:$GP$41,I$21,$E77)</f>
        <v>-</v>
      </c>
      <c r="J77" s="674" t="str">
        <f>INDEX('DEFAULT DATA'!$EK$9:$GP$41,J$21,$E77)</f>
        <v>-</v>
      </c>
      <c r="K77" s="674" t="str">
        <f>INDEX('DEFAULT DATA'!$EK$9:$GP$41,K$21,$E77)</f>
        <v>-</v>
      </c>
      <c r="L77" s="674" t="str">
        <f>INDEX('DEFAULT DATA'!$EK$9:$GP$41,L$21,$E77)</f>
        <v>-</v>
      </c>
      <c r="M77" s="674" t="str">
        <f>INDEX('DEFAULT DATA'!$EK$9:$GP$41,M$21,$E77)</f>
        <v>-</v>
      </c>
      <c r="N77" s="674" t="str">
        <f>INDEX('DEFAULT DATA'!$EK$9:$GP$41,N$21,$E77)</f>
        <v>-</v>
      </c>
      <c r="O77" s="674" t="str">
        <f>INDEX('DEFAULT DATA'!$EK$9:$GP$41,O$21,$E77)</f>
        <v>-</v>
      </c>
      <c r="P77" s="674" t="str">
        <f>INDEX('DEFAULT DATA'!$EK$9:$GP$41,P$21,$E77)</f>
        <v>Schwerin</v>
      </c>
      <c r="Q77" s="674" t="str">
        <f>INDEX('DEFAULT DATA'!$EK$9:$GP$41,Q$21,$E77)</f>
        <v>-</v>
      </c>
      <c r="R77" s="674" t="str">
        <f>INDEX('DEFAULT DATA'!$EK$9:$GP$41,R$21,$E77)</f>
        <v>-</v>
      </c>
      <c r="S77" s="674" t="str">
        <f>INDEX('DEFAULT DATA'!$EK$9:$GP$41,S$21,$E77)</f>
        <v>-</v>
      </c>
      <c r="T77" s="674" t="str">
        <f>INDEX('DEFAULT DATA'!$EK$9:$GP$41,T$21,$E77)</f>
        <v>-</v>
      </c>
      <c r="U77" s="674" t="str">
        <f>INDEX('DEFAULT DATA'!$EK$9:$GP$41,U$21,$E77)</f>
        <v>-</v>
      </c>
      <c r="V77" s="674" t="str">
        <f>INDEX('DEFAULT DATA'!$EK$9:$GP$41,V$21,$E77)</f>
        <v>-</v>
      </c>
      <c r="W77" s="674" t="str">
        <f>INDEX('DEFAULT DATA'!$EK$9:$GP$41,W$21,$E77)</f>
        <v>-</v>
      </c>
      <c r="X77" s="674" t="str">
        <f>INDEX('DEFAULT DATA'!$EK$9:$GP$41,X$21,$E77)</f>
        <v>-</v>
      </c>
      <c r="Y77" s="674" t="str">
        <f>INDEX('DEFAULT DATA'!$EK$9:$GP$41,Y$21,$E77)</f>
        <v>-</v>
      </c>
      <c r="Z77" s="674" t="str">
        <f>INDEX('DEFAULT DATA'!$EK$9:$GP$41,Z$21,$E77)</f>
        <v>-</v>
      </c>
      <c r="AA77" s="674" t="str">
        <f>INDEX('DEFAULT DATA'!$EK$9:$GP$41,AA$21,$E77)</f>
        <v>-</v>
      </c>
      <c r="AB77" s="674" t="str">
        <f>INDEX('DEFAULT DATA'!$EK$9:$GP$41,AB$21,$E77)</f>
        <v>-</v>
      </c>
      <c r="AC77" s="674" t="str">
        <f>INDEX('DEFAULT DATA'!$EK$9:$GP$41,AC$21,$E77)</f>
        <v>-</v>
      </c>
      <c r="AD77" s="674" t="str">
        <f>INDEX('DEFAULT DATA'!$EK$9:$GP$41,AD$21,$E77)</f>
        <v>-</v>
      </c>
      <c r="AE77" s="674" t="str">
        <f>INDEX('DEFAULT DATA'!$EK$9:$GP$41,AE$21,$E77)</f>
        <v>-</v>
      </c>
      <c r="AF77" s="674" t="str">
        <f>INDEX('DEFAULT DATA'!$EK$9:$GP$41,AF$21,$E77)</f>
        <v>-</v>
      </c>
      <c r="AG77" s="674" t="str">
        <f>INDEX('DEFAULT DATA'!$EK$9:$GP$41,AG$21,$E77)</f>
        <v>-</v>
      </c>
      <c r="AH77" s="674" t="str">
        <f>INDEX('DEFAULT DATA'!$EK$9:$GP$41,AH$21,$E77)</f>
        <v>-</v>
      </c>
      <c r="AI77" s="674" t="str">
        <f>INDEX('DEFAULT DATA'!$EK$9:$GP$41,AI$21,$E77)</f>
        <v>-</v>
      </c>
      <c r="AJ77" s="674" t="str">
        <f>INDEX('DEFAULT DATA'!$EK$9:$GP$41,AJ$21,$E77)</f>
        <v>-</v>
      </c>
      <c r="AK77" s="674" t="str">
        <f>INDEX('DEFAULT DATA'!$EK$9:$GP$41,AK$21,$E77)</f>
        <v>-</v>
      </c>
    </row>
    <row r="78" spans="5:37">
      <c r="E78" s="61">
        <f t="shared" si="4"/>
        <v>56</v>
      </c>
      <c r="F78" s="674" t="str">
        <f>INDEX('DEFAULT DATA'!$EK$9:$GP$41,F$21,$E78)</f>
        <v>-</v>
      </c>
      <c r="G78" s="674" t="str">
        <f>INDEX('DEFAULT DATA'!$EK$9:$GP$41,G$21,$E78)</f>
        <v>-</v>
      </c>
      <c r="H78" s="674" t="str">
        <f>INDEX('DEFAULT DATA'!$EK$9:$GP$41,H$21,$E78)</f>
        <v>-</v>
      </c>
      <c r="I78" s="674" t="str">
        <f>INDEX('DEFAULT DATA'!$EK$9:$GP$41,I$21,$E78)</f>
        <v>-</v>
      </c>
      <c r="J78" s="674" t="str">
        <f>INDEX('DEFAULT DATA'!$EK$9:$GP$41,J$21,$E78)</f>
        <v>-</v>
      </c>
      <c r="K78" s="674" t="str">
        <f>INDEX('DEFAULT DATA'!$EK$9:$GP$41,K$21,$E78)</f>
        <v>-</v>
      </c>
      <c r="L78" s="674" t="str">
        <f>INDEX('DEFAULT DATA'!$EK$9:$GP$41,L$21,$E78)</f>
        <v>-</v>
      </c>
      <c r="M78" s="674" t="str">
        <f>INDEX('DEFAULT DATA'!$EK$9:$GP$41,M$21,$E78)</f>
        <v>-</v>
      </c>
      <c r="N78" s="674" t="str">
        <f>INDEX('DEFAULT DATA'!$EK$9:$GP$41,N$21,$E78)</f>
        <v>-</v>
      </c>
      <c r="O78" s="674" t="str">
        <f>INDEX('DEFAULT DATA'!$EK$9:$GP$41,O$21,$E78)</f>
        <v>-</v>
      </c>
      <c r="P78" s="674" t="str">
        <f>INDEX('DEFAULT DATA'!$EK$9:$GP$41,P$21,$E78)</f>
        <v>Strausberg</v>
      </c>
      <c r="Q78" s="674" t="str">
        <f>INDEX('DEFAULT DATA'!$EK$9:$GP$41,Q$21,$E78)</f>
        <v>-</v>
      </c>
      <c r="R78" s="674" t="str">
        <f>INDEX('DEFAULT DATA'!$EK$9:$GP$41,R$21,$E78)</f>
        <v>-</v>
      </c>
      <c r="S78" s="674" t="str">
        <f>INDEX('DEFAULT DATA'!$EK$9:$GP$41,S$21,$E78)</f>
        <v>-</v>
      </c>
      <c r="T78" s="674" t="str">
        <f>INDEX('DEFAULT DATA'!$EK$9:$GP$41,T$21,$E78)</f>
        <v>-</v>
      </c>
      <c r="U78" s="674" t="str">
        <f>INDEX('DEFAULT DATA'!$EK$9:$GP$41,U$21,$E78)</f>
        <v>-</v>
      </c>
      <c r="V78" s="674" t="str">
        <f>INDEX('DEFAULT DATA'!$EK$9:$GP$41,V$21,$E78)</f>
        <v>-</v>
      </c>
      <c r="W78" s="674" t="str">
        <f>INDEX('DEFAULT DATA'!$EK$9:$GP$41,W$21,$E78)</f>
        <v>-</v>
      </c>
      <c r="X78" s="674" t="str">
        <f>INDEX('DEFAULT DATA'!$EK$9:$GP$41,X$21,$E78)</f>
        <v>-</v>
      </c>
      <c r="Y78" s="674" t="str">
        <f>INDEX('DEFAULT DATA'!$EK$9:$GP$41,Y$21,$E78)</f>
        <v>-</v>
      </c>
      <c r="Z78" s="674" t="str">
        <f>INDEX('DEFAULT DATA'!$EK$9:$GP$41,Z$21,$E78)</f>
        <v>-</v>
      </c>
      <c r="AA78" s="674" t="str">
        <f>INDEX('DEFAULT DATA'!$EK$9:$GP$41,AA$21,$E78)</f>
        <v>-</v>
      </c>
      <c r="AB78" s="674" t="str">
        <f>INDEX('DEFAULT DATA'!$EK$9:$GP$41,AB$21,$E78)</f>
        <v>-</v>
      </c>
      <c r="AC78" s="674" t="str">
        <f>INDEX('DEFAULT DATA'!$EK$9:$GP$41,AC$21,$E78)</f>
        <v>-</v>
      </c>
      <c r="AD78" s="674" t="str">
        <f>INDEX('DEFAULT DATA'!$EK$9:$GP$41,AD$21,$E78)</f>
        <v>-</v>
      </c>
      <c r="AE78" s="674" t="str">
        <f>INDEX('DEFAULT DATA'!$EK$9:$GP$41,AE$21,$E78)</f>
        <v>-</v>
      </c>
      <c r="AF78" s="674" t="str">
        <f>INDEX('DEFAULT DATA'!$EK$9:$GP$41,AF$21,$E78)</f>
        <v>-</v>
      </c>
      <c r="AG78" s="674" t="str">
        <f>INDEX('DEFAULT DATA'!$EK$9:$GP$41,AG$21,$E78)</f>
        <v>-</v>
      </c>
      <c r="AH78" s="674" t="str">
        <f>INDEX('DEFAULT DATA'!$EK$9:$GP$41,AH$21,$E78)</f>
        <v>-</v>
      </c>
      <c r="AI78" s="674" t="str">
        <f>INDEX('DEFAULT DATA'!$EK$9:$GP$41,AI$21,$E78)</f>
        <v>-</v>
      </c>
      <c r="AJ78" s="674" t="str">
        <f>INDEX('DEFAULT DATA'!$EK$9:$GP$41,AJ$21,$E78)</f>
        <v>-</v>
      </c>
      <c r="AK78" s="674" t="str">
        <f>INDEX('DEFAULT DATA'!$EK$9:$GP$41,AK$21,$E78)</f>
        <v>-</v>
      </c>
    </row>
    <row r="79" spans="5:37">
      <c r="E79" s="61">
        <f t="shared" si="4"/>
        <v>57</v>
      </c>
      <c r="F79" s="674" t="str">
        <f>INDEX('DEFAULT DATA'!$EK$9:$GP$41,F$21,$E79)</f>
        <v>-</v>
      </c>
      <c r="G79" s="674" t="str">
        <f>INDEX('DEFAULT DATA'!$EK$9:$GP$41,G$21,$E79)</f>
        <v>-</v>
      </c>
      <c r="H79" s="674" t="str">
        <f>INDEX('DEFAULT DATA'!$EK$9:$GP$41,H$21,$E79)</f>
        <v>-</v>
      </c>
      <c r="I79" s="674" t="str">
        <f>INDEX('DEFAULT DATA'!$EK$9:$GP$41,I$21,$E79)</f>
        <v>-</v>
      </c>
      <c r="J79" s="674" t="str">
        <f>INDEX('DEFAULT DATA'!$EK$9:$GP$41,J$21,$E79)</f>
        <v>-</v>
      </c>
      <c r="K79" s="674" t="str">
        <f>INDEX('DEFAULT DATA'!$EK$9:$GP$41,K$21,$E79)</f>
        <v>-</v>
      </c>
      <c r="L79" s="674" t="str">
        <f>INDEX('DEFAULT DATA'!$EK$9:$GP$41,L$21,$E79)</f>
        <v>-</v>
      </c>
      <c r="M79" s="674" t="str">
        <f>INDEX('DEFAULT DATA'!$EK$9:$GP$41,M$21,$E79)</f>
        <v>-</v>
      </c>
      <c r="N79" s="674" t="str">
        <f>INDEX('DEFAULT DATA'!$EK$9:$GP$41,N$21,$E79)</f>
        <v>-</v>
      </c>
      <c r="O79" s="674" t="str">
        <f>INDEX('DEFAULT DATA'!$EK$9:$GP$41,O$21,$E79)</f>
        <v>-</v>
      </c>
      <c r="P79" s="674" t="str">
        <f>INDEX('DEFAULT DATA'!$EK$9:$GP$41,P$21,$E79)</f>
        <v>Stuttgart</v>
      </c>
      <c r="Q79" s="674" t="str">
        <f>INDEX('DEFAULT DATA'!$EK$9:$GP$41,Q$21,$E79)</f>
        <v>-</v>
      </c>
      <c r="R79" s="674" t="str">
        <f>INDEX('DEFAULT DATA'!$EK$9:$GP$41,R$21,$E79)</f>
        <v>-</v>
      </c>
      <c r="S79" s="674" t="str">
        <f>INDEX('DEFAULT DATA'!$EK$9:$GP$41,S$21,$E79)</f>
        <v>-</v>
      </c>
      <c r="T79" s="674" t="str">
        <f>INDEX('DEFAULT DATA'!$EK$9:$GP$41,T$21,$E79)</f>
        <v>-</v>
      </c>
      <c r="U79" s="674" t="str">
        <f>INDEX('DEFAULT DATA'!$EK$9:$GP$41,U$21,$E79)</f>
        <v>-</v>
      </c>
      <c r="V79" s="674" t="str">
        <f>INDEX('DEFAULT DATA'!$EK$9:$GP$41,V$21,$E79)</f>
        <v>-</v>
      </c>
      <c r="W79" s="674" t="str">
        <f>INDEX('DEFAULT DATA'!$EK$9:$GP$41,W$21,$E79)</f>
        <v>-</v>
      </c>
      <c r="X79" s="674" t="str">
        <f>INDEX('DEFAULT DATA'!$EK$9:$GP$41,X$21,$E79)</f>
        <v>-</v>
      </c>
      <c r="Y79" s="674" t="str">
        <f>INDEX('DEFAULT DATA'!$EK$9:$GP$41,Y$21,$E79)</f>
        <v>-</v>
      </c>
      <c r="Z79" s="674" t="str">
        <f>INDEX('DEFAULT DATA'!$EK$9:$GP$41,Z$21,$E79)</f>
        <v>-</v>
      </c>
      <c r="AA79" s="674" t="str">
        <f>INDEX('DEFAULT DATA'!$EK$9:$GP$41,AA$21,$E79)</f>
        <v>-</v>
      </c>
      <c r="AB79" s="674" t="str">
        <f>INDEX('DEFAULT DATA'!$EK$9:$GP$41,AB$21,$E79)</f>
        <v>-</v>
      </c>
      <c r="AC79" s="674" t="str">
        <f>INDEX('DEFAULT DATA'!$EK$9:$GP$41,AC$21,$E79)</f>
        <v>-</v>
      </c>
      <c r="AD79" s="674" t="str">
        <f>INDEX('DEFAULT DATA'!$EK$9:$GP$41,AD$21,$E79)</f>
        <v>-</v>
      </c>
      <c r="AE79" s="674" t="str">
        <f>INDEX('DEFAULT DATA'!$EK$9:$GP$41,AE$21,$E79)</f>
        <v>-</v>
      </c>
      <c r="AF79" s="674" t="str">
        <f>INDEX('DEFAULT DATA'!$EK$9:$GP$41,AF$21,$E79)</f>
        <v>-</v>
      </c>
      <c r="AG79" s="674" t="str">
        <f>INDEX('DEFAULT DATA'!$EK$9:$GP$41,AG$21,$E79)</f>
        <v>-</v>
      </c>
      <c r="AH79" s="674" t="str">
        <f>INDEX('DEFAULT DATA'!$EK$9:$GP$41,AH$21,$E79)</f>
        <v>-</v>
      </c>
      <c r="AI79" s="674" t="str">
        <f>INDEX('DEFAULT DATA'!$EK$9:$GP$41,AI$21,$E79)</f>
        <v>-</v>
      </c>
      <c r="AJ79" s="674" t="str">
        <f>INDEX('DEFAULT DATA'!$EK$9:$GP$41,AJ$21,$E79)</f>
        <v>-</v>
      </c>
      <c r="AK79" s="674" t="str">
        <f>INDEX('DEFAULT DATA'!$EK$9:$GP$41,AK$21,$E79)</f>
        <v>-</v>
      </c>
    </row>
    <row r="80" spans="5:37">
      <c r="E80" s="61">
        <f t="shared" si="4"/>
        <v>58</v>
      </c>
      <c r="F80" s="674" t="str">
        <f>INDEX('DEFAULT DATA'!$EK$9:$GP$41,F$21,$E80)</f>
        <v>-</v>
      </c>
      <c r="G80" s="674" t="str">
        <f>INDEX('DEFAULT DATA'!$EK$9:$GP$41,G$21,$E80)</f>
        <v>-</v>
      </c>
      <c r="H80" s="674" t="str">
        <f>INDEX('DEFAULT DATA'!$EK$9:$GP$41,H$21,$E80)</f>
        <v>-</v>
      </c>
      <c r="I80" s="674" t="str">
        <f>INDEX('DEFAULT DATA'!$EK$9:$GP$41,I$21,$E80)</f>
        <v>-</v>
      </c>
      <c r="J80" s="674" t="str">
        <f>INDEX('DEFAULT DATA'!$EK$9:$GP$41,J$21,$E80)</f>
        <v>-</v>
      </c>
      <c r="K80" s="674" t="str">
        <f>INDEX('DEFAULT DATA'!$EK$9:$GP$41,K$21,$E80)</f>
        <v>-</v>
      </c>
      <c r="L80" s="674" t="str">
        <f>INDEX('DEFAULT DATA'!$EK$9:$GP$41,L$21,$E80)</f>
        <v>-</v>
      </c>
      <c r="M80" s="674" t="str">
        <f>INDEX('DEFAULT DATA'!$EK$9:$GP$41,M$21,$E80)</f>
        <v>-</v>
      </c>
      <c r="N80" s="674" t="str">
        <f>INDEX('DEFAULT DATA'!$EK$9:$GP$41,N$21,$E80)</f>
        <v>-</v>
      </c>
      <c r="O80" s="674" t="str">
        <f>INDEX('DEFAULT DATA'!$EK$9:$GP$41,O$21,$E80)</f>
        <v>-</v>
      </c>
      <c r="P80" s="674" t="str">
        <f>INDEX('DEFAULT DATA'!$EK$9:$GP$41,P$21,$E80)</f>
        <v>Ulm</v>
      </c>
      <c r="Q80" s="674" t="str">
        <f>INDEX('DEFAULT DATA'!$EK$9:$GP$41,Q$21,$E80)</f>
        <v>-</v>
      </c>
      <c r="R80" s="674" t="str">
        <f>INDEX('DEFAULT DATA'!$EK$9:$GP$41,R$21,$E80)</f>
        <v>-</v>
      </c>
      <c r="S80" s="674" t="str">
        <f>INDEX('DEFAULT DATA'!$EK$9:$GP$41,S$21,$E80)</f>
        <v>-</v>
      </c>
      <c r="T80" s="674" t="str">
        <f>INDEX('DEFAULT DATA'!$EK$9:$GP$41,T$21,$E80)</f>
        <v>-</v>
      </c>
      <c r="U80" s="674" t="str">
        <f>INDEX('DEFAULT DATA'!$EK$9:$GP$41,U$21,$E80)</f>
        <v>-</v>
      </c>
      <c r="V80" s="674" t="str">
        <f>INDEX('DEFAULT DATA'!$EK$9:$GP$41,V$21,$E80)</f>
        <v>-</v>
      </c>
      <c r="W80" s="674" t="str">
        <f>INDEX('DEFAULT DATA'!$EK$9:$GP$41,W$21,$E80)</f>
        <v>-</v>
      </c>
      <c r="X80" s="674" t="str">
        <f>INDEX('DEFAULT DATA'!$EK$9:$GP$41,X$21,$E80)</f>
        <v>-</v>
      </c>
      <c r="Y80" s="674" t="str">
        <f>INDEX('DEFAULT DATA'!$EK$9:$GP$41,Y$21,$E80)</f>
        <v>-</v>
      </c>
      <c r="Z80" s="674" t="str">
        <f>INDEX('DEFAULT DATA'!$EK$9:$GP$41,Z$21,$E80)</f>
        <v>-</v>
      </c>
      <c r="AA80" s="674" t="str">
        <f>INDEX('DEFAULT DATA'!$EK$9:$GP$41,AA$21,$E80)</f>
        <v>-</v>
      </c>
      <c r="AB80" s="674" t="str">
        <f>INDEX('DEFAULT DATA'!$EK$9:$GP$41,AB$21,$E80)</f>
        <v>-</v>
      </c>
      <c r="AC80" s="674" t="str">
        <f>INDEX('DEFAULT DATA'!$EK$9:$GP$41,AC$21,$E80)</f>
        <v>-</v>
      </c>
      <c r="AD80" s="674" t="str">
        <f>INDEX('DEFAULT DATA'!$EK$9:$GP$41,AD$21,$E80)</f>
        <v>-</v>
      </c>
      <c r="AE80" s="674" t="str">
        <f>INDEX('DEFAULT DATA'!$EK$9:$GP$41,AE$21,$E80)</f>
        <v>-</v>
      </c>
      <c r="AF80" s="674" t="str">
        <f>INDEX('DEFAULT DATA'!$EK$9:$GP$41,AF$21,$E80)</f>
        <v>-</v>
      </c>
      <c r="AG80" s="674" t="str">
        <f>INDEX('DEFAULT DATA'!$EK$9:$GP$41,AG$21,$E80)</f>
        <v>-</v>
      </c>
      <c r="AH80" s="674" t="str">
        <f>INDEX('DEFAULT DATA'!$EK$9:$GP$41,AH$21,$E80)</f>
        <v>-</v>
      </c>
      <c r="AI80" s="674" t="str">
        <f>INDEX('DEFAULT DATA'!$EK$9:$GP$41,AI$21,$E80)</f>
        <v>-</v>
      </c>
      <c r="AJ80" s="674" t="str">
        <f>INDEX('DEFAULT DATA'!$EK$9:$GP$41,AJ$21,$E80)</f>
        <v>-</v>
      </c>
      <c r="AK80" s="674" t="str">
        <f>INDEX('DEFAULT DATA'!$EK$9:$GP$41,AK$21,$E80)</f>
        <v>-</v>
      </c>
    </row>
    <row r="82" spans="5:37">
      <c r="F82" s="110">
        <v>1</v>
      </c>
      <c r="G82" s="110">
        <f>F82+1</f>
        <v>2</v>
      </c>
      <c r="H82" s="110">
        <f t="shared" ref="H82:AK82" si="5">G82+1</f>
        <v>3</v>
      </c>
      <c r="I82" s="110">
        <f t="shared" si="5"/>
        <v>4</v>
      </c>
      <c r="J82" s="110">
        <f t="shared" si="5"/>
        <v>5</v>
      </c>
      <c r="K82" s="110">
        <f t="shared" si="5"/>
        <v>6</v>
      </c>
      <c r="L82" s="110">
        <f t="shared" si="5"/>
        <v>7</v>
      </c>
      <c r="M82" s="110">
        <f t="shared" si="5"/>
        <v>8</v>
      </c>
      <c r="N82" s="110">
        <f t="shared" si="5"/>
        <v>9</v>
      </c>
      <c r="O82" s="110">
        <f t="shared" si="5"/>
        <v>10</v>
      </c>
      <c r="P82" s="110">
        <f t="shared" si="5"/>
        <v>11</v>
      </c>
      <c r="Q82" s="110">
        <f t="shared" si="5"/>
        <v>12</v>
      </c>
      <c r="R82" s="110">
        <f t="shared" si="5"/>
        <v>13</v>
      </c>
      <c r="S82" s="110">
        <f t="shared" si="5"/>
        <v>14</v>
      </c>
      <c r="T82" s="110">
        <f t="shared" si="5"/>
        <v>15</v>
      </c>
      <c r="U82" s="110">
        <f t="shared" si="5"/>
        <v>16</v>
      </c>
      <c r="V82" s="110">
        <f t="shared" si="5"/>
        <v>17</v>
      </c>
      <c r="W82" s="110">
        <f t="shared" si="5"/>
        <v>18</v>
      </c>
      <c r="X82" s="110">
        <f t="shared" si="5"/>
        <v>19</v>
      </c>
      <c r="Y82" s="110">
        <f t="shared" si="5"/>
        <v>20</v>
      </c>
      <c r="Z82" s="110">
        <f t="shared" si="5"/>
        <v>21</v>
      </c>
      <c r="AA82" s="110">
        <f t="shared" si="5"/>
        <v>22</v>
      </c>
      <c r="AB82" s="110">
        <f t="shared" si="5"/>
        <v>23</v>
      </c>
      <c r="AC82" s="110">
        <f t="shared" si="5"/>
        <v>24</v>
      </c>
      <c r="AD82" s="110">
        <f t="shared" si="5"/>
        <v>25</v>
      </c>
      <c r="AE82" s="110">
        <f t="shared" si="5"/>
        <v>26</v>
      </c>
      <c r="AF82" s="110">
        <f t="shared" si="5"/>
        <v>27</v>
      </c>
      <c r="AG82" s="110">
        <f t="shared" si="5"/>
        <v>28</v>
      </c>
      <c r="AH82" s="110">
        <f t="shared" si="5"/>
        <v>29</v>
      </c>
      <c r="AI82" s="110">
        <f t="shared" si="5"/>
        <v>30</v>
      </c>
      <c r="AJ82" s="110">
        <f t="shared" si="5"/>
        <v>31</v>
      </c>
      <c r="AK82" s="110">
        <f t="shared" si="5"/>
        <v>32</v>
      </c>
    </row>
    <row r="83" spans="5:37">
      <c r="F83" s="72" t="s">
        <v>1</v>
      </c>
      <c r="G83" s="72" t="s">
        <v>2</v>
      </c>
      <c r="H83" s="72" t="s">
        <v>3</v>
      </c>
      <c r="I83" s="72" t="s">
        <v>12</v>
      </c>
      <c r="J83" s="72" t="s">
        <v>4</v>
      </c>
      <c r="K83" s="72" t="s">
        <v>5</v>
      </c>
      <c r="L83" s="72" t="s">
        <v>6</v>
      </c>
      <c r="M83" s="72" t="s">
        <v>7</v>
      </c>
      <c r="N83" s="72" t="s">
        <v>0</v>
      </c>
      <c r="O83" s="72" t="s">
        <v>9</v>
      </c>
      <c r="P83" s="72" t="s">
        <v>27</v>
      </c>
      <c r="Q83" s="72" t="s">
        <v>10</v>
      </c>
      <c r="R83" s="72" t="s">
        <v>11</v>
      </c>
      <c r="S83" s="72" t="s">
        <v>29</v>
      </c>
      <c r="T83" s="72" t="s">
        <v>13</v>
      </c>
      <c r="U83" s="72" t="s">
        <v>14</v>
      </c>
      <c r="V83" s="72" t="s">
        <v>17</v>
      </c>
      <c r="W83" s="72" t="s">
        <v>32</v>
      </c>
      <c r="X83" s="72" t="s">
        <v>15</v>
      </c>
      <c r="Y83" s="72" t="s">
        <v>16</v>
      </c>
      <c r="Z83" s="72" t="s">
        <v>18</v>
      </c>
      <c r="AA83" s="72" t="s">
        <v>19</v>
      </c>
      <c r="AB83" s="72" t="s">
        <v>26</v>
      </c>
      <c r="AC83" s="72" t="s">
        <v>20</v>
      </c>
      <c r="AD83" s="72" t="s">
        <v>21</v>
      </c>
      <c r="AE83" s="72" t="s">
        <v>22</v>
      </c>
      <c r="AF83" s="72" t="s">
        <v>25</v>
      </c>
      <c r="AG83" s="72" t="s">
        <v>24</v>
      </c>
      <c r="AH83" s="72" t="s">
        <v>8</v>
      </c>
      <c r="AI83" s="72" t="s">
        <v>23</v>
      </c>
      <c r="AJ83" s="72" t="s">
        <v>30</v>
      </c>
      <c r="AK83" s="72" t="s">
        <v>28</v>
      </c>
    </row>
    <row r="84" spans="5:37">
      <c r="E84" s="61">
        <v>1</v>
      </c>
      <c r="F84" s="674">
        <f>INDEX('DEFAULT DATA'!$GQ$9:$IV$41,F$82,$E84)</f>
        <v>26.198123022348792</v>
      </c>
      <c r="G84" s="674">
        <f>INDEX('DEFAULT DATA'!$GQ$9:$IV$41,G$82,$E84)</f>
        <v>147.0363339712986</v>
      </c>
      <c r="H84" s="674">
        <f>INDEX('DEFAULT DATA'!$GQ$9:$IV$41,H$82,$E84)</f>
        <v>542.5</v>
      </c>
      <c r="I84" s="674">
        <f>INDEX('DEFAULT DATA'!$GQ$9:$IV$41,I$82,$E84)</f>
        <v>27.007734375000002</v>
      </c>
      <c r="J84" s="674">
        <f>INDEX('DEFAULT DATA'!$GQ$9:$IV$41,J$82,$E84)</f>
        <v>0</v>
      </c>
      <c r="K84" s="674">
        <f>INDEX('DEFAULT DATA'!$GQ$9:$IV$41,K$82,$E84)</f>
        <v>1790.8388941849378</v>
      </c>
      <c r="L84" s="674">
        <f>INDEX('DEFAULT DATA'!$GQ$9:$IV$41,L$82,$E84)</f>
        <v>176</v>
      </c>
      <c r="M84" s="674">
        <f>INDEX('DEFAULT DATA'!$GQ$9:$IV$41,M$82,$E84)</f>
        <v>68.468100000000035</v>
      </c>
      <c r="N84" s="674">
        <f>INDEX('DEFAULT DATA'!$GQ$9:$IV$41,N$82,$E84)</f>
        <v>280.59484193011644</v>
      </c>
      <c r="O84" s="674">
        <f>INDEX('DEFAULT DATA'!$GQ$9:$IV$41,O$82,$E84)</f>
        <v>89.018083837642934</v>
      </c>
      <c r="P84" s="674">
        <f>INDEX('DEFAULT DATA'!$GQ$9:$IV$41,P$82,$E84)</f>
        <v>114.54949465988102</v>
      </c>
      <c r="Q84" s="674">
        <f>INDEX('DEFAULT DATA'!$GQ$9:$IV$41,Q$82,$E84)</f>
        <v>844.27409026493683</v>
      </c>
      <c r="R84" s="674">
        <f>INDEX('DEFAULT DATA'!$GQ$9:$IV$41,R$82,$E84)</f>
        <v>1124.0713724463067</v>
      </c>
      <c r="S84" s="674">
        <f>INDEX('DEFAULT DATA'!$GQ$9:$IV$41,S$82,$E84)</f>
        <v>0</v>
      </c>
      <c r="T84" s="674">
        <f>INDEX('DEFAULT DATA'!$GQ$9:$IV$41,T$82,$E84)</f>
        <v>158.5</v>
      </c>
      <c r="U84" s="674">
        <f>INDEX('DEFAULT DATA'!$GQ$9:$IV$41,U$82,$E84)</f>
        <v>114.63064386855464</v>
      </c>
      <c r="V84" s="674">
        <f>INDEX('DEFAULT DATA'!$GQ$9:$IV$41,V$82,$E84)</f>
        <v>7.4067321178120622</v>
      </c>
      <c r="W84" s="674">
        <f>INDEX('DEFAULT DATA'!$GQ$9:$IV$41,W$82,$E84)</f>
        <v>0</v>
      </c>
      <c r="X84" s="674">
        <f>INDEX('DEFAULT DATA'!$GQ$9:$IV$41,X$82,$E84)</f>
        <v>0</v>
      </c>
      <c r="Y84" s="674">
        <f>INDEX('DEFAULT DATA'!$GQ$9:$IV$41,Y$82,$E84)</f>
        <v>96</v>
      </c>
      <c r="Z84" s="674">
        <f>INDEX('DEFAULT DATA'!$GQ$9:$IV$41,Z$82,$E84)</f>
        <v>0</v>
      </c>
      <c r="AA84" s="674">
        <f>INDEX('DEFAULT DATA'!$GQ$9:$IV$41,AA$82,$E84)</f>
        <v>154.61346863468634</v>
      </c>
      <c r="AB84" s="674">
        <f>INDEX('DEFAULT DATA'!$GQ$9:$IV$41,AB$82,$E84)</f>
        <v>61.900062460961898</v>
      </c>
      <c r="AC84" s="674">
        <f>INDEX('DEFAULT DATA'!$GQ$9:$IV$41,AC$82,$E84)</f>
        <v>66.792107790463731</v>
      </c>
      <c r="AD84" s="674">
        <f>INDEX('DEFAULT DATA'!$GQ$9:$IV$41,AD$82,$E84)</f>
        <v>50.176991150442475</v>
      </c>
      <c r="AE84" s="674">
        <f>INDEX('DEFAULT DATA'!$GQ$9:$IV$41,AE$82,$E84)</f>
        <v>564.18105823472854</v>
      </c>
      <c r="AF84" s="674">
        <f>INDEX('DEFAULT DATA'!$GQ$9:$IV$41,AF$82,$E84)</f>
        <v>60.752242622950831</v>
      </c>
      <c r="AG84" s="674">
        <f>INDEX('DEFAULT DATA'!$GQ$9:$IV$41,AG$82,$E84)</f>
        <v>0</v>
      </c>
      <c r="AH84" s="674">
        <f>INDEX('DEFAULT DATA'!$GQ$9:$IV$41,AH$82,$E84)</f>
        <v>1249.9647037307973</v>
      </c>
      <c r="AI84" s="674">
        <f>INDEX('DEFAULT DATA'!$GQ$9:$IV$41,AI$82,$E84)</f>
        <v>970.6101321585902</v>
      </c>
      <c r="AJ84" s="674">
        <f>INDEX('DEFAULT DATA'!$GQ$9:$IV$41,AJ$82,$E84)</f>
        <v>171.81727131092811</v>
      </c>
      <c r="AK84" s="674">
        <f>INDEX('DEFAULT DATA'!$GQ$9:$IV$41,AK$82,$E84)</f>
        <v>388.23957055214743</v>
      </c>
    </row>
    <row r="85" spans="5:37">
      <c r="E85" s="61">
        <f>E84+1</f>
        <v>2</v>
      </c>
      <c r="F85" s="674">
        <f>INDEX('DEFAULT DATA'!$GQ$9:$IV$41,F$82,$E85)</f>
        <v>681.15119858106868</v>
      </c>
      <c r="G85" s="674">
        <f>INDEX('DEFAULT DATA'!$GQ$9:$IV$41,G$82,$E85)</f>
        <v>138.86764875067092</v>
      </c>
      <c r="H85" s="674">
        <f>INDEX('DEFAULT DATA'!$GQ$9:$IV$41,H$82,$E85)</f>
        <v>0</v>
      </c>
      <c r="I85" s="674">
        <f>INDEX('DEFAULT DATA'!$GQ$9:$IV$41,I$82,$E85)</f>
        <v>261.074765625</v>
      </c>
      <c r="J85" s="674">
        <f>INDEX('DEFAULT DATA'!$GQ$9:$IV$41,J$82,$E85)</f>
        <v>0</v>
      </c>
      <c r="K85" s="674">
        <f>INDEX('DEFAULT DATA'!$GQ$9:$IV$41,K$82,$E85)</f>
        <v>550.04337464251671</v>
      </c>
      <c r="L85" s="674">
        <f>INDEX('DEFAULT DATA'!$GQ$9:$IV$41,L$82,$E85)</f>
        <v>0</v>
      </c>
      <c r="M85" s="674">
        <f>INDEX('DEFAULT DATA'!$GQ$9:$IV$41,M$82,$E85)</f>
        <v>0</v>
      </c>
      <c r="N85" s="674">
        <f>INDEX('DEFAULT DATA'!$GQ$9:$IV$41,N$82,$E85)</f>
        <v>46.76580698835275</v>
      </c>
      <c r="O85" s="674">
        <f>INDEX('DEFAULT DATA'!$GQ$9:$IV$41,O$82,$E85)</f>
        <v>19.540554988750891</v>
      </c>
      <c r="P85" s="674">
        <f>INDEX('DEFAULT DATA'!$GQ$9:$IV$41,P$82,$E85)</f>
        <v>19.932621317468286</v>
      </c>
      <c r="Q85" s="674">
        <f>INDEX('DEFAULT DATA'!$GQ$9:$IV$41,Q$82,$E85)</f>
        <v>0</v>
      </c>
      <c r="R85" s="674">
        <f>INDEX('DEFAULT DATA'!$GQ$9:$IV$41,R$82,$E85)</f>
        <v>31.204504976427451</v>
      </c>
      <c r="S85" s="674">
        <f>INDEX('DEFAULT DATA'!$GQ$9:$IV$41,S$82,$E85)</f>
        <v>0</v>
      </c>
      <c r="T85" s="674">
        <f>INDEX('DEFAULT DATA'!$GQ$9:$IV$41,T$82,$E85)</f>
        <v>0</v>
      </c>
      <c r="U85" s="674">
        <f>INDEX('DEFAULT DATA'!$GQ$9:$IV$41,U$82,$E85)</f>
        <v>110.04541811381245</v>
      </c>
      <c r="V85" s="674">
        <f>INDEX('DEFAULT DATA'!$GQ$9:$IV$41,V$82,$E85)</f>
        <v>2.044258064516129</v>
      </c>
      <c r="W85" s="674">
        <f>INDEX('DEFAULT DATA'!$GQ$9:$IV$41,W$82,$E85)</f>
        <v>0</v>
      </c>
      <c r="X85" s="674">
        <f>INDEX('DEFAULT DATA'!$GQ$9:$IV$41,X$82,$E85)</f>
        <v>0</v>
      </c>
      <c r="Y85" s="674">
        <f>INDEX('DEFAULT DATA'!$GQ$9:$IV$41,Y$82,$E85)</f>
        <v>0</v>
      </c>
      <c r="Z85" s="674">
        <f>INDEX('DEFAULT DATA'!$GQ$9:$IV$41,Z$82,$E85)</f>
        <v>0</v>
      </c>
      <c r="AA85" s="674">
        <f>INDEX('DEFAULT DATA'!$GQ$9:$IV$41,AA$82,$E85)</f>
        <v>144.049815498155</v>
      </c>
      <c r="AB85" s="674">
        <f>INDEX('DEFAULT DATA'!$GQ$9:$IV$41,AB$82,$E85)</f>
        <v>408.72704559650225</v>
      </c>
      <c r="AC85" s="674">
        <f>INDEX('DEFAULT DATA'!$GQ$9:$IV$41,AC$82,$E85)</f>
        <v>33.74034311064662</v>
      </c>
      <c r="AD85" s="674">
        <f>INDEX('DEFAULT DATA'!$GQ$9:$IV$41,AD$82,$E85)</f>
        <v>178.40707964601768</v>
      </c>
      <c r="AE85" s="674">
        <f>INDEX('DEFAULT DATA'!$GQ$9:$IV$41,AE$82,$E85)</f>
        <v>94.030176372454747</v>
      </c>
      <c r="AF85" s="674">
        <f>INDEX('DEFAULT DATA'!$GQ$9:$IV$41,AF$82,$E85)</f>
        <v>70.570786885245909</v>
      </c>
      <c r="AG85" s="674">
        <f>INDEX('DEFAULT DATA'!$GQ$9:$IV$41,AG$82,$E85)</f>
        <v>0</v>
      </c>
      <c r="AH85" s="674">
        <f>INDEX('DEFAULT DATA'!$GQ$9:$IV$41,AH$82,$E85)</f>
        <v>485.29919531821508</v>
      </c>
      <c r="AI85" s="674">
        <f>INDEX('DEFAULT DATA'!$GQ$9:$IV$41,AI$82,$E85)</f>
        <v>33.157488986784145</v>
      </c>
      <c r="AJ85" s="674">
        <f>INDEX('DEFAULT DATA'!$GQ$9:$IV$41,AJ$82,$E85)</f>
        <v>87.346984197640779</v>
      </c>
      <c r="AK85" s="674">
        <f>INDEX('DEFAULT DATA'!$GQ$9:$IV$41,AK$82,$E85)</f>
        <v>86.2754601226994</v>
      </c>
    </row>
    <row r="86" spans="5:37">
      <c r="E86" s="61">
        <f t="shared" ref="E86:E141" si="6">E85+1</f>
        <v>3</v>
      </c>
      <c r="F86" s="674">
        <f>INDEX('DEFAULT DATA'!$GQ$9:$IV$41,F$82,$E86)</f>
        <v>222.11452127643543</v>
      </c>
      <c r="G86" s="674">
        <f>INDEX('DEFAULT DATA'!$GQ$9:$IV$41,G$82,$E86)</f>
        <v>283.65759428629696</v>
      </c>
      <c r="H86" s="674">
        <f>INDEX('DEFAULT DATA'!$GQ$9:$IV$41,H$82,$E86)</f>
        <v>0</v>
      </c>
      <c r="I86" s="674">
        <f>INDEX('DEFAULT DATA'!$GQ$9:$IV$41,I$82,$E86)</f>
        <v>0</v>
      </c>
      <c r="J86" s="674">
        <f>INDEX('DEFAULT DATA'!$GQ$9:$IV$41,J$82,$E86)</f>
        <v>0</v>
      </c>
      <c r="K86" s="674">
        <f>INDEX('DEFAULT DATA'!$GQ$9:$IV$41,K$82,$E86)</f>
        <v>475.85147759771218</v>
      </c>
      <c r="L86" s="674">
        <f>INDEX('DEFAULT DATA'!$GQ$9:$IV$41,L$82,$E86)</f>
        <v>0</v>
      </c>
      <c r="M86" s="674">
        <f>INDEX('DEFAULT DATA'!$GQ$9:$IV$41,M$82,$E86)</f>
        <v>0</v>
      </c>
      <c r="N86" s="674">
        <f>INDEX('DEFAULT DATA'!$GQ$9:$IV$41,N$82,$E86)</f>
        <v>0</v>
      </c>
      <c r="O86" s="674">
        <f>INDEX('DEFAULT DATA'!$GQ$9:$IV$41,O$82,$E86)</f>
        <v>37.633661459816523</v>
      </c>
      <c r="P86" s="674">
        <f>INDEX('DEFAULT DATA'!$GQ$9:$IV$41,P$82,$E86)</f>
        <v>479.39215826822448</v>
      </c>
      <c r="Q86" s="674">
        <f>INDEX('DEFAULT DATA'!$GQ$9:$IV$41,Q$82,$E86)</f>
        <v>0</v>
      </c>
      <c r="R86" s="674">
        <f>INDEX('DEFAULT DATA'!$GQ$9:$IV$41,R$82,$E86)</f>
        <v>81.557228915662648</v>
      </c>
      <c r="S86" s="674">
        <f>INDEX('DEFAULT DATA'!$GQ$9:$IV$41,S$82,$E86)</f>
        <v>0</v>
      </c>
      <c r="T86" s="674">
        <f>INDEX('DEFAULT DATA'!$GQ$9:$IV$41,T$82,$E86)</f>
        <v>0</v>
      </c>
      <c r="U86" s="674">
        <f>INDEX('DEFAULT DATA'!$GQ$9:$IV$41,U$82,$E86)</f>
        <v>69.695431472081225</v>
      </c>
      <c r="V86" s="674">
        <f>INDEX('DEFAULT DATA'!$GQ$9:$IV$41,V$82,$E86)</f>
        <v>53.921009817671809</v>
      </c>
      <c r="W86" s="674">
        <f>INDEX('DEFAULT DATA'!$GQ$9:$IV$41,W$82,$E86)</f>
        <v>0</v>
      </c>
      <c r="X86" s="674">
        <f>INDEX('DEFAULT DATA'!$GQ$9:$IV$41,X$82,$E86)</f>
        <v>0</v>
      </c>
      <c r="Y86" s="674">
        <f>INDEX('DEFAULT DATA'!$GQ$9:$IV$41,Y$82,$E86)</f>
        <v>0</v>
      </c>
      <c r="Z86" s="674">
        <f>INDEX('DEFAULT DATA'!$GQ$9:$IV$41,Z$82,$E86)</f>
        <v>0</v>
      </c>
      <c r="AA86" s="674">
        <f>INDEX('DEFAULT DATA'!$GQ$9:$IV$41,AA$82,$E86)</f>
        <v>201.66974169741701</v>
      </c>
      <c r="AB86" s="674">
        <f>INDEX('DEFAULT DATA'!$GQ$9:$IV$41,AB$82,$E86)</f>
        <v>27.372891942535922</v>
      </c>
      <c r="AC86" s="674">
        <f>INDEX('DEFAULT DATA'!$GQ$9:$IV$41,AC$82,$E86)</f>
        <v>34.428921541476143</v>
      </c>
      <c r="AD86" s="674">
        <f>INDEX('DEFAULT DATA'!$GQ$9:$IV$41,AD$82,$E86)</f>
        <v>260.17699115044246</v>
      </c>
      <c r="AE86" s="674">
        <f>INDEX('DEFAULT DATA'!$GQ$9:$IV$41,AE$82,$E86)</f>
        <v>266.81062545684028</v>
      </c>
      <c r="AF86" s="674">
        <f>INDEX('DEFAULT DATA'!$GQ$9:$IV$41,AF$82,$E86)</f>
        <v>9.0514704918032809</v>
      </c>
      <c r="AG86" s="674">
        <f>INDEX('DEFAULT DATA'!$GQ$9:$IV$41,AG$82,$E86)</f>
        <v>0</v>
      </c>
      <c r="AH86" s="674">
        <f>INDEX('DEFAULT DATA'!$GQ$9:$IV$41,AH$82,$E86)</f>
        <v>89.397220190197501</v>
      </c>
      <c r="AI86" s="674">
        <f>INDEX('DEFAULT DATA'!$GQ$9:$IV$41,AI$82,$E86)</f>
        <v>126.60132158590309</v>
      </c>
      <c r="AJ86" s="674">
        <f>INDEX('DEFAULT DATA'!$GQ$9:$IV$41,AJ$82,$E86)</f>
        <v>94.146450033385278</v>
      </c>
      <c r="AK86" s="674">
        <f>INDEX('DEFAULT DATA'!$GQ$9:$IV$41,AK$82,$E86)</f>
        <v>301.96411042944789</v>
      </c>
    </row>
    <row r="87" spans="5:37">
      <c r="E87" s="61">
        <f t="shared" si="6"/>
        <v>4</v>
      </c>
      <c r="F87" s="674">
        <f>INDEX('DEFAULT DATA'!$GQ$9:$IV$41,F$82,$E87)</f>
        <v>305.26508565171645</v>
      </c>
      <c r="G87" s="674">
        <f>INDEX('DEFAULT DATA'!$GQ$9:$IV$41,G$82,$E87)</f>
        <v>67.391653070178521</v>
      </c>
      <c r="H87" s="674">
        <f>INDEX('DEFAULT DATA'!$GQ$9:$IV$41,H$82,$E87)</f>
        <v>0</v>
      </c>
      <c r="I87" s="674">
        <f>INDEX('DEFAULT DATA'!$GQ$9:$IV$41,I$82,$E87)</f>
        <v>0</v>
      </c>
      <c r="J87" s="674">
        <f>INDEX('DEFAULT DATA'!$GQ$9:$IV$41,J$82,$E87)</f>
        <v>0</v>
      </c>
      <c r="K87" s="674">
        <f>INDEX('DEFAULT DATA'!$GQ$9:$IV$41,K$82,$E87)</f>
        <v>347.93441372735936</v>
      </c>
      <c r="L87" s="674">
        <f>INDEX('DEFAULT DATA'!$GQ$9:$IV$41,L$82,$E87)</f>
        <v>0</v>
      </c>
      <c r="M87" s="674">
        <f>INDEX('DEFAULT DATA'!$GQ$9:$IV$41,M$82,$E87)</f>
        <v>0</v>
      </c>
      <c r="N87" s="674">
        <f>INDEX('DEFAULT DATA'!$GQ$9:$IV$41,N$82,$E87)</f>
        <v>0</v>
      </c>
      <c r="O87" s="674">
        <f>INDEX('DEFAULT DATA'!$GQ$9:$IV$41,O$82,$E87)</f>
        <v>104.9400175321807</v>
      </c>
      <c r="P87" s="674">
        <f>INDEX('DEFAULT DATA'!$GQ$9:$IV$41,P$82,$E87)</f>
        <v>93.103003368934125</v>
      </c>
      <c r="Q87" s="674">
        <f>INDEX('DEFAULT DATA'!$GQ$9:$IV$41,Q$82,$E87)</f>
        <v>0</v>
      </c>
      <c r="R87" s="674">
        <f>INDEX('DEFAULT DATA'!$GQ$9:$IV$41,R$82,$E87)</f>
        <v>117.01689366160291</v>
      </c>
      <c r="S87" s="674">
        <f>INDEX('DEFAULT DATA'!$GQ$9:$IV$41,S$82,$E87)</f>
        <v>0</v>
      </c>
      <c r="T87" s="674">
        <f>INDEX('DEFAULT DATA'!$GQ$9:$IV$41,T$82,$E87)</f>
        <v>0</v>
      </c>
      <c r="U87" s="674">
        <f>INDEX('DEFAULT DATA'!$GQ$9:$IV$41,U$82,$E87)</f>
        <v>70.612476623029664</v>
      </c>
      <c r="V87" s="674">
        <f>INDEX('DEFAULT DATA'!$GQ$9:$IV$41,V$82,$E87)</f>
        <v>0</v>
      </c>
      <c r="W87" s="674">
        <f>INDEX('DEFAULT DATA'!$GQ$9:$IV$41,W$82,$E87)</f>
        <v>0</v>
      </c>
      <c r="X87" s="674">
        <f>INDEX('DEFAULT DATA'!$GQ$9:$IV$41,X$82,$E87)</f>
        <v>0</v>
      </c>
      <c r="Y87" s="674">
        <f>INDEX('DEFAULT DATA'!$GQ$9:$IV$41,Y$82,$E87)</f>
        <v>0</v>
      </c>
      <c r="Z87" s="674">
        <f>INDEX('DEFAULT DATA'!$GQ$9:$IV$41,Z$82,$E87)</f>
        <v>0</v>
      </c>
      <c r="AA87" s="674">
        <f>INDEX('DEFAULT DATA'!$GQ$9:$IV$41,AA$82,$E87)</f>
        <v>20.166974169741696</v>
      </c>
      <c r="AB87" s="674">
        <f>INDEX('DEFAULT DATA'!$GQ$9:$IV$41,AB$82,$E87)</f>
        <v>0</v>
      </c>
      <c r="AC87" s="674">
        <f>INDEX('DEFAULT DATA'!$GQ$9:$IV$41,AC$82,$E87)</f>
        <v>119.81264696433699</v>
      </c>
      <c r="AD87" s="674">
        <f>INDEX('DEFAULT DATA'!$GQ$9:$IV$41,AD$82,$E87)</f>
        <v>52.035398230088497</v>
      </c>
      <c r="AE87" s="674">
        <f>INDEX('DEFAULT DATA'!$GQ$9:$IV$41,AE$82,$E87)</f>
        <v>1680.7894026576284</v>
      </c>
      <c r="AF87" s="674">
        <f>INDEX('DEFAULT DATA'!$GQ$9:$IV$41,AF$82,$E87)</f>
        <v>0</v>
      </c>
      <c r="AG87" s="674">
        <f>INDEX('DEFAULT DATA'!$GQ$9:$IV$41,AG$82,$E87)</f>
        <v>0</v>
      </c>
      <c r="AH87" s="674">
        <f>INDEX('DEFAULT DATA'!$GQ$9:$IV$41,AH$82,$E87)</f>
        <v>253.82425018288222</v>
      </c>
      <c r="AI87" s="674">
        <f>INDEX('DEFAULT DATA'!$GQ$9:$IV$41,AI$82,$E87)</f>
        <v>238.13105726872246</v>
      </c>
      <c r="AJ87" s="674">
        <f>INDEX('DEFAULT DATA'!$GQ$9:$IV$41,AJ$82,$E87)</f>
        <v>20.398397507233476</v>
      </c>
      <c r="AK87" s="674">
        <f>INDEX('DEFAULT DATA'!$GQ$9:$IV$41,AK$82,$E87)</f>
        <v>647.06595092024543</v>
      </c>
    </row>
    <row r="88" spans="5:37">
      <c r="E88" s="61">
        <f t="shared" si="6"/>
        <v>5</v>
      </c>
      <c r="F88" s="674">
        <f>INDEX('DEFAULT DATA'!$GQ$9:$IV$41,F$82,$E88)</f>
        <v>2014.9773750667403</v>
      </c>
      <c r="G88" s="674">
        <f>INDEX('DEFAULT DATA'!$GQ$9:$IV$41,G$82,$E88)</f>
        <v>61.265139154707754</v>
      </c>
      <c r="H88" s="674">
        <f>INDEX('DEFAULT DATA'!$GQ$9:$IV$41,H$82,$E88)</f>
        <v>0</v>
      </c>
      <c r="I88" s="674">
        <f>INDEX('DEFAULT DATA'!$GQ$9:$IV$41,I$82,$E88)</f>
        <v>0</v>
      </c>
      <c r="J88" s="674">
        <f>INDEX('DEFAULT DATA'!$GQ$9:$IV$41,J$82,$E88)</f>
        <v>0</v>
      </c>
      <c r="K88" s="674">
        <f>INDEX('DEFAULT DATA'!$GQ$9:$IV$41,K$82,$E88)</f>
        <v>1680.8302192564347</v>
      </c>
      <c r="L88" s="674">
        <f>INDEX('DEFAULT DATA'!$GQ$9:$IV$41,L$82,$E88)</f>
        <v>0</v>
      </c>
      <c r="M88" s="674">
        <f>INDEX('DEFAULT DATA'!$GQ$9:$IV$41,M$82,$E88)</f>
        <v>0</v>
      </c>
      <c r="N88" s="674">
        <f>INDEX('DEFAULT DATA'!$GQ$9:$IV$41,N$82,$E88)</f>
        <v>0</v>
      </c>
      <c r="O88" s="674">
        <f>INDEX('DEFAULT DATA'!$GQ$9:$IV$41,O$82,$E88)</f>
        <v>478.3817350949754</v>
      </c>
      <c r="P88" s="674">
        <f>INDEX('DEFAULT DATA'!$GQ$9:$IV$41,P$82,$E88)</f>
        <v>37.846749336965097</v>
      </c>
      <c r="Q88" s="674">
        <f>INDEX('DEFAULT DATA'!$GQ$9:$IV$41,Q$82,$E88)</f>
        <v>0</v>
      </c>
      <c r="R88" s="674">
        <f>INDEX('DEFAULT DATA'!$GQ$9:$IV$41,R$82,$E88)</f>
        <v>0</v>
      </c>
      <c r="S88" s="674">
        <f>INDEX('DEFAULT DATA'!$GQ$9:$IV$41,S$82,$E88)</f>
        <v>0</v>
      </c>
      <c r="T88" s="674">
        <f>INDEX('DEFAULT DATA'!$GQ$9:$IV$41,T$82,$E88)</f>
        <v>0</v>
      </c>
      <c r="U88" s="674">
        <f>INDEX('DEFAULT DATA'!$GQ$9:$IV$41,U$82,$E88)</f>
        <v>57.773844509751541</v>
      </c>
      <c r="V88" s="674">
        <f>INDEX('DEFAULT DATA'!$GQ$9:$IV$41,V$82,$E88)</f>
        <v>0</v>
      </c>
      <c r="W88" s="674">
        <f>INDEX('DEFAULT DATA'!$GQ$9:$IV$41,W$82,$E88)</f>
        <v>0</v>
      </c>
      <c r="X88" s="674">
        <f>INDEX('DEFAULT DATA'!$GQ$9:$IV$41,X$82,$E88)</f>
        <v>0</v>
      </c>
      <c r="Y88" s="674">
        <f>INDEX('DEFAULT DATA'!$GQ$9:$IV$41,Y$82,$E88)</f>
        <v>0</v>
      </c>
      <c r="Z88" s="674">
        <f>INDEX('DEFAULT DATA'!$GQ$9:$IV$41,Z$82,$E88)</f>
        <v>0</v>
      </c>
      <c r="AA88" s="674">
        <f>INDEX('DEFAULT DATA'!$GQ$9:$IV$41,AA$82,$E88)</f>
        <v>0</v>
      </c>
      <c r="AB88" s="674">
        <f>INDEX('DEFAULT DATA'!$GQ$9:$IV$41,AB$82,$E88)</f>
        <v>0</v>
      </c>
      <c r="AC88" s="674">
        <f>INDEX('DEFAULT DATA'!$GQ$9:$IV$41,AC$82,$E88)</f>
        <v>57.381535902460243</v>
      </c>
      <c r="AD88" s="674">
        <f>INDEX('DEFAULT DATA'!$GQ$9:$IV$41,AD$82,$E88)</f>
        <v>47.203539823008846</v>
      </c>
      <c r="AE88" s="674">
        <f>INDEX('DEFAULT DATA'!$GQ$9:$IV$41,AE$82,$E88)</f>
        <v>141.04526455868213</v>
      </c>
      <c r="AF88" s="674">
        <f>INDEX('DEFAULT DATA'!$GQ$9:$IV$41,AF$82,$E88)</f>
        <v>0</v>
      </c>
      <c r="AG88" s="674">
        <f>INDEX('DEFAULT DATA'!$GQ$9:$IV$41,AG$82,$E88)</f>
        <v>0</v>
      </c>
      <c r="AH88" s="674">
        <f>INDEX('DEFAULT DATA'!$GQ$9:$IV$41,AH$82,$E88)</f>
        <v>443.79334308705199</v>
      </c>
      <c r="AI88" s="674">
        <f>INDEX('DEFAULT DATA'!$GQ$9:$IV$41,AI$82,$E88)</f>
        <v>0</v>
      </c>
      <c r="AJ88" s="674">
        <f>INDEX('DEFAULT DATA'!$GQ$9:$IV$41,AJ$82,$E88)</f>
        <v>23.144335633207209</v>
      </c>
      <c r="AK88" s="674">
        <f>INDEX('DEFAULT DATA'!$GQ$9:$IV$41,AK$82,$E88)</f>
        <v>2609.8326687116569</v>
      </c>
    </row>
    <row r="89" spans="5:37">
      <c r="E89" s="61">
        <f t="shared" si="6"/>
        <v>6</v>
      </c>
      <c r="F89" s="674">
        <f>INDEX('DEFAULT DATA'!$GQ$9:$IV$41,F$82,$E89)</f>
        <v>346.27084342582765</v>
      </c>
      <c r="G89" s="674">
        <f>INDEX('DEFAULT DATA'!$GQ$9:$IV$41,G$82,$E89)</f>
        <v>0</v>
      </c>
      <c r="H89" s="674">
        <f>INDEX('DEFAULT DATA'!$GQ$9:$IV$41,H$82,$E89)</f>
        <v>0</v>
      </c>
      <c r="I89" s="674">
        <f>INDEX('DEFAULT DATA'!$GQ$9:$IV$41,I$82,$E89)</f>
        <v>0</v>
      </c>
      <c r="J89" s="674">
        <f>INDEX('DEFAULT DATA'!$GQ$9:$IV$41,J$82,$E89)</f>
        <v>0</v>
      </c>
      <c r="K89" s="674">
        <f>INDEX('DEFAULT DATA'!$GQ$9:$IV$41,K$82,$E89)</f>
        <v>521.90162059103898</v>
      </c>
      <c r="L89" s="674">
        <f>INDEX('DEFAULT DATA'!$GQ$9:$IV$41,L$82,$E89)</f>
        <v>0</v>
      </c>
      <c r="M89" s="674">
        <f>INDEX('DEFAULT DATA'!$GQ$9:$IV$41,M$82,$E89)</f>
        <v>0</v>
      </c>
      <c r="N89" s="674">
        <f>INDEX('DEFAULT DATA'!$GQ$9:$IV$41,N$82,$E89)</f>
        <v>0</v>
      </c>
      <c r="O89" s="674">
        <f>INDEX('DEFAULT DATA'!$GQ$9:$IV$41,O$82,$E89)</f>
        <v>103.49256901449546</v>
      </c>
      <c r="P89" s="674">
        <f>INDEX('DEFAULT DATA'!$GQ$9:$IV$41,P$82,$E89)</f>
        <v>211.94179628700454</v>
      </c>
      <c r="Q89" s="674">
        <f>INDEX('DEFAULT DATA'!$GQ$9:$IV$41,Q$82,$E89)</f>
        <v>0</v>
      </c>
      <c r="R89" s="674">
        <f>INDEX('DEFAULT DATA'!$GQ$9:$IV$41,R$82,$E89)</f>
        <v>0</v>
      </c>
      <c r="S89" s="674">
        <f>INDEX('DEFAULT DATA'!$GQ$9:$IV$41,S$82,$E89)</f>
        <v>0</v>
      </c>
      <c r="T89" s="674">
        <f>INDEX('DEFAULT DATA'!$GQ$9:$IV$41,T$82,$E89)</f>
        <v>0</v>
      </c>
      <c r="U89" s="674">
        <f>INDEX('DEFAULT DATA'!$GQ$9:$IV$41,U$82,$E89)</f>
        <v>1667.1880844242587</v>
      </c>
      <c r="V89" s="674">
        <f>INDEX('DEFAULT DATA'!$GQ$9:$IV$41,V$82,$E89)</f>
        <v>0</v>
      </c>
      <c r="W89" s="674">
        <f>INDEX('DEFAULT DATA'!$GQ$9:$IV$41,W$82,$E89)</f>
        <v>0</v>
      </c>
      <c r="X89" s="674">
        <f>INDEX('DEFAULT DATA'!$GQ$9:$IV$41,X$82,$E89)</f>
        <v>0</v>
      </c>
      <c r="Y89" s="674">
        <f>INDEX('DEFAULT DATA'!$GQ$9:$IV$41,Y$82,$E89)</f>
        <v>0</v>
      </c>
      <c r="Z89" s="674">
        <f>INDEX('DEFAULT DATA'!$GQ$9:$IV$41,Z$82,$E89)</f>
        <v>0</v>
      </c>
      <c r="AA89" s="674">
        <f>INDEX('DEFAULT DATA'!$GQ$9:$IV$41,AA$82,$E89)</f>
        <v>0</v>
      </c>
      <c r="AB89" s="674">
        <f>INDEX('DEFAULT DATA'!$GQ$9:$IV$41,AB$82,$E89)</f>
        <v>0</v>
      </c>
      <c r="AC89" s="674">
        <f>INDEX('DEFAULT DATA'!$GQ$9:$IV$41,AC$82,$E89)</f>
        <v>20.657352924885686</v>
      </c>
      <c r="AD89" s="674">
        <f>INDEX('DEFAULT DATA'!$GQ$9:$IV$41,AD$82,$E89)</f>
        <v>0</v>
      </c>
      <c r="AE89" s="674">
        <f>INDEX('DEFAULT DATA'!$GQ$9:$IV$41,AE$82,$E89)</f>
        <v>196.28799317749932</v>
      </c>
      <c r="AF89" s="674">
        <f>INDEX('DEFAULT DATA'!$GQ$9:$IV$41,AF$82,$E89)</f>
        <v>0</v>
      </c>
      <c r="AG89" s="674">
        <f>INDEX('DEFAULT DATA'!$GQ$9:$IV$41,AG$82,$E89)</f>
        <v>0</v>
      </c>
      <c r="AH89" s="674">
        <f>INDEX('DEFAULT DATA'!$GQ$9:$IV$41,AH$82,$E89)</f>
        <v>279.36631309436723</v>
      </c>
      <c r="AI89" s="674">
        <f>INDEX('DEFAULT DATA'!$GQ$9:$IV$41,AI$82,$E89)</f>
        <v>0</v>
      </c>
      <c r="AJ89" s="674">
        <f>INDEX('DEFAULT DATA'!$GQ$9:$IV$41,AJ$82,$E89)</f>
        <v>190.64656131760518</v>
      </c>
      <c r="AK89" s="674">
        <f>INDEX('DEFAULT DATA'!$GQ$9:$IV$41,AK$82,$E89)</f>
        <v>905.89233128834394</v>
      </c>
    </row>
    <row r="90" spans="5:37">
      <c r="E90" s="61">
        <f t="shared" si="6"/>
        <v>7</v>
      </c>
      <c r="F90" s="674">
        <f>INDEX('DEFAULT DATA'!$GQ$9:$IV$41,F$82,$E90)</f>
        <v>0</v>
      </c>
      <c r="G90" s="674">
        <f>INDEX('DEFAULT DATA'!$GQ$9:$IV$41,G$82,$E90)</f>
        <v>0</v>
      </c>
      <c r="H90" s="674">
        <f>INDEX('DEFAULT DATA'!$GQ$9:$IV$41,H$82,$E90)</f>
        <v>0</v>
      </c>
      <c r="I90" s="674">
        <f>INDEX('DEFAULT DATA'!$GQ$9:$IV$41,I$82,$E90)</f>
        <v>0</v>
      </c>
      <c r="J90" s="674">
        <f>INDEX('DEFAULT DATA'!$GQ$9:$IV$41,J$82,$E90)</f>
        <v>0</v>
      </c>
      <c r="K90" s="674">
        <f>INDEX('DEFAULT DATA'!$GQ$9:$IV$41,K$82,$E90)</f>
        <v>0</v>
      </c>
      <c r="L90" s="674">
        <f>INDEX('DEFAULT DATA'!$GQ$9:$IV$41,L$82,$E90)</f>
        <v>0</v>
      </c>
      <c r="M90" s="674">
        <f>INDEX('DEFAULT DATA'!$GQ$9:$IV$41,M$82,$E90)</f>
        <v>0</v>
      </c>
      <c r="N90" s="674">
        <f>INDEX('DEFAULT DATA'!$GQ$9:$IV$41,N$82,$E90)</f>
        <v>0</v>
      </c>
      <c r="O90" s="674">
        <f>INDEX('DEFAULT DATA'!$GQ$9:$IV$41,O$82,$E90)</f>
        <v>117.24332993250532</v>
      </c>
      <c r="P90" s="674">
        <f>INDEX('DEFAULT DATA'!$GQ$9:$IV$41,P$82,$E90)</f>
        <v>241.71457243208371</v>
      </c>
      <c r="Q90" s="674">
        <f>INDEX('DEFAULT DATA'!$GQ$9:$IV$41,Q$82,$E90)</f>
        <v>0</v>
      </c>
      <c r="R90" s="674">
        <f>INDEX('DEFAULT DATA'!$GQ$9:$IV$41,R$82,$E90)</f>
        <v>0</v>
      </c>
      <c r="S90" s="674">
        <f>INDEX('DEFAULT DATA'!$GQ$9:$IV$41,S$82,$E90)</f>
        <v>0</v>
      </c>
      <c r="T90" s="674">
        <f>INDEX('DEFAULT DATA'!$GQ$9:$IV$41,T$82,$E90)</f>
        <v>0</v>
      </c>
      <c r="U90" s="674">
        <f>INDEX('DEFAULT DATA'!$GQ$9:$IV$41,U$82,$E90)</f>
        <v>108.21132781191555</v>
      </c>
      <c r="V90" s="674">
        <f>INDEX('DEFAULT DATA'!$GQ$9:$IV$41,V$82,$E90)</f>
        <v>0</v>
      </c>
      <c r="W90" s="674">
        <f>INDEX('DEFAULT DATA'!$GQ$9:$IV$41,W$82,$E90)</f>
        <v>0</v>
      </c>
      <c r="X90" s="674">
        <f>INDEX('DEFAULT DATA'!$GQ$9:$IV$41,X$82,$E90)</f>
        <v>0</v>
      </c>
      <c r="Y90" s="674">
        <f>INDEX('DEFAULT DATA'!$GQ$9:$IV$41,Y$82,$E90)</f>
        <v>0</v>
      </c>
      <c r="Z90" s="674">
        <f>INDEX('DEFAULT DATA'!$GQ$9:$IV$41,Z$82,$E90)</f>
        <v>0</v>
      </c>
      <c r="AA90" s="674">
        <f>INDEX('DEFAULT DATA'!$GQ$9:$IV$41,AA$82,$E90)</f>
        <v>0</v>
      </c>
      <c r="AB90" s="674">
        <f>INDEX('DEFAULT DATA'!$GQ$9:$IV$41,AB$82,$E90)</f>
        <v>0</v>
      </c>
      <c r="AC90" s="674">
        <f>INDEX('DEFAULT DATA'!$GQ$9:$IV$41,AC$82,$E90)</f>
        <v>409.47464019995635</v>
      </c>
      <c r="AD90" s="674">
        <f>INDEX('DEFAULT DATA'!$GQ$9:$IV$41,AD$82,$E90)</f>
        <v>0</v>
      </c>
      <c r="AE90" s="674">
        <f>INDEX('DEFAULT DATA'!$GQ$9:$IV$41,AE$82,$E90)</f>
        <v>239.77694974975961</v>
      </c>
      <c r="AF90" s="674">
        <f>INDEX('DEFAULT DATA'!$GQ$9:$IV$41,AF$82,$E90)</f>
        <v>0</v>
      </c>
      <c r="AG90" s="674">
        <f>INDEX('DEFAULT DATA'!$GQ$9:$IV$41,AG$82,$E90)</f>
        <v>0</v>
      </c>
      <c r="AH90" s="674">
        <f>INDEX('DEFAULT DATA'!$GQ$9:$IV$41,AH$82,$E90)</f>
        <v>132.49945135332848</v>
      </c>
      <c r="AI90" s="674">
        <f>INDEX('DEFAULT DATA'!$GQ$9:$IV$41,AI$82,$E90)</f>
        <v>0</v>
      </c>
      <c r="AJ90" s="674">
        <f>INDEX('DEFAULT DATA'!$GQ$9:$IV$41,AJ$82,$E90)</f>
        <v>0</v>
      </c>
      <c r="AK90" s="674">
        <f>INDEX('DEFAULT DATA'!$GQ$9:$IV$41,AK$82,$E90)</f>
        <v>625.4970858895706</v>
      </c>
    </row>
    <row r="91" spans="5:37">
      <c r="E91" s="61">
        <f t="shared" si="6"/>
        <v>8</v>
      </c>
      <c r="F91" s="674">
        <f>INDEX('DEFAULT DATA'!$GQ$9:$IV$41,F$82,$E91)</f>
        <v>0</v>
      </c>
      <c r="G91" s="674">
        <f>INDEX('DEFAULT DATA'!$GQ$9:$IV$41,G$82,$E91)</f>
        <v>0</v>
      </c>
      <c r="H91" s="674">
        <f>INDEX('DEFAULT DATA'!$GQ$9:$IV$41,H$82,$E91)</f>
        <v>0</v>
      </c>
      <c r="I91" s="674">
        <f>INDEX('DEFAULT DATA'!$GQ$9:$IV$41,I$82,$E91)</f>
        <v>0</v>
      </c>
      <c r="J91" s="674">
        <f>INDEX('DEFAULT DATA'!$GQ$9:$IV$41,J$82,$E91)</f>
        <v>0</v>
      </c>
      <c r="K91" s="674">
        <f>INDEX('DEFAULT DATA'!$GQ$9:$IV$41,K$82,$E91)</f>
        <v>0</v>
      </c>
      <c r="L91" s="674">
        <f>INDEX('DEFAULT DATA'!$GQ$9:$IV$41,L$82,$E91)</f>
        <v>0</v>
      </c>
      <c r="M91" s="674">
        <f>INDEX('DEFAULT DATA'!$GQ$9:$IV$41,M$82,$E91)</f>
        <v>0</v>
      </c>
      <c r="N91" s="674">
        <f>INDEX('DEFAULT DATA'!$GQ$9:$IV$41,N$82,$E91)</f>
        <v>0</v>
      </c>
      <c r="O91" s="674">
        <f>INDEX('DEFAULT DATA'!$GQ$9:$IV$41,O$82,$E91)</f>
        <v>102.76884475565281</v>
      </c>
      <c r="P91" s="674">
        <f>INDEX('DEFAULT DATA'!$GQ$9:$IV$41,P$82,$E91)</f>
        <v>74.431940362698029</v>
      </c>
      <c r="Q91" s="674">
        <f>INDEX('DEFAULT DATA'!$GQ$9:$IV$41,Q$82,$E91)</f>
        <v>0</v>
      </c>
      <c r="R91" s="674">
        <f>INDEX('DEFAULT DATA'!$GQ$9:$IV$41,R$82,$E91)</f>
        <v>0</v>
      </c>
      <c r="S91" s="674">
        <f>INDEX('DEFAULT DATA'!$GQ$9:$IV$41,S$82,$E91)</f>
        <v>0</v>
      </c>
      <c r="T91" s="674">
        <f>INDEX('DEFAULT DATA'!$GQ$9:$IV$41,T$82,$E91)</f>
        <v>0</v>
      </c>
      <c r="U91" s="674">
        <f>INDEX('DEFAULT DATA'!$GQ$9:$IV$41,U$82,$E91)</f>
        <v>95.372695698637457</v>
      </c>
      <c r="V91" s="674">
        <f>INDEX('DEFAULT DATA'!$GQ$9:$IV$41,V$82,$E91)</f>
        <v>0</v>
      </c>
      <c r="W91" s="674">
        <f>INDEX('DEFAULT DATA'!$GQ$9:$IV$41,W$82,$E91)</f>
        <v>0</v>
      </c>
      <c r="X91" s="674">
        <f>INDEX('DEFAULT DATA'!$GQ$9:$IV$41,X$82,$E91)</f>
        <v>0</v>
      </c>
      <c r="Y91" s="674">
        <f>INDEX('DEFAULT DATA'!$GQ$9:$IV$41,Y$82,$E91)</f>
        <v>0</v>
      </c>
      <c r="Z91" s="674">
        <f>INDEX('DEFAULT DATA'!$GQ$9:$IV$41,Z$82,$E91)</f>
        <v>0</v>
      </c>
      <c r="AA91" s="674">
        <f>INDEX('DEFAULT DATA'!$GQ$9:$IV$41,AA$82,$E91)</f>
        <v>0</v>
      </c>
      <c r="AB91" s="674">
        <f>INDEX('DEFAULT DATA'!$GQ$9:$IV$41,AB$82,$E91)</f>
        <v>0</v>
      </c>
      <c r="AC91" s="674">
        <f>INDEX('DEFAULT DATA'!$GQ$9:$IV$41,AC$82,$E91)</f>
        <v>195.09722206836483</v>
      </c>
      <c r="AD91" s="674">
        <f>INDEX('DEFAULT DATA'!$GQ$9:$IV$41,AD$82,$E91)</f>
        <v>0</v>
      </c>
      <c r="AE91" s="674">
        <f>INDEX('DEFAULT DATA'!$GQ$9:$IV$41,AE$82,$E91)</f>
        <v>411.38202162948949</v>
      </c>
      <c r="AF91" s="674">
        <f>INDEX('DEFAULT DATA'!$GQ$9:$IV$41,AF$82,$E91)</f>
        <v>0</v>
      </c>
      <c r="AG91" s="674">
        <f>INDEX('DEFAULT DATA'!$GQ$9:$IV$41,AG$82,$E91)</f>
        <v>0</v>
      </c>
      <c r="AH91" s="674">
        <f>INDEX('DEFAULT DATA'!$GQ$9:$IV$41,AH$82,$E91)</f>
        <v>241.05321872713972</v>
      </c>
      <c r="AI91" s="674">
        <f>INDEX('DEFAULT DATA'!$GQ$9:$IV$41,AI$82,$E91)</f>
        <v>0</v>
      </c>
      <c r="AJ91" s="674">
        <f>INDEX('DEFAULT DATA'!$GQ$9:$IV$41,AJ$82,$E91)</f>
        <v>0</v>
      </c>
      <c r="AK91" s="674">
        <f>INDEX('DEFAULT DATA'!$GQ$9:$IV$41,AK$82,$E91)</f>
        <v>366.67070552147254</v>
      </c>
    </row>
    <row r="92" spans="5:37">
      <c r="E92" s="61">
        <f t="shared" si="6"/>
        <v>9</v>
      </c>
      <c r="F92" s="674">
        <f>INDEX('DEFAULT DATA'!$GQ$9:$IV$41,F$82,$E92)</f>
        <v>0</v>
      </c>
      <c r="G92" s="674">
        <f>INDEX('DEFAULT DATA'!$GQ$9:$IV$41,G$82,$E92)</f>
        <v>0</v>
      </c>
      <c r="H92" s="674">
        <f>INDEX('DEFAULT DATA'!$GQ$9:$IV$41,H$82,$E92)</f>
        <v>0</v>
      </c>
      <c r="I92" s="674">
        <f>INDEX('DEFAULT DATA'!$GQ$9:$IV$41,I$82,$E92)</f>
        <v>0</v>
      </c>
      <c r="J92" s="674">
        <f>INDEX('DEFAULT DATA'!$GQ$9:$IV$41,J$82,$E92)</f>
        <v>0</v>
      </c>
      <c r="K92" s="674">
        <f>INDEX('DEFAULT DATA'!$GQ$9:$IV$41,K$82,$E92)</f>
        <v>0</v>
      </c>
      <c r="L92" s="674">
        <f>INDEX('DEFAULT DATA'!$GQ$9:$IV$41,L$82,$E92)</f>
        <v>0</v>
      </c>
      <c r="M92" s="674">
        <f>INDEX('DEFAULT DATA'!$GQ$9:$IV$41,M$82,$E92)</f>
        <v>0</v>
      </c>
      <c r="N92" s="674">
        <f>INDEX('DEFAULT DATA'!$GQ$9:$IV$41,N$82,$E92)</f>
        <v>0</v>
      </c>
      <c r="O92" s="674">
        <f>INDEX('DEFAULT DATA'!$GQ$9:$IV$41,O$82,$E92)</f>
        <v>137.50760918009883</v>
      </c>
      <c r="P92" s="674">
        <f>INDEX('DEFAULT DATA'!$GQ$9:$IV$41,P$82,$E92)</f>
        <v>44.533008386495588</v>
      </c>
      <c r="Q92" s="674">
        <f>INDEX('DEFAULT DATA'!$GQ$9:$IV$41,Q$82,$E92)</f>
        <v>0</v>
      </c>
      <c r="R92" s="674">
        <f>INDEX('DEFAULT DATA'!$GQ$9:$IV$41,R$82,$E92)</f>
        <v>0</v>
      </c>
      <c r="S92" s="674">
        <f>INDEX('DEFAULT DATA'!$GQ$9:$IV$41,S$82,$E92)</f>
        <v>0</v>
      </c>
      <c r="T92" s="674">
        <f>INDEX('DEFAULT DATA'!$GQ$9:$IV$41,T$82,$E92)</f>
        <v>0</v>
      </c>
      <c r="U92" s="674">
        <f>INDEX('DEFAULT DATA'!$GQ$9:$IV$41,U$82,$E92)</f>
        <v>162.31699171787338</v>
      </c>
      <c r="V92" s="674">
        <f>INDEX('DEFAULT DATA'!$GQ$9:$IV$41,V$82,$E92)</f>
        <v>0</v>
      </c>
      <c r="W92" s="674">
        <f>INDEX('DEFAULT DATA'!$GQ$9:$IV$41,W$82,$E92)</f>
        <v>0</v>
      </c>
      <c r="X92" s="674">
        <f>INDEX('DEFAULT DATA'!$GQ$9:$IV$41,X$82,$E92)</f>
        <v>0</v>
      </c>
      <c r="Y92" s="674">
        <f>INDEX('DEFAULT DATA'!$GQ$9:$IV$41,Y$82,$E92)</f>
        <v>0</v>
      </c>
      <c r="Z92" s="674">
        <f>INDEX('DEFAULT DATA'!$GQ$9:$IV$41,Z$82,$E92)</f>
        <v>0</v>
      </c>
      <c r="AA92" s="674">
        <f>INDEX('DEFAULT DATA'!$GQ$9:$IV$41,AA$82,$E92)</f>
        <v>0</v>
      </c>
      <c r="AB92" s="674">
        <f>INDEX('DEFAULT DATA'!$GQ$9:$IV$41,AB$82,$E92)</f>
        <v>0</v>
      </c>
      <c r="AC92" s="674">
        <f>INDEX('DEFAULT DATA'!$GQ$9:$IV$41,AC$82,$E92)</f>
        <v>32.133660105377736</v>
      </c>
      <c r="AD92" s="674">
        <f>INDEX('DEFAULT DATA'!$GQ$9:$IV$41,AD$82,$E92)</f>
        <v>0</v>
      </c>
      <c r="AE92" s="674">
        <f>INDEX('DEFAULT DATA'!$GQ$9:$IV$41,AE$82,$E92)</f>
        <v>196.28799317749932</v>
      </c>
      <c r="AF92" s="674">
        <f>INDEX('DEFAULT DATA'!$GQ$9:$IV$41,AF$82,$E92)</f>
        <v>0</v>
      </c>
      <c r="AG92" s="674">
        <f>INDEX('DEFAULT DATA'!$GQ$9:$IV$41,AG$82,$E92)</f>
        <v>0</v>
      </c>
      <c r="AH92" s="674">
        <f>INDEX('DEFAULT DATA'!$GQ$9:$IV$41,AH$82,$E92)</f>
        <v>35.120336503291881</v>
      </c>
      <c r="AI92" s="674">
        <f>INDEX('DEFAULT DATA'!$GQ$9:$IV$41,AI$82,$E92)</f>
        <v>0</v>
      </c>
      <c r="AJ92" s="674">
        <f>INDEX('DEFAULT DATA'!$GQ$9:$IV$41,AJ$82,$E92)</f>
        <v>0</v>
      </c>
      <c r="AK92" s="674">
        <f>INDEX('DEFAULT DATA'!$GQ$9:$IV$41,AK$82,$E92)</f>
        <v>1100.0121165644173</v>
      </c>
    </row>
    <row r="93" spans="5:37">
      <c r="E93" s="61">
        <f t="shared" si="6"/>
        <v>10</v>
      </c>
      <c r="F93" s="674">
        <f>INDEX('DEFAULT DATA'!$GQ$9:$IV$41,F$82,$E93)</f>
        <v>0</v>
      </c>
      <c r="G93" s="674">
        <f>INDEX('DEFAULT DATA'!$GQ$9:$IV$41,G$82,$E93)</f>
        <v>0</v>
      </c>
      <c r="H93" s="674">
        <f>INDEX('DEFAULT DATA'!$GQ$9:$IV$41,H$82,$E93)</f>
        <v>0</v>
      </c>
      <c r="I93" s="674">
        <f>INDEX('DEFAULT DATA'!$GQ$9:$IV$41,I$82,$E93)</f>
        <v>0</v>
      </c>
      <c r="J93" s="674">
        <f>INDEX('DEFAULT DATA'!$GQ$9:$IV$41,J$82,$E93)</f>
        <v>0</v>
      </c>
      <c r="K93" s="674">
        <f>INDEX('DEFAULT DATA'!$GQ$9:$IV$41,K$82,$E93)</f>
        <v>0</v>
      </c>
      <c r="L93" s="674">
        <f>INDEX('DEFAULT DATA'!$GQ$9:$IV$41,L$82,$E93)</f>
        <v>0</v>
      </c>
      <c r="M93" s="674">
        <f>INDEX('DEFAULT DATA'!$GQ$9:$IV$41,M$82,$E93)</f>
        <v>0</v>
      </c>
      <c r="N93" s="674">
        <f>INDEX('DEFAULT DATA'!$GQ$9:$IV$41,N$82,$E93)</f>
        <v>0</v>
      </c>
      <c r="O93" s="674">
        <f>INDEX('DEFAULT DATA'!$GQ$9:$IV$41,O$82,$E93)</f>
        <v>214.22238061741717</v>
      </c>
      <c r="P93" s="674">
        <f>INDEX('DEFAULT DATA'!$GQ$9:$IV$41,P$82,$E93)</f>
        <v>99.663106587341431</v>
      </c>
      <c r="Q93" s="674">
        <f>INDEX('DEFAULT DATA'!$GQ$9:$IV$41,Q$82,$E93)</f>
        <v>0</v>
      </c>
      <c r="R93" s="674">
        <f>INDEX('DEFAULT DATA'!$GQ$9:$IV$41,R$82,$E93)</f>
        <v>0</v>
      </c>
      <c r="S93" s="674">
        <f>INDEX('DEFAULT DATA'!$GQ$9:$IV$41,S$82,$E93)</f>
        <v>0</v>
      </c>
      <c r="T93" s="674">
        <f>INDEX('DEFAULT DATA'!$GQ$9:$IV$41,T$82,$E93)</f>
        <v>0</v>
      </c>
      <c r="U93" s="674">
        <f>INDEX('DEFAULT DATA'!$GQ$9:$IV$41,U$82,$E93)</f>
        <v>357.64760886989046</v>
      </c>
      <c r="V93" s="674">
        <f>INDEX('DEFAULT DATA'!$GQ$9:$IV$41,V$82,$E93)</f>
        <v>0</v>
      </c>
      <c r="W93" s="674">
        <f>INDEX('DEFAULT DATA'!$GQ$9:$IV$41,W$82,$E93)</f>
        <v>0</v>
      </c>
      <c r="X93" s="674">
        <f>INDEX('DEFAULT DATA'!$GQ$9:$IV$41,X$82,$E93)</f>
        <v>0</v>
      </c>
      <c r="Y93" s="674">
        <f>INDEX('DEFAULT DATA'!$GQ$9:$IV$41,Y$82,$E93)</f>
        <v>0</v>
      </c>
      <c r="Z93" s="674">
        <f>INDEX('DEFAULT DATA'!$GQ$9:$IV$41,Z$82,$E93)</f>
        <v>0</v>
      </c>
      <c r="AA93" s="674">
        <f>INDEX('DEFAULT DATA'!$GQ$9:$IV$41,AA$82,$E93)</f>
        <v>0</v>
      </c>
      <c r="AB93" s="674">
        <f>INDEX('DEFAULT DATA'!$GQ$9:$IV$41,AB$82,$E93)</f>
        <v>0</v>
      </c>
      <c r="AC93" s="674">
        <f>INDEX('DEFAULT DATA'!$GQ$9:$IV$41,AC$82,$E93)</f>
        <v>323.6318624898758</v>
      </c>
      <c r="AD93" s="674">
        <f>INDEX('DEFAULT DATA'!$GQ$9:$IV$41,AD$82,$E93)</f>
        <v>0</v>
      </c>
      <c r="AE93" s="674">
        <f>INDEX('DEFAULT DATA'!$GQ$9:$IV$41,AE$82,$E93)</f>
        <v>121.06385207953551</v>
      </c>
      <c r="AF93" s="674">
        <f>INDEX('DEFAULT DATA'!$GQ$9:$IV$41,AF$82,$E93)</f>
        <v>0</v>
      </c>
      <c r="AG93" s="674">
        <f>INDEX('DEFAULT DATA'!$GQ$9:$IV$41,AG$82,$E93)</f>
        <v>0</v>
      </c>
      <c r="AH93" s="674">
        <f>INDEX('DEFAULT DATA'!$GQ$9:$IV$41,AH$82,$E93)</f>
        <v>78.222567666422833</v>
      </c>
      <c r="AI93" s="674">
        <f>INDEX('DEFAULT DATA'!$GQ$9:$IV$41,AI$82,$E93)</f>
        <v>0</v>
      </c>
      <c r="AJ93" s="674">
        <f>INDEX('DEFAULT DATA'!$GQ$9:$IV$41,AJ$82,$E93)</f>
        <v>0</v>
      </c>
      <c r="AK93" s="674">
        <f>INDEX('DEFAULT DATA'!$GQ$9:$IV$41,AK$82,$E93)</f>
        <v>0</v>
      </c>
    </row>
    <row r="94" spans="5:37">
      <c r="E94" s="61">
        <f t="shared" si="6"/>
        <v>11</v>
      </c>
      <c r="F94" s="674">
        <f>INDEX('DEFAULT DATA'!$GQ$9:$IV$41,F$82,$E94)</f>
        <v>0</v>
      </c>
      <c r="G94" s="674">
        <f>INDEX('DEFAULT DATA'!$GQ$9:$IV$41,G$82,$E94)</f>
        <v>0</v>
      </c>
      <c r="H94" s="674">
        <f>INDEX('DEFAULT DATA'!$GQ$9:$IV$41,H$82,$E94)</f>
        <v>0</v>
      </c>
      <c r="I94" s="674">
        <f>INDEX('DEFAULT DATA'!$GQ$9:$IV$41,I$82,$E94)</f>
        <v>0</v>
      </c>
      <c r="J94" s="674">
        <f>INDEX('DEFAULT DATA'!$GQ$9:$IV$41,J$82,$E94)</f>
        <v>0</v>
      </c>
      <c r="K94" s="674">
        <f>INDEX('DEFAULT DATA'!$GQ$9:$IV$41,K$82,$E94)</f>
        <v>0</v>
      </c>
      <c r="L94" s="674">
        <f>INDEX('DEFAULT DATA'!$GQ$9:$IV$41,L$82,$E94)</f>
        <v>0</v>
      </c>
      <c r="M94" s="674">
        <f>INDEX('DEFAULT DATA'!$GQ$9:$IV$41,M$82,$E94)</f>
        <v>0</v>
      </c>
      <c r="N94" s="674">
        <f>INDEX('DEFAULT DATA'!$GQ$9:$IV$41,N$82,$E94)</f>
        <v>0</v>
      </c>
      <c r="O94" s="674">
        <f>INDEX('DEFAULT DATA'!$GQ$9:$IV$41,O$82,$E94)</f>
        <v>94.084153649541307</v>
      </c>
      <c r="P94" s="674">
        <f>INDEX('DEFAULT DATA'!$GQ$9:$IV$41,P$82,$E94)</f>
        <v>289.14916493441336</v>
      </c>
      <c r="Q94" s="674">
        <f>INDEX('DEFAULT DATA'!$GQ$9:$IV$41,Q$82,$E94)</f>
        <v>0</v>
      </c>
      <c r="R94" s="674">
        <f>INDEX('DEFAULT DATA'!$GQ$9:$IV$41,R$82,$E94)</f>
        <v>0</v>
      </c>
      <c r="S94" s="674">
        <f>INDEX('DEFAULT DATA'!$GQ$9:$IV$41,S$82,$E94)</f>
        <v>0</v>
      </c>
      <c r="T94" s="674">
        <f>INDEX('DEFAULT DATA'!$GQ$9:$IV$41,T$82,$E94)</f>
        <v>0</v>
      </c>
      <c r="U94" s="674">
        <f>INDEX('DEFAULT DATA'!$GQ$9:$IV$41,U$82,$E94)</f>
        <v>39.432941490782788</v>
      </c>
      <c r="V94" s="674">
        <f>INDEX('DEFAULT DATA'!$GQ$9:$IV$41,V$82,$E94)</f>
        <v>0</v>
      </c>
      <c r="W94" s="674">
        <f>INDEX('DEFAULT DATA'!$GQ$9:$IV$41,W$82,$E94)</f>
        <v>0</v>
      </c>
      <c r="X94" s="674">
        <f>INDEX('DEFAULT DATA'!$GQ$9:$IV$41,X$82,$E94)</f>
        <v>0</v>
      </c>
      <c r="Y94" s="674">
        <f>INDEX('DEFAULT DATA'!$GQ$9:$IV$41,Y$82,$E94)</f>
        <v>0</v>
      </c>
      <c r="Z94" s="674">
        <f>INDEX('DEFAULT DATA'!$GQ$9:$IV$41,Z$82,$E94)</f>
        <v>0</v>
      </c>
      <c r="AA94" s="674">
        <f>INDEX('DEFAULT DATA'!$GQ$9:$IV$41,AA$82,$E94)</f>
        <v>0</v>
      </c>
      <c r="AB94" s="674">
        <f>INDEX('DEFAULT DATA'!$GQ$9:$IV$41,AB$82,$E94)</f>
        <v>0</v>
      </c>
      <c r="AC94" s="674">
        <f>INDEX('DEFAULT DATA'!$GQ$9:$IV$41,AC$82,$E94)</f>
        <v>25.247875797082507</v>
      </c>
      <c r="AD94" s="674">
        <f>INDEX('DEFAULT DATA'!$GQ$9:$IV$41,AD$82,$E94)</f>
        <v>0</v>
      </c>
      <c r="AE94" s="674">
        <f>INDEX('DEFAULT DATA'!$GQ$9:$IV$41,AE$82,$E94)</f>
        <v>440.76645174588162</v>
      </c>
      <c r="AF94" s="674">
        <f>INDEX('DEFAULT DATA'!$GQ$9:$IV$41,AF$82,$E94)</f>
        <v>0</v>
      </c>
      <c r="AG94" s="674">
        <f>INDEX('DEFAULT DATA'!$GQ$9:$IV$41,AG$82,$E94)</f>
        <v>0</v>
      </c>
      <c r="AH94" s="674">
        <f>INDEX('DEFAULT DATA'!$GQ$9:$IV$41,AH$82,$E94)</f>
        <v>718.37051938551576</v>
      </c>
      <c r="AI94" s="674">
        <f>INDEX('DEFAULT DATA'!$GQ$9:$IV$41,AI$82,$E94)</f>
        <v>0</v>
      </c>
      <c r="AJ94" s="674">
        <f>INDEX('DEFAULT DATA'!$GQ$9:$IV$41,AJ$82,$E94)</f>
        <v>0</v>
      </c>
      <c r="AK94" s="674">
        <f>INDEX('DEFAULT DATA'!$GQ$9:$IV$41,AK$82,$E94)</f>
        <v>0</v>
      </c>
    </row>
    <row r="95" spans="5:37">
      <c r="E95" s="61">
        <f t="shared" si="6"/>
        <v>12</v>
      </c>
      <c r="F95" s="674">
        <f>INDEX('DEFAULT DATA'!$GQ$9:$IV$41,F$82,$E95)</f>
        <v>0</v>
      </c>
      <c r="G95" s="674">
        <f>INDEX('DEFAULT DATA'!$GQ$9:$IV$41,G$82,$E95)</f>
        <v>0</v>
      </c>
      <c r="H95" s="674">
        <f>INDEX('DEFAULT DATA'!$GQ$9:$IV$41,H$82,$E95)</f>
        <v>0</v>
      </c>
      <c r="I95" s="674">
        <f>INDEX('DEFAULT DATA'!$GQ$9:$IV$41,I$82,$E95)</f>
        <v>0</v>
      </c>
      <c r="J95" s="674">
        <f>INDEX('DEFAULT DATA'!$GQ$9:$IV$41,J$82,$E95)</f>
        <v>0</v>
      </c>
      <c r="K95" s="674">
        <f>INDEX('DEFAULT DATA'!$GQ$9:$IV$41,K$82,$E95)</f>
        <v>0</v>
      </c>
      <c r="L95" s="674">
        <f>INDEX('DEFAULT DATA'!$GQ$9:$IV$41,L$82,$E95)</f>
        <v>0</v>
      </c>
      <c r="M95" s="674">
        <f>INDEX('DEFAULT DATA'!$GQ$9:$IV$41,M$82,$E95)</f>
        <v>0</v>
      </c>
      <c r="N95" s="674">
        <f>INDEX('DEFAULT DATA'!$GQ$9:$IV$41,N$82,$E95)</f>
        <v>0</v>
      </c>
      <c r="O95" s="674">
        <f>INDEX('DEFAULT DATA'!$GQ$9:$IV$41,O$82,$E95)</f>
        <v>111.45353586176432</v>
      </c>
      <c r="P95" s="674">
        <f>INDEX('DEFAULT DATA'!$GQ$9:$IV$41,P$82,$E95)</f>
        <v>77.207368647408785</v>
      </c>
      <c r="Q95" s="674">
        <f>INDEX('DEFAULT DATA'!$GQ$9:$IV$41,Q$82,$E95)</f>
        <v>0</v>
      </c>
      <c r="R95" s="674">
        <f>INDEX('DEFAULT DATA'!$GQ$9:$IV$41,R$82,$E95)</f>
        <v>0</v>
      </c>
      <c r="S95" s="674">
        <f>INDEX('DEFAULT DATA'!$GQ$9:$IV$41,S$82,$E95)</f>
        <v>0</v>
      </c>
      <c r="T95" s="674">
        <f>INDEX('DEFAULT DATA'!$GQ$9:$IV$41,T$82,$E95)</f>
        <v>0</v>
      </c>
      <c r="U95" s="674">
        <f>INDEX('DEFAULT DATA'!$GQ$9:$IV$41,U$82,$E95)</f>
        <v>531.8861875500935</v>
      </c>
      <c r="V95" s="674">
        <f>INDEX('DEFAULT DATA'!$GQ$9:$IV$41,V$82,$E95)</f>
        <v>0</v>
      </c>
      <c r="W95" s="674">
        <f>INDEX('DEFAULT DATA'!$GQ$9:$IV$41,W$82,$E95)</f>
        <v>0</v>
      </c>
      <c r="X95" s="674">
        <f>INDEX('DEFAULT DATA'!$GQ$9:$IV$41,X$82,$E95)</f>
        <v>0</v>
      </c>
      <c r="Y95" s="674">
        <f>INDEX('DEFAULT DATA'!$GQ$9:$IV$41,Y$82,$E95)</f>
        <v>0</v>
      </c>
      <c r="Z95" s="674">
        <f>INDEX('DEFAULT DATA'!$GQ$9:$IV$41,Z$82,$E95)</f>
        <v>0</v>
      </c>
      <c r="AA95" s="674">
        <f>INDEX('DEFAULT DATA'!$GQ$9:$IV$41,AA$82,$E95)</f>
        <v>0</v>
      </c>
      <c r="AB95" s="674">
        <f>INDEX('DEFAULT DATA'!$GQ$9:$IV$41,AB$82,$E95)</f>
        <v>0</v>
      </c>
      <c r="AC95" s="674">
        <f>INDEX('DEFAULT DATA'!$GQ$9:$IV$41,AC$82,$E95)</f>
        <v>150.56915020805565</v>
      </c>
      <c r="AD95" s="674">
        <f>INDEX('DEFAULT DATA'!$GQ$9:$IV$41,AD$82,$E95)</f>
        <v>0</v>
      </c>
      <c r="AE95" s="674">
        <f>INDEX('DEFAULT DATA'!$GQ$9:$IV$41,AE$82,$E95)</f>
        <v>0</v>
      </c>
      <c r="AF95" s="674">
        <f>INDEX('DEFAULT DATA'!$GQ$9:$IV$41,AF$82,$E95)</f>
        <v>0</v>
      </c>
      <c r="AG95" s="674">
        <f>INDEX('DEFAULT DATA'!$GQ$9:$IV$41,AG$82,$E95)</f>
        <v>0</v>
      </c>
      <c r="AH95" s="674">
        <f>INDEX('DEFAULT DATA'!$GQ$9:$IV$41,AH$82,$E95)</f>
        <v>153.25237746891005</v>
      </c>
      <c r="AI95" s="674">
        <f>INDEX('DEFAULT DATA'!$GQ$9:$IV$41,AI$82,$E95)</f>
        <v>0</v>
      </c>
      <c r="AJ95" s="674">
        <f>INDEX('DEFAULT DATA'!$GQ$9:$IV$41,AJ$82,$E95)</f>
        <v>0</v>
      </c>
      <c r="AK95" s="674">
        <f>INDEX('DEFAULT DATA'!$GQ$9:$IV$41,AK$82,$E95)</f>
        <v>0</v>
      </c>
    </row>
    <row r="96" spans="5:37">
      <c r="E96" s="61">
        <f t="shared" si="6"/>
        <v>13</v>
      </c>
      <c r="F96" s="674">
        <f>INDEX('DEFAULT DATA'!$GQ$9:$IV$41,F$82,$E96)</f>
        <v>0</v>
      </c>
      <c r="G96" s="674">
        <f>INDEX('DEFAULT DATA'!$GQ$9:$IV$41,G$82,$E96)</f>
        <v>0</v>
      </c>
      <c r="H96" s="674">
        <f>INDEX('DEFAULT DATA'!$GQ$9:$IV$41,H$82,$E96)</f>
        <v>0</v>
      </c>
      <c r="I96" s="674">
        <f>INDEX('DEFAULT DATA'!$GQ$9:$IV$41,I$82,$E96)</f>
        <v>0</v>
      </c>
      <c r="J96" s="674">
        <f>INDEX('DEFAULT DATA'!$GQ$9:$IV$41,J$82,$E96)</f>
        <v>0</v>
      </c>
      <c r="K96" s="674">
        <f>INDEX('DEFAULT DATA'!$GQ$9:$IV$41,K$82,$E96)</f>
        <v>0</v>
      </c>
      <c r="L96" s="674">
        <f>INDEX('DEFAULT DATA'!$GQ$9:$IV$41,L$82,$E96)</f>
        <v>0</v>
      </c>
      <c r="M96" s="674">
        <f>INDEX('DEFAULT DATA'!$GQ$9:$IV$41,M$82,$E96)</f>
        <v>0</v>
      </c>
      <c r="N96" s="674">
        <f>INDEX('DEFAULT DATA'!$GQ$9:$IV$41,N$82,$E96)</f>
        <v>0</v>
      </c>
      <c r="O96" s="674">
        <f>INDEX('DEFAULT DATA'!$GQ$9:$IV$41,O$82,$E96)</f>
        <v>159.21933694537759</v>
      </c>
      <c r="P96" s="674">
        <f>INDEX('DEFAULT DATA'!$GQ$9:$IV$41,P$82,$E96)</f>
        <v>619.92975413948818</v>
      </c>
      <c r="Q96" s="674">
        <f>INDEX('DEFAULT DATA'!$GQ$9:$IV$41,Q$82,$E96)</f>
        <v>0</v>
      </c>
      <c r="R96" s="674">
        <f>INDEX('DEFAULT DATA'!$GQ$9:$IV$41,R$82,$E96)</f>
        <v>0</v>
      </c>
      <c r="S96" s="674">
        <f>INDEX('DEFAULT DATA'!$GQ$9:$IV$41,S$82,$E96)</f>
        <v>0</v>
      </c>
      <c r="T96" s="674">
        <f>INDEX('DEFAULT DATA'!$GQ$9:$IV$41,T$82,$E96)</f>
        <v>0</v>
      </c>
      <c r="U96" s="674">
        <f>INDEX('DEFAULT DATA'!$GQ$9:$IV$41,U$82,$E96)</f>
        <v>47.686347849318729</v>
      </c>
      <c r="V96" s="674">
        <f>INDEX('DEFAULT DATA'!$GQ$9:$IV$41,V$82,$E96)</f>
        <v>0</v>
      </c>
      <c r="W96" s="674">
        <f>INDEX('DEFAULT DATA'!$GQ$9:$IV$41,W$82,$E96)</f>
        <v>0</v>
      </c>
      <c r="X96" s="674">
        <f>INDEX('DEFAULT DATA'!$GQ$9:$IV$41,X$82,$E96)</f>
        <v>0</v>
      </c>
      <c r="Y96" s="674">
        <f>INDEX('DEFAULT DATA'!$GQ$9:$IV$41,Y$82,$E96)</f>
        <v>0</v>
      </c>
      <c r="Z96" s="674">
        <f>INDEX('DEFAULT DATA'!$GQ$9:$IV$41,Z$82,$E96)</f>
        <v>0</v>
      </c>
      <c r="AA96" s="674">
        <f>INDEX('DEFAULT DATA'!$GQ$9:$IV$41,AA$82,$E96)</f>
        <v>0</v>
      </c>
      <c r="AB96" s="674">
        <f>INDEX('DEFAULT DATA'!$GQ$9:$IV$41,AB$82,$E96)</f>
        <v>0</v>
      </c>
      <c r="AC96" s="674">
        <f>INDEX('DEFAULT DATA'!$GQ$9:$IV$41,AC$82,$E96)</f>
        <v>14.001094760200299</v>
      </c>
      <c r="AD96" s="674">
        <f>INDEX('DEFAULT DATA'!$GQ$9:$IV$41,AD$82,$E96)</f>
        <v>0</v>
      </c>
      <c r="AE96" s="674">
        <f>INDEX('DEFAULT DATA'!$GQ$9:$IV$41,AE$82,$E96)</f>
        <v>0</v>
      </c>
      <c r="AF96" s="674">
        <f>INDEX('DEFAULT DATA'!$GQ$9:$IV$41,AF$82,$E96)</f>
        <v>0</v>
      </c>
      <c r="AG96" s="674">
        <f>INDEX('DEFAULT DATA'!$GQ$9:$IV$41,AG$82,$E96)</f>
        <v>0</v>
      </c>
      <c r="AH96" s="674">
        <f>INDEX('DEFAULT DATA'!$GQ$9:$IV$41,AH$82,$E96)</f>
        <v>204.33650329188004</v>
      </c>
      <c r="AI96" s="674">
        <f>INDEX('DEFAULT DATA'!$GQ$9:$IV$41,AI$82,$E96)</f>
        <v>0</v>
      </c>
      <c r="AJ96" s="674">
        <f>INDEX('DEFAULT DATA'!$GQ$9:$IV$41,AJ$82,$E96)</f>
        <v>0</v>
      </c>
      <c r="AK96" s="674">
        <f>INDEX('DEFAULT DATA'!$GQ$9:$IV$41,AK$82,$E96)</f>
        <v>0</v>
      </c>
    </row>
    <row r="97" spans="5:37">
      <c r="E97" s="61">
        <f t="shared" si="6"/>
        <v>14</v>
      </c>
      <c r="F97" s="674">
        <f>INDEX('DEFAULT DATA'!$GQ$9:$IV$41,F$82,$E97)</f>
        <v>0</v>
      </c>
      <c r="G97" s="674">
        <f>INDEX('DEFAULT DATA'!$GQ$9:$IV$41,G$82,$E97)</f>
        <v>0</v>
      </c>
      <c r="H97" s="674">
        <f>INDEX('DEFAULT DATA'!$GQ$9:$IV$41,H$82,$E97)</f>
        <v>0</v>
      </c>
      <c r="I97" s="674">
        <f>INDEX('DEFAULT DATA'!$GQ$9:$IV$41,I$82,$E97)</f>
        <v>0</v>
      </c>
      <c r="J97" s="674">
        <f>INDEX('DEFAULT DATA'!$GQ$9:$IV$41,J$82,$E97)</f>
        <v>0</v>
      </c>
      <c r="K97" s="674">
        <f>INDEX('DEFAULT DATA'!$GQ$9:$IV$41,K$82,$E97)</f>
        <v>0</v>
      </c>
      <c r="L97" s="674">
        <f>INDEX('DEFAULT DATA'!$GQ$9:$IV$41,L$82,$E97)</f>
        <v>0</v>
      </c>
      <c r="M97" s="674">
        <f>INDEX('DEFAULT DATA'!$GQ$9:$IV$41,M$82,$E97)</f>
        <v>0</v>
      </c>
      <c r="N97" s="674">
        <f>INDEX('DEFAULT DATA'!$GQ$9:$IV$41,N$82,$E97)</f>
        <v>0</v>
      </c>
      <c r="O97" s="674">
        <f>INDEX('DEFAULT DATA'!$GQ$9:$IV$41,O$82,$E97)</f>
        <v>385.74502996311935</v>
      </c>
      <c r="P97" s="674">
        <f>INDEX('DEFAULT DATA'!$GQ$9:$IV$41,P$82,$E97)</f>
        <v>50.714644111533232</v>
      </c>
      <c r="Q97" s="674">
        <f>INDEX('DEFAULT DATA'!$GQ$9:$IV$41,Q$82,$E97)</f>
        <v>0</v>
      </c>
      <c r="R97" s="674">
        <f>INDEX('DEFAULT DATA'!$GQ$9:$IV$41,R$82,$E97)</f>
        <v>0</v>
      </c>
      <c r="S97" s="674">
        <f>INDEX('DEFAULT DATA'!$GQ$9:$IV$41,S$82,$E97)</f>
        <v>0</v>
      </c>
      <c r="T97" s="674">
        <f>INDEX('DEFAULT DATA'!$GQ$9:$IV$41,T$82,$E97)</f>
        <v>0</v>
      </c>
      <c r="U97" s="674">
        <f>INDEX('DEFAULT DATA'!$GQ$9:$IV$41,U$82,$E97)</f>
        <v>0</v>
      </c>
      <c r="V97" s="674">
        <f>INDEX('DEFAULT DATA'!$GQ$9:$IV$41,V$82,$E97)</f>
        <v>0</v>
      </c>
      <c r="W97" s="674">
        <f>INDEX('DEFAULT DATA'!$GQ$9:$IV$41,W$82,$E97)</f>
        <v>0</v>
      </c>
      <c r="X97" s="674">
        <f>INDEX('DEFAULT DATA'!$GQ$9:$IV$41,X$82,$E97)</f>
        <v>0</v>
      </c>
      <c r="Y97" s="674">
        <f>INDEX('DEFAULT DATA'!$GQ$9:$IV$41,Y$82,$E97)</f>
        <v>0</v>
      </c>
      <c r="Z97" s="674">
        <f>INDEX('DEFAULT DATA'!$GQ$9:$IV$41,Z$82,$E97)</f>
        <v>0</v>
      </c>
      <c r="AA97" s="674">
        <f>INDEX('DEFAULT DATA'!$GQ$9:$IV$41,AA$82,$E97)</f>
        <v>0</v>
      </c>
      <c r="AB97" s="674">
        <f>INDEX('DEFAULT DATA'!$GQ$9:$IV$41,AB$82,$E97)</f>
        <v>0</v>
      </c>
      <c r="AC97" s="674">
        <f>INDEX('DEFAULT DATA'!$GQ$9:$IV$41,AC$82,$E97)</f>
        <v>137.71568616590457</v>
      </c>
      <c r="AD97" s="674">
        <f>INDEX('DEFAULT DATA'!$GQ$9:$IV$41,AD$82,$E97)</f>
        <v>0</v>
      </c>
      <c r="AE97" s="674">
        <f>INDEX('DEFAULT DATA'!$GQ$9:$IV$41,AE$82,$E97)</f>
        <v>0</v>
      </c>
      <c r="AF97" s="674">
        <f>INDEX('DEFAULT DATA'!$GQ$9:$IV$41,AF$82,$E97)</f>
        <v>0</v>
      </c>
      <c r="AG97" s="674">
        <f>INDEX('DEFAULT DATA'!$GQ$9:$IV$41,AG$82,$E97)</f>
        <v>0</v>
      </c>
      <c r="AH97" s="674">
        <f>INDEX('DEFAULT DATA'!$GQ$9:$IV$41,AH$82,$E97)</f>
        <v>0</v>
      </c>
      <c r="AI97" s="674">
        <f>INDEX('DEFAULT DATA'!$GQ$9:$IV$41,AI$82,$E97)</f>
        <v>0</v>
      </c>
      <c r="AJ97" s="674">
        <f>INDEX('DEFAULT DATA'!$GQ$9:$IV$41,AJ$82,$E97)</f>
        <v>0</v>
      </c>
      <c r="AK97" s="674">
        <f>INDEX('DEFAULT DATA'!$GQ$9:$IV$41,AK$82,$E97)</f>
        <v>0</v>
      </c>
    </row>
    <row r="98" spans="5:37">
      <c r="E98" s="61">
        <f t="shared" si="6"/>
        <v>15</v>
      </c>
      <c r="F98" s="674">
        <f>INDEX('DEFAULT DATA'!$GQ$9:$IV$41,F$82,$E98)</f>
        <v>0</v>
      </c>
      <c r="G98" s="674">
        <f>INDEX('DEFAULT DATA'!$GQ$9:$IV$41,G$82,$E98)</f>
        <v>0</v>
      </c>
      <c r="H98" s="674">
        <f>INDEX('DEFAULT DATA'!$GQ$9:$IV$41,H$82,$E98)</f>
        <v>0</v>
      </c>
      <c r="I98" s="674">
        <f>INDEX('DEFAULT DATA'!$GQ$9:$IV$41,I$82,$E98)</f>
        <v>0</v>
      </c>
      <c r="J98" s="674">
        <f>INDEX('DEFAULT DATA'!$GQ$9:$IV$41,J$82,$E98)</f>
        <v>0</v>
      </c>
      <c r="K98" s="674">
        <f>INDEX('DEFAULT DATA'!$GQ$9:$IV$41,K$82,$E98)</f>
        <v>0</v>
      </c>
      <c r="L98" s="674">
        <f>INDEX('DEFAULT DATA'!$GQ$9:$IV$41,L$82,$E98)</f>
        <v>0</v>
      </c>
      <c r="M98" s="674">
        <f>INDEX('DEFAULT DATA'!$GQ$9:$IV$41,M$82,$E98)</f>
        <v>0</v>
      </c>
      <c r="N98" s="674">
        <f>INDEX('DEFAULT DATA'!$GQ$9:$IV$41,N$82,$E98)</f>
        <v>0</v>
      </c>
      <c r="O98" s="674">
        <f>INDEX('DEFAULT DATA'!$GQ$9:$IV$41,O$82,$E98)</f>
        <v>159.21933694537759</v>
      </c>
      <c r="P98" s="674">
        <f>INDEX('DEFAULT DATA'!$GQ$9:$IV$41,P$82,$E98)</f>
        <v>105.97089814350227</v>
      </c>
      <c r="Q98" s="674">
        <f>INDEX('DEFAULT DATA'!$GQ$9:$IV$41,Q$82,$E98)</f>
        <v>0</v>
      </c>
      <c r="R98" s="674">
        <f>INDEX('DEFAULT DATA'!$GQ$9:$IV$41,R$82,$E98)</f>
        <v>0</v>
      </c>
      <c r="S98" s="674">
        <f>INDEX('DEFAULT DATA'!$GQ$9:$IV$41,S$82,$E98)</f>
        <v>0</v>
      </c>
      <c r="T98" s="674">
        <f>INDEX('DEFAULT DATA'!$GQ$9:$IV$41,T$82,$E98)</f>
        <v>0</v>
      </c>
      <c r="U98" s="674">
        <f>INDEX('DEFAULT DATA'!$GQ$9:$IV$41,U$82,$E98)</f>
        <v>0</v>
      </c>
      <c r="V98" s="674">
        <f>INDEX('DEFAULT DATA'!$GQ$9:$IV$41,V$82,$E98)</f>
        <v>0</v>
      </c>
      <c r="W98" s="674">
        <f>INDEX('DEFAULT DATA'!$GQ$9:$IV$41,W$82,$E98)</f>
        <v>0</v>
      </c>
      <c r="X98" s="674">
        <f>INDEX('DEFAULT DATA'!$GQ$9:$IV$41,X$82,$E98)</f>
        <v>0</v>
      </c>
      <c r="Y98" s="674">
        <f>INDEX('DEFAULT DATA'!$GQ$9:$IV$41,Y$82,$E98)</f>
        <v>0</v>
      </c>
      <c r="Z98" s="674">
        <f>INDEX('DEFAULT DATA'!$GQ$9:$IV$41,Z$82,$E98)</f>
        <v>0</v>
      </c>
      <c r="AA98" s="674">
        <f>INDEX('DEFAULT DATA'!$GQ$9:$IV$41,AA$82,$E98)</f>
        <v>0</v>
      </c>
      <c r="AB98" s="674">
        <f>INDEX('DEFAULT DATA'!$GQ$9:$IV$41,AB$82,$E98)</f>
        <v>0</v>
      </c>
      <c r="AC98" s="674">
        <f>INDEX('DEFAULT DATA'!$GQ$9:$IV$41,AC$82,$E98)</f>
        <v>50.495751594165014</v>
      </c>
      <c r="AD98" s="674">
        <f>INDEX('DEFAULT DATA'!$GQ$9:$IV$41,AD$82,$E98)</f>
        <v>0</v>
      </c>
      <c r="AE98" s="674">
        <f>INDEX('DEFAULT DATA'!$GQ$9:$IV$41,AE$82,$E98)</f>
        <v>0</v>
      </c>
      <c r="AF98" s="674">
        <f>INDEX('DEFAULT DATA'!$GQ$9:$IV$41,AF$82,$E98)</f>
        <v>0</v>
      </c>
      <c r="AG98" s="674">
        <f>INDEX('DEFAULT DATA'!$GQ$9:$IV$41,AG$82,$E98)</f>
        <v>0</v>
      </c>
      <c r="AH98" s="674">
        <f>INDEX('DEFAULT DATA'!$GQ$9:$IV$41,AH$82,$E98)</f>
        <v>0</v>
      </c>
      <c r="AI98" s="674">
        <f>INDEX('DEFAULT DATA'!$GQ$9:$IV$41,AI$82,$E98)</f>
        <v>0</v>
      </c>
      <c r="AJ98" s="674">
        <f>INDEX('DEFAULT DATA'!$GQ$9:$IV$41,AJ$82,$E98)</f>
        <v>0</v>
      </c>
      <c r="AK98" s="674">
        <f>INDEX('DEFAULT DATA'!$GQ$9:$IV$41,AK$82,$E98)</f>
        <v>0</v>
      </c>
    </row>
    <row r="99" spans="5:37">
      <c r="E99" s="61">
        <f t="shared" si="6"/>
        <v>16</v>
      </c>
      <c r="F99" s="674">
        <f>INDEX('DEFAULT DATA'!$GQ$9:$IV$41,F$82,$E99)</f>
        <v>0</v>
      </c>
      <c r="G99" s="674">
        <f>INDEX('DEFAULT DATA'!$GQ$9:$IV$41,G$82,$E99)</f>
        <v>0</v>
      </c>
      <c r="H99" s="674">
        <f>INDEX('DEFAULT DATA'!$GQ$9:$IV$41,H$82,$E99)</f>
        <v>0</v>
      </c>
      <c r="I99" s="674">
        <f>INDEX('DEFAULT DATA'!$GQ$9:$IV$41,I$82,$E99)</f>
        <v>0</v>
      </c>
      <c r="J99" s="674">
        <f>INDEX('DEFAULT DATA'!$GQ$9:$IV$41,J$82,$E99)</f>
        <v>0</v>
      </c>
      <c r="K99" s="674">
        <f>INDEX('DEFAULT DATA'!$GQ$9:$IV$41,K$82,$E99)</f>
        <v>0</v>
      </c>
      <c r="L99" s="674">
        <f>INDEX('DEFAULT DATA'!$GQ$9:$IV$41,L$82,$E99)</f>
        <v>0</v>
      </c>
      <c r="M99" s="674">
        <f>INDEX('DEFAULT DATA'!$GQ$9:$IV$41,M$82,$E99)</f>
        <v>0</v>
      </c>
      <c r="N99" s="674">
        <f>INDEX('DEFAULT DATA'!$GQ$9:$IV$41,N$82,$E99)</f>
        <v>0</v>
      </c>
      <c r="O99" s="674">
        <f>INDEX('DEFAULT DATA'!$GQ$9:$IV$41,O$82,$E99)</f>
        <v>83.228289766901923</v>
      </c>
      <c r="P99" s="674">
        <f>INDEX('DEFAULT DATA'!$GQ$9:$IV$41,P$82,$E99)</f>
        <v>31.538957780804246</v>
      </c>
      <c r="Q99" s="674">
        <f>INDEX('DEFAULT DATA'!$GQ$9:$IV$41,Q$82,$E99)</f>
        <v>0</v>
      </c>
      <c r="R99" s="674">
        <f>INDEX('DEFAULT DATA'!$GQ$9:$IV$41,R$82,$E99)</f>
        <v>0</v>
      </c>
      <c r="S99" s="674">
        <f>INDEX('DEFAULT DATA'!$GQ$9:$IV$41,S$82,$E99)</f>
        <v>0</v>
      </c>
      <c r="T99" s="674">
        <f>INDEX('DEFAULT DATA'!$GQ$9:$IV$41,T$82,$E99)</f>
        <v>0</v>
      </c>
      <c r="U99" s="674">
        <f>INDEX('DEFAULT DATA'!$GQ$9:$IV$41,U$82,$E99)</f>
        <v>0</v>
      </c>
      <c r="V99" s="674">
        <f>INDEX('DEFAULT DATA'!$GQ$9:$IV$41,V$82,$E99)</f>
        <v>0</v>
      </c>
      <c r="W99" s="674">
        <f>INDEX('DEFAULT DATA'!$GQ$9:$IV$41,W$82,$E99)</f>
        <v>0</v>
      </c>
      <c r="X99" s="674">
        <f>INDEX('DEFAULT DATA'!$GQ$9:$IV$41,X$82,$E99)</f>
        <v>0</v>
      </c>
      <c r="Y99" s="674">
        <f>INDEX('DEFAULT DATA'!$GQ$9:$IV$41,Y$82,$E99)</f>
        <v>0</v>
      </c>
      <c r="Z99" s="674">
        <f>INDEX('DEFAULT DATA'!$GQ$9:$IV$41,Z$82,$E99)</f>
        <v>0</v>
      </c>
      <c r="AA99" s="674">
        <f>INDEX('DEFAULT DATA'!$GQ$9:$IV$41,AA$82,$E99)</f>
        <v>0</v>
      </c>
      <c r="AB99" s="674">
        <f>INDEX('DEFAULT DATA'!$GQ$9:$IV$41,AB$82,$E99)</f>
        <v>0</v>
      </c>
      <c r="AC99" s="674">
        <f>INDEX('DEFAULT DATA'!$GQ$9:$IV$41,AC$82,$E99)</f>
        <v>312.15555530938377</v>
      </c>
      <c r="AD99" s="674">
        <f>INDEX('DEFAULT DATA'!$GQ$9:$IV$41,AD$82,$E99)</f>
        <v>0</v>
      </c>
      <c r="AE99" s="674">
        <f>INDEX('DEFAULT DATA'!$GQ$9:$IV$41,AE$82,$E99)</f>
        <v>0</v>
      </c>
      <c r="AF99" s="674">
        <f>INDEX('DEFAULT DATA'!$GQ$9:$IV$41,AF$82,$E99)</f>
        <v>0</v>
      </c>
      <c r="AG99" s="674">
        <f>INDEX('DEFAULT DATA'!$GQ$9:$IV$41,AG$82,$E99)</f>
        <v>0</v>
      </c>
      <c r="AH99" s="674">
        <f>INDEX('DEFAULT DATA'!$GQ$9:$IV$41,AH$82,$E99)</f>
        <v>0</v>
      </c>
      <c r="AI99" s="674">
        <f>INDEX('DEFAULT DATA'!$GQ$9:$IV$41,AI$82,$E99)</f>
        <v>0</v>
      </c>
      <c r="AJ99" s="674">
        <f>INDEX('DEFAULT DATA'!$GQ$9:$IV$41,AJ$82,$E99)</f>
        <v>0</v>
      </c>
      <c r="AK99" s="674">
        <f>INDEX('DEFAULT DATA'!$GQ$9:$IV$41,AK$82,$E99)</f>
        <v>0</v>
      </c>
    </row>
    <row r="100" spans="5:37">
      <c r="E100" s="61">
        <f t="shared" si="6"/>
        <v>17</v>
      </c>
      <c r="F100" s="674">
        <f>INDEX('DEFAULT DATA'!$GQ$9:$IV$41,F$82,$E100)</f>
        <v>0</v>
      </c>
      <c r="G100" s="674">
        <f>INDEX('DEFAULT DATA'!$GQ$9:$IV$41,G$82,$E100)</f>
        <v>0</v>
      </c>
      <c r="H100" s="674">
        <f>INDEX('DEFAULT DATA'!$GQ$9:$IV$41,H$82,$E100)</f>
        <v>0</v>
      </c>
      <c r="I100" s="674">
        <f>INDEX('DEFAULT DATA'!$GQ$9:$IV$41,I$82,$E100)</f>
        <v>0</v>
      </c>
      <c r="J100" s="674">
        <f>INDEX('DEFAULT DATA'!$GQ$9:$IV$41,J$82,$E100)</f>
        <v>0</v>
      </c>
      <c r="K100" s="674">
        <f>INDEX('DEFAULT DATA'!$GQ$9:$IV$41,K$82,$E100)</f>
        <v>0</v>
      </c>
      <c r="L100" s="674">
        <f>INDEX('DEFAULT DATA'!$GQ$9:$IV$41,L$82,$E100)</f>
        <v>0</v>
      </c>
      <c r="M100" s="674">
        <f>INDEX('DEFAULT DATA'!$GQ$9:$IV$41,M$82,$E100)</f>
        <v>0</v>
      </c>
      <c r="N100" s="674">
        <f>INDEX('DEFAULT DATA'!$GQ$9:$IV$41,N$82,$E100)</f>
        <v>0</v>
      </c>
      <c r="O100" s="674">
        <f>INDEX('DEFAULT DATA'!$GQ$9:$IV$41,O$82,$E100)</f>
        <v>405.28558495187036</v>
      </c>
      <c r="P100" s="674">
        <f>INDEX('DEFAULT DATA'!$GQ$9:$IV$41,P$82,$E100)</f>
        <v>189.23374668482549</v>
      </c>
      <c r="Q100" s="674">
        <f>INDEX('DEFAULT DATA'!$GQ$9:$IV$41,Q$82,$E100)</f>
        <v>0</v>
      </c>
      <c r="R100" s="674">
        <f>INDEX('DEFAULT DATA'!$GQ$9:$IV$41,R$82,$E100)</f>
        <v>0</v>
      </c>
      <c r="S100" s="674">
        <f>INDEX('DEFAULT DATA'!$GQ$9:$IV$41,S$82,$E100)</f>
        <v>0</v>
      </c>
      <c r="T100" s="674">
        <f>INDEX('DEFAULT DATA'!$GQ$9:$IV$41,T$82,$E100)</f>
        <v>0</v>
      </c>
      <c r="U100" s="674">
        <f>INDEX('DEFAULT DATA'!$GQ$9:$IV$41,U$82,$E100)</f>
        <v>0</v>
      </c>
      <c r="V100" s="674">
        <f>INDEX('DEFAULT DATA'!$GQ$9:$IV$41,V$82,$E100)</f>
        <v>0</v>
      </c>
      <c r="W100" s="674">
        <f>INDEX('DEFAULT DATA'!$GQ$9:$IV$41,W$82,$E100)</f>
        <v>0</v>
      </c>
      <c r="X100" s="674">
        <f>INDEX('DEFAULT DATA'!$GQ$9:$IV$41,X$82,$E100)</f>
        <v>0</v>
      </c>
      <c r="Y100" s="674">
        <f>INDEX('DEFAULT DATA'!$GQ$9:$IV$41,Y$82,$E100)</f>
        <v>0</v>
      </c>
      <c r="Z100" s="674">
        <f>INDEX('DEFAULT DATA'!$GQ$9:$IV$41,Z$82,$E100)</f>
        <v>0</v>
      </c>
      <c r="AA100" s="674">
        <f>INDEX('DEFAULT DATA'!$GQ$9:$IV$41,AA$82,$E100)</f>
        <v>0</v>
      </c>
      <c r="AB100" s="674">
        <f>INDEX('DEFAULT DATA'!$GQ$9:$IV$41,AB$82,$E100)</f>
        <v>0</v>
      </c>
      <c r="AC100" s="674">
        <f>INDEX('DEFAULT DATA'!$GQ$9:$IV$41,AC$82,$E100)</f>
        <v>192.8019606322664</v>
      </c>
      <c r="AD100" s="674">
        <f>INDEX('DEFAULT DATA'!$GQ$9:$IV$41,AD$82,$E100)</f>
        <v>0</v>
      </c>
      <c r="AE100" s="674">
        <f>INDEX('DEFAULT DATA'!$GQ$9:$IV$41,AE$82,$E100)</f>
        <v>0</v>
      </c>
      <c r="AF100" s="674">
        <f>INDEX('DEFAULT DATA'!$GQ$9:$IV$41,AF$82,$E100)</f>
        <v>0</v>
      </c>
      <c r="AG100" s="674">
        <f>INDEX('DEFAULT DATA'!$GQ$9:$IV$41,AG$82,$E100)</f>
        <v>0</v>
      </c>
      <c r="AH100" s="674">
        <f>INDEX('DEFAULT DATA'!$GQ$9:$IV$41,AH$82,$E100)</f>
        <v>0</v>
      </c>
      <c r="AI100" s="674">
        <f>INDEX('DEFAULT DATA'!$GQ$9:$IV$41,AI$82,$E100)</f>
        <v>0</v>
      </c>
      <c r="AJ100" s="674">
        <f>INDEX('DEFAULT DATA'!$GQ$9:$IV$41,AJ$82,$E100)</f>
        <v>0</v>
      </c>
      <c r="AK100" s="674">
        <f>INDEX('DEFAULT DATA'!$GQ$9:$IV$41,AK$82,$E100)</f>
        <v>0</v>
      </c>
    </row>
    <row r="101" spans="5:37">
      <c r="E101" s="61">
        <f t="shared" si="6"/>
        <v>18</v>
      </c>
      <c r="F101" s="674">
        <f>INDEX('DEFAULT DATA'!$GQ$9:$IV$41,F$82,$E101)</f>
        <v>0</v>
      </c>
      <c r="G101" s="674">
        <f>INDEX('DEFAULT DATA'!$GQ$9:$IV$41,G$82,$E101)</f>
        <v>0</v>
      </c>
      <c r="H101" s="674">
        <f>INDEX('DEFAULT DATA'!$GQ$9:$IV$41,H$82,$E101)</f>
        <v>0</v>
      </c>
      <c r="I101" s="674">
        <f>INDEX('DEFAULT DATA'!$GQ$9:$IV$41,I$82,$E101)</f>
        <v>0</v>
      </c>
      <c r="J101" s="674">
        <f>INDEX('DEFAULT DATA'!$GQ$9:$IV$41,J$82,$E101)</f>
        <v>0</v>
      </c>
      <c r="K101" s="674">
        <f>INDEX('DEFAULT DATA'!$GQ$9:$IV$41,K$82,$E101)</f>
        <v>0</v>
      </c>
      <c r="L101" s="674">
        <f>INDEX('DEFAULT DATA'!$GQ$9:$IV$41,L$82,$E101)</f>
        <v>0</v>
      </c>
      <c r="M101" s="674">
        <f>INDEX('DEFAULT DATA'!$GQ$9:$IV$41,M$82,$E101)</f>
        <v>0</v>
      </c>
      <c r="N101" s="674">
        <f>INDEX('DEFAULT DATA'!$GQ$9:$IV$41,N$82,$E101)</f>
        <v>0</v>
      </c>
      <c r="O101" s="674">
        <f>INDEX('DEFAULT DATA'!$GQ$9:$IV$41,O$82,$E101)</f>
        <v>117.24332993250532</v>
      </c>
      <c r="P101" s="674">
        <f>INDEX('DEFAULT DATA'!$GQ$9:$IV$41,P$82,$E101)</f>
        <v>334.81757580101782</v>
      </c>
      <c r="Q101" s="674">
        <f>INDEX('DEFAULT DATA'!$GQ$9:$IV$41,Q$82,$E101)</f>
        <v>0</v>
      </c>
      <c r="R101" s="674">
        <f>INDEX('DEFAULT DATA'!$GQ$9:$IV$41,R$82,$E101)</f>
        <v>0</v>
      </c>
      <c r="S101" s="674">
        <f>INDEX('DEFAULT DATA'!$GQ$9:$IV$41,S$82,$E101)</f>
        <v>0</v>
      </c>
      <c r="T101" s="674">
        <f>INDEX('DEFAULT DATA'!$GQ$9:$IV$41,T$82,$E101)</f>
        <v>0</v>
      </c>
      <c r="U101" s="674">
        <f>INDEX('DEFAULT DATA'!$GQ$9:$IV$41,U$82,$E101)</f>
        <v>0</v>
      </c>
      <c r="V101" s="674">
        <f>INDEX('DEFAULT DATA'!$GQ$9:$IV$41,V$82,$E101)</f>
        <v>0</v>
      </c>
      <c r="W101" s="674">
        <f>INDEX('DEFAULT DATA'!$GQ$9:$IV$41,W$82,$E101)</f>
        <v>0</v>
      </c>
      <c r="X101" s="674">
        <f>INDEX('DEFAULT DATA'!$GQ$9:$IV$41,X$82,$E101)</f>
        <v>0</v>
      </c>
      <c r="Y101" s="674">
        <f>INDEX('DEFAULT DATA'!$GQ$9:$IV$41,Y$82,$E101)</f>
        <v>0</v>
      </c>
      <c r="Z101" s="674">
        <f>INDEX('DEFAULT DATA'!$GQ$9:$IV$41,Z$82,$E101)</f>
        <v>0</v>
      </c>
      <c r="AA101" s="674">
        <f>INDEX('DEFAULT DATA'!$GQ$9:$IV$41,AA$82,$E101)</f>
        <v>0</v>
      </c>
      <c r="AB101" s="674">
        <f>INDEX('DEFAULT DATA'!$GQ$9:$IV$41,AB$82,$E101)</f>
        <v>0</v>
      </c>
      <c r="AC101" s="674">
        <f>INDEX('DEFAULT DATA'!$GQ$9:$IV$41,AC$82,$E101)</f>
        <v>0</v>
      </c>
      <c r="AD101" s="674">
        <f>INDEX('DEFAULT DATA'!$GQ$9:$IV$41,AD$82,$E101)</f>
        <v>0</v>
      </c>
      <c r="AE101" s="674">
        <f>INDEX('DEFAULT DATA'!$GQ$9:$IV$41,AE$82,$E101)</f>
        <v>0</v>
      </c>
      <c r="AF101" s="674">
        <f>INDEX('DEFAULT DATA'!$GQ$9:$IV$41,AF$82,$E101)</f>
        <v>0</v>
      </c>
      <c r="AG101" s="674">
        <f>INDEX('DEFAULT DATA'!$GQ$9:$IV$41,AG$82,$E101)</f>
        <v>0</v>
      </c>
      <c r="AH101" s="674">
        <f>INDEX('DEFAULT DATA'!$GQ$9:$IV$41,AH$82,$E101)</f>
        <v>0</v>
      </c>
      <c r="AI101" s="674">
        <f>INDEX('DEFAULT DATA'!$GQ$9:$IV$41,AI$82,$E101)</f>
        <v>0</v>
      </c>
      <c r="AJ101" s="674">
        <f>INDEX('DEFAULT DATA'!$GQ$9:$IV$41,AJ$82,$E101)</f>
        <v>0</v>
      </c>
      <c r="AK101" s="674">
        <f>INDEX('DEFAULT DATA'!$GQ$9:$IV$41,AK$82,$E101)</f>
        <v>0</v>
      </c>
    </row>
    <row r="102" spans="5:37">
      <c r="E102" s="61">
        <f t="shared" si="6"/>
        <v>19</v>
      </c>
      <c r="F102" s="674">
        <f>INDEX('DEFAULT DATA'!$GQ$9:$IV$41,F$82,$E102)</f>
        <v>0</v>
      </c>
      <c r="G102" s="674">
        <f>INDEX('DEFAULT DATA'!$GQ$9:$IV$41,G$82,$E102)</f>
        <v>0</v>
      </c>
      <c r="H102" s="674">
        <f>INDEX('DEFAULT DATA'!$GQ$9:$IV$41,H$82,$E102)</f>
        <v>0</v>
      </c>
      <c r="I102" s="674">
        <f>INDEX('DEFAULT DATA'!$GQ$9:$IV$41,I$82,$E102)</f>
        <v>0</v>
      </c>
      <c r="J102" s="674">
        <f>INDEX('DEFAULT DATA'!$GQ$9:$IV$41,J$82,$E102)</f>
        <v>0</v>
      </c>
      <c r="K102" s="674">
        <f>INDEX('DEFAULT DATA'!$GQ$9:$IV$41,K$82,$E102)</f>
        <v>0</v>
      </c>
      <c r="L102" s="674">
        <f>INDEX('DEFAULT DATA'!$GQ$9:$IV$41,L$82,$E102)</f>
        <v>0</v>
      </c>
      <c r="M102" s="674">
        <f>INDEX('DEFAULT DATA'!$GQ$9:$IV$41,M$82,$E102)</f>
        <v>0</v>
      </c>
      <c r="N102" s="674">
        <f>INDEX('DEFAULT DATA'!$GQ$9:$IV$41,N$82,$E102)</f>
        <v>0</v>
      </c>
      <c r="O102" s="674">
        <f>INDEX('DEFAULT DATA'!$GQ$9:$IV$41,O$82,$E102)</f>
        <v>80.333392731531418</v>
      </c>
      <c r="P102" s="674">
        <f>INDEX('DEFAULT DATA'!$GQ$9:$IV$41,P$82,$E102)</f>
        <v>110.26019640169166</v>
      </c>
      <c r="Q102" s="674">
        <f>INDEX('DEFAULT DATA'!$GQ$9:$IV$41,Q$82,$E102)</f>
        <v>0</v>
      </c>
      <c r="R102" s="674">
        <f>INDEX('DEFAULT DATA'!$GQ$9:$IV$41,R$82,$E102)</f>
        <v>0</v>
      </c>
      <c r="S102" s="674">
        <f>INDEX('DEFAULT DATA'!$GQ$9:$IV$41,S$82,$E102)</f>
        <v>0</v>
      </c>
      <c r="T102" s="674">
        <f>INDEX('DEFAULT DATA'!$GQ$9:$IV$41,T$82,$E102)</f>
        <v>0</v>
      </c>
      <c r="U102" s="674">
        <f>INDEX('DEFAULT DATA'!$GQ$9:$IV$41,U$82,$E102)</f>
        <v>0</v>
      </c>
      <c r="V102" s="674">
        <f>INDEX('DEFAULT DATA'!$GQ$9:$IV$41,V$82,$E102)</f>
        <v>0</v>
      </c>
      <c r="W102" s="674">
        <f>INDEX('DEFAULT DATA'!$GQ$9:$IV$41,W$82,$E102)</f>
        <v>0</v>
      </c>
      <c r="X102" s="674">
        <f>INDEX('DEFAULT DATA'!$GQ$9:$IV$41,X$82,$E102)</f>
        <v>0</v>
      </c>
      <c r="Y102" s="674">
        <f>INDEX('DEFAULT DATA'!$GQ$9:$IV$41,Y$82,$E102)</f>
        <v>0</v>
      </c>
      <c r="Z102" s="674">
        <f>INDEX('DEFAULT DATA'!$GQ$9:$IV$41,Z$82,$E102)</f>
        <v>0</v>
      </c>
      <c r="AA102" s="674">
        <f>INDEX('DEFAULT DATA'!$GQ$9:$IV$41,AA$82,$E102)</f>
        <v>0</v>
      </c>
      <c r="AB102" s="674">
        <f>INDEX('DEFAULT DATA'!$GQ$9:$IV$41,AB$82,$E102)</f>
        <v>0</v>
      </c>
      <c r="AC102" s="674">
        <f>INDEX('DEFAULT DATA'!$GQ$9:$IV$41,AC$82,$E102)</f>
        <v>0</v>
      </c>
      <c r="AD102" s="674">
        <f>INDEX('DEFAULT DATA'!$GQ$9:$IV$41,AD$82,$E102)</f>
        <v>0</v>
      </c>
      <c r="AE102" s="674">
        <f>INDEX('DEFAULT DATA'!$GQ$9:$IV$41,AE$82,$E102)</f>
        <v>0</v>
      </c>
      <c r="AF102" s="674">
        <f>INDEX('DEFAULT DATA'!$GQ$9:$IV$41,AF$82,$E102)</f>
        <v>0</v>
      </c>
      <c r="AG102" s="674">
        <f>INDEX('DEFAULT DATA'!$GQ$9:$IV$41,AG$82,$E102)</f>
        <v>0</v>
      </c>
      <c r="AH102" s="674">
        <f>INDEX('DEFAULT DATA'!$GQ$9:$IV$41,AH$82,$E102)</f>
        <v>0</v>
      </c>
      <c r="AI102" s="674">
        <f>INDEX('DEFAULT DATA'!$GQ$9:$IV$41,AI$82,$E102)</f>
        <v>0</v>
      </c>
      <c r="AJ102" s="674">
        <f>INDEX('DEFAULT DATA'!$GQ$9:$IV$41,AJ$82,$E102)</f>
        <v>0</v>
      </c>
      <c r="AK102" s="674">
        <f>INDEX('DEFAULT DATA'!$GQ$9:$IV$41,AK$82,$E102)</f>
        <v>0</v>
      </c>
    </row>
    <row r="103" spans="5:37">
      <c r="E103" s="61">
        <f t="shared" si="6"/>
        <v>20</v>
      </c>
      <c r="F103" s="674">
        <f>INDEX('DEFAULT DATA'!$GQ$9:$IV$41,F$82,$E103)</f>
        <v>0</v>
      </c>
      <c r="G103" s="674">
        <f>INDEX('DEFAULT DATA'!$GQ$9:$IV$41,G$82,$E103)</f>
        <v>0</v>
      </c>
      <c r="H103" s="674">
        <f>INDEX('DEFAULT DATA'!$GQ$9:$IV$41,H$82,$E103)</f>
        <v>0</v>
      </c>
      <c r="I103" s="674">
        <f>INDEX('DEFAULT DATA'!$GQ$9:$IV$41,I$82,$E103)</f>
        <v>0</v>
      </c>
      <c r="J103" s="674">
        <f>INDEX('DEFAULT DATA'!$GQ$9:$IV$41,J$82,$E103)</f>
        <v>0</v>
      </c>
      <c r="K103" s="674">
        <f>INDEX('DEFAULT DATA'!$GQ$9:$IV$41,K$82,$E103)</f>
        <v>0</v>
      </c>
      <c r="L103" s="674">
        <f>INDEX('DEFAULT DATA'!$GQ$9:$IV$41,L$82,$E103)</f>
        <v>0</v>
      </c>
      <c r="M103" s="674">
        <f>INDEX('DEFAULT DATA'!$GQ$9:$IV$41,M$82,$E103)</f>
        <v>0</v>
      </c>
      <c r="N103" s="674">
        <f>INDEX('DEFAULT DATA'!$GQ$9:$IV$41,N$82,$E103)</f>
        <v>0</v>
      </c>
      <c r="O103" s="674">
        <f>INDEX('DEFAULT DATA'!$GQ$9:$IV$41,O$82,$E103)</f>
        <v>303.96418871390267</v>
      </c>
      <c r="P103" s="674">
        <f>INDEX('DEFAULT DATA'!$GQ$9:$IV$41,P$82,$E103)</f>
        <v>172.83348863880727</v>
      </c>
      <c r="Q103" s="674">
        <f>INDEX('DEFAULT DATA'!$GQ$9:$IV$41,Q$82,$E103)</f>
        <v>0</v>
      </c>
      <c r="R103" s="674">
        <f>INDEX('DEFAULT DATA'!$GQ$9:$IV$41,R$82,$E103)</f>
        <v>0</v>
      </c>
      <c r="S103" s="674">
        <f>INDEX('DEFAULT DATA'!$GQ$9:$IV$41,S$82,$E103)</f>
        <v>0</v>
      </c>
      <c r="T103" s="674">
        <f>INDEX('DEFAULT DATA'!$GQ$9:$IV$41,T$82,$E103)</f>
        <v>0</v>
      </c>
      <c r="U103" s="674">
        <f>INDEX('DEFAULT DATA'!$GQ$9:$IV$41,U$82,$E103)</f>
        <v>0</v>
      </c>
      <c r="V103" s="674">
        <f>INDEX('DEFAULT DATA'!$GQ$9:$IV$41,V$82,$E103)</f>
        <v>0</v>
      </c>
      <c r="W103" s="674">
        <f>INDEX('DEFAULT DATA'!$GQ$9:$IV$41,W$82,$E103)</f>
        <v>0</v>
      </c>
      <c r="X103" s="674">
        <f>INDEX('DEFAULT DATA'!$GQ$9:$IV$41,X$82,$E103)</f>
        <v>0</v>
      </c>
      <c r="Y103" s="674">
        <f>INDEX('DEFAULT DATA'!$GQ$9:$IV$41,Y$82,$E103)</f>
        <v>0</v>
      </c>
      <c r="Z103" s="674">
        <f>INDEX('DEFAULT DATA'!$GQ$9:$IV$41,Z$82,$E103)</f>
        <v>0</v>
      </c>
      <c r="AA103" s="674">
        <f>INDEX('DEFAULT DATA'!$GQ$9:$IV$41,AA$82,$E103)</f>
        <v>0</v>
      </c>
      <c r="AB103" s="674">
        <f>INDEX('DEFAULT DATA'!$GQ$9:$IV$41,AB$82,$E103)</f>
        <v>0</v>
      </c>
      <c r="AC103" s="674">
        <f>INDEX('DEFAULT DATA'!$GQ$9:$IV$41,AC$82,$E103)</f>
        <v>0</v>
      </c>
      <c r="AD103" s="674">
        <f>INDEX('DEFAULT DATA'!$GQ$9:$IV$41,AD$82,$E103)</f>
        <v>0</v>
      </c>
      <c r="AE103" s="674">
        <f>INDEX('DEFAULT DATA'!$GQ$9:$IV$41,AE$82,$E103)</f>
        <v>0</v>
      </c>
      <c r="AF103" s="674">
        <f>INDEX('DEFAULT DATA'!$GQ$9:$IV$41,AF$82,$E103)</f>
        <v>0</v>
      </c>
      <c r="AG103" s="674">
        <f>INDEX('DEFAULT DATA'!$GQ$9:$IV$41,AG$82,$E103)</f>
        <v>0</v>
      </c>
      <c r="AH103" s="674">
        <f>INDEX('DEFAULT DATA'!$GQ$9:$IV$41,AH$82,$E103)</f>
        <v>0</v>
      </c>
      <c r="AI103" s="674">
        <f>INDEX('DEFAULT DATA'!$GQ$9:$IV$41,AI$82,$E103)</f>
        <v>0</v>
      </c>
      <c r="AJ103" s="674">
        <f>INDEX('DEFAULT DATA'!$GQ$9:$IV$41,AJ$82,$E103)</f>
        <v>0</v>
      </c>
      <c r="AK103" s="674">
        <f>INDEX('DEFAULT DATA'!$GQ$9:$IV$41,AK$82,$E103)</f>
        <v>0</v>
      </c>
    </row>
    <row r="104" spans="5:37">
      <c r="E104" s="61">
        <f t="shared" si="6"/>
        <v>21</v>
      </c>
      <c r="F104" s="674">
        <f>INDEX('DEFAULT DATA'!$GQ$9:$IV$41,F$82,$E104)</f>
        <v>0</v>
      </c>
      <c r="G104" s="674">
        <f>INDEX('DEFAULT DATA'!$GQ$9:$IV$41,G$82,$E104)</f>
        <v>0</v>
      </c>
      <c r="H104" s="674">
        <f>INDEX('DEFAULT DATA'!$GQ$9:$IV$41,H$82,$E104)</f>
        <v>0</v>
      </c>
      <c r="I104" s="674">
        <f>INDEX('DEFAULT DATA'!$GQ$9:$IV$41,I$82,$E104)</f>
        <v>0</v>
      </c>
      <c r="J104" s="674">
        <f>INDEX('DEFAULT DATA'!$GQ$9:$IV$41,J$82,$E104)</f>
        <v>0</v>
      </c>
      <c r="K104" s="674">
        <f>INDEX('DEFAULT DATA'!$GQ$9:$IV$41,K$82,$E104)</f>
        <v>0</v>
      </c>
      <c r="L104" s="674">
        <f>INDEX('DEFAULT DATA'!$GQ$9:$IV$41,L$82,$E104)</f>
        <v>0</v>
      </c>
      <c r="M104" s="674">
        <f>INDEX('DEFAULT DATA'!$GQ$9:$IV$41,M$82,$E104)</f>
        <v>0</v>
      </c>
      <c r="N104" s="674">
        <f>INDEX('DEFAULT DATA'!$GQ$9:$IV$41,N$82,$E104)</f>
        <v>0</v>
      </c>
      <c r="O104" s="674">
        <f>INDEX('DEFAULT DATA'!$GQ$9:$IV$41,O$82,$E104)</f>
        <v>125.92802103861683</v>
      </c>
      <c r="P104" s="674">
        <f>INDEX('DEFAULT DATA'!$GQ$9:$IV$41,P$82,$E104)</f>
        <v>196.80309655221851</v>
      </c>
      <c r="Q104" s="674">
        <f>INDEX('DEFAULT DATA'!$GQ$9:$IV$41,Q$82,$E104)</f>
        <v>0</v>
      </c>
      <c r="R104" s="674">
        <f>INDEX('DEFAULT DATA'!$GQ$9:$IV$41,R$82,$E104)</f>
        <v>0</v>
      </c>
      <c r="S104" s="674">
        <f>INDEX('DEFAULT DATA'!$GQ$9:$IV$41,S$82,$E104)</f>
        <v>0</v>
      </c>
      <c r="T104" s="674">
        <f>INDEX('DEFAULT DATA'!$GQ$9:$IV$41,T$82,$E104)</f>
        <v>0</v>
      </c>
      <c r="U104" s="674">
        <f>INDEX('DEFAULT DATA'!$GQ$9:$IV$41,U$82,$E104)</f>
        <v>0</v>
      </c>
      <c r="V104" s="674">
        <f>INDEX('DEFAULT DATA'!$GQ$9:$IV$41,V$82,$E104)</f>
        <v>0</v>
      </c>
      <c r="W104" s="674">
        <f>INDEX('DEFAULT DATA'!$GQ$9:$IV$41,W$82,$E104)</f>
        <v>0</v>
      </c>
      <c r="X104" s="674">
        <f>INDEX('DEFAULT DATA'!$GQ$9:$IV$41,X$82,$E104)</f>
        <v>0</v>
      </c>
      <c r="Y104" s="674">
        <f>INDEX('DEFAULT DATA'!$GQ$9:$IV$41,Y$82,$E104)</f>
        <v>0</v>
      </c>
      <c r="Z104" s="674">
        <f>INDEX('DEFAULT DATA'!$GQ$9:$IV$41,Z$82,$E104)</f>
        <v>0</v>
      </c>
      <c r="AA104" s="674">
        <f>INDEX('DEFAULT DATA'!$GQ$9:$IV$41,AA$82,$E104)</f>
        <v>0</v>
      </c>
      <c r="AB104" s="674">
        <f>INDEX('DEFAULT DATA'!$GQ$9:$IV$41,AB$82,$E104)</f>
        <v>0</v>
      </c>
      <c r="AC104" s="674">
        <f>INDEX('DEFAULT DATA'!$GQ$9:$IV$41,AC$82,$E104)</f>
        <v>0</v>
      </c>
      <c r="AD104" s="674">
        <f>INDEX('DEFAULT DATA'!$GQ$9:$IV$41,AD$82,$E104)</f>
        <v>0</v>
      </c>
      <c r="AE104" s="674">
        <f>INDEX('DEFAULT DATA'!$GQ$9:$IV$41,AE$82,$E104)</f>
        <v>0</v>
      </c>
      <c r="AF104" s="674">
        <f>INDEX('DEFAULT DATA'!$GQ$9:$IV$41,AF$82,$E104)</f>
        <v>0</v>
      </c>
      <c r="AG104" s="674">
        <f>INDEX('DEFAULT DATA'!$GQ$9:$IV$41,AG$82,$E104)</f>
        <v>0</v>
      </c>
      <c r="AH104" s="674">
        <f>INDEX('DEFAULT DATA'!$GQ$9:$IV$41,AH$82,$E104)</f>
        <v>0</v>
      </c>
      <c r="AI104" s="674">
        <f>INDEX('DEFAULT DATA'!$GQ$9:$IV$41,AI$82,$E104)</f>
        <v>0</v>
      </c>
      <c r="AJ104" s="674">
        <f>INDEX('DEFAULT DATA'!$GQ$9:$IV$41,AJ$82,$E104)</f>
        <v>0</v>
      </c>
      <c r="AK104" s="674">
        <f>INDEX('DEFAULT DATA'!$GQ$9:$IV$41,AK$82,$E104)</f>
        <v>0</v>
      </c>
    </row>
    <row r="105" spans="5:37">
      <c r="E105" s="61">
        <f t="shared" si="6"/>
        <v>22</v>
      </c>
      <c r="F105" s="674">
        <f>INDEX('DEFAULT DATA'!$GQ$9:$IV$41,F$82,$E105)</f>
        <v>0</v>
      </c>
      <c r="G105" s="674">
        <f>INDEX('DEFAULT DATA'!$GQ$9:$IV$41,G$82,$E105)</f>
        <v>0</v>
      </c>
      <c r="H105" s="674">
        <f>INDEX('DEFAULT DATA'!$GQ$9:$IV$41,H$82,$E105)</f>
        <v>0</v>
      </c>
      <c r="I105" s="674">
        <f>INDEX('DEFAULT DATA'!$GQ$9:$IV$41,I$82,$E105)</f>
        <v>0</v>
      </c>
      <c r="J105" s="674">
        <f>INDEX('DEFAULT DATA'!$GQ$9:$IV$41,J$82,$E105)</f>
        <v>0</v>
      </c>
      <c r="K105" s="674">
        <f>INDEX('DEFAULT DATA'!$GQ$9:$IV$41,K$82,$E105)</f>
        <v>0</v>
      </c>
      <c r="L105" s="674">
        <f>INDEX('DEFAULT DATA'!$GQ$9:$IV$41,L$82,$E105)</f>
        <v>0</v>
      </c>
      <c r="M105" s="674">
        <f>INDEX('DEFAULT DATA'!$GQ$9:$IV$41,M$82,$E105)</f>
        <v>0</v>
      </c>
      <c r="N105" s="674">
        <f>INDEX('DEFAULT DATA'!$GQ$9:$IV$41,N$82,$E105)</f>
        <v>0</v>
      </c>
      <c r="O105" s="674">
        <f>INDEX('DEFAULT DATA'!$GQ$9:$IV$41,O$82,$E105)</f>
        <v>212.05120784088928</v>
      </c>
      <c r="P105" s="674">
        <f>INDEX('DEFAULT DATA'!$GQ$9:$IV$41,P$82,$E105)</f>
        <v>114.04487133538815</v>
      </c>
      <c r="Q105" s="674">
        <f>INDEX('DEFAULT DATA'!$GQ$9:$IV$41,Q$82,$E105)</f>
        <v>0</v>
      </c>
      <c r="R105" s="674">
        <f>INDEX('DEFAULT DATA'!$GQ$9:$IV$41,R$82,$E105)</f>
        <v>0</v>
      </c>
      <c r="S105" s="674">
        <f>INDEX('DEFAULT DATA'!$GQ$9:$IV$41,S$82,$E105)</f>
        <v>0</v>
      </c>
      <c r="T105" s="674">
        <f>INDEX('DEFAULT DATA'!$GQ$9:$IV$41,T$82,$E105)</f>
        <v>0</v>
      </c>
      <c r="U105" s="674">
        <f>INDEX('DEFAULT DATA'!$GQ$9:$IV$41,U$82,$E105)</f>
        <v>0</v>
      </c>
      <c r="V105" s="674">
        <f>INDEX('DEFAULT DATA'!$GQ$9:$IV$41,V$82,$E105)</f>
        <v>0</v>
      </c>
      <c r="W105" s="674">
        <f>INDEX('DEFAULT DATA'!$GQ$9:$IV$41,W$82,$E105)</f>
        <v>0</v>
      </c>
      <c r="X105" s="674">
        <f>INDEX('DEFAULT DATA'!$GQ$9:$IV$41,X$82,$E105)</f>
        <v>0</v>
      </c>
      <c r="Y105" s="674">
        <f>INDEX('DEFAULT DATA'!$GQ$9:$IV$41,Y$82,$E105)</f>
        <v>0</v>
      </c>
      <c r="Z105" s="674">
        <f>INDEX('DEFAULT DATA'!$GQ$9:$IV$41,Z$82,$E105)</f>
        <v>0</v>
      </c>
      <c r="AA105" s="674">
        <f>INDEX('DEFAULT DATA'!$GQ$9:$IV$41,AA$82,$E105)</f>
        <v>0</v>
      </c>
      <c r="AB105" s="674">
        <f>INDEX('DEFAULT DATA'!$GQ$9:$IV$41,AB$82,$E105)</f>
        <v>0</v>
      </c>
      <c r="AC105" s="674">
        <f>INDEX('DEFAULT DATA'!$GQ$9:$IV$41,AC$82,$E105)</f>
        <v>0</v>
      </c>
      <c r="AD105" s="674">
        <f>INDEX('DEFAULT DATA'!$GQ$9:$IV$41,AD$82,$E105)</f>
        <v>0</v>
      </c>
      <c r="AE105" s="674">
        <f>INDEX('DEFAULT DATA'!$GQ$9:$IV$41,AE$82,$E105)</f>
        <v>0</v>
      </c>
      <c r="AF105" s="674">
        <f>INDEX('DEFAULT DATA'!$GQ$9:$IV$41,AF$82,$E105)</f>
        <v>0</v>
      </c>
      <c r="AG105" s="674">
        <f>INDEX('DEFAULT DATA'!$GQ$9:$IV$41,AG$82,$E105)</f>
        <v>0</v>
      </c>
      <c r="AH105" s="674">
        <f>INDEX('DEFAULT DATA'!$GQ$9:$IV$41,AH$82,$E105)</f>
        <v>0</v>
      </c>
      <c r="AI105" s="674">
        <f>INDEX('DEFAULT DATA'!$GQ$9:$IV$41,AI$82,$E105)</f>
        <v>0</v>
      </c>
      <c r="AJ105" s="674">
        <f>INDEX('DEFAULT DATA'!$GQ$9:$IV$41,AJ$82,$E105)</f>
        <v>0</v>
      </c>
      <c r="AK105" s="674">
        <f>INDEX('DEFAULT DATA'!$GQ$9:$IV$41,AK$82,$E105)</f>
        <v>0</v>
      </c>
    </row>
    <row r="106" spans="5:37">
      <c r="E106" s="61">
        <f t="shared" si="6"/>
        <v>23</v>
      </c>
      <c r="F106" s="674">
        <f>INDEX('DEFAULT DATA'!$GQ$9:$IV$41,F$82,$E106)</f>
        <v>0</v>
      </c>
      <c r="G106" s="674">
        <f>INDEX('DEFAULT DATA'!$GQ$9:$IV$41,G$82,$E106)</f>
        <v>0</v>
      </c>
      <c r="H106" s="674">
        <f>INDEX('DEFAULT DATA'!$GQ$9:$IV$41,H$82,$E106)</f>
        <v>0</v>
      </c>
      <c r="I106" s="674">
        <f>INDEX('DEFAULT DATA'!$GQ$9:$IV$41,I$82,$E106)</f>
        <v>0</v>
      </c>
      <c r="J106" s="674">
        <f>INDEX('DEFAULT DATA'!$GQ$9:$IV$41,J$82,$E106)</f>
        <v>0</v>
      </c>
      <c r="K106" s="674">
        <f>INDEX('DEFAULT DATA'!$GQ$9:$IV$41,K$82,$E106)</f>
        <v>0</v>
      </c>
      <c r="L106" s="674">
        <f>INDEX('DEFAULT DATA'!$GQ$9:$IV$41,L$82,$E106)</f>
        <v>0</v>
      </c>
      <c r="M106" s="674">
        <f>INDEX('DEFAULT DATA'!$GQ$9:$IV$41,M$82,$E106)</f>
        <v>0</v>
      </c>
      <c r="N106" s="674">
        <f>INDEX('DEFAULT DATA'!$GQ$9:$IV$41,N$82,$E106)</f>
        <v>0</v>
      </c>
      <c r="O106" s="674">
        <f>INDEX('DEFAULT DATA'!$GQ$9:$IV$41,O$82,$E106)</f>
        <v>759.91047178475674</v>
      </c>
      <c r="P106" s="674">
        <f>INDEX('DEFAULT DATA'!$GQ$9:$IV$41,P$82,$E106)</f>
        <v>49.453085800301061</v>
      </c>
      <c r="Q106" s="674">
        <f>INDEX('DEFAULT DATA'!$GQ$9:$IV$41,Q$82,$E106)</f>
        <v>0</v>
      </c>
      <c r="R106" s="674">
        <f>INDEX('DEFAULT DATA'!$GQ$9:$IV$41,R$82,$E106)</f>
        <v>0</v>
      </c>
      <c r="S106" s="674">
        <f>INDEX('DEFAULT DATA'!$GQ$9:$IV$41,S$82,$E106)</f>
        <v>0</v>
      </c>
      <c r="T106" s="674">
        <f>INDEX('DEFAULT DATA'!$GQ$9:$IV$41,T$82,$E106)</f>
        <v>0</v>
      </c>
      <c r="U106" s="674">
        <f>INDEX('DEFAULT DATA'!$GQ$9:$IV$41,U$82,$E106)</f>
        <v>0</v>
      </c>
      <c r="V106" s="674">
        <f>INDEX('DEFAULT DATA'!$GQ$9:$IV$41,V$82,$E106)</f>
        <v>0</v>
      </c>
      <c r="W106" s="674">
        <f>INDEX('DEFAULT DATA'!$GQ$9:$IV$41,W$82,$E106)</f>
        <v>0</v>
      </c>
      <c r="X106" s="674">
        <f>INDEX('DEFAULT DATA'!$GQ$9:$IV$41,X$82,$E106)</f>
        <v>0</v>
      </c>
      <c r="Y106" s="674">
        <f>INDEX('DEFAULT DATA'!$GQ$9:$IV$41,Y$82,$E106)</f>
        <v>0</v>
      </c>
      <c r="Z106" s="674">
        <f>INDEX('DEFAULT DATA'!$GQ$9:$IV$41,Z$82,$E106)</f>
        <v>0</v>
      </c>
      <c r="AA106" s="674">
        <f>INDEX('DEFAULT DATA'!$GQ$9:$IV$41,AA$82,$E106)</f>
        <v>0</v>
      </c>
      <c r="AB106" s="674">
        <f>INDEX('DEFAULT DATA'!$GQ$9:$IV$41,AB$82,$E106)</f>
        <v>0</v>
      </c>
      <c r="AC106" s="674">
        <f>INDEX('DEFAULT DATA'!$GQ$9:$IV$41,AC$82,$E106)</f>
        <v>0</v>
      </c>
      <c r="AD106" s="674">
        <f>INDEX('DEFAULT DATA'!$GQ$9:$IV$41,AD$82,$E106)</f>
        <v>0</v>
      </c>
      <c r="AE106" s="674">
        <f>INDEX('DEFAULT DATA'!$GQ$9:$IV$41,AE$82,$E106)</f>
        <v>0</v>
      </c>
      <c r="AF106" s="674">
        <f>INDEX('DEFAULT DATA'!$GQ$9:$IV$41,AF$82,$E106)</f>
        <v>0</v>
      </c>
      <c r="AG106" s="674">
        <f>INDEX('DEFAULT DATA'!$GQ$9:$IV$41,AG$82,$E106)</f>
        <v>0</v>
      </c>
      <c r="AH106" s="674">
        <f>INDEX('DEFAULT DATA'!$GQ$9:$IV$41,AH$82,$E106)</f>
        <v>0</v>
      </c>
      <c r="AI106" s="674">
        <f>INDEX('DEFAULT DATA'!$GQ$9:$IV$41,AI$82,$E106)</f>
        <v>0</v>
      </c>
      <c r="AJ106" s="674">
        <f>INDEX('DEFAULT DATA'!$GQ$9:$IV$41,AJ$82,$E106)</f>
        <v>0</v>
      </c>
      <c r="AK106" s="674">
        <f>INDEX('DEFAULT DATA'!$GQ$9:$IV$41,AK$82,$E106)</f>
        <v>0</v>
      </c>
    </row>
    <row r="107" spans="5:37">
      <c r="E107" s="61">
        <f t="shared" si="6"/>
        <v>24</v>
      </c>
      <c r="F107" s="674">
        <f>INDEX('DEFAULT DATA'!$GQ$9:$IV$41,F$82,$E107)</f>
        <v>0</v>
      </c>
      <c r="G107" s="674">
        <f>INDEX('DEFAULT DATA'!$GQ$9:$IV$41,G$82,$E107)</f>
        <v>0</v>
      </c>
      <c r="H107" s="674">
        <f>INDEX('DEFAULT DATA'!$GQ$9:$IV$41,H$82,$E107)</f>
        <v>0</v>
      </c>
      <c r="I107" s="674">
        <f>INDEX('DEFAULT DATA'!$GQ$9:$IV$41,I$82,$E107)</f>
        <v>0</v>
      </c>
      <c r="J107" s="674">
        <f>INDEX('DEFAULT DATA'!$GQ$9:$IV$41,J$82,$E107)</f>
        <v>0</v>
      </c>
      <c r="K107" s="674">
        <f>INDEX('DEFAULT DATA'!$GQ$9:$IV$41,K$82,$E107)</f>
        <v>0</v>
      </c>
      <c r="L107" s="674">
        <f>INDEX('DEFAULT DATA'!$GQ$9:$IV$41,L$82,$E107)</f>
        <v>0</v>
      </c>
      <c r="M107" s="674">
        <f>INDEX('DEFAULT DATA'!$GQ$9:$IV$41,M$82,$E107)</f>
        <v>0</v>
      </c>
      <c r="N107" s="674">
        <f>INDEX('DEFAULT DATA'!$GQ$9:$IV$41,N$82,$E107)</f>
        <v>0</v>
      </c>
      <c r="O107" s="674">
        <f>INDEX('DEFAULT DATA'!$GQ$9:$IV$41,O$82,$E107)</f>
        <v>81.057116990374041</v>
      </c>
      <c r="P107" s="674">
        <f>INDEX('DEFAULT DATA'!$GQ$9:$IV$41,P$82,$E107)</f>
        <v>132.21131101713138</v>
      </c>
      <c r="Q107" s="674">
        <f>INDEX('DEFAULT DATA'!$GQ$9:$IV$41,Q$82,$E107)</f>
        <v>0</v>
      </c>
      <c r="R107" s="674">
        <f>INDEX('DEFAULT DATA'!$GQ$9:$IV$41,R$82,$E107)</f>
        <v>0</v>
      </c>
      <c r="S107" s="674">
        <f>INDEX('DEFAULT DATA'!$GQ$9:$IV$41,S$82,$E107)</f>
        <v>0</v>
      </c>
      <c r="T107" s="674">
        <f>INDEX('DEFAULT DATA'!$GQ$9:$IV$41,T$82,$E107)</f>
        <v>0</v>
      </c>
      <c r="U107" s="674">
        <f>INDEX('DEFAULT DATA'!$GQ$9:$IV$41,U$82,$E107)</f>
        <v>0</v>
      </c>
      <c r="V107" s="674">
        <f>INDEX('DEFAULT DATA'!$GQ$9:$IV$41,V$82,$E107)</f>
        <v>0</v>
      </c>
      <c r="W107" s="674">
        <f>INDEX('DEFAULT DATA'!$GQ$9:$IV$41,W$82,$E107)</f>
        <v>0</v>
      </c>
      <c r="X107" s="674">
        <f>INDEX('DEFAULT DATA'!$GQ$9:$IV$41,X$82,$E107)</f>
        <v>0</v>
      </c>
      <c r="Y107" s="674">
        <f>INDEX('DEFAULT DATA'!$GQ$9:$IV$41,Y$82,$E107)</f>
        <v>0</v>
      </c>
      <c r="Z107" s="674">
        <f>INDEX('DEFAULT DATA'!$GQ$9:$IV$41,Z$82,$E107)</f>
        <v>0</v>
      </c>
      <c r="AA107" s="674">
        <f>INDEX('DEFAULT DATA'!$GQ$9:$IV$41,AA$82,$E107)</f>
        <v>0</v>
      </c>
      <c r="AB107" s="674">
        <f>INDEX('DEFAULT DATA'!$GQ$9:$IV$41,AB$82,$E107)</f>
        <v>0</v>
      </c>
      <c r="AC107" s="674">
        <f>INDEX('DEFAULT DATA'!$GQ$9:$IV$41,AC$82,$E107)</f>
        <v>0</v>
      </c>
      <c r="AD107" s="674">
        <f>INDEX('DEFAULT DATA'!$GQ$9:$IV$41,AD$82,$E107)</f>
        <v>0</v>
      </c>
      <c r="AE107" s="674">
        <f>INDEX('DEFAULT DATA'!$GQ$9:$IV$41,AE$82,$E107)</f>
        <v>0</v>
      </c>
      <c r="AF107" s="674">
        <f>INDEX('DEFAULT DATA'!$GQ$9:$IV$41,AF$82,$E107)</f>
        <v>0</v>
      </c>
      <c r="AG107" s="674">
        <f>INDEX('DEFAULT DATA'!$GQ$9:$IV$41,AG$82,$E107)</f>
        <v>0</v>
      </c>
      <c r="AH107" s="674">
        <f>INDEX('DEFAULT DATA'!$GQ$9:$IV$41,AH$82,$E107)</f>
        <v>0</v>
      </c>
      <c r="AI107" s="674">
        <f>INDEX('DEFAULT DATA'!$GQ$9:$IV$41,AI$82,$E107)</f>
        <v>0</v>
      </c>
      <c r="AJ107" s="674">
        <f>INDEX('DEFAULT DATA'!$GQ$9:$IV$41,AJ$82,$E107)</f>
        <v>0</v>
      </c>
      <c r="AK107" s="674">
        <f>INDEX('DEFAULT DATA'!$GQ$9:$IV$41,AK$82,$E107)</f>
        <v>0</v>
      </c>
    </row>
    <row r="108" spans="5:37">
      <c r="E108" s="61">
        <f t="shared" si="6"/>
        <v>25</v>
      </c>
      <c r="F108" s="674">
        <f>INDEX('DEFAULT DATA'!$GQ$9:$IV$41,F$82,$E108)</f>
        <v>0</v>
      </c>
      <c r="G108" s="674">
        <f>INDEX('DEFAULT DATA'!$GQ$9:$IV$41,G$82,$E108)</f>
        <v>0</v>
      </c>
      <c r="H108" s="674">
        <f>INDEX('DEFAULT DATA'!$GQ$9:$IV$41,H$82,$E108)</f>
        <v>0</v>
      </c>
      <c r="I108" s="674">
        <f>INDEX('DEFAULT DATA'!$GQ$9:$IV$41,I$82,$E108)</f>
        <v>0</v>
      </c>
      <c r="J108" s="674">
        <f>INDEX('DEFAULT DATA'!$GQ$9:$IV$41,J$82,$E108)</f>
        <v>0</v>
      </c>
      <c r="K108" s="674">
        <f>INDEX('DEFAULT DATA'!$GQ$9:$IV$41,K$82,$E108)</f>
        <v>0</v>
      </c>
      <c r="L108" s="674">
        <f>INDEX('DEFAULT DATA'!$GQ$9:$IV$41,L$82,$E108)</f>
        <v>0</v>
      </c>
      <c r="M108" s="674">
        <f>INDEX('DEFAULT DATA'!$GQ$9:$IV$41,M$82,$E108)</f>
        <v>0</v>
      </c>
      <c r="N108" s="674">
        <f>INDEX('DEFAULT DATA'!$GQ$9:$IV$41,N$82,$E108)</f>
        <v>0</v>
      </c>
      <c r="O108" s="674">
        <f>INDEX('DEFAULT DATA'!$GQ$9:$IV$41,O$82,$E108)</f>
        <v>109.28236308523644</v>
      </c>
      <c r="P108" s="674">
        <f>INDEX('DEFAULT DATA'!$GQ$9:$IV$41,P$82,$E108)</f>
        <v>163.75026879793566</v>
      </c>
      <c r="Q108" s="674">
        <f>INDEX('DEFAULT DATA'!$GQ$9:$IV$41,Q$82,$E108)</f>
        <v>0</v>
      </c>
      <c r="R108" s="674">
        <f>INDEX('DEFAULT DATA'!$GQ$9:$IV$41,R$82,$E108)</f>
        <v>0</v>
      </c>
      <c r="S108" s="674">
        <f>INDEX('DEFAULT DATA'!$GQ$9:$IV$41,S$82,$E108)</f>
        <v>0</v>
      </c>
      <c r="T108" s="674">
        <f>INDEX('DEFAULT DATA'!$GQ$9:$IV$41,T$82,$E108)</f>
        <v>0</v>
      </c>
      <c r="U108" s="674">
        <f>INDEX('DEFAULT DATA'!$GQ$9:$IV$41,U$82,$E108)</f>
        <v>0</v>
      </c>
      <c r="V108" s="674">
        <f>INDEX('DEFAULT DATA'!$GQ$9:$IV$41,V$82,$E108)</f>
        <v>0</v>
      </c>
      <c r="W108" s="674">
        <f>INDEX('DEFAULT DATA'!$GQ$9:$IV$41,W$82,$E108)</f>
        <v>0</v>
      </c>
      <c r="X108" s="674">
        <f>INDEX('DEFAULT DATA'!$GQ$9:$IV$41,X$82,$E108)</f>
        <v>0</v>
      </c>
      <c r="Y108" s="674">
        <f>INDEX('DEFAULT DATA'!$GQ$9:$IV$41,Y$82,$E108)</f>
        <v>0</v>
      </c>
      <c r="Z108" s="674">
        <f>INDEX('DEFAULT DATA'!$GQ$9:$IV$41,Z$82,$E108)</f>
        <v>0</v>
      </c>
      <c r="AA108" s="674">
        <f>INDEX('DEFAULT DATA'!$GQ$9:$IV$41,AA$82,$E108)</f>
        <v>0</v>
      </c>
      <c r="AB108" s="674">
        <f>INDEX('DEFAULT DATA'!$GQ$9:$IV$41,AB$82,$E108)</f>
        <v>0</v>
      </c>
      <c r="AC108" s="674">
        <f>INDEX('DEFAULT DATA'!$GQ$9:$IV$41,AC$82,$E108)</f>
        <v>0</v>
      </c>
      <c r="AD108" s="674">
        <f>INDEX('DEFAULT DATA'!$GQ$9:$IV$41,AD$82,$E108)</f>
        <v>0</v>
      </c>
      <c r="AE108" s="674">
        <f>INDEX('DEFAULT DATA'!$GQ$9:$IV$41,AE$82,$E108)</f>
        <v>0</v>
      </c>
      <c r="AF108" s="674">
        <f>INDEX('DEFAULT DATA'!$GQ$9:$IV$41,AF$82,$E108)</f>
        <v>0</v>
      </c>
      <c r="AG108" s="674">
        <f>INDEX('DEFAULT DATA'!$GQ$9:$IV$41,AG$82,$E108)</f>
        <v>0</v>
      </c>
      <c r="AH108" s="674">
        <f>INDEX('DEFAULT DATA'!$GQ$9:$IV$41,AH$82,$E108)</f>
        <v>0</v>
      </c>
      <c r="AI108" s="674">
        <f>INDEX('DEFAULT DATA'!$GQ$9:$IV$41,AI$82,$E108)</f>
        <v>0</v>
      </c>
      <c r="AJ108" s="674">
        <f>INDEX('DEFAULT DATA'!$GQ$9:$IV$41,AJ$82,$E108)</f>
        <v>0</v>
      </c>
      <c r="AK108" s="674">
        <f>INDEX('DEFAULT DATA'!$GQ$9:$IV$41,AK$82,$E108)</f>
        <v>0</v>
      </c>
    </row>
    <row r="109" spans="5:37">
      <c r="E109" s="61">
        <f t="shared" si="6"/>
        <v>26</v>
      </c>
      <c r="F109" s="674">
        <f>INDEX('DEFAULT DATA'!$GQ$9:$IV$41,F$82,$E109)</f>
        <v>0</v>
      </c>
      <c r="G109" s="674">
        <f>INDEX('DEFAULT DATA'!$GQ$9:$IV$41,G$82,$E109)</f>
        <v>0</v>
      </c>
      <c r="H109" s="674">
        <f>INDEX('DEFAULT DATA'!$GQ$9:$IV$41,H$82,$E109)</f>
        <v>0</v>
      </c>
      <c r="I109" s="674">
        <f>INDEX('DEFAULT DATA'!$GQ$9:$IV$41,I$82,$E109)</f>
        <v>0</v>
      </c>
      <c r="J109" s="674">
        <f>INDEX('DEFAULT DATA'!$GQ$9:$IV$41,J$82,$E109)</f>
        <v>0</v>
      </c>
      <c r="K109" s="674">
        <f>INDEX('DEFAULT DATA'!$GQ$9:$IV$41,K$82,$E109)</f>
        <v>0</v>
      </c>
      <c r="L109" s="674">
        <f>INDEX('DEFAULT DATA'!$GQ$9:$IV$41,L$82,$E109)</f>
        <v>0</v>
      </c>
      <c r="M109" s="674">
        <f>INDEX('DEFAULT DATA'!$GQ$9:$IV$41,M$82,$E109)</f>
        <v>0</v>
      </c>
      <c r="N109" s="674">
        <f>INDEX('DEFAULT DATA'!$GQ$9:$IV$41,N$82,$E109)</f>
        <v>0</v>
      </c>
      <c r="O109" s="674">
        <f>INDEX('DEFAULT DATA'!$GQ$9:$IV$41,O$82,$E109)</f>
        <v>84.675738284587183</v>
      </c>
      <c r="P109" s="674">
        <f>INDEX('DEFAULT DATA'!$GQ$9:$IV$41,P$82,$E109)</f>
        <v>169.80574869185006</v>
      </c>
      <c r="Q109" s="674">
        <f>INDEX('DEFAULT DATA'!$GQ$9:$IV$41,Q$82,$E109)</f>
        <v>0</v>
      </c>
      <c r="R109" s="674">
        <f>INDEX('DEFAULT DATA'!$GQ$9:$IV$41,R$82,$E109)</f>
        <v>0</v>
      </c>
      <c r="S109" s="674">
        <f>INDEX('DEFAULT DATA'!$GQ$9:$IV$41,S$82,$E109)</f>
        <v>0</v>
      </c>
      <c r="T109" s="674">
        <f>INDEX('DEFAULT DATA'!$GQ$9:$IV$41,T$82,$E109)</f>
        <v>0</v>
      </c>
      <c r="U109" s="674">
        <f>INDEX('DEFAULT DATA'!$GQ$9:$IV$41,U$82,$E109)</f>
        <v>0</v>
      </c>
      <c r="V109" s="674">
        <f>INDEX('DEFAULT DATA'!$GQ$9:$IV$41,V$82,$E109)</f>
        <v>0</v>
      </c>
      <c r="W109" s="674">
        <f>INDEX('DEFAULT DATA'!$GQ$9:$IV$41,W$82,$E109)</f>
        <v>0</v>
      </c>
      <c r="X109" s="674">
        <f>INDEX('DEFAULT DATA'!$GQ$9:$IV$41,X$82,$E109)</f>
        <v>0</v>
      </c>
      <c r="Y109" s="674">
        <f>INDEX('DEFAULT DATA'!$GQ$9:$IV$41,Y$82,$E109)</f>
        <v>0</v>
      </c>
      <c r="Z109" s="674">
        <f>INDEX('DEFAULT DATA'!$GQ$9:$IV$41,Z$82,$E109)</f>
        <v>0</v>
      </c>
      <c r="AA109" s="674">
        <f>INDEX('DEFAULT DATA'!$GQ$9:$IV$41,AA$82,$E109)</f>
        <v>0</v>
      </c>
      <c r="AB109" s="674">
        <f>INDEX('DEFAULT DATA'!$GQ$9:$IV$41,AB$82,$E109)</f>
        <v>0</v>
      </c>
      <c r="AC109" s="674">
        <f>INDEX('DEFAULT DATA'!$GQ$9:$IV$41,AC$82,$E109)</f>
        <v>0</v>
      </c>
      <c r="AD109" s="674">
        <f>INDEX('DEFAULT DATA'!$GQ$9:$IV$41,AD$82,$E109)</f>
        <v>0</v>
      </c>
      <c r="AE109" s="674">
        <f>INDEX('DEFAULT DATA'!$GQ$9:$IV$41,AE$82,$E109)</f>
        <v>0</v>
      </c>
      <c r="AF109" s="674">
        <f>INDEX('DEFAULT DATA'!$GQ$9:$IV$41,AF$82,$E109)</f>
        <v>0</v>
      </c>
      <c r="AG109" s="674">
        <f>INDEX('DEFAULT DATA'!$GQ$9:$IV$41,AG$82,$E109)</f>
        <v>0</v>
      </c>
      <c r="AH109" s="674">
        <f>INDEX('DEFAULT DATA'!$GQ$9:$IV$41,AH$82,$E109)</f>
        <v>0</v>
      </c>
      <c r="AI109" s="674">
        <f>INDEX('DEFAULT DATA'!$GQ$9:$IV$41,AI$82,$E109)</f>
        <v>0</v>
      </c>
      <c r="AJ109" s="674">
        <f>INDEX('DEFAULT DATA'!$GQ$9:$IV$41,AJ$82,$E109)</f>
        <v>0</v>
      </c>
      <c r="AK109" s="674">
        <f>INDEX('DEFAULT DATA'!$GQ$9:$IV$41,AK$82,$E109)</f>
        <v>0</v>
      </c>
    </row>
    <row r="110" spans="5:37">
      <c r="E110" s="61">
        <f t="shared" si="6"/>
        <v>27</v>
      </c>
      <c r="F110" s="674">
        <f>INDEX('DEFAULT DATA'!$GQ$9:$IV$41,F$82,$E110)</f>
        <v>0</v>
      </c>
      <c r="G110" s="674">
        <f>INDEX('DEFAULT DATA'!$GQ$9:$IV$41,G$82,$E110)</f>
        <v>0</v>
      </c>
      <c r="H110" s="674">
        <f>INDEX('DEFAULT DATA'!$GQ$9:$IV$41,H$82,$E110)</f>
        <v>0</v>
      </c>
      <c r="I110" s="674">
        <f>INDEX('DEFAULT DATA'!$GQ$9:$IV$41,I$82,$E110)</f>
        <v>0</v>
      </c>
      <c r="J110" s="674">
        <f>INDEX('DEFAULT DATA'!$GQ$9:$IV$41,J$82,$E110)</f>
        <v>0</v>
      </c>
      <c r="K110" s="674">
        <f>INDEX('DEFAULT DATA'!$GQ$9:$IV$41,K$82,$E110)</f>
        <v>0</v>
      </c>
      <c r="L110" s="674">
        <f>INDEX('DEFAULT DATA'!$GQ$9:$IV$41,L$82,$E110)</f>
        <v>0</v>
      </c>
      <c r="M110" s="674">
        <f>INDEX('DEFAULT DATA'!$GQ$9:$IV$41,M$82,$E110)</f>
        <v>0</v>
      </c>
      <c r="N110" s="674">
        <f>INDEX('DEFAULT DATA'!$GQ$9:$IV$41,N$82,$E110)</f>
        <v>0</v>
      </c>
      <c r="O110" s="674">
        <f>INDEX('DEFAULT DATA'!$GQ$9:$IV$41,O$82,$E110)</f>
        <v>401.66696365765716</v>
      </c>
      <c r="P110" s="674">
        <f>INDEX('DEFAULT DATA'!$GQ$9:$IV$41,P$82,$E110)</f>
        <v>49.200774138054626</v>
      </c>
      <c r="Q110" s="674">
        <f>INDEX('DEFAULT DATA'!$GQ$9:$IV$41,Q$82,$E110)</f>
        <v>0</v>
      </c>
      <c r="R110" s="674">
        <f>INDEX('DEFAULT DATA'!$GQ$9:$IV$41,R$82,$E110)</f>
        <v>0</v>
      </c>
      <c r="S110" s="674">
        <f>INDEX('DEFAULT DATA'!$GQ$9:$IV$41,S$82,$E110)</f>
        <v>0</v>
      </c>
      <c r="T110" s="674">
        <f>INDEX('DEFAULT DATA'!$GQ$9:$IV$41,T$82,$E110)</f>
        <v>0</v>
      </c>
      <c r="U110" s="674">
        <f>INDEX('DEFAULT DATA'!$GQ$9:$IV$41,U$82,$E110)</f>
        <v>0</v>
      </c>
      <c r="V110" s="674">
        <f>INDEX('DEFAULT DATA'!$GQ$9:$IV$41,V$82,$E110)</f>
        <v>0</v>
      </c>
      <c r="W110" s="674">
        <f>INDEX('DEFAULT DATA'!$GQ$9:$IV$41,W$82,$E110)</f>
        <v>0</v>
      </c>
      <c r="X110" s="674">
        <f>INDEX('DEFAULT DATA'!$GQ$9:$IV$41,X$82,$E110)</f>
        <v>0</v>
      </c>
      <c r="Y110" s="674">
        <f>INDEX('DEFAULT DATA'!$GQ$9:$IV$41,Y$82,$E110)</f>
        <v>0</v>
      </c>
      <c r="Z110" s="674">
        <f>INDEX('DEFAULT DATA'!$GQ$9:$IV$41,Z$82,$E110)</f>
        <v>0</v>
      </c>
      <c r="AA110" s="674">
        <f>INDEX('DEFAULT DATA'!$GQ$9:$IV$41,AA$82,$E110)</f>
        <v>0</v>
      </c>
      <c r="AB110" s="674">
        <f>INDEX('DEFAULT DATA'!$GQ$9:$IV$41,AB$82,$E110)</f>
        <v>0</v>
      </c>
      <c r="AC110" s="674">
        <f>INDEX('DEFAULT DATA'!$GQ$9:$IV$41,AC$82,$E110)</f>
        <v>0</v>
      </c>
      <c r="AD110" s="674">
        <f>INDEX('DEFAULT DATA'!$GQ$9:$IV$41,AD$82,$E110)</f>
        <v>0</v>
      </c>
      <c r="AE110" s="674">
        <f>INDEX('DEFAULT DATA'!$GQ$9:$IV$41,AE$82,$E110)</f>
        <v>0</v>
      </c>
      <c r="AF110" s="674">
        <f>INDEX('DEFAULT DATA'!$GQ$9:$IV$41,AF$82,$E110)</f>
        <v>0</v>
      </c>
      <c r="AG110" s="674">
        <f>INDEX('DEFAULT DATA'!$GQ$9:$IV$41,AG$82,$E110)</f>
        <v>0</v>
      </c>
      <c r="AH110" s="674">
        <f>INDEX('DEFAULT DATA'!$GQ$9:$IV$41,AH$82,$E110)</f>
        <v>0</v>
      </c>
      <c r="AI110" s="674">
        <f>INDEX('DEFAULT DATA'!$GQ$9:$IV$41,AI$82,$E110)</f>
        <v>0</v>
      </c>
      <c r="AJ110" s="674">
        <f>INDEX('DEFAULT DATA'!$GQ$9:$IV$41,AJ$82,$E110)</f>
        <v>0</v>
      </c>
      <c r="AK110" s="674">
        <f>INDEX('DEFAULT DATA'!$GQ$9:$IV$41,AK$82,$E110)</f>
        <v>0</v>
      </c>
    </row>
    <row r="111" spans="5:37">
      <c r="E111" s="61">
        <f t="shared" si="6"/>
        <v>28</v>
      </c>
      <c r="F111" s="674">
        <f>INDEX('DEFAULT DATA'!$GQ$9:$IV$41,F$82,$E111)</f>
        <v>0</v>
      </c>
      <c r="G111" s="674">
        <f>INDEX('DEFAULT DATA'!$GQ$9:$IV$41,G$82,$E111)</f>
        <v>0</v>
      </c>
      <c r="H111" s="674">
        <f>INDEX('DEFAULT DATA'!$GQ$9:$IV$41,H$82,$E111)</f>
        <v>0</v>
      </c>
      <c r="I111" s="674">
        <f>INDEX('DEFAULT DATA'!$GQ$9:$IV$41,I$82,$E111)</f>
        <v>0</v>
      </c>
      <c r="J111" s="674">
        <f>INDEX('DEFAULT DATA'!$GQ$9:$IV$41,J$82,$E111)</f>
        <v>0</v>
      </c>
      <c r="K111" s="674">
        <f>INDEX('DEFAULT DATA'!$GQ$9:$IV$41,K$82,$E111)</f>
        <v>0</v>
      </c>
      <c r="L111" s="674">
        <f>INDEX('DEFAULT DATA'!$GQ$9:$IV$41,L$82,$E111)</f>
        <v>0</v>
      </c>
      <c r="M111" s="674">
        <f>INDEX('DEFAULT DATA'!$GQ$9:$IV$41,M$82,$E111)</f>
        <v>0</v>
      </c>
      <c r="N111" s="674">
        <f>INDEX('DEFAULT DATA'!$GQ$9:$IV$41,N$82,$E111)</f>
        <v>0</v>
      </c>
      <c r="O111" s="674">
        <f>INDEX('DEFAULT DATA'!$GQ$9:$IV$41,O$82,$E111)</f>
        <v>79.609668472688796</v>
      </c>
      <c r="P111" s="674">
        <f>INDEX('DEFAULT DATA'!$GQ$9:$IV$41,P$82,$E111)</f>
        <v>70.647265429001521</v>
      </c>
      <c r="Q111" s="674">
        <f>INDEX('DEFAULT DATA'!$GQ$9:$IV$41,Q$82,$E111)</f>
        <v>0</v>
      </c>
      <c r="R111" s="674">
        <f>INDEX('DEFAULT DATA'!$GQ$9:$IV$41,R$82,$E111)</f>
        <v>0</v>
      </c>
      <c r="S111" s="674">
        <f>INDEX('DEFAULT DATA'!$GQ$9:$IV$41,S$82,$E111)</f>
        <v>0</v>
      </c>
      <c r="T111" s="674">
        <f>INDEX('DEFAULT DATA'!$GQ$9:$IV$41,T$82,$E111)</f>
        <v>0</v>
      </c>
      <c r="U111" s="674">
        <f>INDEX('DEFAULT DATA'!$GQ$9:$IV$41,U$82,$E111)</f>
        <v>0</v>
      </c>
      <c r="V111" s="674">
        <f>INDEX('DEFAULT DATA'!$GQ$9:$IV$41,V$82,$E111)</f>
        <v>0</v>
      </c>
      <c r="W111" s="674">
        <f>INDEX('DEFAULT DATA'!$GQ$9:$IV$41,W$82,$E111)</f>
        <v>0</v>
      </c>
      <c r="X111" s="674">
        <f>INDEX('DEFAULT DATA'!$GQ$9:$IV$41,X$82,$E111)</f>
        <v>0</v>
      </c>
      <c r="Y111" s="674">
        <f>INDEX('DEFAULT DATA'!$GQ$9:$IV$41,Y$82,$E111)</f>
        <v>0</v>
      </c>
      <c r="Z111" s="674">
        <f>INDEX('DEFAULT DATA'!$GQ$9:$IV$41,Z$82,$E111)</f>
        <v>0</v>
      </c>
      <c r="AA111" s="674">
        <f>INDEX('DEFAULT DATA'!$GQ$9:$IV$41,AA$82,$E111)</f>
        <v>0</v>
      </c>
      <c r="AB111" s="674">
        <f>INDEX('DEFAULT DATA'!$GQ$9:$IV$41,AB$82,$E111)</f>
        <v>0</v>
      </c>
      <c r="AC111" s="674">
        <f>INDEX('DEFAULT DATA'!$GQ$9:$IV$41,AC$82,$E111)</f>
        <v>0</v>
      </c>
      <c r="AD111" s="674">
        <f>INDEX('DEFAULT DATA'!$GQ$9:$IV$41,AD$82,$E111)</f>
        <v>0</v>
      </c>
      <c r="AE111" s="674">
        <f>INDEX('DEFAULT DATA'!$GQ$9:$IV$41,AE$82,$E111)</f>
        <v>0</v>
      </c>
      <c r="AF111" s="674">
        <f>INDEX('DEFAULT DATA'!$GQ$9:$IV$41,AF$82,$E111)</f>
        <v>0</v>
      </c>
      <c r="AG111" s="674">
        <f>INDEX('DEFAULT DATA'!$GQ$9:$IV$41,AG$82,$E111)</f>
        <v>0</v>
      </c>
      <c r="AH111" s="674">
        <f>INDEX('DEFAULT DATA'!$GQ$9:$IV$41,AH$82,$E111)</f>
        <v>0</v>
      </c>
      <c r="AI111" s="674">
        <f>INDEX('DEFAULT DATA'!$GQ$9:$IV$41,AI$82,$E111)</f>
        <v>0</v>
      </c>
      <c r="AJ111" s="674">
        <f>INDEX('DEFAULT DATA'!$GQ$9:$IV$41,AJ$82,$E111)</f>
        <v>0</v>
      </c>
      <c r="AK111" s="674">
        <f>INDEX('DEFAULT DATA'!$GQ$9:$IV$41,AK$82,$E111)</f>
        <v>0</v>
      </c>
    </row>
    <row r="112" spans="5:37">
      <c r="E112" s="61">
        <f t="shared" si="6"/>
        <v>29</v>
      </c>
      <c r="F112" s="674">
        <f>INDEX('DEFAULT DATA'!$GQ$9:$IV$41,F$82,$E112)</f>
        <v>0</v>
      </c>
      <c r="G112" s="674">
        <f>INDEX('DEFAULT DATA'!$GQ$9:$IV$41,G$82,$E112)</f>
        <v>0</v>
      </c>
      <c r="H112" s="674">
        <f>INDEX('DEFAULT DATA'!$GQ$9:$IV$41,H$82,$E112)</f>
        <v>0</v>
      </c>
      <c r="I112" s="674">
        <f>INDEX('DEFAULT DATA'!$GQ$9:$IV$41,I$82,$E112)</f>
        <v>0</v>
      </c>
      <c r="J112" s="674">
        <f>INDEX('DEFAULT DATA'!$GQ$9:$IV$41,J$82,$E112)</f>
        <v>0</v>
      </c>
      <c r="K112" s="674">
        <f>INDEX('DEFAULT DATA'!$GQ$9:$IV$41,K$82,$E112)</f>
        <v>0</v>
      </c>
      <c r="L112" s="674">
        <f>INDEX('DEFAULT DATA'!$GQ$9:$IV$41,L$82,$E112)</f>
        <v>0</v>
      </c>
      <c r="M112" s="674">
        <f>INDEX('DEFAULT DATA'!$GQ$9:$IV$41,M$82,$E112)</f>
        <v>0</v>
      </c>
      <c r="N112" s="674">
        <f>INDEX('DEFAULT DATA'!$GQ$9:$IV$41,N$82,$E112)</f>
        <v>0</v>
      </c>
      <c r="O112" s="674">
        <f>INDEX('DEFAULT DATA'!$GQ$9:$IV$41,O$82,$E112)</f>
        <v>108.55863882639383</v>
      </c>
      <c r="P112" s="674">
        <f>INDEX('DEFAULT DATA'!$GQ$9:$IV$41,P$82,$E112)</f>
        <v>53.490072396243995</v>
      </c>
      <c r="Q112" s="674">
        <f>INDEX('DEFAULT DATA'!$GQ$9:$IV$41,Q$82,$E112)</f>
        <v>0</v>
      </c>
      <c r="R112" s="674">
        <f>INDEX('DEFAULT DATA'!$GQ$9:$IV$41,R$82,$E112)</f>
        <v>0</v>
      </c>
      <c r="S112" s="674">
        <f>INDEX('DEFAULT DATA'!$GQ$9:$IV$41,S$82,$E112)</f>
        <v>0</v>
      </c>
      <c r="T112" s="674">
        <f>INDEX('DEFAULT DATA'!$GQ$9:$IV$41,T$82,$E112)</f>
        <v>0</v>
      </c>
      <c r="U112" s="674">
        <f>INDEX('DEFAULT DATA'!$GQ$9:$IV$41,U$82,$E112)</f>
        <v>0</v>
      </c>
      <c r="V112" s="674">
        <f>INDEX('DEFAULT DATA'!$GQ$9:$IV$41,V$82,$E112)</f>
        <v>0</v>
      </c>
      <c r="W112" s="674">
        <f>INDEX('DEFAULT DATA'!$GQ$9:$IV$41,W$82,$E112)</f>
        <v>0</v>
      </c>
      <c r="X112" s="674">
        <f>INDEX('DEFAULT DATA'!$GQ$9:$IV$41,X$82,$E112)</f>
        <v>0</v>
      </c>
      <c r="Y112" s="674">
        <f>INDEX('DEFAULT DATA'!$GQ$9:$IV$41,Y$82,$E112)</f>
        <v>0</v>
      </c>
      <c r="Z112" s="674">
        <f>INDEX('DEFAULT DATA'!$GQ$9:$IV$41,Z$82,$E112)</f>
        <v>0</v>
      </c>
      <c r="AA112" s="674">
        <f>INDEX('DEFAULT DATA'!$GQ$9:$IV$41,AA$82,$E112)</f>
        <v>0</v>
      </c>
      <c r="AB112" s="674">
        <f>INDEX('DEFAULT DATA'!$GQ$9:$IV$41,AB$82,$E112)</f>
        <v>0</v>
      </c>
      <c r="AC112" s="674">
        <f>INDEX('DEFAULT DATA'!$GQ$9:$IV$41,AC$82,$E112)</f>
        <v>0</v>
      </c>
      <c r="AD112" s="674">
        <f>INDEX('DEFAULT DATA'!$GQ$9:$IV$41,AD$82,$E112)</f>
        <v>0</v>
      </c>
      <c r="AE112" s="674">
        <f>INDEX('DEFAULT DATA'!$GQ$9:$IV$41,AE$82,$E112)</f>
        <v>0</v>
      </c>
      <c r="AF112" s="674">
        <f>INDEX('DEFAULT DATA'!$GQ$9:$IV$41,AF$82,$E112)</f>
        <v>0</v>
      </c>
      <c r="AG112" s="674">
        <f>INDEX('DEFAULT DATA'!$GQ$9:$IV$41,AG$82,$E112)</f>
        <v>0</v>
      </c>
      <c r="AH112" s="674">
        <f>INDEX('DEFAULT DATA'!$GQ$9:$IV$41,AH$82,$E112)</f>
        <v>0</v>
      </c>
      <c r="AI112" s="674">
        <f>INDEX('DEFAULT DATA'!$GQ$9:$IV$41,AI$82,$E112)</f>
        <v>0</v>
      </c>
      <c r="AJ112" s="674">
        <f>INDEX('DEFAULT DATA'!$GQ$9:$IV$41,AJ$82,$E112)</f>
        <v>0</v>
      </c>
      <c r="AK112" s="674">
        <f>INDEX('DEFAULT DATA'!$GQ$9:$IV$41,AK$82,$E112)</f>
        <v>0</v>
      </c>
    </row>
    <row r="113" spans="5:37">
      <c r="E113" s="61">
        <f t="shared" si="6"/>
        <v>30</v>
      </c>
      <c r="F113" s="674">
        <f>INDEX('DEFAULT DATA'!$GQ$9:$IV$41,F$82,$E113)</f>
        <v>0</v>
      </c>
      <c r="G113" s="674">
        <f>INDEX('DEFAULT DATA'!$GQ$9:$IV$41,G$82,$E113)</f>
        <v>0</v>
      </c>
      <c r="H113" s="674">
        <f>INDEX('DEFAULT DATA'!$GQ$9:$IV$41,H$82,$E113)</f>
        <v>0</v>
      </c>
      <c r="I113" s="674">
        <f>INDEX('DEFAULT DATA'!$GQ$9:$IV$41,I$82,$E113)</f>
        <v>0</v>
      </c>
      <c r="J113" s="674">
        <f>INDEX('DEFAULT DATA'!$GQ$9:$IV$41,J$82,$E113)</f>
        <v>0</v>
      </c>
      <c r="K113" s="674">
        <f>INDEX('DEFAULT DATA'!$GQ$9:$IV$41,K$82,$E113)</f>
        <v>0</v>
      </c>
      <c r="L113" s="674">
        <f>INDEX('DEFAULT DATA'!$GQ$9:$IV$41,L$82,$E113)</f>
        <v>0</v>
      </c>
      <c r="M113" s="674">
        <f>INDEX('DEFAULT DATA'!$GQ$9:$IV$41,M$82,$E113)</f>
        <v>0</v>
      </c>
      <c r="N113" s="674">
        <f>INDEX('DEFAULT DATA'!$GQ$9:$IV$41,N$82,$E113)</f>
        <v>0</v>
      </c>
      <c r="O113" s="674">
        <f>INDEX('DEFAULT DATA'!$GQ$9:$IV$41,O$82,$E113)</f>
        <v>132.44153936820047</v>
      </c>
      <c r="P113" s="674">
        <f>INDEX('DEFAULT DATA'!$GQ$9:$IV$41,P$82,$E113)</f>
        <v>29.772776145079209</v>
      </c>
      <c r="Q113" s="674">
        <f>INDEX('DEFAULT DATA'!$GQ$9:$IV$41,Q$82,$E113)</f>
        <v>0</v>
      </c>
      <c r="R113" s="674">
        <f>INDEX('DEFAULT DATA'!$GQ$9:$IV$41,R$82,$E113)</f>
        <v>0</v>
      </c>
      <c r="S113" s="674">
        <f>INDEX('DEFAULT DATA'!$GQ$9:$IV$41,S$82,$E113)</f>
        <v>0</v>
      </c>
      <c r="T113" s="674">
        <f>INDEX('DEFAULT DATA'!$GQ$9:$IV$41,T$82,$E113)</f>
        <v>0</v>
      </c>
      <c r="U113" s="674">
        <f>INDEX('DEFAULT DATA'!$GQ$9:$IV$41,U$82,$E113)</f>
        <v>0</v>
      </c>
      <c r="V113" s="674">
        <f>INDEX('DEFAULT DATA'!$GQ$9:$IV$41,V$82,$E113)</f>
        <v>0</v>
      </c>
      <c r="W113" s="674">
        <f>INDEX('DEFAULT DATA'!$GQ$9:$IV$41,W$82,$E113)</f>
        <v>0</v>
      </c>
      <c r="X113" s="674">
        <f>INDEX('DEFAULT DATA'!$GQ$9:$IV$41,X$82,$E113)</f>
        <v>0</v>
      </c>
      <c r="Y113" s="674">
        <f>INDEX('DEFAULT DATA'!$GQ$9:$IV$41,Y$82,$E113)</f>
        <v>0</v>
      </c>
      <c r="Z113" s="674">
        <f>INDEX('DEFAULT DATA'!$GQ$9:$IV$41,Z$82,$E113)</f>
        <v>0</v>
      </c>
      <c r="AA113" s="674">
        <f>INDEX('DEFAULT DATA'!$GQ$9:$IV$41,AA$82,$E113)</f>
        <v>0</v>
      </c>
      <c r="AB113" s="674">
        <f>INDEX('DEFAULT DATA'!$GQ$9:$IV$41,AB$82,$E113)</f>
        <v>0</v>
      </c>
      <c r="AC113" s="674">
        <f>INDEX('DEFAULT DATA'!$GQ$9:$IV$41,AC$82,$E113)</f>
        <v>0</v>
      </c>
      <c r="AD113" s="674">
        <f>INDEX('DEFAULT DATA'!$GQ$9:$IV$41,AD$82,$E113)</f>
        <v>0</v>
      </c>
      <c r="AE113" s="674">
        <f>INDEX('DEFAULT DATA'!$GQ$9:$IV$41,AE$82,$E113)</f>
        <v>0</v>
      </c>
      <c r="AF113" s="674">
        <f>INDEX('DEFAULT DATA'!$GQ$9:$IV$41,AF$82,$E113)</f>
        <v>0</v>
      </c>
      <c r="AG113" s="674">
        <f>INDEX('DEFAULT DATA'!$GQ$9:$IV$41,AG$82,$E113)</f>
        <v>0</v>
      </c>
      <c r="AH113" s="674">
        <f>INDEX('DEFAULT DATA'!$GQ$9:$IV$41,AH$82,$E113)</f>
        <v>0</v>
      </c>
      <c r="AI113" s="674">
        <f>INDEX('DEFAULT DATA'!$GQ$9:$IV$41,AI$82,$E113)</f>
        <v>0</v>
      </c>
      <c r="AJ113" s="674">
        <f>INDEX('DEFAULT DATA'!$GQ$9:$IV$41,AJ$82,$E113)</f>
        <v>0</v>
      </c>
      <c r="AK113" s="674">
        <f>INDEX('DEFAULT DATA'!$GQ$9:$IV$41,AK$82,$E113)</f>
        <v>0</v>
      </c>
    </row>
    <row r="114" spans="5:37">
      <c r="E114" s="61">
        <f t="shared" si="6"/>
        <v>31</v>
      </c>
      <c r="F114" s="674">
        <f>INDEX('DEFAULT DATA'!$GQ$9:$IV$41,F$82,$E114)</f>
        <v>0</v>
      </c>
      <c r="G114" s="674">
        <f>INDEX('DEFAULT DATA'!$GQ$9:$IV$41,G$82,$E114)</f>
        <v>0</v>
      </c>
      <c r="H114" s="674">
        <f>INDEX('DEFAULT DATA'!$GQ$9:$IV$41,H$82,$E114)</f>
        <v>0</v>
      </c>
      <c r="I114" s="674">
        <f>INDEX('DEFAULT DATA'!$GQ$9:$IV$41,I$82,$E114)</f>
        <v>0</v>
      </c>
      <c r="J114" s="674">
        <f>INDEX('DEFAULT DATA'!$GQ$9:$IV$41,J$82,$E114)</f>
        <v>0</v>
      </c>
      <c r="K114" s="674">
        <f>INDEX('DEFAULT DATA'!$GQ$9:$IV$41,K$82,$E114)</f>
        <v>0</v>
      </c>
      <c r="L114" s="674">
        <f>INDEX('DEFAULT DATA'!$GQ$9:$IV$41,L$82,$E114)</f>
        <v>0</v>
      </c>
      <c r="M114" s="674">
        <f>INDEX('DEFAULT DATA'!$GQ$9:$IV$41,M$82,$E114)</f>
        <v>0</v>
      </c>
      <c r="N114" s="674">
        <f>INDEX('DEFAULT DATA'!$GQ$9:$IV$41,N$82,$E114)</f>
        <v>0</v>
      </c>
      <c r="O114" s="674">
        <f>INDEX('DEFAULT DATA'!$GQ$9:$IV$41,O$82,$E114)</f>
        <v>0</v>
      </c>
      <c r="P114" s="674">
        <f>INDEX('DEFAULT DATA'!$GQ$9:$IV$41,P$82,$E114)</f>
        <v>63.077915561608492</v>
      </c>
      <c r="Q114" s="674">
        <f>INDEX('DEFAULT DATA'!$GQ$9:$IV$41,Q$82,$E114)</f>
        <v>0</v>
      </c>
      <c r="R114" s="674">
        <f>INDEX('DEFAULT DATA'!$GQ$9:$IV$41,R$82,$E114)</f>
        <v>0</v>
      </c>
      <c r="S114" s="674">
        <f>INDEX('DEFAULT DATA'!$GQ$9:$IV$41,S$82,$E114)</f>
        <v>0</v>
      </c>
      <c r="T114" s="674">
        <f>INDEX('DEFAULT DATA'!$GQ$9:$IV$41,T$82,$E114)</f>
        <v>0</v>
      </c>
      <c r="U114" s="674">
        <f>INDEX('DEFAULT DATA'!$GQ$9:$IV$41,U$82,$E114)</f>
        <v>0</v>
      </c>
      <c r="V114" s="674">
        <f>INDEX('DEFAULT DATA'!$GQ$9:$IV$41,V$82,$E114)</f>
        <v>0</v>
      </c>
      <c r="W114" s="674">
        <f>INDEX('DEFAULT DATA'!$GQ$9:$IV$41,W$82,$E114)</f>
        <v>0</v>
      </c>
      <c r="X114" s="674">
        <f>INDEX('DEFAULT DATA'!$GQ$9:$IV$41,X$82,$E114)</f>
        <v>0</v>
      </c>
      <c r="Y114" s="674">
        <f>INDEX('DEFAULT DATA'!$GQ$9:$IV$41,Y$82,$E114)</f>
        <v>0</v>
      </c>
      <c r="Z114" s="674">
        <f>INDEX('DEFAULT DATA'!$GQ$9:$IV$41,Z$82,$E114)</f>
        <v>0</v>
      </c>
      <c r="AA114" s="674">
        <f>INDEX('DEFAULT DATA'!$GQ$9:$IV$41,AA$82,$E114)</f>
        <v>0</v>
      </c>
      <c r="AB114" s="674">
        <f>INDEX('DEFAULT DATA'!$GQ$9:$IV$41,AB$82,$E114)</f>
        <v>0</v>
      </c>
      <c r="AC114" s="674">
        <f>INDEX('DEFAULT DATA'!$GQ$9:$IV$41,AC$82,$E114)</f>
        <v>0</v>
      </c>
      <c r="AD114" s="674">
        <f>INDEX('DEFAULT DATA'!$GQ$9:$IV$41,AD$82,$E114)</f>
        <v>0</v>
      </c>
      <c r="AE114" s="674">
        <f>INDEX('DEFAULT DATA'!$GQ$9:$IV$41,AE$82,$E114)</f>
        <v>0</v>
      </c>
      <c r="AF114" s="674">
        <f>INDEX('DEFAULT DATA'!$GQ$9:$IV$41,AF$82,$E114)</f>
        <v>0</v>
      </c>
      <c r="AG114" s="674">
        <f>INDEX('DEFAULT DATA'!$GQ$9:$IV$41,AG$82,$E114)</f>
        <v>0</v>
      </c>
      <c r="AH114" s="674">
        <f>INDEX('DEFAULT DATA'!$GQ$9:$IV$41,AH$82,$E114)</f>
        <v>0</v>
      </c>
      <c r="AI114" s="674">
        <f>INDEX('DEFAULT DATA'!$GQ$9:$IV$41,AI$82,$E114)</f>
        <v>0</v>
      </c>
      <c r="AJ114" s="674">
        <f>INDEX('DEFAULT DATA'!$GQ$9:$IV$41,AJ$82,$E114)</f>
        <v>0</v>
      </c>
      <c r="AK114" s="674">
        <f>INDEX('DEFAULT DATA'!$GQ$9:$IV$41,AK$82,$E114)</f>
        <v>0</v>
      </c>
    </row>
    <row r="115" spans="5:37">
      <c r="E115" s="61">
        <f t="shared" si="6"/>
        <v>32</v>
      </c>
      <c r="F115" s="674">
        <f>INDEX('DEFAULT DATA'!$GQ$9:$IV$41,F$82,$E115)</f>
        <v>0</v>
      </c>
      <c r="G115" s="674">
        <f>INDEX('DEFAULT DATA'!$GQ$9:$IV$41,G$82,$E115)</f>
        <v>0</v>
      </c>
      <c r="H115" s="674">
        <f>INDEX('DEFAULT DATA'!$GQ$9:$IV$41,H$82,$E115)</f>
        <v>0</v>
      </c>
      <c r="I115" s="674">
        <f>INDEX('DEFAULT DATA'!$GQ$9:$IV$41,I$82,$E115)</f>
        <v>0</v>
      </c>
      <c r="J115" s="674">
        <f>INDEX('DEFAULT DATA'!$GQ$9:$IV$41,J$82,$E115)</f>
        <v>0</v>
      </c>
      <c r="K115" s="674">
        <f>INDEX('DEFAULT DATA'!$GQ$9:$IV$41,K$82,$E115)</f>
        <v>0</v>
      </c>
      <c r="L115" s="674">
        <f>INDEX('DEFAULT DATA'!$GQ$9:$IV$41,L$82,$E115)</f>
        <v>0</v>
      </c>
      <c r="M115" s="674">
        <f>INDEX('DEFAULT DATA'!$GQ$9:$IV$41,M$82,$E115)</f>
        <v>0</v>
      </c>
      <c r="N115" s="674">
        <f>INDEX('DEFAULT DATA'!$GQ$9:$IV$41,N$82,$E115)</f>
        <v>0</v>
      </c>
      <c r="O115" s="674">
        <f>INDEX('DEFAULT DATA'!$GQ$9:$IV$41,O$82,$E115)</f>
        <v>0</v>
      </c>
      <c r="P115" s="674">
        <f>INDEX('DEFAULT DATA'!$GQ$9:$IV$41,P$82,$E115)</f>
        <v>29.520464482832775</v>
      </c>
      <c r="Q115" s="674">
        <f>INDEX('DEFAULT DATA'!$GQ$9:$IV$41,Q$82,$E115)</f>
        <v>0</v>
      </c>
      <c r="R115" s="674">
        <f>INDEX('DEFAULT DATA'!$GQ$9:$IV$41,R$82,$E115)</f>
        <v>0</v>
      </c>
      <c r="S115" s="674">
        <f>INDEX('DEFAULT DATA'!$GQ$9:$IV$41,S$82,$E115)</f>
        <v>0</v>
      </c>
      <c r="T115" s="674">
        <f>INDEX('DEFAULT DATA'!$GQ$9:$IV$41,T$82,$E115)</f>
        <v>0</v>
      </c>
      <c r="U115" s="674">
        <f>INDEX('DEFAULT DATA'!$GQ$9:$IV$41,U$82,$E115)</f>
        <v>0</v>
      </c>
      <c r="V115" s="674">
        <f>INDEX('DEFAULT DATA'!$GQ$9:$IV$41,V$82,$E115)</f>
        <v>0</v>
      </c>
      <c r="W115" s="674">
        <f>INDEX('DEFAULT DATA'!$GQ$9:$IV$41,W$82,$E115)</f>
        <v>0</v>
      </c>
      <c r="X115" s="674">
        <f>INDEX('DEFAULT DATA'!$GQ$9:$IV$41,X$82,$E115)</f>
        <v>0</v>
      </c>
      <c r="Y115" s="674">
        <f>INDEX('DEFAULT DATA'!$GQ$9:$IV$41,Y$82,$E115)</f>
        <v>0</v>
      </c>
      <c r="Z115" s="674">
        <f>INDEX('DEFAULT DATA'!$GQ$9:$IV$41,Z$82,$E115)</f>
        <v>0</v>
      </c>
      <c r="AA115" s="674">
        <f>INDEX('DEFAULT DATA'!$GQ$9:$IV$41,AA$82,$E115)</f>
        <v>0</v>
      </c>
      <c r="AB115" s="674">
        <f>INDEX('DEFAULT DATA'!$GQ$9:$IV$41,AB$82,$E115)</f>
        <v>0</v>
      </c>
      <c r="AC115" s="674">
        <f>INDEX('DEFAULT DATA'!$GQ$9:$IV$41,AC$82,$E115)</f>
        <v>0</v>
      </c>
      <c r="AD115" s="674">
        <f>INDEX('DEFAULT DATA'!$GQ$9:$IV$41,AD$82,$E115)</f>
        <v>0</v>
      </c>
      <c r="AE115" s="674">
        <f>INDEX('DEFAULT DATA'!$GQ$9:$IV$41,AE$82,$E115)</f>
        <v>0</v>
      </c>
      <c r="AF115" s="674">
        <f>INDEX('DEFAULT DATA'!$GQ$9:$IV$41,AF$82,$E115)</f>
        <v>0</v>
      </c>
      <c r="AG115" s="674">
        <f>INDEX('DEFAULT DATA'!$GQ$9:$IV$41,AG$82,$E115)</f>
        <v>0</v>
      </c>
      <c r="AH115" s="674">
        <f>INDEX('DEFAULT DATA'!$GQ$9:$IV$41,AH$82,$E115)</f>
        <v>0</v>
      </c>
      <c r="AI115" s="674">
        <f>INDEX('DEFAULT DATA'!$GQ$9:$IV$41,AI$82,$E115)</f>
        <v>0</v>
      </c>
      <c r="AJ115" s="674">
        <f>INDEX('DEFAULT DATA'!$GQ$9:$IV$41,AJ$82,$E115)</f>
        <v>0</v>
      </c>
      <c r="AK115" s="674">
        <f>INDEX('DEFAULT DATA'!$GQ$9:$IV$41,AK$82,$E115)</f>
        <v>0</v>
      </c>
    </row>
    <row r="116" spans="5:37">
      <c r="E116" s="61">
        <f t="shared" si="6"/>
        <v>33</v>
      </c>
      <c r="F116" s="674">
        <f>INDEX('DEFAULT DATA'!$GQ$9:$IV$41,F$82,$E116)</f>
        <v>0</v>
      </c>
      <c r="G116" s="674">
        <f>INDEX('DEFAULT DATA'!$GQ$9:$IV$41,G$82,$E116)</f>
        <v>0</v>
      </c>
      <c r="H116" s="674">
        <f>INDEX('DEFAULT DATA'!$GQ$9:$IV$41,H$82,$E116)</f>
        <v>0</v>
      </c>
      <c r="I116" s="674">
        <f>INDEX('DEFAULT DATA'!$GQ$9:$IV$41,I$82,$E116)</f>
        <v>0</v>
      </c>
      <c r="J116" s="674">
        <f>INDEX('DEFAULT DATA'!$GQ$9:$IV$41,J$82,$E116)</f>
        <v>0</v>
      </c>
      <c r="K116" s="674">
        <f>INDEX('DEFAULT DATA'!$GQ$9:$IV$41,K$82,$E116)</f>
        <v>0</v>
      </c>
      <c r="L116" s="674">
        <f>INDEX('DEFAULT DATA'!$GQ$9:$IV$41,L$82,$E116)</f>
        <v>0</v>
      </c>
      <c r="M116" s="674">
        <f>INDEX('DEFAULT DATA'!$GQ$9:$IV$41,M$82,$E116)</f>
        <v>0</v>
      </c>
      <c r="N116" s="674">
        <f>INDEX('DEFAULT DATA'!$GQ$9:$IV$41,N$82,$E116)</f>
        <v>0</v>
      </c>
      <c r="O116" s="674">
        <f>INDEX('DEFAULT DATA'!$GQ$9:$IV$41,O$82,$E116)</f>
        <v>0</v>
      </c>
      <c r="P116" s="674">
        <f>INDEX('DEFAULT DATA'!$GQ$9:$IV$41,P$82,$E116)</f>
        <v>221.02501612787611</v>
      </c>
      <c r="Q116" s="674">
        <f>INDEX('DEFAULT DATA'!$GQ$9:$IV$41,Q$82,$E116)</f>
        <v>0</v>
      </c>
      <c r="R116" s="674">
        <f>INDEX('DEFAULT DATA'!$GQ$9:$IV$41,R$82,$E116)</f>
        <v>0</v>
      </c>
      <c r="S116" s="674">
        <f>INDEX('DEFAULT DATA'!$GQ$9:$IV$41,S$82,$E116)</f>
        <v>0</v>
      </c>
      <c r="T116" s="674">
        <f>INDEX('DEFAULT DATA'!$GQ$9:$IV$41,T$82,$E116)</f>
        <v>0</v>
      </c>
      <c r="U116" s="674">
        <f>INDEX('DEFAULT DATA'!$GQ$9:$IV$41,U$82,$E116)</f>
        <v>0</v>
      </c>
      <c r="V116" s="674">
        <f>INDEX('DEFAULT DATA'!$GQ$9:$IV$41,V$82,$E116)</f>
        <v>0</v>
      </c>
      <c r="W116" s="674">
        <f>INDEX('DEFAULT DATA'!$GQ$9:$IV$41,W$82,$E116)</f>
        <v>0</v>
      </c>
      <c r="X116" s="674">
        <f>INDEX('DEFAULT DATA'!$GQ$9:$IV$41,X$82,$E116)</f>
        <v>0</v>
      </c>
      <c r="Y116" s="674">
        <f>INDEX('DEFAULT DATA'!$GQ$9:$IV$41,Y$82,$E116)</f>
        <v>0</v>
      </c>
      <c r="Z116" s="674">
        <f>INDEX('DEFAULT DATA'!$GQ$9:$IV$41,Z$82,$E116)</f>
        <v>0</v>
      </c>
      <c r="AA116" s="674">
        <f>INDEX('DEFAULT DATA'!$GQ$9:$IV$41,AA$82,$E116)</f>
        <v>0</v>
      </c>
      <c r="AB116" s="674">
        <f>INDEX('DEFAULT DATA'!$GQ$9:$IV$41,AB$82,$E116)</f>
        <v>0</v>
      </c>
      <c r="AC116" s="674">
        <f>INDEX('DEFAULT DATA'!$GQ$9:$IV$41,AC$82,$E116)</f>
        <v>0</v>
      </c>
      <c r="AD116" s="674">
        <f>INDEX('DEFAULT DATA'!$GQ$9:$IV$41,AD$82,$E116)</f>
        <v>0</v>
      </c>
      <c r="AE116" s="674">
        <f>INDEX('DEFAULT DATA'!$GQ$9:$IV$41,AE$82,$E116)</f>
        <v>0</v>
      </c>
      <c r="AF116" s="674">
        <f>INDEX('DEFAULT DATA'!$GQ$9:$IV$41,AF$82,$E116)</f>
        <v>0</v>
      </c>
      <c r="AG116" s="674">
        <f>INDEX('DEFAULT DATA'!$GQ$9:$IV$41,AG$82,$E116)</f>
        <v>0</v>
      </c>
      <c r="AH116" s="674">
        <f>INDEX('DEFAULT DATA'!$GQ$9:$IV$41,AH$82,$E116)</f>
        <v>0</v>
      </c>
      <c r="AI116" s="674">
        <f>INDEX('DEFAULT DATA'!$GQ$9:$IV$41,AI$82,$E116)</f>
        <v>0</v>
      </c>
      <c r="AJ116" s="674">
        <f>INDEX('DEFAULT DATA'!$GQ$9:$IV$41,AJ$82,$E116)</f>
        <v>0</v>
      </c>
      <c r="AK116" s="674">
        <f>INDEX('DEFAULT DATA'!$GQ$9:$IV$41,AK$82,$E116)</f>
        <v>0</v>
      </c>
    </row>
    <row r="117" spans="5:37">
      <c r="E117" s="61">
        <f t="shared" si="6"/>
        <v>34</v>
      </c>
      <c r="F117" s="674">
        <f>INDEX('DEFAULT DATA'!$GQ$9:$IV$41,F$82,$E117)</f>
        <v>0</v>
      </c>
      <c r="G117" s="674">
        <f>INDEX('DEFAULT DATA'!$GQ$9:$IV$41,G$82,$E117)</f>
        <v>0</v>
      </c>
      <c r="H117" s="674">
        <f>INDEX('DEFAULT DATA'!$GQ$9:$IV$41,H$82,$E117)</f>
        <v>0</v>
      </c>
      <c r="I117" s="674">
        <f>INDEX('DEFAULT DATA'!$GQ$9:$IV$41,I$82,$E117)</f>
        <v>0</v>
      </c>
      <c r="J117" s="674">
        <f>INDEX('DEFAULT DATA'!$GQ$9:$IV$41,J$82,$E117)</f>
        <v>0</v>
      </c>
      <c r="K117" s="674">
        <f>INDEX('DEFAULT DATA'!$GQ$9:$IV$41,K$82,$E117)</f>
        <v>0</v>
      </c>
      <c r="L117" s="674">
        <f>INDEX('DEFAULT DATA'!$GQ$9:$IV$41,L$82,$E117)</f>
        <v>0</v>
      </c>
      <c r="M117" s="674">
        <f>INDEX('DEFAULT DATA'!$GQ$9:$IV$41,M$82,$E117)</f>
        <v>0</v>
      </c>
      <c r="N117" s="674">
        <f>INDEX('DEFAULT DATA'!$GQ$9:$IV$41,N$82,$E117)</f>
        <v>0</v>
      </c>
      <c r="O117" s="674">
        <f>INDEX('DEFAULT DATA'!$GQ$9:$IV$41,O$82,$E117)</f>
        <v>0</v>
      </c>
      <c r="P117" s="674">
        <f>INDEX('DEFAULT DATA'!$GQ$9:$IV$41,P$82,$E117)</f>
        <v>103.44778152103792</v>
      </c>
      <c r="Q117" s="674">
        <f>INDEX('DEFAULT DATA'!$GQ$9:$IV$41,Q$82,$E117)</f>
        <v>0</v>
      </c>
      <c r="R117" s="674">
        <f>INDEX('DEFAULT DATA'!$GQ$9:$IV$41,R$82,$E117)</f>
        <v>0</v>
      </c>
      <c r="S117" s="674">
        <f>INDEX('DEFAULT DATA'!$GQ$9:$IV$41,S$82,$E117)</f>
        <v>0</v>
      </c>
      <c r="T117" s="674">
        <f>INDEX('DEFAULT DATA'!$GQ$9:$IV$41,T$82,$E117)</f>
        <v>0</v>
      </c>
      <c r="U117" s="674">
        <f>INDEX('DEFAULT DATA'!$GQ$9:$IV$41,U$82,$E117)</f>
        <v>0</v>
      </c>
      <c r="V117" s="674">
        <f>INDEX('DEFAULT DATA'!$GQ$9:$IV$41,V$82,$E117)</f>
        <v>0</v>
      </c>
      <c r="W117" s="674">
        <f>INDEX('DEFAULT DATA'!$GQ$9:$IV$41,W$82,$E117)</f>
        <v>0</v>
      </c>
      <c r="X117" s="674">
        <f>INDEX('DEFAULT DATA'!$GQ$9:$IV$41,X$82,$E117)</f>
        <v>0</v>
      </c>
      <c r="Y117" s="674">
        <f>INDEX('DEFAULT DATA'!$GQ$9:$IV$41,Y$82,$E117)</f>
        <v>0</v>
      </c>
      <c r="Z117" s="674">
        <f>INDEX('DEFAULT DATA'!$GQ$9:$IV$41,Z$82,$E117)</f>
        <v>0</v>
      </c>
      <c r="AA117" s="674">
        <f>INDEX('DEFAULT DATA'!$GQ$9:$IV$41,AA$82,$E117)</f>
        <v>0</v>
      </c>
      <c r="AB117" s="674">
        <f>INDEX('DEFAULT DATA'!$GQ$9:$IV$41,AB$82,$E117)</f>
        <v>0</v>
      </c>
      <c r="AC117" s="674">
        <f>INDEX('DEFAULT DATA'!$GQ$9:$IV$41,AC$82,$E117)</f>
        <v>0</v>
      </c>
      <c r="AD117" s="674">
        <f>INDEX('DEFAULT DATA'!$GQ$9:$IV$41,AD$82,$E117)</f>
        <v>0</v>
      </c>
      <c r="AE117" s="674">
        <f>INDEX('DEFAULT DATA'!$GQ$9:$IV$41,AE$82,$E117)</f>
        <v>0</v>
      </c>
      <c r="AF117" s="674">
        <f>INDEX('DEFAULT DATA'!$GQ$9:$IV$41,AF$82,$E117)</f>
        <v>0</v>
      </c>
      <c r="AG117" s="674">
        <f>INDEX('DEFAULT DATA'!$GQ$9:$IV$41,AG$82,$E117)</f>
        <v>0</v>
      </c>
      <c r="AH117" s="674">
        <f>INDEX('DEFAULT DATA'!$GQ$9:$IV$41,AH$82,$E117)</f>
        <v>0</v>
      </c>
      <c r="AI117" s="674">
        <f>INDEX('DEFAULT DATA'!$GQ$9:$IV$41,AI$82,$E117)</f>
        <v>0</v>
      </c>
      <c r="AJ117" s="674">
        <f>INDEX('DEFAULT DATA'!$GQ$9:$IV$41,AJ$82,$E117)</f>
        <v>0</v>
      </c>
      <c r="AK117" s="674">
        <f>INDEX('DEFAULT DATA'!$GQ$9:$IV$41,AK$82,$E117)</f>
        <v>0</v>
      </c>
    </row>
    <row r="118" spans="5:37">
      <c r="E118" s="61">
        <f t="shared" si="6"/>
        <v>35</v>
      </c>
      <c r="F118" s="674">
        <f>INDEX('DEFAULT DATA'!$GQ$9:$IV$41,F$82,$E118)</f>
        <v>0</v>
      </c>
      <c r="G118" s="674">
        <f>INDEX('DEFAULT DATA'!$GQ$9:$IV$41,G$82,$E118)</f>
        <v>0</v>
      </c>
      <c r="H118" s="674">
        <f>INDEX('DEFAULT DATA'!$GQ$9:$IV$41,H$82,$E118)</f>
        <v>0</v>
      </c>
      <c r="I118" s="674">
        <f>INDEX('DEFAULT DATA'!$GQ$9:$IV$41,I$82,$E118)</f>
        <v>0</v>
      </c>
      <c r="J118" s="674">
        <f>INDEX('DEFAULT DATA'!$GQ$9:$IV$41,J$82,$E118)</f>
        <v>0</v>
      </c>
      <c r="K118" s="674">
        <f>INDEX('DEFAULT DATA'!$GQ$9:$IV$41,K$82,$E118)</f>
        <v>0</v>
      </c>
      <c r="L118" s="674">
        <f>INDEX('DEFAULT DATA'!$GQ$9:$IV$41,L$82,$E118)</f>
        <v>0</v>
      </c>
      <c r="M118" s="674">
        <f>INDEX('DEFAULT DATA'!$GQ$9:$IV$41,M$82,$E118)</f>
        <v>0</v>
      </c>
      <c r="N118" s="674">
        <f>INDEX('DEFAULT DATA'!$GQ$9:$IV$41,N$82,$E118)</f>
        <v>0</v>
      </c>
      <c r="O118" s="674">
        <f>INDEX('DEFAULT DATA'!$GQ$9:$IV$41,O$82,$E118)</f>
        <v>0</v>
      </c>
      <c r="P118" s="674">
        <f>INDEX('DEFAULT DATA'!$GQ$9:$IV$41,P$82,$E118)</f>
        <v>305.2971113181851</v>
      </c>
      <c r="Q118" s="674">
        <f>INDEX('DEFAULT DATA'!$GQ$9:$IV$41,Q$82,$E118)</f>
        <v>0</v>
      </c>
      <c r="R118" s="674">
        <f>INDEX('DEFAULT DATA'!$GQ$9:$IV$41,R$82,$E118)</f>
        <v>0</v>
      </c>
      <c r="S118" s="674">
        <f>INDEX('DEFAULT DATA'!$GQ$9:$IV$41,S$82,$E118)</f>
        <v>0</v>
      </c>
      <c r="T118" s="674">
        <f>INDEX('DEFAULT DATA'!$GQ$9:$IV$41,T$82,$E118)</f>
        <v>0</v>
      </c>
      <c r="U118" s="674">
        <f>INDEX('DEFAULT DATA'!$GQ$9:$IV$41,U$82,$E118)</f>
        <v>0</v>
      </c>
      <c r="V118" s="674">
        <f>INDEX('DEFAULT DATA'!$GQ$9:$IV$41,V$82,$E118)</f>
        <v>0</v>
      </c>
      <c r="W118" s="674">
        <f>INDEX('DEFAULT DATA'!$GQ$9:$IV$41,W$82,$E118)</f>
        <v>0</v>
      </c>
      <c r="X118" s="674">
        <f>INDEX('DEFAULT DATA'!$GQ$9:$IV$41,X$82,$E118)</f>
        <v>0</v>
      </c>
      <c r="Y118" s="674">
        <f>INDEX('DEFAULT DATA'!$GQ$9:$IV$41,Y$82,$E118)</f>
        <v>0</v>
      </c>
      <c r="Z118" s="674">
        <f>INDEX('DEFAULT DATA'!$GQ$9:$IV$41,Z$82,$E118)</f>
        <v>0</v>
      </c>
      <c r="AA118" s="674">
        <f>INDEX('DEFAULT DATA'!$GQ$9:$IV$41,AA$82,$E118)</f>
        <v>0</v>
      </c>
      <c r="AB118" s="674">
        <f>INDEX('DEFAULT DATA'!$GQ$9:$IV$41,AB$82,$E118)</f>
        <v>0</v>
      </c>
      <c r="AC118" s="674">
        <f>INDEX('DEFAULT DATA'!$GQ$9:$IV$41,AC$82,$E118)</f>
        <v>0</v>
      </c>
      <c r="AD118" s="674">
        <f>INDEX('DEFAULT DATA'!$GQ$9:$IV$41,AD$82,$E118)</f>
        <v>0</v>
      </c>
      <c r="AE118" s="674">
        <f>INDEX('DEFAULT DATA'!$GQ$9:$IV$41,AE$82,$E118)</f>
        <v>0</v>
      </c>
      <c r="AF118" s="674">
        <f>INDEX('DEFAULT DATA'!$GQ$9:$IV$41,AF$82,$E118)</f>
        <v>0</v>
      </c>
      <c r="AG118" s="674">
        <f>INDEX('DEFAULT DATA'!$GQ$9:$IV$41,AG$82,$E118)</f>
        <v>0</v>
      </c>
      <c r="AH118" s="674">
        <f>INDEX('DEFAULT DATA'!$GQ$9:$IV$41,AH$82,$E118)</f>
        <v>0</v>
      </c>
      <c r="AI118" s="674">
        <f>INDEX('DEFAULT DATA'!$GQ$9:$IV$41,AI$82,$E118)</f>
        <v>0</v>
      </c>
      <c r="AJ118" s="674">
        <f>INDEX('DEFAULT DATA'!$GQ$9:$IV$41,AJ$82,$E118)</f>
        <v>0</v>
      </c>
      <c r="AK118" s="674">
        <f>INDEX('DEFAULT DATA'!$GQ$9:$IV$41,AK$82,$E118)</f>
        <v>0</v>
      </c>
    </row>
    <row r="119" spans="5:37">
      <c r="E119" s="61">
        <f t="shared" si="6"/>
        <v>36</v>
      </c>
      <c r="F119" s="674">
        <f>INDEX('DEFAULT DATA'!$GQ$9:$IV$41,F$82,$E119)</f>
        <v>0</v>
      </c>
      <c r="G119" s="674">
        <f>INDEX('DEFAULT DATA'!$GQ$9:$IV$41,G$82,$E119)</f>
        <v>0</v>
      </c>
      <c r="H119" s="674">
        <f>INDEX('DEFAULT DATA'!$GQ$9:$IV$41,H$82,$E119)</f>
        <v>0</v>
      </c>
      <c r="I119" s="674">
        <f>INDEX('DEFAULT DATA'!$GQ$9:$IV$41,I$82,$E119)</f>
        <v>0</v>
      </c>
      <c r="J119" s="674">
        <f>INDEX('DEFAULT DATA'!$GQ$9:$IV$41,J$82,$E119)</f>
        <v>0</v>
      </c>
      <c r="K119" s="674">
        <f>INDEX('DEFAULT DATA'!$GQ$9:$IV$41,K$82,$E119)</f>
        <v>0</v>
      </c>
      <c r="L119" s="674">
        <f>INDEX('DEFAULT DATA'!$GQ$9:$IV$41,L$82,$E119)</f>
        <v>0</v>
      </c>
      <c r="M119" s="674">
        <f>INDEX('DEFAULT DATA'!$GQ$9:$IV$41,M$82,$E119)</f>
        <v>0</v>
      </c>
      <c r="N119" s="674">
        <f>INDEX('DEFAULT DATA'!$GQ$9:$IV$41,N$82,$E119)</f>
        <v>0</v>
      </c>
      <c r="O119" s="674">
        <f>INDEX('DEFAULT DATA'!$GQ$9:$IV$41,O$82,$E119)</f>
        <v>0</v>
      </c>
      <c r="P119" s="674">
        <f>INDEX('DEFAULT DATA'!$GQ$9:$IV$41,P$82,$E119)</f>
        <v>59.797863952404846</v>
      </c>
      <c r="Q119" s="674">
        <f>INDEX('DEFAULT DATA'!$GQ$9:$IV$41,Q$82,$E119)</f>
        <v>0</v>
      </c>
      <c r="R119" s="674">
        <f>INDEX('DEFAULT DATA'!$GQ$9:$IV$41,R$82,$E119)</f>
        <v>0</v>
      </c>
      <c r="S119" s="674">
        <f>INDEX('DEFAULT DATA'!$GQ$9:$IV$41,S$82,$E119)</f>
        <v>0</v>
      </c>
      <c r="T119" s="674">
        <f>INDEX('DEFAULT DATA'!$GQ$9:$IV$41,T$82,$E119)</f>
        <v>0</v>
      </c>
      <c r="U119" s="674">
        <f>INDEX('DEFAULT DATA'!$GQ$9:$IV$41,U$82,$E119)</f>
        <v>0</v>
      </c>
      <c r="V119" s="674">
        <f>INDEX('DEFAULT DATA'!$GQ$9:$IV$41,V$82,$E119)</f>
        <v>0</v>
      </c>
      <c r="W119" s="674">
        <f>INDEX('DEFAULT DATA'!$GQ$9:$IV$41,W$82,$E119)</f>
        <v>0</v>
      </c>
      <c r="X119" s="674">
        <f>INDEX('DEFAULT DATA'!$GQ$9:$IV$41,X$82,$E119)</f>
        <v>0</v>
      </c>
      <c r="Y119" s="674">
        <f>INDEX('DEFAULT DATA'!$GQ$9:$IV$41,Y$82,$E119)</f>
        <v>0</v>
      </c>
      <c r="Z119" s="674">
        <f>INDEX('DEFAULT DATA'!$GQ$9:$IV$41,Z$82,$E119)</f>
        <v>0</v>
      </c>
      <c r="AA119" s="674">
        <f>INDEX('DEFAULT DATA'!$GQ$9:$IV$41,AA$82,$E119)</f>
        <v>0</v>
      </c>
      <c r="AB119" s="674">
        <f>INDEX('DEFAULT DATA'!$GQ$9:$IV$41,AB$82,$E119)</f>
        <v>0</v>
      </c>
      <c r="AC119" s="674">
        <f>INDEX('DEFAULT DATA'!$GQ$9:$IV$41,AC$82,$E119)</f>
        <v>0</v>
      </c>
      <c r="AD119" s="674">
        <f>INDEX('DEFAULT DATA'!$GQ$9:$IV$41,AD$82,$E119)</f>
        <v>0</v>
      </c>
      <c r="AE119" s="674">
        <f>INDEX('DEFAULT DATA'!$GQ$9:$IV$41,AE$82,$E119)</f>
        <v>0</v>
      </c>
      <c r="AF119" s="674">
        <f>INDEX('DEFAULT DATA'!$GQ$9:$IV$41,AF$82,$E119)</f>
        <v>0</v>
      </c>
      <c r="AG119" s="674">
        <f>INDEX('DEFAULT DATA'!$GQ$9:$IV$41,AG$82,$E119)</f>
        <v>0</v>
      </c>
      <c r="AH119" s="674">
        <f>INDEX('DEFAULT DATA'!$GQ$9:$IV$41,AH$82,$E119)</f>
        <v>0</v>
      </c>
      <c r="AI119" s="674">
        <f>INDEX('DEFAULT DATA'!$GQ$9:$IV$41,AI$82,$E119)</f>
        <v>0</v>
      </c>
      <c r="AJ119" s="674">
        <f>INDEX('DEFAULT DATA'!$GQ$9:$IV$41,AJ$82,$E119)</f>
        <v>0</v>
      </c>
      <c r="AK119" s="674">
        <f>INDEX('DEFAULT DATA'!$GQ$9:$IV$41,AK$82,$E119)</f>
        <v>0</v>
      </c>
    </row>
    <row r="120" spans="5:37">
      <c r="E120" s="61">
        <f t="shared" si="6"/>
        <v>37</v>
      </c>
      <c r="F120" s="674">
        <f>INDEX('DEFAULT DATA'!$GQ$9:$IV$41,F$82,$E120)</f>
        <v>0</v>
      </c>
      <c r="G120" s="674">
        <f>INDEX('DEFAULT DATA'!$GQ$9:$IV$41,G$82,$E120)</f>
        <v>0</v>
      </c>
      <c r="H120" s="674">
        <f>INDEX('DEFAULT DATA'!$GQ$9:$IV$41,H$82,$E120)</f>
        <v>0</v>
      </c>
      <c r="I120" s="674">
        <f>INDEX('DEFAULT DATA'!$GQ$9:$IV$41,I$82,$E120)</f>
        <v>0</v>
      </c>
      <c r="J120" s="674">
        <f>INDEX('DEFAULT DATA'!$GQ$9:$IV$41,J$82,$E120)</f>
        <v>0</v>
      </c>
      <c r="K120" s="674">
        <f>INDEX('DEFAULT DATA'!$GQ$9:$IV$41,K$82,$E120)</f>
        <v>0</v>
      </c>
      <c r="L120" s="674">
        <f>INDEX('DEFAULT DATA'!$GQ$9:$IV$41,L$82,$E120)</f>
        <v>0</v>
      </c>
      <c r="M120" s="674">
        <f>INDEX('DEFAULT DATA'!$GQ$9:$IV$41,M$82,$E120)</f>
        <v>0</v>
      </c>
      <c r="N120" s="674">
        <f>INDEX('DEFAULT DATA'!$GQ$9:$IV$41,N$82,$E120)</f>
        <v>0</v>
      </c>
      <c r="O120" s="674">
        <f>INDEX('DEFAULT DATA'!$GQ$9:$IV$41,O$82,$E120)</f>
        <v>0</v>
      </c>
      <c r="P120" s="674">
        <f>INDEX('DEFAULT DATA'!$GQ$9:$IV$41,P$82,$E120)</f>
        <v>662.0658017346426</v>
      </c>
      <c r="Q120" s="674">
        <f>INDEX('DEFAULT DATA'!$GQ$9:$IV$41,Q$82,$E120)</f>
        <v>0</v>
      </c>
      <c r="R120" s="674">
        <f>INDEX('DEFAULT DATA'!$GQ$9:$IV$41,R$82,$E120)</f>
        <v>0</v>
      </c>
      <c r="S120" s="674">
        <f>INDEX('DEFAULT DATA'!$GQ$9:$IV$41,S$82,$E120)</f>
        <v>0</v>
      </c>
      <c r="T120" s="674">
        <f>INDEX('DEFAULT DATA'!$GQ$9:$IV$41,T$82,$E120)</f>
        <v>0</v>
      </c>
      <c r="U120" s="674">
        <f>INDEX('DEFAULT DATA'!$GQ$9:$IV$41,U$82,$E120)</f>
        <v>0</v>
      </c>
      <c r="V120" s="674">
        <f>INDEX('DEFAULT DATA'!$GQ$9:$IV$41,V$82,$E120)</f>
        <v>0</v>
      </c>
      <c r="W120" s="674">
        <f>INDEX('DEFAULT DATA'!$GQ$9:$IV$41,W$82,$E120)</f>
        <v>0</v>
      </c>
      <c r="X120" s="674">
        <f>INDEX('DEFAULT DATA'!$GQ$9:$IV$41,X$82,$E120)</f>
        <v>0</v>
      </c>
      <c r="Y120" s="674">
        <f>INDEX('DEFAULT DATA'!$GQ$9:$IV$41,Y$82,$E120)</f>
        <v>0</v>
      </c>
      <c r="Z120" s="674">
        <f>INDEX('DEFAULT DATA'!$GQ$9:$IV$41,Z$82,$E120)</f>
        <v>0</v>
      </c>
      <c r="AA120" s="674">
        <f>INDEX('DEFAULT DATA'!$GQ$9:$IV$41,AA$82,$E120)</f>
        <v>0</v>
      </c>
      <c r="AB120" s="674">
        <f>INDEX('DEFAULT DATA'!$GQ$9:$IV$41,AB$82,$E120)</f>
        <v>0</v>
      </c>
      <c r="AC120" s="674">
        <f>INDEX('DEFAULT DATA'!$GQ$9:$IV$41,AC$82,$E120)</f>
        <v>0</v>
      </c>
      <c r="AD120" s="674">
        <f>INDEX('DEFAULT DATA'!$GQ$9:$IV$41,AD$82,$E120)</f>
        <v>0</v>
      </c>
      <c r="AE120" s="674">
        <f>INDEX('DEFAULT DATA'!$GQ$9:$IV$41,AE$82,$E120)</f>
        <v>0</v>
      </c>
      <c r="AF120" s="674">
        <f>INDEX('DEFAULT DATA'!$GQ$9:$IV$41,AF$82,$E120)</f>
        <v>0</v>
      </c>
      <c r="AG120" s="674">
        <f>INDEX('DEFAULT DATA'!$GQ$9:$IV$41,AG$82,$E120)</f>
        <v>0</v>
      </c>
      <c r="AH120" s="674">
        <f>INDEX('DEFAULT DATA'!$GQ$9:$IV$41,AH$82,$E120)</f>
        <v>0</v>
      </c>
      <c r="AI120" s="674">
        <f>INDEX('DEFAULT DATA'!$GQ$9:$IV$41,AI$82,$E120)</f>
        <v>0</v>
      </c>
      <c r="AJ120" s="674">
        <f>INDEX('DEFAULT DATA'!$GQ$9:$IV$41,AJ$82,$E120)</f>
        <v>0</v>
      </c>
      <c r="AK120" s="674">
        <f>INDEX('DEFAULT DATA'!$GQ$9:$IV$41,AK$82,$E120)</f>
        <v>0</v>
      </c>
    </row>
    <row r="121" spans="5:37">
      <c r="E121" s="61">
        <f t="shared" si="6"/>
        <v>38</v>
      </c>
      <c r="F121" s="674">
        <f>INDEX('DEFAULT DATA'!$GQ$9:$IV$41,F$82,$E121)</f>
        <v>0</v>
      </c>
      <c r="G121" s="674">
        <f>INDEX('DEFAULT DATA'!$GQ$9:$IV$41,G$82,$E121)</f>
        <v>0</v>
      </c>
      <c r="H121" s="674">
        <f>INDEX('DEFAULT DATA'!$GQ$9:$IV$41,H$82,$E121)</f>
        <v>0</v>
      </c>
      <c r="I121" s="674">
        <f>INDEX('DEFAULT DATA'!$GQ$9:$IV$41,I$82,$E121)</f>
        <v>0</v>
      </c>
      <c r="J121" s="674">
        <f>INDEX('DEFAULT DATA'!$GQ$9:$IV$41,J$82,$E121)</f>
        <v>0</v>
      </c>
      <c r="K121" s="674">
        <f>INDEX('DEFAULT DATA'!$GQ$9:$IV$41,K$82,$E121)</f>
        <v>0</v>
      </c>
      <c r="L121" s="674">
        <f>INDEX('DEFAULT DATA'!$GQ$9:$IV$41,L$82,$E121)</f>
        <v>0</v>
      </c>
      <c r="M121" s="674">
        <f>INDEX('DEFAULT DATA'!$GQ$9:$IV$41,M$82,$E121)</f>
        <v>0</v>
      </c>
      <c r="N121" s="674">
        <f>INDEX('DEFAULT DATA'!$GQ$9:$IV$41,N$82,$E121)</f>
        <v>0</v>
      </c>
      <c r="O121" s="674">
        <f>INDEX('DEFAULT DATA'!$GQ$9:$IV$41,O$82,$E121)</f>
        <v>0</v>
      </c>
      <c r="P121" s="674">
        <f>INDEX('DEFAULT DATA'!$GQ$9:$IV$41,P$82,$E121)</f>
        <v>180.40283850620028</v>
      </c>
      <c r="Q121" s="674">
        <f>INDEX('DEFAULT DATA'!$GQ$9:$IV$41,Q$82,$E121)</f>
        <v>0</v>
      </c>
      <c r="R121" s="674">
        <f>INDEX('DEFAULT DATA'!$GQ$9:$IV$41,R$82,$E121)</f>
        <v>0</v>
      </c>
      <c r="S121" s="674">
        <f>INDEX('DEFAULT DATA'!$GQ$9:$IV$41,S$82,$E121)</f>
        <v>0</v>
      </c>
      <c r="T121" s="674">
        <f>INDEX('DEFAULT DATA'!$GQ$9:$IV$41,T$82,$E121)</f>
        <v>0</v>
      </c>
      <c r="U121" s="674">
        <f>INDEX('DEFAULT DATA'!$GQ$9:$IV$41,U$82,$E121)</f>
        <v>0</v>
      </c>
      <c r="V121" s="674">
        <f>INDEX('DEFAULT DATA'!$GQ$9:$IV$41,V$82,$E121)</f>
        <v>0</v>
      </c>
      <c r="W121" s="674">
        <f>INDEX('DEFAULT DATA'!$GQ$9:$IV$41,W$82,$E121)</f>
        <v>0</v>
      </c>
      <c r="X121" s="674">
        <f>INDEX('DEFAULT DATA'!$GQ$9:$IV$41,X$82,$E121)</f>
        <v>0</v>
      </c>
      <c r="Y121" s="674">
        <f>INDEX('DEFAULT DATA'!$GQ$9:$IV$41,Y$82,$E121)</f>
        <v>0</v>
      </c>
      <c r="Z121" s="674">
        <f>INDEX('DEFAULT DATA'!$GQ$9:$IV$41,Z$82,$E121)</f>
        <v>0</v>
      </c>
      <c r="AA121" s="674">
        <f>INDEX('DEFAULT DATA'!$GQ$9:$IV$41,AA$82,$E121)</f>
        <v>0</v>
      </c>
      <c r="AB121" s="674">
        <f>INDEX('DEFAULT DATA'!$GQ$9:$IV$41,AB$82,$E121)</f>
        <v>0</v>
      </c>
      <c r="AC121" s="674">
        <f>INDEX('DEFAULT DATA'!$GQ$9:$IV$41,AC$82,$E121)</f>
        <v>0</v>
      </c>
      <c r="AD121" s="674">
        <f>INDEX('DEFAULT DATA'!$GQ$9:$IV$41,AD$82,$E121)</f>
        <v>0</v>
      </c>
      <c r="AE121" s="674">
        <f>INDEX('DEFAULT DATA'!$GQ$9:$IV$41,AE$82,$E121)</f>
        <v>0</v>
      </c>
      <c r="AF121" s="674">
        <f>INDEX('DEFAULT DATA'!$GQ$9:$IV$41,AF$82,$E121)</f>
        <v>0</v>
      </c>
      <c r="AG121" s="674">
        <f>INDEX('DEFAULT DATA'!$GQ$9:$IV$41,AG$82,$E121)</f>
        <v>0</v>
      </c>
      <c r="AH121" s="674">
        <f>INDEX('DEFAULT DATA'!$GQ$9:$IV$41,AH$82,$E121)</f>
        <v>0</v>
      </c>
      <c r="AI121" s="674">
        <f>INDEX('DEFAULT DATA'!$GQ$9:$IV$41,AI$82,$E121)</f>
        <v>0</v>
      </c>
      <c r="AJ121" s="674">
        <f>INDEX('DEFAULT DATA'!$GQ$9:$IV$41,AJ$82,$E121)</f>
        <v>0</v>
      </c>
      <c r="AK121" s="674">
        <f>INDEX('DEFAULT DATA'!$GQ$9:$IV$41,AK$82,$E121)</f>
        <v>0</v>
      </c>
    </row>
    <row r="122" spans="5:37">
      <c r="E122" s="61">
        <f t="shared" si="6"/>
        <v>39</v>
      </c>
      <c r="F122" s="674">
        <f>INDEX('DEFAULT DATA'!$GQ$9:$IV$41,F$82,$E122)</f>
        <v>0</v>
      </c>
      <c r="G122" s="674">
        <f>INDEX('DEFAULT DATA'!$GQ$9:$IV$41,G$82,$E122)</f>
        <v>0</v>
      </c>
      <c r="H122" s="674">
        <f>INDEX('DEFAULT DATA'!$GQ$9:$IV$41,H$82,$E122)</f>
        <v>0</v>
      </c>
      <c r="I122" s="674">
        <f>INDEX('DEFAULT DATA'!$GQ$9:$IV$41,I$82,$E122)</f>
        <v>0</v>
      </c>
      <c r="J122" s="674">
        <f>INDEX('DEFAULT DATA'!$GQ$9:$IV$41,J$82,$E122)</f>
        <v>0</v>
      </c>
      <c r="K122" s="674">
        <f>INDEX('DEFAULT DATA'!$GQ$9:$IV$41,K$82,$E122)</f>
        <v>0</v>
      </c>
      <c r="L122" s="674">
        <f>INDEX('DEFAULT DATA'!$GQ$9:$IV$41,L$82,$E122)</f>
        <v>0</v>
      </c>
      <c r="M122" s="674">
        <f>INDEX('DEFAULT DATA'!$GQ$9:$IV$41,M$82,$E122)</f>
        <v>0</v>
      </c>
      <c r="N122" s="674">
        <f>INDEX('DEFAULT DATA'!$GQ$9:$IV$41,N$82,$E122)</f>
        <v>0</v>
      </c>
      <c r="O122" s="674">
        <f>INDEX('DEFAULT DATA'!$GQ$9:$IV$41,O$82,$E122)</f>
        <v>0</v>
      </c>
      <c r="P122" s="674">
        <f>INDEX('DEFAULT DATA'!$GQ$9:$IV$41,P$82,$E122)</f>
        <v>464.25345853343845</v>
      </c>
      <c r="Q122" s="674">
        <f>INDEX('DEFAULT DATA'!$GQ$9:$IV$41,Q$82,$E122)</f>
        <v>0</v>
      </c>
      <c r="R122" s="674">
        <f>INDEX('DEFAULT DATA'!$GQ$9:$IV$41,R$82,$E122)</f>
        <v>0</v>
      </c>
      <c r="S122" s="674">
        <f>INDEX('DEFAULT DATA'!$GQ$9:$IV$41,S$82,$E122)</f>
        <v>0</v>
      </c>
      <c r="T122" s="674">
        <f>INDEX('DEFAULT DATA'!$GQ$9:$IV$41,T$82,$E122)</f>
        <v>0</v>
      </c>
      <c r="U122" s="674">
        <f>INDEX('DEFAULT DATA'!$GQ$9:$IV$41,U$82,$E122)</f>
        <v>0</v>
      </c>
      <c r="V122" s="674">
        <f>INDEX('DEFAULT DATA'!$GQ$9:$IV$41,V$82,$E122)</f>
        <v>0</v>
      </c>
      <c r="W122" s="674">
        <f>INDEX('DEFAULT DATA'!$GQ$9:$IV$41,W$82,$E122)</f>
        <v>0</v>
      </c>
      <c r="X122" s="674">
        <f>INDEX('DEFAULT DATA'!$GQ$9:$IV$41,X$82,$E122)</f>
        <v>0</v>
      </c>
      <c r="Y122" s="674">
        <f>INDEX('DEFAULT DATA'!$GQ$9:$IV$41,Y$82,$E122)</f>
        <v>0</v>
      </c>
      <c r="Z122" s="674">
        <f>INDEX('DEFAULT DATA'!$GQ$9:$IV$41,Z$82,$E122)</f>
        <v>0</v>
      </c>
      <c r="AA122" s="674">
        <f>INDEX('DEFAULT DATA'!$GQ$9:$IV$41,AA$82,$E122)</f>
        <v>0</v>
      </c>
      <c r="AB122" s="674">
        <f>INDEX('DEFAULT DATA'!$GQ$9:$IV$41,AB$82,$E122)</f>
        <v>0</v>
      </c>
      <c r="AC122" s="674">
        <f>INDEX('DEFAULT DATA'!$GQ$9:$IV$41,AC$82,$E122)</f>
        <v>0</v>
      </c>
      <c r="AD122" s="674">
        <f>INDEX('DEFAULT DATA'!$GQ$9:$IV$41,AD$82,$E122)</f>
        <v>0</v>
      </c>
      <c r="AE122" s="674">
        <f>INDEX('DEFAULT DATA'!$GQ$9:$IV$41,AE$82,$E122)</f>
        <v>0</v>
      </c>
      <c r="AF122" s="674">
        <f>INDEX('DEFAULT DATA'!$GQ$9:$IV$41,AF$82,$E122)</f>
        <v>0</v>
      </c>
      <c r="AG122" s="674">
        <f>INDEX('DEFAULT DATA'!$GQ$9:$IV$41,AG$82,$E122)</f>
        <v>0</v>
      </c>
      <c r="AH122" s="674">
        <f>INDEX('DEFAULT DATA'!$GQ$9:$IV$41,AH$82,$E122)</f>
        <v>0</v>
      </c>
      <c r="AI122" s="674">
        <f>INDEX('DEFAULT DATA'!$GQ$9:$IV$41,AI$82,$E122)</f>
        <v>0</v>
      </c>
      <c r="AJ122" s="674">
        <f>INDEX('DEFAULT DATA'!$GQ$9:$IV$41,AJ$82,$E122)</f>
        <v>0</v>
      </c>
      <c r="AK122" s="674">
        <f>INDEX('DEFAULT DATA'!$GQ$9:$IV$41,AK$82,$E122)</f>
        <v>0</v>
      </c>
    </row>
    <row r="123" spans="5:37">
      <c r="E123" s="61">
        <f t="shared" si="6"/>
        <v>40</v>
      </c>
      <c r="F123" s="674">
        <f>INDEX('DEFAULT DATA'!$GQ$9:$IV$41,F$82,$E123)</f>
        <v>0</v>
      </c>
      <c r="G123" s="674">
        <f>INDEX('DEFAULT DATA'!$GQ$9:$IV$41,G$82,$E123)</f>
        <v>0</v>
      </c>
      <c r="H123" s="674">
        <f>INDEX('DEFAULT DATA'!$GQ$9:$IV$41,H$82,$E123)</f>
        <v>0</v>
      </c>
      <c r="I123" s="674">
        <f>INDEX('DEFAULT DATA'!$GQ$9:$IV$41,I$82,$E123)</f>
        <v>0</v>
      </c>
      <c r="J123" s="674">
        <f>INDEX('DEFAULT DATA'!$GQ$9:$IV$41,J$82,$E123)</f>
        <v>0</v>
      </c>
      <c r="K123" s="674">
        <f>INDEX('DEFAULT DATA'!$GQ$9:$IV$41,K$82,$E123)</f>
        <v>0</v>
      </c>
      <c r="L123" s="674">
        <f>INDEX('DEFAULT DATA'!$GQ$9:$IV$41,L$82,$E123)</f>
        <v>0</v>
      </c>
      <c r="M123" s="674">
        <f>INDEX('DEFAULT DATA'!$GQ$9:$IV$41,M$82,$E123)</f>
        <v>0</v>
      </c>
      <c r="N123" s="674">
        <f>INDEX('DEFAULT DATA'!$GQ$9:$IV$41,N$82,$E123)</f>
        <v>0</v>
      </c>
      <c r="O123" s="674">
        <f>INDEX('DEFAULT DATA'!$GQ$9:$IV$41,O$82,$E123)</f>
        <v>0</v>
      </c>
      <c r="P123" s="674">
        <f>INDEX('DEFAULT DATA'!$GQ$9:$IV$41,P$82,$E123)</f>
        <v>235.40678087592286</v>
      </c>
      <c r="Q123" s="674">
        <f>INDEX('DEFAULT DATA'!$GQ$9:$IV$41,Q$82,$E123)</f>
        <v>0</v>
      </c>
      <c r="R123" s="674">
        <f>INDEX('DEFAULT DATA'!$GQ$9:$IV$41,R$82,$E123)</f>
        <v>0</v>
      </c>
      <c r="S123" s="674">
        <f>INDEX('DEFAULT DATA'!$GQ$9:$IV$41,S$82,$E123)</f>
        <v>0</v>
      </c>
      <c r="T123" s="674">
        <f>INDEX('DEFAULT DATA'!$GQ$9:$IV$41,T$82,$E123)</f>
        <v>0</v>
      </c>
      <c r="U123" s="674">
        <f>INDEX('DEFAULT DATA'!$GQ$9:$IV$41,U$82,$E123)</f>
        <v>0</v>
      </c>
      <c r="V123" s="674">
        <f>INDEX('DEFAULT DATA'!$GQ$9:$IV$41,V$82,$E123)</f>
        <v>0</v>
      </c>
      <c r="W123" s="674">
        <f>INDEX('DEFAULT DATA'!$GQ$9:$IV$41,W$82,$E123)</f>
        <v>0</v>
      </c>
      <c r="X123" s="674">
        <f>INDEX('DEFAULT DATA'!$GQ$9:$IV$41,X$82,$E123)</f>
        <v>0</v>
      </c>
      <c r="Y123" s="674">
        <f>INDEX('DEFAULT DATA'!$GQ$9:$IV$41,Y$82,$E123)</f>
        <v>0</v>
      </c>
      <c r="Z123" s="674">
        <f>INDEX('DEFAULT DATA'!$GQ$9:$IV$41,Z$82,$E123)</f>
        <v>0</v>
      </c>
      <c r="AA123" s="674">
        <f>INDEX('DEFAULT DATA'!$GQ$9:$IV$41,AA$82,$E123)</f>
        <v>0</v>
      </c>
      <c r="AB123" s="674">
        <f>INDEX('DEFAULT DATA'!$GQ$9:$IV$41,AB$82,$E123)</f>
        <v>0</v>
      </c>
      <c r="AC123" s="674">
        <f>INDEX('DEFAULT DATA'!$GQ$9:$IV$41,AC$82,$E123)</f>
        <v>0</v>
      </c>
      <c r="AD123" s="674">
        <f>INDEX('DEFAULT DATA'!$GQ$9:$IV$41,AD$82,$E123)</f>
        <v>0</v>
      </c>
      <c r="AE123" s="674">
        <f>INDEX('DEFAULT DATA'!$GQ$9:$IV$41,AE$82,$E123)</f>
        <v>0</v>
      </c>
      <c r="AF123" s="674">
        <f>INDEX('DEFAULT DATA'!$GQ$9:$IV$41,AF$82,$E123)</f>
        <v>0</v>
      </c>
      <c r="AG123" s="674">
        <f>INDEX('DEFAULT DATA'!$GQ$9:$IV$41,AG$82,$E123)</f>
        <v>0</v>
      </c>
      <c r="AH123" s="674">
        <f>INDEX('DEFAULT DATA'!$GQ$9:$IV$41,AH$82,$E123)</f>
        <v>0</v>
      </c>
      <c r="AI123" s="674">
        <f>INDEX('DEFAULT DATA'!$GQ$9:$IV$41,AI$82,$E123)</f>
        <v>0</v>
      </c>
      <c r="AJ123" s="674">
        <f>INDEX('DEFAULT DATA'!$GQ$9:$IV$41,AJ$82,$E123)</f>
        <v>0</v>
      </c>
      <c r="AK123" s="674">
        <f>INDEX('DEFAULT DATA'!$GQ$9:$IV$41,AK$82,$E123)</f>
        <v>0</v>
      </c>
    </row>
    <row r="124" spans="5:37">
      <c r="E124" s="61">
        <f t="shared" si="6"/>
        <v>41</v>
      </c>
      <c r="F124" s="674">
        <f>INDEX('DEFAULT DATA'!$GQ$9:$IV$41,F$82,$E124)</f>
        <v>0</v>
      </c>
      <c r="G124" s="674">
        <f>INDEX('DEFAULT DATA'!$GQ$9:$IV$41,G$82,$E124)</f>
        <v>0</v>
      </c>
      <c r="H124" s="674">
        <f>INDEX('DEFAULT DATA'!$GQ$9:$IV$41,H$82,$E124)</f>
        <v>0</v>
      </c>
      <c r="I124" s="674">
        <f>INDEX('DEFAULT DATA'!$GQ$9:$IV$41,I$82,$E124)</f>
        <v>0</v>
      </c>
      <c r="J124" s="674">
        <f>INDEX('DEFAULT DATA'!$GQ$9:$IV$41,J$82,$E124)</f>
        <v>0</v>
      </c>
      <c r="K124" s="674">
        <f>INDEX('DEFAULT DATA'!$GQ$9:$IV$41,K$82,$E124)</f>
        <v>0</v>
      </c>
      <c r="L124" s="674">
        <f>INDEX('DEFAULT DATA'!$GQ$9:$IV$41,L$82,$E124)</f>
        <v>0</v>
      </c>
      <c r="M124" s="674">
        <f>INDEX('DEFAULT DATA'!$GQ$9:$IV$41,M$82,$E124)</f>
        <v>0</v>
      </c>
      <c r="N124" s="674">
        <f>INDEX('DEFAULT DATA'!$GQ$9:$IV$41,N$82,$E124)</f>
        <v>0</v>
      </c>
      <c r="O124" s="674">
        <f>INDEX('DEFAULT DATA'!$GQ$9:$IV$41,O$82,$E124)</f>
        <v>0</v>
      </c>
      <c r="P124" s="674">
        <f>INDEX('DEFAULT DATA'!$GQ$9:$IV$41,P$82,$E124)</f>
        <v>92.598380044441271</v>
      </c>
      <c r="Q124" s="674">
        <f>INDEX('DEFAULT DATA'!$GQ$9:$IV$41,Q$82,$E124)</f>
        <v>0</v>
      </c>
      <c r="R124" s="674">
        <f>INDEX('DEFAULT DATA'!$GQ$9:$IV$41,R$82,$E124)</f>
        <v>0</v>
      </c>
      <c r="S124" s="674">
        <f>INDEX('DEFAULT DATA'!$GQ$9:$IV$41,S$82,$E124)</f>
        <v>0</v>
      </c>
      <c r="T124" s="674">
        <f>INDEX('DEFAULT DATA'!$GQ$9:$IV$41,T$82,$E124)</f>
        <v>0</v>
      </c>
      <c r="U124" s="674">
        <f>INDEX('DEFAULT DATA'!$GQ$9:$IV$41,U$82,$E124)</f>
        <v>0</v>
      </c>
      <c r="V124" s="674">
        <f>INDEX('DEFAULT DATA'!$GQ$9:$IV$41,V$82,$E124)</f>
        <v>0</v>
      </c>
      <c r="W124" s="674">
        <f>INDEX('DEFAULT DATA'!$GQ$9:$IV$41,W$82,$E124)</f>
        <v>0</v>
      </c>
      <c r="X124" s="674">
        <f>INDEX('DEFAULT DATA'!$GQ$9:$IV$41,X$82,$E124)</f>
        <v>0</v>
      </c>
      <c r="Y124" s="674">
        <f>INDEX('DEFAULT DATA'!$GQ$9:$IV$41,Y$82,$E124)</f>
        <v>0</v>
      </c>
      <c r="Z124" s="674">
        <f>INDEX('DEFAULT DATA'!$GQ$9:$IV$41,Z$82,$E124)</f>
        <v>0</v>
      </c>
      <c r="AA124" s="674">
        <f>INDEX('DEFAULT DATA'!$GQ$9:$IV$41,AA$82,$E124)</f>
        <v>0</v>
      </c>
      <c r="AB124" s="674">
        <f>INDEX('DEFAULT DATA'!$GQ$9:$IV$41,AB$82,$E124)</f>
        <v>0</v>
      </c>
      <c r="AC124" s="674">
        <f>INDEX('DEFAULT DATA'!$GQ$9:$IV$41,AC$82,$E124)</f>
        <v>0</v>
      </c>
      <c r="AD124" s="674">
        <f>INDEX('DEFAULT DATA'!$GQ$9:$IV$41,AD$82,$E124)</f>
        <v>0</v>
      </c>
      <c r="AE124" s="674">
        <f>INDEX('DEFAULT DATA'!$GQ$9:$IV$41,AE$82,$E124)</f>
        <v>0</v>
      </c>
      <c r="AF124" s="674">
        <f>INDEX('DEFAULT DATA'!$GQ$9:$IV$41,AF$82,$E124)</f>
        <v>0</v>
      </c>
      <c r="AG124" s="674">
        <f>INDEX('DEFAULT DATA'!$GQ$9:$IV$41,AG$82,$E124)</f>
        <v>0</v>
      </c>
      <c r="AH124" s="674">
        <f>INDEX('DEFAULT DATA'!$GQ$9:$IV$41,AH$82,$E124)</f>
        <v>0</v>
      </c>
      <c r="AI124" s="674">
        <f>INDEX('DEFAULT DATA'!$GQ$9:$IV$41,AI$82,$E124)</f>
        <v>0</v>
      </c>
      <c r="AJ124" s="674">
        <f>INDEX('DEFAULT DATA'!$GQ$9:$IV$41,AJ$82,$E124)</f>
        <v>0</v>
      </c>
      <c r="AK124" s="674">
        <f>INDEX('DEFAULT DATA'!$GQ$9:$IV$41,AK$82,$E124)</f>
        <v>0</v>
      </c>
    </row>
    <row r="125" spans="5:37">
      <c r="E125" s="61">
        <f t="shared" si="6"/>
        <v>42</v>
      </c>
      <c r="F125" s="674">
        <f>INDEX('DEFAULT DATA'!$GQ$9:$IV$41,F$82,$E125)</f>
        <v>0</v>
      </c>
      <c r="G125" s="674">
        <f>INDEX('DEFAULT DATA'!$GQ$9:$IV$41,G$82,$E125)</f>
        <v>0</v>
      </c>
      <c r="H125" s="674">
        <f>INDEX('DEFAULT DATA'!$GQ$9:$IV$41,H$82,$E125)</f>
        <v>0</v>
      </c>
      <c r="I125" s="674">
        <f>INDEX('DEFAULT DATA'!$GQ$9:$IV$41,I$82,$E125)</f>
        <v>0</v>
      </c>
      <c r="J125" s="674">
        <f>INDEX('DEFAULT DATA'!$GQ$9:$IV$41,J$82,$E125)</f>
        <v>0</v>
      </c>
      <c r="K125" s="674">
        <f>INDEX('DEFAULT DATA'!$GQ$9:$IV$41,K$82,$E125)</f>
        <v>0</v>
      </c>
      <c r="L125" s="674">
        <f>INDEX('DEFAULT DATA'!$GQ$9:$IV$41,L$82,$E125)</f>
        <v>0</v>
      </c>
      <c r="M125" s="674">
        <f>INDEX('DEFAULT DATA'!$GQ$9:$IV$41,M$82,$E125)</f>
        <v>0</v>
      </c>
      <c r="N125" s="674">
        <f>INDEX('DEFAULT DATA'!$GQ$9:$IV$41,N$82,$E125)</f>
        <v>0</v>
      </c>
      <c r="O125" s="674">
        <f>INDEX('DEFAULT DATA'!$GQ$9:$IV$41,O$82,$E125)</f>
        <v>0</v>
      </c>
      <c r="P125" s="674">
        <f>INDEX('DEFAULT DATA'!$GQ$9:$IV$41,P$82,$E125)</f>
        <v>374.1781951114616</v>
      </c>
      <c r="Q125" s="674">
        <f>INDEX('DEFAULT DATA'!$GQ$9:$IV$41,Q$82,$E125)</f>
        <v>0</v>
      </c>
      <c r="R125" s="674">
        <f>INDEX('DEFAULT DATA'!$GQ$9:$IV$41,R$82,$E125)</f>
        <v>0</v>
      </c>
      <c r="S125" s="674">
        <f>INDEX('DEFAULT DATA'!$GQ$9:$IV$41,S$82,$E125)</f>
        <v>0</v>
      </c>
      <c r="T125" s="674">
        <f>INDEX('DEFAULT DATA'!$GQ$9:$IV$41,T$82,$E125)</f>
        <v>0</v>
      </c>
      <c r="U125" s="674">
        <f>INDEX('DEFAULT DATA'!$GQ$9:$IV$41,U$82,$E125)</f>
        <v>0</v>
      </c>
      <c r="V125" s="674">
        <f>INDEX('DEFAULT DATA'!$GQ$9:$IV$41,V$82,$E125)</f>
        <v>0</v>
      </c>
      <c r="W125" s="674">
        <f>INDEX('DEFAULT DATA'!$GQ$9:$IV$41,W$82,$E125)</f>
        <v>0</v>
      </c>
      <c r="X125" s="674">
        <f>INDEX('DEFAULT DATA'!$GQ$9:$IV$41,X$82,$E125)</f>
        <v>0</v>
      </c>
      <c r="Y125" s="674">
        <f>INDEX('DEFAULT DATA'!$GQ$9:$IV$41,Y$82,$E125)</f>
        <v>0</v>
      </c>
      <c r="Z125" s="674">
        <f>INDEX('DEFAULT DATA'!$GQ$9:$IV$41,Z$82,$E125)</f>
        <v>0</v>
      </c>
      <c r="AA125" s="674">
        <f>INDEX('DEFAULT DATA'!$GQ$9:$IV$41,AA$82,$E125)</f>
        <v>0</v>
      </c>
      <c r="AB125" s="674">
        <f>INDEX('DEFAULT DATA'!$GQ$9:$IV$41,AB$82,$E125)</f>
        <v>0</v>
      </c>
      <c r="AC125" s="674">
        <f>INDEX('DEFAULT DATA'!$GQ$9:$IV$41,AC$82,$E125)</f>
        <v>0</v>
      </c>
      <c r="AD125" s="674">
        <f>INDEX('DEFAULT DATA'!$GQ$9:$IV$41,AD$82,$E125)</f>
        <v>0</v>
      </c>
      <c r="AE125" s="674">
        <f>INDEX('DEFAULT DATA'!$GQ$9:$IV$41,AE$82,$E125)</f>
        <v>0</v>
      </c>
      <c r="AF125" s="674">
        <f>INDEX('DEFAULT DATA'!$GQ$9:$IV$41,AF$82,$E125)</f>
        <v>0</v>
      </c>
      <c r="AG125" s="674">
        <f>INDEX('DEFAULT DATA'!$GQ$9:$IV$41,AG$82,$E125)</f>
        <v>0</v>
      </c>
      <c r="AH125" s="674">
        <f>INDEX('DEFAULT DATA'!$GQ$9:$IV$41,AH$82,$E125)</f>
        <v>0</v>
      </c>
      <c r="AI125" s="674">
        <f>INDEX('DEFAULT DATA'!$GQ$9:$IV$41,AI$82,$E125)</f>
        <v>0</v>
      </c>
      <c r="AJ125" s="674">
        <f>INDEX('DEFAULT DATA'!$GQ$9:$IV$41,AJ$82,$E125)</f>
        <v>0</v>
      </c>
      <c r="AK125" s="674">
        <f>INDEX('DEFAULT DATA'!$GQ$9:$IV$41,AK$82,$E125)</f>
        <v>0</v>
      </c>
    </row>
    <row r="126" spans="5:37">
      <c r="E126" s="61">
        <f t="shared" si="6"/>
        <v>43</v>
      </c>
      <c r="F126" s="674">
        <f>INDEX('DEFAULT DATA'!$GQ$9:$IV$41,F$82,$E126)</f>
        <v>0</v>
      </c>
      <c r="G126" s="674">
        <f>INDEX('DEFAULT DATA'!$GQ$9:$IV$41,G$82,$E126)</f>
        <v>0</v>
      </c>
      <c r="H126" s="674">
        <f>INDEX('DEFAULT DATA'!$GQ$9:$IV$41,H$82,$E126)</f>
        <v>0</v>
      </c>
      <c r="I126" s="674">
        <f>INDEX('DEFAULT DATA'!$GQ$9:$IV$41,I$82,$E126)</f>
        <v>0</v>
      </c>
      <c r="J126" s="674">
        <f>INDEX('DEFAULT DATA'!$GQ$9:$IV$41,J$82,$E126)</f>
        <v>0</v>
      </c>
      <c r="K126" s="674">
        <f>INDEX('DEFAULT DATA'!$GQ$9:$IV$41,K$82,$E126)</f>
        <v>0</v>
      </c>
      <c r="L126" s="674">
        <f>INDEX('DEFAULT DATA'!$GQ$9:$IV$41,L$82,$E126)</f>
        <v>0</v>
      </c>
      <c r="M126" s="674">
        <f>INDEX('DEFAULT DATA'!$GQ$9:$IV$41,M$82,$E126)</f>
        <v>0</v>
      </c>
      <c r="N126" s="674">
        <f>INDEX('DEFAULT DATA'!$GQ$9:$IV$41,N$82,$E126)</f>
        <v>0</v>
      </c>
      <c r="O126" s="674">
        <f>INDEX('DEFAULT DATA'!$GQ$9:$IV$41,O$82,$E126)</f>
        <v>0</v>
      </c>
      <c r="P126" s="674">
        <f>INDEX('DEFAULT DATA'!$GQ$9:$IV$41,P$82,$E126)</f>
        <v>161.47946383771776</v>
      </c>
      <c r="Q126" s="674">
        <f>INDEX('DEFAULT DATA'!$GQ$9:$IV$41,Q$82,$E126)</f>
        <v>0</v>
      </c>
      <c r="R126" s="674">
        <f>INDEX('DEFAULT DATA'!$GQ$9:$IV$41,R$82,$E126)</f>
        <v>0</v>
      </c>
      <c r="S126" s="674">
        <f>INDEX('DEFAULT DATA'!$GQ$9:$IV$41,S$82,$E126)</f>
        <v>0</v>
      </c>
      <c r="T126" s="674">
        <f>INDEX('DEFAULT DATA'!$GQ$9:$IV$41,T$82,$E126)</f>
        <v>0</v>
      </c>
      <c r="U126" s="674">
        <f>INDEX('DEFAULT DATA'!$GQ$9:$IV$41,U$82,$E126)</f>
        <v>0</v>
      </c>
      <c r="V126" s="674">
        <f>INDEX('DEFAULT DATA'!$GQ$9:$IV$41,V$82,$E126)</f>
        <v>0</v>
      </c>
      <c r="W126" s="674">
        <f>INDEX('DEFAULT DATA'!$GQ$9:$IV$41,W$82,$E126)</f>
        <v>0</v>
      </c>
      <c r="X126" s="674">
        <f>INDEX('DEFAULT DATA'!$GQ$9:$IV$41,X$82,$E126)</f>
        <v>0</v>
      </c>
      <c r="Y126" s="674">
        <f>INDEX('DEFAULT DATA'!$GQ$9:$IV$41,Y$82,$E126)</f>
        <v>0</v>
      </c>
      <c r="Z126" s="674">
        <f>INDEX('DEFAULT DATA'!$GQ$9:$IV$41,Z$82,$E126)</f>
        <v>0</v>
      </c>
      <c r="AA126" s="674">
        <f>INDEX('DEFAULT DATA'!$GQ$9:$IV$41,AA$82,$E126)</f>
        <v>0</v>
      </c>
      <c r="AB126" s="674">
        <f>INDEX('DEFAULT DATA'!$GQ$9:$IV$41,AB$82,$E126)</f>
        <v>0</v>
      </c>
      <c r="AC126" s="674">
        <f>INDEX('DEFAULT DATA'!$GQ$9:$IV$41,AC$82,$E126)</f>
        <v>0</v>
      </c>
      <c r="AD126" s="674">
        <f>INDEX('DEFAULT DATA'!$GQ$9:$IV$41,AD$82,$E126)</f>
        <v>0</v>
      </c>
      <c r="AE126" s="674">
        <f>INDEX('DEFAULT DATA'!$GQ$9:$IV$41,AE$82,$E126)</f>
        <v>0</v>
      </c>
      <c r="AF126" s="674">
        <f>INDEX('DEFAULT DATA'!$GQ$9:$IV$41,AF$82,$E126)</f>
        <v>0</v>
      </c>
      <c r="AG126" s="674">
        <f>INDEX('DEFAULT DATA'!$GQ$9:$IV$41,AG$82,$E126)</f>
        <v>0</v>
      </c>
      <c r="AH126" s="674">
        <f>INDEX('DEFAULT DATA'!$GQ$9:$IV$41,AH$82,$E126)</f>
        <v>0</v>
      </c>
      <c r="AI126" s="674">
        <f>INDEX('DEFAULT DATA'!$GQ$9:$IV$41,AI$82,$E126)</f>
        <v>0</v>
      </c>
      <c r="AJ126" s="674">
        <f>INDEX('DEFAULT DATA'!$GQ$9:$IV$41,AJ$82,$E126)</f>
        <v>0</v>
      </c>
      <c r="AK126" s="674">
        <f>INDEX('DEFAULT DATA'!$GQ$9:$IV$41,AK$82,$E126)</f>
        <v>0</v>
      </c>
    </row>
    <row r="127" spans="5:37">
      <c r="E127" s="61">
        <f t="shared" si="6"/>
        <v>44</v>
      </c>
      <c r="F127" s="674">
        <f>INDEX('DEFAULT DATA'!$GQ$9:$IV$41,F$82,$E127)</f>
        <v>0</v>
      </c>
      <c r="G127" s="674">
        <f>INDEX('DEFAULT DATA'!$GQ$9:$IV$41,G$82,$E127)</f>
        <v>0</v>
      </c>
      <c r="H127" s="674">
        <f>INDEX('DEFAULT DATA'!$GQ$9:$IV$41,H$82,$E127)</f>
        <v>0</v>
      </c>
      <c r="I127" s="674">
        <f>INDEX('DEFAULT DATA'!$GQ$9:$IV$41,I$82,$E127)</f>
        <v>0</v>
      </c>
      <c r="J127" s="674">
        <f>INDEX('DEFAULT DATA'!$GQ$9:$IV$41,J$82,$E127)</f>
        <v>0</v>
      </c>
      <c r="K127" s="674">
        <f>INDEX('DEFAULT DATA'!$GQ$9:$IV$41,K$82,$E127)</f>
        <v>0</v>
      </c>
      <c r="L127" s="674">
        <f>INDEX('DEFAULT DATA'!$GQ$9:$IV$41,L$82,$E127)</f>
        <v>0</v>
      </c>
      <c r="M127" s="674">
        <f>INDEX('DEFAULT DATA'!$GQ$9:$IV$41,M$82,$E127)</f>
        <v>0</v>
      </c>
      <c r="N127" s="674">
        <f>INDEX('DEFAULT DATA'!$GQ$9:$IV$41,N$82,$E127)</f>
        <v>0</v>
      </c>
      <c r="O127" s="674">
        <f>INDEX('DEFAULT DATA'!$GQ$9:$IV$41,O$82,$E127)</f>
        <v>0</v>
      </c>
      <c r="P127" s="674">
        <f>INDEX('DEFAULT DATA'!$GQ$9:$IV$41,P$82,$E127)</f>
        <v>105.97089814350227</v>
      </c>
      <c r="Q127" s="674">
        <f>INDEX('DEFAULT DATA'!$GQ$9:$IV$41,Q$82,$E127)</f>
        <v>0</v>
      </c>
      <c r="R127" s="674">
        <f>INDEX('DEFAULT DATA'!$GQ$9:$IV$41,R$82,$E127)</f>
        <v>0</v>
      </c>
      <c r="S127" s="674">
        <f>INDEX('DEFAULT DATA'!$GQ$9:$IV$41,S$82,$E127)</f>
        <v>0</v>
      </c>
      <c r="T127" s="674">
        <f>INDEX('DEFAULT DATA'!$GQ$9:$IV$41,T$82,$E127)</f>
        <v>0</v>
      </c>
      <c r="U127" s="674">
        <f>INDEX('DEFAULT DATA'!$GQ$9:$IV$41,U$82,$E127)</f>
        <v>0</v>
      </c>
      <c r="V127" s="674">
        <f>INDEX('DEFAULT DATA'!$GQ$9:$IV$41,V$82,$E127)</f>
        <v>0</v>
      </c>
      <c r="W127" s="674">
        <f>INDEX('DEFAULT DATA'!$GQ$9:$IV$41,W$82,$E127)</f>
        <v>0</v>
      </c>
      <c r="X127" s="674">
        <f>INDEX('DEFAULT DATA'!$GQ$9:$IV$41,X$82,$E127)</f>
        <v>0</v>
      </c>
      <c r="Y127" s="674">
        <f>INDEX('DEFAULT DATA'!$GQ$9:$IV$41,Y$82,$E127)</f>
        <v>0</v>
      </c>
      <c r="Z127" s="674">
        <f>INDEX('DEFAULT DATA'!$GQ$9:$IV$41,Z$82,$E127)</f>
        <v>0</v>
      </c>
      <c r="AA127" s="674">
        <f>INDEX('DEFAULT DATA'!$GQ$9:$IV$41,AA$82,$E127)</f>
        <v>0</v>
      </c>
      <c r="AB127" s="674">
        <f>INDEX('DEFAULT DATA'!$GQ$9:$IV$41,AB$82,$E127)</f>
        <v>0</v>
      </c>
      <c r="AC127" s="674">
        <f>INDEX('DEFAULT DATA'!$GQ$9:$IV$41,AC$82,$E127)</f>
        <v>0</v>
      </c>
      <c r="AD127" s="674">
        <f>INDEX('DEFAULT DATA'!$GQ$9:$IV$41,AD$82,$E127)</f>
        <v>0</v>
      </c>
      <c r="AE127" s="674">
        <f>INDEX('DEFAULT DATA'!$GQ$9:$IV$41,AE$82,$E127)</f>
        <v>0</v>
      </c>
      <c r="AF127" s="674">
        <f>INDEX('DEFAULT DATA'!$GQ$9:$IV$41,AF$82,$E127)</f>
        <v>0</v>
      </c>
      <c r="AG127" s="674">
        <f>INDEX('DEFAULT DATA'!$GQ$9:$IV$41,AG$82,$E127)</f>
        <v>0</v>
      </c>
      <c r="AH127" s="674">
        <f>INDEX('DEFAULT DATA'!$GQ$9:$IV$41,AH$82,$E127)</f>
        <v>0</v>
      </c>
      <c r="AI127" s="674">
        <f>INDEX('DEFAULT DATA'!$GQ$9:$IV$41,AI$82,$E127)</f>
        <v>0</v>
      </c>
      <c r="AJ127" s="674">
        <f>INDEX('DEFAULT DATA'!$GQ$9:$IV$41,AJ$82,$E127)</f>
        <v>0</v>
      </c>
      <c r="AK127" s="674">
        <f>INDEX('DEFAULT DATA'!$GQ$9:$IV$41,AK$82,$E127)</f>
        <v>0</v>
      </c>
    </row>
    <row r="128" spans="5:37">
      <c r="E128" s="61">
        <f t="shared" si="6"/>
        <v>45</v>
      </c>
      <c r="F128" s="674">
        <f>INDEX('DEFAULT DATA'!$GQ$9:$IV$41,F$82,$E128)</f>
        <v>0</v>
      </c>
      <c r="G128" s="674">
        <f>INDEX('DEFAULT DATA'!$GQ$9:$IV$41,G$82,$E128)</f>
        <v>0</v>
      </c>
      <c r="H128" s="674">
        <f>INDEX('DEFAULT DATA'!$GQ$9:$IV$41,H$82,$E128)</f>
        <v>0</v>
      </c>
      <c r="I128" s="674">
        <f>INDEX('DEFAULT DATA'!$GQ$9:$IV$41,I$82,$E128)</f>
        <v>0</v>
      </c>
      <c r="J128" s="674">
        <f>INDEX('DEFAULT DATA'!$GQ$9:$IV$41,J$82,$E128)</f>
        <v>0</v>
      </c>
      <c r="K128" s="674">
        <f>INDEX('DEFAULT DATA'!$GQ$9:$IV$41,K$82,$E128)</f>
        <v>0</v>
      </c>
      <c r="L128" s="674">
        <f>INDEX('DEFAULT DATA'!$GQ$9:$IV$41,L$82,$E128)</f>
        <v>0</v>
      </c>
      <c r="M128" s="674">
        <f>INDEX('DEFAULT DATA'!$GQ$9:$IV$41,M$82,$E128)</f>
        <v>0</v>
      </c>
      <c r="N128" s="674">
        <f>INDEX('DEFAULT DATA'!$GQ$9:$IV$41,N$82,$E128)</f>
        <v>0</v>
      </c>
      <c r="O128" s="674">
        <f>INDEX('DEFAULT DATA'!$GQ$9:$IV$41,O$82,$E128)</f>
        <v>0</v>
      </c>
      <c r="P128" s="674">
        <f>INDEX('DEFAULT DATA'!$GQ$9:$IV$41,P$82,$E128)</f>
        <v>153.91011397032472</v>
      </c>
      <c r="Q128" s="674">
        <f>INDEX('DEFAULT DATA'!$GQ$9:$IV$41,Q$82,$E128)</f>
        <v>0</v>
      </c>
      <c r="R128" s="674">
        <f>INDEX('DEFAULT DATA'!$GQ$9:$IV$41,R$82,$E128)</f>
        <v>0</v>
      </c>
      <c r="S128" s="674">
        <f>INDEX('DEFAULT DATA'!$GQ$9:$IV$41,S$82,$E128)</f>
        <v>0</v>
      </c>
      <c r="T128" s="674">
        <f>INDEX('DEFAULT DATA'!$GQ$9:$IV$41,T$82,$E128)</f>
        <v>0</v>
      </c>
      <c r="U128" s="674">
        <f>INDEX('DEFAULT DATA'!$GQ$9:$IV$41,U$82,$E128)</f>
        <v>0</v>
      </c>
      <c r="V128" s="674">
        <f>INDEX('DEFAULT DATA'!$GQ$9:$IV$41,V$82,$E128)</f>
        <v>0</v>
      </c>
      <c r="W128" s="674">
        <f>INDEX('DEFAULT DATA'!$GQ$9:$IV$41,W$82,$E128)</f>
        <v>0</v>
      </c>
      <c r="X128" s="674">
        <f>INDEX('DEFAULT DATA'!$GQ$9:$IV$41,X$82,$E128)</f>
        <v>0</v>
      </c>
      <c r="Y128" s="674">
        <f>INDEX('DEFAULT DATA'!$GQ$9:$IV$41,Y$82,$E128)</f>
        <v>0</v>
      </c>
      <c r="Z128" s="674">
        <f>INDEX('DEFAULT DATA'!$GQ$9:$IV$41,Z$82,$E128)</f>
        <v>0</v>
      </c>
      <c r="AA128" s="674">
        <f>INDEX('DEFAULT DATA'!$GQ$9:$IV$41,AA$82,$E128)</f>
        <v>0</v>
      </c>
      <c r="AB128" s="674">
        <f>INDEX('DEFAULT DATA'!$GQ$9:$IV$41,AB$82,$E128)</f>
        <v>0</v>
      </c>
      <c r="AC128" s="674">
        <f>INDEX('DEFAULT DATA'!$GQ$9:$IV$41,AC$82,$E128)</f>
        <v>0</v>
      </c>
      <c r="AD128" s="674">
        <f>INDEX('DEFAULT DATA'!$GQ$9:$IV$41,AD$82,$E128)</f>
        <v>0</v>
      </c>
      <c r="AE128" s="674">
        <f>INDEX('DEFAULT DATA'!$GQ$9:$IV$41,AE$82,$E128)</f>
        <v>0</v>
      </c>
      <c r="AF128" s="674">
        <f>INDEX('DEFAULT DATA'!$GQ$9:$IV$41,AF$82,$E128)</f>
        <v>0</v>
      </c>
      <c r="AG128" s="674">
        <f>INDEX('DEFAULT DATA'!$GQ$9:$IV$41,AG$82,$E128)</f>
        <v>0</v>
      </c>
      <c r="AH128" s="674">
        <f>INDEX('DEFAULT DATA'!$GQ$9:$IV$41,AH$82,$E128)</f>
        <v>0</v>
      </c>
      <c r="AI128" s="674">
        <f>INDEX('DEFAULT DATA'!$GQ$9:$IV$41,AI$82,$E128)</f>
        <v>0</v>
      </c>
      <c r="AJ128" s="674">
        <f>INDEX('DEFAULT DATA'!$GQ$9:$IV$41,AJ$82,$E128)</f>
        <v>0</v>
      </c>
      <c r="AK128" s="674">
        <f>INDEX('DEFAULT DATA'!$GQ$9:$IV$41,AK$82,$E128)</f>
        <v>0</v>
      </c>
    </row>
    <row r="129" spans="5:37">
      <c r="E129" s="61">
        <f t="shared" si="6"/>
        <v>46</v>
      </c>
      <c r="F129" s="674">
        <f>INDEX('DEFAULT DATA'!$GQ$9:$IV$41,F$82,$E129)</f>
        <v>0</v>
      </c>
      <c r="G129" s="674">
        <f>INDEX('DEFAULT DATA'!$GQ$9:$IV$41,G$82,$E129)</f>
        <v>0</v>
      </c>
      <c r="H129" s="674">
        <f>INDEX('DEFAULT DATA'!$GQ$9:$IV$41,H$82,$E129)</f>
        <v>0</v>
      </c>
      <c r="I129" s="674">
        <f>INDEX('DEFAULT DATA'!$GQ$9:$IV$41,I$82,$E129)</f>
        <v>0</v>
      </c>
      <c r="J129" s="674">
        <f>INDEX('DEFAULT DATA'!$GQ$9:$IV$41,J$82,$E129)</f>
        <v>0</v>
      </c>
      <c r="K129" s="674">
        <f>INDEX('DEFAULT DATA'!$GQ$9:$IV$41,K$82,$E129)</f>
        <v>0</v>
      </c>
      <c r="L129" s="674">
        <f>INDEX('DEFAULT DATA'!$GQ$9:$IV$41,L$82,$E129)</f>
        <v>0</v>
      </c>
      <c r="M129" s="674">
        <f>INDEX('DEFAULT DATA'!$GQ$9:$IV$41,M$82,$E129)</f>
        <v>0</v>
      </c>
      <c r="N129" s="674">
        <f>INDEX('DEFAULT DATA'!$GQ$9:$IV$41,N$82,$E129)</f>
        <v>0</v>
      </c>
      <c r="O129" s="674">
        <f>INDEX('DEFAULT DATA'!$GQ$9:$IV$41,O$82,$E129)</f>
        <v>0</v>
      </c>
      <c r="P129" s="674">
        <f>INDEX('DEFAULT DATA'!$GQ$9:$IV$41,P$82,$E129)</f>
        <v>80.73973191885888</v>
      </c>
      <c r="Q129" s="674">
        <f>INDEX('DEFAULT DATA'!$GQ$9:$IV$41,Q$82,$E129)</f>
        <v>0</v>
      </c>
      <c r="R129" s="674">
        <f>INDEX('DEFAULT DATA'!$GQ$9:$IV$41,R$82,$E129)</f>
        <v>0</v>
      </c>
      <c r="S129" s="674">
        <f>INDEX('DEFAULT DATA'!$GQ$9:$IV$41,S$82,$E129)</f>
        <v>0</v>
      </c>
      <c r="T129" s="674">
        <f>INDEX('DEFAULT DATA'!$GQ$9:$IV$41,T$82,$E129)</f>
        <v>0</v>
      </c>
      <c r="U129" s="674">
        <f>INDEX('DEFAULT DATA'!$GQ$9:$IV$41,U$82,$E129)</f>
        <v>0</v>
      </c>
      <c r="V129" s="674">
        <f>INDEX('DEFAULT DATA'!$GQ$9:$IV$41,V$82,$E129)</f>
        <v>0</v>
      </c>
      <c r="W129" s="674">
        <f>INDEX('DEFAULT DATA'!$GQ$9:$IV$41,W$82,$E129)</f>
        <v>0</v>
      </c>
      <c r="X129" s="674">
        <f>INDEX('DEFAULT DATA'!$GQ$9:$IV$41,X$82,$E129)</f>
        <v>0</v>
      </c>
      <c r="Y129" s="674">
        <f>INDEX('DEFAULT DATA'!$GQ$9:$IV$41,Y$82,$E129)</f>
        <v>0</v>
      </c>
      <c r="Z129" s="674">
        <f>INDEX('DEFAULT DATA'!$GQ$9:$IV$41,Z$82,$E129)</f>
        <v>0</v>
      </c>
      <c r="AA129" s="674">
        <f>INDEX('DEFAULT DATA'!$GQ$9:$IV$41,AA$82,$E129)</f>
        <v>0</v>
      </c>
      <c r="AB129" s="674">
        <f>INDEX('DEFAULT DATA'!$GQ$9:$IV$41,AB$82,$E129)</f>
        <v>0</v>
      </c>
      <c r="AC129" s="674">
        <f>INDEX('DEFAULT DATA'!$GQ$9:$IV$41,AC$82,$E129)</f>
        <v>0</v>
      </c>
      <c r="AD129" s="674">
        <f>INDEX('DEFAULT DATA'!$GQ$9:$IV$41,AD$82,$E129)</f>
        <v>0</v>
      </c>
      <c r="AE129" s="674">
        <f>INDEX('DEFAULT DATA'!$GQ$9:$IV$41,AE$82,$E129)</f>
        <v>0</v>
      </c>
      <c r="AF129" s="674">
        <f>INDEX('DEFAULT DATA'!$GQ$9:$IV$41,AF$82,$E129)</f>
        <v>0</v>
      </c>
      <c r="AG129" s="674">
        <f>INDEX('DEFAULT DATA'!$GQ$9:$IV$41,AG$82,$E129)</f>
        <v>0</v>
      </c>
      <c r="AH129" s="674">
        <f>INDEX('DEFAULT DATA'!$GQ$9:$IV$41,AH$82,$E129)</f>
        <v>0</v>
      </c>
      <c r="AI129" s="674">
        <f>INDEX('DEFAULT DATA'!$GQ$9:$IV$41,AI$82,$E129)</f>
        <v>0</v>
      </c>
      <c r="AJ129" s="674">
        <f>INDEX('DEFAULT DATA'!$GQ$9:$IV$41,AJ$82,$E129)</f>
        <v>0</v>
      </c>
      <c r="AK129" s="674">
        <f>INDEX('DEFAULT DATA'!$GQ$9:$IV$41,AK$82,$E129)</f>
        <v>0</v>
      </c>
    </row>
    <row r="130" spans="5:37">
      <c r="E130" s="61">
        <f t="shared" si="6"/>
        <v>47</v>
      </c>
      <c r="F130" s="674">
        <f>INDEX('DEFAULT DATA'!$GQ$9:$IV$41,F$82,$E130)</f>
        <v>0</v>
      </c>
      <c r="G130" s="674">
        <f>INDEX('DEFAULT DATA'!$GQ$9:$IV$41,G$82,$E130)</f>
        <v>0</v>
      </c>
      <c r="H130" s="674">
        <f>INDEX('DEFAULT DATA'!$GQ$9:$IV$41,H$82,$E130)</f>
        <v>0</v>
      </c>
      <c r="I130" s="674">
        <f>INDEX('DEFAULT DATA'!$GQ$9:$IV$41,I$82,$E130)</f>
        <v>0</v>
      </c>
      <c r="J130" s="674">
        <f>INDEX('DEFAULT DATA'!$GQ$9:$IV$41,J$82,$E130)</f>
        <v>0</v>
      </c>
      <c r="K130" s="674">
        <f>INDEX('DEFAULT DATA'!$GQ$9:$IV$41,K$82,$E130)</f>
        <v>0</v>
      </c>
      <c r="L130" s="674">
        <f>INDEX('DEFAULT DATA'!$GQ$9:$IV$41,L$82,$E130)</f>
        <v>0</v>
      </c>
      <c r="M130" s="674">
        <f>INDEX('DEFAULT DATA'!$GQ$9:$IV$41,M$82,$E130)</f>
        <v>0</v>
      </c>
      <c r="N130" s="674">
        <f>INDEX('DEFAULT DATA'!$GQ$9:$IV$41,N$82,$E130)</f>
        <v>0</v>
      </c>
      <c r="O130" s="674">
        <f>INDEX('DEFAULT DATA'!$GQ$9:$IV$41,O$82,$E130)</f>
        <v>0</v>
      </c>
      <c r="P130" s="674">
        <f>INDEX('DEFAULT DATA'!$GQ$9:$IV$41,P$82,$E130)</f>
        <v>199.32621317468286</v>
      </c>
      <c r="Q130" s="674">
        <f>INDEX('DEFAULT DATA'!$GQ$9:$IV$41,Q$82,$E130)</f>
        <v>0</v>
      </c>
      <c r="R130" s="674">
        <f>INDEX('DEFAULT DATA'!$GQ$9:$IV$41,R$82,$E130)</f>
        <v>0</v>
      </c>
      <c r="S130" s="674">
        <f>INDEX('DEFAULT DATA'!$GQ$9:$IV$41,S$82,$E130)</f>
        <v>0</v>
      </c>
      <c r="T130" s="674">
        <f>INDEX('DEFAULT DATA'!$GQ$9:$IV$41,T$82,$E130)</f>
        <v>0</v>
      </c>
      <c r="U130" s="674">
        <f>INDEX('DEFAULT DATA'!$GQ$9:$IV$41,U$82,$E130)</f>
        <v>0</v>
      </c>
      <c r="V130" s="674">
        <f>INDEX('DEFAULT DATA'!$GQ$9:$IV$41,V$82,$E130)</f>
        <v>0</v>
      </c>
      <c r="W130" s="674">
        <f>INDEX('DEFAULT DATA'!$GQ$9:$IV$41,W$82,$E130)</f>
        <v>0</v>
      </c>
      <c r="X130" s="674">
        <f>INDEX('DEFAULT DATA'!$GQ$9:$IV$41,X$82,$E130)</f>
        <v>0</v>
      </c>
      <c r="Y130" s="674">
        <f>INDEX('DEFAULT DATA'!$GQ$9:$IV$41,Y$82,$E130)</f>
        <v>0</v>
      </c>
      <c r="Z130" s="674">
        <f>INDEX('DEFAULT DATA'!$GQ$9:$IV$41,Z$82,$E130)</f>
        <v>0</v>
      </c>
      <c r="AA130" s="674">
        <f>INDEX('DEFAULT DATA'!$GQ$9:$IV$41,AA$82,$E130)</f>
        <v>0</v>
      </c>
      <c r="AB130" s="674">
        <f>INDEX('DEFAULT DATA'!$GQ$9:$IV$41,AB$82,$E130)</f>
        <v>0</v>
      </c>
      <c r="AC130" s="674">
        <f>INDEX('DEFAULT DATA'!$GQ$9:$IV$41,AC$82,$E130)</f>
        <v>0</v>
      </c>
      <c r="AD130" s="674">
        <f>INDEX('DEFAULT DATA'!$GQ$9:$IV$41,AD$82,$E130)</f>
        <v>0</v>
      </c>
      <c r="AE130" s="674">
        <f>INDEX('DEFAULT DATA'!$GQ$9:$IV$41,AE$82,$E130)</f>
        <v>0</v>
      </c>
      <c r="AF130" s="674">
        <f>INDEX('DEFAULT DATA'!$GQ$9:$IV$41,AF$82,$E130)</f>
        <v>0</v>
      </c>
      <c r="AG130" s="674">
        <f>INDEX('DEFAULT DATA'!$GQ$9:$IV$41,AG$82,$E130)</f>
        <v>0</v>
      </c>
      <c r="AH130" s="674">
        <f>INDEX('DEFAULT DATA'!$GQ$9:$IV$41,AH$82,$E130)</f>
        <v>0</v>
      </c>
      <c r="AI130" s="674">
        <f>INDEX('DEFAULT DATA'!$GQ$9:$IV$41,AI$82,$E130)</f>
        <v>0</v>
      </c>
      <c r="AJ130" s="674">
        <f>INDEX('DEFAULT DATA'!$GQ$9:$IV$41,AJ$82,$E130)</f>
        <v>0</v>
      </c>
      <c r="AK130" s="674">
        <f>INDEX('DEFAULT DATA'!$GQ$9:$IV$41,AK$82,$E130)</f>
        <v>0</v>
      </c>
    </row>
    <row r="131" spans="5:37">
      <c r="E131" s="61">
        <f t="shared" si="6"/>
        <v>48</v>
      </c>
      <c r="F131" s="674">
        <f>INDEX('DEFAULT DATA'!$GQ$9:$IV$41,F$82,$E131)</f>
        <v>0</v>
      </c>
      <c r="G131" s="674">
        <f>INDEX('DEFAULT DATA'!$GQ$9:$IV$41,G$82,$E131)</f>
        <v>0</v>
      </c>
      <c r="H131" s="674">
        <f>INDEX('DEFAULT DATA'!$GQ$9:$IV$41,H$82,$E131)</f>
        <v>0</v>
      </c>
      <c r="I131" s="674">
        <f>INDEX('DEFAULT DATA'!$GQ$9:$IV$41,I$82,$E131)</f>
        <v>0</v>
      </c>
      <c r="J131" s="674">
        <f>INDEX('DEFAULT DATA'!$GQ$9:$IV$41,J$82,$E131)</f>
        <v>0</v>
      </c>
      <c r="K131" s="674">
        <f>INDEX('DEFAULT DATA'!$GQ$9:$IV$41,K$82,$E131)</f>
        <v>0</v>
      </c>
      <c r="L131" s="674">
        <f>INDEX('DEFAULT DATA'!$GQ$9:$IV$41,L$82,$E131)</f>
        <v>0</v>
      </c>
      <c r="M131" s="674">
        <f>INDEX('DEFAULT DATA'!$GQ$9:$IV$41,M$82,$E131)</f>
        <v>0</v>
      </c>
      <c r="N131" s="674">
        <f>INDEX('DEFAULT DATA'!$GQ$9:$IV$41,N$82,$E131)</f>
        <v>0</v>
      </c>
      <c r="O131" s="674">
        <f>INDEX('DEFAULT DATA'!$GQ$9:$IV$41,O$82,$E131)</f>
        <v>0</v>
      </c>
      <c r="P131" s="674">
        <f>INDEX('DEFAULT DATA'!$GQ$9:$IV$41,P$82,$E131)</f>
        <v>7.06472654290015</v>
      </c>
      <c r="Q131" s="674">
        <f>INDEX('DEFAULT DATA'!$GQ$9:$IV$41,Q$82,$E131)</f>
        <v>0</v>
      </c>
      <c r="R131" s="674">
        <f>INDEX('DEFAULT DATA'!$GQ$9:$IV$41,R$82,$E131)</f>
        <v>0</v>
      </c>
      <c r="S131" s="674">
        <f>INDEX('DEFAULT DATA'!$GQ$9:$IV$41,S$82,$E131)</f>
        <v>0</v>
      </c>
      <c r="T131" s="674">
        <f>INDEX('DEFAULT DATA'!$GQ$9:$IV$41,T$82,$E131)</f>
        <v>0</v>
      </c>
      <c r="U131" s="674">
        <f>INDEX('DEFAULT DATA'!$GQ$9:$IV$41,U$82,$E131)</f>
        <v>0</v>
      </c>
      <c r="V131" s="674">
        <f>INDEX('DEFAULT DATA'!$GQ$9:$IV$41,V$82,$E131)</f>
        <v>0</v>
      </c>
      <c r="W131" s="674">
        <f>INDEX('DEFAULT DATA'!$GQ$9:$IV$41,W$82,$E131)</f>
        <v>0</v>
      </c>
      <c r="X131" s="674">
        <f>INDEX('DEFAULT DATA'!$GQ$9:$IV$41,X$82,$E131)</f>
        <v>0</v>
      </c>
      <c r="Y131" s="674">
        <f>INDEX('DEFAULT DATA'!$GQ$9:$IV$41,Y$82,$E131)</f>
        <v>0</v>
      </c>
      <c r="Z131" s="674">
        <f>INDEX('DEFAULT DATA'!$GQ$9:$IV$41,Z$82,$E131)</f>
        <v>0</v>
      </c>
      <c r="AA131" s="674">
        <f>INDEX('DEFAULT DATA'!$GQ$9:$IV$41,AA$82,$E131)</f>
        <v>0</v>
      </c>
      <c r="AB131" s="674">
        <f>INDEX('DEFAULT DATA'!$GQ$9:$IV$41,AB$82,$E131)</f>
        <v>0</v>
      </c>
      <c r="AC131" s="674">
        <f>INDEX('DEFAULT DATA'!$GQ$9:$IV$41,AC$82,$E131)</f>
        <v>0</v>
      </c>
      <c r="AD131" s="674">
        <f>INDEX('DEFAULT DATA'!$GQ$9:$IV$41,AD$82,$E131)</f>
        <v>0</v>
      </c>
      <c r="AE131" s="674">
        <f>INDEX('DEFAULT DATA'!$GQ$9:$IV$41,AE$82,$E131)</f>
        <v>0</v>
      </c>
      <c r="AF131" s="674">
        <f>INDEX('DEFAULT DATA'!$GQ$9:$IV$41,AF$82,$E131)</f>
        <v>0</v>
      </c>
      <c r="AG131" s="674">
        <f>INDEX('DEFAULT DATA'!$GQ$9:$IV$41,AG$82,$E131)</f>
        <v>0</v>
      </c>
      <c r="AH131" s="674">
        <f>INDEX('DEFAULT DATA'!$GQ$9:$IV$41,AH$82,$E131)</f>
        <v>0</v>
      </c>
      <c r="AI131" s="674">
        <f>INDEX('DEFAULT DATA'!$GQ$9:$IV$41,AI$82,$E131)</f>
        <v>0</v>
      </c>
      <c r="AJ131" s="674">
        <f>INDEX('DEFAULT DATA'!$GQ$9:$IV$41,AJ$82,$E131)</f>
        <v>0</v>
      </c>
      <c r="AK131" s="674">
        <f>INDEX('DEFAULT DATA'!$GQ$9:$IV$41,AK$82,$E131)</f>
        <v>0</v>
      </c>
    </row>
    <row r="132" spans="5:37">
      <c r="E132" s="61">
        <f t="shared" si="6"/>
        <v>49</v>
      </c>
      <c r="F132" s="674">
        <f>INDEX('DEFAULT DATA'!$GQ$9:$IV$41,F$82,$E132)</f>
        <v>0</v>
      </c>
      <c r="G132" s="674">
        <f>INDEX('DEFAULT DATA'!$GQ$9:$IV$41,G$82,$E132)</f>
        <v>0</v>
      </c>
      <c r="H132" s="674">
        <f>INDEX('DEFAULT DATA'!$GQ$9:$IV$41,H$82,$E132)</f>
        <v>0</v>
      </c>
      <c r="I132" s="674">
        <f>INDEX('DEFAULT DATA'!$GQ$9:$IV$41,I$82,$E132)</f>
        <v>0</v>
      </c>
      <c r="J132" s="674">
        <f>INDEX('DEFAULT DATA'!$GQ$9:$IV$41,J$82,$E132)</f>
        <v>0</v>
      </c>
      <c r="K132" s="674">
        <f>INDEX('DEFAULT DATA'!$GQ$9:$IV$41,K$82,$E132)</f>
        <v>0</v>
      </c>
      <c r="L132" s="674">
        <f>INDEX('DEFAULT DATA'!$GQ$9:$IV$41,L$82,$E132)</f>
        <v>0</v>
      </c>
      <c r="M132" s="674">
        <f>INDEX('DEFAULT DATA'!$GQ$9:$IV$41,M$82,$E132)</f>
        <v>0</v>
      </c>
      <c r="N132" s="674">
        <f>INDEX('DEFAULT DATA'!$GQ$9:$IV$41,N$82,$E132)</f>
        <v>0</v>
      </c>
      <c r="O132" s="674">
        <f>INDEX('DEFAULT DATA'!$GQ$9:$IV$41,O$82,$E132)</f>
        <v>0</v>
      </c>
      <c r="P132" s="674">
        <f>INDEX('DEFAULT DATA'!$GQ$9:$IV$41,P$82,$E132)</f>
        <v>48.443839151315309</v>
      </c>
      <c r="Q132" s="674">
        <f>INDEX('DEFAULT DATA'!$GQ$9:$IV$41,Q$82,$E132)</f>
        <v>0</v>
      </c>
      <c r="R132" s="674">
        <f>INDEX('DEFAULT DATA'!$GQ$9:$IV$41,R$82,$E132)</f>
        <v>0</v>
      </c>
      <c r="S132" s="674">
        <f>INDEX('DEFAULT DATA'!$GQ$9:$IV$41,S$82,$E132)</f>
        <v>0</v>
      </c>
      <c r="T132" s="674">
        <f>INDEX('DEFAULT DATA'!$GQ$9:$IV$41,T$82,$E132)</f>
        <v>0</v>
      </c>
      <c r="U132" s="674">
        <f>INDEX('DEFAULT DATA'!$GQ$9:$IV$41,U$82,$E132)</f>
        <v>0</v>
      </c>
      <c r="V132" s="674">
        <f>INDEX('DEFAULT DATA'!$GQ$9:$IV$41,V$82,$E132)</f>
        <v>0</v>
      </c>
      <c r="W132" s="674">
        <f>INDEX('DEFAULT DATA'!$GQ$9:$IV$41,W$82,$E132)</f>
        <v>0</v>
      </c>
      <c r="X132" s="674">
        <f>INDEX('DEFAULT DATA'!$GQ$9:$IV$41,X$82,$E132)</f>
        <v>0</v>
      </c>
      <c r="Y132" s="674">
        <f>INDEX('DEFAULT DATA'!$GQ$9:$IV$41,Y$82,$E132)</f>
        <v>0</v>
      </c>
      <c r="Z132" s="674">
        <f>INDEX('DEFAULT DATA'!$GQ$9:$IV$41,Z$82,$E132)</f>
        <v>0</v>
      </c>
      <c r="AA132" s="674">
        <f>INDEX('DEFAULT DATA'!$GQ$9:$IV$41,AA$82,$E132)</f>
        <v>0</v>
      </c>
      <c r="AB132" s="674">
        <f>INDEX('DEFAULT DATA'!$GQ$9:$IV$41,AB$82,$E132)</f>
        <v>0</v>
      </c>
      <c r="AC132" s="674">
        <f>INDEX('DEFAULT DATA'!$GQ$9:$IV$41,AC$82,$E132)</f>
        <v>0</v>
      </c>
      <c r="AD132" s="674">
        <f>INDEX('DEFAULT DATA'!$GQ$9:$IV$41,AD$82,$E132)</f>
        <v>0</v>
      </c>
      <c r="AE132" s="674">
        <f>INDEX('DEFAULT DATA'!$GQ$9:$IV$41,AE$82,$E132)</f>
        <v>0</v>
      </c>
      <c r="AF132" s="674">
        <f>INDEX('DEFAULT DATA'!$GQ$9:$IV$41,AF$82,$E132)</f>
        <v>0</v>
      </c>
      <c r="AG132" s="674">
        <f>INDEX('DEFAULT DATA'!$GQ$9:$IV$41,AG$82,$E132)</f>
        <v>0</v>
      </c>
      <c r="AH132" s="674">
        <f>INDEX('DEFAULT DATA'!$GQ$9:$IV$41,AH$82,$E132)</f>
        <v>0</v>
      </c>
      <c r="AI132" s="674">
        <f>INDEX('DEFAULT DATA'!$GQ$9:$IV$41,AI$82,$E132)</f>
        <v>0</v>
      </c>
      <c r="AJ132" s="674">
        <f>INDEX('DEFAULT DATA'!$GQ$9:$IV$41,AJ$82,$E132)</f>
        <v>0</v>
      </c>
      <c r="AK132" s="674">
        <f>INDEX('DEFAULT DATA'!$GQ$9:$IV$41,AK$82,$E132)</f>
        <v>0</v>
      </c>
    </row>
    <row r="133" spans="5:37">
      <c r="E133" s="61">
        <f t="shared" si="6"/>
        <v>50</v>
      </c>
      <c r="F133" s="674">
        <f>INDEX('DEFAULT DATA'!$GQ$9:$IV$41,F$82,$E133)</f>
        <v>0</v>
      </c>
      <c r="G133" s="674">
        <f>INDEX('DEFAULT DATA'!$GQ$9:$IV$41,G$82,$E133)</f>
        <v>0</v>
      </c>
      <c r="H133" s="674">
        <f>INDEX('DEFAULT DATA'!$GQ$9:$IV$41,H$82,$E133)</f>
        <v>0</v>
      </c>
      <c r="I133" s="674">
        <f>INDEX('DEFAULT DATA'!$GQ$9:$IV$41,I$82,$E133)</f>
        <v>0</v>
      </c>
      <c r="J133" s="674">
        <f>INDEX('DEFAULT DATA'!$GQ$9:$IV$41,J$82,$E133)</f>
        <v>0</v>
      </c>
      <c r="K133" s="674">
        <f>INDEX('DEFAULT DATA'!$GQ$9:$IV$41,K$82,$E133)</f>
        <v>0</v>
      </c>
      <c r="L133" s="674">
        <f>INDEX('DEFAULT DATA'!$GQ$9:$IV$41,L$82,$E133)</f>
        <v>0</v>
      </c>
      <c r="M133" s="674">
        <f>INDEX('DEFAULT DATA'!$GQ$9:$IV$41,M$82,$E133)</f>
        <v>0</v>
      </c>
      <c r="N133" s="674">
        <f>INDEX('DEFAULT DATA'!$GQ$9:$IV$41,N$82,$E133)</f>
        <v>0</v>
      </c>
      <c r="O133" s="674">
        <f>INDEX('DEFAULT DATA'!$GQ$9:$IV$41,O$82,$E133)</f>
        <v>0</v>
      </c>
      <c r="P133" s="674">
        <f>INDEX('DEFAULT DATA'!$GQ$9:$IV$41,P$82,$E133)</f>
        <v>83.262848541323208</v>
      </c>
      <c r="Q133" s="674">
        <f>INDEX('DEFAULT DATA'!$GQ$9:$IV$41,Q$82,$E133)</f>
        <v>0</v>
      </c>
      <c r="R133" s="674">
        <f>INDEX('DEFAULT DATA'!$GQ$9:$IV$41,R$82,$E133)</f>
        <v>0</v>
      </c>
      <c r="S133" s="674">
        <f>INDEX('DEFAULT DATA'!$GQ$9:$IV$41,S$82,$E133)</f>
        <v>0</v>
      </c>
      <c r="T133" s="674">
        <f>INDEX('DEFAULT DATA'!$GQ$9:$IV$41,T$82,$E133)</f>
        <v>0</v>
      </c>
      <c r="U133" s="674">
        <f>INDEX('DEFAULT DATA'!$GQ$9:$IV$41,U$82,$E133)</f>
        <v>0</v>
      </c>
      <c r="V133" s="674">
        <f>INDEX('DEFAULT DATA'!$GQ$9:$IV$41,V$82,$E133)</f>
        <v>0</v>
      </c>
      <c r="W133" s="674">
        <f>INDEX('DEFAULT DATA'!$GQ$9:$IV$41,W$82,$E133)</f>
        <v>0</v>
      </c>
      <c r="X133" s="674">
        <f>INDEX('DEFAULT DATA'!$GQ$9:$IV$41,X$82,$E133)</f>
        <v>0</v>
      </c>
      <c r="Y133" s="674">
        <f>INDEX('DEFAULT DATA'!$GQ$9:$IV$41,Y$82,$E133)</f>
        <v>0</v>
      </c>
      <c r="Z133" s="674">
        <f>INDEX('DEFAULT DATA'!$GQ$9:$IV$41,Z$82,$E133)</f>
        <v>0</v>
      </c>
      <c r="AA133" s="674">
        <f>INDEX('DEFAULT DATA'!$GQ$9:$IV$41,AA$82,$E133)</f>
        <v>0</v>
      </c>
      <c r="AB133" s="674">
        <f>INDEX('DEFAULT DATA'!$GQ$9:$IV$41,AB$82,$E133)</f>
        <v>0</v>
      </c>
      <c r="AC133" s="674">
        <f>INDEX('DEFAULT DATA'!$GQ$9:$IV$41,AC$82,$E133)</f>
        <v>0</v>
      </c>
      <c r="AD133" s="674">
        <f>INDEX('DEFAULT DATA'!$GQ$9:$IV$41,AD$82,$E133)</f>
        <v>0</v>
      </c>
      <c r="AE133" s="674">
        <f>INDEX('DEFAULT DATA'!$GQ$9:$IV$41,AE$82,$E133)</f>
        <v>0</v>
      </c>
      <c r="AF133" s="674">
        <f>INDEX('DEFAULT DATA'!$GQ$9:$IV$41,AF$82,$E133)</f>
        <v>0</v>
      </c>
      <c r="AG133" s="674">
        <f>INDEX('DEFAULT DATA'!$GQ$9:$IV$41,AG$82,$E133)</f>
        <v>0</v>
      </c>
      <c r="AH133" s="674">
        <f>INDEX('DEFAULT DATA'!$GQ$9:$IV$41,AH$82,$E133)</f>
        <v>0</v>
      </c>
      <c r="AI133" s="674">
        <f>INDEX('DEFAULT DATA'!$GQ$9:$IV$41,AI$82,$E133)</f>
        <v>0</v>
      </c>
      <c r="AJ133" s="674">
        <f>INDEX('DEFAULT DATA'!$GQ$9:$IV$41,AJ$82,$E133)</f>
        <v>0</v>
      </c>
      <c r="AK133" s="674">
        <f>INDEX('DEFAULT DATA'!$GQ$9:$IV$41,AK$82,$E133)</f>
        <v>0</v>
      </c>
    </row>
    <row r="134" spans="5:37">
      <c r="E134" s="61">
        <f t="shared" si="6"/>
        <v>51</v>
      </c>
      <c r="F134" s="674">
        <f>INDEX('DEFAULT DATA'!$GQ$9:$IV$41,F$82,$E134)</f>
        <v>0</v>
      </c>
      <c r="G134" s="674">
        <f>INDEX('DEFAULT DATA'!$GQ$9:$IV$41,G$82,$E134)</f>
        <v>0</v>
      </c>
      <c r="H134" s="674">
        <f>INDEX('DEFAULT DATA'!$GQ$9:$IV$41,H$82,$E134)</f>
        <v>0</v>
      </c>
      <c r="I134" s="674">
        <f>INDEX('DEFAULT DATA'!$GQ$9:$IV$41,I$82,$E134)</f>
        <v>0</v>
      </c>
      <c r="J134" s="674">
        <f>INDEX('DEFAULT DATA'!$GQ$9:$IV$41,J$82,$E134)</f>
        <v>0</v>
      </c>
      <c r="K134" s="674">
        <f>INDEX('DEFAULT DATA'!$GQ$9:$IV$41,K$82,$E134)</f>
        <v>0</v>
      </c>
      <c r="L134" s="674">
        <f>INDEX('DEFAULT DATA'!$GQ$9:$IV$41,L$82,$E134)</f>
        <v>0</v>
      </c>
      <c r="M134" s="674">
        <f>INDEX('DEFAULT DATA'!$GQ$9:$IV$41,M$82,$E134)</f>
        <v>0</v>
      </c>
      <c r="N134" s="674">
        <f>INDEX('DEFAULT DATA'!$GQ$9:$IV$41,N$82,$E134)</f>
        <v>0</v>
      </c>
      <c r="O134" s="674">
        <f>INDEX('DEFAULT DATA'!$GQ$9:$IV$41,O$82,$E134)</f>
        <v>0</v>
      </c>
      <c r="P134" s="674">
        <f>INDEX('DEFAULT DATA'!$GQ$9:$IV$41,P$82,$E134)</f>
        <v>75.945810336176635</v>
      </c>
      <c r="Q134" s="674">
        <f>INDEX('DEFAULT DATA'!$GQ$9:$IV$41,Q$82,$E134)</f>
        <v>0</v>
      </c>
      <c r="R134" s="674">
        <f>INDEX('DEFAULT DATA'!$GQ$9:$IV$41,R$82,$E134)</f>
        <v>0</v>
      </c>
      <c r="S134" s="674">
        <f>INDEX('DEFAULT DATA'!$GQ$9:$IV$41,S$82,$E134)</f>
        <v>0</v>
      </c>
      <c r="T134" s="674">
        <f>INDEX('DEFAULT DATA'!$GQ$9:$IV$41,T$82,$E134)</f>
        <v>0</v>
      </c>
      <c r="U134" s="674">
        <f>INDEX('DEFAULT DATA'!$GQ$9:$IV$41,U$82,$E134)</f>
        <v>0</v>
      </c>
      <c r="V134" s="674">
        <f>INDEX('DEFAULT DATA'!$GQ$9:$IV$41,V$82,$E134)</f>
        <v>0</v>
      </c>
      <c r="W134" s="674">
        <f>INDEX('DEFAULT DATA'!$GQ$9:$IV$41,W$82,$E134)</f>
        <v>0</v>
      </c>
      <c r="X134" s="674">
        <f>INDEX('DEFAULT DATA'!$GQ$9:$IV$41,X$82,$E134)</f>
        <v>0</v>
      </c>
      <c r="Y134" s="674">
        <f>INDEX('DEFAULT DATA'!$GQ$9:$IV$41,Y$82,$E134)</f>
        <v>0</v>
      </c>
      <c r="Z134" s="674">
        <f>INDEX('DEFAULT DATA'!$GQ$9:$IV$41,Z$82,$E134)</f>
        <v>0</v>
      </c>
      <c r="AA134" s="674">
        <f>INDEX('DEFAULT DATA'!$GQ$9:$IV$41,AA$82,$E134)</f>
        <v>0</v>
      </c>
      <c r="AB134" s="674">
        <f>INDEX('DEFAULT DATA'!$GQ$9:$IV$41,AB$82,$E134)</f>
        <v>0</v>
      </c>
      <c r="AC134" s="674">
        <f>INDEX('DEFAULT DATA'!$GQ$9:$IV$41,AC$82,$E134)</f>
        <v>0</v>
      </c>
      <c r="AD134" s="674">
        <f>INDEX('DEFAULT DATA'!$GQ$9:$IV$41,AD$82,$E134)</f>
        <v>0</v>
      </c>
      <c r="AE134" s="674">
        <f>INDEX('DEFAULT DATA'!$GQ$9:$IV$41,AE$82,$E134)</f>
        <v>0</v>
      </c>
      <c r="AF134" s="674">
        <f>INDEX('DEFAULT DATA'!$GQ$9:$IV$41,AF$82,$E134)</f>
        <v>0</v>
      </c>
      <c r="AG134" s="674">
        <f>INDEX('DEFAULT DATA'!$GQ$9:$IV$41,AG$82,$E134)</f>
        <v>0</v>
      </c>
      <c r="AH134" s="674">
        <f>INDEX('DEFAULT DATA'!$GQ$9:$IV$41,AH$82,$E134)</f>
        <v>0</v>
      </c>
      <c r="AI134" s="674">
        <f>INDEX('DEFAULT DATA'!$GQ$9:$IV$41,AI$82,$E134)</f>
        <v>0</v>
      </c>
      <c r="AJ134" s="674">
        <f>INDEX('DEFAULT DATA'!$GQ$9:$IV$41,AJ$82,$E134)</f>
        <v>0</v>
      </c>
      <c r="AK134" s="674">
        <f>INDEX('DEFAULT DATA'!$GQ$9:$IV$41,AK$82,$E134)</f>
        <v>0</v>
      </c>
    </row>
    <row r="135" spans="5:37">
      <c r="E135" s="61">
        <f t="shared" si="6"/>
        <v>52</v>
      </c>
      <c r="F135" s="674">
        <f>INDEX('DEFAULT DATA'!$GQ$9:$IV$41,F$82,$E135)</f>
        <v>0</v>
      </c>
      <c r="G135" s="674">
        <f>INDEX('DEFAULT DATA'!$GQ$9:$IV$41,G$82,$E135)</f>
        <v>0</v>
      </c>
      <c r="H135" s="674">
        <f>INDEX('DEFAULT DATA'!$GQ$9:$IV$41,H$82,$E135)</f>
        <v>0</v>
      </c>
      <c r="I135" s="674">
        <f>INDEX('DEFAULT DATA'!$GQ$9:$IV$41,I$82,$E135)</f>
        <v>0</v>
      </c>
      <c r="J135" s="674">
        <f>INDEX('DEFAULT DATA'!$GQ$9:$IV$41,J$82,$E135)</f>
        <v>0</v>
      </c>
      <c r="K135" s="674">
        <f>INDEX('DEFAULT DATA'!$GQ$9:$IV$41,K$82,$E135)</f>
        <v>0</v>
      </c>
      <c r="L135" s="674">
        <f>INDEX('DEFAULT DATA'!$GQ$9:$IV$41,L$82,$E135)</f>
        <v>0</v>
      </c>
      <c r="M135" s="674">
        <f>INDEX('DEFAULT DATA'!$GQ$9:$IV$41,M$82,$E135)</f>
        <v>0</v>
      </c>
      <c r="N135" s="674">
        <f>INDEX('DEFAULT DATA'!$GQ$9:$IV$41,N$82,$E135)</f>
        <v>0</v>
      </c>
      <c r="O135" s="674">
        <f>INDEX('DEFAULT DATA'!$GQ$9:$IV$41,O$82,$E135)</f>
        <v>0</v>
      </c>
      <c r="P135" s="674">
        <f>INDEX('DEFAULT DATA'!$GQ$9:$IV$41,P$82,$E135)</f>
        <v>72.918070389219423</v>
      </c>
      <c r="Q135" s="674">
        <f>INDEX('DEFAULT DATA'!$GQ$9:$IV$41,Q$82,$E135)</f>
        <v>0</v>
      </c>
      <c r="R135" s="674">
        <f>INDEX('DEFAULT DATA'!$GQ$9:$IV$41,R$82,$E135)</f>
        <v>0</v>
      </c>
      <c r="S135" s="674">
        <f>INDEX('DEFAULT DATA'!$GQ$9:$IV$41,S$82,$E135)</f>
        <v>0</v>
      </c>
      <c r="T135" s="674">
        <f>INDEX('DEFAULT DATA'!$GQ$9:$IV$41,T$82,$E135)</f>
        <v>0</v>
      </c>
      <c r="U135" s="674">
        <f>INDEX('DEFAULT DATA'!$GQ$9:$IV$41,U$82,$E135)</f>
        <v>0</v>
      </c>
      <c r="V135" s="674">
        <f>INDEX('DEFAULT DATA'!$GQ$9:$IV$41,V$82,$E135)</f>
        <v>0</v>
      </c>
      <c r="W135" s="674">
        <f>INDEX('DEFAULT DATA'!$GQ$9:$IV$41,W$82,$E135)</f>
        <v>0</v>
      </c>
      <c r="X135" s="674">
        <f>INDEX('DEFAULT DATA'!$GQ$9:$IV$41,X$82,$E135)</f>
        <v>0</v>
      </c>
      <c r="Y135" s="674">
        <f>INDEX('DEFAULT DATA'!$GQ$9:$IV$41,Y$82,$E135)</f>
        <v>0</v>
      </c>
      <c r="Z135" s="674">
        <f>INDEX('DEFAULT DATA'!$GQ$9:$IV$41,Z$82,$E135)</f>
        <v>0</v>
      </c>
      <c r="AA135" s="674">
        <f>INDEX('DEFAULT DATA'!$GQ$9:$IV$41,AA$82,$E135)</f>
        <v>0</v>
      </c>
      <c r="AB135" s="674">
        <f>INDEX('DEFAULT DATA'!$GQ$9:$IV$41,AB$82,$E135)</f>
        <v>0</v>
      </c>
      <c r="AC135" s="674">
        <f>INDEX('DEFAULT DATA'!$GQ$9:$IV$41,AC$82,$E135)</f>
        <v>0</v>
      </c>
      <c r="AD135" s="674">
        <f>INDEX('DEFAULT DATA'!$GQ$9:$IV$41,AD$82,$E135)</f>
        <v>0</v>
      </c>
      <c r="AE135" s="674">
        <f>INDEX('DEFAULT DATA'!$GQ$9:$IV$41,AE$82,$E135)</f>
        <v>0</v>
      </c>
      <c r="AF135" s="674">
        <f>INDEX('DEFAULT DATA'!$GQ$9:$IV$41,AF$82,$E135)</f>
        <v>0</v>
      </c>
      <c r="AG135" s="674">
        <f>INDEX('DEFAULT DATA'!$GQ$9:$IV$41,AG$82,$E135)</f>
        <v>0</v>
      </c>
      <c r="AH135" s="674">
        <f>INDEX('DEFAULT DATA'!$GQ$9:$IV$41,AH$82,$E135)</f>
        <v>0</v>
      </c>
      <c r="AI135" s="674">
        <f>INDEX('DEFAULT DATA'!$GQ$9:$IV$41,AI$82,$E135)</f>
        <v>0</v>
      </c>
      <c r="AJ135" s="674">
        <f>INDEX('DEFAULT DATA'!$GQ$9:$IV$41,AJ$82,$E135)</f>
        <v>0</v>
      </c>
      <c r="AK135" s="674">
        <f>INDEX('DEFAULT DATA'!$GQ$9:$IV$41,AK$82,$E135)</f>
        <v>0</v>
      </c>
    </row>
    <row r="136" spans="5:37">
      <c r="E136" s="61">
        <f t="shared" si="6"/>
        <v>53</v>
      </c>
      <c r="F136" s="674">
        <f>INDEX('DEFAULT DATA'!$GQ$9:$IV$41,F$82,$E136)</f>
        <v>0</v>
      </c>
      <c r="G136" s="674">
        <f>INDEX('DEFAULT DATA'!$GQ$9:$IV$41,G$82,$E136)</f>
        <v>0</v>
      </c>
      <c r="H136" s="674">
        <f>INDEX('DEFAULT DATA'!$GQ$9:$IV$41,H$82,$E136)</f>
        <v>0</v>
      </c>
      <c r="I136" s="674">
        <f>INDEX('DEFAULT DATA'!$GQ$9:$IV$41,I$82,$E136)</f>
        <v>0</v>
      </c>
      <c r="J136" s="674">
        <f>INDEX('DEFAULT DATA'!$GQ$9:$IV$41,J$82,$E136)</f>
        <v>0</v>
      </c>
      <c r="K136" s="674">
        <f>INDEX('DEFAULT DATA'!$GQ$9:$IV$41,K$82,$E136)</f>
        <v>0</v>
      </c>
      <c r="L136" s="674">
        <f>INDEX('DEFAULT DATA'!$GQ$9:$IV$41,L$82,$E136)</f>
        <v>0</v>
      </c>
      <c r="M136" s="674">
        <f>INDEX('DEFAULT DATA'!$GQ$9:$IV$41,M$82,$E136)</f>
        <v>0</v>
      </c>
      <c r="N136" s="674">
        <f>INDEX('DEFAULT DATA'!$GQ$9:$IV$41,N$82,$E136)</f>
        <v>0</v>
      </c>
      <c r="O136" s="674">
        <f>INDEX('DEFAULT DATA'!$GQ$9:$IV$41,O$82,$E136)</f>
        <v>0</v>
      </c>
      <c r="P136" s="674">
        <f>INDEX('DEFAULT DATA'!$GQ$9:$IV$41,P$82,$E136)</f>
        <v>89.822951759730486</v>
      </c>
      <c r="Q136" s="674">
        <f>INDEX('DEFAULT DATA'!$GQ$9:$IV$41,Q$82,$E136)</f>
        <v>0</v>
      </c>
      <c r="R136" s="674">
        <f>INDEX('DEFAULT DATA'!$GQ$9:$IV$41,R$82,$E136)</f>
        <v>0</v>
      </c>
      <c r="S136" s="674">
        <f>INDEX('DEFAULT DATA'!$GQ$9:$IV$41,S$82,$E136)</f>
        <v>0</v>
      </c>
      <c r="T136" s="674">
        <f>INDEX('DEFAULT DATA'!$GQ$9:$IV$41,T$82,$E136)</f>
        <v>0</v>
      </c>
      <c r="U136" s="674">
        <f>INDEX('DEFAULT DATA'!$GQ$9:$IV$41,U$82,$E136)</f>
        <v>0</v>
      </c>
      <c r="V136" s="674">
        <f>INDEX('DEFAULT DATA'!$GQ$9:$IV$41,V$82,$E136)</f>
        <v>0</v>
      </c>
      <c r="W136" s="674">
        <f>INDEX('DEFAULT DATA'!$GQ$9:$IV$41,W$82,$E136)</f>
        <v>0</v>
      </c>
      <c r="X136" s="674">
        <f>INDEX('DEFAULT DATA'!$GQ$9:$IV$41,X$82,$E136)</f>
        <v>0</v>
      </c>
      <c r="Y136" s="674">
        <f>INDEX('DEFAULT DATA'!$GQ$9:$IV$41,Y$82,$E136)</f>
        <v>0</v>
      </c>
      <c r="Z136" s="674">
        <f>INDEX('DEFAULT DATA'!$GQ$9:$IV$41,Z$82,$E136)</f>
        <v>0</v>
      </c>
      <c r="AA136" s="674">
        <f>INDEX('DEFAULT DATA'!$GQ$9:$IV$41,AA$82,$E136)</f>
        <v>0</v>
      </c>
      <c r="AB136" s="674">
        <f>INDEX('DEFAULT DATA'!$GQ$9:$IV$41,AB$82,$E136)</f>
        <v>0</v>
      </c>
      <c r="AC136" s="674">
        <f>INDEX('DEFAULT DATA'!$GQ$9:$IV$41,AC$82,$E136)</f>
        <v>0</v>
      </c>
      <c r="AD136" s="674">
        <f>INDEX('DEFAULT DATA'!$GQ$9:$IV$41,AD$82,$E136)</f>
        <v>0</v>
      </c>
      <c r="AE136" s="674">
        <f>INDEX('DEFAULT DATA'!$GQ$9:$IV$41,AE$82,$E136)</f>
        <v>0</v>
      </c>
      <c r="AF136" s="674">
        <f>INDEX('DEFAULT DATA'!$GQ$9:$IV$41,AF$82,$E136)</f>
        <v>0</v>
      </c>
      <c r="AG136" s="674">
        <f>INDEX('DEFAULT DATA'!$GQ$9:$IV$41,AG$82,$E136)</f>
        <v>0</v>
      </c>
      <c r="AH136" s="674">
        <f>INDEX('DEFAULT DATA'!$GQ$9:$IV$41,AH$82,$E136)</f>
        <v>0</v>
      </c>
      <c r="AI136" s="674">
        <f>INDEX('DEFAULT DATA'!$GQ$9:$IV$41,AI$82,$E136)</f>
        <v>0</v>
      </c>
      <c r="AJ136" s="674">
        <f>INDEX('DEFAULT DATA'!$GQ$9:$IV$41,AJ$82,$E136)</f>
        <v>0</v>
      </c>
      <c r="AK136" s="674">
        <f>INDEX('DEFAULT DATA'!$GQ$9:$IV$41,AK$82,$E136)</f>
        <v>0</v>
      </c>
    </row>
    <row r="137" spans="5:37">
      <c r="E137" s="61">
        <f t="shared" si="6"/>
        <v>54</v>
      </c>
      <c r="F137" s="674">
        <f>INDEX('DEFAULT DATA'!$GQ$9:$IV$41,F$82,$E137)</f>
        <v>0</v>
      </c>
      <c r="G137" s="674">
        <f>INDEX('DEFAULT DATA'!$GQ$9:$IV$41,G$82,$E137)</f>
        <v>0</v>
      </c>
      <c r="H137" s="674">
        <f>INDEX('DEFAULT DATA'!$GQ$9:$IV$41,H$82,$E137)</f>
        <v>0</v>
      </c>
      <c r="I137" s="674">
        <f>INDEX('DEFAULT DATA'!$GQ$9:$IV$41,I$82,$E137)</f>
        <v>0</v>
      </c>
      <c r="J137" s="674">
        <f>INDEX('DEFAULT DATA'!$GQ$9:$IV$41,J$82,$E137)</f>
        <v>0</v>
      </c>
      <c r="K137" s="674">
        <f>INDEX('DEFAULT DATA'!$GQ$9:$IV$41,K$82,$E137)</f>
        <v>0</v>
      </c>
      <c r="L137" s="674">
        <f>INDEX('DEFAULT DATA'!$GQ$9:$IV$41,L$82,$E137)</f>
        <v>0</v>
      </c>
      <c r="M137" s="674">
        <f>INDEX('DEFAULT DATA'!$GQ$9:$IV$41,M$82,$E137)</f>
        <v>0</v>
      </c>
      <c r="N137" s="674">
        <f>INDEX('DEFAULT DATA'!$GQ$9:$IV$41,N$82,$E137)</f>
        <v>0</v>
      </c>
      <c r="O137" s="674">
        <f>INDEX('DEFAULT DATA'!$GQ$9:$IV$41,O$82,$E137)</f>
        <v>0</v>
      </c>
      <c r="P137" s="674">
        <f>INDEX('DEFAULT DATA'!$GQ$9:$IV$41,P$82,$E137)</f>
        <v>84.776718514801814</v>
      </c>
      <c r="Q137" s="674">
        <f>INDEX('DEFAULT DATA'!$GQ$9:$IV$41,Q$82,$E137)</f>
        <v>0</v>
      </c>
      <c r="R137" s="674">
        <f>INDEX('DEFAULT DATA'!$GQ$9:$IV$41,R$82,$E137)</f>
        <v>0</v>
      </c>
      <c r="S137" s="674">
        <f>INDEX('DEFAULT DATA'!$GQ$9:$IV$41,S$82,$E137)</f>
        <v>0</v>
      </c>
      <c r="T137" s="674">
        <f>INDEX('DEFAULT DATA'!$GQ$9:$IV$41,T$82,$E137)</f>
        <v>0</v>
      </c>
      <c r="U137" s="674">
        <f>INDEX('DEFAULT DATA'!$GQ$9:$IV$41,U$82,$E137)</f>
        <v>0</v>
      </c>
      <c r="V137" s="674">
        <f>INDEX('DEFAULT DATA'!$GQ$9:$IV$41,V$82,$E137)</f>
        <v>0</v>
      </c>
      <c r="W137" s="674">
        <f>INDEX('DEFAULT DATA'!$GQ$9:$IV$41,W$82,$E137)</f>
        <v>0</v>
      </c>
      <c r="X137" s="674">
        <f>INDEX('DEFAULT DATA'!$GQ$9:$IV$41,X$82,$E137)</f>
        <v>0</v>
      </c>
      <c r="Y137" s="674">
        <f>INDEX('DEFAULT DATA'!$GQ$9:$IV$41,Y$82,$E137)</f>
        <v>0</v>
      </c>
      <c r="Z137" s="674">
        <f>INDEX('DEFAULT DATA'!$GQ$9:$IV$41,Z$82,$E137)</f>
        <v>0</v>
      </c>
      <c r="AA137" s="674">
        <f>INDEX('DEFAULT DATA'!$GQ$9:$IV$41,AA$82,$E137)</f>
        <v>0</v>
      </c>
      <c r="AB137" s="674">
        <f>INDEX('DEFAULT DATA'!$GQ$9:$IV$41,AB$82,$E137)</f>
        <v>0</v>
      </c>
      <c r="AC137" s="674">
        <f>INDEX('DEFAULT DATA'!$GQ$9:$IV$41,AC$82,$E137)</f>
        <v>0</v>
      </c>
      <c r="AD137" s="674">
        <f>INDEX('DEFAULT DATA'!$GQ$9:$IV$41,AD$82,$E137)</f>
        <v>0</v>
      </c>
      <c r="AE137" s="674">
        <f>INDEX('DEFAULT DATA'!$GQ$9:$IV$41,AE$82,$E137)</f>
        <v>0</v>
      </c>
      <c r="AF137" s="674">
        <f>INDEX('DEFAULT DATA'!$GQ$9:$IV$41,AF$82,$E137)</f>
        <v>0</v>
      </c>
      <c r="AG137" s="674">
        <f>INDEX('DEFAULT DATA'!$GQ$9:$IV$41,AG$82,$E137)</f>
        <v>0</v>
      </c>
      <c r="AH137" s="674">
        <f>INDEX('DEFAULT DATA'!$GQ$9:$IV$41,AH$82,$E137)</f>
        <v>0</v>
      </c>
      <c r="AI137" s="674">
        <f>INDEX('DEFAULT DATA'!$GQ$9:$IV$41,AI$82,$E137)</f>
        <v>0</v>
      </c>
      <c r="AJ137" s="674">
        <f>INDEX('DEFAULT DATA'!$GQ$9:$IV$41,AJ$82,$E137)</f>
        <v>0</v>
      </c>
      <c r="AK137" s="674">
        <f>INDEX('DEFAULT DATA'!$GQ$9:$IV$41,AK$82,$E137)</f>
        <v>0</v>
      </c>
    </row>
    <row r="138" spans="5:37">
      <c r="E138" s="61">
        <f t="shared" si="6"/>
        <v>55</v>
      </c>
      <c r="F138" s="674">
        <f>INDEX('DEFAULT DATA'!$GQ$9:$IV$41,F$82,$E138)</f>
        <v>0</v>
      </c>
      <c r="G138" s="674">
        <f>INDEX('DEFAULT DATA'!$GQ$9:$IV$41,G$82,$E138)</f>
        <v>0</v>
      </c>
      <c r="H138" s="674">
        <f>INDEX('DEFAULT DATA'!$GQ$9:$IV$41,H$82,$E138)</f>
        <v>0</v>
      </c>
      <c r="I138" s="674">
        <f>INDEX('DEFAULT DATA'!$GQ$9:$IV$41,I$82,$E138)</f>
        <v>0</v>
      </c>
      <c r="J138" s="674">
        <f>INDEX('DEFAULT DATA'!$GQ$9:$IV$41,J$82,$E138)</f>
        <v>0</v>
      </c>
      <c r="K138" s="674">
        <f>INDEX('DEFAULT DATA'!$GQ$9:$IV$41,K$82,$E138)</f>
        <v>0</v>
      </c>
      <c r="L138" s="674">
        <f>INDEX('DEFAULT DATA'!$GQ$9:$IV$41,L$82,$E138)</f>
        <v>0</v>
      </c>
      <c r="M138" s="674">
        <f>INDEX('DEFAULT DATA'!$GQ$9:$IV$41,M$82,$E138)</f>
        <v>0</v>
      </c>
      <c r="N138" s="674">
        <f>INDEX('DEFAULT DATA'!$GQ$9:$IV$41,N$82,$E138)</f>
        <v>0</v>
      </c>
      <c r="O138" s="674">
        <f>INDEX('DEFAULT DATA'!$GQ$9:$IV$41,O$82,$E138)</f>
        <v>0</v>
      </c>
      <c r="P138" s="674">
        <f>INDEX('DEFAULT DATA'!$GQ$9:$IV$41,P$82,$E138)</f>
        <v>52.985449071751134</v>
      </c>
      <c r="Q138" s="674">
        <f>INDEX('DEFAULT DATA'!$GQ$9:$IV$41,Q$82,$E138)</f>
        <v>0</v>
      </c>
      <c r="R138" s="674">
        <f>INDEX('DEFAULT DATA'!$GQ$9:$IV$41,R$82,$E138)</f>
        <v>0</v>
      </c>
      <c r="S138" s="674">
        <f>INDEX('DEFAULT DATA'!$GQ$9:$IV$41,S$82,$E138)</f>
        <v>0</v>
      </c>
      <c r="T138" s="674">
        <f>INDEX('DEFAULT DATA'!$GQ$9:$IV$41,T$82,$E138)</f>
        <v>0</v>
      </c>
      <c r="U138" s="674">
        <f>INDEX('DEFAULT DATA'!$GQ$9:$IV$41,U$82,$E138)</f>
        <v>0</v>
      </c>
      <c r="V138" s="674">
        <f>INDEX('DEFAULT DATA'!$GQ$9:$IV$41,V$82,$E138)</f>
        <v>0</v>
      </c>
      <c r="W138" s="674">
        <f>INDEX('DEFAULT DATA'!$GQ$9:$IV$41,W$82,$E138)</f>
        <v>0</v>
      </c>
      <c r="X138" s="674">
        <f>INDEX('DEFAULT DATA'!$GQ$9:$IV$41,X$82,$E138)</f>
        <v>0</v>
      </c>
      <c r="Y138" s="674">
        <f>INDEX('DEFAULT DATA'!$GQ$9:$IV$41,Y$82,$E138)</f>
        <v>0</v>
      </c>
      <c r="Z138" s="674">
        <f>INDEX('DEFAULT DATA'!$GQ$9:$IV$41,Z$82,$E138)</f>
        <v>0</v>
      </c>
      <c r="AA138" s="674">
        <f>INDEX('DEFAULT DATA'!$GQ$9:$IV$41,AA$82,$E138)</f>
        <v>0</v>
      </c>
      <c r="AB138" s="674">
        <f>INDEX('DEFAULT DATA'!$GQ$9:$IV$41,AB$82,$E138)</f>
        <v>0</v>
      </c>
      <c r="AC138" s="674">
        <f>INDEX('DEFAULT DATA'!$GQ$9:$IV$41,AC$82,$E138)</f>
        <v>0</v>
      </c>
      <c r="AD138" s="674">
        <f>INDEX('DEFAULT DATA'!$GQ$9:$IV$41,AD$82,$E138)</f>
        <v>0</v>
      </c>
      <c r="AE138" s="674">
        <f>INDEX('DEFAULT DATA'!$GQ$9:$IV$41,AE$82,$E138)</f>
        <v>0</v>
      </c>
      <c r="AF138" s="674">
        <f>INDEX('DEFAULT DATA'!$GQ$9:$IV$41,AF$82,$E138)</f>
        <v>0</v>
      </c>
      <c r="AG138" s="674">
        <f>INDEX('DEFAULT DATA'!$GQ$9:$IV$41,AG$82,$E138)</f>
        <v>0</v>
      </c>
      <c r="AH138" s="674">
        <f>INDEX('DEFAULT DATA'!$GQ$9:$IV$41,AH$82,$E138)</f>
        <v>0</v>
      </c>
      <c r="AI138" s="674">
        <f>INDEX('DEFAULT DATA'!$GQ$9:$IV$41,AI$82,$E138)</f>
        <v>0</v>
      </c>
      <c r="AJ138" s="674">
        <f>INDEX('DEFAULT DATA'!$GQ$9:$IV$41,AJ$82,$E138)</f>
        <v>0</v>
      </c>
      <c r="AK138" s="674">
        <f>INDEX('DEFAULT DATA'!$GQ$9:$IV$41,AK$82,$E138)</f>
        <v>0</v>
      </c>
    </row>
    <row r="139" spans="5:37">
      <c r="E139" s="61">
        <f t="shared" si="6"/>
        <v>56</v>
      </c>
      <c r="F139" s="674">
        <f>INDEX('DEFAULT DATA'!$GQ$9:$IV$41,F$82,$E139)</f>
        <v>0</v>
      </c>
      <c r="G139" s="674">
        <f>INDEX('DEFAULT DATA'!$GQ$9:$IV$41,G$82,$E139)</f>
        <v>0</v>
      </c>
      <c r="H139" s="674">
        <f>INDEX('DEFAULT DATA'!$GQ$9:$IV$41,H$82,$E139)</f>
        <v>0</v>
      </c>
      <c r="I139" s="674">
        <f>INDEX('DEFAULT DATA'!$GQ$9:$IV$41,I$82,$E139)</f>
        <v>0</v>
      </c>
      <c r="J139" s="674">
        <f>INDEX('DEFAULT DATA'!$GQ$9:$IV$41,J$82,$E139)</f>
        <v>0</v>
      </c>
      <c r="K139" s="674">
        <f>INDEX('DEFAULT DATA'!$GQ$9:$IV$41,K$82,$E139)</f>
        <v>0</v>
      </c>
      <c r="L139" s="674">
        <f>INDEX('DEFAULT DATA'!$GQ$9:$IV$41,L$82,$E139)</f>
        <v>0</v>
      </c>
      <c r="M139" s="674">
        <f>INDEX('DEFAULT DATA'!$GQ$9:$IV$41,M$82,$E139)</f>
        <v>0</v>
      </c>
      <c r="N139" s="674">
        <f>INDEX('DEFAULT DATA'!$GQ$9:$IV$41,N$82,$E139)</f>
        <v>0</v>
      </c>
      <c r="O139" s="674">
        <f>INDEX('DEFAULT DATA'!$GQ$9:$IV$41,O$82,$E139)</f>
        <v>0</v>
      </c>
      <c r="P139" s="674">
        <f>INDEX('DEFAULT DATA'!$GQ$9:$IV$41,P$82,$E139)</f>
        <v>15.643323059278906</v>
      </c>
      <c r="Q139" s="674">
        <f>INDEX('DEFAULT DATA'!$GQ$9:$IV$41,Q$82,$E139)</f>
        <v>0</v>
      </c>
      <c r="R139" s="674">
        <f>INDEX('DEFAULT DATA'!$GQ$9:$IV$41,R$82,$E139)</f>
        <v>0</v>
      </c>
      <c r="S139" s="674">
        <f>INDEX('DEFAULT DATA'!$GQ$9:$IV$41,S$82,$E139)</f>
        <v>0</v>
      </c>
      <c r="T139" s="674">
        <f>INDEX('DEFAULT DATA'!$GQ$9:$IV$41,T$82,$E139)</f>
        <v>0</v>
      </c>
      <c r="U139" s="674">
        <f>INDEX('DEFAULT DATA'!$GQ$9:$IV$41,U$82,$E139)</f>
        <v>0</v>
      </c>
      <c r="V139" s="674">
        <f>INDEX('DEFAULT DATA'!$GQ$9:$IV$41,V$82,$E139)</f>
        <v>0</v>
      </c>
      <c r="W139" s="674">
        <f>INDEX('DEFAULT DATA'!$GQ$9:$IV$41,W$82,$E139)</f>
        <v>0</v>
      </c>
      <c r="X139" s="674">
        <f>INDEX('DEFAULT DATA'!$GQ$9:$IV$41,X$82,$E139)</f>
        <v>0</v>
      </c>
      <c r="Y139" s="674">
        <f>INDEX('DEFAULT DATA'!$GQ$9:$IV$41,Y$82,$E139)</f>
        <v>0</v>
      </c>
      <c r="Z139" s="674">
        <f>INDEX('DEFAULT DATA'!$GQ$9:$IV$41,Z$82,$E139)</f>
        <v>0</v>
      </c>
      <c r="AA139" s="674">
        <f>INDEX('DEFAULT DATA'!$GQ$9:$IV$41,AA$82,$E139)</f>
        <v>0</v>
      </c>
      <c r="AB139" s="674">
        <f>INDEX('DEFAULT DATA'!$GQ$9:$IV$41,AB$82,$E139)</f>
        <v>0</v>
      </c>
      <c r="AC139" s="674">
        <f>INDEX('DEFAULT DATA'!$GQ$9:$IV$41,AC$82,$E139)</f>
        <v>0</v>
      </c>
      <c r="AD139" s="674">
        <f>INDEX('DEFAULT DATA'!$GQ$9:$IV$41,AD$82,$E139)</f>
        <v>0</v>
      </c>
      <c r="AE139" s="674">
        <f>INDEX('DEFAULT DATA'!$GQ$9:$IV$41,AE$82,$E139)</f>
        <v>0</v>
      </c>
      <c r="AF139" s="674">
        <f>INDEX('DEFAULT DATA'!$GQ$9:$IV$41,AF$82,$E139)</f>
        <v>0</v>
      </c>
      <c r="AG139" s="674">
        <f>INDEX('DEFAULT DATA'!$GQ$9:$IV$41,AG$82,$E139)</f>
        <v>0</v>
      </c>
      <c r="AH139" s="674">
        <f>INDEX('DEFAULT DATA'!$GQ$9:$IV$41,AH$82,$E139)</f>
        <v>0</v>
      </c>
      <c r="AI139" s="674">
        <f>INDEX('DEFAULT DATA'!$GQ$9:$IV$41,AI$82,$E139)</f>
        <v>0</v>
      </c>
      <c r="AJ139" s="674">
        <f>INDEX('DEFAULT DATA'!$GQ$9:$IV$41,AJ$82,$E139)</f>
        <v>0</v>
      </c>
      <c r="AK139" s="674">
        <f>INDEX('DEFAULT DATA'!$GQ$9:$IV$41,AK$82,$E139)</f>
        <v>0</v>
      </c>
    </row>
    <row r="140" spans="5:37">
      <c r="E140" s="61">
        <f t="shared" si="6"/>
        <v>57</v>
      </c>
      <c r="F140" s="674">
        <f>INDEX('DEFAULT DATA'!$GQ$9:$IV$41,F$82,$E140)</f>
        <v>0</v>
      </c>
      <c r="G140" s="674">
        <f>INDEX('DEFAULT DATA'!$GQ$9:$IV$41,G$82,$E140)</f>
        <v>0</v>
      </c>
      <c r="H140" s="674">
        <f>INDEX('DEFAULT DATA'!$GQ$9:$IV$41,H$82,$E140)</f>
        <v>0</v>
      </c>
      <c r="I140" s="674">
        <f>INDEX('DEFAULT DATA'!$GQ$9:$IV$41,I$82,$E140)</f>
        <v>0</v>
      </c>
      <c r="J140" s="674">
        <f>INDEX('DEFAULT DATA'!$GQ$9:$IV$41,J$82,$E140)</f>
        <v>0</v>
      </c>
      <c r="K140" s="674">
        <f>INDEX('DEFAULT DATA'!$GQ$9:$IV$41,K$82,$E140)</f>
        <v>0</v>
      </c>
      <c r="L140" s="674">
        <f>INDEX('DEFAULT DATA'!$GQ$9:$IV$41,L$82,$E140)</f>
        <v>0</v>
      </c>
      <c r="M140" s="674">
        <f>INDEX('DEFAULT DATA'!$GQ$9:$IV$41,M$82,$E140)</f>
        <v>0</v>
      </c>
      <c r="N140" s="674">
        <f>INDEX('DEFAULT DATA'!$GQ$9:$IV$41,N$82,$E140)</f>
        <v>0</v>
      </c>
      <c r="O140" s="674">
        <f>INDEX('DEFAULT DATA'!$GQ$9:$IV$41,O$82,$E140)</f>
        <v>0</v>
      </c>
      <c r="P140" s="674">
        <f>INDEX('DEFAULT DATA'!$GQ$9:$IV$41,P$82,$E140)</f>
        <v>322.95892767543552</v>
      </c>
      <c r="Q140" s="674">
        <f>INDEX('DEFAULT DATA'!$GQ$9:$IV$41,Q$82,$E140)</f>
        <v>0</v>
      </c>
      <c r="R140" s="674">
        <f>INDEX('DEFAULT DATA'!$GQ$9:$IV$41,R$82,$E140)</f>
        <v>0</v>
      </c>
      <c r="S140" s="674">
        <f>INDEX('DEFAULT DATA'!$GQ$9:$IV$41,S$82,$E140)</f>
        <v>0</v>
      </c>
      <c r="T140" s="674">
        <f>INDEX('DEFAULT DATA'!$GQ$9:$IV$41,T$82,$E140)</f>
        <v>0</v>
      </c>
      <c r="U140" s="674">
        <f>INDEX('DEFAULT DATA'!$GQ$9:$IV$41,U$82,$E140)</f>
        <v>0</v>
      </c>
      <c r="V140" s="674">
        <f>INDEX('DEFAULT DATA'!$GQ$9:$IV$41,V$82,$E140)</f>
        <v>0</v>
      </c>
      <c r="W140" s="674">
        <f>INDEX('DEFAULT DATA'!$GQ$9:$IV$41,W$82,$E140)</f>
        <v>0</v>
      </c>
      <c r="X140" s="674">
        <f>INDEX('DEFAULT DATA'!$GQ$9:$IV$41,X$82,$E140)</f>
        <v>0</v>
      </c>
      <c r="Y140" s="674">
        <f>INDEX('DEFAULT DATA'!$GQ$9:$IV$41,Y$82,$E140)</f>
        <v>0</v>
      </c>
      <c r="Z140" s="674">
        <f>INDEX('DEFAULT DATA'!$GQ$9:$IV$41,Z$82,$E140)</f>
        <v>0</v>
      </c>
      <c r="AA140" s="674">
        <f>INDEX('DEFAULT DATA'!$GQ$9:$IV$41,AA$82,$E140)</f>
        <v>0</v>
      </c>
      <c r="AB140" s="674">
        <f>INDEX('DEFAULT DATA'!$GQ$9:$IV$41,AB$82,$E140)</f>
        <v>0</v>
      </c>
      <c r="AC140" s="674">
        <f>INDEX('DEFAULT DATA'!$GQ$9:$IV$41,AC$82,$E140)</f>
        <v>0</v>
      </c>
      <c r="AD140" s="674">
        <f>INDEX('DEFAULT DATA'!$GQ$9:$IV$41,AD$82,$E140)</f>
        <v>0</v>
      </c>
      <c r="AE140" s="674">
        <f>INDEX('DEFAULT DATA'!$GQ$9:$IV$41,AE$82,$E140)</f>
        <v>0</v>
      </c>
      <c r="AF140" s="674">
        <f>INDEX('DEFAULT DATA'!$GQ$9:$IV$41,AF$82,$E140)</f>
        <v>0</v>
      </c>
      <c r="AG140" s="674">
        <f>INDEX('DEFAULT DATA'!$GQ$9:$IV$41,AG$82,$E140)</f>
        <v>0</v>
      </c>
      <c r="AH140" s="674">
        <f>INDEX('DEFAULT DATA'!$GQ$9:$IV$41,AH$82,$E140)</f>
        <v>0</v>
      </c>
      <c r="AI140" s="674">
        <f>INDEX('DEFAULT DATA'!$GQ$9:$IV$41,AI$82,$E140)</f>
        <v>0</v>
      </c>
      <c r="AJ140" s="674">
        <f>INDEX('DEFAULT DATA'!$GQ$9:$IV$41,AJ$82,$E140)</f>
        <v>0</v>
      </c>
      <c r="AK140" s="674">
        <f>INDEX('DEFAULT DATA'!$GQ$9:$IV$41,AK$82,$E140)</f>
        <v>0</v>
      </c>
    </row>
    <row r="141" spans="5:37">
      <c r="E141" s="61">
        <f t="shared" si="6"/>
        <v>58</v>
      </c>
      <c r="F141" s="674">
        <f>INDEX('DEFAULT DATA'!$GQ$9:$IV$41,F$82,$E141)</f>
        <v>0</v>
      </c>
      <c r="G141" s="674">
        <f>INDEX('DEFAULT DATA'!$GQ$9:$IV$41,G$82,$E141)</f>
        <v>0</v>
      </c>
      <c r="H141" s="674">
        <f>INDEX('DEFAULT DATA'!$GQ$9:$IV$41,H$82,$E141)</f>
        <v>0</v>
      </c>
      <c r="I141" s="674">
        <f>INDEX('DEFAULT DATA'!$GQ$9:$IV$41,I$82,$E141)</f>
        <v>0</v>
      </c>
      <c r="J141" s="674">
        <f>INDEX('DEFAULT DATA'!$GQ$9:$IV$41,J$82,$E141)</f>
        <v>0</v>
      </c>
      <c r="K141" s="674">
        <f>INDEX('DEFAULT DATA'!$GQ$9:$IV$41,K$82,$E141)</f>
        <v>0</v>
      </c>
      <c r="L141" s="674">
        <f>INDEX('DEFAULT DATA'!$GQ$9:$IV$41,L$82,$E141)</f>
        <v>0</v>
      </c>
      <c r="M141" s="674">
        <f>INDEX('DEFAULT DATA'!$GQ$9:$IV$41,M$82,$E141)</f>
        <v>0</v>
      </c>
      <c r="N141" s="674">
        <f>INDEX('DEFAULT DATA'!$GQ$9:$IV$41,N$82,$E141)</f>
        <v>0</v>
      </c>
      <c r="O141" s="674">
        <f>INDEX('DEFAULT DATA'!$GQ$9:$IV$41,O$82,$E141)</f>
        <v>0</v>
      </c>
      <c r="P141" s="674">
        <f>INDEX('DEFAULT DATA'!$GQ$9:$IV$41,P$82,$E141)</f>
        <v>25.735789549136264</v>
      </c>
      <c r="Q141" s="674">
        <f>INDEX('DEFAULT DATA'!$GQ$9:$IV$41,Q$82,$E141)</f>
        <v>0</v>
      </c>
      <c r="R141" s="674">
        <f>INDEX('DEFAULT DATA'!$GQ$9:$IV$41,R$82,$E141)</f>
        <v>0</v>
      </c>
      <c r="S141" s="674">
        <f>INDEX('DEFAULT DATA'!$GQ$9:$IV$41,S$82,$E141)</f>
        <v>0</v>
      </c>
      <c r="T141" s="674">
        <f>INDEX('DEFAULT DATA'!$GQ$9:$IV$41,T$82,$E141)</f>
        <v>0</v>
      </c>
      <c r="U141" s="674">
        <f>INDEX('DEFAULT DATA'!$GQ$9:$IV$41,U$82,$E141)</f>
        <v>0</v>
      </c>
      <c r="V141" s="674">
        <f>INDEX('DEFAULT DATA'!$GQ$9:$IV$41,V$82,$E141)</f>
        <v>0</v>
      </c>
      <c r="W141" s="674">
        <f>INDEX('DEFAULT DATA'!$GQ$9:$IV$41,W$82,$E141)</f>
        <v>0</v>
      </c>
      <c r="X141" s="674">
        <f>INDEX('DEFAULT DATA'!$GQ$9:$IV$41,X$82,$E141)</f>
        <v>0</v>
      </c>
      <c r="Y141" s="674">
        <f>INDEX('DEFAULT DATA'!$GQ$9:$IV$41,Y$82,$E141)</f>
        <v>0</v>
      </c>
      <c r="Z141" s="674">
        <f>INDEX('DEFAULT DATA'!$GQ$9:$IV$41,Z$82,$E141)</f>
        <v>0</v>
      </c>
      <c r="AA141" s="674">
        <f>INDEX('DEFAULT DATA'!$GQ$9:$IV$41,AA$82,$E141)</f>
        <v>0</v>
      </c>
      <c r="AB141" s="674">
        <f>INDEX('DEFAULT DATA'!$GQ$9:$IV$41,AB$82,$E141)</f>
        <v>0</v>
      </c>
      <c r="AC141" s="674">
        <f>INDEX('DEFAULT DATA'!$GQ$9:$IV$41,AC$82,$E141)</f>
        <v>0</v>
      </c>
      <c r="AD141" s="674">
        <f>INDEX('DEFAULT DATA'!$GQ$9:$IV$41,AD$82,$E141)</f>
        <v>0</v>
      </c>
      <c r="AE141" s="674">
        <f>INDEX('DEFAULT DATA'!$GQ$9:$IV$41,AE$82,$E141)</f>
        <v>0</v>
      </c>
      <c r="AF141" s="674">
        <f>INDEX('DEFAULT DATA'!$GQ$9:$IV$41,AF$82,$E141)</f>
        <v>0</v>
      </c>
      <c r="AG141" s="674">
        <f>INDEX('DEFAULT DATA'!$GQ$9:$IV$41,AG$82,$E141)</f>
        <v>0</v>
      </c>
      <c r="AH141" s="674">
        <f>INDEX('DEFAULT DATA'!$GQ$9:$IV$41,AH$82,$E141)</f>
        <v>0</v>
      </c>
      <c r="AI141" s="674">
        <f>INDEX('DEFAULT DATA'!$GQ$9:$IV$41,AI$82,$E141)</f>
        <v>0</v>
      </c>
      <c r="AJ141" s="674">
        <f>INDEX('DEFAULT DATA'!$GQ$9:$IV$41,AJ$82,$E141)</f>
        <v>0</v>
      </c>
      <c r="AK141" s="674">
        <f>INDEX('DEFAULT DATA'!$GQ$9:$IV$41,AK$82,$E141)</f>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tint="-0.34998626667073579"/>
  </sheetPr>
  <dimension ref="A1:C1013"/>
  <sheetViews>
    <sheetView topLeftCell="A992" workbookViewId="0">
      <selection activeCell="A3" sqref="A3:A1013"/>
    </sheetView>
  </sheetViews>
  <sheetFormatPr defaultRowHeight="15"/>
  <cols>
    <col min="1" max="1" width="30.7109375" style="1045" customWidth="1"/>
    <col min="2" max="2" width="45.7109375" style="1045" customWidth="1"/>
    <col min="3" max="3" width="90.7109375" style="1045" customWidth="1"/>
  </cols>
  <sheetData>
    <row r="1" spans="1:3">
      <c r="A1" s="1045" t="s">
        <v>3008</v>
      </c>
      <c r="B1" s="1045" t="s">
        <v>3006</v>
      </c>
      <c r="C1" s="1045" t="s">
        <v>3007</v>
      </c>
    </row>
    <row r="2" spans="1:3">
      <c r="A2" s="1322" t="str">
        <f>'LOCAL DATASET'!C2</f>
        <v>London</v>
      </c>
      <c r="B2" s="1322" t="s">
        <v>4079</v>
      </c>
      <c r="C2" s="1322" t="str">
        <f>INDEX('LOCAL DATASET'!$C$376:$ALZ$376,1,ROW(C2)-1)</f>
        <v>QGasSP</v>
      </c>
    </row>
    <row r="3" spans="1:3">
      <c r="A3" s="1322" t="str">
        <f>A2</f>
        <v>London</v>
      </c>
      <c r="B3" s="1322" t="s">
        <v>4080</v>
      </c>
      <c r="C3" s="1322">
        <f>INDEX('LOCAL DATASET'!$C$376:$ALZ$376,1,ROW(C3)-1)</f>
        <v>2022</v>
      </c>
    </row>
    <row r="4" spans="1:3">
      <c r="A4" s="1322" t="str">
        <f t="shared" ref="A4:A67" si="0">A3</f>
        <v>London</v>
      </c>
      <c r="B4" s="1322" t="s">
        <v>4081</v>
      </c>
      <c r="C4" s="1322">
        <f>INDEX('LOCAL DATASET'!$C$376:$ALZ$376,1,ROW(C4)-1)</f>
        <v>0</v>
      </c>
    </row>
    <row r="5" spans="1:3">
      <c r="A5" s="1322" t="str">
        <f t="shared" si="0"/>
        <v>London</v>
      </c>
      <c r="B5" s="1321" t="s">
        <v>3078</v>
      </c>
      <c r="C5" s="1322">
        <f>INDEX('LOCAL DATASET'!$C$376:$ALZ$376,1,ROW(C5)-1)</f>
        <v>-0.19999999999999998</v>
      </c>
    </row>
    <row r="6" spans="1:3">
      <c r="A6" s="1322" t="str">
        <f t="shared" si="0"/>
        <v>London</v>
      </c>
      <c r="B6" s="1321" t="s">
        <v>3079</v>
      </c>
      <c r="C6" s="1322">
        <f>INDEX('LOCAL DATASET'!$C$376:$ALZ$376,1,ROW(C6)-1)</f>
        <v>-0.39999999999999997</v>
      </c>
    </row>
    <row r="7" spans="1:3">
      <c r="A7" s="1322" t="str">
        <f t="shared" si="0"/>
        <v>London</v>
      </c>
      <c r="B7" s="1321" t="s">
        <v>3080</v>
      </c>
      <c r="C7" s="1322">
        <f>INDEX('LOCAL DATASET'!$C$376:$ALZ$376,1,ROW(C7)-1)</f>
        <v>-0.39999999999999997</v>
      </c>
    </row>
    <row r="8" spans="1:3">
      <c r="A8" s="1322" t="str">
        <f t="shared" si="0"/>
        <v>London</v>
      </c>
      <c r="B8" s="1321" t="s">
        <v>490</v>
      </c>
      <c r="C8" s="1322">
        <f>INDEX('LOCAL DATASET'!$C$376:$ALZ$376,1,ROW(C8)-1)</f>
        <v>348.18181818181819</v>
      </c>
    </row>
    <row r="9" spans="1:3">
      <c r="A9" s="1322" t="str">
        <f t="shared" si="0"/>
        <v>London</v>
      </c>
      <c r="B9" s="1321" t="s">
        <v>3081</v>
      </c>
      <c r="C9" s="1322">
        <f>INDEX('LOCAL DATASET'!$C$376:$ALZ$376,1,ROW(C9)-1)</f>
        <v>-4.7999999999999989</v>
      </c>
    </row>
    <row r="10" spans="1:3">
      <c r="A10" s="1322" t="str">
        <f t="shared" si="0"/>
        <v>London</v>
      </c>
      <c r="B10" s="1321" t="s">
        <v>3082</v>
      </c>
      <c r="C10" s="1322">
        <f>INDEX('LOCAL DATASET'!$C$376:$ALZ$376,1,ROW(C10)-1)</f>
        <v>-2.8000000000000003</v>
      </c>
    </row>
    <row r="11" spans="1:3">
      <c r="A11" s="1322" t="str">
        <f t="shared" si="0"/>
        <v>London</v>
      </c>
      <c r="B11" s="1321" t="s">
        <v>3083</v>
      </c>
      <c r="C11" s="1322">
        <f>INDEX('LOCAL DATASET'!$C$376:$ALZ$376,1,ROW(C11)-1)</f>
        <v>-2.8000000000000003</v>
      </c>
    </row>
    <row r="12" spans="1:3">
      <c r="A12" s="1322" t="str">
        <f t="shared" si="0"/>
        <v>London</v>
      </c>
      <c r="B12" s="1321" t="s">
        <v>1012</v>
      </c>
      <c r="C12" s="1322">
        <f>INDEX('LOCAL DATASET'!$C$376:$ALZ$376,1,ROW(C12)-1)</f>
        <v>350</v>
      </c>
    </row>
    <row r="13" spans="1:3">
      <c r="A13" s="1322" t="str">
        <f t="shared" si="0"/>
        <v>London</v>
      </c>
      <c r="B13" s="1321" t="s">
        <v>3084</v>
      </c>
      <c r="C13" s="1322">
        <f>INDEX('LOCAL DATASET'!$C$376:$ALZ$376,1,ROW(C13)-1)</f>
        <v>0</v>
      </c>
    </row>
    <row r="14" spans="1:3">
      <c r="A14" s="1322" t="str">
        <f t="shared" si="0"/>
        <v>London</v>
      </c>
      <c r="B14" s="1321" t="s">
        <v>3085</v>
      </c>
      <c r="C14" s="1322">
        <f>INDEX('LOCAL DATASET'!$C$376:$ALZ$376,1,ROW(C14)-1)</f>
        <v>0</v>
      </c>
    </row>
    <row r="15" spans="1:3">
      <c r="A15" s="1322" t="str">
        <f t="shared" si="0"/>
        <v>London</v>
      </c>
      <c r="B15" s="1321" t="s">
        <v>3086</v>
      </c>
      <c r="C15" s="1322">
        <f>INDEX('LOCAL DATASET'!$C$376:$ALZ$376,1,ROW(C15)-1)</f>
        <v>0</v>
      </c>
    </row>
    <row r="16" spans="1:3">
      <c r="A16" s="1322" t="str">
        <f t="shared" si="0"/>
        <v>London</v>
      </c>
      <c r="B16" s="1321" t="s">
        <v>3087</v>
      </c>
      <c r="C16" s="1322">
        <f>INDEX('LOCAL DATASET'!$C$376:$ALZ$376,1,ROW(C16)-1)</f>
        <v>1216.230079338347</v>
      </c>
    </row>
    <row r="17" spans="1:3">
      <c r="A17" s="1322" t="str">
        <f t="shared" si="0"/>
        <v>London</v>
      </c>
      <c r="B17" s="1321" t="s">
        <v>3088</v>
      </c>
      <c r="C17" s="1322">
        <f>INDEX('LOCAL DATASET'!$C$376:$ALZ$376,1,ROW(C17)-1)</f>
        <v>12</v>
      </c>
    </row>
    <row r="18" spans="1:3">
      <c r="A18" s="1322" t="str">
        <f t="shared" si="0"/>
        <v>London</v>
      </c>
      <c r="B18" s="1321" t="s">
        <v>3089</v>
      </c>
      <c r="C18" s="1322">
        <f>INDEX('LOCAL DATASET'!$C$376:$ALZ$376,1,ROW(C18)-1)</f>
        <v>2.0700000000000003</v>
      </c>
    </row>
    <row r="19" spans="1:3">
      <c r="A19" s="1322" t="str">
        <f t="shared" si="0"/>
        <v>London</v>
      </c>
      <c r="B19" s="1321" t="s">
        <v>3090</v>
      </c>
      <c r="C19" s="1322">
        <f>INDEX('LOCAL DATASET'!$C$376:$ALZ$376,1,ROW(C19)-1)</f>
        <v>0.70000000000000007</v>
      </c>
    </row>
    <row r="20" spans="1:3">
      <c r="A20" s="1322" t="str">
        <f t="shared" si="0"/>
        <v>London</v>
      </c>
      <c r="B20" s="1321" t="s">
        <v>3091</v>
      </c>
      <c r="C20" s="1322">
        <f>INDEX('LOCAL DATASET'!$C$376:$ALZ$376,1,ROW(C20)-1)</f>
        <v>0.70000000000000007</v>
      </c>
    </row>
    <row r="21" spans="1:3">
      <c r="A21" s="1322" t="str">
        <f t="shared" si="0"/>
        <v>London</v>
      </c>
      <c r="B21" s="1321" t="s">
        <v>3092</v>
      </c>
      <c r="C21" s="1322">
        <f>INDEX('LOCAL DATASET'!$C$376:$ALZ$376,1,ROW(C21)-1)</f>
        <v>0.4</v>
      </c>
    </row>
    <row r="22" spans="1:3">
      <c r="A22" s="1322" t="str">
        <f t="shared" si="0"/>
        <v>London</v>
      </c>
      <c r="B22" s="1321" t="s">
        <v>3093</v>
      </c>
      <c r="C22" s="1322">
        <f>INDEX('LOCAL DATASET'!$C$376:$ALZ$376,1,ROW(C22)-1)</f>
        <v>0</v>
      </c>
    </row>
    <row r="23" spans="1:3">
      <c r="A23" s="1322" t="str">
        <f t="shared" si="0"/>
        <v>London</v>
      </c>
      <c r="B23" s="1321" t="s">
        <v>3094</v>
      </c>
      <c r="C23" s="1322">
        <f>INDEX('LOCAL DATASET'!$C$376:$ALZ$376,1,ROW(C23)-1)</f>
        <v>94.5</v>
      </c>
    </row>
    <row r="24" spans="1:3">
      <c r="A24" s="1322" t="str">
        <f t="shared" si="0"/>
        <v>London</v>
      </c>
      <c r="B24" s="1321" t="s">
        <v>3095</v>
      </c>
      <c r="C24" s="1322">
        <f>INDEX('LOCAL DATASET'!$C$376:$ALZ$376,1,ROW(C24)-1)</f>
        <v>2.5</v>
      </c>
    </row>
    <row r="25" spans="1:3">
      <c r="A25" s="1322" t="str">
        <f t="shared" si="0"/>
        <v>London</v>
      </c>
      <c r="B25" s="1321" t="s">
        <v>3096</v>
      </c>
      <c r="C25" s="1322">
        <f>INDEX('LOCAL DATASET'!$C$376:$ALZ$376,1,ROW(C25)-1)</f>
        <v>0.5</v>
      </c>
    </row>
    <row r="26" spans="1:3">
      <c r="A26" s="1322" t="str">
        <f t="shared" si="0"/>
        <v>London</v>
      </c>
      <c r="B26" s="1321" t="s">
        <v>3097</v>
      </c>
      <c r="C26" s="1322">
        <f>INDEX('LOCAL DATASET'!$C$376:$ALZ$376,1,ROW(C26)-1)</f>
        <v>1</v>
      </c>
    </row>
    <row r="27" spans="1:3">
      <c r="A27" s="1322" t="str">
        <f t="shared" si="0"/>
        <v>London</v>
      </c>
      <c r="B27" s="1321" t="s">
        <v>3098</v>
      </c>
      <c r="C27" s="1322">
        <f>INDEX('LOCAL DATASET'!$C$376:$ALZ$376,1,ROW(C27)-1)</f>
        <v>1</v>
      </c>
    </row>
    <row r="28" spans="1:3">
      <c r="A28" s="1322" t="str">
        <f t="shared" si="0"/>
        <v>London</v>
      </c>
      <c r="B28" s="1321" t="s">
        <v>3099</v>
      </c>
      <c r="C28" s="1322">
        <f>INDEX('LOCAL DATASET'!$C$376:$ALZ$376,1,ROW(C28)-1)</f>
        <v>1</v>
      </c>
    </row>
    <row r="29" spans="1:3">
      <c r="A29" s="1322" t="str">
        <f t="shared" si="0"/>
        <v>London</v>
      </c>
      <c r="B29" s="1321" t="s">
        <v>3100</v>
      </c>
      <c r="C29" s="1322">
        <f>INDEX('LOCAL DATASET'!$C$376:$ALZ$376,1,ROW(C29)-1)</f>
        <v>1</v>
      </c>
    </row>
    <row r="30" spans="1:3">
      <c r="A30" s="1322" t="str">
        <f t="shared" si="0"/>
        <v>London</v>
      </c>
      <c r="B30" s="1321" t="s">
        <v>3101</v>
      </c>
      <c r="C30" s="1322">
        <f>INDEX('LOCAL DATASET'!$C$376:$ALZ$376,1,ROW(C30)-1)</f>
        <v>1</v>
      </c>
    </row>
    <row r="31" spans="1:3">
      <c r="A31" s="1322" t="str">
        <f t="shared" si="0"/>
        <v>London</v>
      </c>
      <c r="B31" s="1321" t="s">
        <v>3102</v>
      </c>
      <c r="C31" s="1322">
        <f>INDEX('LOCAL DATASET'!$C$376:$ALZ$376,1,ROW(C31)-1)</f>
        <v>433.01922201480062</v>
      </c>
    </row>
    <row r="32" spans="1:3">
      <c r="A32" s="1322" t="str">
        <f t="shared" si="0"/>
        <v>London</v>
      </c>
      <c r="B32" s="1321" t="s">
        <v>3103</v>
      </c>
      <c r="C32" s="1322">
        <f>INDEX('LOCAL DATASET'!$C$376:$ALZ$376,1,ROW(C32)-1)</f>
        <v>433.01922201480062</v>
      </c>
    </row>
    <row r="33" spans="1:3">
      <c r="A33" s="1322" t="str">
        <f t="shared" si="0"/>
        <v>London</v>
      </c>
      <c r="B33" s="1321" t="s">
        <v>3104</v>
      </c>
      <c r="C33" s="1322">
        <f>INDEX('LOCAL DATASET'!$C$376:$ALZ$376,1,ROW(C33)-1)</f>
        <v>433.01922201480062</v>
      </c>
    </row>
    <row r="34" spans="1:3">
      <c r="A34" s="1322" t="str">
        <f t="shared" si="0"/>
        <v>London</v>
      </c>
      <c r="B34" s="1321" t="s">
        <v>3105</v>
      </c>
      <c r="C34" s="1322">
        <f>INDEX('LOCAL DATASET'!$C$376:$ALZ$376,1,ROW(C34)-1)</f>
        <v>433.01922201480062</v>
      </c>
    </row>
    <row r="35" spans="1:3">
      <c r="A35" s="1322" t="str">
        <f t="shared" si="0"/>
        <v>London</v>
      </c>
      <c r="B35" s="1321" t="s">
        <v>3106</v>
      </c>
      <c r="C35" s="1322">
        <f>INDEX('LOCAL DATASET'!$C$376:$ALZ$376,1,ROW(C35)-1)</f>
        <v>433.01922201480062</v>
      </c>
    </row>
    <row r="36" spans="1:3">
      <c r="A36" s="1322" t="str">
        <f t="shared" si="0"/>
        <v>London</v>
      </c>
      <c r="B36" s="1321" t="s">
        <v>3107</v>
      </c>
      <c r="C36" s="1322">
        <f>INDEX('LOCAL DATASET'!$C$376:$ALZ$376,1,ROW(C36)-1)</f>
        <v>261.91600618637949</v>
      </c>
    </row>
    <row r="37" spans="1:3">
      <c r="A37" s="1322" t="str">
        <f t="shared" si="0"/>
        <v>London</v>
      </c>
      <c r="B37" s="1321" t="s">
        <v>3108</v>
      </c>
      <c r="C37" s="1322">
        <f>INDEX('LOCAL DATASET'!$C$376:$ALZ$376,1,ROW(C37)-1)</f>
        <v>261.91600618637949</v>
      </c>
    </row>
    <row r="38" spans="1:3">
      <c r="A38" s="1322" t="str">
        <f t="shared" si="0"/>
        <v>London</v>
      </c>
      <c r="B38" s="1321" t="s">
        <v>3109</v>
      </c>
      <c r="C38" s="1322">
        <f>INDEX('LOCAL DATASET'!$C$376:$ALZ$376,1,ROW(C38)-1)</f>
        <v>261.91600618637949</v>
      </c>
    </row>
    <row r="39" spans="1:3">
      <c r="A39" s="1322" t="str">
        <f t="shared" si="0"/>
        <v>London</v>
      </c>
      <c r="B39" s="1321" t="s">
        <v>3110</v>
      </c>
      <c r="C39" s="1322">
        <f>INDEX('LOCAL DATASET'!$C$376:$ALZ$376,1,ROW(C39)-1)</f>
        <v>261.91600618637949</v>
      </c>
    </row>
    <row r="40" spans="1:3">
      <c r="A40" s="1322" t="str">
        <f t="shared" si="0"/>
        <v>London</v>
      </c>
      <c r="B40" s="1321" t="s">
        <v>3111</v>
      </c>
      <c r="C40" s="1322">
        <f>INDEX('LOCAL DATASET'!$C$376:$ALZ$376,1,ROW(C40)-1)</f>
        <v>261.91600618637949</v>
      </c>
    </row>
    <row r="41" spans="1:3">
      <c r="A41" s="1322" t="str">
        <f t="shared" si="0"/>
        <v>London</v>
      </c>
      <c r="B41" s="1321" t="s">
        <v>3112</v>
      </c>
      <c r="C41" s="1322">
        <f>INDEX('LOCAL DATASET'!$C$376:$ALZ$376,1,ROW(C41)-1)</f>
        <v>0.1</v>
      </c>
    </row>
    <row r="42" spans="1:3">
      <c r="A42" s="1322" t="str">
        <f t="shared" si="0"/>
        <v>London</v>
      </c>
      <c r="B42" s="1321" t="s">
        <v>3113</v>
      </c>
      <c r="C42" s="1322">
        <f>INDEX('LOCAL DATASET'!$C$376:$ALZ$376,1,ROW(C42)-1)</f>
        <v>0.2</v>
      </c>
    </row>
    <row r="43" spans="1:3">
      <c r="A43" s="1322" t="str">
        <f t="shared" si="0"/>
        <v>London</v>
      </c>
      <c r="B43" s="1321" t="s">
        <v>3114</v>
      </c>
      <c r="C43" s="1322">
        <f>INDEX('LOCAL DATASET'!$C$376:$ALZ$376,1,ROW(C43)-1)</f>
        <v>0.4</v>
      </c>
    </row>
    <row r="44" spans="1:3">
      <c r="A44" s="1322" t="str">
        <f t="shared" si="0"/>
        <v>London</v>
      </c>
      <c r="B44" s="1321" t="s">
        <v>3115</v>
      </c>
      <c r="C44" s="1322">
        <f>INDEX('LOCAL DATASET'!$C$376:$ALZ$376,1,ROW(C44)-1)</f>
        <v>0.6</v>
      </c>
    </row>
    <row r="45" spans="1:3">
      <c r="A45" s="1322" t="str">
        <f t="shared" si="0"/>
        <v>London</v>
      </c>
      <c r="B45" s="1321" t="s">
        <v>3116</v>
      </c>
      <c r="C45" s="1322">
        <f>INDEX('LOCAL DATASET'!$C$376:$ALZ$376,1,ROW(C45)-1)</f>
        <v>0.9</v>
      </c>
    </row>
    <row r="46" spans="1:3">
      <c r="A46" s="1322" t="str">
        <f t="shared" si="0"/>
        <v>London</v>
      </c>
      <c r="B46" s="1321" t="s">
        <v>3117</v>
      </c>
      <c r="C46" s="1322">
        <f>INDEX('LOCAL DATASET'!$C$376:$ALZ$376,1,ROW(C46)-1)</f>
        <v>1.2</v>
      </c>
    </row>
    <row r="47" spans="1:3">
      <c r="A47" s="1322" t="str">
        <f t="shared" si="0"/>
        <v>London</v>
      </c>
      <c r="B47" s="1321" t="s">
        <v>3118</v>
      </c>
      <c r="C47" s="1322">
        <f>INDEX('LOCAL DATASET'!$C$376:$ALZ$376,1,ROW(C47)-1)</f>
        <v>1.4</v>
      </c>
    </row>
    <row r="48" spans="1:3">
      <c r="A48" s="1322" t="str">
        <f t="shared" si="0"/>
        <v>London</v>
      </c>
      <c r="B48" s="1321" t="s">
        <v>3119</v>
      </c>
      <c r="C48" s="1322">
        <f>INDEX('LOCAL DATASET'!$C$376:$ALZ$376,1,ROW(C48)-1)</f>
        <v>0</v>
      </c>
    </row>
    <row r="49" spans="1:3">
      <c r="A49" s="1322" t="str">
        <f t="shared" si="0"/>
        <v>London</v>
      </c>
      <c r="B49" s="1321" t="s">
        <v>3120</v>
      </c>
      <c r="C49" s="1322">
        <f>INDEX('LOCAL DATASET'!$C$376:$ALZ$376,1,ROW(C49)-1)</f>
        <v>0</v>
      </c>
    </row>
    <row r="50" spans="1:3">
      <c r="A50" s="1322" t="str">
        <f t="shared" si="0"/>
        <v>London</v>
      </c>
      <c r="B50" s="1321" t="s">
        <v>3121</v>
      </c>
      <c r="C50" s="1322">
        <f>INDEX('LOCAL DATASET'!$C$376:$ALZ$376,1,ROW(C50)-1)</f>
        <v>0</v>
      </c>
    </row>
    <row r="51" spans="1:3">
      <c r="A51" s="1322" t="str">
        <f t="shared" si="0"/>
        <v>London</v>
      </c>
      <c r="B51" s="1321" t="s">
        <v>3122</v>
      </c>
      <c r="C51" s="1322">
        <f>INDEX('LOCAL DATASET'!$C$376:$ALZ$376,1,ROW(C51)-1)</f>
        <v>0</v>
      </c>
    </row>
    <row r="52" spans="1:3">
      <c r="A52" s="1322" t="str">
        <f t="shared" si="0"/>
        <v>London</v>
      </c>
      <c r="B52" s="1321" t="s">
        <v>3123</v>
      </c>
      <c r="C52" s="1322">
        <f>INDEX('LOCAL DATASET'!$C$376:$ALZ$376,1,ROW(C52)-1)</f>
        <v>0</v>
      </c>
    </row>
    <row r="53" spans="1:3">
      <c r="A53" s="1322" t="str">
        <f t="shared" si="0"/>
        <v>London</v>
      </c>
      <c r="B53" s="1321" t="s">
        <v>3124</v>
      </c>
      <c r="C53" s="1322">
        <f>INDEX('LOCAL DATASET'!$C$376:$ALZ$376,1,ROW(C53)-1)</f>
        <v>5412.7575023540339</v>
      </c>
    </row>
    <row r="54" spans="1:3">
      <c r="A54" s="1322" t="str">
        <f t="shared" si="0"/>
        <v>London</v>
      </c>
      <c r="B54" s="1321" t="s">
        <v>3125</v>
      </c>
      <c r="C54" s="1322">
        <f>INDEX('LOCAL DATASET'!$C$376:$ALZ$376,1,ROW(C54)-1)</f>
        <v>1.95</v>
      </c>
    </row>
    <row r="55" spans="1:3">
      <c r="A55" s="1322" t="str">
        <f t="shared" si="0"/>
        <v>London</v>
      </c>
      <c r="B55" s="1321" t="s">
        <v>3126</v>
      </c>
      <c r="C55" s="1322">
        <f>INDEX('LOCAL DATASET'!$C$376:$ALZ$376,1,ROW(C55)-1)</f>
        <v>0</v>
      </c>
    </row>
    <row r="56" spans="1:3">
      <c r="A56" s="1322" t="str">
        <f t="shared" si="0"/>
        <v>London</v>
      </c>
      <c r="B56" s="1321" t="s">
        <v>3127</v>
      </c>
      <c r="C56" s="1322">
        <f>INDEX('LOCAL DATASET'!$C$376:$ALZ$376,1,ROW(C56)-1)</f>
        <v>0</v>
      </c>
    </row>
    <row r="57" spans="1:3">
      <c r="A57" s="1322" t="str">
        <f t="shared" si="0"/>
        <v>London</v>
      </c>
      <c r="B57" s="1321" t="s">
        <v>3128</v>
      </c>
      <c r="C57" s="1322">
        <f>INDEX('LOCAL DATASET'!$C$376:$ALZ$376,1,ROW(C57)-1)</f>
        <v>0</v>
      </c>
    </row>
    <row r="58" spans="1:3">
      <c r="A58" s="1322" t="str">
        <f t="shared" si="0"/>
        <v>London</v>
      </c>
      <c r="B58" s="1321" t="s">
        <v>3129</v>
      </c>
      <c r="C58" s="1322">
        <f>INDEX('LOCAL DATASET'!$C$376:$ALZ$376,1,ROW(C58)-1)</f>
        <v>0</v>
      </c>
    </row>
    <row r="59" spans="1:3">
      <c r="A59" s="1322" t="str">
        <f t="shared" si="0"/>
        <v>London</v>
      </c>
      <c r="B59" s="1321" t="s">
        <v>3130</v>
      </c>
      <c r="C59" s="1322">
        <f>INDEX('LOCAL DATASET'!$C$376:$ALZ$376,1,ROW(C59)-1)</f>
        <v>0</v>
      </c>
    </row>
    <row r="60" spans="1:3">
      <c r="A60" s="1322" t="str">
        <f t="shared" si="0"/>
        <v>London</v>
      </c>
      <c r="B60" s="1321" t="s">
        <v>3131</v>
      </c>
      <c r="C60" s="1322">
        <f>INDEX('LOCAL DATASET'!$C$376:$ALZ$376,1,ROW(C60)-1)</f>
        <v>2</v>
      </c>
    </row>
    <row r="61" spans="1:3">
      <c r="A61" s="1322" t="str">
        <f t="shared" si="0"/>
        <v>London</v>
      </c>
      <c r="B61" s="1321" t="s">
        <v>3132</v>
      </c>
      <c r="C61" s="1322">
        <f>INDEX('LOCAL DATASET'!$C$376:$ALZ$376,1,ROW(C61)-1)</f>
        <v>2</v>
      </c>
    </row>
    <row r="62" spans="1:3">
      <c r="A62" s="1322" t="str">
        <f t="shared" si="0"/>
        <v>London</v>
      </c>
      <c r="B62" s="1321" t="s">
        <v>3133</v>
      </c>
      <c r="C62" s="1322">
        <f>INDEX('LOCAL DATASET'!$C$376:$ALZ$376,1,ROW(C62)-1)</f>
        <v>2</v>
      </c>
    </row>
    <row r="63" spans="1:3">
      <c r="A63" s="1322" t="str">
        <f t="shared" si="0"/>
        <v>London</v>
      </c>
      <c r="B63" s="1321" t="s">
        <v>3134</v>
      </c>
      <c r="C63" s="1322">
        <f>INDEX('LOCAL DATASET'!$C$376:$ALZ$376,1,ROW(C63)-1)</f>
        <v>2</v>
      </c>
    </row>
    <row r="64" spans="1:3">
      <c r="A64" s="1322" t="str">
        <f t="shared" si="0"/>
        <v>London</v>
      </c>
      <c r="B64" s="1321" t="s">
        <v>3135</v>
      </c>
      <c r="C64" s="1322">
        <f>INDEX('LOCAL DATASET'!$C$376:$ALZ$376,1,ROW(C64)-1)</f>
        <v>2</v>
      </c>
    </row>
    <row r="65" spans="1:3">
      <c r="A65" s="1322" t="str">
        <f t="shared" si="0"/>
        <v>London</v>
      </c>
      <c r="B65" s="1321" t="s">
        <v>3136</v>
      </c>
      <c r="C65" s="1322">
        <f>INDEX('LOCAL DATASET'!$C$376:$ALZ$376,1,ROW(C65)-1)</f>
        <v>0</v>
      </c>
    </row>
    <row r="66" spans="1:3">
      <c r="A66" s="1322" t="str">
        <f t="shared" si="0"/>
        <v>London</v>
      </c>
      <c r="B66" s="1321" t="s">
        <v>3137</v>
      </c>
      <c r="C66" s="1322">
        <f>INDEX('LOCAL DATASET'!$C$376:$ALZ$376,1,ROW(C66)-1)</f>
        <v>2</v>
      </c>
    </row>
    <row r="67" spans="1:3">
      <c r="A67" s="1322" t="str">
        <f t="shared" si="0"/>
        <v>London</v>
      </c>
      <c r="B67" s="1321" t="s">
        <v>3138</v>
      </c>
      <c r="C67" s="1322">
        <f>INDEX('LOCAL DATASET'!$C$376:$ALZ$376,1,ROW(C67)-1)</f>
        <v>2</v>
      </c>
    </row>
    <row r="68" spans="1:3">
      <c r="A68" s="1322" t="str">
        <f t="shared" ref="A68:A131" si="1">A67</f>
        <v>London</v>
      </c>
      <c r="B68" s="1321" t="s">
        <v>3139</v>
      </c>
      <c r="C68" s="1322">
        <f>INDEX('LOCAL DATASET'!$C$376:$ALZ$376,1,ROW(C68)-1)</f>
        <v>2</v>
      </c>
    </row>
    <row r="69" spans="1:3">
      <c r="A69" s="1322" t="str">
        <f t="shared" si="1"/>
        <v>London</v>
      </c>
      <c r="B69" s="1321" t="s">
        <v>3140</v>
      </c>
      <c r="C69" s="1322">
        <f>INDEX('LOCAL DATASET'!$C$376:$ALZ$376,1,ROW(C69)-1)</f>
        <v>2</v>
      </c>
    </row>
    <row r="70" spans="1:3">
      <c r="A70" s="1322" t="str">
        <f t="shared" si="1"/>
        <v>London</v>
      </c>
      <c r="B70" s="1321" t="s">
        <v>3141</v>
      </c>
      <c r="C70" s="1322">
        <f>INDEX('LOCAL DATASET'!$C$376:$ALZ$376,1,ROW(C70)-1)</f>
        <v>2</v>
      </c>
    </row>
    <row r="71" spans="1:3">
      <c r="A71" s="1322" t="str">
        <f t="shared" si="1"/>
        <v>London</v>
      </c>
      <c r="B71" s="1321" t="s">
        <v>3142</v>
      </c>
      <c r="C71" s="1322">
        <f>INDEX('LOCAL DATASET'!$C$376:$ALZ$376,1,ROW(C71)-1)</f>
        <v>2</v>
      </c>
    </row>
    <row r="72" spans="1:3">
      <c r="A72" s="1322" t="str">
        <f t="shared" si="1"/>
        <v>London</v>
      </c>
      <c r="B72" s="1321" t="s">
        <v>3143</v>
      </c>
      <c r="C72" s="1322">
        <f>INDEX('LOCAL DATASET'!$C$376:$ALZ$376,1,ROW(C72)-1)</f>
        <v>2</v>
      </c>
    </row>
    <row r="73" spans="1:3">
      <c r="A73" s="1322" t="str">
        <f t="shared" si="1"/>
        <v>London</v>
      </c>
      <c r="B73" s="1321" t="s">
        <v>3144</v>
      </c>
      <c r="C73" s="1322">
        <f>INDEX('LOCAL DATASET'!$C$376:$ALZ$376,1,ROW(C73)-1)</f>
        <v>2</v>
      </c>
    </row>
    <row r="74" spans="1:3">
      <c r="A74" s="1322" t="str">
        <f t="shared" si="1"/>
        <v>London</v>
      </c>
      <c r="B74" s="1321" t="s">
        <v>3145</v>
      </c>
      <c r="C74" s="1322">
        <f>INDEX('LOCAL DATASET'!$C$376:$ALZ$376,1,ROW(C74)-1)</f>
        <v>2</v>
      </c>
    </row>
    <row r="75" spans="1:3">
      <c r="A75" s="1322" t="str">
        <f t="shared" si="1"/>
        <v>London</v>
      </c>
      <c r="B75" s="1321" t="s">
        <v>3146</v>
      </c>
      <c r="C75" s="1322">
        <f>INDEX('LOCAL DATASET'!$C$376:$ALZ$376,1,ROW(C75)-1)</f>
        <v>261.13475999999997</v>
      </c>
    </row>
    <row r="76" spans="1:3">
      <c r="A76" s="1322" t="str">
        <f t="shared" si="1"/>
        <v>London</v>
      </c>
      <c r="B76" s="1321" t="s">
        <v>3147</v>
      </c>
      <c r="C76" s="1322">
        <f>INDEX('LOCAL DATASET'!$C$376:$ALZ$376,1,ROW(C76)-1)</f>
        <v>261.13475999999997</v>
      </c>
    </row>
    <row r="77" spans="1:3">
      <c r="A77" s="1322" t="str">
        <f t="shared" si="1"/>
        <v>London</v>
      </c>
      <c r="B77" s="1321" t="s">
        <v>3148</v>
      </c>
      <c r="C77" s="1322">
        <f>INDEX('LOCAL DATASET'!$C$376:$ALZ$376,1,ROW(C77)-1)</f>
        <v>261.13475999999997</v>
      </c>
    </row>
    <row r="78" spans="1:3">
      <c r="A78" s="1322" t="str">
        <f t="shared" si="1"/>
        <v>London</v>
      </c>
      <c r="B78" s="1321" t="s">
        <v>3149</v>
      </c>
      <c r="C78" s="1322">
        <f>INDEX('LOCAL DATASET'!$C$376:$ALZ$376,1,ROW(C78)-1)</f>
        <v>261.13475999999997</v>
      </c>
    </row>
    <row r="79" spans="1:3">
      <c r="A79" s="1322" t="str">
        <f t="shared" si="1"/>
        <v>London</v>
      </c>
      <c r="B79" s="1321" t="s">
        <v>3150</v>
      </c>
      <c r="C79" s="1322">
        <f>INDEX('LOCAL DATASET'!$C$376:$ALZ$376,1,ROW(C79)-1)</f>
        <v>261.13475999999997</v>
      </c>
    </row>
    <row r="80" spans="1:3">
      <c r="A80" s="1322" t="str">
        <f t="shared" si="1"/>
        <v>London</v>
      </c>
      <c r="B80" s="1321" t="s">
        <v>3151</v>
      </c>
      <c r="C80" s="1322">
        <f>INDEX('LOCAL DATASET'!$C$376:$ALZ$376,1,ROW(C80)-1)</f>
        <v>261.13475999999997</v>
      </c>
    </row>
    <row r="81" spans="1:3">
      <c r="A81" s="1322" t="str">
        <f t="shared" si="1"/>
        <v>London</v>
      </c>
      <c r="B81" s="1321" t="s">
        <v>3152</v>
      </c>
      <c r="C81" s="1322">
        <f>INDEX('LOCAL DATASET'!$C$376:$ALZ$376,1,ROW(C81)-1)</f>
        <v>261.13475999999997</v>
      </c>
    </row>
    <row r="82" spans="1:3">
      <c r="A82" s="1322" t="str">
        <f t="shared" si="1"/>
        <v>London</v>
      </c>
      <c r="B82" s="1321" t="s">
        <v>3153</v>
      </c>
      <c r="C82" s="1322">
        <f>INDEX('LOCAL DATASET'!$C$376:$ALZ$376,1,ROW(C82)-1)</f>
        <v>261.13475999999997</v>
      </c>
    </row>
    <row r="83" spans="1:3">
      <c r="A83" s="1322" t="str">
        <f t="shared" si="1"/>
        <v>London</v>
      </c>
      <c r="B83" s="1321" t="s">
        <v>3154</v>
      </c>
      <c r="C83" s="1322">
        <f>INDEX('LOCAL DATASET'!$C$376:$ALZ$376,1,ROW(C83)-1)</f>
        <v>261.13475999999997</v>
      </c>
    </row>
    <row r="84" spans="1:3">
      <c r="A84" s="1322" t="str">
        <f t="shared" si="1"/>
        <v>London</v>
      </c>
      <c r="B84" s="1321" t="s">
        <v>3155</v>
      </c>
      <c r="C84" s="1322">
        <f>INDEX('LOCAL DATASET'!$C$376:$ALZ$376,1,ROW(C84)-1)</f>
        <v>261.13475999999997</v>
      </c>
    </row>
    <row r="85" spans="1:3">
      <c r="A85" s="1322" t="str">
        <f t="shared" si="1"/>
        <v>London</v>
      </c>
      <c r="B85" s="1321" t="s">
        <v>3156</v>
      </c>
      <c r="C85" s="1322">
        <f>INDEX('LOCAL DATASET'!$C$376:$ALZ$376,1,ROW(C85)-1)</f>
        <v>261.13475999999997</v>
      </c>
    </row>
    <row r="86" spans="1:3">
      <c r="A86" s="1322" t="str">
        <f t="shared" si="1"/>
        <v>London</v>
      </c>
      <c r="B86" s="1321" t="s">
        <v>3157</v>
      </c>
      <c r="C86" s="1322">
        <f>INDEX('LOCAL DATASET'!$C$376:$ALZ$376,1,ROW(C86)-1)</f>
        <v>261.13475999999997</v>
      </c>
    </row>
    <row r="87" spans="1:3">
      <c r="A87" s="1322" t="str">
        <f t="shared" si="1"/>
        <v>London</v>
      </c>
      <c r="B87" s="1321" t="s">
        <v>3158</v>
      </c>
      <c r="C87" s="1322">
        <f>INDEX('LOCAL DATASET'!$C$376:$ALZ$376,1,ROW(C87)-1)</f>
        <v>261.13475999999997</v>
      </c>
    </row>
    <row r="88" spans="1:3">
      <c r="A88" s="1322" t="str">
        <f t="shared" si="1"/>
        <v>London</v>
      </c>
      <c r="B88" s="1321" t="s">
        <v>3159</v>
      </c>
      <c r="C88" s="1322">
        <f>INDEX('LOCAL DATASET'!$C$376:$ALZ$376,1,ROW(C88)-1)</f>
        <v>261.13475999999997</v>
      </c>
    </row>
    <row r="89" spans="1:3">
      <c r="A89" s="1322" t="str">
        <f t="shared" si="1"/>
        <v>London</v>
      </c>
      <c r="B89" s="1321" t="s">
        <v>3160</v>
      </c>
      <c r="C89" s="1322">
        <f>INDEX('LOCAL DATASET'!$C$376:$ALZ$376,1,ROW(C89)-1)</f>
        <v>261.13475999999997</v>
      </c>
    </row>
    <row r="90" spans="1:3">
      <c r="A90" s="1322" t="str">
        <f t="shared" si="1"/>
        <v>London</v>
      </c>
      <c r="B90" s="1321" t="s">
        <v>3161</v>
      </c>
      <c r="C90" s="1322">
        <f>INDEX('LOCAL DATASET'!$C$376:$ALZ$376,1,ROW(C90)-1)</f>
        <v>0</v>
      </c>
    </row>
    <row r="91" spans="1:3">
      <c r="A91" s="1322" t="str">
        <f t="shared" si="1"/>
        <v>London</v>
      </c>
      <c r="B91" s="1321" t="s">
        <v>3162</v>
      </c>
      <c r="C91" s="1322">
        <f>INDEX('LOCAL DATASET'!$C$376:$ALZ$376,1,ROW(C91)-1)</f>
        <v>0</v>
      </c>
    </row>
    <row r="92" spans="1:3">
      <c r="A92" s="1322" t="str">
        <f t="shared" si="1"/>
        <v>London</v>
      </c>
      <c r="B92" s="1321" t="s">
        <v>3163</v>
      </c>
      <c r="C92" s="1322">
        <f>INDEX('LOCAL DATASET'!$C$376:$ALZ$376,1,ROW(C92)-1)</f>
        <v>0</v>
      </c>
    </row>
    <row r="93" spans="1:3">
      <c r="A93" s="1322" t="str">
        <f t="shared" si="1"/>
        <v>London</v>
      </c>
      <c r="B93" s="1321" t="s">
        <v>3164</v>
      </c>
      <c r="C93" s="1322">
        <f>INDEX('LOCAL DATASET'!$C$376:$ALZ$376,1,ROW(C93)-1)</f>
        <v>0</v>
      </c>
    </row>
    <row r="94" spans="1:3">
      <c r="A94" s="1322" t="str">
        <f t="shared" si="1"/>
        <v>London</v>
      </c>
      <c r="B94" s="1321" t="s">
        <v>3165</v>
      </c>
      <c r="C94" s="1322">
        <f>INDEX('LOCAL DATASET'!$C$376:$ALZ$376,1,ROW(C94)-1)</f>
        <v>0</v>
      </c>
    </row>
    <row r="95" spans="1:3">
      <c r="A95" s="1322" t="str">
        <f t="shared" si="1"/>
        <v>London</v>
      </c>
      <c r="B95" s="1321" t="s">
        <v>3166</v>
      </c>
      <c r="C95" s="1322">
        <f>INDEX('LOCAL DATASET'!$C$376:$ALZ$376,1,ROW(C95)-1)</f>
        <v>0</v>
      </c>
    </row>
    <row r="96" spans="1:3">
      <c r="A96" s="1322" t="str">
        <f t="shared" si="1"/>
        <v>London</v>
      </c>
      <c r="B96" s="1321" t="s">
        <v>3167</v>
      </c>
      <c r="C96" s="1322">
        <f>INDEX('LOCAL DATASET'!$C$376:$ALZ$376,1,ROW(C96)-1)</f>
        <v>0</v>
      </c>
    </row>
    <row r="97" spans="1:3">
      <c r="A97" s="1322" t="str">
        <f t="shared" si="1"/>
        <v>London</v>
      </c>
      <c r="B97" s="1321" t="s">
        <v>3168</v>
      </c>
      <c r="C97" s="1322">
        <f>INDEX('LOCAL DATASET'!$C$376:$ALZ$376,1,ROW(C97)-1)</f>
        <v>0</v>
      </c>
    </row>
    <row r="98" spans="1:3">
      <c r="A98" s="1322" t="str">
        <f t="shared" si="1"/>
        <v>London</v>
      </c>
      <c r="B98" s="1321" t="s">
        <v>3169</v>
      </c>
      <c r="C98" s="1322">
        <f>INDEX('LOCAL DATASET'!$C$376:$ALZ$376,1,ROW(C98)-1)</f>
        <v>0</v>
      </c>
    </row>
    <row r="99" spans="1:3">
      <c r="A99" s="1322" t="str">
        <f t="shared" si="1"/>
        <v>London</v>
      </c>
      <c r="B99" s="1321" t="s">
        <v>3170</v>
      </c>
      <c r="C99" s="1322">
        <f>INDEX('LOCAL DATASET'!$C$376:$ALZ$376,1,ROW(C99)-1)</f>
        <v>0</v>
      </c>
    </row>
    <row r="100" spans="1:3">
      <c r="A100" s="1322" t="str">
        <f t="shared" si="1"/>
        <v>London</v>
      </c>
      <c r="B100" s="1321" t="s">
        <v>3171</v>
      </c>
      <c r="C100" s="1322">
        <f>INDEX('LOCAL DATASET'!$C$376:$ALZ$376,1,ROW(C100)-1)</f>
        <v>0</v>
      </c>
    </row>
    <row r="101" spans="1:3">
      <c r="A101" s="1322" t="str">
        <f t="shared" si="1"/>
        <v>London</v>
      </c>
      <c r="B101" s="1321" t="s">
        <v>3172</v>
      </c>
      <c r="C101" s="1322">
        <f>INDEX('LOCAL DATASET'!$C$376:$ALZ$376,1,ROW(C101)-1)</f>
        <v>0</v>
      </c>
    </row>
    <row r="102" spans="1:3">
      <c r="A102" s="1322" t="str">
        <f t="shared" si="1"/>
        <v>London</v>
      </c>
      <c r="B102" s="1321" t="s">
        <v>3173</v>
      </c>
      <c r="C102" s="1322">
        <f>INDEX('LOCAL DATASET'!$C$376:$ALZ$376,1,ROW(C102)-1)</f>
        <v>0</v>
      </c>
    </row>
    <row r="103" spans="1:3">
      <c r="A103" s="1322" t="str">
        <f t="shared" si="1"/>
        <v>London</v>
      </c>
      <c r="B103" s="1321" t="s">
        <v>3174</v>
      </c>
      <c r="C103" s="1322">
        <f>INDEX('LOCAL DATASET'!$C$376:$ALZ$376,1,ROW(C103)-1)</f>
        <v>0</v>
      </c>
    </row>
    <row r="104" spans="1:3">
      <c r="A104" s="1322" t="str">
        <f t="shared" si="1"/>
        <v>London</v>
      </c>
      <c r="B104" s="1321" t="s">
        <v>3175</v>
      </c>
      <c r="C104" s="1322">
        <f>INDEX('LOCAL DATASET'!$C$376:$ALZ$376,1,ROW(C104)-1)</f>
        <v>0</v>
      </c>
    </row>
    <row r="105" spans="1:3">
      <c r="A105" s="1322" t="str">
        <f t="shared" si="1"/>
        <v>London</v>
      </c>
      <c r="B105" s="1321" t="s">
        <v>3176</v>
      </c>
      <c r="C105" s="1322">
        <f>INDEX('LOCAL DATASET'!$C$376:$ALZ$376,1,ROW(C105)-1)</f>
        <v>1</v>
      </c>
    </row>
    <row r="106" spans="1:3">
      <c r="A106" s="1322" t="str">
        <f t="shared" si="1"/>
        <v>London</v>
      </c>
      <c r="B106" s="1321" t="s">
        <v>3177</v>
      </c>
      <c r="C106" s="1322">
        <f>INDEX('LOCAL DATASET'!$C$376:$ALZ$376,1,ROW(C106)-1)</f>
        <v>1</v>
      </c>
    </row>
    <row r="107" spans="1:3">
      <c r="A107" s="1322" t="str">
        <f t="shared" si="1"/>
        <v>London</v>
      </c>
      <c r="B107" s="1321" t="s">
        <v>3178</v>
      </c>
      <c r="C107" s="1322">
        <f>INDEX('LOCAL DATASET'!$C$376:$ALZ$376,1,ROW(C107)-1)</f>
        <v>1</v>
      </c>
    </row>
    <row r="108" spans="1:3">
      <c r="A108" s="1322" t="str">
        <f t="shared" si="1"/>
        <v>London</v>
      </c>
      <c r="B108" s="1321" t="s">
        <v>3179</v>
      </c>
      <c r="C108" s="1322">
        <f>INDEX('LOCAL DATASET'!$C$376:$ALZ$376,1,ROW(C108)-1)</f>
        <v>1</v>
      </c>
    </row>
    <row r="109" spans="1:3">
      <c r="A109" s="1322" t="str">
        <f t="shared" si="1"/>
        <v>London</v>
      </c>
      <c r="B109" s="1321" t="s">
        <v>3180</v>
      </c>
      <c r="C109" s="1322">
        <f>INDEX('LOCAL DATASET'!$C$376:$ALZ$376,1,ROW(C109)-1)</f>
        <v>1</v>
      </c>
    </row>
    <row r="110" spans="1:3">
      <c r="A110" s="1322" t="str">
        <f t="shared" si="1"/>
        <v>London</v>
      </c>
      <c r="B110" s="1321" t="s">
        <v>3181</v>
      </c>
      <c r="C110" s="1322">
        <f>INDEX('LOCAL DATASET'!$C$376:$ALZ$376,1,ROW(C110)-1)</f>
        <v>0</v>
      </c>
    </row>
    <row r="111" spans="1:3">
      <c r="A111" s="1322" t="str">
        <f t="shared" si="1"/>
        <v>London</v>
      </c>
      <c r="B111" s="1321" t="s">
        <v>3182</v>
      </c>
      <c r="C111" s="1322">
        <f>INDEX('LOCAL DATASET'!$C$376:$ALZ$376,1,ROW(C111)-1)</f>
        <v>0</v>
      </c>
    </row>
    <row r="112" spans="1:3">
      <c r="A112" s="1322" t="str">
        <f t="shared" si="1"/>
        <v>London</v>
      </c>
      <c r="B112" s="1321" t="s">
        <v>3183</v>
      </c>
      <c r="C112" s="1322">
        <f>INDEX('LOCAL DATASET'!$C$376:$ALZ$376,1,ROW(C112)-1)</f>
        <v>0</v>
      </c>
    </row>
    <row r="113" spans="1:3">
      <c r="A113" s="1322" t="str">
        <f t="shared" si="1"/>
        <v>London</v>
      </c>
      <c r="B113" s="1321" t="s">
        <v>3184</v>
      </c>
      <c r="C113" s="1322">
        <f>INDEX('LOCAL DATASET'!$C$376:$ALZ$376,1,ROW(C113)-1)</f>
        <v>0</v>
      </c>
    </row>
    <row r="114" spans="1:3">
      <c r="A114" s="1322" t="str">
        <f t="shared" si="1"/>
        <v>London</v>
      </c>
      <c r="B114" s="1321" t="s">
        <v>3185</v>
      </c>
      <c r="C114" s="1322">
        <f>INDEX('LOCAL DATASET'!$C$376:$ALZ$376,1,ROW(C114)-1)</f>
        <v>0</v>
      </c>
    </row>
    <row r="115" spans="1:3">
      <c r="A115" s="1322" t="str">
        <f t="shared" si="1"/>
        <v>London</v>
      </c>
      <c r="B115" s="1321" t="s">
        <v>3186</v>
      </c>
      <c r="C115" s="1322">
        <f>INDEX('LOCAL DATASET'!$C$376:$ALZ$376,1,ROW(C115)-1)</f>
        <v>100</v>
      </c>
    </row>
    <row r="116" spans="1:3">
      <c r="A116" s="1322" t="str">
        <f t="shared" si="1"/>
        <v>London</v>
      </c>
      <c r="B116" s="1321" t="s">
        <v>3187</v>
      </c>
      <c r="C116" s="1322">
        <f>INDEX('LOCAL DATASET'!$C$376:$ALZ$376,1,ROW(C116)-1)</f>
        <v>18</v>
      </c>
    </row>
    <row r="117" spans="1:3">
      <c r="A117" s="1322" t="str">
        <f t="shared" si="1"/>
        <v>London</v>
      </c>
      <c r="B117" s="1321" t="s">
        <v>3188</v>
      </c>
      <c r="C117" s="1322">
        <f>INDEX('LOCAL DATASET'!$C$376:$ALZ$376,1,ROW(C117)-1)</f>
        <v>0</v>
      </c>
    </row>
    <row r="118" spans="1:3">
      <c r="A118" s="1322" t="str">
        <f t="shared" si="1"/>
        <v>London</v>
      </c>
      <c r="B118" s="1321" t="s">
        <v>3189</v>
      </c>
      <c r="C118" s="1322">
        <f>INDEX('LOCAL DATASET'!$C$376:$ALZ$376,1,ROW(C118)-1)</f>
        <v>0</v>
      </c>
    </row>
    <row r="119" spans="1:3">
      <c r="A119" s="1322" t="str">
        <f t="shared" si="1"/>
        <v>London</v>
      </c>
      <c r="B119" s="1321" t="s">
        <v>3190</v>
      </c>
      <c r="C119" s="1322">
        <f>INDEX('LOCAL DATASET'!$C$376:$ALZ$376,1,ROW(C119)-1)</f>
        <v>0</v>
      </c>
    </row>
    <row r="120" spans="1:3">
      <c r="A120" s="1322" t="str">
        <f t="shared" si="1"/>
        <v>London</v>
      </c>
      <c r="B120" s="1321" t="s">
        <v>3191</v>
      </c>
      <c r="C120" s="1322">
        <f>INDEX('LOCAL DATASET'!$C$376:$ALZ$376,1,ROW(C120)-1)</f>
        <v>0</v>
      </c>
    </row>
    <row r="121" spans="1:3">
      <c r="A121" s="1322" t="str">
        <f t="shared" si="1"/>
        <v>London</v>
      </c>
      <c r="B121" s="1321" t="s">
        <v>3192</v>
      </c>
      <c r="C121" s="1322">
        <f>INDEX('LOCAL DATASET'!$C$376:$ALZ$376,1,ROW(C121)-1)</f>
        <v>0</v>
      </c>
    </row>
    <row r="122" spans="1:3">
      <c r="A122" s="1322" t="str">
        <f t="shared" si="1"/>
        <v>London</v>
      </c>
      <c r="B122" s="1321" t="s">
        <v>3193</v>
      </c>
      <c r="C122" s="1322">
        <f>INDEX('LOCAL DATASET'!$C$376:$ALZ$376,1,ROW(C122)-1)</f>
        <v>0</v>
      </c>
    </row>
    <row r="123" spans="1:3">
      <c r="A123" s="1322" t="str">
        <f t="shared" si="1"/>
        <v>London</v>
      </c>
      <c r="B123" s="1321" t="s">
        <v>3194</v>
      </c>
      <c r="C123" s="1322">
        <f>INDEX('LOCAL DATASET'!$C$376:$ALZ$376,1,ROW(C123)-1)</f>
        <v>0</v>
      </c>
    </row>
    <row r="124" spans="1:3">
      <c r="A124" s="1322" t="str">
        <f t="shared" si="1"/>
        <v>London</v>
      </c>
      <c r="B124" s="1321" t="s">
        <v>3195</v>
      </c>
      <c r="C124" s="1322">
        <f>INDEX('LOCAL DATASET'!$C$376:$ALZ$376,1,ROW(C124)-1)</f>
        <v>0</v>
      </c>
    </row>
    <row r="125" spans="1:3">
      <c r="A125" s="1322" t="str">
        <f t="shared" si="1"/>
        <v>London</v>
      </c>
      <c r="B125" s="1321" t="s">
        <v>3196</v>
      </c>
      <c r="C125" s="1322">
        <f>INDEX('LOCAL DATASET'!$C$376:$ALZ$376,1,ROW(C125)-1)</f>
        <v>0</v>
      </c>
    </row>
    <row r="126" spans="1:3">
      <c r="A126" s="1322" t="str">
        <f t="shared" si="1"/>
        <v>London</v>
      </c>
      <c r="B126" s="1321" t="s">
        <v>3197</v>
      </c>
      <c r="C126" s="1322">
        <f>INDEX('LOCAL DATASET'!$C$376:$ALZ$376,1,ROW(C126)-1)</f>
        <v>0</v>
      </c>
    </row>
    <row r="127" spans="1:3">
      <c r="A127" s="1322" t="str">
        <f t="shared" si="1"/>
        <v>London</v>
      </c>
      <c r="B127" s="1321" t="s">
        <v>3198</v>
      </c>
      <c r="C127" s="1322">
        <f>INDEX('LOCAL DATASET'!$C$376:$ALZ$376,1,ROW(C127)-1)</f>
        <v>0</v>
      </c>
    </row>
    <row r="128" spans="1:3">
      <c r="A128" s="1322" t="str">
        <f t="shared" si="1"/>
        <v>London</v>
      </c>
      <c r="B128" s="1321" t="s">
        <v>3199</v>
      </c>
      <c r="C128" s="1322">
        <f>INDEX('LOCAL DATASET'!$C$376:$ALZ$376,1,ROW(C128)-1)</f>
        <v>0</v>
      </c>
    </row>
    <row r="129" spans="1:3">
      <c r="A129" s="1322" t="str">
        <f t="shared" si="1"/>
        <v>London</v>
      </c>
      <c r="B129" s="1321" t="s">
        <v>3200</v>
      </c>
      <c r="C129" s="1322">
        <f>INDEX('LOCAL DATASET'!$C$376:$ALZ$376,1,ROW(C129)-1)</f>
        <v>0</v>
      </c>
    </row>
    <row r="130" spans="1:3">
      <c r="A130" s="1322" t="str">
        <f t="shared" si="1"/>
        <v>London</v>
      </c>
      <c r="B130" s="1321" t="s">
        <v>3201</v>
      </c>
      <c r="C130" s="1322">
        <f>INDEX('LOCAL DATASET'!$C$376:$ALZ$376,1,ROW(C130)-1)</f>
        <v>0</v>
      </c>
    </row>
    <row r="131" spans="1:3">
      <c r="A131" s="1322" t="str">
        <f t="shared" si="1"/>
        <v>London</v>
      </c>
      <c r="B131" s="1321" t="s">
        <v>3202</v>
      </c>
      <c r="C131" s="1322">
        <f>INDEX('LOCAL DATASET'!$C$376:$ALZ$376,1,ROW(C131)-1)</f>
        <v>0</v>
      </c>
    </row>
    <row r="132" spans="1:3">
      <c r="A132" s="1322" t="str">
        <f t="shared" ref="A132:A195" si="2">A131</f>
        <v>London</v>
      </c>
      <c r="B132" s="1321" t="s">
        <v>3203</v>
      </c>
      <c r="C132" s="1322">
        <f>INDEX('LOCAL DATASET'!$C$376:$ALZ$376,1,ROW(C132)-1)</f>
        <v>0</v>
      </c>
    </row>
    <row r="133" spans="1:3">
      <c r="A133" s="1322" t="str">
        <f t="shared" si="2"/>
        <v>London</v>
      </c>
      <c r="B133" s="1321" t="s">
        <v>3204</v>
      </c>
      <c r="C133" s="1322">
        <f>INDEX('LOCAL DATASET'!$C$376:$ALZ$376,1,ROW(C133)-1)</f>
        <v>0</v>
      </c>
    </row>
    <row r="134" spans="1:3">
      <c r="A134" s="1322" t="str">
        <f t="shared" si="2"/>
        <v>London</v>
      </c>
      <c r="B134" s="1321" t="s">
        <v>3205</v>
      </c>
      <c r="C134" s="1322">
        <f>INDEX('LOCAL DATASET'!$C$376:$ALZ$376,1,ROW(C134)-1)</f>
        <v>0</v>
      </c>
    </row>
    <row r="135" spans="1:3">
      <c r="A135" s="1322" t="str">
        <f t="shared" si="2"/>
        <v>London</v>
      </c>
      <c r="B135" s="1321" t="s">
        <v>3206</v>
      </c>
      <c r="C135" s="1322">
        <f>INDEX('LOCAL DATASET'!$C$376:$ALZ$376,1,ROW(C135)-1)</f>
        <v>100</v>
      </c>
    </row>
    <row r="136" spans="1:3">
      <c r="A136" s="1322" t="str">
        <f t="shared" si="2"/>
        <v>London</v>
      </c>
      <c r="B136" s="1321" t="s">
        <v>3207</v>
      </c>
      <c r="C136" s="1322">
        <f>INDEX('LOCAL DATASET'!$C$376:$ALZ$376,1,ROW(C136)-1)</f>
        <v>18</v>
      </c>
    </row>
    <row r="137" spans="1:3">
      <c r="A137" s="1322" t="str">
        <f t="shared" si="2"/>
        <v>London</v>
      </c>
      <c r="B137" s="1321" t="s">
        <v>3208</v>
      </c>
      <c r="C137" s="1322">
        <f>INDEX('LOCAL DATASET'!$C$376:$ALZ$376,1,ROW(C137)-1)</f>
        <v>0</v>
      </c>
    </row>
    <row r="138" spans="1:3">
      <c r="A138" s="1322" t="str">
        <f t="shared" si="2"/>
        <v>London</v>
      </c>
      <c r="B138" s="1321" t="s">
        <v>3209</v>
      </c>
      <c r="C138" s="1322">
        <f>INDEX('LOCAL DATASET'!$C$376:$ALZ$376,1,ROW(C138)-1)</f>
        <v>0</v>
      </c>
    </row>
    <row r="139" spans="1:3">
      <c r="A139" s="1322" t="str">
        <f t="shared" si="2"/>
        <v>London</v>
      </c>
      <c r="B139" s="1321" t="s">
        <v>3210</v>
      </c>
      <c r="C139" s="1322">
        <f>INDEX('LOCAL DATASET'!$C$376:$ALZ$376,1,ROW(C139)-1)</f>
        <v>0</v>
      </c>
    </row>
    <row r="140" spans="1:3">
      <c r="A140" s="1322" t="str">
        <f t="shared" si="2"/>
        <v>London</v>
      </c>
      <c r="B140" s="1321" t="s">
        <v>3211</v>
      </c>
      <c r="C140" s="1322">
        <f>INDEX('LOCAL DATASET'!$C$376:$ALZ$376,1,ROW(C140)-1)</f>
        <v>0</v>
      </c>
    </row>
    <row r="141" spans="1:3">
      <c r="A141" s="1322" t="str">
        <f t="shared" si="2"/>
        <v>London</v>
      </c>
      <c r="B141" s="1321" t="s">
        <v>3212</v>
      </c>
      <c r="C141" s="1322">
        <f>INDEX('LOCAL DATASET'!$C$376:$ALZ$376,1,ROW(C141)-1)</f>
        <v>0</v>
      </c>
    </row>
    <row r="142" spans="1:3">
      <c r="A142" s="1322" t="str">
        <f t="shared" si="2"/>
        <v>London</v>
      </c>
      <c r="B142" s="1321" t="s">
        <v>3213</v>
      </c>
      <c r="C142" s="1322">
        <f>INDEX('LOCAL DATASET'!$C$376:$ALZ$376,1,ROW(C142)-1)</f>
        <v>0</v>
      </c>
    </row>
    <row r="143" spans="1:3">
      <c r="A143" s="1322" t="str">
        <f t="shared" si="2"/>
        <v>London</v>
      </c>
      <c r="B143" s="1321" t="s">
        <v>3214</v>
      </c>
      <c r="C143" s="1322">
        <f>INDEX('LOCAL DATASET'!$C$376:$ALZ$376,1,ROW(C143)-1)</f>
        <v>0</v>
      </c>
    </row>
    <row r="144" spans="1:3">
      <c r="A144" s="1322" t="str">
        <f t="shared" si="2"/>
        <v>London</v>
      </c>
      <c r="B144" s="1321" t="s">
        <v>3215</v>
      </c>
      <c r="C144" s="1322">
        <f>INDEX('LOCAL DATASET'!$C$376:$ALZ$376,1,ROW(C144)-1)</f>
        <v>0</v>
      </c>
    </row>
    <row r="145" spans="1:3">
      <c r="A145" s="1322" t="str">
        <f t="shared" si="2"/>
        <v>London</v>
      </c>
      <c r="B145" s="1321" t="s">
        <v>3216</v>
      </c>
      <c r="C145" s="1322">
        <f>INDEX('LOCAL DATASET'!$C$376:$ALZ$376,1,ROW(C145)-1)</f>
        <v>0</v>
      </c>
    </row>
    <row r="146" spans="1:3">
      <c r="A146" s="1322" t="str">
        <f t="shared" si="2"/>
        <v>London</v>
      </c>
      <c r="B146" s="1321" t="s">
        <v>3217</v>
      </c>
      <c r="C146" s="1322">
        <f>INDEX('LOCAL DATASET'!$C$376:$ALZ$376,1,ROW(C146)-1)</f>
        <v>0</v>
      </c>
    </row>
    <row r="147" spans="1:3">
      <c r="A147" s="1322" t="str">
        <f t="shared" si="2"/>
        <v>London</v>
      </c>
      <c r="B147" s="1321" t="s">
        <v>3218</v>
      </c>
      <c r="C147" s="1322">
        <f>INDEX('LOCAL DATASET'!$C$376:$ALZ$376,1,ROW(C147)-1)</f>
        <v>0</v>
      </c>
    </row>
    <row r="148" spans="1:3">
      <c r="A148" s="1322" t="str">
        <f t="shared" si="2"/>
        <v>London</v>
      </c>
      <c r="B148" s="1321" t="s">
        <v>3219</v>
      </c>
      <c r="C148" s="1322">
        <f>INDEX('LOCAL DATASET'!$C$376:$ALZ$376,1,ROW(C148)-1)</f>
        <v>0</v>
      </c>
    </row>
    <row r="149" spans="1:3">
      <c r="A149" s="1322" t="str">
        <f t="shared" si="2"/>
        <v>London</v>
      </c>
      <c r="B149" s="1321" t="s">
        <v>3220</v>
      </c>
      <c r="C149" s="1322">
        <f>INDEX('LOCAL DATASET'!$C$376:$ALZ$376,1,ROW(C149)-1)</f>
        <v>0</v>
      </c>
    </row>
    <row r="150" spans="1:3">
      <c r="A150" s="1322" t="str">
        <f t="shared" si="2"/>
        <v>London</v>
      </c>
      <c r="B150" s="1321" t="s">
        <v>3221</v>
      </c>
      <c r="C150" s="1322">
        <f>INDEX('LOCAL DATASET'!$C$376:$ALZ$376,1,ROW(C150)-1)</f>
        <v>0</v>
      </c>
    </row>
    <row r="151" spans="1:3">
      <c r="A151" s="1322" t="str">
        <f t="shared" si="2"/>
        <v>London</v>
      </c>
      <c r="B151" s="1321" t="s">
        <v>3222</v>
      </c>
      <c r="C151" s="1322">
        <f>INDEX('LOCAL DATASET'!$C$376:$ALZ$376,1,ROW(C151)-1)</f>
        <v>0</v>
      </c>
    </row>
    <row r="152" spans="1:3">
      <c r="A152" s="1322" t="str">
        <f t="shared" si="2"/>
        <v>London</v>
      </c>
      <c r="B152" s="1321" t="s">
        <v>3223</v>
      </c>
      <c r="C152" s="1322">
        <f>INDEX('LOCAL DATASET'!$C$376:$ALZ$376,1,ROW(C152)-1)</f>
        <v>0</v>
      </c>
    </row>
    <row r="153" spans="1:3">
      <c r="A153" s="1322" t="str">
        <f t="shared" si="2"/>
        <v>London</v>
      </c>
      <c r="B153" s="1321" t="s">
        <v>3224</v>
      </c>
      <c r="C153" s="1322">
        <f>INDEX('LOCAL DATASET'!$C$376:$ALZ$376,1,ROW(C153)-1)</f>
        <v>0</v>
      </c>
    </row>
    <row r="154" spans="1:3">
      <c r="A154" s="1322" t="str">
        <f t="shared" si="2"/>
        <v>London</v>
      </c>
      <c r="B154" s="1321" t="s">
        <v>3225</v>
      </c>
      <c r="C154" s="1322">
        <f>INDEX('LOCAL DATASET'!$C$376:$ALZ$376,1,ROW(C154)-1)</f>
        <v>0</v>
      </c>
    </row>
    <row r="155" spans="1:3">
      <c r="A155" s="1322" t="str">
        <f t="shared" si="2"/>
        <v>London</v>
      </c>
      <c r="B155" s="1321" t="s">
        <v>3226</v>
      </c>
      <c r="C155" s="1322">
        <f>INDEX('LOCAL DATASET'!$C$376:$ALZ$376,1,ROW(C155)-1)</f>
        <v>0</v>
      </c>
    </row>
    <row r="156" spans="1:3">
      <c r="A156" s="1322" t="str">
        <f t="shared" si="2"/>
        <v>London</v>
      </c>
      <c r="B156" s="1321" t="s">
        <v>3227</v>
      </c>
      <c r="C156" s="1322">
        <f>INDEX('LOCAL DATASET'!$C$376:$ALZ$376,1,ROW(C156)-1)</f>
        <v>0</v>
      </c>
    </row>
    <row r="157" spans="1:3">
      <c r="A157" s="1322" t="str">
        <f t="shared" si="2"/>
        <v>London</v>
      </c>
      <c r="B157" s="1321" t="s">
        <v>3228</v>
      </c>
      <c r="C157" s="1322">
        <f>INDEX('LOCAL DATASET'!$C$376:$ALZ$376,1,ROW(C157)-1)</f>
        <v>0</v>
      </c>
    </row>
    <row r="158" spans="1:3">
      <c r="A158" s="1322" t="str">
        <f t="shared" si="2"/>
        <v>London</v>
      </c>
      <c r="B158" s="1321" t="s">
        <v>3229</v>
      </c>
      <c r="C158" s="1322">
        <f>INDEX('LOCAL DATASET'!$C$376:$ALZ$376,1,ROW(C158)-1)</f>
        <v>0</v>
      </c>
    </row>
    <row r="159" spans="1:3">
      <c r="A159" s="1322" t="str">
        <f t="shared" si="2"/>
        <v>London</v>
      </c>
      <c r="B159" s="1321" t="s">
        <v>3230</v>
      </c>
      <c r="C159" s="1322">
        <f>INDEX('LOCAL DATASET'!$C$376:$ALZ$376,1,ROW(C159)-1)</f>
        <v>0</v>
      </c>
    </row>
    <row r="160" spans="1:3">
      <c r="A160" s="1322" t="str">
        <f t="shared" si="2"/>
        <v>London</v>
      </c>
      <c r="B160" s="1321" t="s">
        <v>3231</v>
      </c>
      <c r="C160" s="1322">
        <f>INDEX('LOCAL DATASET'!$C$376:$ALZ$376,1,ROW(C160)-1)</f>
        <v>0</v>
      </c>
    </row>
    <row r="161" spans="1:3">
      <c r="A161" s="1322" t="str">
        <f t="shared" si="2"/>
        <v>London</v>
      </c>
      <c r="B161" s="1321" t="s">
        <v>3232</v>
      </c>
      <c r="C161" s="1322">
        <f>INDEX('LOCAL DATASET'!$C$376:$ALZ$376,1,ROW(C161)-1)</f>
        <v>0</v>
      </c>
    </row>
    <row r="162" spans="1:3">
      <c r="A162" s="1322" t="str">
        <f t="shared" si="2"/>
        <v>London</v>
      </c>
      <c r="B162" s="1321" t="s">
        <v>3233</v>
      </c>
      <c r="C162" s="1322">
        <f>INDEX('LOCAL DATASET'!$C$376:$ALZ$376,1,ROW(C162)-1)</f>
        <v>0</v>
      </c>
    </row>
    <row r="163" spans="1:3">
      <c r="A163" s="1322" t="str">
        <f t="shared" si="2"/>
        <v>London</v>
      </c>
      <c r="B163" s="1321" t="s">
        <v>3234</v>
      </c>
      <c r="C163" s="1322">
        <f>INDEX('LOCAL DATASET'!$C$376:$ALZ$376,1,ROW(C163)-1)</f>
        <v>0</v>
      </c>
    </row>
    <row r="164" spans="1:3">
      <c r="A164" s="1322" t="str">
        <f t="shared" si="2"/>
        <v>London</v>
      </c>
      <c r="B164" s="1321" t="s">
        <v>3235</v>
      </c>
      <c r="C164" s="1322">
        <f>INDEX('LOCAL DATASET'!$C$376:$ALZ$376,1,ROW(C164)-1)</f>
        <v>0</v>
      </c>
    </row>
    <row r="165" spans="1:3">
      <c r="A165" s="1322" t="str">
        <f t="shared" si="2"/>
        <v>London</v>
      </c>
      <c r="B165" s="1321" t="s">
        <v>3236</v>
      </c>
      <c r="C165" s="1322">
        <f>INDEX('LOCAL DATASET'!$C$376:$ALZ$376,1,ROW(C165)-1)</f>
        <v>0</v>
      </c>
    </row>
    <row r="166" spans="1:3">
      <c r="A166" s="1322" t="str">
        <f t="shared" si="2"/>
        <v>London</v>
      </c>
      <c r="B166" s="1321" t="s">
        <v>3237</v>
      </c>
      <c r="C166" s="1322">
        <f>INDEX('LOCAL DATASET'!$C$376:$ALZ$376,1,ROW(C166)-1)</f>
        <v>0</v>
      </c>
    </row>
    <row r="167" spans="1:3">
      <c r="A167" s="1322" t="str">
        <f t="shared" si="2"/>
        <v>London</v>
      </c>
      <c r="B167" s="1321" t="s">
        <v>3238</v>
      </c>
      <c r="C167" s="1322">
        <f>INDEX('LOCAL DATASET'!$C$376:$ALZ$376,1,ROW(C167)-1)</f>
        <v>0</v>
      </c>
    </row>
    <row r="168" spans="1:3">
      <c r="A168" s="1322" t="str">
        <f t="shared" si="2"/>
        <v>London</v>
      </c>
      <c r="B168" s="1321" t="s">
        <v>3239</v>
      </c>
      <c r="C168" s="1322">
        <f>INDEX('LOCAL DATASET'!$C$376:$ALZ$376,1,ROW(C168)-1)</f>
        <v>0</v>
      </c>
    </row>
    <row r="169" spans="1:3">
      <c r="A169" s="1322" t="str">
        <f t="shared" si="2"/>
        <v>London</v>
      </c>
      <c r="B169" s="1321" t="s">
        <v>3240</v>
      </c>
      <c r="C169" s="1322">
        <f>INDEX('LOCAL DATASET'!$C$376:$ALZ$376,1,ROW(C169)-1)</f>
        <v>0</v>
      </c>
    </row>
    <row r="170" spans="1:3">
      <c r="A170" s="1322" t="str">
        <f t="shared" si="2"/>
        <v>London</v>
      </c>
      <c r="B170" s="1321" t="s">
        <v>3241</v>
      </c>
      <c r="C170" s="1322">
        <f>INDEX('LOCAL DATASET'!$C$376:$ALZ$376,1,ROW(C170)-1)</f>
        <v>0</v>
      </c>
    </row>
    <row r="171" spans="1:3">
      <c r="A171" s="1322" t="str">
        <f t="shared" si="2"/>
        <v>London</v>
      </c>
      <c r="B171" s="1321" t="s">
        <v>3242</v>
      </c>
      <c r="C171" s="1322">
        <f>INDEX('LOCAL DATASET'!$C$376:$ALZ$376,1,ROW(C171)-1)</f>
        <v>0</v>
      </c>
    </row>
    <row r="172" spans="1:3">
      <c r="A172" s="1322" t="str">
        <f t="shared" si="2"/>
        <v>London</v>
      </c>
      <c r="B172" s="1321" t="s">
        <v>3243</v>
      </c>
      <c r="C172" s="1322">
        <f>INDEX('LOCAL DATASET'!$C$376:$ALZ$376,1,ROW(C172)-1)</f>
        <v>0</v>
      </c>
    </row>
    <row r="173" spans="1:3">
      <c r="A173" s="1322" t="str">
        <f t="shared" si="2"/>
        <v>London</v>
      </c>
      <c r="B173" s="1321" t="s">
        <v>3244</v>
      </c>
      <c r="C173" s="1322">
        <f>INDEX('LOCAL DATASET'!$C$376:$ALZ$376,1,ROW(C173)-1)</f>
        <v>0</v>
      </c>
    </row>
    <row r="174" spans="1:3">
      <c r="A174" s="1322" t="str">
        <f t="shared" si="2"/>
        <v>London</v>
      </c>
      <c r="B174" s="1321" t="s">
        <v>3245</v>
      </c>
      <c r="C174" s="1322">
        <f>INDEX('LOCAL DATASET'!$C$376:$ALZ$376,1,ROW(C174)-1)</f>
        <v>0</v>
      </c>
    </row>
    <row r="175" spans="1:3">
      <c r="A175" s="1322" t="str">
        <f t="shared" si="2"/>
        <v>London</v>
      </c>
      <c r="B175" s="1321" t="s">
        <v>3246</v>
      </c>
      <c r="C175" s="1322">
        <f>INDEX('LOCAL DATASET'!$C$376:$ALZ$376,1,ROW(C175)-1)</f>
        <v>0</v>
      </c>
    </row>
    <row r="176" spans="1:3">
      <c r="A176" s="1322" t="str">
        <f t="shared" si="2"/>
        <v>London</v>
      </c>
      <c r="B176" s="1321" t="s">
        <v>3247</v>
      </c>
      <c r="C176" s="1322">
        <f>INDEX('LOCAL DATASET'!$C$376:$ALZ$376,1,ROW(C176)-1)</f>
        <v>0</v>
      </c>
    </row>
    <row r="177" spans="1:3">
      <c r="A177" s="1322" t="str">
        <f t="shared" si="2"/>
        <v>London</v>
      </c>
      <c r="B177" s="1321" t="s">
        <v>3248</v>
      </c>
      <c r="C177" s="1322">
        <f>INDEX('LOCAL DATASET'!$C$376:$ALZ$376,1,ROW(C177)-1)</f>
        <v>0</v>
      </c>
    </row>
    <row r="178" spans="1:3">
      <c r="A178" s="1322" t="str">
        <f t="shared" si="2"/>
        <v>London</v>
      </c>
      <c r="B178" s="1321" t="s">
        <v>3249</v>
      </c>
      <c r="C178" s="1322">
        <f>INDEX('LOCAL DATASET'!$C$376:$ALZ$376,1,ROW(C178)-1)</f>
        <v>0</v>
      </c>
    </row>
    <row r="179" spans="1:3">
      <c r="A179" s="1322" t="str">
        <f t="shared" si="2"/>
        <v>London</v>
      </c>
      <c r="B179" s="1321" t="s">
        <v>3250</v>
      </c>
      <c r="C179" s="1322">
        <f>INDEX('LOCAL DATASET'!$C$376:$ALZ$376,1,ROW(C179)-1)</f>
        <v>0</v>
      </c>
    </row>
    <row r="180" spans="1:3">
      <c r="A180" s="1322" t="str">
        <f t="shared" si="2"/>
        <v>London</v>
      </c>
      <c r="B180" s="1321" t="s">
        <v>3251</v>
      </c>
      <c r="C180" s="1322">
        <f>INDEX('LOCAL DATASET'!$C$376:$ALZ$376,1,ROW(C180)-1)</f>
        <v>0</v>
      </c>
    </row>
    <row r="181" spans="1:3">
      <c r="A181" s="1322" t="str">
        <f t="shared" si="2"/>
        <v>London</v>
      </c>
      <c r="B181" s="1321" t="s">
        <v>3252</v>
      </c>
      <c r="C181" s="1322">
        <f>INDEX('LOCAL DATASET'!$C$376:$ALZ$376,1,ROW(C181)-1)</f>
        <v>0</v>
      </c>
    </row>
    <row r="182" spans="1:3">
      <c r="A182" s="1322" t="str">
        <f t="shared" si="2"/>
        <v>London</v>
      </c>
      <c r="B182" s="1321" t="s">
        <v>3253</v>
      </c>
      <c r="C182" s="1322">
        <f>INDEX('LOCAL DATASET'!$C$376:$ALZ$376,1,ROW(C182)-1)</f>
        <v>0</v>
      </c>
    </row>
    <row r="183" spans="1:3">
      <c r="A183" s="1322" t="str">
        <f t="shared" si="2"/>
        <v>London</v>
      </c>
      <c r="B183" s="1321" t="s">
        <v>3254</v>
      </c>
      <c r="C183" s="1322">
        <f>INDEX('LOCAL DATASET'!$C$376:$ALZ$376,1,ROW(C183)-1)</f>
        <v>0</v>
      </c>
    </row>
    <row r="184" spans="1:3">
      <c r="A184" s="1322" t="str">
        <f t="shared" si="2"/>
        <v>London</v>
      </c>
      <c r="B184" s="1321" t="s">
        <v>3255</v>
      </c>
      <c r="C184" s="1322">
        <f>INDEX('LOCAL DATASET'!$C$376:$ALZ$376,1,ROW(C184)-1)</f>
        <v>0</v>
      </c>
    </row>
    <row r="185" spans="1:3">
      <c r="A185" s="1322" t="str">
        <f t="shared" si="2"/>
        <v>London</v>
      </c>
      <c r="B185" s="1321" t="s">
        <v>3256</v>
      </c>
      <c r="C185" s="1322">
        <f>INDEX('LOCAL DATASET'!$C$376:$ALZ$376,1,ROW(C185)-1)</f>
        <v>0</v>
      </c>
    </row>
    <row r="186" spans="1:3">
      <c r="A186" s="1322" t="str">
        <f t="shared" si="2"/>
        <v>London</v>
      </c>
      <c r="B186" s="1321" t="s">
        <v>3257</v>
      </c>
      <c r="C186" s="1322">
        <f>INDEX('LOCAL DATASET'!$C$376:$ALZ$376,1,ROW(C186)-1)</f>
        <v>0</v>
      </c>
    </row>
    <row r="187" spans="1:3">
      <c r="A187" s="1322" t="str">
        <f t="shared" si="2"/>
        <v>London</v>
      </c>
      <c r="B187" s="1321" t="s">
        <v>3258</v>
      </c>
      <c r="C187" s="1322">
        <f>INDEX('LOCAL DATASET'!$C$376:$ALZ$376,1,ROW(C187)-1)</f>
        <v>0</v>
      </c>
    </row>
    <row r="188" spans="1:3">
      <c r="A188" s="1322" t="str">
        <f t="shared" si="2"/>
        <v>London</v>
      </c>
      <c r="B188" s="1321" t="s">
        <v>3259</v>
      </c>
      <c r="C188" s="1322">
        <f>INDEX('LOCAL DATASET'!$C$376:$ALZ$376,1,ROW(C188)-1)</f>
        <v>0</v>
      </c>
    </row>
    <row r="189" spans="1:3">
      <c r="A189" s="1322" t="str">
        <f t="shared" si="2"/>
        <v>London</v>
      </c>
      <c r="B189" s="1321" t="s">
        <v>3260</v>
      </c>
      <c r="C189" s="1322">
        <f>INDEX('LOCAL DATASET'!$C$376:$ALZ$376,1,ROW(C189)-1)</f>
        <v>0</v>
      </c>
    </row>
    <row r="190" spans="1:3">
      <c r="A190" s="1322" t="str">
        <f t="shared" si="2"/>
        <v>London</v>
      </c>
      <c r="B190" s="1321" t="s">
        <v>3261</v>
      </c>
      <c r="C190" s="1322">
        <f>INDEX('LOCAL DATASET'!$C$376:$ALZ$376,1,ROW(C190)-1)</f>
        <v>0</v>
      </c>
    </row>
    <row r="191" spans="1:3">
      <c r="A191" s="1322" t="str">
        <f t="shared" si="2"/>
        <v>London</v>
      </c>
      <c r="B191" s="1321" t="s">
        <v>3262</v>
      </c>
      <c r="C191" s="1322">
        <f>INDEX('LOCAL DATASET'!$C$376:$ALZ$376,1,ROW(C191)-1)</f>
        <v>0</v>
      </c>
    </row>
    <row r="192" spans="1:3">
      <c r="A192" s="1322" t="str">
        <f t="shared" si="2"/>
        <v>London</v>
      </c>
      <c r="B192" s="1321" t="s">
        <v>3263</v>
      </c>
      <c r="C192" s="1322">
        <f>INDEX('LOCAL DATASET'!$C$376:$ALZ$376,1,ROW(C192)-1)</f>
        <v>0</v>
      </c>
    </row>
    <row r="193" spans="1:3">
      <c r="A193" s="1322" t="str">
        <f t="shared" si="2"/>
        <v>London</v>
      </c>
      <c r="B193" s="1321" t="s">
        <v>3264</v>
      </c>
      <c r="C193" s="1322">
        <f>INDEX('LOCAL DATASET'!$C$376:$ALZ$376,1,ROW(C193)-1)</f>
        <v>0</v>
      </c>
    </row>
    <row r="194" spans="1:3">
      <c r="A194" s="1322" t="str">
        <f t="shared" si="2"/>
        <v>London</v>
      </c>
      <c r="B194" s="1321" t="s">
        <v>3265</v>
      </c>
      <c r="C194" s="1322">
        <f>INDEX('LOCAL DATASET'!$C$376:$ALZ$376,1,ROW(C194)-1)</f>
        <v>0</v>
      </c>
    </row>
    <row r="195" spans="1:3">
      <c r="A195" s="1322" t="str">
        <f t="shared" si="2"/>
        <v>London</v>
      </c>
      <c r="B195" s="1321" t="s">
        <v>3266</v>
      </c>
      <c r="C195" s="1322">
        <f>INDEX('LOCAL DATASET'!$C$376:$ALZ$376,1,ROW(C195)-1)</f>
        <v>0</v>
      </c>
    </row>
    <row r="196" spans="1:3">
      <c r="A196" s="1322" t="str">
        <f t="shared" ref="A196:A259" si="3">A195</f>
        <v>London</v>
      </c>
      <c r="B196" s="1321" t="s">
        <v>3267</v>
      </c>
      <c r="C196" s="1322">
        <f>INDEX('LOCAL DATASET'!$C$376:$ALZ$376,1,ROW(C196)-1)</f>
        <v>0</v>
      </c>
    </row>
    <row r="197" spans="1:3">
      <c r="A197" s="1322" t="str">
        <f t="shared" si="3"/>
        <v>London</v>
      </c>
      <c r="B197" s="1321" t="s">
        <v>3268</v>
      </c>
      <c r="C197" s="1322">
        <f>INDEX('LOCAL DATASET'!$C$376:$ALZ$376,1,ROW(C197)-1)</f>
        <v>0</v>
      </c>
    </row>
    <row r="198" spans="1:3">
      <c r="A198" s="1322" t="str">
        <f t="shared" si="3"/>
        <v>London</v>
      </c>
      <c r="B198" s="1321" t="s">
        <v>3269</v>
      </c>
      <c r="C198" s="1322">
        <f>INDEX('LOCAL DATASET'!$C$376:$ALZ$376,1,ROW(C198)-1)</f>
        <v>0</v>
      </c>
    </row>
    <row r="199" spans="1:3">
      <c r="A199" s="1322" t="str">
        <f t="shared" si="3"/>
        <v>London</v>
      </c>
      <c r="B199" s="1321" t="s">
        <v>3270</v>
      </c>
      <c r="C199" s="1322">
        <f>INDEX('LOCAL DATASET'!$C$376:$ALZ$376,1,ROW(C199)-1)</f>
        <v>0</v>
      </c>
    </row>
    <row r="200" spans="1:3">
      <c r="A200" s="1322" t="str">
        <f t="shared" si="3"/>
        <v>London</v>
      </c>
      <c r="B200" s="1321" t="s">
        <v>3271</v>
      </c>
      <c r="C200" s="1322">
        <f>INDEX('LOCAL DATASET'!$C$376:$ALZ$376,1,ROW(C200)-1)</f>
        <v>0</v>
      </c>
    </row>
    <row r="201" spans="1:3">
      <c r="A201" s="1322" t="str">
        <f t="shared" si="3"/>
        <v>London</v>
      </c>
      <c r="B201" s="1321" t="s">
        <v>3272</v>
      </c>
      <c r="C201" s="1322">
        <f>INDEX('LOCAL DATASET'!$C$376:$ALZ$376,1,ROW(C201)-1)</f>
        <v>0</v>
      </c>
    </row>
    <row r="202" spans="1:3">
      <c r="A202" s="1322" t="str">
        <f t="shared" si="3"/>
        <v>London</v>
      </c>
      <c r="B202" s="1321" t="s">
        <v>3273</v>
      </c>
      <c r="C202" s="1322">
        <f>INDEX('LOCAL DATASET'!$C$376:$ALZ$376,1,ROW(C202)-1)</f>
        <v>0</v>
      </c>
    </row>
    <row r="203" spans="1:3">
      <c r="A203" s="1322" t="str">
        <f t="shared" si="3"/>
        <v>London</v>
      </c>
      <c r="B203" s="1321" t="s">
        <v>3274</v>
      </c>
      <c r="C203" s="1322">
        <f>INDEX('LOCAL DATASET'!$C$376:$ALZ$376,1,ROW(C203)-1)</f>
        <v>0</v>
      </c>
    </row>
    <row r="204" spans="1:3">
      <c r="A204" s="1322" t="str">
        <f t="shared" si="3"/>
        <v>London</v>
      </c>
      <c r="B204" s="1321" t="s">
        <v>3275</v>
      </c>
      <c r="C204" s="1322">
        <f>INDEX('LOCAL DATASET'!$C$376:$ALZ$376,1,ROW(C204)-1)</f>
        <v>0</v>
      </c>
    </row>
    <row r="205" spans="1:3">
      <c r="A205" s="1322" t="str">
        <f t="shared" si="3"/>
        <v>London</v>
      </c>
      <c r="B205" s="1321" t="s">
        <v>3276</v>
      </c>
      <c r="C205" s="1322">
        <f>INDEX('LOCAL DATASET'!$C$376:$ALZ$376,1,ROW(C205)-1)</f>
        <v>0</v>
      </c>
    </row>
    <row r="206" spans="1:3">
      <c r="A206" s="1322" t="str">
        <f t="shared" si="3"/>
        <v>London</v>
      </c>
      <c r="B206" s="1321" t="s">
        <v>3277</v>
      </c>
      <c r="C206" s="1322">
        <f>INDEX('LOCAL DATASET'!$C$376:$ALZ$376,1,ROW(C206)-1)</f>
        <v>0</v>
      </c>
    </row>
    <row r="207" spans="1:3">
      <c r="A207" s="1322" t="str">
        <f t="shared" si="3"/>
        <v>London</v>
      </c>
      <c r="B207" s="1321" t="s">
        <v>3278</v>
      </c>
      <c r="C207" s="1322">
        <f>INDEX('LOCAL DATASET'!$C$376:$ALZ$376,1,ROW(C207)-1)</f>
        <v>0</v>
      </c>
    </row>
    <row r="208" spans="1:3">
      <c r="A208" s="1322" t="str">
        <f t="shared" si="3"/>
        <v>London</v>
      </c>
      <c r="B208" s="1321" t="s">
        <v>3279</v>
      </c>
      <c r="C208" s="1322">
        <f>INDEX('LOCAL DATASET'!$C$376:$ALZ$376,1,ROW(C208)-1)</f>
        <v>0</v>
      </c>
    </row>
    <row r="209" spans="1:3">
      <c r="A209" s="1322" t="str">
        <f t="shared" si="3"/>
        <v>London</v>
      </c>
      <c r="B209" s="1321" t="s">
        <v>3280</v>
      </c>
      <c r="C209" s="1322">
        <f>INDEX('LOCAL DATASET'!$C$376:$ALZ$376,1,ROW(C209)-1)</f>
        <v>0</v>
      </c>
    </row>
    <row r="210" spans="1:3">
      <c r="A210" s="1322" t="str">
        <f t="shared" si="3"/>
        <v>London</v>
      </c>
      <c r="B210" s="1321" t="s">
        <v>3281</v>
      </c>
      <c r="C210" s="1322">
        <f>INDEX('LOCAL DATASET'!$C$376:$ALZ$376,1,ROW(C210)-1)</f>
        <v>0</v>
      </c>
    </row>
    <row r="211" spans="1:3">
      <c r="A211" s="1322" t="str">
        <f t="shared" si="3"/>
        <v>London</v>
      </c>
      <c r="B211" s="1321" t="s">
        <v>3282</v>
      </c>
      <c r="C211" s="1322">
        <f>INDEX('LOCAL DATASET'!$C$376:$ALZ$376,1,ROW(C211)-1)</f>
        <v>0</v>
      </c>
    </row>
    <row r="212" spans="1:3">
      <c r="A212" s="1322" t="str">
        <f t="shared" si="3"/>
        <v>London</v>
      </c>
      <c r="B212" s="1321" t="s">
        <v>3283</v>
      </c>
      <c r="C212" s="1322">
        <f>INDEX('LOCAL DATASET'!$C$376:$ALZ$376,1,ROW(C212)-1)</f>
        <v>0</v>
      </c>
    </row>
    <row r="213" spans="1:3">
      <c r="A213" s="1322" t="str">
        <f t="shared" si="3"/>
        <v>London</v>
      </c>
      <c r="B213" s="1321" t="s">
        <v>3284</v>
      </c>
      <c r="C213" s="1322">
        <f>INDEX('LOCAL DATASET'!$C$376:$ALZ$376,1,ROW(C213)-1)</f>
        <v>0</v>
      </c>
    </row>
    <row r="214" spans="1:3">
      <c r="A214" s="1322" t="str">
        <f t="shared" si="3"/>
        <v>London</v>
      </c>
      <c r="B214" s="1321" t="s">
        <v>3285</v>
      </c>
      <c r="C214" s="1322">
        <f>INDEX('LOCAL DATASET'!$C$376:$ALZ$376,1,ROW(C214)-1)</f>
        <v>0</v>
      </c>
    </row>
    <row r="215" spans="1:3">
      <c r="A215" s="1322" t="str">
        <f t="shared" si="3"/>
        <v>London</v>
      </c>
      <c r="B215" s="1321" t="s">
        <v>3286</v>
      </c>
      <c r="C215" s="1322">
        <f>INDEX('LOCAL DATASET'!$C$376:$ALZ$376,1,ROW(C215)-1)</f>
        <v>0</v>
      </c>
    </row>
    <row r="216" spans="1:3">
      <c r="A216" s="1322" t="str">
        <f t="shared" si="3"/>
        <v>London</v>
      </c>
      <c r="B216" s="1321" t="s">
        <v>3287</v>
      </c>
      <c r="C216" s="1322">
        <f>INDEX('LOCAL DATASET'!$C$376:$ALZ$376,1,ROW(C216)-1)</f>
        <v>0</v>
      </c>
    </row>
    <row r="217" spans="1:3">
      <c r="A217" s="1322" t="str">
        <f t="shared" si="3"/>
        <v>London</v>
      </c>
      <c r="B217" s="1321" t="s">
        <v>3288</v>
      </c>
      <c r="C217" s="1322">
        <f>INDEX('LOCAL DATASET'!$C$376:$ALZ$376,1,ROW(C217)-1)</f>
        <v>0</v>
      </c>
    </row>
    <row r="218" spans="1:3">
      <c r="A218" s="1322" t="str">
        <f t="shared" si="3"/>
        <v>London</v>
      </c>
      <c r="B218" s="1321" t="s">
        <v>3289</v>
      </c>
      <c r="C218" s="1322">
        <f>INDEX('LOCAL DATASET'!$C$376:$ALZ$376,1,ROW(C218)-1)</f>
        <v>0</v>
      </c>
    </row>
    <row r="219" spans="1:3">
      <c r="A219" s="1322" t="str">
        <f t="shared" si="3"/>
        <v>London</v>
      </c>
      <c r="B219" s="1321" t="s">
        <v>3290</v>
      </c>
      <c r="C219" s="1322">
        <f>INDEX('LOCAL DATASET'!$C$376:$ALZ$376,1,ROW(C219)-1)</f>
        <v>0</v>
      </c>
    </row>
    <row r="220" spans="1:3">
      <c r="A220" s="1322" t="str">
        <f t="shared" si="3"/>
        <v>London</v>
      </c>
      <c r="B220" s="1321" t="s">
        <v>3291</v>
      </c>
      <c r="C220" s="1322">
        <f>INDEX('LOCAL DATASET'!$C$376:$ALZ$376,1,ROW(C220)-1)</f>
        <v>0</v>
      </c>
    </row>
    <row r="221" spans="1:3">
      <c r="A221" s="1322" t="str">
        <f t="shared" si="3"/>
        <v>London</v>
      </c>
      <c r="B221" s="1321" t="s">
        <v>3292</v>
      </c>
      <c r="C221" s="1322">
        <f>INDEX('LOCAL DATASET'!$C$376:$ALZ$376,1,ROW(C221)-1)</f>
        <v>0</v>
      </c>
    </row>
    <row r="222" spans="1:3">
      <c r="A222" s="1322" t="str">
        <f t="shared" si="3"/>
        <v>London</v>
      </c>
      <c r="B222" s="1321" t="s">
        <v>3293</v>
      </c>
      <c r="C222" s="1322">
        <f>INDEX('LOCAL DATASET'!$C$376:$ALZ$376,1,ROW(C222)-1)</f>
        <v>0</v>
      </c>
    </row>
    <row r="223" spans="1:3">
      <c r="A223" s="1322" t="str">
        <f t="shared" si="3"/>
        <v>London</v>
      </c>
      <c r="B223" s="1321" t="s">
        <v>3294</v>
      </c>
      <c r="C223" s="1322">
        <f>INDEX('LOCAL DATASET'!$C$376:$ALZ$376,1,ROW(C223)-1)</f>
        <v>0</v>
      </c>
    </row>
    <row r="224" spans="1:3">
      <c r="A224" s="1322" t="str">
        <f t="shared" si="3"/>
        <v>London</v>
      </c>
      <c r="B224" s="1321" t="s">
        <v>3295</v>
      </c>
      <c r="C224" s="1322">
        <f>INDEX('LOCAL DATASET'!$C$376:$ALZ$376,1,ROW(C224)-1)</f>
        <v>0</v>
      </c>
    </row>
    <row r="225" spans="1:3">
      <c r="A225" s="1322" t="str">
        <f t="shared" si="3"/>
        <v>London</v>
      </c>
      <c r="B225" s="1321" t="s">
        <v>3296</v>
      </c>
      <c r="C225" s="1322">
        <f>INDEX('LOCAL DATASET'!$C$376:$ALZ$376,1,ROW(C225)-1)</f>
        <v>0</v>
      </c>
    </row>
    <row r="226" spans="1:3">
      <c r="A226" s="1322" t="str">
        <f t="shared" si="3"/>
        <v>London</v>
      </c>
      <c r="B226" s="1321" t="s">
        <v>3297</v>
      </c>
      <c r="C226" s="1322">
        <f>INDEX('LOCAL DATASET'!$C$376:$ALZ$376,1,ROW(C226)-1)</f>
        <v>0</v>
      </c>
    </row>
    <row r="227" spans="1:3">
      <c r="A227" s="1322" t="str">
        <f t="shared" si="3"/>
        <v>London</v>
      </c>
      <c r="B227" s="1321" t="s">
        <v>3298</v>
      </c>
      <c r="C227" s="1322">
        <f>INDEX('LOCAL DATASET'!$C$376:$ALZ$376,1,ROW(C227)-1)</f>
        <v>0</v>
      </c>
    </row>
    <row r="228" spans="1:3">
      <c r="A228" s="1322" t="str">
        <f t="shared" si="3"/>
        <v>London</v>
      </c>
      <c r="B228" s="1321" t="s">
        <v>3299</v>
      </c>
      <c r="C228" s="1322">
        <f>INDEX('LOCAL DATASET'!$C$376:$ALZ$376,1,ROW(C228)-1)</f>
        <v>0</v>
      </c>
    </row>
    <row r="229" spans="1:3">
      <c r="A229" s="1322" t="str">
        <f t="shared" si="3"/>
        <v>London</v>
      </c>
      <c r="B229" s="1321" t="s">
        <v>3300</v>
      </c>
      <c r="C229" s="1322">
        <f>INDEX('LOCAL DATASET'!$C$376:$ALZ$376,1,ROW(C229)-1)</f>
        <v>0</v>
      </c>
    </row>
    <row r="230" spans="1:3">
      <c r="A230" s="1322" t="str">
        <f t="shared" si="3"/>
        <v>London</v>
      </c>
      <c r="B230" s="1321" t="s">
        <v>3301</v>
      </c>
      <c r="C230" s="1322">
        <f>INDEX('LOCAL DATASET'!$C$376:$ALZ$376,1,ROW(C230)-1)</f>
        <v>0</v>
      </c>
    </row>
    <row r="231" spans="1:3">
      <c r="A231" s="1322" t="str">
        <f t="shared" si="3"/>
        <v>London</v>
      </c>
      <c r="B231" s="1321" t="s">
        <v>3302</v>
      </c>
      <c r="C231" s="1322">
        <f>INDEX('LOCAL DATASET'!$C$376:$ALZ$376,1,ROW(C231)-1)</f>
        <v>0</v>
      </c>
    </row>
    <row r="232" spans="1:3">
      <c r="A232" s="1322" t="str">
        <f t="shared" si="3"/>
        <v>London</v>
      </c>
      <c r="B232" s="1321" t="s">
        <v>3303</v>
      </c>
      <c r="C232" s="1322">
        <f>INDEX('LOCAL DATASET'!$C$376:$ALZ$376,1,ROW(C232)-1)</f>
        <v>0</v>
      </c>
    </row>
    <row r="233" spans="1:3">
      <c r="A233" s="1322" t="str">
        <f t="shared" si="3"/>
        <v>London</v>
      </c>
      <c r="B233" s="1321" t="s">
        <v>3304</v>
      </c>
      <c r="C233" s="1322">
        <f>INDEX('LOCAL DATASET'!$C$376:$ALZ$376,1,ROW(C233)-1)</f>
        <v>0</v>
      </c>
    </row>
    <row r="234" spans="1:3">
      <c r="A234" s="1322" t="str">
        <f t="shared" si="3"/>
        <v>London</v>
      </c>
      <c r="B234" s="1321" t="s">
        <v>3305</v>
      </c>
      <c r="C234" s="1322">
        <f>INDEX('LOCAL DATASET'!$C$376:$ALZ$376,1,ROW(C234)-1)</f>
        <v>0</v>
      </c>
    </row>
    <row r="235" spans="1:3">
      <c r="A235" s="1322" t="str">
        <f t="shared" si="3"/>
        <v>London</v>
      </c>
      <c r="B235" s="1321" t="s">
        <v>3306</v>
      </c>
      <c r="C235" s="1322">
        <f>INDEX('LOCAL DATASET'!$C$376:$ALZ$376,1,ROW(C235)-1)</f>
        <v>0</v>
      </c>
    </row>
    <row r="236" spans="1:3">
      <c r="A236" s="1322" t="str">
        <f t="shared" si="3"/>
        <v>London</v>
      </c>
      <c r="B236" s="1321" t="s">
        <v>3307</v>
      </c>
      <c r="C236" s="1322">
        <f>INDEX('LOCAL DATASET'!$C$376:$ALZ$376,1,ROW(C236)-1)</f>
        <v>0</v>
      </c>
    </row>
    <row r="237" spans="1:3">
      <c r="A237" s="1322" t="str">
        <f t="shared" si="3"/>
        <v>London</v>
      </c>
      <c r="B237" s="1321" t="s">
        <v>3308</v>
      </c>
      <c r="C237" s="1322">
        <f>INDEX('LOCAL DATASET'!$C$376:$ALZ$376,1,ROW(C237)-1)</f>
        <v>0</v>
      </c>
    </row>
    <row r="238" spans="1:3">
      <c r="A238" s="1322" t="str">
        <f t="shared" si="3"/>
        <v>London</v>
      </c>
      <c r="B238" s="1321" t="s">
        <v>3309</v>
      </c>
      <c r="C238" s="1322">
        <f>INDEX('LOCAL DATASET'!$C$376:$ALZ$376,1,ROW(C238)-1)</f>
        <v>0</v>
      </c>
    </row>
    <row r="239" spans="1:3">
      <c r="A239" s="1322" t="str">
        <f t="shared" si="3"/>
        <v>London</v>
      </c>
      <c r="B239" s="1321" t="s">
        <v>3310</v>
      </c>
      <c r="C239" s="1322">
        <f>INDEX('LOCAL DATASET'!$C$376:$ALZ$376,1,ROW(C239)-1)</f>
        <v>0</v>
      </c>
    </row>
    <row r="240" spans="1:3">
      <c r="A240" s="1322" t="str">
        <f t="shared" si="3"/>
        <v>London</v>
      </c>
      <c r="B240" s="1321" t="s">
        <v>3311</v>
      </c>
      <c r="C240" s="1322">
        <f>INDEX('LOCAL DATASET'!$C$376:$ALZ$376,1,ROW(C240)-1)</f>
        <v>0</v>
      </c>
    </row>
    <row r="241" spans="1:3">
      <c r="A241" s="1322" t="str">
        <f t="shared" si="3"/>
        <v>London</v>
      </c>
      <c r="B241" s="1321" t="s">
        <v>3312</v>
      </c>
      <c r="C241" s="1322">
        <f>INDEX('LOCAL DATASET'!$C$376:$ALZ$376,1,ROW(C241)-1)</f>
        <v>0</v>
      </c>
    </row>
    <row r="242" spans="1:3">
      <c r="A242" s="1322" t="str">
        <f t="shared" si="3"/>
        <v>London</v>
      </c>
      <c r="B242" s="1321" t="s">
        <v>3313</v>
      </c>
      <c r="C242" s="1322">
        <f>INDEX('LOCAL DATASET'!$C$376:$ALZ$376,1,ROW(C242)-1)</f>
        <v>0</v>
      </c>
    </row>
    <row r="243" spans="1:3">
      <c r="A243" s="1322" t="str">
        <f t="shared" si="3"/>
        <v>London</v>
      </c>
      <c r="B243" s="1321" t="s">
        <v>3314</v>
      </c>
      <c r="C243" s="1322">
        <f>INDEX('LOCAL DATASET'!$C$376:$ALZ$376,1,ROW(C243)-1)</f>
        <v>0</v>
      </c>
    </row>
    <row r="244" spans="1:3">
      <c r="A244" s="1322" t="str">
        <f t="shared" si="3"/>
        <v>London</v>
      </c>
      <c r="B244" s="1321" t="s">
        <v>3315</v>
      </c>
      <c r="C244" s="1322">
        <f>INDEX('LOCAL DATASET'!$C$376:$ALZ$376,1,ROW(C244)-1)</f>
        <v>0</v>
      </c>
    </row>
    <row r="245" spans="1:3">
      <c r="A245" s="1322" t="str">
        <f t="shared" si="3"/>
        <v>London</v>
      </c>
      <c r="B245" s="1321" t="s">
        <v>3316</v>
      </c>
      <c r="C245" s="1322">
        <f>INDEX('LOCAL DATASET'!$C$376:$ALZ$376,1,ROW(C245)-1)</f>
        <v>0</v>
      </c>
    </row>
    <row r="246" spans="1:3">
      <c r="A246" s="1322" t="str">
        <f t="shared" si="3"/>
        <v>London</v>
      </c>
      <c r="B246" s="1321" t="s">
        <v>3317</v>
      </c>
      <c r="C246" s="1322">
        <f>INDEX('LOCAL DATASET'!$C$376:$ALZ$376,1,ROW(C246)-1)</f>
        <v>0</v>
      </c>
    </row>
    <row r="247" spans="1:3">
      <c r="A247" s="1322" t="str">
        <f t="shared" si="3"/>
        <v>London</v>
      </c>
      <c r="B247" s="1321" t="s">
        <v>3318</v>
      </c>
      <c r="C247" s="1322">
        <f>INDEX('LOCAL DATASET'!$C$376:$ALZ$376,1,ROW(C247)-1)</f>
        <v>0</v>
      </c>
    </row>
    <row r="248" spans="1:3">
      <c r="A248" s="1322" t="str">
        <f t="shared" si="3"/>
        <v>London</v>
      </c>
      <c r="B248" s="1321" t="s">
        <v>3319</v>
      </c>
      <c r="C248" s="1322">
        <f>INDEX('LOCAL DATASET'!$C$376:$ALZ$376,1,ROW(C248)-1)</f>
        <v>0</v>
      </c>
    </row>
    <row r="249" spans="1:3">
      <c r="A249" s="1322" t="str">
        <f t="shared" si="3"/>
        <v>London</v>
      </c>
      <c r="B249" s="1321" t="s">
        <v>3320</v>
      </c>
      <c r="C249" s="1322">
        <f>INDEX('LOCAL DATASET'!$C$376:$ALZ$376,1,ROW(C249)-1)</f>
        <v>0</v>
      </c>
    </row>
    <row r="250" spans="1:3">
      <c r="A250" s="1322" t="str">
        <f t="shared" si="3"/>
        <v>London</v>
      </c>
      <c r="B250" s="1321" t="s">
        <v>3321</v>
      </c>
      <c r="C250" s="1322">
        <f>INDEX('LOCAL DATASET'!$C$376:$ALZ$376,1,ROW(C250)-1)</f>
        <v>0</v>
      </c>
    </row>
    <row r="251" spans="1:3">
      <c r="A251" s="1322" t="str">
        <f t="shared" si="3"/>
        <v>London</v>
      </c>
      <c r="B251" s="1321" t="s">
        <v>3322</v>
      </c>
      <c r="C251" s="1322">
        <f>INDEX('LOCAL DATASET'!$C$376:$ALZ$376,1,ROW(C251)-1)</f>
        <v>0</v>
      </c>
    </row>
    <row r="252" spans="1:3">
      <c r="A252" s="1322" t="str">
        <f t="shared" si="3"/>
        <v>London</v>
      </c>
      <c r="B252" s="1321" t="s">
        <v>3323</v>
      </c>
      <c r="C252" s="1322">
        <f>INDEX('LOCAL DATASET'!$C$376:$ALZ$376,1,ROW(C252)-1)</f>
        <v>0</v>
      </c>
    </row>
    <row r="253" spans="1:3">
      <c r="A253" s="1322" t="str">
        <f t="shared" si="3"/>
        <v>London</v>
      </c>
      <c r="B253" s="1321" t="s">
        <v>3324</v>
      </c>
      <c r="C253" s="1322">
        <f>INDEX('LOCAL DATASET'!$C$376:$ALZ$376,1,ROW(C253)-1)</f>
        <v>0</v>
      </c>
    </row>
    <row r="254" spans="1:3">
      <c r="A254" s="1322" t="str">
        <f t="shared" si="3"/>
        <v>London</v>
      </c>
      <c r="B254" s="1321" t="s">
        <v>3325</v>
      </c>
      <c r="C254" s="1322">
        <f>INDEX('LOCAL DATASET'!$C$376:$ALZ$376,1,ROW(C254)-1)</f>
        <v>0</v>
      </c>
    </row>
    <row r="255" spans="1:3">
      <c r="A255" s="1322" t="str">
        <f t="shared" si="3"/>
        <v>London</v>
      </c>
      <c r="B255" s="1321" t="s">
        <v>3326</v>
      </c>
      <c r="C255" s="1322">
        <f>INDEX('LOCAL DATASET'!$C$376:$ALZ$376,1,ROW(C255)-1)</f>
        <v>0</v>
      </c>
    </row>
    <row r="256" spans="1:3">
      <c r="A256" s="1322" t="str">
        <f t="shared" si="3"/>
        <v>London</v>
      </c>
      <c r="B256" s="1321" t="s">
        <v>3327</v>
      </c>
      <c r="C256" s="1322">
        <f>INDEX('LOCAL DATASET'!$C$376:$ALZ$376,1,ROW(C256)-1)</f>
        <v>0</v>
      </c>
    </row>
    <row r="257" spans="1:3">
      <c r="A257" s="1322" t="str">
        <f t="shared" si="3"/>
        <v>London</v>
      </c>
      <c r="B257" s="1321" t="s">
        <v>3328</v>
      </c>
      <c r="C257" s="1322">
        <f>INDEX('LOCAL DATASET'!$C$376:$ALZ$376,1,ROW(C257)-1)</f>
        <v>200</v>
      </c>
    </row>
    <row r="258" spans="1:3">
      <c r="A258" s="1322" t="str">
        <f t="shared" si="3"/>
        <v>London</v>
      </c>
      <c r="B258" s="1321" t="s">
        <v>3329</v>
      </c>
      <c r="C258" s="1322">
        <f>INDEX('LOCAL DATASET'!$C$376:$ALZ$376,1,ROW(C258)-1)</f>
        <v>18</v>
      </c>
    </row>
    <row r="259" spans="1:3">
      <c r="A259" s="1322" t="str">
        <f t="shared" si="3"/>
        <v>London</v>
      </c>
      <c r="B259" s="1321" t="s">
        <v>3330</v>
      </c>
      <c r="C259" s="1322">
        <f>INDEX('LOCAL DATASET'!$C$376:$ALZ$376,1,ROW(C259)-1)</f>
        <v>0</v>
      </c>
    </row>
    <row r="260" spans="1:3">
      <c r="A260" s="1322" t="str">
        <f t="shared" ref="A260:A323" si="4">A259</f>
        <v>London</v>
      </c>
      <c r="B260" s="1321" t="s">
        <v>3331</v>
      </c>
      <c r="C260" s="1322">
        <f>INDEX('LOCAL DATASET'!$C$376:$ALZ$376,1,ROW(C260)-1)</f>
        <v>0</v>
      </c>
    </row>
    <row r="261" spans="1:3">
      <c r="A261" s="1322" t="str">
        <f t="shared" si="4"/>
        <v>London</v>
      </c>
      <c r="B261" s="1321" t="s">
        <v>3332</v>
      </c>
      <c r="C261" s="1322">
        <f>INDEX('LOCAL DATASET'!$C$376:$ALZ$376,1,ROW(C261)-1)</f>
        <v>0</v>
      </c>
    </row>
    <row r="262" spans="1:3">
      <c r="A262" s="1322" t="str">
        <f t="shared" si="4"/>
        <v>London</v>
      </c>
      <c r="B262" s="1321" t="s">
        <v>3333</v>
      </c>
      <c r="C262" s="1322">
        <f>INDEX('LOCAL DATASET'!$C$376:$ALZ$376,1,ROW(C262)-1)</f>
        <v>0</v>
      </c>
    </row>
    <row r="263" spans="1:3">
      <c r="A263" s="1322" t="str">
        <f t="shared" si="4"/>
        <v>London</v>
      </c>
      <c r="B263" s="1321" t="s">
        <v>3334</v>
      </c>
      <c r="C263" s="1322">
        <f>INDEX('LOCAL DATASET'!$C$376:$ALZ$376,1,ROW(C263)-1)</f>
        <v>0</v>
      </c>
    </row>
    <row r="264" spans="1:3">
      <c r="A264" s="1322" t="str">
        <f t="shared" si="4"/>
        <v>London</v>
      </c>
      <c r="B264" s="1321" t="s">
        <v>3335</v>
      </c>
      <c r="C264" s="1322">
        <f>INDEX('LOCAL DATASET'!$C$376:$ALZ$376,1,ROW(C264)-1)</f>
        <v>0</v>
      </c>
    </row>
    <row r="265" spans="1:3">
      <c r="A265" s="1322" t="str">
        <f t="shared" si="4"/>
        <v>London</v>
      </c>
      <c r="B265" s="1321" t="s">
        <v>3336</v>
      </c>
      <c r="C265" s="1322">
        <f>INDEX('LOCAL DATASET'!$C$376:$ALZ$376,1,ROW(C265)-1)</f>
        <v>1</v>
      </c>
    </row>
    <row r="266" spans="1:3">
      <c r="A266" s="1322" t="str">
        <f t="shared" si="4"/>
        <v>London</v>
      </c>
      <c r="B266" s="1321" t="s">
        <v>3337</v>
      </c>
      <c r="C266" s="1322">
        <f>INDEX('LOCAL DATASET'!$C$376:$ALZ$376,1,ROW(C266)-1)</f>
        <v>1</v>
      </c>
    </row>
    <row r="267" spans="1:3">
      <c r="A267" s="1322" t="str">
        <f t="shared" si="4"/>
        <v>London</v>
      </c>
      <c r="B267" s="1321" t="s">
        <v>3338</v>
      </c>
      <c r="C267" s="1322">
        <f>INDEX('LOCAL DATASET'!$C$376:$ALZ$376,1,ROW(C267)-1)</f>
        <v>1</v>
      </c>
    </row>
    <row r="268" spans="1:3">
      <c r="A268" s="1322" t="str">
        <f t="shared" si="4"/>
        <v>London</v>
      </c>
      <c r="B268" s="1321" t="s">
        <v>3339</v>
      </c>
      <c r="C268" s="1322">
        <f>INDEX('LOCAL DATASET'!$C$376:$ALZ$376,1,ROW(C268)-1)</f>
        <v>1</v>
      </c>
    </row>
    <row r="269" spans="1:3">
      <c r="A269" s="1322" t="str">
        <f t="shared" si="4"/>
        <v>London</v>
      </c>
      <c r="B269" s="1321" t="s">
        <v>3340</v>
      </c>
      <c r="C269" s="1322">
        <f>INDEX('LOCAL DATASET'!$C$376:$ALZ$376,1,ROW(C269)-1)</f>
        <v>1</v>
      </c>
    </row>
    <row r="270" spans="1:3">
      <c r="A270" s="1322" t="str">
        <f t="shared" si="4"/>
        <v>London</v>
      </c>
      <c r="B270" s="1321" t="s">
        <v>3341</v>
      </c>
      <c r="C270" s="1322">
        <f>INDEX('LOCAL DATASET'!$C$376:$ALZ$376,1,ROW(C270)-1)</f>
        <v>300</v>
      </c>
    </row>
    <row r="271" spans="1:3">
      <c r="A271" s="1322" t="str">
        <f t="shared" si="4"/>
        <v>London</v>
      </c>
      <c r="B271" s="1321" t="s">
        <v>3342</v>
      </c>
      <c r="C271" s="1322">
        <f>INDEX('LOCAL DATASET'!$C$376:$ALZ$376,1,ROW(C271)-1)</f>
        <v>0</v>
      </c>
    </row>
    <row r="272" spans="1:3">
      <c r="A272" s="1322" t="str">
        <f t="shared" si="4"/>
        <v>London</v>
      </c>
      <c r="B272" s="1321" t="s">
        <v>3343</v>
      </c>
      <c r="C272" s="1322">
        <f>INDEX('LOCAL DATASET'!$C$376:$ALZ$376,1,ROW(C272)-1)</f>
        <v>0</v>
      </c>
    </row>
    <row r="273" spans="1:3">
      <c r="A273" s="1322" t="str">
        <f t="shared" si="4"/>
        <v>London</v>
      </c>
      <c r="B273" s="1321" t="s">
        <v>3344</v>
      </c>
      <c r="C273" s="1322">
        <f>INDEX('LOCAL DATASET'!$C$376:$ALZ$376,1,ROW(C273)-1)</f>
        <v>0</v>
      </c>
    </row>
    <row r="274" spans="1:3">
      <c r="A274" s="1322" t="str">
        <f t="shared" si="4"/>
        <v>London</v>
      </c>
      <c r="B274" s="1321" t="s">
        <v>3345</v>
      </c>
      <c r="C274" s="1322">
        <f>INDEX('LOCAL DATASET'!$C$376:$ALZ$376,1,ROW(C274)-1)</f>
        <v>0</v>
      </c>
    </row>
    <row r="275" spans="1:3">
      <c r="A275" s="1322" t="str">
        <f t="shared" si="4"/>
        <v>London</v>
      </c>
      <c r="B275" s="1321" t="s">
        <v>3346</v>
      </c>
      <c r="C275" s="1322">
        <f>INDEX('LOCAL DATASET'!$C$376:$ALZ$376,1,ROW(C275)-1)</f>
        <v>0</v>
      </c>
    </row>
    <row r="276" spans="1:3">
      <c r="A276" s="1322" t="str">
        <f t="shared" si="4"/>
        <v>London</v>
      </c>
      <c r="B276" s="1321" t="s">
        <v>3347</v>
      </c>
      <c r="C276" s="1322">
        <f>INDEX('LOCAL DATASET'!$C$376:$ALZ$376,1,ROW(C276)-1)</f>
        <v>0</v>
      </c>
    </row>
    <row r="277" spans="1:3">
      <c r="A277" s="1322" t="str">
        <f t="shared" si="4"/>
        <v>London</v>
      </c>
      <c r="B277" s="1321" t="s">
        <v>3348</v>
      </c>
      <c r="C277" s="1322">
        <f>INDEX('LOCAL DATASET'!$C$376:$ALZ$376,1,ROW(C277)-1)</f>
        <v>1</v>
      </c>
    </row>
    <row r="278" spans="1:3">
      <c r="A278" s="1322" t="str">
        <f t="shared" si="4"/>
        <v>London</v>
      </c>
      <c r="B278" s="1321" t="s">
        <v>3349</v>
      </c>
      <c r="C278" s="1322">
        <f>INDEX('LOCAL DATASET'!$C$376:$ALZ$376,1,ROW(C278)-1)</f>
        <v>1</v>
      </c>
    </row>
    <row r="279" spans="1:3">
      <c r="A279" s="1322" t="str">
        <f t="shared" si="4"/>
        <v>London</v>
      </c>
      <c r="B279" s="1321" t="s">
        <v>3350</v>
      </c>
      <c r="C279" s="1322">
        <f>INDEX('LOCAL DATASET'!$C$376:$ALZ$376,1,ROW(C279)-1)</f>
        <v>1</v>
      </c>
    </row>
    <row r="280" spans="1:3">
      <c r="A280" s="1322" t="str">
        <f t="shared" si="4"/>
        <v>London</v>
      </c>
      <c r="B280" s="1321" t="s">
        <v>3351</v>
      </c>
      <c r="C280" s="1322">
        <f>INDEX('LOCAL DATASET'!$C$376:$ALZ$376,1,ROW(C280)-1)</f>
        <v>1</v>
      </c>
    </row>
    <row r="281" spans="1:3">
      <c r="A281" s="1322" t="str">
        <f t="shared" si="4"/>
        <v>London</v>
      </c>
      <c r="B281" s="1321" t="s">
        <v>3352</v>
      </c>
      <c r="C281" s="1322">
        <f>INDEX('LOCAL DATASET'!$C$376:$ALZ$376,1,ROW(C281)-1)</f>
        <v>1</v>
      </c>
    </row>
    <row r="282" spans="1:3">
      <c r="A282" s="1322" t="str">
        <f t="shared" si="4"/>
        <v>London</v>
      </c>
      <c r="B282" s="1321" t="s">
        <v>3353</v>
      </c>
      <c r="C282" s="1322">
        <f>INDEX('LOCAL DATASET'!$C$376:$ALZ$376,1,ROW(C282)-1)</f>
        <v>0</v>
      </c>
    </row>
    <row r="283" spans="1:3">
      <c r="A283" s="1322" t="str">
        <f t="shared" si="4"/>
        <v>London</v>
      </c>
      <c r="B283" s="1321" t="s">
        <v>3354</v>
      </c>
      <c r="C283" s="1322">
        <f>INDEX('LOCAL DATASET'!$C$376:$ALZ$376,1,ROW(C283)-1)</f>
        <v>0</v>
      </c>
    </row>
    <row r="284" spans="1:3">
      <c r="A284" s="1322" t="str">
        <f t="shared" si="4"/>
        <v>London</v>
      </c>
      <c r="B284" s="1321" t="s">
        <v>3355</v>
      </c>
      <c r="C284" s="1322">
        <f>INDEX('LOCAL DATASET'!$C$376:$ALZ$376,1,ROW(C284)-1)</f>
        <v>0</v>
      </c>
    </row>
    <row r="285" spans="1:3">
      <c r="A285" s="1322" t="str">
        <f t="shared" si="4"/>
        <v>London</v>
      </c>
      <c r="B285" s="1321" t="s">
        <v>3356</v>
      </c>
      <c r="C285" s="1322">
        <f>INDEX('LOCAL DATASET'!$C$376:$ALZ$376,1,ROW(C285)-1)</f>
        <v>0</v>
      </c>
    </row>
    <row r="286" spans="1:3">
      <c r="A286" s="1322" t="str">
        <f t="shared" si="4"/>
        <v>London</v>
      </c>
      <c r="B286" s="1321" t="s">
        <v>3357</v>
      </c>
      <c r="C286" s="1322">
        <f>INDEX('LOCAL DATASET'!$C$376:$ALZ$376,1,ROW(C286)-1)</f>
        <v>0</v>
      </c>
    </row>
    <row r="287" spans="1:3">
      <c r="A287" s="1322" t="str">
        <f t="shared" si="4"/>
        <v>London</v>
      </c>
      <c r="B287" s="1321" t="s">
        <v>3358</v>
      </c>
      <c r="C287" s="1322">
        <f>INDEX('LOCAL DATASET'!$C$376:$ALZ$376,1,ROW(C287)-1)</f>
        <v>0</v>
      </c>
    </row>
    <row r="288" spans="1:3">
      <c r="A288" s="1322" t="str">
        <f t="shared" si="4"/>
        <v>London</v>
      </c>
      <c r="B288" s="1321" t="s">
        <v>3359</v>
      </c>
      <c r="C288" s="1322">
        <f>INDEX('LOCAL DATASET'!$C$376:$ALZ$376,1,ROW(C288)-1)</f>
        <v>1</v>
      </c>
    </row>
    <row r="289" spans="1:3">
      <c r="A289" s="1322" t="str">
        <f t="shared" si="4"/>
        <v>London</v>
      </c>
      <c r="B289" s="1321" t="s">
        <v>3360</v>
      </c>
      <c r="C289" s="1322">
        <f>INDEX('LOCAL DATASET'!$C$376:$ALZ$376,1,ROW(C289)-1)</f>
        <v>1</v>
      </c>
    </row>
    <row r="290" spans="1:3">
      <c r="A290" s="1322" t="str">
        <f t="shared" si="4"/>
        <v>London</v>
      </c>
      <c r="B290" s="1321" t="s">
        <v>3361</v>
      </c>
      <c r="C290" s="1322">
        <f>INDEX('LOCAL DATASET'!$C$376:$ALZ$376,1,ROW(C290)-1)</f>
        <v>1</v>
      </c>
    </row>
    <row r="291" spans="1:3">
      <c r="A291" s="1322" t="str">
        <f t="shared" si="4"/>
        <v>London</v>
      </c>
      <c r="B291" s="1321" t="s">
        <v>3362</v>
      </c>
      <c r="C291" s="1322">
        <f>INDEX('LOCAL DATASET'!$C$376:$ALZ$376,1,ROW(C291)-1)</f>
        <v>1</v>
      </c>
    </row>
    <row r="292" spans="1:3">
      <c r="A292" s="1322" t="str">
        <f t="shared" si="4"/>
        <v>London</v>
      </c>
      <c r="B292" s="1321" t="s">
        <v>3363</v>
      </c>
      <c r="C292" s="1322">
        <f>INDEX('LOCAL DATASET'!$C$376:$ALZ$376,1,ROW(C292)-1)</f>
        <v>1</v>
      </c>
    </row>
    <row r="293" spans="1:3">
      <c r="A293" s="1322" t="str">
        <f t="shared" si="4"/>
        <v>London</v>
      </c>
      <c r="B293" s="1321" t="s">
        <v>3364</v>
      </c>
      <c r="C293" s="1322">
        <f>INDEX('LOCAL DATASET'!$C$376:$ALZ$376,1,ROW(C293)-1)</f>
        <v>0</v>
      </c>
    </row>
    <row r="294" spans="1:3">
      <c r="A294" s="1322" t="str">
        <f t="shared" si="4"/>
        <v>London</v>
      </c>
      <c r="B294" s="1321" t="s">
        <v>3365</v>
      </c>
      <c r="C294" s="1322">
        <f>INDEX('LOCAL DATASET'!$C$376:$ALZ$376,1,ROW(C294)-1)</f>
        <v>94.5</v>
      </c>
    </row>
    <row r="295" spans="1:3">
      <c r="A295" s="1322" t="str">
        <f t="shared" si="4"/>
        <v>London</v>
      </c>
      <c r="B295" s="1321" t="s">
        <v>3366</v>
      </c>
      <c r="C295" s="1322">
        <f>INDEX('LOCAL DATASET'!$C$376:$ALZ$376,1,ROW(C295)-1)</f>
        <v>2.5</v>
      </c>
    </row>
    <row r="296" spans="1:3">
      <c r="A296" s="1322" t="str">
        <f t="shared" si="4"/>
        <v>London</v>
      </c>
      <c r="B296" s="1321" t="s">
        <v>3367</v>
      </c>
      <c r="C296" s="1322">
        <f>INDEX('LOCAL DATASET'!$C$376:$ALZ$376,1,ROW(C296)-1)</f>
        <v>0.5</v>
      </c>
    </row>
    <row r="297" spans="1:3">
      <c r="A297" s="1322" t="str">
        <f t="shared" si="4"/>
        <v>London</v>
      </c>
      <c r="B297" s="1321" t="s">
        <v>3368</v>
      </c>
      <c r="C297" s="1322">
        <f>INDEX('LOCAL DATASET'!$C$376:$ALZ$376,1,ROW(C297)-1)</f>
        <v>0.5</v>
      </c>
    </row>
    <row r="298" spans="1:3">
      <c r="A298" s="1322" t="str">
        <f t="shared" si="4"/>
        <v>London</v>
      </c>
      <c r="B298" s="1321" t="s">
        <v>3369</v>
      </c>
      <c r="C298" s="1322">
        <f>INDEX('LOCAL DATASET'!$C$376:$ALZ$376,1,ROW(C298)-1)</f>
        <v>0.5</v>
      </c>
    </row>
    <row r="299" spans="1:3">
      <c r="A299" s="1322" t="str">
        <f t="shared" si="4"/>
        <v>London</v>
      </c>
      <c r="B299" s="1321" t="s">
        <v>3370</v>
      </c>
      <c r="C299" s="1322">
        <f>INDEX('LOCAL DATASET'!$C$376:$ALZ$376,1,ROW(C299)-1)</f>
        <v>0.5</v>
      </c>
    </row>
    <row r="300" spans="1:3">
      <c r="A300" s="1322" t="str">
        <f t="shared" si="4"/>
        <v>London</v>
      </c>
      <c r="B300" s="1321" t="s">
        <v>3371</v>
      </c>
      <c r="C300" s="1322">
        <f>INDEX('LOCAL DATASET'!$C$376:$ALZ$376,1,ROW(C300)-1)</f>
        <v>0.5</v>
      </c>
    </row>
    <row r="301" spans="1:3">
      <c r="A301" s="1322" t="str">
        <f t="shared" si="4"/>
        <v>London</v>
      </c>
      <c r="B301" s="1321" t="s">
        <v>3372</v>
      </c>
      <c r="C301" s="1322">
        <f>INDEX('LOCAL DATASET'!$C$376:$ALZ$376,1,ROW(C301)-1)</f>
        <v>0</v>
      </c>
    </row>
    <row r="302" spans="1:3">
      <c r="A302" s="1322" t="str">
        <f t="shared" si="4"/>
        <v>London</v>
      </c>
      <c r="B302" s="1321" t="s">
        <v>3373</v>
      </c>
      <c r="C302" s="1322">
        <f>INDEX('LOCAL DATASET'!$C$376:$ALZ$376,1,ROW(C302)-1)</f>
        <v>0</v>
      </c>
    </row>
    <row r="303" spans="1:3">
      <c r="A303" s="1322" t="str">
        <f t="shared" si="4"/>
        <v>London</v>
      </c>
      <c r="B303" s="1321" t="s">
        <v>3374</v>
      </c>
      <c r="C303" s="1322">
        <f>INDEX('LOCAL DATASET'!$C$376:$ALZ$376,1,ROW(C303)-1)</f>
        <v>0</v>
      </c>
    </row>
    <row r="304" spans="1:3">
      <c r="A304" s="1322" t="str">
        <f t="shared" si="4"/>
        <v>London</v>
      </c>
      <c r="B304" s="1321" t="s">
        <v>3375</v>
      </c>
      <c r="C304" s="1322">
        <f>INDEX('LOCAL DATASET'!$C$376:$ALZ$376,1,ROW(C304)-1)</f>
        <v>0</v>
      </c>
    </row>
    <row r="305" spans="1:3">
      <c r="A305" s="1322" t="str">
        <f t="shared" si="4"/>
        <v>London</v>
      </c>
      <c r="B305" s="1321" t="s">
        <v>3376</v>
      </c>
      <c r="C305" s="1322">
        <f>INDEX('LOCAL DATASET'!$C$376:$ALZ$376,1,ROW(C305)-1)</f>
        <v>0</v>
      </c>
    </row>
    <row r="306" spans="1:3">
      <c r="A306" s="1322" t="str">
        <f t="shared" si="4"/>
        <v>London</v>
      </c>
      <c r="B306" s="1321" t="s">
        <v>3377</v>
      </c>
      <c r="C306" s="1322">
        <f>INDEX('LOCAL DATASET'!$C$376:$ALZ$376,1,ROW(C306)-1)</f>
        <v>0</v>
      </c>
    </row>
    <row r="307" spans="1:3">
      <c r="A307" s="1322" t="str">
        <f t="shared" si="4"/>
        <v>London</v>
      </c>
      <c r="B307" s="1321" t="s">
        <v>3378</v>
      </c>
      <c r="C307" s="1322">
        <f>INDEX('LOCAL DATASET'!$C$376:$ALZ$376,1,ROW(C307)-1)</f>
        <v>0</v>
      </c>
    </row>
    <row r="308" spans="1:3">
      <c r="A308" s="1322" t="str">
        <f t="shared" si="4"/>
        <v>London</v>
      </c>
      <c r="B308" s="1321" t="s">
        <v>3379</v>
      </c>
      <c r="C308" s="1322">
        <f>INDEX('LOCAL DATASET'!$C$376:$ALZ$376,1,ROW(C308)-1)</f>
        <v>0</v>
      </c>
    </row>
    <row r="309" spans="1:3">
      <c r="A309" s="1322" t="str">
        <f t="shared" si="4"/>
        <v>London</v>
      </c>
      <c r="B309" s="1321" t="s">
        <v>3380</v>
      </c>
      <c r="C309" s="1322">
        <f>INDEX('LOCAL DATASET'!$C$376:$ALZ$376,1,ROW(C309)-1)</f>
        <v>0</v>
      </c>
    </row>
    <row r="310" spans="1:3">
      <c r="A310" s="1322" t="str">
        <f t="shared" si="4"/>
        <v>London</v>
      </c>
      <c r="B310" s="1321" t="s">
        <v>3381</v>
      </c>
      <c r="C310" s="1322">
        <f>INDEX('LOCAL DATASET'!$C$376:$ALZ$376,1,ROW(C310)-1)</f>
        <v>0</v>
      </c>
    </row>
    <row r="311" spans="1:3">
      <c r="A311" s="1322" t="str">
        <f t="shared" si="4"/>
        <v>London</v>
      </c>
      <c r="B311" s="1321" t="s">
        <v>3382</v>
      </c>
      <c r="C311" s="1322">
        <f>INDEX('LOCAL DATASET'!$C$376:$ALZ$376,1,ROW(C311)-1)</f>
        <v>0</v>
      </c>
    </row>
    <row r="312" spans="1:3">
      <c r="A312" s="1322" t="str">
        <f t="shared" si="4"/>
        <v>London</v>
      </c>
      <c r="B312" s="1321" t="s">
        <v>3383</v>
      </c>
      <c r="C312" s="1322">
        <f>INDEX('LOCAL DATASET'!$C$376:$ALZ$376,1,ROW(C312)-1)</f>
        <v>0</v>
      </c>
    </row>
    <row r="313" spans="1:3">
      <c r="A313" s="1322" t="str">
        <f t="shared" si="4"/>
        <v>London</v>
      </c>
      <c r="B313" s="1321" t="s">
        <v>3384</v>
      </c>
      <c r="C313" s="1322">
        <f>INDEX('LOCAL DATASET'!$C$376:$ALZ$376,1,ROW(C313)-1)</f>
        <v>0</v>
      </c>
    </row>
    <row r="314" spans="1:3">
      <c r="A314" s="1322" t="str">
        <f t="shared" si="4"/>
        <v>London</v>
      </c>
      <c r="B314" s="1321" t="s">
        <v>3385</v>
      </c>
      <c r="C314" s="1322">
        <f>INDEX('LOCAL DATASET'!$C$376:$ALZ$376,1,ROW(C314)-1)</f>
        <v>0</v>
      </c>
    </row>
    <row r="315" spans="1:3">
      <c r="A315" s="1322" t="str">
        <f t="shared" si="4"/>
        <v>London</v>
      </c>
      <c r="B315" s="1321" t="s">
        <v>3386</v>
      </c>
      <c r="C315" s="1322">
        <f>INDEX('LOCAL DATASET'!$C$376:$ALZ$376,1,ROW(C315)-1)</f>
        <v>0</v>
      </c>
    </row>
    <row r="316" spans="1:3">
      <c r="A316" s="1322" t="str">
        <f t="shared" si="4"/>
        <v>London</v>
      </c>
      <c r="B316" s="1321" t="s">
        <v>3387</v>
      </c>
      <c r="C316" s="1322">
        <f>INDEX('LOCAL DATASET'!$C$376:$ALZ$376,1,ROW(C316)-1)</f>
        <v>0</v>
      </c>
    </row>
    <row r="317" spans="1:3">
      <c r="A317" s="1322" t="str">
        <f t="shared" si="4"/>
        <v>London</v>
      </c>
      <c r="B317" s="1321" t="s">
        <v>3388</v>
      </c>
      <c r="C317" s="1322">
        <f>INDEX('LOCAL DATASET'!$C$376:$ALZ$376,1,ROW(C317)-1)</f>
        <v>0</v>
      </c>
    </row>
    <row r="318" spans="1:3">
      <c r="A318" s="1322" t="str">
        <f t="shared" si="4"/>
        <v>London</v>
      </c>
      <c r="B318" s="1321" t="s">
        <v>3389</v>
      </c>
      <c r="C318" s="1322">
        <f>INDEX('LOCAL DATASET'!$C$376:$ALZ$376,1,ROW(C318)-1)</f>
        <v>0</v>
      </c>
    </row>
    <row r="319" spans="1:3">
      <c r="A319" s="1322" t="str">
        <f t="shared" si="4"/>
        <v>London</v>
      </c>
      <c r="B319" s="1321" t="s">
        <v>3390</v>
      </c>
      <c r="C319" s="1322">
        <f>INDEX('LOCAL DATASET'!$C$376:$ALZ$376,1,ROW(C319)-1)</f>
        <v>0</v>
      </c>
    </row>
    <row r="320" spans="1:3">
      <c r="A320" s="1322" t="str">
        <f t="shared" si="4"/>
        <v>London</v>
      </c>
      <c r="B320" s="1321" t="s">
        <v>3391</v>
      </c>
      <c r="C320" s="1322">
        <f>INDEX('LOCAL DATASET'!$C$376:$ALZ$376,1,ROW(C320)-1)</f>
        <v>0</v>
      </c>
    </row>
    <row r="321" spans="1:3">
      <c r="A321" s="1322" t="str">
        <f t="shared" si="4"/>
        <v>London</v>
      </c>
      <c r="B321" s="1321" t="s">
        <v>3392</v>
      </c>
      <c r="C321" s="1322">
        <f>INDEX('LOCAL DATASET'!$C$376:$ALZ$376,1,ROW(C321)-1)</f>
        <v>0</v>
      </c>
    </row>
    <row r="322" spans="1:3">
      <c r="A322" s="1322" t="str">
        <f t="shared" si="4"/>
        <v>London</v>
      </c>
      <c r="B322" s="1321" t="s">
        <v>3393</v>
      </c>
      <c r="C322" s="1322">
        <f>INDEX('LOCAL DATASET'!$C$376:$ALZ$376,1,ROW(C322)-1)</f>
        <v>0</v>
      </c>
    </row>
    <row r="323" spans="1:3">
      <c r="A323" s="1322" t="str">
        <f t="shared" si="4"/>
        <v>London</v>
      </c>
      <c r="B323" s="1321" t="s">
        <v>3394</v>
      </c>
      <c r="C323" s="1322">
        <f>INDEX('LOCAL DATASET'!$C$376:$ALZ$376,1,ROW(C323)-1)</f>
        <v>0</v>
      </c>
    </row>
    <row r="324" spans="1:3">
      <c r="A324" s="1322" t="str">
        <f t="shared" ref="A324:A387" si="5">A323</f>
        <v>London</v>
      </c>
      <c r="B324" s="1321" t="s">
        <v>3395</v>
      </c>
      <c r="C324" s="1322">
        <f>INDEX('LOCAL DATASET'!$C$376:$ALZ$376,1,ROW(C324)-1)</f>
        <v>0</v>
      </c>
    </row>
    <row r="325" spans="1:3">
      <c r="A325" s="1322" t="str">
        <f t="shared" si="5"/>
        <v>London</v>
      </c>
      <c r="B325" s="1321" t="s">
        <v>3396</v>
      </c>
      <c r="C325" s="1322">
        <f>INDEX('LOCAL DATASET'!$C$376:$ALZ$376,1,ROW(C325)-1)</f>
        <v>0</v>
      </c>
    </row>
    <row r="326" spans="1:3">
      <c r="A326" s="1322" t="str">
        <f t="shared" si="5"/>
        <v>London</v>
      </c>
      <c r="B326" s="1321" t="s">
        <v>3397</v>
      </c>
      <c r="C326" s="1322">
        <f>INDEX('LOCAL DATASET'!$C$376:$ALZ$376,1,ROW(C326)-1)</f>
        <v>0</v>
      </c>
    </row>
    <row r="327" spans="1:3">
      <c r="A327" s="1322" t="str">
        <f t="shared" si="5"/>
        <v>London</v>
      </c>
      <c r="B327" s="1321" t="s">
        <v>3398</v>
      </c>
      <c r="C327" s="1322">
        <f>INDEX('LOCAL DATASET'!$C$376:$ALZ$376,1,ROW(C327)-1)</f>
        <v>0</v>
      </c>
    </row>
    <row r="328" spans="1:3">
      <c r="A328" s="1322" t="str">
        <f t="shared" si="5"/>
        <v>London</v>
      </c>
      <c r="B328" s="1321" t="s">
        <v>3399</v>
      </c>
      <c r="C328" s="1322">
        <f>INDEX('LOCAL DATASET'!$C$376:$ALZ$376,1,ROW(C328)-1)</f>
        <v>0</v>
      </c>
    </row>
    <row r="329" spans="1:3">
      <c r="A329" s="1322" t="str">
        <f t="shared" si="5"/>
        <v>London</v>
      </c>
      <c r="B329" s="1321" t="s">
        <v>3400</v>
      </c>
      <c r="C329" s="1322">
        <f>INDEX('LOCAL DATASET'!$C$376:$ALZ$376,1,ROW(C329)-1)</f>
        <v>0</v>
      </c>
    </row>
    <row r="330" spans="1:3">
      <c r="A330" s="1322" t="str">
        <f t="shared" si="5"/>
        <v>London</v>
      </c>
      <c r="B330" s="1321" t="s">
        <v>3401</v>
      </c>
      <c r="C330" s="1322">
        <f>INDEX('LOCAL DATASET'!$C$376:$ALZ$376,1,ROW(C330)-1)</f>
        <v>0</v>
      </c>
    </row>
    <row r="331" spans="1:3">
      <c r="A331" s="1322" t="str">
        <f t="shared" si="5"/>
        <v>London</v>
      </c>
      <c r="B331" s="1321" t="s">
        <v>3402</v>
      </c>
      <c r="C331" s="1322">
        <f>INDEX('LOCAL DATASET'!$C$376:$ALZ$376,1,ROW(C331)-1)</f>
        <v>1</v>
      </c>
    </row>
    <row r="332" spans="1:3">
      <c r="A332" s="1322" t="str">
        <f t="shared" si="5"/>
        <v>London</v>
      </c>
      <c r="B332" s="1321" t="s">
        <v>3403</v>
      </c>
      <c r="C332" s="1322">
        <f>INDEX('LOCAL DATASET'!$C$376:$ALZ$376,1,ROW(C332)-1)</f>
        <v>1</v>
      </c>
    </row>
    <row r="333" spans="1:3">
      <c r="A333" s="1322" t="str">
        <f t="shared" si="5"/>
        <v>London</v>
      </c>
      <c r="B333" s="1321" t="s">
        <v>3404</v>
      </c>
      <c r="C333" s="1322">
        <f>INDEX('LOCAL DATASET'!$C$376:$ALZ$376,1,ROW(C333)-1)</f>
        <v>1</v>
      </c>
    </row>
    <row r="334" spans="1:3">
      <c r="A334" s="1322" t="str">
        <f t="shared" si="5"/>
        <v>London</v>
      </c>
      <c r="B334" s="1321" t="s">
        <v>3405</v>
      </c>
      <c r="C334" s="1322">
        <f>INDEX('LOCAL DATASET'!$C$376:$ALZ$376,1,ROW(C334)-1)</f>
        <v>1</v>
      </c>
    </row>
    <row r="335" spans="1:3">
      <c r="A335" s="1322" t="str">
        <f t="shared" si="5"/>
        <v>London</v>
      </c>
      <c r="B335" s="1321" t="s">
        <v>3406</v>
      </c>
      <c r="C335" s="1322">
        <f>INDEX('LOCAL DATASET'!$C$376:$ALZ$376,1,ROW(C335)-1)</f>
        <v>1</v>
      </c>
    </row>
    <row r="336" spans="1:3">
      <c r="A336" s="1322" t="str">
        <f t="shared" si="5"/>
        <v>London</v>
      </c>
      <c r="B336" s="1321" t="s">
        <v>3407</v>
      </c>
      <c r="C336" s="1322">
        <f>INDEX('LOCAL DATASET'!$C$376:$ALZ$376,1,ROW(C336)-1)</f>
        <v>0</v>
      </c>
    </row>
    <row r="337" spans="1:3">
      <c r="A337" s="1322" t="str">
        <f t="shared" si="5"/>
        <v>London</v>
      </c>
      <c r="B337" s="1321" t="s">
        <v>3408</v>
      </c>
      <c r="C337" s="1322">
        <f>INDEX('LOCAL DATASET'!$C$376:$ALZ$376,1,ROW(C337)-1)</f>
        <v>0</v>
      </c>
    </row>
    <row r="338" spans="1:3">
      <c r="A338" s="1322" t="str">
        <f t="shared" si="5"/>
        <v>London</v>
      </c>
      <c r="B338" s="1321" t="s">
        <v>3409</v>
      </c>
      <c r="C338" s="1322">
        <f>INDEX('LOCAL DATASET'!$C$376:$ALZ$376,1,ROW(C338)-1)</f>
        <v>0</v>
      </c>
    </row>
    <row r="339" spans="1:3">
      <c r="A339" s="1322" t="str">
        <f t="shared" si="5"/>
        <v>London</v>
      </c>
      <c r="B339" s="1321" t="s">
        <v>3410</v>
      </c>
      <c r="C339" s="1322" t="str">
        <f>INDEX('LOCAL DATASET'!$C$376:$ALZ$376,1,ROW(C339)-1)</f>
        <v>-</v>
      </c>
    </row>
    <row r="340" spans="1:3">
      <c r="A340" s="1322" t="str">
        <f t="shared" si="5"/>
        <v>London</v>
      </c>
      <c r="B340" s="1321" t="s">
        <v>3411</v>
      </c>
      <c r="C340" s="1322" t="str">
        <f>INDEX('LOCAL DATASET'!$C$376:$ALZ$376,1,ROW(C340)-1)</f>
        <v>-</v>
      </c>
    </row>
    <row r="341" spans="1:3">
      <c r="A341" s="1322" t="str">
        <f t="shared" si="5"/>
        <v>London</v>
      </c>
      <c r="B341" s="1321" t="s">
        <v>3412</v>
      </c>
      <c r="C341" s="1322" t="str">
        <f>INDEX('LOCAL DATASET'!$C$376:$ALZ$376,1,ROW(C341)-1)</f>
        <v>-</v>
      </c>
    </row>
    <row r="342" spans="1:3">
      <c r="A342" s="1322" t="str">
        <f t="shared" si="5"/>
        <v>London</v>
      </c>
      <c r="B342" s="1321" t="s">
        <v>3413</v>
      </c>
      <c r="C342" s="1322" t="str">
        <f>INDEX('LOCAL DATASET'!$C$376:$ALZ$376,1,ROW(C342)-1)</f>
        <v>-</v>
      </c>
    </row>
    <row r="343" spans="1:3">
      <c r="A343" s="1322" t="str">
        <f t="shared" si="5"/>
        <v>London</v>
      </c>
      <c r="B343" s="1321" t="s">
        <v>3414</v>
      </c>
      <c r="C343" s="1322" t="str">
        <f>INDEX('LOCAL DATASET'!$C$376:$ALZ$376,1,ROW(C343)-1)</f>
        <v>-</v>
      </c>
    </row>
    <row r="344" spans="1:3">
      <c r="A344" s="1322" t="str">
        <f t="shared" si="5"/>
        <v>London</v>
      </c>
      <c r="B344" s="1321" t="s">
        <v>3415</v>
      </c>
      <c r="C344" s="1322" t="str">
        <f>INDEX('LOCAL DATASET'!$C$376:$ALZ$376,1,ROW(C344)-1)</f>
        <v>-</v>
      </c>
    </row>
    <row r="345" spans="1:3">
      <c r="A345" s="1322" t="str">
        <f t="shared" si="5"/>
        <v>London</v>
      </c>
      <c r="B345" s="1321" t="s">
        <v>3416</v>
      </c>
      <c r="C345" s="1322" t="str">
        <f>INDEX('LOCAL DATASET'!$C$376:$ALZ$376,1,ROW(C345)-1)</f>
        <v>-</v>
      </c>
    </row>
    <row r="346" spans="1:3">
      <c r="A346" s="1322" t="str">
        <f t="shared" si="5"/>
        <v>London</v>
      </c>
      <c r="B346" s="1321" t="s">
        <v>3417</v>
      </c>
      <c r="C346" s="1322" t="str">
        <f>INDEX('LOCAL DATASET'!$C$376:$ALZ$376,1,ROW(C346)-1)</f>
        <v>-</v>
      </c>
    </row>
    <row r="347" spans="1:3">
      <c r="A347" s="1322" t="str">
        <f t="shared" si="5"/>
        <v>London</v>
      </c>
      <c r="B347" s="1321" t="s">
        <v>3418</v>
      </c>
      <c r="C347" s="1322" t="str">
        <f>INDEX('LOCAL DATASET'!$C$376:$ALZ$376,1,ROW(C347)-1)</f>
        <v>-</v>
      </c>
    </row>
    <row r="348" spans="1:3">
      <c r="A348" s="1322" t="str">
        <f t="shared" si="5"/>
        <v>London</v>
      </c>
      <c r="B348" s="1321" t="s">
        <v>3419</v>
      </c>
      <c r="C348" s="1322" t="str">
        <f>INDEX('LOCAL DATASET'!$C$376:$ALZ$376,1,ROW(C348)-1)</f>
        <v>-</v>
      </c>
    </row>
    <row r="349" spans="1:3">
      <c r="A349" s="1322" t="str">
        <f t="shared" si="5"/>
        <v>London</v>
      </c>
      <c r="B349" s="1321" t="s">
        <v>3420</v>
      </c>
      <c r="C349" s="1322" t="str">
        <f>INDEX('LOCAL DATASET'!$C$376:$ALZ$376,1,ROW(C349)-1)</f>
        <v>-</v>
      </c>
    </row>
    <row r="350" spans="1:3">
      <c r="A350" s="1322" t="str">
        <f t="shared" si="5"/>
        <v>London</v>
      </c>
      <c r="B350" s="1321" t="s">
        <v>3421</v>
      </c>
      <c r="C350" s="1322" t="str">
        <f>INDEX('LOCAL DATASET'!$C$376:$ALZ$376,1,ROW(C350)-1)</f>
        <v>-</v>
      </c>
    </row>
    <row r="351" spans="1:3">
      <c r="A351" s="1322" t="str">
        <f t="shared" si="5"/>
        <v>London</v>
      </c>
      <c r="B351" s="1321" t="s">
        <v>3422</v>
      </c>
      <c r="C351" s="1322" t="str">
        <f>INDEX('LOCAL DATASET'!$C$376:$ALZ$376,1,ROW(C351)-1)</f>
        <v>-</v>
      </c>
    </row>
    <row r="352" spans="1:3">
      <c r="A352" s="1322" t="str">
        <f t="shared" si="5"/>
        <v>London</v>
      </c>
      <c r="B352" s="1321" t="s">
        <v>3423</v>
      </c>
      <c r="C352" s="1322" t="str">
        <f>INDEX('LOCAL DATASET'!$C$376:$ALZ$376,1,ROW(C352)-1)</f>
        <v>-</v>
      </c>
    </row>
    <row r="353" spans="1:3">
      <c r="A353" s="1322" t="str">
        <f t="shared" si="5"/>
        <v>London</v>
      </c>
      <c r="B353" s="1321" t="s">
        <v>3424</v>
      </c>
      <c r="C353" s="1322" t="str">
        <f>INDEX('LOCAL DATASET'!$C$376:$ALZ$376,1,ROW(C353)-1)</f>
        <v>-</v>
      </c>
    </row>
    <row r="354" spans="1:3">
      <c r="A354" s="1322" t="str">
        <f t="shared" si="5"/>
        <v>London</v>
      </c>
      <c r="B354" s="1321" t="s">
        <v>3425</v>
      </c>
      <c r="C354" s="1322" t="str">
        <f>INDEX('LOCAL DATASET'!$C$376:$ALZ$376,1,ROW(C354)-1)</f>
        <v>-</v>
      </c>
    </row>
    <row r="355" spans="1:3">
      <c r="A355" s="1322" t="str">
        <f t="shared" si="5"/>
        <v>London</v>
      </c>
      <c r="B355" s="1321" t="s">
        <v>3426</v>
      </c>
      <c r="C355" s="1322" t="str">
        <f>INDEX('LOCAL DATASET'!$C$376:$ALZ$376,1,ROW(C355)-1)</f>
        <v>-</v>
      </c>
    </row>
    <row r="356" spans="1:3">
      <c r="A356" s="1322" t="str">
        <f t="shared" si="5"/>
        <v>London</v>
      </c>
      <c r="B356" s="1321" t="s">
        <v>3427</v>
      </c>
      <c r="C356" s="1322" t="str">
        <f>INDEX('LOCAL DATASET'!$C$376:$ALZ$376,1,ROW(C356)-1)</f>
        <v>-</v>
      </c>
    </row>
    <row r="357" spans="1:3">
      <c r="A357" s="1322" t="str">
        <f t="shared" si="5"/>
        <v>London</v>
      </c>
      <c r="B357" s="1321" t="s">
        <v>3428</v>
      </c>
      <c r="C357" s="1322" t="str">
        <f>INDEX('LOCAL DATASET'!$C$376:$ALZ$376,1,ROW(C357)-1)</f>
        <v>-</v>
      </c>
    </row>
    <row r="358" spans="1:3">
      <c r="A358" s="1322" t="str">
        <f t="shared" si="5"/>
        <v>London</v>
      </c>
      <c r="B358" s="1321" t="s">
        <v>3429</v>
      </c>
      <c r="C358" s="1322" t="str">
        <f>INDEX('LOCAL DATASET'!$C$376:$ALZ$376,1,ROW(C358)-1)</f>
        <v>-</v>
      </c>
    </row>
    <row r="359" spans="1:3">
      <c r="A359" s="1322" t="str">
        <f t="shared" si="5"/>
        <v>London</v>
      </c>
      <c r="B359" s="1321" t="s">
        <v>3430</v>
      </c>
      <c r="C359" s="1322">
        <f>INDEX('LOCAL DATASET'!$C$376:$ALZ$376,1,ROW(C359)-1)</f>
        <v>0</v>
      </c>
    </row>
    <row r="360" spans="1:3">
      <c r="A360" s="1322" t="str">
        <f t="shared" si="5"/>
        <v>London</v>
      </c>
      <c r="B360" s="1321" t="s">
        <v>3431</v>
      </c>
      <c r="C360" s="1322">
        <f>INDEX('LOCAL DATASET'!$C$376:$ALZ$376,1,ROW(C360)-1)</f>
        <v>0</v>
      </c>
    </row>
    <row r="361" spans="1:3">
      <c r="A361" s="1322" t="str">
        <f t="shared" si="5"/>
        <v>London</v>
      </c>
      <c r="B361" s="1321" t="s">
        <v>3432</v>
      </c>
      <c r="C361" s="1322">
        <f>INDEX('LOCAL DATASET'!$C$376:$ALZ$376,1,ROW(C361)-1)</f>
        <v>0</v>
      </c>
    </row>
    <row r="362" spans="1:3">
      <c r="A362" s="1322" t="str">
        <f t="shared" si="5"/>
        <v>London</v>
      </c>
      <c r="B362" s="1321" t="s">
        <v>480</v>
      </c>
      <c r="C362" s="1322">
        <f>INDEX('LOCAL DATASET'!$C$376:$ALZ$376,1,ROW(C362)-1)</f>
        <v>47000.43170107132</v>
      </c>
    </row>
    <row r="363" spans="1:3">
      <c r="A363" s="1322" t="str">
        <f t="shared" si="5"/>
        <v>London</v>
      </c>
      <c r="B363" s="1321" t="s">
        <v>3433</v>
      </c>
      <c r="C363" s="1322">
        <f>INDEX('LOCAL DATASET'!$C$376:$ALZ$376,1,ROW(C363)-1)</f>
        <v>-5.6057976196632886E-2</v>
      </c>
    </row>
    <row r="364" spans="1:3">
      <c r="A364" s="1322" t="str">
        <f t="shared" si="5"/>
        <v>London</v>
      </c>
      <c r="B364" s="1321" t="s">
        <v>3434</v>
      </c>
      <c r="C364" s="1322">
        <f>INDEX('LOCAL DATASET'!$C$376:$ALZ$376,1,ROW(C364)-1)</f>
        <v>2.3169596365813168</v>
      </c>
    </row>
    <row r="365" spans="1:3">
      <c r="A365" s="1322" t="str">
        <f t="shared" si="5"/>
        <v>London</v>
      </c>
      <c r="B365" s="1321" t="s">
        <v>3435</v>
      </c>
      <c r="C365" s="1322">
        <f>INDEX('LOCAL DATASET'!$C$376:$ALZ$376,1,ROW(C365)-1)</f>
        <v>2.3169596365813168</v>
      </c>
    </row>
    <row r="366" spans="1:3">
      <c r="A366" s="1322" t="str">
        <f t="shared" si="5"/>
        <v>London</v>
      </c>
      <c r="B366" s="1321" t="s">
        <v>477</v>
      </c>
      <c r="C366" s="1322">
        <f>INDEX('LOCAL DATASET'!$C$376:$ALZ$376,1,ROW(C366)-1)</f>
        <v>-111907.03951127999</v>
      </c>
    </row>
    <row r="367" spans="1:3">
      <c r="A367" s="1322" t="str">
        <f t="shared" si="5"/>
        <v>London</v>
      </c>
      <c r="B367" s="1321" t="s">
        <v>3436</v>
      </c>
      <c r="C367" s="1322">
        <f>INDEX('LOCAL DATASET'!$C$376:$ALZ$376,1,ROW(C367)-1)</f>
        <v>0</v>
      </c>
    </row>
    <row r="368" spans="1:3">
      <c r="A368" s="1322" t="str">
        <f t="shared" si="5"/>
        <v>London</v>
      </c>
      <c r="B368" s="1321" t="s">
        <v>3437</v>
      </c>
      <c r="C368" s="1322">
        <f>INDEX('LOCAL DATASET'!$C$376:$ALZ$376,1,ROW(C368)-1)</f>
        <v>0</v>
      </c>
    </row>
    <row r="369" spans="1:3">
      <c r="A369" s="1322" t="str">
        <f t="shared" si="5"/>
        <v>London</v>
      </c>
      <c r="B369" s="1321" t="s">
        <v>3438</v>
      </c>
      <c r="C369" s="1322">
        <f>INDEX('LOCAL DATASET'!$C$376:$ALZ$376,1,ROW(C369)-1)</f>
        <v>0</v>
      </c>
    </row>
    <row r="370" spans="1:3">
      <c r="A370" s="1322" t="str">
        <f t="shared" si="5"/>
        <v>London</v>
      </c>
      <c r="B370" s="1321" t="s">
        <v>478</v>
      </c>
      <c r="C370" s="1322">
        <f>INDEX('LOCAL DATASET'!$C$376:$ALZ$376,1,ROW(C370)-1)</f>
        <v>0</v>
      </c>
    </row>
    <row r="371" spans="1:3">
      <c r="A371" s="1322" t="str">
        <f t="shared" si="5"/>
        <v>London</v>
      </c>
      <c r="B371" s="1321" t="s">
        <v>3439</v>
      </c>
      <c r="C371" s="1322">
        <f>INDEX('LOCAL DATASET'!$C$376:$ALZ$376,1,ROW(C371)-1)</f>
        <v>0</v>
      </c>
    </row>
    <row r="372" spans="1:3">
      <c r="A372" s="1322" t="str">
        <f t="shared" si="5"/>
        <v>London</v>
      </c>
      <c r="B372" s="1321" t="s">
        <v>3440</v>
      </c>
      <c r="C372" s="1322">
        <f>INDEX('LOCAL DATASET'!$C$376:$ALZ$376,1,ROW(C372)-1)</f>
        <v>0</v>
      </c>
    </row>
    <row r="373" spans="1:3">
      <c r="A373" s="1322" t="str">
        <f t="shared" si="5"/>
        <v>London</v>
      </c>
      <c r="B373" s="1321" t="s">
        <v>3441</v>
      </c>
      <c r="C373" s="1322">
        <f>INDEX('LOCAL DATASET'!$C$376:$ALZ$376,1,ROW(C373)-1)</f>
        <v>0</v>
      </c>
    </row>
    <row r="374" spans="1:3">
      <c r="A374" s="1322" t="str">
        <f t="shared" si="5"/>
        <v>London</v>
      </c>
      <c r="B374" s="1321" t="s">
        <v>479</v>
      </c>
      <c r="C374" s="1322">
        <f>INDEX('LOCAL DATASET'!$C$376:$ALZ$376,1,ROW(C374)-1)</f>
        <v>24937.229909639544</v>
      </c>
    </row>
    <row r="375" spans="1:3">
      <c r="A375" s="1322" t="str">
        <f t="shared" si="5"/>
        <v>London</v>
      </c>
      <c r="B375" s="1321" t="s">
        <v>3442</v>
      </c>
      <c r="C375" s="1322">
        <f>INDEX('LOCAL DATASET'!$C$376:$ALZ$376,1,ROW(C375)-1)</f>
        <v>0</v>
      </c>
    </row>
    <row r="376" spans="1:3">
      <c r="A376" s="1322" t="str">
        <f t="shared" si="5"/>
        <v>London</v>
      </c>
      <c r="B376" s="1321" t="s">
        <v>3443</v>
      </c>
      <c r="C376" s="1322">
        <f>INDEX('LOCAL DATASET'!$C$376:$ALZ$376,1,ROW(C376)-1)</f>
        <v>0</v>
      </c>
    </row>
    <row r="377" spans="1:3">
      <c r="A377" s="1322" t="str">
        <f t="shared" si="5"/>
        <v>London</v>
      </c>
      <c r="B377" s="1321" t="s">
        <v>3444</v>
      </c>
      <c r="C377" s="1322">
        <f>INDEX('LOCAL DATASET'!$C$376:$ALZ$376,1,ROW(C377)-1)</f>
        <v>0</v>
      </c>
    </row>
    <row r="378" spans="1:3">
      <c r="A378" s="1322" t="str">
        <f t="shared" si="5"/>
        <v>London</v>
      </c>
      <c r="B378" s="1321" t="s">
        <v>481</v>
      </c>
      <c r="C378" s="1322">
        <f>INDEX('LOCAL DATASET'!$C$376:$ALZ$376,1,ROW(C378)-1)</f>
        <v>46903.788460051932</v>
      </c>
    </row>
    <row r="379" spans="1:3">
      <c r="A379" s="1322" t="str">
        <f t="shared" si="5"/>
        <v>London</v>
      </c>
      <c r="B379" s="1321" t="s">
        <v>3445</v>
      </c>
      <c r="C379" s="1322">
        <f>INDEX('LOCAL DATASET'!$C$376:$ALZ$376,1,ROW(C379)-1)</f>
        <v>0</v>
      </c>
    </row>
    <row r="380" spans="1:3">
      <c r="A380" s="1322" t="str">
        <f t="shared" si="5"/>
        <v>London</v>
      </c>
      <c r="B380" s="1321" t="s">
        <v>3446</v>
      </c>
      <c r="C380" s="1322">
        <f>INDEX('LOCAL DATASET'!$C$376:$ALZ$376,1,ROW(C380)-1)</f>
        <v>0</v>
      </c>
    </row>
    <row r="381" spans="1:3">
      <c r="A381" s="1322" t="str">
        <f t="shared" si="5"/>
        <v>London</v>
      </c>
      <c r="B381" s="1321" t="s">
        <v>3447</v>
      </c>
      <c r="C381" s="1322">
        <f>INDEX('LOCAL DATASET'!$C$376:$ALZ$376,1,ROW(C381)-1)</f>
        <v>0</v>
      </c>
    </row>
    <row r="382" spans="1:3">
      <c r="A382" s="1322" t="str">
        <f t="shared" si="5"/>
        <v>London</v>
      </c>
      <c r="B382" s="1321" t="s">
        <v>482</v>
      </c>
      <c r="C382" s="1322">
        <f>INDEX('LOCAL DATASET'!$C$376:$ALZ$376,1,ROW(C382)-1)</f>
        <v>-111907.03951127999</v>
      </c>
    </row>
    <row r="383" spans="1:3">
      <c r="A383" s="1322" t="str">
        <f t="shared" si="5"/>
        <v>London</v>
      </c>
      <c r="B383" s="1321" t="s">
        <v>3448</v>
      </c>
      <c r="C383" s="1322">
        <f>INDEX('LOCAL DATASET'!$C$376:$ALZ$376,1,ROW(C383)-1)</f>
        <v>0</v>
      </c>
    </row>
    <row r="384" spans="1:3">
      <c r="A384" s="1322" t="str">
        <f t="shared" si="5"/>
        <v>London</v>
      </c>
      <c r="B384" s="1321" t="s">
        <v>3449</v>
      </c>
      <c r="C384" s="1322">
        <f>INDEX('LOCAL DATASET'!$C$376:$ALZ$376,1,ROW(C384)-1)</f>
        <v>0</v>
      </c>
    </row>
    <row r="385" spans="1:3">
      <c r="A385" s="1322" t="str">
        <f t="shared" si="5"/>
        <v>London</v>
      </c>
      <c r="B385" s="1321" t="s">
        <v>3450</v>
      </c>
      <c r="C385" s="1322">
        <f>INDEX('LOCAL DATASET'!$C$376:$ALZ$376,1,ROW(C385)-1)</f>
        <v>0</v>
      </c>
    </row>
    <row r="386" spans="1:3">
      <c r="A386" s="1322" t="str">
        <f t="shared" si="5"/>
        <v>London</v>
      </c>
      <c r="B386" s="1321" t="s">
        <v>3451</v>
      </c>
      <c r="C386" s="1322">
        <f>INDEX('LOCAL DATASET'!$C$376:$ALZ$376,1,ROW(C386)-1)</f>
        <v>1.5231330000000001</v>
      </c>
    </row>
    <row r="387" spans="1:3">
      <c r="A387" s="1322" t="str">
        <f t="shared" si="5"/>
        <v>London</v>
      </c>
      <c r="B387" s="1321" t="s">
        <v>3452</v>
      </c>
      <c r="C387" s="1322">
        <f>INDEX('LOCAL DATASET'!$C$376:$ALZ$376,1,ROW(C387)-1)</f>
        <v>0</v>
      </c>
    </row>
    <row r="388" spans="1:3">
      <c r="A388" s="1322" t="str">
        <f t="shared" ref="A388:A451" si="6">A387</f>
        <v>London</v>
      </c>
      <c r="B388" s="1321" t="s">
        <v>3453</v>
      </c>
      <c r="C388" s="1322">
        <f>INDEX('LOCAL DATASET'!$C$376:$ALZ$376,1,ROW(C388)-1)</f>
        <v>0</v>
      </c>
    </row>
    <row r="389" spans="1:3">
      <c r="A389" s="1322" t="str">
        <f t="shared" si="6"/>
        <v>London</v>
      </c>
      <c r="B389" s="1321" t="s">
        <v>3454</v>
      </c>
      <c r="C389" s="1322">
        <f>INDEX('LOCAL DATASET'!$C$376:$ALZ$376,1,ROW(C389)-1)</f>
        <v>0.41499999999999998</v>
      </c>
    </row>
    <row r="390" spans="1:3">
      <c r="A390" s="1322" t="str">
        <f t="shared" si="6"/>
        <v>London</v>
      </c>
      <c r="B390" s="1321" t="s">
        <v>3455</v>
      </c>
      <c r="C390" s="1322">
        <f>INDEX('LOCAL DATASET'!$C$376:$ALZ$376,1,ROW(C390)-1)</f>
        <v>1.758</v>
      </c>
    </row>
    <row r="391" spans="1:3">
      <c r="A391" s="1322" t="str">
        <f t="shared" si="6"/>
        <v>London</v>
      </c>
      <c r="B391" s="1321" t="s">
        <v>3456</v>
      </c>
      <c r="C391" s="1322">
        <f>INDEX('LOCAL DATASET'!$C$376:$ALZ$376,1,ROW(C391)-1)</f>
        <v>0</v>
      </c>
    </row>
    <row r="392" spans="1:3">
      <c r="A392" s="1322" t="str">
        <f t="shared" si="6"/>
        <v>London</v>
      </c>
      <c r="B392" s="1321" t="s">
        <v>3457</v>
      </c>
      <c r="C392" s="1322">
        <f>INDEX('LOCAL DATASET'!$C$376:$ALZ$376,1,ROW(C392)-1)</f>
        <v>-84.37</v>
      </c>
    </row>
    <row r="393" spans="1:3">
      <c r="A393" s="1322" t="str">
        <f t="shared" si="6"/>
        <v>London</v>
      </c>
      <c r="B393" s="1321" t="s">
        <v>3458</v>
      </c>
      <c r="C393" s="1322">
        <f>INDEX('LOCAL DATASET'!$C$376:$ALZ$376,1,ROW(C393)-1)</f>
        <v>-16.87</v>
      </c>
    </row>
    <row r="394" spans="1:3">
      <c r="A394" s="1322" t="str">
        <f t="shared" si="6"/>
        <v>London</v>
      </c>
      <c r="B394" s="1321" t="s">
        <v>3459</v>
      </c>
      <c r="C394" s="1322">
        <f>INDEX('LOCAL DATASET'!$C$376:$ALZ$376,1,ROW(C394)-1)</f>
        <v>-6.1579439252340003E-2</v>
      </c>
    </row>
    <row r="395" spans="1:3">
      <c r="A395" s="1322" t="str">
        <f t="shared" si="6"/>
        <v>London</v>
      </c>
      <c r="B395" s="1321" t="s">
        <v>3460</v>
      </c>
      <c r="C395" s="1322">
        <f>INDEX('LOCAL DATASET'!$C$376:$ALZ$376,1,ROW(C395)-1)</f>
        <v>0</v>
      </c>
    </row>
    <row r="396" spans="1:3">
      <c r="A396" s="1322" t="str">
        <f t="shared" si="6"/>
        <v>London</v>
      </c>
      <c r="B396" s="1321" t="s">
        <v>3461</v>
      </c>
      <c r="C396" s="1322">
        <f>INDEX('LOCAL DATASET'!$C$376:$ALZ$376,1,ROW(C396)-1)</f>
        <v>-1.446</v>
      </c>
    </row>
    <row r="397" spans="1:3">
      <c r="A397" s="1322" t="str">
        <f t="shared" si="6"/>
        <v>London</v>
      </c>
      <c r="B397" s="1321" t="s">
        <v>3462</v>
      </c>
      <c r="C397" s="1322">
        <f>INDEX('LOCAL DATASET'!$C$376:$ALZ$376,1,ROW(C397)-1)</f>
        <v>0</v>
      </c>
    </row>
    <row r="398" spans="1:3">
      <c r="A398" s="1322" t="str">
        <f t="shared" si="6"/>
        <v>London</v>
      </c>
      <c r="B398" s="1321" t="s">
        <v>3463</v>
      </c>
      <c r="C398" s="1322">
        <f>INDEX('LOCAL DATASET'!$C$376:$ALZ$376,1,ROW(C398)-1)</f>
        <v>-9.4603761378899993E-3</v>
      </c>
    </row>
    <row r="399" spans="1:3">
      <c r="A399" s="1322" t="str">
        <f t="shared" si="6"/>
        <v>London</v>
      </c>
      <c r="B399" s="1321" t="s">
        <v>3464</v>
      </c>
      <c r="C399" s="1322">
        <f>INDEX('LOCAL DATASET'!$C$376:$ALZ$376,1,ROW(C399)-1)</f>
        <v>0</v>
      </c>
    </row>
    <row r="400" spans="1:3">
      <c r="A400" s="1322" t="str">
        <f t="shared" si="6"/>
        <v>London</v>
      </c>
      <c r="B400" s="1321" t="s">
        <v>3465</v>
      </c>
      <c r="C400" s="1322">
        <f>INDEX('LOCAL DATASET'!$C$376:$ALZ$376,1,ROW(C400)-1)</f>
        <v>0</v>
      </c>
    </row>
    <row r="401" spans="1:3">
      <c r="A401" s="1322" t="str">
        <f t="shared" si="6"/>
        <v>London</v>
      </c>
      <c r="B401" s="1321" t="s">
        <v>3466</v>
      </c>
      <c r="C401" s="1322">
        <f>INDEX('LOCAL DATASET'!$C$376:$ALZ$376,1,ROW(C401)-1)</f>
        <v>0</v>
      </c>
    </row>
    <row r="402" spans="1:3">
      <c r="A402" s="1322" t="str">
        <f t="shared" si="6"/>
        <v>London</v>
      </c>
      <c r="B402" s="1321" t="s">
        <v>3467</v>
      </c>
      <c r="C402" s="1322">
        <f>INDEX('LOCAL DATASET'!$C$376:$ALZ$376,1,ROW(C402)-1)</f>
        <v>-0.74199999999999999</v>
      </c>
    </row>
    <row r="403" spans="1:3">
      <c r="A403" s="1322" t="str">
        <f t="shared" si="6"/>
        <v>London</v>
      </c>
      <c r="B403" s="1321" t="s">
        <v>3468</v>
      </c>
      <c r="C403" s="1322">
        <f>INDEX('LOCAL DATASET'!$C$376:$ALZ$376,1,ROW(C403)-1)</f>
        <v>0</v>
      </c>
    </row>
    <row r="404" spans="1:3">
      <c r="A404" s="1322" t="str">
        <f t="shared" si="6"/>
        <v>London</v>
      </c>
      <c r="B404" s="1321" t="s">
        <v>3469</v>
      </c>
      <c r="C404" s="1322">
        <f>INDEX('LOCAL DATASET'!$C$376:$ALZ$376,1,ROW(C404)-1)</f>
        <v>0</v>
      </c>
    </row>
    <row r="405" spans="1:3">
      <c r="A405" s="1322" t="str">
        <f t="shared" si="6"/>
        <v>London</v>
      </c>
      <c r="B405" s="1321" t="s">
        <v>3470</v>
      </c>
      <c r="C405" s="1322">
        <f>INDEX('LOCAL DATASET'!$C$376:$ALZ$376,1,ROW(C405)-1)</f>
        <v>0</v>
      </c>
    </row>
    <row r="406" spans="1:3">
      <c r="A406" s="1322" t="str">
        <f t="shared" si="6"/>
        <v>London</v>
      </c>
      <c r="B406" s="1321" t="s">
        <v>3471</v>
      </c>
      <c r="C406" s="1322">
        <f>INDEX('LOCAL DATASET'!$C$376:$ALZ$376,1,ROW(C406)-1)</f>
        <v>0</v>
      </c>
    </row>
    <row r="407" spans="1:3">
      <c r="A407" s="1322" t="str">
        <f t="shared" si="6"/>
        <v>London</v>
      </c>
      <c r="B407" s="1321" t="s">
        <v>3472</v>
      </c>
      <c r="C407" s="1322">
        <f>INDEX('LOCAL DATASET'!$C$376:$ALZ$376,1,ROW(C407)-1)</f>
        <v>0</v>
      </c>
    </row>
    <row r="408" spans="1:3">
      <c r="A408" s="1322" t="str">
        <f t="shared" si="6"/>
        <v>London</v>
      </c>
      <c r="B408" s="1321" t="s">
        <v>3473</v>
      </c>
      <c r="C408" s="1322">
        <f>INDEX('LOCAL DATASET'!$C$376:$ALZ$376,1,ROW(C408)-1)</f>
        <v>0</v>
      </c>
    </row>
    <row r="409" spans="1:3">
      <c r="A409" s="1322" t="str">
        <f t="shared" si="6"/>
        <v>London</v>
      </c>
      <c r="B409" s="1321" t="s">
        <v>3474</v>
      </c>
      <c r="C409" s="1322">
        <f>INDEX('LOCAL DATASET'!$C$376:$ALZ$376,1,ROW(C409)-1)</f>
        <v>0</v>
      </c>
    </row>
    <row r="410" spans="1:3">
      <c r="A410" s="1322" t="str">
        <f t="shared" si="6"/>
        <v>London</v>
      </c>
      <c r="B410" s="1321" t="s">
        <v>3475</v>
      </c>
      <c r="C410" s="1322">
        <f>INDEX('LOCAL DATASET'!$C$376:$ALZ$376,1,ROW(C410)-1)</f>
        <v>0</v>
      </c>
    </row>
    <row r="411" spans="1:3">
      <c r="A411" s="1322" t="str">
        <f t="shared" si="6"/>
        <v>London</v>
      </c>
      <c r="B411" s="1321" t="s">
        <v>3476</v>
      </c>
      <c r="C411" s="1322">
        <f>INDEX('LOCAL DATASET'!$C$376:$ALZ$376,1,ROW(C411)-1)</f>
        <v>0</v>
      </c>
    </row>
    <row r="412" spans="1:3">
      <c r="A412" s="1322" t="str">
        <f t="shared" si="6"/>
        <v>London</v>
      </c>
      <c r="B412" s="1321" t="s">
        <v>3477</v>
      </c>
      <c r="C412" s="1322">
        <f>INDEX('LOCAL DATASET'!$C$376:$ALZ$376,1,ROW(C412)-1)</f>
        <v>0</v>
      </c>
    </row>
    <row r="413" spans="1:3">
      <c r="A413" s="1322" t="str">
        <f t="shared" si="6"/>
        <v>London</v>
      </c>
      <c r="B413" s="1321" t="s">
        <v>3478</v>
      </c>
      <c r="C413" s="1322">
        <f>INDEX('LOCAL DATASET'!$C$376:$ALZ$376,1,ROW(C413)-1)</f>
        <v>0</v>
      </c>
    </row>
    <row r="414" spans="1:3">
      <c r="A414" s="1322" t="str">
        <f t="shared" si="6"/>
        <v>London</v>
      </c>
      <c r="B414" s="1321" t="s">
        <v>3479</v>
      </c>
      <c r="C414" s="1322">
        <f>INDEX('LOCAL DATASET'!$C$376:$ALZ$376,1,ROW(C414)-1)</f>
        <v>0</v>
      </c>
    </row>
    <row r="415" spans="1:3">
      <c r="A415" s="1322" t="str">
        <f t="shared" si="6"/>
        <v>London</v>
      </c>
      <c r="B415" s="1321" t="s">
        <v>3480</v>
      </c>
      <c r="C415" s="1322">
        <f>INDEX('LOCAL DATASET'!$C$376:$ALZ$376,1,ROW(C415)-1)</f>
        <v>0</v>
      </c>
    </row>
    <row r="416" spans="1:3">
      <c r="A416" s="1322" t="str">
        <f t="shared" si="6"/>
        <v>London</v>
      </c>
      <c r="B416" s="1321" t="s">
        <v>3481</v>
      </c>
      <c r="C416" s="1322">
        <f>INDEX('LOCAL DATASET'!$C$376:$ALZ$376,1,ROW(C416)-1)</f>
        <v>0</v>
      </c>
    </row>
    <row r="417" spans="1:3">
      <c r="A417" s="1322" t="str">
        <f t="shared" si="6"/>
        <v>London</v>
      </c>
      <c r="B417" s="1321" t="s">
        <v>3482</v>
      </c>
      <c r="C417" s="1322">
        <f>INDEX('LOCAL DATASET'!$C$376:$ALZ$376,1,ROW(C417)-1)</f>
        <v>0</v>
      </c>
    </row>
    <row r="418" spans="1:3">
      <c r="A418" s="1322" t="str">
        <f t="shared" si="6"/>
        <v>London</v>
      </c>
      <c r="B418" s="1321" t="s">
        <v>3483</v>
      </c>
      <c r="C418" s="1322">
        <f>INDEX('LOCAL DATASET'!$C$376:$ALZ$376,1,ROW(C418)-1)</f>
        <v>0</v>
      </c>
    </row>
    <row r="419" spans="1:3">
      <c r="A419" s="1322" t="str">
        <f t="shared" si="6"/>
        <v>London</v>
      </c>
      <c r="B419" s="1321" t="s">
        <v>3484</v>
      </c>
      <c r="C419" s="1322">
        <f>INDEX('LOCAL DATASET'!$C$376:$ALZ$376,1,ROW(C419)-1)</f>
        <v>0</v>
      </c>
    </row>
    <row r="420" spans="1:3">
      <c r="A420" s="1322" t="str">
        <f t="shared" si="6"/>
        <v>London</v>
      </c>
      <c r="B420" s="1321" t="s">
        <v>3485</v>
      </c>
      <c r="C420" s="1322">
        <f>INDEX('LOCAL DATASET'!$C$376:$ALZ$376,1,ROW(C420)-1)</f>
        <v>0.313</v>
      </c>
    </row>
    <row r="421" spans="1:3">
      <c r="A421" s="1322" t="str">
        <f t="shared" si="6"/>
        <v>London</v>
      </c>
      <c r="B421" s="1321" t="s">
        <v>3486</v>
      </c>
      <c r="C421" s="1322">
        <f>INDEX('LOCAL DATASET'!$C$376:$ALZ$376,1,ROW(C421)-1)</f>
        <v>0</v>
      </c>
    </row>
    <row r="422" spans="1:3">
      <c r="A422" s="1322" t="str">
        <f t="shared" si="6"/>
        <v>London</v>
      </c>
      <c r="B422" s="1321" t="s">
        <v>3487</v>
      </c>
      <c r="C422" s="1322">
        <f>INDEX('LOCAL DATASET'!$C$376:$ALZ$376,1,ROW(C422)-1)</f>
        <v>-84.37</v>
      </c>
    </row>
    <row r="423" spans="1:3">
      <c r="A423" s="1322" t="str">
        <f t="shared" si="6"/>
        <v>London</v>
      </c>
      <c r="B423" s="1321" t="s">
        <v>3488</v>
      </c>
      <c r="C423" s="1322">
        <f>INDEX('LOCAL DATASET'!$C$376:$ALZ$376,1,ROW(C423)-1)</f>
        <v>-16.87</v>
      </c>
    </row>
    <row r="424" spans="1:3">
      <c r="A424" s="1322" t="str">
        <f t="shared" si="6"/>
        <v>London</v>
      </c>
      <c r="B424" s="1321" t="s">
        <v>3489</v>
      </c>
      <c r="C424" s="1322">
        <f>INDEX('LOCAL DATASET'!$C$376:$ALZ$376,1,ROW(C424)-1)</f>
        <v>-0.24145736434109</v>
      </c>
    </row>
    <row r="425" spans="1:3">
      <c r="A425" s="1322" t="str">
        <f t="shared" si="6"/>
        <v>London</v>
      </c>
      <c r="B425" s="1321" t="s">
        <v>3490</v>
      </c>
      <c r="C425" s="1322">
        <f>INDEX('LOCAL DATASET'!$C$376:$ALZ$376,1,ROW(C425)-1)</f>
        <v>0</v>
      </c>
    </row>
    <row r="426" spans="1:3">
      <c r="A426" s="1322" t="str">
        <f t="shared" si="6"/>
        <v>London</v>
      </c>
      <c r="B426" s="1321" t="s">
        <v>3491</v>
      </c>
      <c r="C426" s="1322">
        <f>INDEX('LOCAL DATASET'!$C$376:$ALZ$376,1,ROW(C426)-1)</f>
        <v>-0.70399999999999996</v>
      </c>
    </row>
    <row r="427" spans="1:3">
      <c r="A427" s="1322" t="str">
        <f t="shared" si="6"/>
        <v>London</v>
      </c>
      <c r="B427" s="1321" t="s">
        <v>3492</v>
      </c>
      <c r="C427" s="1322">
        <f>INDEX('LOCAL DATASET'!$C$376:$ALZ$376,1,ROW(C427)-1)</f>
        <v>0</v>
      </c>
    </row>
    <row r="428" spans="1:3">
      <c r="A428" s="1322" t="str">
        <f t="shared" si="6"/>
        <v>London</v>
      </c>
      <c r="B428" s="1321" t="s">
        <v>3493</v>
      </c>
      <c r="C428" s="1322">
        <f>INDEX('LOCAL DATASET'!$C$376:$ALZ$376,1,ROW(C428)-1)</f>
        <v>7.8175695100399997E-3</v>
      </c>
    </row>
    <row r="429" spans="1:3">
      <c r="A429" s="1322" t="str">
        <f t="shared" si="6"/>
        <v>London</v>
      </c>
      <c r="B429" s="1321" t="s">
        <v>3494</v>
      </c>
      <c r="C429" s="1322">
        <f>INDEX('LOCAL DATASET'!$C$376:$ALZ$376,1,ROW(C429)-1)</f>
        <v>0</v>
      </c>
    </row>
    <row r="430" spans="1:3">
      <c r="A430" s="1322" t="str">
        <f t="shared" si="6"/>
        <v>London</v>
      </c>
      <c r="B430" s="1321" t="s">
        <v>3495</v>
      </c>
      <c r="C430" s="1322">
        <f>INDEX('LOCAL DATASET'!$C$376:$ALZ$376,1,ROW(C430)-1)</f>
        <v>0</v>
      </c>
    </row>
    <row r="431" spans="1:3">
      <c r="A431" s="1322" t="str">
        <f t="shared" si="6"/>
        <v>London</v>
      </c>
      <c r="B431" s="1321" t="s">
        <v>3496</v>
      </c>
      <c r="C431" s="1322">
        <f>INDEX('LOCAL DATASET'!$C$376:$ALZ$376,1,ROW(C431)-1)</f>
        <v>0</v>
      </c>
    </row>
    <row r="432" spans="1:3">
      <c r="A432" s="1322" t="str">
        <f t="shared" si="6"/>
        <v>London</v>
      </c>
      <c r="B432" s="1321" t="s">
        <v>3497</v>
      </c>
      <c r="C432" s="1322">
        <f>INDEX('LOCAL DATASET'!$C$376:$ALZ$376,1,ROW(C432)-1)</f>
        <v>0.74199999999999999</v>
      </c>
    </row>
    <row r="433" spans="1:3">
      <c r="A433" s="1322" t="str">
        <f t="shared" si="6"/>
        <v>London</v>
      </c>
      <c r="B433" s="1321" t="s">
        <v>3498</v>
      </c>
      <c r="C433" s="1322">
        <f>INDEX('LOCAL DATASET'!$C$376:$ALZ$376,1,ROW(C433)-1)</f>
        <v>0</v>
      </c>
    </row>
    <row r="434" spans="1:3">
      <c r="A434" s="1322" t="str">
        <f t="shared" si="6"/>
        <v>London</v>
      </c>
      <c r="B434" s="1321" t="s">
        <v>3499</v>
      </c>
      <c r="C434" s="1322">
        <f>INDEX('LOCAL DATASET'!$C$376:$ALZ$376,1,ROW(C434)-1)</f>
        <v>0</v>
      </c>
    </row>
    <row r="435" spans="1:3">
      <c r="A435" s="1322" t="str">
        <f t="shared" si="6"/>
        <v>London</v>
      </c>
      <c r="B435" s="1321" t="s">
        <v>3500</v>
      </c>
      <c r="C435" s="1322">
        <f>INDEX('LOCAL DATASET'!$C$376:$ALZ$376,1,ROW(C435)-1)</f>
        <v>0</v>
      </c>
    </row>
    <row r="436" spans="1:3">
      <c r="A436" s="1322" t="str">
        <f t="shared" si="6"/>
        <v>London</v>
      </c>
      <c r="B436" s="1321" t="s">
        <v>3501</v>
      </c>
      <c r="C436" s="1322">
        <f>INDEX('LOCAL DATASET'!$C$376:$ALZ$376,1,ROW(C436)-1)</f>
        <v>0</v>
      </c>
    </row>
    <row r="437" spans="1:3">
      <c r="A437" s="1322" t="str">
        <f t="shared" si="6"/>
        <v>London</v>
      </c>
      <c r="B437" s="1321" t="s">
        <v>3502</v>
      </c>
      <c r="C437" s="1322">
        <f>INDEX('LOCAL DATASET'!$C$376:$ALZ$376,1,ROW(C437)-1)</f>
        <v>0</v>
      </c>
    </row>
    <row r="438" spans="1:3">
      <c r="A438" s="1322" t="str">
        <f t="shared" si="6"/>
        <v>London</v>
      </c>
      <c r="B438" s="1321" t="s">
        <v>3503</v>
      </c>
      <c r="C438" s="1322">
        <f>INDEX('LOCAL DATASET'!$C$376:$ALZ$376,1,ROW(C438)-1)</f>
        <v>0</v>
      </c>
    </row>
    <row r="439" spans="1:3">
      <c r="A439" s="1322" t="str">
        <f t="shared" si="6"/>
        <v>London</v>
      </c>
      <c r="B439" s="1321" t="s">
        <v>3504</v>
      </c>
      <c r="C439" s="1322">
        <f>INDEX('LOCAL DATASET'!$C$376:$ALZ$376,1,ROW(C439)-1)</f>
        <v>0</v>
      </c>
    </row>
    <row r="440" spans="1:3">
      <c r="A440" s="1322" t="str">
        <f t="shared" si="6"/>
        <v>London</v>
      </c>
      <c r="B440" s="1321" t="s">
        <v>3505</v>
      </c>
      <c r="C440" s="1322">
        <f>INDEX('LOCAL DATASET'!$C$376:$ALZ$376,1,ROW(C440)-1)</f>
        <v>0</v>
      </c>
    </row>
    <row r="441" spans="1:3">
      <c r="A441" s="1322" t="str">
        <f t="shared" si="6"/>
        <v>London</v>
      </c>
      <c r="B441" s="1321" t="s">
        <v>3506</v>
      </c>
      <c r="C441" s="1322">
        <f>INDEX('LOCAL DATASET'!$C$376:$ALZ$376,1,ROW(C441)-1)</f>
        <v>0</v>
      </c>
    </row>
    <row r="442" spans="1:3">
      <c r="A442" s="1322" t="str">
        <f t="shared" si="6"/>
        <v>London</v>
      </c>
      <c r="B442" s="1321" t="s">
        <v>3507</v>
      </c>
      <c r="C442" s="1322">
        <f>INDEX('LOCAL DATASET'!$C$376:$ALZ$376,1,ROW(C442)-1)</f>
        <v>0</v>
      </c>
    </row>
    <row r="443" spans="1:3">
      <c r="A443" s="1322" t="str">
        <f t="shared" si="6"/>
        <v>London</v>
      </c>
      <c r="B443" s="1321" t="s">
        <v>3508</v>
      </c>
      <c r="C443" s="1322">
        <f>INDEX('LOCAL DATASET'!$C$376:$ALZ$376,1,ROW(C443)-1)</f>
        <v>0</v>
      </c>
    </row>
    <row r="444" spans="1:3">
      <c r="A444" s="1322" t="str">
        <f t="shared" si="6"/>
        <v>London</v>
      </c>
      <c r="B444" s="1321" t="s">
        <v>3509</v>
      </c>
      <c r="C444" s="1322">
        <f>INDEX('LOCAL DATASET'!$C$376:$ALZ$376,1,ROW(C444)-1)</f>
        <v>0</v>
      </c>
    </row>
    <row r="445" spans="1:3">
      <c r="A445" s="1322" t="str">
        <f t="shared" si="6"/>
        <v>London</v>
      </c>
      <c r="B445" s="1321" t="s">
        <v>3510</v>
      </c>
      <c r="C445" s="1322">
        <f>INDEX('LOCAL DATASET'!$C$376:$ALZ$376,1,ROW(C445)-1)</f>
        <v>0</v>
      </c>
    </row>
    <row r="446" spans="1:3">
      <c r="A446" s="1322" t="str">
        <f t="shared" si="6"/>
        <v>London</v>
      </c>
      <c r="B446" s="1321" t="s">
        <v>3511</v>
      </c>
      <c r="C446" s="1322">
        <f>INDEX('LOCAL DATASET'!$C$376:$ALZ$376,1,ROW(C446)-1)</f>
        <v>0</v>
      </c>
    </row>
    <row r="447" spans="1:3">
      <c r="A447" s="1322" t="str">
        <f t="shared" si="6"/>
        <v>London</v>
      </c>
      <c r="B447" s="1321" t="s">
        <v>3512</v>
      </c>
      <c r="C447" s="1322">
        <f>INDEX('LOCAL DATASET'!$C$376:$ALZ$376,1,ROW(C447)-1)</f>
        <v>0</v>
      </c>
    </row>
    <row r="448" spans="1:3">
      <c r="A448" s="1322" t="str">
        <f t="shared" si="6"/>
        <v>London</v>
      </c>
      <c r="B448" s="1321" t="s">
        <v>3513</v>
      </c>
      <c r="C448" s="1322">
        <f>INDEX('LOCAL DATASET'!$C$376:$ALZ$376,1,ROW(C448)-1)</f>
        <v>0</v>
      </c>
    </row>
    <row r="449" spans="1:3">
      <c r="A449" s="1322" t="str">
        <f t="shared" si="6"/>
        <v>London</v>
      </c>
      <c r="B449" s="1321" t="s">
        <v>3514</v>
      </c>
      <c r="C449" s="1322">
        <f>INDEX('LOCAL DATASET'!$C$376:$ALZ$376,1,ROW(C449)-1)</f>
        <v>0</v>
      </c>
    </row>
    <row r="450" spans="1:3">
      <c r="A450" s="1322" t="str">
        <f t="shared" si="6"/>
        <v>London</v>
      </c>
      <c r="B450" s="1321" t="s">
        <v>3515</v>
      </c>
      <c r="C450" s="1322">
        <f>INDEX('LOCAL DATASET'!$C$376:$ALZ$376,1,ROW(C450)-1)</f>
        <v>0</v>
      </c>
    </row>
    <row r="451" spans="1:3">
      <c r="A451" s="1322" t="str">
        <f t="shared" si="6"/>
        <v>London</v>
      </c>
      <c r="B451" s="1321" t="s">
        <v>3516</v>
      </c>
      <c r="C451" s="1322">
        <f>INDEX('LOCAL DATASET'!$C$376:$ALZ$376,1,ROW(C451)-1)</f>
        <v>0</v>
      </c>
    </row>
    <row r="452" spans="1:3">
      <c r="A452" s="1322" t="str">
        <f t="shared" ref="A452:A515" si="7">A451</f>
        <v>London</v>
      </c>
      <c r="B452" s="1321" t="s">
        <v>3517</v>
      </c>
      <c r="C452" s="1322">
        <f>INDEX('LOCAL DATASET'!$C$376:$ALZ$376,1,ROW(C452)-1)</f>
        <v>0</v>
      </c>
    </row>
    <row r="453" spans="1:3">
      <c r="A453" s="1322" t="str">
        <f t="shared" si="7"/>
        <v>London</v>
      </c>
      <c r="B453" s="1321" t="s">
        <v>3518</v>
      </c>
      <c r="C453" s="1322">
        <f>INDEX('LOCAL DATASET'!$C$376:$ALZ$376,1,ROW(C453)-1)</f>
        <v>0</v>
      </c>
    </row>
    <row r="454" spans="1:3">
      <c r="A454" s="1322" t="str">
        <f t="shared" si="7"/>
        <v>London</v>
      </c>
      <c r="B454" s="1321" t="s">
        <v>3519</v>
      </c>
      <c r="C454" s="1322">
        <f>INDEX('LOCAL DATASET'!$C$376:$ALZ$376,1,ROW(C454)-1)</f>
        <v>0</v>
      </c>
    </row>
    <row r="455" spans="1:3">
      <c r="A455" s="1322" t="str">
        <f t="shared" si="7"/>
        <v>London</v>
      </c>
      <c r="B455" s="1321" t="s">
        <v>3520</v>
      </c>
      <c r="C455" s="1322">
        <f>INDEX('LOCAL DATASET'!$C$376:$ALZ$376,1,ROW(C455)-1)</f>
        <v>0</v>
      </c>
    </row>
    <row r="456" spans="1:3">
      <c r="A456" s="1322" t="str">
        <f t="shared" si="7"/>
        <v>London</v>
      </c>
      <c r="B456" s="1321" t="s">
        <v>3521</v>
      </c>
      <c r="C456" s="1322">
        <f>INDEX('LOCAL DATASET'!$C$376:$ALZ$376,1,ROW(C456)-1)</f>
        <v>0</v>
      </c>
    </row>
    <row r="457" spans="1:3">
      <c r="A457" s="1322" t="str">
        <f t="shared" si="7"/>
        <v>London</v>
      </c>
      <c r="B457" s="1321" t="s">
        <v>3522</v>
      </c>
      <c r="C457" s="1322">
        <f>INDEX('LOCAL DATASET'!$C$376:$ALZ$376,1,ROW(C457)-1)</f>
        <v>0</v>
      </c>
    </row>
    <row r="458" spans="1:3">
      <c r="A458" s="1322" t="str">
        <f t="shared" si="7"/>
        <v>London</v>
      </c>
      <c r="B458" s="1321" t="s">
        <v>3523</v>
      </c>
      <c r="C458" s="1322">
        <f>INDEX('LOCAL DATASET'!$C$376:$ALZ$376,1,ROW(C458)-1)</f>
        <v>0</v>
      </c>
    </row>
    <row r="459" spans="1:3">
      <c r="A459" s="1322" t="str">
        <f t="shared" si="7"/>
        <v>London</v>
      </c>
      <c r="B459" s="1321" t="s">
        <v>3524</v>
      </c>
      <c r="C459" s="1322">
        <f>INDEX('LOCAL DATASET'!$C$376:$ALZ$376,1,ROW(C459)-1)</f>
        <v>0</v>
      </c>
    </row>
    <row r="460" spans="1:3">
      <c r="A460" s="1322" t="str">
        <f t="shared" si="7"/>
        <v>London</v>
      </c>
      <c r="B460" s="1321" t="s">
        <v>3525</v>
      </c>
      <c r="C460" s="1322">
        <f>INDEX('LOCAL DATASET'!$C$376:$ALZ$376,1,ROW(C460)-1)</f>
        <v>0</v>
      </c>
    </row>
    <row r="461" spans="1:3">
      <c r="A461" s="1322" t="str">
        <f t="shared" si="7"/>
        <v>London</v>
      </c>
      <c r="B461" s="1321" t="s">
        <v>3526</v>
      </c>
      <c r="C461" s="1322">
        <f>INDEX('LOCAL DATASET'!$C$376:$ALZ$376,1,ROW(C461)-1)</f>
        <v>0</v>
      </c>
    </row>
    <row r="462" spans="1:3">
      <c r="A462" s="1322" t="str">
        <f t="shared" si="7"/>
        <v>London</v>
      </c>
      <c r="B462" s="1321" t="s">
        <v>3527</v>
      </c>
      <c r="C462" s="1322">
        <f>INDEX('LOCAL DATASET'!$C$376:$ALZ$376,1,ROW(C462)-1)</f>
        <v>0</v>
      </c>
    </row>
    <row r="463" spans="1:3">
      <c r="A463" s="1322" t="str">
        <f t="shared" si="7"/>
        <v>London</v>
      </c>
      <c r="B463" s="1321" t="s">
        <v>3528</v>
      </c>
      <c r="C463" s="1322">
        <f>INDEX('LOCAL DATASET'!$C$376:$ALZ$376,1,ROW(C463)-1)</f>
        <v>0</v>
      </c>
    </row>
    <row r="464" spans="1:3">
      <c r="A464" s="1322" t="str">
        <f t="shared" si="7"/>
        <v>London</v>
      </c>
      <c r="B464" s="1321" t="s">
        <v>3529</v>
      </c>
      <c r="C464" s="1322">
        <f>INDEX('LOCAL DATASET'!$C$376:$ALZ$376,1,ROW(C464)-1)</f>
        <v>0</v>
      </c>
    </row>
    <row r="465" spans="1:3">
      <c r="A465" s="1322" t="str">
        <f t="shared" si="7"/>
        <v>London</v>
      </c>
      <c r="B465" s="1321" t="s">
        <v>3530</v>
      </c>
      <c r="C465" s="1322">
        <f>INDEX('LOCAL DATASET'!$C$376:$ALZ$376,1,ROW(C465)-1)</f>
        <v>0</v>
      </c>
    </row>
    <row r="466" spans="1:3">
      <c r="A466" s="1322" t="str">
        <f t="shared" si="7"/>
        <v>London</v>
      </c>
      <c r="B466" s="1321" t="s">
        <v>3531</v>
      </c>
      <c r="C466" s="1322">
        <f>INDEX('LOCAL DATASET'!$C$376:$ALZ$376,1,ROW(C466)-1)</f>
        <v>0</v>
      </c>
    </row>
    <row r="467" spans="1:3">
      <c r="A467" s="1322" t="str">
        <f t="shared" si="7"/>
        <v>London</v>
      </c>
      <c r="B467" s="1321" t="s">
        <v>3532</v>
      </c>
      <c r="C467" s="1322">
        <f>INDEX('LOCAL DATASET'!$C$376:$ALZ$376,1,ROW(C467)-1)</f>
        <v>0</v>
      </c>
    </row>
    <row r="468" spans="1:3">
      <c r="A468" s="1322" t="str">
        <f t="shared" si="7"/>
        <v>London</v>
      </c>
      <c r="B468" s="1321" t="s">
        <v>3533</v>
      </c>
      <c r="C468" s="1322">
        <f>INDEX('LOCAL DATASET'!$C$376:$ALZ$376,1,ROW(C468)-1)</f>
        <v>0</v>
      </c>
    </row>
    <row r="469" spans="1:3">
      <c r="A469" s="1322" t="str">
        <f t="shared" si="7"/>
        <v>London</v>
      </c>
      <c r="B469" s="1321" t="s">
        <v>3534</v>
      </c>
      <c r="C469" s="1322">
        <f>INDEX('LOCAL DATASET'!$C$376:$ALZ$376,1,ROW(C469)-1)</f>
        <v>0</v>
      </c>
    </row>
    <row r="470" spans="1:3">
      <c r="A470" s="1322" t="str">
        <f t="shared" si="7"/>
        <v>London</v>
      </c>
      <c r="B470" s="1321" t="s">
        <v>3535</v>
      </c>
      <c r="C470" s="1322">
        <f>INDEX('LOCAL DATASET'!$C$376:$ALZ$376,1,ROW(C470)-1)</f>
        <v>0</v>
      </c>
    </row>
    <row r="471" spans="1:3">
      <c r="A471" s="1322" t="str">
        <f t="shared" si="7"/>
        <v>London</v>
      </c>
      <c r="B471" s="1321" t="s">
        <v>3536</v>
      </c>
      <c r="C471" s="1322">
        <f>INDEX('LOCAL DATASET'!$C$376:$ALZ$376,1,ROW(C471)-1)</f>
        <v>0</v>
      </c>
    </row>
    <row r="472" spans="1:3">
      <c r="A472" s="1322" t="str">
        <f t="shared" si="7"/>
        <v>London</v>
      </c>
      <c r="B472" s="1321" t="s">
        <v>3537</v>
      </c>
      <c r="C472" s="1322">
        <f>INDEX('LOCAL DATASET'!$C$376:$ALZ$376,1,ROW(C472)-1)</f>
        <v>0</v>
      </c>
    </row>
    <row r="473" spans="1:3">
      <c r="A473" s="1322" t="str">
        <f t="shared" si="7"/>
        <v>London</v>
      </c>
      <c r="B473" s="1321" t="s">
        <v>3538</v>
      </c>
      <c r="C473" s="1322">
        <f>INDEX('LOCAL DATASET'!$C$376:$ALZ$376,1,ROW(C473)-1)</f>
        <v>0</v>
      </c>
    </row>
    <row r="474" spans="1:3">
      <c r="A474" s="1322" t="str">
        <f t="shared" si="7"/>
        <v>London</v>
      </c>
      <c r="B474" s="1321" t="s">
        <v>3539</v>
      </c>
      <c r="C474" s="1322">
        <f>INDEX('LOCAL DATASET'!$C$376:$ALZ$376,1,ROW(C474)-1)</f>
        <v>0</v>
      </c>
    </row>
    <row r="475" spans="1:3">
      <c r="A475" s="1322" t="str">
        <f t="shared" si="7"/>
        <v>London</v>
      </c>
      <c r="B475" s="1321" t="s">
        <v>3540</v>
      </c>
      <c r="C475" s="1322">
        <f>INDEX('LOCAL DATASET'!$C$376:$ALZ$376,1,ROW(C475)-1)</f>
        <v>0</v>
      </c>
    </row>
    <row r="476" spans="1:3">
      <c r="A476" s="1322" t="str">
        <f t="shared" si="7"/>
        <v>London</v>
      </c>
      <c r="B476" s="1321" t="s">
        <v>3541</v>
      </c>
      <c r="C476" s="1322">
        <f>INDEX('LOCAL DATASET'!$C$376:$ALZ$376,1,ROW(C476)-1)</f>
        <v>0</v>
      </c>
    </row>
    <row r="477" spans="1:3">
      <c r="A477" s="1322" t="str">
        <f t="shared" si="7"/>
        <v>London</v>
      </c>
      <c r="B477" s="1321" t="s">
        <v>3542</v>
      </c>
      <c r="C477" s="1322">
        <f>INDEX('LOCAL DATASET'!$C$376:$ALZ$376,1,ROW(C477)-1)</f>
        <v>0</v>
      </c>
    </row>
    <row r="478" spans="1:3">
      <c r="A478" s="1322" t="str">
        <f t="shared" si="7"/>
        <v>London</v>
      </c>
      <c r="B478" s="1321" t="s">
        <v>3543</v>
      </c>
      <c r="C478" s="1322">
        <f>INDEX('LOCAL DATASET'!$C$376:$ALZ$376,1,ROW(C478)-1)</f>
        <v>0</v>
      </c>
    </row>
    <row r="479" spans="1:3">
      <c r="A479" s="1322" t="str">
        <f t="shared" si="7"/>
        <v>London</v>
      </c>
      <c r="B479" s="1321" t="s">
        <v>3544</v>
      </c>
      <c r="C479" s="1322">
        <f>INDEX('LOCAL DATASET'!$C$376:$ALZ$376,1,ROW(C479)-1)</f>
        <v>0</v>
      </c>
    </row>
    <row r="480" spans="1:3">
      <c r="A480" s="1322" t="str">
        <f t="shared" si="7"/>
        <v>London</v>
      </c>
      <c r="B480" s="1321" t="s">
        <v>3545</v>
      </c>
      <c r="C480" s="1322">
        <f>INDEX('LOCAL DATASET'!$C$376:$ALZ$376,1,ROW(C480)-1)</f>
        <v>0</v>
      </c>
    </row>
    <row r="481" spans="1:3">
      <c r="A481" s="1322" t="str">
        <f t="shared" si="7"/>
        <v>London</v>
      </c>
      <c r="B481" s="1321" t="s">
        <v>3546</v>
      </c>
      <c r="C481" s="1322">
        <f>INDEX('LOCAL DATASET'!$C$376:$ALZ$376,1,ROW(C481)-1)</f>
        <v>0</v>
      </c>
    </row>
    <row r="482" spans="1:3">
      <c r="A482" s="1322" t="str">
        <f t="shared" si="7"/>
        <v>London</v>
      </c>
      <c r="B482" s="1321" t="s">
        <v>3547</v>
      </c>
      <c r="C482" s="1322">
        <f>INDEX('LOCAL DATASET'!$C$376:$ALZ$376,1,ROW(C482)-1)</f>
        <v>-84.37</v>
      </c>
    </row>
    <row r="483" spans="1:3">
      <c r="A483" s="1322" t="str">
        <f t="shared" si="7"/>
        <v>London</v>
      </c>
      <c r="B483" s="1321" t="s">
        <v>3548</v>
      </c>
      <c r="C483" s="1322">
        <f>INDEX('LOCAL DATASET'!$C$376:$ALZ$376,1,ROW(C483)-1)</f>
        <v>-16.87</v>
      </c>
    </row>
    <row r="484" spans="1:3">
      <c r="A484" s="1322" t="str">
        <f t="shared" si="7"/>
        <v>London</v>
      </c>
      <c r="B484" s="1321" t="s">
        <v>3549</v>
      </c>
      <c r="C484" s="1322">
        <f>INDEX('LOCAL DATASET'!$C$376:$ALZ$376,1,ROW(C484)-1)</f>
        <v>-0.45859979529171002</v>
      </c>
    </row>
    <row r="485" spans="1:3">
      <c r="A485" s="1322" t="str">
        <f t="shared" si="7"/>
        <v>London</v>
      </c>
      <c r="B485" s="1321" t="s">
        <v>3550</v>
      </c>
      <c r="C485" s="1322">
        <f>INDEX('LOCAL DATASET'!$C$376:$ALZ$376,1,ROW(C485)-1)</f>
        <v>0</v>
      </c>
    </row>
    <row r="486" spans="1:3">
      <c r="A486" s="1322" t="str">
        <f t="shared" si="7"/>
        <v>London</v>
      </c>
      <c r="B486" s="1321" t="s">
        <v>3551</v>
      </c>
      <c r="C486" s="1322">
        <f>INDEX('LOCAL DATASET'!$C$376:$ALZ$376,1,ROW(C486)-1)</f>
        <v>-1.758</v>
      </c>
    </row>
    <row r="487" spans="1:3">
      <c r="A487" s="1322" t="str">
        <f t="shared" si="7"/>
        <v>London</v>
      </c>
      <c r="B487" s="1321" t="s">
        <v>3552</v>
      </c>
      <c r="C487" s="1322">
        <f>INDEX('LOCAL DATASET'!$C$376:$ALZ$376,1,ROW(C487)-1)</f>
        <v>0</v>
      </c>
    </row>
    <row r="488" spans="1:3">
      <c r="A488" s="1322" t="str">
        <f t="shared" si="7"/>
        <v>London</v>
      </c>
      <c r="B488" s="1321" t="s">
        <v>3553</v>
      </c>
      <c r="C488" s="1322">
        <f>INDEX('LOCAL DATASET'!$C$376:$ALZ$376,1,ROW(C488)-1)</f>
        <v>-0.20993225399012999</v>
      </c>
    </row>
    <row r="489" spans="1:3">
      <c r="A489" s="1322" t="str">
        <f t="shared" si="7"/>
        <v>London</v>
      </c>
      <c r="B489" s="1321" t="s">
        <v>3554</v>
      </c>
      <c r="C489" s="1322">
        <f>INDEX('LOCAL DATASET'!$C$376:$ALZ$376,1,ROW(C489)-1)</f>
        <v>0</v>
      </c>
    </row>
    <row r="490" spans="1:3">
      <c r="A490" s="1322" t="str">
        <f t="shared" si="7"/>
        <v>London</v>
      </c>
      <c r="B490" s="1321" t="s">
        <v>3555</v>
      </c>
      <c r="C490" s="1322">
        <f>INDEX('LOCAL DATASET'!$C$376:$ALZ$376,1,ROW(C490)-1)</f>
        <v>0</v>
      </c>
    </row>
    <row r="491" spans="1:3">
      <c r="A491" s="1322" t="str">
        <f t="shared" si="7"/>
        <v>London</v>
      </c>
      <c r="B491" s="1321" t="s">
        <v>3556</v>
      </c>
      <c r="C491" s="1322">
        <f>INDEX('LOCAL DATASET'!$C$376:$ALZ$376,1,ROW(C491)-1)</f>
        <v>0</v>
      </c>
    </row>
    <row r="492" spans="1:3">
      <c r="A492" s="1322" t="str">
        <f t="shared" si="7"/>
        <v>London</v>
      </c>
      <c r="B492" s="1321" t="s">
        <v>3557</v>
      </c>
      <c r="C492" s="1322">
        <f>INDEX('LOCAL DATASET'!$C$376:$ALZ$376,1,ROW(C492)-1)</f>
        <v>-0.313</v>
      </c>
    </row>
    <row r="493" spans="1:3">
      <c r="A493" s="1322" t="str">
        <f t="shared" si="7"/>
        <v>London</v>
      </c>
      <c r="B493" s="1321" t="s">
        <v>3558</v>
      </c>
      <c r="C493" s="1322">
        <f>INDEX('LOCAL DATASET'!$C$376:$ALZ$376,1,ROW(C493)-1)</f>
        <v>0</v>
      </c>
    </row>
    <row r="494" spans="1:3">
      <c r="A494" s="1322" t="str">
        <f t="shared" si="7"/>
        <v>London</v>
      </c>
      <c r="B494" s="1321" t="s">
        <v>3559</v>
      </c>
      <c r="C494" s="1322">
        <f>INDEX('LOCAL DATASET'!$C$376:$ALZ$376,1,ROW(C494)-1)</f>
        <v>-4.7951309271049999E-2</v>
      </c>
    </row>
    <row r="495" spans="1:3">
      <c r="A495" s="1322" t="str">
        <f t="shared" si="7"/>
        <v>London</v>
      </c>
      <c r="B495" s="1321" t="s">
        <v>3560</v>
      </c>
      <c r="C495" s="1322">
        <f>INDEX('LOCAL DATASET'!$C$376:$ALZ$376,1,ROW(C495)-1)</f>
        <v>0</v>
      </c>
    </row>
    <row r="496" spans="1:3">
      <c r="A496" s="1322" t="str">
        <f t="shared" si="7"/>
        <v>London</v>
      </c>
      <c r="B496" s="1321" t="s">
        <v>3561</v>
      </c>
      <c r="C496" s="1322">
        <f>INDEX('LOCAL DATASET'!$C$376:$ALZ$376,1,ROW(C496)-1)</f>
        <v>0</v>
      </c>
    </row>
    <row r="497" spans="1:3">
      <c r="A497" s="1322" t="str">
        <f t="shared" si="7"/>
        <v>London</v>
      </c>
      <c r="B497" s="1321" t="s">
        <v>3562</v>
      </c>
      <c r="C497" s="1322">
        <f>INDEX('LOCAL DATASET'!$C$376:$ALZ$376,1,ROW(C497)-1)</f>
        <v>0</v>
      </c>
    </row>
    <row r="498" spans="1:3">
      <c r="A498" s="1322" t="str">
        <f t="shared" si="7"/>
        <v>London</v>
      </c>
      <c r="B498" s="1321" t="s">
        <v>3563</v>
      </c>
      <c r="C498" s="1322">
        <f>INDEX('LOCAL DATASET'!$C$376:$ALZ$376,1,ROW(C498)-1)</f>
        <v>-1.0549999999999999</v>
      </c>
    </row>
    <row r="499" spans="1:3">
      <c r="A499" s="1322" t="str">
        <f t="shared" si="7"/>
        <v>London</v>
      </c>
      <c r="B499" s="1321" t="s">
        <v>3564</v>
      </c>
      <c r="C499" s="1322">
        <f>INDEX('LOCAL DATASET'!$C$376:$ALZ$376,1,ROW(C499)-1)</f>
        <v>0</v>
      </c>
    </row>
    <row r="500" spans="1:3">
      <c r="A500" s="1322" t="str">
        <f t="shared" si="7"/>
        <v>London</v>
      </c>
      <c r="B500" s="1321" t="s">
        <v>3565</v>
      </c>
      <c r="C500" s="1322">
        <f>INDEX('LOCAL DATASET'!$C$376:$ALZ$376,1,ROW(C500)-1)</f>
        <v>0</v>
      </c>
    </row>
    <row r="501" spans="1:3">
      <c r="A501" s="1322" t="str">
        <f t="shared" si="7"/>
        <v>London</v>
      </c>
      <c r="B501" s="1321" t="s">
        <v>3566</v>
      </c>
      <c r="C501" s="1322">
        <f>INDEX('LOCAL DATASET'!$C$376:$ALZ$376,1,ROW(C501)-1)</f>
        <v>0</v>
      </c>
    </row>
    <row r="502" spans="1:3">
      <c r="A502" s="1322" t="str">
        <f t="shared" si="7"/>
        <v>London</v>
      </c>
      <c r="B502" s="1321" t="s">
        <v>3567</v>
      </c>
      <c r="C502" s="1322">
        <f>INDEX('LOCAL DATASET'!$C$376:$ALZ$376,1,ROW(C502)-1)</f>
        <v>0</v>
      </c>
    </row>
    <row r="503" spans="1:3">
      <c r="A503" s="1322" t="str">
        <f t="shared" si="7"/>
        <v>London</v>
      </c>
      <c r="B503" s="1321" t="s">
        <v>3568</v>
      </c>
      <c r="C503" s="1322">
        <f>INDEX('LOCAL DATASET'!$C$376:$ALZ$376,1,ROW(C503)-1)</f>
        <v>0</v>
      </c>
    </row>
    <row r="504" spans="1:3">
      <c r="A504" s="1322" t="str">
        <f t="shared" si="7"/>
        <v>London</v>
      </c>
      <c r="B504" s="1321" t="s">
        <v>3569</v>
      </c>
      <c r="C504" s="1322">
        <f>INDEX('LOCAL DATASET'!$C$376:$ALZ$376,1,ROW(C504)-1)</f>
        <v>0</v>
      </c>
    </row>
    <row r="505" spans="1:3">
      <c r="A505" s="1322" t="str">
        <f t="shared" si="7"/>
        <v>London</v>
      </c>
      <c r="B505" s="1321" t="s">
        <v>3570</v>
      </c>
      <c r="C505" s="1322">
        <f>INDEX('LOCAL DATASET'!$C$376:$ALZ$376,1,ROW(C505)-1)</f>
        <v>0</v>
      </c>
    </row>
    <row r="506" spans="1:3">
      <c r="A506" s="1322" t="str">
        <f t="shared" si="7"/>
        <v>London</v>
      </c>
      <c r="B506" s="1321" t="s">
        <v>3571</v>
      </c>
      <c r="C506" s="1322">
        <f>INDEX('LOCAL DATASET'!$C$376:$ALZ$376,1,ROW(C506)-1)</f>
        <v>0</v>
      </c>
    </row>
    <row r="507" spans="1:3">
      <c r="A507" s="1322" t="str">
        <f t="shared" si="7"/>
        <v>London</v>
      </c>
      <c r="B507" s="1321" t="s">
        <v>3572</v>
      </c>
      <c r="C507" s="1322">
        <f>INDEX('LOCAL DATASET'!$C$376:$ALZ$376,1,ROW(C507)-1)</f>
        <v>0</v>
      </c>
    </row>
    <row r="508" spans="1:3">
      <c r="A508" s="1322" t="str">
        <f t="shared" si="7"/>
        <v>London</v>
      </c>
      <c r="B508" s="1321" t="s">
        <v>3573</v>
      </c>
      <c r="C508" s="1322">
        <f>INDEX('LOCAL DATASET'!$C$376:$ALZ$376,1,ROW(C508)-1)</f>
        <v>0</v>
      </c>
    </row>
    <row r="509" spans="1:3">
      <c r="A509" s="1322" t="str">
        <f t="shared" si="7"/>
        <v>London</v>
      </c>
      <c r="B509" s="1321" t="s">
        <v>3574</v>
      </c>
      <c r="C509" s="1322">
        <f>INDEX('LOCAL DATASET'!$C$376:$ALZ$376,1,ROW(C509)-1)</f>
        <v>0</v>
      </c>
    </row>
    <row r="510" spans="1:3">
      <c r="A510" s="1322" t="str">
        <f t="shared" si="7"/>
        <v>London</v>
      </c>
      <c r="B510" s="1321" t="s">
        <v>3575</v>
      </c>
      <c r="C510" s="1322">
        <f>INDEX('LOCAL DATASET'!$C$376:$ALZ$376,1,ROW(C510)-1)</f>
        <v>0</v>
      </c>
    </row>
    <row r="511" spans="1:3">
      <c r="A511" s="1322" t="str">
        <f t="shared" si="7"/>
        <v>London</v>
      </c>
      <c r="B511" s="1321" t="s">
        <v>3576</v>
      </c>
      <c r="C511" s="1322">
        <f>INDEX('LOCAL DATASET'!$C$376:$ALZ$376,1,ROW(C511)-1)</f>
        <v>0</v>
      </c>
    </row>
    <row r="512" spans="1:3">
      <c r="A512" s="1322" t="str">
        <f t="shared" si="7"/>
        <v>London</v>
      </c>
      <c r="B512" s="1321" t="s">
        <v>3577</v>
      </c>
      <c r="C512" s="1322">
        <f>INDEX('LOCAL DATASET'!$C$376:$ALZ$376,1,ROW(C512)-1)</f>
        <v>-84.37</v>
      </c>
    </row>
    <row r="513" spans="1:3">
      <c r="A513" s="1322" t="str">
        <f t="shared" si="7"/>
        <v>London</v>
      </c>
      <c r="B513" s="1321" t="s">
        <v>3578</v>
      </c>
      <c r="C513" s="1322">
        <f>INDEX('LOCAL DATASET'!$C$376:$ALZ$376,1,ROW(C513)-1)</f>
        <v>-16.87</v>
      </c>
    </row>
    <row r="514" spans="1:3">
      <c r="A514" s="1322" t="str">
        <f t="shared" si="7"/>
        <v>London</v>
      </c>
      <c r="B514" s="1321" t="s">
        <v>3579</v>
      </c>
      <c r="C514" s="1322">
        <f>INDEX('LOCAL DATASET'!$C$376:$ALZ$376,1,ROW(C514)-1)</f>
        <v>-0.20018962807752999</v>
      </c>
    </row>
    <row r="515" spans="1:3">
      <c r="A515" s="1322" t="str">
        <f t="shared" si="7"/>
        <v>London</v>
      </c>
      <c r="B515" s="1321" t="s">
        <v>3580</v>
      </c>
      <c r="C515" s="1322">
        <f>INDEX('LOCAL DATASET'!$C$376:$ALZ$376,1,ROW(C515)-1)</f>
        <v>0</v>
      </c>
    </row>
    <row r="516" spans="1:3">
      <c r="A516" s="1322" t="str">
        <f t="shared" ref="A516:A579" si="8">A515</f>
        <v>London</v>
      </c>
      <c r="B516" s="1321" t="s">
        <v>3581</v>
      </c>
      <c r="C516" s="1322">
        <f>INDEX('LOCAL DATASET'!$C$376:$ALZ$376,1,ROW(C516)-1)</f>
        <v>-1.758</v>
      </c>
    </row>
    <row r="517" spans="1:3">
      <c r="A517" s="1322" t="str">
        <f t="shared" si="8"/>
        <v>London</v>
      </c>
      <c r="B517" s="1321" t="s">
        <v>3582</v>
      </c>
      <c r="C517" s="1322">
        <f>INDEX('LOCAL DATASET'!$C$376:$ALZ$376,1,ROW(C517)-1)</f>
        <v>0</v>
      </c>
    </row>
    <row r="518" spans="1:3">
      <c r="A518" s="1322" t="str">
        <f t="shared" si="8"/>
        <v>London</v>
      </c>
      <c r="B518" s="1321" t="s">
        <v>3583</v>
      </c>
      <c r="C518" s="1322">
        <f>INDEX('LOCAL DATASET'!$C$376:$ALZ$376,1,ROW(C518)-1)</f>
        <v>-0.13159524712425999</v>
      </c>
    </row>
    <row r="519" spans="1:3">
      <c r="A519" s="1322" t="str">
        <f t="shared" si="8"/>
        <v>London</v>
      </c>
      <c r="B519" s="1321" t="s">
        <v>3584</v>
      </c>
      <c r="C519" s="1322">
        <f>INDEX('LOCAL DATASET'!$C$376:$ALZ$376,1,ROW(C519)-1)</f>
        <v>0</v>
      </c>
    </row>
    <row r="520" spans="1:3">
      <c r="A520" s="1322" t="str">
        <f t="shared" si="8"/>
        <v>London</v>
      </c>
      <c r="B520" s="1321" t="s">
        <v>3585</v>
      </c>
      <c r="C520" s="1322">
        <f>INDEX('LOCAL DATASET'!$C$376:$ALZ$376,1,ROW(C520)-1)</f>
        <v>0</v>
      </c>
    </row>
    <row r="521" spans="1:3">
      <c r="A521" s="1322" t="str">
        <f t="shared" si="8"/>
        <v>London</v>
      </c>
      <c r="B521" s="1321" t="s">
        <v>3586</v>
      </c>
      <c r="C521" s="1322">
        <f>INDEX('LOCAL DATASET'!$C$376:$ALZ$376,1,ROW(C521)-1)</f>
        <v>0</v>
      </c>
    </row>
    <row r="522" spans="1:3">
      <c r="A522" s="1322" t="str">
        <f t="shared" si="8"/>
        <v>London</v>
      </c>
      <c r="B522" s="1321" t="s">
        <v>3587</v>
      </c>
      <c r="C522" s="1322">
        <f>INDEX('LOCAL DATASET'!$C$376:$ALZ$376,1,ROW(C522)-1)</f>
        <v>-0.313</v>
      </c>
    </row>
    <row r="523" spans="1:3">
      <c r="A523" s="1322" t="str">
        <f t="shared" si="8"/>
        <v>London</v>
      </c>
      <c r="B523" s="1321" t="s">
        <v>3588</v>
      </c>
      <c r="C523" s="1322">
        <f>INDEX('LOCAL DATASET'!$C$376:$ALZ$376,1,ROW(C523)-1)</f>
        <v>0</v>
      </c>
    </row>
    <row r="524" spans="1:3">
      <c r="A524" s="1322" t="str">
        <f t="shared" si="8"/>
        <v>London</v>
      </c>
      <c r="B524" s="1321" t="s">
        <v>3589</v>
      </c>
      <c r="C524" s="1322">
        <f>INDEX('LOCAL DATASET'!$C$376:$ALZ$376,1,ROW(C524)-1)</f>
        <v>0</v>
      </c>
    </row>
    <row r="525" spans="1:3">
      <c r="A525" s="1322" t="str">
        <f t="shared" si="8"/>
        <v>London</v>
      </c>
      <c r="B525" s="1321" t="s">
        <v>3590</v>
      </c>
      <c r="C525" s="1322">
        <f>INDEX('LOCAL DATASET'!$C$376:$ALZ$376,1,ROW(C525)-1)</f>
        <v>0</v>
      </c>
    </row>
    <row r="526" spans="1:3">
      <c r="A526" s="1322" t="str">
        <f t="shared" si="8"/>
        <v>London</v>
      </c>
      <c r="B526" s="1321" t="s">
        <v>3591</v>
      </c>
      <c r="C526" s="1322">
        <f>INDEX('LOCAL DATASET'!$C$376:$ALZ$376,1,ROW(C526)-1)</f>
        <v>0</v>
      </c>
    </row>
    <row r="527" spans="1:3">
      <c r="A527" s="1322" t="str">
        <f t="shared" si="8"/>
        <v>London</v>
      </c>
      <c r="B527" s="1321" t="s">
        <v>3592</v>
      </c>
      <c r="C527" s="1322">
        <f>INDEX('LOCAL DATASET'!$C$376:$ALZ$376,1,ROW(C527)-1)</f>
        <v>0</v>
      </c>
    </row>
    <row r="528" spans="1:3">
      <c r="A528" s="1322" t="str">
        <f t="shared" si="8"/>
        <v>London</v>
      </c>
      <c r="B528" s="1321" t="s">
        <v>3593</v>
      </c>
      <c r="C528" s="1322">
        <f>INDEX('LOCAL DATASET'!$C$376:$ALZ$376,1,ROW(C528)-1)</f>
        <v>-1.0549999999999999</v>
      </c>
    </row>
    <row r="529" spans="1:3">
      <c r="A529" s="1322" t="str">
        <f t="shared" si="8"/>
        <v>London</v>
      </c>
      <c r="B529" s="1321" t="s">
        <v>3594</v>
      </c>
      <c r="C529" s="1322">
        <f>INDEX('LOCAL DATASET'!$C$376:$ALZ$376,1,ROW(C529)-1)</f>
        <v>0</v>
      </c>
    </row>
    <row r="530" spans="1:3">
      <c r="A530" s="1322" t="str">
        <f t="shared" si="8"/>
        <v>London</v>
      </c>
      <c r="B530" s="1321" t="s">
        <v>3595</v>
      </c>
      <c r="C530" s="1322">
        <f>INDEX('LOCAL DATASET'!$C$376:$ALZ$376,1,ROW(C530)-1)</f>
        <v>0</v>
      </c>
    </row>
    <row r="531" spans="1:3">
      <c r="A531" s="1322" t="str">
        <f t="shared" si="8"/>
        <v>London</v>
      </c>
      <c r="B531" s="1321" t="s">
        <v>3596</v>
      </c>
      <c r="C531" s="1322">
        <f>INDEX('LOCAL DATASET'!$C$376:$ALZ$376,1,ROW(C531)-1)</f>
        <v>0</v>
      </c>
    </row>
    <row r="532" spans="1:3">
      <c r="A532" s="1322" t="str">
        <f t="shared" si="8"/>
        <v>London</v>
      </c>
      <c r="B532" s="1321" t="s">
        <v>3597</v>
      </c>
      <c r="C532" s="1322">
        <f>INDEX('LOCAL DATASET'!$C$376:$ALZ$376,1,ROW(C532)-1)</f>
        <v>0</v>
      </c>
    </row>
    <row r="533" spans="1:3">
      <c r="A533" s="1322" t="str">
        <f t="shared" si="8"/>
        <v>London</v>
      </c>
      <c r="B533" s="1321" t="s">
        <v>3598</v>
      </c>
      <c r="C533" s="1322">
        <f>INDEX('LOCAL DATASET'!$C$376:$ALZ$376,1,ROW(C533)-1)</f>
        <v>0</v>
      </c>
    </row>
    <row r="534" spans="1:3">
      <c r="A534" s="1322" t="str">
        <f t="shared" si="8"/>
        <v>London</v>
      </c>
      <c r="B534" s="1321" t="s">
        <v>3599</v>
      </c>
      <c r="C534" s="1322">
        <f>INDEX('LOCAL DATASET'!$C$376:$ALZ$376,1,ROW(C534)-1)</f>
        <v>0</v>
      </c>
    </row>
    <row r="535" spans="1:3">
      <c r="A535" s="1322" t="str">
        <f t="shared" si="8"/>
        <v>London</v>
      </c>
      <c r="B535" s="1321" t="s">
        <v>3600</v>
      </c>
      <c r="C535" s="1322">
        <f>INDEX('LOCAL DATASET'!$C$376:$ALZ$376,1,ROW(C535)-1)</f>
        <v>0</v>
      </c>
    </row>
    <row r="536" spans="1:3">
      <c r="A536" s="1322" t="str">
        <f t="shared" si="8"/>
        <v>London</v>
      </c>
      <c r="B536" s="1321" t="s">
        <v>3601</v>
      </c>
      <c r="C536" s="1322">
        <f>INDEX('LOCAL DATASET'!$C$376:$ALZ$376,1,ROW(C536)-1)</f>
        <v>0</v>
      </c>
    </row>
    <row r="537" spans="1:3">
      <c r="A537" s="1322" t="str">
        <f t="shared" si="8"/>
        <v>London</v>
      </c>
      <c r="B537" s="1321" t="s">
        <v>3602</v>
      </c>
      <c r="C537" s="1322">
        <f>INDEX('LOCAL DATASET'!$C$376:$ALZ$376,1,ROW(C537)-1)</f>
        <v>0</v>
      </c>
    </row>
    <row r="538" spans="1:3">
      <c r="A538" s="1322" t="str">
        <f t="shared" si="8"/>
        <v>London</v>
      </c>
      <c r="B538" s="1321" t="s">
        <v>3603</v>
      </c>
      <c r="C538" s="1322">
        <f>INDEX('LOCAL DATASET'!$C$376:$ALZ$376,1,ROW(C538)-1)</f>
        <v>0</v>
      </c>
    </row>
    <row r="539" spans="1:3">
      <c r="A539" s="1322" t="str">
        <f t="shared" si="8"/>
        <v>London</v>
      </c>
      <c r="B539" s="1321" t="s">
        <v>3604</v>
      </c>
      <c r="C539" s="1322">
        <f>INDEX('LOCAL DATASET'!$C$376:$ALZ$376,1,ROW(C539)-1)</f>
        <v>0</v>
      </c>
    </row>
    <row r="540" spans="1:3">
      <c r="A540" s="1322" t="str">
        <f t="shared" si="8"/>
        <v>London</v>
      </c>
      <c r="B540" s="1321" t="s">
        <v>3605</v>
      </c>
      <c r="C540" s="1322">
        <f>INDEX('LOCAL DATASET'!$C$376:$ALZ$376,1,ROW(C540)-1)</f>
        <v>0</v>
      </c>
    </row>
    <row r="541" spans="1:3">
      <c r="A541" s="1322" t="str">
        <f t="shared" si="8"/>
        <v>London</v>
      </c>
      <c r="B541" s="1321" t="s">
        <v>3606</v>
      </c>
      <c r="C541" s="1322">
        <f>INDEX('LOCAL DATASET'!$C$376:$ALZ$376,1,ROW(C541)-1)</f>
        <v>0</v>
      </c>
    </row>
    <row r="542" spans="1:3">
      <c r="A542" s="1322" t="str">
        <f t="shared" si="8"/>
        <v>London</v>
      </c>
      <c r="B542" s="1321" t="s">
        <v>3607</v>
      </c>
      <c r="C542" s="1322">
        <f>INDEX('LOCAL DATASET'!$C$376:$ALZ$376,1,ROW(C542)-1)</f>
        <v>0.60568332875727005</v>
      </c>
    </row>
    <row r="543" spans="1:3">
      <c r="A543" s="1322" t="str">
        <f t="shared" si="8"/>
        <v>London</v>
      </c>
      <c r="B543" s="1321" t="s">
        <v>3608</v>
      </c>
      <c r="C543" s="1322">
        <f>INDEX('LOCAL DATASET'!$C$376:$ALZ$376,1,ROW(C543)-1)</f>
        <v>0</v>
      </c>
    </row>
    <row r="544" spans="1:3">
      <c r="A544" s="1322" t="str">
        <f t="shared" si="8"/>
        <v>London</v>
      </c>
      <c r="B544" s="1321" t="s">
        <v>3609</v>
      </c>
      <c r="C544" s="1322">
        <f>INDEX('LOCAL DATASET'!$C$376:$ALZ$376,1,ROW(C544)-1)</f>
        <v>0</v>
      </c>
    </row>
    <row r="545" spans="1:3">
      <c r="A545" s="1322" t="str">
        <f t="shared" si="8"/>
        <v>London</v>
      </c>
      <c r="B545" s="1321" t="s">
        <v>3610</v>
      </c>
      <c r="C545" s="1322">
        <f>INDEX('LOCAL DATASET'!$C$376:$ALZ$376,1,ROW(C545)-1)</f>
        <v>0</v>
      </c>
    </row>
    <row r="546" spans="1:3">
      <c r="A546" s="1322" t="str">
        <f t="shared" si="8"/>
        <v>London</v>
      </c>
      <c r="B546" s="1321" t="s">
        <v>3611</v>
      </c>
      <c r="C546" s="1322">
        <f>INDEX('LOCAL DATASET'!$C$376:$ALZ$376,1,ROW(C546)-1)</f>
        <v>0</v>
      </c>
    </row>
    <row r="547" spans="1:3">
      <c r="A547" s="1322" t="str">
        <f t="shared" si="8"/>
        <v>London</v>
      </c>
      <c r="B547" s="1321" t="s">
        <v>3612</v>
      </c>
      <c r="C547" s="1322">
        <f>INDEX('LOCAL DATASET'!$C$376:$ALZ$376,1,ROW(C547)-1)</f>
        <v>0</v>
      </c>
    </row>
    <row r="548" spans="1:3">
      <c r="A548" s="1322" t="str">
        <f t="shared" si="8"/>
        <v>London</v>
      </c>
      <c r="B548" s="1321" t="s">
        <v>3613</v>
      </c>
      <c r="C548" s="1322">
        <f>INDEX('LOCAL DATASET'!$C$376:$ALZ$376,1,ROW(C548)-1)</f>
        <v>0.20484022277927999</v>
      </c>
    </row>
    <row r="549" spans="1:3">
      <c r="A549" s="1322" t="str">
        <f t="shared" si="8"/>
        <v>London</v>
      </c>
      <c r="B549" s="1321" t="s">
        <v>3614</v>
      </c>
      <c r="C549" s="1322">
        <f>INDEX('LOCAL DATASET'!$C$376:$ALZ$376,1,ROW(C549)-1)</f>
        <v>0</v>
      </c>
    </row>
    <row r="550" spans="1:3">
      <c r="A550" s="1322" t="str">
        <f t="shared" si="8"/>
        <v>London</v>
      </c>
      <c r="B550" s="1321" t="s">
        <v>3615</v>
      </c>
      <c r="C550" s="1322">
        <f>INDEX('LOCAL DATASET'!$C$376:$ALZ$376,1,ROW(C550)-1)</f>
        <v>0</v>
      </c>
    </row>
    <row r="551" spans="1:3">
      <c r="A551" s="1322" t="str">
        <f t="shared" si="8"/>
        <v>London</v>
      </c>
      <c r="B551" s="1321" t="s">
        <v>3616</v>
      </c>
      <c r="C551" s="1322">
        <f>INDEX('LOCAL DATASET'!$C$376:$ALZ$376,1,ROW(C551)-1)</f>
        <v>0</v>
      </c>
    </row>
    <row r="552" spans="1:3">
      <c r="A552" s="1322" t="str">
        <f t="shared" si="8"/>
        <v>London</v>
      </c>
      <c r="B552" s="1321" t="s">
        <v>3617</v>
      </c>
      <c r="C552" s="1322">
        <f>INDEX('LOCAL DATASET'!$C$376:$ALZ$376,1,ROW(C552)-1)</f>
        <v>1.526051853429E-2</v>
      </c>
    </row>
    <row r="553" spans="1:3">
      <c r="A553" s="1322" t="str">
        <f t="shared" si="8"/>
        <v>London</v>
      </c>
      <c r="B553" s="1321" t="s">
        <v>3618</v>
      </c>
      <c r="C553" s="1322">
        <f>INDEX('LOCAL DATASET'!$C$376:$ALZ$376,1,ROW(C553)-1)</f>
        <v>0</v>
      </c>
    </row>
    <row r="554" spans="1:3">
      <c r="A554" s="1322" t="str">
        <f t="shared" si="8"/>
        <v>London</v>
      </c>
      <c r="B554" s="1321" t="s">
        <v>3619</v>
      </c>
      <c r="C554" s="1322">
        <f>INDEX('LOCAL DATASET'!$C$376:$ALZ$376,1,ROW(C554)-1)</f>
        <v>0</v>
      </c>
    </row>
    <row r="555" spans="1:3">
      <c r="A555" s="1322" t="str">
        <f t="shared" si="8"/>
        <v>London</v>
      </c>
      <c r="B555" s="1321" t="s">
        <v>3620</v>
      </c>
      <c r="C555" s="1322">
        <f>INDEX('LOCAL DATASET'!$C$376:$ALZ$376,1,ROW(C555)-1)</f>
        <v>0</v>
      </c>
    </row>
    <row r="556" spans="1:3">
      <c r="A556" s="1322" t="str">
        <f t="shared" si="8"/>
        <v>London</v>
      </c>
      <c r="B556" s="1321" t="s">
        <v>3621</v>
      </c>
      <c r="C556" s="1322">
        <f>INDEX('LOCAL DATASET'!$C$376:$ALZ$376,1,ROW(C556)-1)</f>
        <v>0</v>
      </c>
    </row>
    <row r="557" spans="1:3">
      <c r="A557" s="1322" t="str">
        <f t="shared" si="8"/>
        <v>London</v>
      </c>
      <c r="B557" s="1321" t="s">
        <v>3622</v>
      </c>
      <c r="C557" s="1322">
        <f>INDEX('LOCAL DATASET'!$C$376:$ALZ$376,1,ROW(C557)-1)</f>
        <v>0</v>
      </c>
    </row>
    <row r="558" spans="1:3">
      <c r="A558" s="1322" t="str">
        <f t="shared" si="8"/>
        <v>London</v>
      </c>
      <c r="B558" s="1321" t="s">
        <v>3623</v>
      </c>
      <c r="C558" s="1322">
        <f>INDEX('LOCAL DATASET'!$C$376:$ALZ$376,1,ROW(C558)-1)</f>
        <v>0</v>
      </c>
    </row>
    <row r="559" spans="1:3">
      <c r="A559" s="1322" t="str">
        <f t="shared" si="8"/>
        <v>London</v>
      </c>
      <c r="B559" s="1321" t="s">
        <v>3624</v>
      </c>
      <c r="C559" s="1322">
        <f>INDEX('LOCAL DATASET'!$C$376:$ALZ$376,1,ROW(C559)-1)</f>
        <v>0</v>
      </c>
    </row>
    <row r="560" spans="1:3">
      <c r="A560" s="1322" t="str">
        <f t="shared" si="8"/>
        <v>London</v>
      </c>
      <c r="B560" s="1321" t="s">
        <v>3625</v>
      </c>
      <c r="C560" s="1322">
        <f>INDEX('LOCAL DATASET'!$C$376:$ALZ$376,1,ROW(C560)-1)</f>
        <v>0</v>
      </c>
    </row>
    <row r="561" spans="1:3">
      <c r="A561" s="1322" t="str">
        <f t="shared" si="8"/>
        <v>London</v>
      </c>
      <c r="B561" s="1321" t="s">
        <v>3626</v>
      </c>
      <c r="C561" s="1322">
        <f>INDEX('LOCAL DATASET'!$C$376:$ALZ$376,1,ROW(C561)-1)</f>
        <v>0</v>
      </c>
    </row>
    <row r="562" spans="1:3">
      <c r="A562" s="1322" t="str">
        <f t="shared" si="8"/>
        <v>London</v>
      </c>
      <c r="B562" s="1321" t="s">
        <v>3627</v>
      </c>
      <c r="C562" s="1322">
        <f>INDEX('LOCAL DATASET'!$C$376:$ALZ$376,1,ROW(C562)-1)</f>
        <v>0</v>
      </c>
    </row>
    <row r="563" spans="1:3">
      <c r="A563" s="1322" t="str">
        <f t="shared" si="8"/>
        <v>London</v>
      </c>
      <c r="B563" s="1321" t="s">
        <v>3628</v>
      </c>
      <c r="C563" s="1322">
        <f>INDEX('LOCAL DATASET'!$C$376:$ALZ$376,1,ROW(C563)-1)</f>
        <v>0</v>
      </c>
    </row>
    <row r="564" spans="1:3">
      <c r="A564" s="1322" t="str">
        <f t="shared" si="8"/>
        <v>London</v>
      </c>
      <c r="B564" s="1321" t="s">
        <v>3629</v>
      </c>
      <c r="C564" s="1322">
        <f>INDEX('LOCAL DATASET'!$C$376:$ALZ$376,1,ROW(C564)-1)</f>
        <v>0</v>
      </c>
    </row>
    <row r="565" spans="1:3">
      <c r="A565" s="1322" t="str">
        <f t="shared" si="8"/>
        <v>London</v>
      </c>
      <c r="B565" s="1321" t="s">
        <v>3630</v>
      </c>
      <c r="C565" s="1322">
        <f>INDEX('LOCAL DATASET'!$C$376:$ALZ$376,1,ROW(C565)-1)</f>
        <v>0</v>
      </c>
    </row>
    <row r="566" spans="1:3">
      <c r="A566" s="1322" t="str">
        <f t="shared" si="8"/>
        <v>London</v>
      </c>
      <c r="B566" s="1321" t="s">
        <v>3631</v>
      </c>
      <c r="C566" s="1322">
        <f>INDEX('LOCAL DATASET'!$C$376:$ALZ$376,1,ROW(C566)-1)</f>
        <v>0</v>
      </c>
    </row>
    <row r="567" spans="1:3">
      <c r="A567" s="1322" t="str">
        <f t="shared" si="8"/>
        <v>London</v>
      </c>
      <c r="B567" s="1321" t="s">
        <v>3632</v>
      </c>
      <c r="C567" s="1322">
        <f>INDEX('LOCAL DATASET'!$C$376:$ALZ$376,1,ROW(C567)-1)</f>
        <v>0</v>
      </c>
    </row>
    <row r="568" spans="1:3">
      <c r="A568" s="1322" t="str">
        <f t="shared" si="8"/>
        <v>London</v>
      </c>
      <c r="B568" s="1321" t="s">
        <v>3633</v>
      </c>
      <c r="C568" s="1322">
        <f>INDEX('LOCAL DATASET'!$C$376:$ALZ$376,1,ROW(C568)-1)</f>
        <v>0</v>
      </c>
    </row>
    <row r="569" spans="1:3">
      <c r="A569" s="1322" t="str">
        <f t="shared" si="8"/>
        <v>London</v>
      </c>
      <c r="B569" s="1321" t="s">
        <v>3634</v>
      </c>
      <c r="C569" s="1322">
        <f>INDEX('LOCAL DATASET'!$C$376:$ALZ$376,1,ROW(C569)-1)</f>
        <v>0</v>
      </c>
    </row>
    <row r="570" spans="1:3">
      <c r="A570" s="1322" t="str">
        <f t="shared" si="8"/>
        <v>London</v>
      </c>
      <c r="B570" s="1321" t="s">
        <v>3635</v>
      </c>
      <c r="C570" s="1322">
        <f>INDEX('LOCAL DATASET'!$C$376:$ALZ$376,1,ROW(C570)-1)</f>
        <v>0</v>
      </c>
    </row>
    <row r="571" spans="1:3">
      <c r="A571" s="1322" t="str">
        <f t="shared" si="8"/>
        <v>London</v>
      </c>
      <c r="B571" s="1321" t="s">
        <v>3636</v>
      </c>
      <c r="C571" s="1322">
        <f>INDEX('LOCAL DATASET'!$C$376:$ALZ$376,1,ROW(C571)-1)</f>
        <v>0</v>
      </c>
    </row>
    <row r="572" spans="1:3">
      <c r="A572" s="1322" t="str">
        <f t="shared" si="8"/>
        <v>London</v>
      </c>
      <c r="B572" s="1321" t="s">
        <v>3637</v>
      </c>
      <c r="C572" s="1322">
        <f>INDEX('LOCAL DATASET'!$C$376:$ALZ$376,1,ROW(C572)-1)</f>
        <v>0</v>
      </c>
    </row>
    <row r="573" spans="1:3">
      <c r="A573" s="1322" t="str">
        <f t="shared" si="8"/>
        <v>London</v>
      </c>
      <c r="B573" s="1321" t="s">
        <v>3638</v>
      </c>
      <c r="C573" s="1322">
        <f>INDEX('LOCAL DATASET'!$C$376:$ALZ$376,1,ROW(C573)-1)</f>
        <v>0</v>
      </c>
    </row>
    <row r="574" spans="1:3">
      <c r="A574" s="1322" t="str">
        <f t="shared" si="8"/>
        <v>London</v>
      </c>
      <c r="B574" s="1321" t="s">
        <v>3639</v>
      </c>
      <c r="C574" s="1322">
        <f>INDEX('LOCAL DATASET'!$C$376:$ALZ$376,1,ROW(C574)-1)</f>
        <v>0</v>
      </c>
    </row>
    <row r="575" spans="1:3">
      <c r="A575" s="1322" t="str">
        <f t="shared" si="8"/>
        <v>London</v>
      </c>
      <c r="B575" s="1321" t="s">
        <v>3640</v>
      </c>
      <c r="C575" s="1322">
        <f>INDEX('LOCAL DATASET'!$C$376:$ALZ$376,1,ROW(C575)-1)</f>
        <v>0</v>
      </c>
    </row>
    <row r="576" spans="1:3">
      <c r="A576" s="1322" t="str">
        <f t="shared" si="8"/>
        <v>London</v>
      </c>
      <c r="B576" s="1321" t="s">
        <v>3641</v>
      </c>
      <c r="C576" s="1322">
        <f>INDEX('LOCAL DATASET'!$C$376:$ALZ$376,1,ROW(C576)-1)</f>
        <v>0</v>
      </c>
    </row>
    <row r="577" spans="1:3">
      <c r="A577" s="1322" t="str">
        <f t="shared" si="8"/>
        <v>London</v>
      </c>
      <c r="B577" s="1321" t="s">
        <v>3642</v>
      </c>
      <c r="C577" s="1322">
        <f>INDEX('LOCAL DATASET'!$C$376:$ALZ$376,1,ROW(C577)-1)</f>
        <v>0</v>
      </c>
    </row>
    <row r="578" spans="1:3">
      <c r="A578" s="1322" t="str">
        <f t="shared" si="8"/>
        <v>London</v>
      </c>
      <c r="B578" s="1321" t="s">
        <v>3643</v>
      </c>
      <c r="C578" s="1322">
        <f>INDEX('LOCAL DATASET'!$C$376:$ALZ$376,1,ROW(C578)-1)</f>
        <v>0</v>
      </c>
    </row>
    <row r="579" spans="1:3">
      <c r="A579" s="1322" t="str">
        <f t="shared" si="8"/>
        <v>London</v>
      </c>
      <c r="B579" s="1321" t="s">
        <v>3644</v>
      </c>
      <c r="C579" s="1322">
        <f>INDEX('LOCAL DATASET'!$C$376:$ALZ$376,1,ROW(C579)-1)</f>
        <v>0</v>
      </c>
    </row>
    <row r="580" spans="1:3">
      <c r="A580" s="1322" t="str">
        <f t="shared" ref="A580:A643" si="9">A579</f>
        <v>London</v>
      </c>
      <c r="B580" s="1321" t="s">
        <v>3645</v>
      </c>
      <c r="C580" s="1322">
        <f>INDEX('LOCAL DATASET'!$C$376:$ALZ$376,1,ROW(C580)-1)</f>
        <v>0</v>
      </c>
    </row>
    <row r="581" spans="1:3">
      <c r="A581" s="1322" t="str">
        <f t="shared" si="9"/>
        <v>London</v>
      </c>
      <c r="B581" s="1321" t="s">
        <v>3646</v>
      </c>
      <c r="C581" s="1322">
        <f>INDEX('LOCAL DATASET'!$C$376:$ALZ$376,1,ROW(C581)-1)</f>
        <v>0</v>
      </c>
    </row>
    <row r="582" spans="1:3">
      <c r="A582" s="1322" t="str">
        <f t="shared" si="9"/>
        <v>London</v>
      </c>
      <c r="B582" s="1321" t="s">
        <v>3647</v>
      </c>
      <c r="C582" s="1322">
        <f>INDEX('LOCAL DATASET'!$C$376:$ALZ$376,1,ROW(C582)-1)</f>
        <v>0</v>
      </c>
    </row>
    <row r="583" spans="1:3">
      <c r="A583" s="1322" t="str">
        <f t="shared" si="9"/>
        <v>London</v>
      </c>
      <c r="B583" s="1321" t="s">
        <v>3648</v>
      </c>
      <c r="C583" s="1322">
        <f>INDEX('LOCAL DATASET'!$C$376:$ALZ$376,1,ROW(C583)-1)</f>
        <v>0</v>
      </c>
    </row>
    <row r="584" spans="1:3">
      <c r="A584" s="1322" t="str">
        <f t="shared" si="9"/>
        <v>London</v>
      </c>
      <c r="B584" s="1321" t="s">
        <v>3649</v>
      </c>
      <c r="C584" s="1322">
        <f>INDEX('LOCAL DATASET'!$C$376:$ALZ$376,1,ROW(C584)-1)</f>
        <v>0</v>
      </c>
    </row>
    <row r="585" spans="1:3">
      <c r="A585" s="1322" t="str">
        <f t="shared" si="9"/>
        <v>London</v>
      </c>
      <c r="B585" s="1321" t="s">
        <v>3650</v>
      </c>
      <c r="C585" s="1322">
        <f>INDEX('LOCAL DATASET'!$C$376:$ALZ$376,1,ROW(C585)-1)</f>
        <v>0</v>
      </c>
    </row>
    <row r="586" spans="1:3">
      <c r="A586" s="1322" t="str">
        <f t="shared" si="9"/>
        <v>London</v>
      </c>
      <c r="B586" s="1321" t="s">
        <v>3651</v>
      </c>
      <c r="C586" s="1322">
        <f>INDEX('LOCAL DATASET'!$C$376:$ALZ$376,1,ROW(C586)-1)</f>
        <v>0</v>
      </c>
    </row>
    <row r="587" spans="1:3">
      <c r="A587" s="1322" t="str">
        <f t="shared" si="9"/>
        <v>London</v>
      </c>
      <c r="B587" s="1321" t="s">
        <v>3652</v>
      </c>
      <c r="C587" s="1322">
        <f>INDEX('LOCAL DATASET'!$C$376:$ALZ$376,1,ROW(C587)-1)</f>
        <v>0</v>
      </c>
    </row>
    <row r="588" spans="1:3">
      <c r="A588" s="1322" t="str">
        <f t="shared" si="9"/>
        <v>London</v>
      </c>
      <c r="B588" s="1321" t="s">
        <v>3653</v>
      </c>
      <c r="C588" s="1322">
        <f>INDEX('LOCAL DATASET'!$C$376:$ALZ$376,1,ROW(C588)-1)</f>
        <v>0</v>
      </c>
    </row>
    <row r="589" spans="1:3">
      <c r="A589" s="1322" t="str">
        <f t="shared" si="9"/>
        <v>London</v>
      </c>
      <c r="B589" s="1321" t="s">
        <v>3654</v>
      </c>
      <c r="C589" s="1322">
        <f>INDEX('LOCAL DATASET'!$C$376:$ALZ$376,1,ROW(C589)-1)</f>
        <v>0</v>
      </c>
    </row>
    <row r="590" spans="1:3">
      <c r="A590" s="1322" t="str">
        <f t="shared" si="9"/>
        <v>London</v>
      </c>
      <c r="B590" s="1321" t="s">
        <v>3655</v>
      </c>
      <c r="C590" s="1322">
        <f>INDEX('LOCAL DATASET'!$C$376:$ALZ$376,1,ROW(C590)-1)</f>
        <v>0</v>
      </c>
    </row>
    <row r="591" spans="1:3">
      <c r="A591" s="1322" t="str">
        <f t="shared" si="9"/>
        <v>London</v>
      </c>
      <c r="B591" s="1321" t="s">
        <v>3656</v>
      </c>
      <c r="C591" s="1322">
        <f>INDEX('LOCAL DATASET'!$C$376:$ALZ$376,1,ROW(C591)-1)</f>
        <v>0</v>
      </c>
    </row>
    <row r="592" spans="1:3">
      <c r="A592" s="1322" t="str">
        <f t="shared" si="9"/>
        <v>London</v>
      </c>
      <c r="B592" s="1321" t="s">
        <v>3657</v>
      </c>
      <c r="C592" s="1322">
        <f>INDEX('LOCAL DATASET'!$C$376:$ALZ$376,1,ROW(C592)-1)</f>
        <v>0</v>
      </c>
    </row>
    <row r="593" spans="1:3">
      <c r="A593" s="1322" t="str">
        <f t="shared" si="9"/>
        <v>London</v>
      </c>
      <c r="B593" s="1321" t="s">
        <v>3658</v>
      </c>
      <c r="C593" s="1322">
        <f>INDEX('LOCAL DATASET'!$C$376:$ALZ$376,1,ROW(C593)-1)</f>
        <v>0</v>
      </c>
    </row>
    <row r="594" spans="1:3">
      <c r="A594" s="1322" t="str">
        <f t="shared" si="9"/>
        <v>London</v>
      </c>
      <c r="B594" s="1321" t="s">
        <v>3659</v>
      </c>
      <c r="C594" s="1322">
        <f>INDEX('LOCAL DATASET'!$C$376:$ALZ$376,1,ROW(C594)-1)</f>
        <v>0</v>
      </c>
    </row>
    <row r="595" spans="1:3">
      <c r="A595" s="1322" t="str">
        <f t="shared" si="9"/>
        <v>London</v>
      </c>
      <c r="B595" s="1321" t="s">
        <v>3660</v>
      </c>
      <c r="C595" s="1322">
        <f>INDEX('LOCAL DATASET'!$C$376:$ALZ$376,1,ROW(C595)-1)</f>
        <v>0</v>
      </c>
    </row>
    <row r="596" spans="1:3">
      <c r="A596" s="1322" t="str">
        <f t="shared" si="9"/>
        <v>London</v>
      </c>
      <c r="B596" s="1321" t="s">
        <v>3661</v>
      </c>
      <c r="C596" s="1322">
        <f>INDEX('LOCAL DATASET'!$C$376:$ALZ$376,1,ROW(C596)-1)</f>
        <v>0</v>
      </c>
    </row>
    <row r="597" spans="1:3">
      <c r="A597" s="1322" t="str">
        <f t="shared" si="9"/>
        <v>London</v>
      </c>
      <c r="B597" s="1321" t="s">
        <v>3662</v>
      </c>
      <c r="C597" s="1322">
        <f>INDEX('LOCAL DATASET'!$C$376:$ALZ$376,1,ROW(C597)-1)</f>
        <v>0</v>
      </c>
    </row>
    <row r="598" spans="1:3">
      <c r="A598" s="1322" t="str">
        <f t="shared" si="9"/>
        <v>London</v>
      </c>
      <c r="B598" s="1321" t="s">
        <v>3663</v>
      </c>
      <c r="C598" s="1322">
        <f>INDEX('LOCAL DATASET'!$C$376:$ALZ$376,1,ROW(C598)-1)</f>
        <v>0</v>
      </c>
    </row>
    <row r="599" spans="1:3">
      <c r="A599" s="1322" t="str">
        <f t="shared" si="9"/>
        <v>London</v>
      </c>
      <c r="B599" s="1321" t="s">
        <v>3664</v>
      </c>
      <c r="C599" s="1322">
        <f>INDEX('LOCAL DATASET'!$C$376:$ALZ$376,1,ROW(C599)-1)</f>
        <v>0</v>
      </c>
    </row>
    <row r="600" spans="1:3">
      <c r="A600" s="1322" t="str">
        <f t="shared" si="9"/>
        <v>London</v>
      </c>
      <c r="B600" s="1321" t="s">
        <v>3665</v>
      </c>
      <c r="C600" s="1322">
        <f>INDEX('LOCAL DATASET'!$C$376:$ALZ$376,1,ROW(C600)-1)</f>
        <v>0</v>
      </c>
    </row>
    <row r="601" spans="1:3">
      <c r="A601" s="1322" t="str">
        <f t="shared" si="9"/>
        <v>London</v>
      </c>
      <c r="B601" s="1321" t="s">
        <v>3666</v>
      </c>
      <c r="C601" s="1322">
        <f>INDEX('LOCAL DATASET'!$C$376:$ALZ$376,1,ROW(C601)-1)</f>
        <v>0</v>
      </c>
    </row>
    <row r="602" spans="1:3">
      <c r="A602" s="1322" t="str">
        <f t="shared" si="9"/>
        <v>London</v>
      </c>
      <c r="B602" s="1321" t="s">
        <v>3667</v>
      </c>
      <c r="C602" s="1322">
        <f>INDEX('LOCAL DATASET'!$C$376:$ALZ$376,1,ROW(C602)-1)</f>
        <v>0</v>
      </c>
    </row>
    <row r="603" spans="1:3">
      <c r="A603" s="1322" t="str">
        <f t="shared" si="9"/>
        <v>London</v>
      </c>
      <c r="B603" s="1321" t="s">
        <v>3668</v>
      </c>
      <c r="C603" s="1322">
        <f>INDEX('LOCAL DATASET'!$C$376:$ALZ$376,1,ROW(C603)-1)</f>
        <v>0</v>
      </c>
    </row>
    <row r="604" spans="1:3">
      <c r="A604" s="1322" t="str">
        <f t="shared" si="9"/>
        <v>London</v>
      </c>
      <c r="B604" s="1321" t="s">
        <v>3669</v>
      </c>
      <c r="C604" s="1322">
        <f>INDEX('LOCAL DATASET'!$C$376:$ALZ$376,1,ROW(C604)-1)</f>
        <v>0</v>
      </c>
    </row>
    <row r="605" spans="1:3">
      <c r="A605" s="1322" t="str">
        <f t="shared" si="9"/>
        <v>London</v>
      </c>
      <c r="B605" s="1321" t="s">
        <v>3670</v>
      </c>
      <c r="C605" s="1322">
        <f>INDEX('LOCAL DATASET'!$C$376:$ALZ$376,1,ROW(C605)-1)</f>
        <v>0</v>
      </c>
    </row>
    <row r="606" spans="1:3">
      <c r="A606" s="1322" t="str">
        <f t="shared" si="9"/>
        <v>London</v>
      </c>
      <c r="B606" s="1321" t="s">
        <v>3671</v>
      </c>
      <c r="C606" s="1322">
        <f>INDEX('LOCAL DATASET'!$C$376:$ALZ$376,1,ROW(C606)-1)</f>
        <v>0</v>
      </c>
    </row>
    <row r="607" spans="1:3">
      <c r="A607" s="1322" t="str">
        <f t="shared" si="9"/>
        <v>London</v>
      </c>
      <c r="B607" s="1321" t="s">
        <v>3672</v>
      </c>
      <c r="C607" s="1322">
        <f>INDEX('LOCAL DATASET'!$C$376:$ALZ$376,1,ROW(C607)-1)</f>
        <v>0</v>
      </c>
    </row>
    <row r="608" spans="1:3">
      <c r="A608" s="1322" t="str">
        <f t="shared" si="9"/>
        <v>London</v>
      </c>
      <c r="B608" s="1321" t="s">
        <v>3673</v>
      </c>
      <c r="C608" s="1322">
        <f>INDEX('LOCAL DATASET'!$C$376:$ALZ$376,1,ROW(C608)-1)</f>
        <v>0</v>
      </c>
    </row>
    <row r="609" spans="1:3">
      <c r="A609" s="1322" t="str">
        <f t="shared" si="9"/>
        <v>London</v>
      </c>
      <c r="B609" s="1321" t="s">
        <v>3674</v>
      </c>
      <c r="C609" s="1322">
        <f>INDEX('LOCAL DATASET'!$C$376:$ALZ$376,1,ROW(C609)-1)</f>
        <v>0</v>
      </c>
    </row>
    <row r="610" spans="1:3">
      <c r="A610" s="1322" t="str">
        <f t="shared" si="9"/>
        <v>London</v>
      </c>
      <c r="B610" s="1321" t="s">
        <v>3675</v>
      </c>
      <c r="C610" s="1322">
        <f>INDEX('LOCAL DATASET'!$C$376:$ALZ$376,1,ROW(C610)-1)</f>
        <v>0</v>
      </c>
    </row>
    <row r="611" spans="1:3">
      <c r="A611" s="1322" t="str">
        <f t="shared" si="9"/>
        <v>London</v>
      </c>
      <c r="B611" s="1321" t="s">
        <v>3676</v>
      </c>
      <c r="C611" s="1322">
        <f>INDEX('LOCAL DATASET'!$C$376:$ALZ$376,1,ROW(C611)-1)</f>
        <v>0</v>
      </c>
    </row>
    <row r="612" spans="1:3">
      <c r="A612" s="1322" t="str">
        <f t="shared" si="9"/>
        <v>London</v>
      </c>
      <c r="B612" s="1321" t="s">
        <v>3677</v>
      </c>
      <c r="C612" s="1322">
        <f>INDEX('LOCAL DATASET'!$C$376:$ALZ$376,1,ROW(C612)-1)</f>
        <v>0</v>
      </c>
    </row>
    <row r="613" spans="1:3">
      <c r="A613" s="1322" t="str">
        <f t="shared" si="9"/>
        <v>London</v>
      </c>
      <c r="B613" s="1321" t="s">
        <v>3678</v>
      </c>
      <c r="C613" s="1322">
        <f>INDEX('LOCAL DATASET'!$C$376:$ALZ$376,1,ROW(C613)-1)</f>
        <v>0</v>
      </c>
    </row>
    <row r="614" spans="1:3">
      <c r="A614" s="1322" t="str">
        <f t="shared" si="9"/>
        <v>London</v>
      </c>
      <c r="B614" s="1321" t="s">
        <v>3679</v>
      </c>
      <c r="C614" s="1322">
        <f>INDEX('LOCAL DATASET'!$C$376:$ALZ$376,1,ROW(C614)-1)</f>
        <v>0</v>
      </c>
    </row>
    <row r="615" spans="1:3">
      <c r="A615" s="1322" t="str">
        <f t="shared" si="9"/>
        <v>London</v>
      </c>
      <c r="B615" s="1321" t="s">
        <v>3680</v>
      </c>
      <c r="C615" s="1322">
        <f>INDEX('LOCAL DATASET'!$C$376:$ALZ$376,1,ROW(C615)-1)</f>
        <v>0</v>
      </c>
    </row>
    <row r="616" spans="1:3">
      <c r="A616" s="1322" t="str">
        <f t="shared" si="9"/>
        <v>London</v>
      </c>
      <c r="B616" s="1321" t="s">
        <v>3681</v>
      </c>
      <c r="C616" s="1322">
        <f>INDEX('LOCAL DATASET'!$C$376:$ALZ$376,1,ROW(C616)-1)</f>
        <v>0</v>
      </c>
    </row>
    <row r="617" spans="1:3">
      <c r="A617" s="1322" t="str">
        <f t="shared" si="9"/>
        <v>London</v>
      </c>
      <c r="B617" s="1321" t="s">
        <v>3682</v>
      </c>
      <c r="C617" s="1322">
        <f>INDEX('LOCAL DATASET'!$C$376:$ALZ$376,1,ROW(C617)-1)</f>
        <v>0</v>
      </c>
    </row>
    <row r="618" spans="1:3">
      <c r="A618" s="1322" t="str">
        <f t="shared" si="9"/>
        <v>London</v>
      </c>
      <c r="B618" s="1321" t="s">
        <v>3683</v>
      </c>
      <c r="C618" s="1322">
        <f>INDEX('LOCAL DATASET'!$C$376:$ALZ$376,1,ROW(C618)-1)</f>
        <v>0</v>
      </c>
    </row>
    <row r="619" spans="1:3">
      <c r="A619" s="1322" t="str">
        <f t="shared" si="9"/>
        <v>London</v>
      </c>
      <c r="B619" s="1321" t="s">
        <v>3684</v>
      </c>
      <c r="C619" s="1322">
        <f>INDEX('LOCAL DATASET'!$C$376:$ALZ$376,1,ROW(C619)-1)</f>
        <v>0</v>
      </c>
    </row>
    <row r="620" spans="1:3">
      <c r="A620" s="1322" t="str">
        <f t="shared" si="9"/>
        <v>London</v>
      </c>
      <c r="B620" s="1321" t="s">
        <v>3685</v>
      </c>
      <c r="C620" s="1322">
        <f>INDEX('LOCAL DATASET'!$C$376:$ALZ$376,1,ROW(C620)-1)</f>
        <v>0</v>
      </c>
    </row>
    <row r="621" spans="1:3">
      <c r="A621" s="1322" t="str">
        <f t="shared" si="9"/>
        <v>London</v>
      </c>
      <c r="B621" s="1321" t="s">
        <v>3686</v>
      </c>
      <c r="C621" s="1322">
        <f>INDEX('LOCAL DATASET'!$C$376:$ALZ$376,1,ROW(C621)-1)</f>
        <v>0</v>
      </c>
    </row>
    <row r="622" spans="1:3">
      <c r="A622" s="1322" t="str">
        <f t="shared" si="9"/>
        <v>London</v>
      </c>
      <c r="B622" s="1321" t="s">
        <v>3687</v>
      </c>
      <c r="C622" s="1322">
        <f>INDEX('LOCAL DATASET'!$C$376:$ALZ$376,1,ROW(C622)-1)</f>
        <v>0</v>
      </c>
    </row>
    <row r="623" spans="1:3">
      <c r="A623" s="1322" t="str">
        <f t="shared" si="9"/>
        <v>London</v>
      </c>
      <c r="B623" s="1321" t="s">
        <v>3688</v>
      </c>
      <c r="C623" s="1322">
        <f>INDEX('LOCAL DATASET'!$C$376:$ALZ$376,1,ROW(C623)-1)</f>
        <v>0</v>
      </c>
    </row>
    <row r="624" spans="1:3">
      <c r="A624" s="1322" t="str">
        <f t="shared" si="9"/>
        <v>London</v>
      </c>
      <c r="B624" s="1321" t="s">
        <v>3689</v>
      </c>
      <c r="C624" s="1322">
        <f>INDEX('LOCAL DATASET'!$C$376:$ALZ$376,1,ROW(C624)-1)</f>
        <v>0</v>
      </c>
    </row>
    <row r="625" spans="1:3">
      <c r="A625" s="1322" t="str">
        <f t="shared" si="9"/>
        <v>London</v>
      </c>
      <c r="B625" s="1321" t="s">
        <v>3690</v>
      </c>
      <c r="C625" s="1322">
        <f>INDEX('LOCAL DATASET'!$C$376:$ALZ$376,1,ROW(C625)-1)</f>
        <v>0</v>
      </c>
    </row>
    <row r="626" spans="1:3">
      <c r="A626" s="1322" t="str">
        <f t="shared" si="9"/>
        <v>London</v>
      </c>
      <c r="B626" s="1321" t="s">
        <v>3691</v>
      </c>
      <c r="C626" s="1322">
        <f>INDEX('LOCAL DATASET'!$C$376:$ALZ$376,1,ROW(C626)-1)</f>
        <v>0</v>
      </c>
    </row>
    <row r="627" spans="1:3">
      <c r="A627" s="1322" t="str">
        <f t="shared" si="9"/>
        <v>London</v>
      </c>
      <c r="B627" s="1321" t="s">
        <v>3692</v>
      </c>
      <c r="C627" s="1322">
        <f>INDEX('LOCAL DATASET'!$C$376:$ALZ$376,1,ROW(C627)-1)</f>
        <v>0</v>
      </c>
    </row>
    <row r="628" spans="1:3">
      <c r="A628" s="1322" t="str">
        <f t="shared" si="9"/>
        <v>London</v>
      </c>
      <c r="B628" s="1321" t="s">
        <v>3693</v>
      </c>
      <c r="C628" s="1322">
        <f>INDEX('LOCAL DATASET'!$C$376:$ALZ$376,1,ROW(C628)-1)</f>
        <v>0</v>
      </c>
    </row>
    <row r="629" spans="1:3">
      <c r="A629" s="1322" t="str">
        <f t="shared" si="9"/>
        <v>London</v>
      </c>
      <c r="B629" s="1321" t="s">
        <v>3694</v>
      </c>
      <c r="C629" s="1322">
        <f>INDEX('LOCAL DATASET'!$C$376:$ALZ$376,1,ROW(C629)-1)</f>
        <v>0</v>
      </c>
    </row>
    <row r="630" spans="1:3">
      <c r="A630" s="1322" t="str">
        <f t="shared" si="9"/>
        <v>London</v>
      </c>
      <c r="B630" s="1321" t="s">
        <v>3695</v>
      </c>
      <c r="C630" s="1322">
        <f>INDEX('LOCAL DATASET'!$C$376:$ALZ$376,1,ROW(C630)-1)</f>
        <v>0</v>
      </c>
    </row>
    <row r="631" spans="1:3">
      <c r="A631" s="1322" t="str">
        <f t="shared" si="9"/>
        <v>London</v>
      </c>
      <c r="B631" s="1321" t="s">
        <v>3696</v>
      </c>
      <c r="C631" s="1322">
        <f>INDEX('LOCAL DATASET'!$C$376:$ALZ$376,1,ROW(C631)-1)</f>
        <v>0</v>
      </c>
    </row>
    <row r="632" spans="1:3">
      <c r="A632" s="1322" t="str">
        <f t="shared" si="9"/>
        <v>London</v>
      </c>
      <c r="B632" s="1321" t="s">
        <v>3697</v>
      </c>
      <c r="C632" s="1322">
        <f>INDEX('LOCAL DATASET'!$C$376:$ALZ$376,1,ROW(C632)-1)</f>
        <v>0</v>
      </c>
    </row>
    <row r="633" spans="1:3">
      <c r="A633" s="1322" t="str">
        <f t="shared" si="9"/>
        <v>London</v>
      </c>
      <c r="B633" s="1321" t="s">
        <v>3698</v>
      </c>
      <c r="C633" s="1322">
        <f>INDEX('LOCAL DATASET'!$C$376:$ALZ$376,1,ROW(C633)-1)</f>
        <v>0</v>
      </c>
    </row>
    <row r="634" spans="1:3">
      <c r="A634" s="1322" t="str">
        <f t="shared" si="9"/>
        <v>London</v>
      </c>
      <c r="B634" s="1321" t="s">
        <v>3699</v>
      </c>
      <c r="C634" s="1322">
        <f>INDEX('LOCAL DATASET'!$C$376:$ALZ$376,1,ROW(C634)-1)</f>
        <v>0</v>
      </c>
    </row>
    <row r="635" spans="1:3">
      <c r="A635" s="1322" t="str">
        <f t="shared" si="9"/>
        <v>London</v>
      </c>
      <c r="B635" s="1321" t="s">
        <v>3700</v>
      </c>
      <c r="C635" s="1322">
        <f>INDEX('LOCAL DATASET'!$C$376:$ALZ$376,1,ROW(C635)-1)</f>
        <v>0</v>
      </c>
    </row>
    <row r="636" spans="1:3">
      <c r="A636" s="1322" t="str">
        <f t="shared" si="9"/>
        <v>London</v>
      </c>
      <c r="B636" s="1321" t="s">
        <v>3701</v>
      </c>
      <c r="C636" s="1322">
        <f>INDEX('LOCAL DATASET'!$C$376:$ALZ$376,1,ROW(C636)-1)</f>
        <v>0</v>
      </c>
    </row>
    <row r="637" spans="1:3">
      <c r="A637" s="1322" t="str">
        <f t="shared" si="9"/>
        <v>London</v>
      </c>
      <c r="B637" s="1321" t="s">
        <v>3702</v>
      </c>
      <c r="C637" s="1322">
        <f>INDEX('LOCAL DATASET'!$C$376:$ALZ$376,1,ROW(C637)-1)</f>
        <v>0</v>
      </c>
    </row>
    <row r="638" spans="1:3">
      <c r="A638" s="1322" t="str">
        <f t="shared" si="9"/>
        <v>London</v>
      </c>
      <c r="B638" s="1321" t="s">
        <v>3703</v>
      </c>
      <c r="C638" s="1322">
        <f>INDEX('LOCAL DATASET'!$C$376:$ALZ$376,1,ROW(C638)-1)</f>
        <v>0</v>
      </c>
    </row>
    <row r="639" spans="1:3">
      <c r="A639" s="1322" t="str">
        <f t="shared" si="9"/>
        <v>London</v>
      </c>
      <c r="B639" s="1321" t="s">
        <v>3704</v>
      </c>
      <c r="C639" s="1322">
        <f>INDEX('LOCAL DATASET'!$C$376:$ALZ$376,1,ROW(C639)-1)</f>
        <v>0</v>
      </c>
    </row>
    <row r="640" spans="1:3">
      <c r="A640" s="1322" t="str">
        <f t="shared" si="9"/>
        <v>London</v>
      </c>
      <c r="B640" s="1321" t="s">
        <v>3705</v>
      </c>
      <c r="C640" s="1322">
        <f>INDEX('LOCAL DATASET'!$C$376:$ALZ$376,1,ROW(C640)-1)</f>
        <v>0</v>
      </c>
    </row>
    <row r="641" spans="1:3">
      <c r="A641" s="1322" t="str">
        <f t="shared" si="9"/>
        <v>London</v>
      </c>
      <c r="B641" s="1321" t="s">
        <v>3706</v>
      </c>
      <c r="C641" s="1322">
        <f>INDEX('LOCAL DATASET'!$C$376:$ALZ$376,1,ROW(C641)-1)</f>
        <v>0</v>
      </c>
    </row>
    <row r="642" spans="1:3">
      <c r="A642" s="1322" t="str">
        <f t="shared" si="9"/>
        <v>London</v>
      </c>
      <c r="B642" s="1321" t="s">
        <v>3707</v>
      </c>
      <c r="C642" s="1322">
        <f>INDEX('LOCAL DATASET'!$C$376:$ALZ$376,1,ROW(C642)-1)</f>
        <v>0</v>
      </c>
    </row>
    <row r="643" spans="1:3">
      <c r="A643" s="1322" t="str">
        <f t="shared" si="9"/>
        <v>London</v>
      </c>
      <c r="B643" s="1321" t="s">
        <v>3708</v>
      </c>
      <c r="C643" s="1322">
        <f>INDEX('LOCAL DATASET'!$C$376:$ALZ$376,1,ROW(C643)-1)</f>
        <v>0</v>
      </c>
    </row>
    <row r="644" spans="1:3">
      <c r="A644" s="1322" t="str">
        <f t="shared" ref="A644:A707" si="10">A643</f>
        <v>London</v>
      </c>
      <c r="B644" s="1321" t="s">
        <v>3709</v>
      </c>
      <c r="C644" s="1322">
        <f>INDEX('LOCAL DATASET'!$C$376:$ALZ$376,1,ROW(C644)-1)</f>
        <v>0</v>
      </c>
    </row>
    <row r="645" spans="1:3">
      <c r="A645" s="1322" t="str">
        <f t="shared" si="10"/>
        <v>London</v>
      </c>
      <c r="B645" s="1321" t="s">
        <v>3710</v>
      </c>
      <c r="C645" s="1322">
        <f>INDEX('LOCAL DATASET'!$C$376:$ALZ$376,1,ROW(C645)-1)</f>
        <v>0</v>
      </c>
    </row>
    <row r="646" spans="1:3">
      <c r="A646" s="1322" t="str">
        <f t="shared" si="10"/>
        <v>London</v>
      </c>
      <c r="B646" s="1321" t="s">
        <v>3711</v>
      </c>
      <c r="C646" s="1322">
        <f>INDEX('LOCAL DATASET'!$C$376:$ALZ$376,1,ROW(C646)-1)</f>
        <v>0</v>
      </c>
    </row>
    <row r="647" spans="1:3">
      <c r="A647" s="1322" t="str">
        <f t="shared" si="10"/>
        <v>London</v>
      </c>
      <c r="B647" s="1321" t="s">
        <v>3712</v>
      </c>
      <c r="C647" s="1322">
        <f>INDEX('LOCAL DATASET'!$C$376:$ALZ$376,1,ROW(C647)-1)</f>
        <v>0</v>
      </c>
    </row>
    <row r="648" spans="1:3">
      <c r="A648" s="1322" t="str">
        <f t="shared" si="10"/>
        <v>London</v>
      </c>
      <c r="B648" s="1321" t="s">
        <v>3713</v>
      </c>
      <c r="C648" s="1322">
        <f>INDEX('LOCAL DATASET'!$C$376:$ALZ$376,1,ROW(C648)-1)</f>
        <v>0</v>
      </c>
    </row>
    <row r="649" spans="1:3">
      <c r="A649" s="1322" t="str">
        <f t="shared" si="10"/>
        <v>London</v>
      </c>
      <c r="B649" s="1321" t="s">
        <v>3714</v>
      </c>
      <c r="C649" s="1322">
        <f>INDEX('LOCAL DATASET'!$C$376:$ALZ$376,1,ROW(C649)-1)</f>
        <v>0</v>
      </c>
    </row>
    <row r="650" spans="1:3">
      <c r="A650" s="1322" t="str">
        <f t="shared" si="10"/>
        <v>London</v>
      </c>
      <c r="B650" s="1321" t="s">
        <v>3715</v>
      </c>
      <c r="C650" s="1322">
        <f>INDEX('LOCAL DATASET'!$C$376:$ALZ$376,1,ROW(C650)-1)</f>
        <v>0</v>
      </c>
    </row>
    <row r="651" spans="1:3">
      <c r="A651" s="1322" t="str">
        <f t="shared" si="10"/>
        <v>London</v>
      </c>
      <c r="B651" s="1321" t="s">
        <v>3716</v>
      </c>
      <c r="C651" s="1322">
        <f>INDEX('LOCAL DATASET'!$C$376:$ALZ$376,1,ROW(C651)-1)</f>
        <v>0</v>
      </c>
    </row>
    <row r="652" spans="1:3">
      <c r="A652" s="1322" t="str">
        <f t="shared" si="10"/>
        <v>London</v>
      </c>
      <c r="B652" s="1321" t="s">
        <v>3717</v>
      </c>
      <c r="C652" s="1322">
        <f>INDEX('LOCAL DATASET'!$C$376:$ALZ$376,1,ROW(C652)-1)</f>
        <v>0</v>
      </c>
    </row>
    <row r="653" spans="1:3">
      <c r="A653" s="1322" t="str">
        <f t="shared" si="10"/>
        <v>London</v>
      </c>
      <c r="B653" s="1321" t="s">
        <v>3718</v>
      </c>
      <c r="C653" s="1322">
        <f>INDEX('LOCAL DATASET'!$C$376:$ALZ$376,1,ROW(C653)-1)</f>
        <v>0</v>
      </c>
    </row>
    <row r="654" spans="1:3">
      <c r="A654" s="1322" t="str">
        <f t="shared" si="10"/>
        <v>London</v>
      </c>
      <c r="B654" s="1321" t="s">
        <v>3719</v>
      </c>
      <c r="C654" s="1322">
        <f>INDEX('LOCAL DATASET'!$C$376:$ALZ$376,1,ROW(C654)-1)</f>
        <v>0</v>
      </c>
    </row>
    <row r="655" spans="1:3">
      <c r="A655" s="1322" t="str">
        <f t="shared" si="10"/>
        <v>London</v>
      </c>
      <c r="B655" s="1321" t="s">
        <v>3720</v>
      </c>
      <c r="C655" s="1322">
        <f>INDEX('LOCAL DATASET'!$C$376:$ALZ$376,1,ROW(C655)-1)</f>
        <v>0</v>
      </c>
    </row>
    <row r="656" spans="1:3">
      <c r="A656" s="1322" t="str">
        <f t="shared" si="10"/>
        <v>London</v>
      </c>
      <c r="B656" s="1321" t="s">
        <v>3721</v>
      </c>
      <c r="C656" s="1322">
        <f>INDEX('LOCAL DATASET'!$C$376:$ALZ$376,1,ROW(C656)-1)</f>
        <v>0</v>
      </c>
    </row>
    <row r="657" spans="1:3">
      <c r="A657" s="1322" t="str">
        <f t="shared" si="10"/>
        <v>London</v>
      </c>
      <c r="B657" s="1321" t="s">
        <v>3722</v>
      </c>
      <c r="C657" s="1322">
        <f>INDEX('LOCAL DATASET'!$C$376:$ALZ$376,1,ROW(C657)-1)</f>
        <v>0</v>
      </c>
    </row>
    <row r="658" spans="1:3">
      <c r="A658" s="1322" t="str">
        <f t="shared" si="10"/>
        <v>London</v>
      </c>
      <c r="B658" s="1321" t="s">
        <v>3723</v>
      </c>
      <c r="C658" s="1322">
        <f>INDEX('LOCAL DATASET'!$C$376:$ALZ$376,1,ROW(C658)-1)</f>
        <v>0</v>
      </c>
    </row>
    <row r="659" spans="1:3">
      <c r="A659" s="1322" t="str">
        <f t="shared" si="10"/>
        <v>London</v>
      </c>
      <c r="B659" s="1321" t="s">
        <v>3724</v>
      </c>
      <c r="C659" s="1322">
        <f>INDEX('LOCAL DATASET'!$C$376:$ALZ$376,1,ROW(C659)-1)</f>
        <v>0</v>
      </c>
    </row>
    <row r="660" spans="1:3">
      <c r="A660" s="1322" t="str">
        <f t="shared" si="10"/>
        <v>London</v>
      </c>
      <c r="B660" s="1321" t="s">
        <v>3725</v>
      </c>
      <c r="C660" s="1322">
        <f>INDEX('LOCAL DATASET'!$C$376:$ALZ$376,1,ROW(C660)-1)</f>
        <v>0</v>
      </c>
    </row>
    <row r="661" spans="1:3">
      <c r="A661" s="1322" t="str">
        <f t="shared" si="10"/>
        <v>London</v>
      </c>
      <c r="B661" s="1321" t="s">
        <v>3726</v>
      </c>
      <c r="C661" s="1322">
        <f>INDEX('LOCAL DATASET'!$C$376:$ALZ$376,1,ROW(C661)-1)</f>
        <v>0</v>
      </c>
    </row>
    <row r="662" spans="1:3">
      <c r="A662" s="1322" t="str">
        <f t="shared" si="10"/>
        <v>London</v>
      </c>
      <c r="B662" s="1321" t="s">
        <v>3727</v>
      </c>
      <c r="C662" s="1322">
        <f>INDEX('LOCAL DATASET'!$C$376:$ALZ$376,1,ROW(C662)-1)</f>
        <v>0</v>
      </c>
    </row>
    <row r="663" spans="1:3">
      <c r="A663" s="1322" t="str">
        <f t="shared" si="10"/>
        <v>London</v>
      </c>
      <c r="B663" s="1321" t="s">
        <v>3728</v>
      </c>
      <c r="C663" s="1322">
        <f>INDEX('LOCAL DATASET'!$C$376:$ALZ$376,1,ROW(C663)-1)</f>
        <v>0</v>
      </c>
    </row>
    <row r="664" spans="1:3">
      <c r="A664" s="1322" t="str">
        <f t="shared" si="10"/>
        <v>London</v>
      </c>
      <c r="B664" s="1321" t="s">
        <v>3729</v>
      </c>
      <c r="C664" s="1322">
        <f>INDEX('LOCAL DATASET'!$C$376:$ALZ$376,1,ROW(C664)-1)</f>
        <v>0</v>
      </c>
    </row>
    <row r="665" spans="1:3">
      <c r="A665" s="1322" t="str">
        <f t="shared" si="10"/>
        <v>London</v>
      </c>
      <c r="B665" s="1321" t="s">
        <v>3730</v>
      </c>
      <c r="C665" s="1322">
        <f>INDEX('LOCAL DATASET'!$C$376:$ALZ$376,1,ROW(C665)-1)</f>
        <v>0</v>
      </c>
    </row>
    <row r="666" spans="1:3">
      <c r="A666" s="1322" t="str">
        <f t="shared" si="10"/>
        <v>London</v>
      </c>
      <c r="B666" s="1321" t="s">
        <v>3731</v>
      </c>
      <c r="C666" s="1322">
        <f>INDEX('LOCAL DATASET'!$C$376:$ALZ$376,1,ROW(C666)-1)</f>
        <v>0</v>
      </c>
    </row>
    <row r="667" spans="1:3">
      <c r="A667" s="1322" t="str">
        <f t="shared" si="10"/>
        <v>London</v>
      </c>
      <c r="B667" s="1321" t="s">
        <v>3732</v>
      </c>
      <c r="C667" s="1322">
        <f>INDEX('LOCAL DATASET'!$C$376:$ALZ$376,1,ROW(C667)-1)</f>
        <v>0</v>
      </c>
    </row>
    <row r="668" spans="1:3">
      <c r="A668" s="1322" t="str">
        <f t="shared" si="10"/>
        <v>London</v>
      </c>
      <c r="B668" s="1321" t="s">
        <v>3733</v>
      </c>
      <c r="C668" s="1322">
        <f>INDEX('LOCAL DATASET'!$C$376:$ALZ$376,1,ROW(C668)-1)</f>
        <v>0</v>
      </c>
    </row>
    <row r="669" spans="1:3">
      <c r="A669" s="1322" t="str">
        <f t="shared" si="10"/>
        <v>London</v>
      </c>
      <c r="B669" s="1321" t="s">
        <v>3734</v>
      </c>
      <c r="C669" s="1322">
        <f>INDEX('LOCAL DATASET'!$C$376:$ALZ$376,1,ROW(C669)-1)</f>
        <v>0</v>
      </c>
    </row>
    <row r="670" spans="1:3">
      <c r="A670" s="1322" t="str">
        <f t="shared" si="10"/>
        <v>London</v>
      </c>
      <c r="B670" s="1321" t="s">
        <v>3735</v>
      </c>
      <c r="C670" s="1322">
        <f>INDEX('LOCAL DATASET'!$C$376:$ALZ$376,1,ROW(C670)-1)</f>
        <v>0</v>
      </c>
    </row>
    <row r="671" spans="1:3">
      <c r="A671" s="1322" t="str">
        <f t="shared" si="10"/>
        <v>London</v>
      </c>
      <c r="B671" s="1321" t="s">
        <v>3736</v>
      </c>
      <c r="C671" s="1322">
        <f>INDEX('LOCAL DATASET'!$C$376:$ALZ$376,1,ROW(C671)-1)</f>
        <v>0</v>
      </c>
    </row>
    <row r="672" spans="1:3">
      <c r="A672" s="1322" t="str">
        <f t="shared" si="10"/>
        <v>London</v>
      </c>
      <c r="B672" s="1321" t="s">
        <v>3737</v>
      </c>
      <c r="C672" s="1322">
        <f>INDEX('LOCAL DATASET'!$C$376:$ALZ$376,1,ROW(C672)-1)</f>
        <v>0</v>
      </c>
    </row>
    <row r="673" spans="1:3">
      <c r="A673" s="1322" t="str">
        <f t="shared" si="10"/>
        <v>London</v>
      </c>
      <c r="B673" s="1321" t="s">
        <v>3738</v>
      </c>
      <c r="C673" s="1322">
        <f>INDEX('LOCAL DATASET'!$C$376:$ALZ$376,1,ROW(C673)-1)</f>
        <v>0</v>
      </c>
    </row>
    <row r="674" spans="1:3">
      <c r="A674" s="1322" t="str">
        <f t="shared" si="10"/>
        <v>London</v>
      </c>
      <c r="B674" s="1321" t="s">
        <v>3739</v>
      </c>
      <c r="C674" s="1322">
        <f>INDEX('LOCAL DATASET'!$C$376:$ALZ$376,1,ROW(C674)-1)</f>
        <v>0</v>
      </c>
    </row>
    <row r="675" spans="1:3">
      <c r="A675" s="1322" t="str">
        <f t="shared" si="10"/>
        <v>London</v>
      </c>
      <c r="B675" s="1321" t="s">
        <v>3740</v>
      </c>
      <c r="C675" s="1322">
        <f>INDEX('LOCAL DATASET'!$C$376:$ALZ$376,1,ROW(C675)-1)</f>
        <v>0</v>
      </c>
    </row>
    <row r="676" spans="1:3">
      <c r="A676" s="1322" t="str">
        <f t="shared" si="10"/>
        <v>London</v>
      </c>
      <c r="B676" s="1321" t="s">
        <v>3741</v>
      </c>
      <c r="C676" s="1322">
        <f>INDEX('LOCAL DATASET'!$C$376:$ALZ$376,1,ROW(C676)-1)</f>
        <v>0</v>
      </c>
    </row>
    <row r="677" spans="1:3">
      <c r="A677" s="1322" t="str">
        <f t="shared" si="10"/>
        <v>London</v>
      </c>
      <c r="B677" s="1321" t="s">
        <v>3742</v>
      </c>
      <c r="C677" s="1322">
        <f>INDEX('LOCAL DATASET'!$C$376:$ALZ$376,1,ROW(C677)-1)</f>
        <v>0</v>
      </c>
    </row>
    <row r="678" spans="1:3">
      <c r="A678" s="1322" t="str">
        <f t="shared" si="10"/>
        <v>London</v>
      </c>
      <c r="B678" s="1321" t="s">
        <v>3743</v>
      </c>
      <c r="C678" s="1322">
        <f>INDEX('LOCAL DATASET'!$C$376:$ALZ$376,1,ROW(C678)-1)</f>
        <v>0</v>
      </c>
    </row>
    <row r="679" spans="1:3">
      <c r="A679" s="1322" t="str">
        <f t="shared" si="10"/>
        <v>London</v>
      </c>
      <c r="B679" s="1321" t="s">
        <v>3744</v>
      </c>
      <c r="C679" s="1322">
        <f>INDEX('LOCAL DATASET'!$C$376:$ALZ$376,1,ROW(C679)-1)</f>
        <v>0</v>
      </c>
    </row>
    <row r="680" spans="1:3">
      <c r="A680" s="1322" t="str">
        <f t="shared" si="10"/>
        <v>London</v>
      </c>
      <c r="B680" s="1321" t="s">
        <v>3745</v>
      </c>
      <c r="C680" s="1322">
        <f>INDEX('LOCAL DATASET'!$C$376:$ALZ$376,1,ROW(C680)-1)</f>
        <v>0</v>
      </c>
    </row>
    <row r="681" spans="1:3">
      <c r="A681" s="1322" t="str">
        <f t="shared" si="10"/>
        <v>London</v>
      </c>
      <c r="B681" s="1321" t="s">
        <v>3746</v>
      </c>
      <c r="C681" s="1322">
        <f>INDEX('LOCAL DATASET'!$C$376:$ALZ$376,1,ROW(C681)-1)</f>
        <v>0</v>
      </c>
    </row>
    <row r="682" spans="1:3">
      <c r="A682" s="1322" t="str">
        <f t="shared" si="10"/>
        <v>London</v>
      </c>
      <c r="B682" s="1321" t="s">
        <v>3747</v>
      </c>
      <c r="C682" s="1322">
        <f>INDEX('LOCAL DATASET'!$C$376:$ALZ$376,1,ROW(C682)-1)</f>
        <v>0</v>
      </c>
    </row>
    <row r="683" spans="1:3">
      <c r="A683" s="1322" t="str">
        <f t="shared" si="10"/>
        <v>London</v>
      </c>
      <c r="B683" s="1321" t="s">
        <v>3748</v>
      </c>
      <c r="C683" s="1322">
        <f>INDEX('LOCAL DATASET'!$C$376:$ALZ$376,1,ROW(C683)-1)</f>
        <v>0</v>
      </c>
    </row>
    <row r="684" spans="1:3">
      <c r="A684" s="1322" t="str">
        <f t="shared" si="10"/>
        <v>London</v>
      </c>
      <c r="B684" s="1321" t="s">
        <v>3749</v>
      </c>
      <c r="C684" s="1322">
        <f>INDEX('LOCAL DATASET'!$C$376:$ALZ$376,1,ROW(C684)-1)</f>
        <v>0</v>
      </c>
    </row>
    <row r="685" spans="1:3">
      <c r="A685" s="1322" t="str">
        <f t="shared" si="10"/>
        <v>London</v>
      </c>
      <c r="B685" s="1321" t="s">
        <v>3750</v>
      </c>
      <c r="C685" s="1322">
        <f>INDEX('LOCAL DATASET'!$C$376:$ALZ$376,1,ROW(C685)-1)</f>
        <v>0</v>
      </c>
    </row>
    <row r="686" spans="1:3">
      <c r="A686" s="1322" t="str">
        <f t="shared" si="10"/>
        <v>London</v>
      </c>
      <c r="B686" s="1321" t="s">
        <v>3751</v>
      </c>
      <c r="C686" s="1322">
        <f>INDEX('LOCAL DATASET'!$C$376:$ALZ$376,1,ROW(C686)-1)</f>
        <v>0</v>
      </c>
    </row>
    <row r="687" spans="1:3">
      <c r="A687" s="1322" t="str">
        <f t="shared" si="10"/>
        <v>London</v>
      </c>
      <c r="B687" s="1321" t="s">
        <v>3752</v>
      </c>
      <c r="C687" s="1322">
        <f>INDEX('LOCAL DATASET'!$C$376:$ALZ$376,1,ROW(C687)-1)</f>
        <v>0</v>
      </c>
    </row>
    <row r="688" spans="1:3">
      <c r="A688" s="1322" t="str">
        <f t="shared" si="10"/>
        <v>London</v>
      </c>
      <c r="B688" s="1321" t="s">
        <v>3753</v>
      </c>
      <c r="C688" s="1322">
        <f>INDEX('LOCAL DATASET'!$C$376:$ALZ$376,1,ROW(C688)-1)</f>
        <v>0</v>
      </c>
    </row>
    <row r="689" spans="1:3">
      <c r="A689" s="1322" t="str">
        <f t="shared" si="10"/>
        <v>London</v>
      </c>
      <c r="B689" s="1321" t="s">
        <v>3754</v>
      </c>
      <c r="C689" s="1322">
        <f>INDEX('LOCAL DATASET'!$C$376:$ALZ$376,1,ROW(C689)-1)</f>
        <v>0</v>
      </c>
    </row>
    <row r="690" spans="1:3">
      <c r="A690" s="1322" t="str">
        <f t="shared" si="10"/>
        <v>London</v>
      </c>
      <c r="B690" s="1321" t="s">
        <v>3755</v>
      </c>
      <c r="C690" s="1322">
        <f>INDEX('LOCAL DATASET'!$C$376:$ALZ$376,1,ROW(C690)-1)</f>
        <v>0</v>
      </c>
    </row>
    <row r="691" spans="1:3">
      <c r="A691" s="1322" t="str">
        <f t="shared" si="10"/>
        <v>London</v>
      </c>
      <c r="B691" s="1321" t="s">
        <v>3756</v>
      </c>
      <c r="C691" s="1322">
        <f>INDEX('LOCAL DATASET'!$C$376:$ALZ$376,1,ROW(C691)-1)</f>
        <v>0</v>
      </c>
    </row>
    <row r="692" spans="1:3">
      <c r="A692" s="1322" t="str">
        <f t="shared" si="10"/>
        <v>London</v>
      </c>
      <c r="B692" s="1321" t="s">
        <v>3757</v>
      </c>
      <c r="C692" s="1322">
        <f>INDEX('LOCAL DATASET'!$C$376:$ALZ$376,1,ROW(C692)-1)</f>
        <v>0</v>
      </c>
    </row>
    <row r="693" spans="1:3">
      <c r="A693" s="1322" t="str">
        <f t="shared" si="10"/>
        <v>London</v>
      </c>
      <c r="B693" s="1321" t="s">
        <v>3758</v>
      </c>
      <c r="C693" s="1322">
        <f>INDEX('LOCAL DATASET'!$C$376:$ALZ$376,1,ROW(C693)-1)</f>
        <v>0</v>
      </c>
    </row>
    <row r="694" spans="1:3">
      <c r="A694" s="1322" t="str">
        <f t="shared" si="10"/>
        <v>London</v>
      </c>
      <c r="B694" s="1321" t="s">
        <v>3759</v>
      </c>
      <c r="C694" s="1322">
        <f>INDEX('LOCAL DATASET'!$C$376:$ALZ$376,1,ROW(C694)-1)</f>
        <v>0</v>
      </c>
    </row>
    <row r="695" spans="1:3">
      <c r="A695" s="1322" t="str">
        <f t="shared" si="10"/>
        <v>London</v>
      </c>
      <c r="B695" s="1321" t="s">
        <v>3760</v>
      </c>
      <c r="C695" s="1322">
        <f>INDEX('LOCAL DATASET'!$C$376:$ALZ$376,1,ROW(C695)-1)</f>
        <v>0</v>
      </c>
    </row>
    <row r="696" spans="1:3">
      <c r="A696" s="1322" t="str">
        <f t="shared" si="10"/>
        <v>London</v>
      </c>
      <c r="B696" s="1321" t="s">
        <v>3761</v>
      </c>
      <c r="C696" s="1322">
        <f>INDEX('LOCAL DATASET'!$C$376:$ALZ$376,1,ROW(C696)-1)</f>
        <v>0</v>
      </c>
    </row>
    <row r="697" spans="1:3">
      <c r="A697" s="1322" t="str">
        <f t="shared" si="10"/>
        <v>London</v>
      </c>
      <c r="B697" s="1321" t="s">
        <v>3762</v>
      </c>
      <c r="C697" s="1322">
        <f>INDEX('LOCAL DATASET'!$C$376:$ALZ$376,1,ROW(C697)-1)</f>
        <v>0</v>
      </c>
    </row>
    <row r="698" spans="1:3">
      <c r="A698" s="1322" t="str">
        <f t="shared" si="10"/>
        <v>London</v>
      </c>
      <c r="B698" s="1321" t="s">
        <v>3763</v>
      </c>
      <c r="C698" s="1322">
        <f>INDEX('LOCAL DATASET'!$C$376:$ALZ$376,1,ROW(C698)-1)</f>
        <v>0</v>
      </c>
    </row>
    <row r="699" spans="1:3">
      <c r="A699" s="1322" t="str">
        <f t="shared" si="10"/>
        <v>London</v>
      </c>
      <c r="B699" s="1321" t="s">
        <v>3764</v>
      </c>
      <c r="C699" s="1322">
        <f>INDEX('LOCAL DATASET'!$C$376:$ALZ$376,1,ROW(C699)-1)</f>
        <v>0</v>
      </c>
    </row>
    <row r="700" spans="1:3">
      <c r="A700" s="1322" t="str">
        <f t="shared" si="10"/>
        <v>London</v>
      </c>
      <c r="B700" s="1321" t="s">
        <v>3765</v>
      </c>
      <c r="C700" s="1322">
        <f>INDEX('LOCAL DATASET'!$C$376:$ALZ$376,1,ROW(C700)-1)</f>
        <v>0</v>
      </c>
    </row>
    <row r="701" spans="1:3">
      <c r="A701" s="1322" t="str">
        <f t="shared" si="10"/>
        <v>London</v>
      </c>
      <c r="B701" s="1321" t="s">
        <v>3766</v>
      </c>
      <c r="C701" s="1322">
        <f>INDEX('LOCAL DATASET'!$C$376:$ALZ$376,1,ROW(C701)-1)</f>
        <v>0</v>
      </c>
    </row>
    <row r="702" spans="1:3">
      <c r="A702" s="1322" t="str">
        <f t="shared" si="10"/>
        <v>London</v>
      </c>
      <c r="B702" s="1321" t="s">
        <v>3767</v>
      </c>
      <c r="C702" s="1322">
        <f>INDEX('LOCAL DATASET'!$C$376:$ALZ$376,1,ROW(C702)-1)</f>
        <v>0</v>
      </c>
    </row>
    <row r="703" spans="1:3">
      <c r="A703" s="1322" t="str">
        <f t="shared" si="10"/>
        <v>London</v>
      </c>
      <c r="B703" s="1321" t="s">
        <v>3768</v>
      </c>
      <c r="C703" s="1322">
        <f>INDEX('LOCAL DATASET'!$C$376:$ALZ$376,1,ROW(C703)-1)</f>
        <v>0</v>
      </c>
    </row>
    <row r="704" spans="1:3">
      <c r="A704" s="1322" t="str">
        <f t="shared" si="10"/>
        <v>London</v>
      </c>
      <c r="B704" s="1321" t="s">
        <v>3769</v>
      </c>
      <c r="C704" s="1322">
        <f>INDEX('LOCAL DATASET'!$C$376:$ALZ$376,1,ROW(C704)-1)</f>
        <v>0</v>
      </c>
    </row>
    <row r="705" spans="1:3">
      <c r="A705" s="1322" t="str">
        <f t="shared" si="10"/>
        <v>London</v>
      </c>
      <c r="B705" s="1321" t="s">
        <v>3770</v>
      </c>
      <c r="C705" s="1322">
        <f>INDEX('LOCAL DATASET'!$C$376:$ALZ$376,1,ROW(C705)-1)</f>
        <v>0</v>
      </c>
    </row>
    <row r="706" spans="1:3">
      <c r="A706" s="1322" t="str">
        <f t="shared" si="10"/>
        <v>London</v>
      </c>
      <c r="B706" s="1321" t="s">
        <v>3771</v>
      </c>
      <c r="C706" s="1322">
        <f>INDEX('LOCAL DATASET'!$C$376:$ALZ$376,1,ROW(C706)-1)</f>
        <v>0</v>
      </c>
    </row>
    <row r="707" spans="1:3">
      <c r="A707" s="1322" t="str">
        <f t="shared" si="10"/>
        <v>London</v>
      </c>
      <c r="B707" s="1321" t="s">
        <v>3772</v>
      </c>
      <c r="C707" s="1322">
        <f>INDEX('LOCAL DATASET'!$C$376:$ALZ$376,1,ROW(C707)-1)</f>
        <v>0</v>
      </c>
    </row>
    <row r="708" spans="1:3">
      <c r="A708" s="1322" t="str">
        <f t="shared" ref="A708:A771" si="11">A707</f>
        <v>London</v>
      </c>
      <c r="B708" s="1321" t="s">
        <v>3773</v>
      </c>
      <c r="C708" s="1322">
        <f>INDEX('LOCAL DATASET'!$C$376:$ALZ$376,1,ROW(C708)-1)</f>
        <v>0</v>
      </c>
    </row>
    <row r="709" spans="1:3">
      <c r="A709" s="1322" t="str">
        <f t="shared" si="11"/>
        <v>London</v>
      </c>
      <c r="B709" s="1321" t="s">
        <v>3774</v>
      </c>
      <c r="C709" s="1322">
        <f>INDEX('LOCAL DATASET'!$C$376:$ALZ$376,1,ROW(C709)-1)</f>
        <v>0</v>
      </c>
    </row>
    <row r="710" spans="1:3">
      <c r="A710" s="1322" t="str">
        <f t="shared" si="11"/>
        <v>London</v>
      </c>
      <c r="B710" s="1321" t="s">
        <v>3775</v>
      </c>
      <c r="C710" s="1322">
        <f>INDEX('LOCAL DATASET'!$C$376:$ALZ$376,1,ROW(C710)-1)</f>
        <v>0</v>
      </c>
    </row>
    <row r="711" spans="1:3">
      <c r="A711" s="1322" t="str">
        <f t="shared" si="11"/>
        <v>London</v>
      </c>
      <c r="B711" s="1321" t="s">
        <v>3776</v>
      </c>
      <c r="C711" s="1322">
        <f>INDEX('LOCAL DATASET'!$C$376:$ALZ$376,1,ROW(C711)-1)</f>
        <v>0</v>
      </c>
    </row>
    <row r="712" spans="1:3">
      <c r="A712" s="1322" t="str">
        <f t="shared" si="11"/>
        <v>London</v>
      </c>
      <c r="B712" s="1321" t="s">
        <v>3777</v>
      </c>
      <c r="C712" s="1322">
        <f>INDEX('LOCAL DATASET'!$C$376:$ALZ$376,1,ROW(C712)-1)</f>
        <v>0</v>
      </c>
    </row>
    <row r="713" spans="1:3">
      <c r="A713" s="1322" t="str">
        <f t="shared" si="11"/>
        <v>London</v>
      </c>
      <c r="B713" s="1321" t="s">
        <v>3778</v>
      </c>
      <c r="C713" s="1322">
        <f>INDEX('LOCAL DATASET'!$C$376:$ALZ$376,1,ROW(C713)-1)</f>
        <v>0</v>
      </c>
    </row>
    <row r="714" spans="1:3">
      <c r="A714" s="1322" t="str">
        <f t="shared" si="11"/>
        <v>London</v>
      </c>
      <c r="B714" s="1321" t="s">
        <v>3779</v>
      </c>
      <c r="C714" s="1322">
        <f>INDEX('LOCAL DATASET'!$C$376:$ALZ$376,1,ROW(C714)-1)</f>
        <v>0</v>
      </c>
    </row>
    <row r="715" spans="1:3">
      <c r="A715" s="1322" t="str">
        <f t="shared" si="11"/>
        <v>London</v>
      </c>
      <c r="B715" s="1321" t="s">
        <v>3780</v>
      </c>
      <c r="C715" s="1322">
        <f>INDEX('LOCAL DATASET'!$C$376:$ALZ$376,1,ROW(C715)-1)</f>
        <v>0</v>
      </c>
    </row>
    <row r="716" spans="1:3">
      <c r="A716" s="1322" t="str">
        <f t="shared" si="11"/>
        <v>London</v>
      </c>
      <c r="B716" s="1321" t="s">
        <v>3781</v>
      </c>
      <c r="C716" s="1322">
        <f>INDEX('LOCAL DATASET'!$C$376:$ALZ$376,1,ROW(C716)-1)</f>
        <v>0</v>
      </c>
    </row>
    <row r="717" spans="1:3">
      <c r="A717" s="1322" t="str">
        <f t="shared" si="11"/>
        <v>London</v>
      </c>
      <c r="B717" s="1321" t="s">
        <v>3782</v>
      </c>
      <c r="C717" s="1322">
        <f>INDEX('LOCAL DATASET'!$C$376:$ALZ$376,1,ROW(C717)-1)</f>
        <v>0</v>
      </c>
    </row>
    <row r="718" spans="1:3">
      <c r="A718" s="1322" t="str">
        <f t="shared" si="11"/>
        <v>London</v>
      </c>
      <c r="B718" s="1321" t="s">
        <v>3783</v>
      </c>
      <c r="C718" s="1322">
        <f>INDEX('LOCAL DATASET'!$C$376:$ALZ$376,1,ROW(C718)-1)</f>
        <v>0</v>
      </c>
    </row>
    <row r="719" spans="1:3">
      <c r="A719" s="1322" t="str">
        <f t="shared" si="11"/>
        <v>London</v>
      </c>
      <c r="B719" s="1321" t="s">
        <v>3784</v>
      </c>
      <c r="C719" s="1322">
        <f>INDEX('LOCAL DATASET'!$C$376:$ALZ$376,1,ROW(C719)-1)</f>
        <v>0</v>
      </c>
    </row>
    <row r="720" spans="1:3">
      <c r="A720" s="1322" t="str">
        <f t="shared" si="11"/>
        <v>London</v>
      </c>
      <c r="B720" s="1321" t="s">
        <v>3785</v>
      </c>
      <c r="C720" s="1322">
        <f>INDEX('LOCAL DATASET'!$C$376:$ALZ$376,1,ROW(C720)-1)</f>
        <v>0</v>
      </c>
    </row>
    <row r="721" spans="1:3">
      <c r="A721" s="1322" t="str">
        <f t="shared" si="11"/>
        <v>London</v>
      </c>
      <c r="B721" s="1321" t="s">
        <v>3786</v>
      </c>
      <c r="C721" s="1322">
        <f>INDEX('LOCAL DATASET'!$C$376:$ALZ$376,1,ROW(C721)-1)</f>
        <v>0</v>
      </c>
    </row>
    <row r="722" spans="1:3">
      <c r="A722" s="1322" t="str">
        <f t="shared" si="11"/>
        <v>London</v>
      </c>
      <c r="B722" s="1321" t="s">
        <v>3787</v>
      </c>
      <c r="C722" s="1322">
        <f>INDEX('LOCAL DATASET'!$C$376:$ALZ$376,1,ROW(C722)-1)</f>
        <v>0</v>
      </c>
    </row>
    <row r="723" spans="1:3">
      <c r="A723" s="1322" t="str">
        <f t="shared" si="11"/>
        <v>London</v>
      </c>
      <c r="B723" s="1321" t="s">
        <v>3788</v>
      </c>
      <c r="C723" s="1322">
        <f>INDEX('LOCAL DATASET'!$C$376:$ALZ$376,1,ROW(C723)-1)</f>
        <v>0</v>
      </c>
    </row>
    <row r="724" spans="1:3">
      <c r="A724" s="1322" t="str">
        <f t="shared" si="11"/>
        <v>London</v>
      </c>
      <c r="B724" s="1321" t="s">
        <v>3789</v>
      </c>
      <c r="C724" s="1322">
        <f>INDEX('LOCAL DATASET'!$C$376:$ALZ$376,1,ROW(C724)-1)</f>
        <v>0</v>
      </c>
    </row>
    <row r="725" spans="1:3">
      <c r="A725" s="1322" t="str">
        <f t="shared" si="11"/>
        <v>London</v>
      </c>
      <c r="B725" s="1321" t="s">
        <v>3790</v>
      </c>
      <c r="C725" s="1322">
        <f>INDEX('LOCAL DATASET'!$C$376:$ALZ$376,1,ROW(C725)-1)</f>
        <v>0</v>
      </c>
    </row>
    <row r="726" spans="1:3">
      <c r="A726" s="1322" t="str">
        <f t="shared" si="11"/>
        <v>London</v>
      </c>
      <c r="B726" s="1321" t="s">
        <v>3791</v>
      </c>
      <c r="C726" s="1322">
        <f>INDEX('LOCAL DATASET'!$C$376:$ALZ$376,1,ROW(C726)-1)</f>
        <v>0</v>
      </c>
    </row>
    <row r="727" spans="1:3">
      <c r="A727" s="1322" t="str">
        <f t="shared" si="11"/>
        <v>London</v>
      </c>
      <c r="B727" s="1321" t="s">
        <v>3792</v>
      </c>
      <c r="C727" s="1322">
        <f>INDEX('LOCAL DATASET'!$C$376:$ALZ$376,1,ROW(C727)-1)</f>
        <v>0</v>
      </c>
    </row>
    <row r="728" spans="1:3">
      <c r="A728" s="1322" t="str">
        <f t="shared" si="11"/>
        <v>London</v>
      </c>
      <c r="B728" s="1321" t="s">
        <v>3793</v>
      </c>
      <c r="C728" s="1322">
        <f>INDEX('LOCAL DATASET'!$C$376:$ALZ$376,1,ROW(C728)-1)</f>
        <v>0</v>
      </c>
    </row>
    <row r="729" spans="1:3">
      <c r="A729" s="1322" t="str">
        <f t="shared" si="11"/>
        <v>London</v>
      </c>
      <c r="B729" s="1321" t="s">
        <v>3794</v>
      </c>
      <c r="C729" s="1322">
        <f>INDEX('LOCAL DATASET'!$C$376:$ALZ$376,1,ROW(C729)-1)</f>
        <v>0</v>
      </c>
    </row>
    <row r="730" spans="1:3">
      <c r="A730" s="1322" t="str">
        <f t="shared" si="11"/>
        <v>London</v>
      </c>
      <c r="B730" s="1321" t="s">
        <v>3795</v>
      </c>
      <c r="C730" s="1322">
        <f>INDEX('LOCAL DATASET'!$C$376:$ALZ$376,1,ROW(C730)-1)</f>
        <v>0</v>
      </c>
    </row>
    <row r="731" spans="1:3">
      <c r="A731" s="1322" t="str">
        <f t="shared" si="11"/>
        <v>London</v>
      </c>
      <c r="B731" s="1321" t="s">
        <v>3796</v>
      </c>
      <c r="C731" s="1322">
        <f>INDEX('LOCAL DATASET'!$C$376:$ALZ$376,1,ROW(C731)-1)</f>
        <v>0</v>
      </c>
    </row>
    <row r="732" spans="1:3">
      <c r="A732" s="1322" t="str">
        <f t="shared" si="11"/>
        <v>London</v>
      </c>
      <c r="B732" s="1321" t="s">
        <v>3797</v>
      </c>
      <c r="C732" s="1322">
        <f>INDEX('LOCAL DATASET'!$C$376:$ALZ$376,1,ROW(C732)-1)</f>
        <v>0</v>
      </c>
    </row>
    <row r="733" spans="1:3">
      <c r="A733" s="1322" t="str">
        <f t="shared" si="11"/>
        <v>London</v>
      </c>
      <c r="B733" s="1321" t="s">
        <v>3798</v>
      </c>
      <c r="C733" s="1322">
        <f>INDEX('LOCAL DATASET'!$C$376:$ALZ$376,1,ROW(C733)-1)</f>
        <v>0</v>
      </c>
    </row>
    <row r="734" spans="1:3">
      <c r="A734" s="1322" t="str">
        <f t="shared" si="11"/>
        <v>London</v>
      </c>
      <c r="B734" s="1321" t="s">
        <v>3799</v>
      </c>
      <c r="C734" s="1322">
        <f>INDEX('LOCAL DATASET'!$C$376:$ALZ$376,1,ROW(C734)-1)</f>
        <v>0</v>
      </c>
    </row>
    <row r="735" spans="1:3">
      <c r="A735" s="1322" t="str">
        <f t="shared" si="11"/>
        <v>London</v>
      </c>
      <c r="B735" s="1321" t="s">
        <v>3800</v>
      </c>
      <c r="C735" s="1322">
        <f>INDEX('LOCAL DATASET'!$C$376:$ALZ$376,1,ROW(C735)-1)</f>
        <v>0</v>
      </c>
    </row>
    <row r="736" spans="1:3">
      <c r="A736" s="1322" t="str">
        <f t="shared" si="11"/>
        <v>London</v>
      </c>
      <c r="B736" s="1321" t="s">
        <v>3801</v>
      </c>
      <c r="C736" s="1322">
        <f>INDEX('LOCAL DATASET'!$C$376:$ALZ$376,1,ROW(C736)-1)</f>
        <v>0</v>
      </c>
    </row>
    <row r="737" spans="1:3">
      <c r="A737" s="1322" t="str">
        <f t="shared" si="11"/>
        <v>London</v>
      </c>
      <c r="B737" s="1321" t="s">
        <v>3802</v>
      </c>
      <c r="C737" s="1322">
        <f>INDEX('LOCAL DATASET'!$C$376:$ALZ$376,1,ROW(C737)-1)</f>
        <v>0</v>
      </c>
    </row>
    <row r="738" spans="1:3">
      <c r="A738" s="1322" t="str">
        <f t="shared" si="11"/>
        <v>London</v>
      </c>
      <c r="B738" s="1321" t="s">
        <v>3803</v>
      </c>
      <c r="C738" s="1322">
        <f>INDEX('LOCAL DATASET'!$C$376:$ALZ$376,1,ROW(C738)-1)</f>
        <v>0</v>
      </c>
    </row>
    <row r="739" spans="1:3">
      <c r="A739" s="1322" t="str">
        <f t="shared" si="11"/>
        <v>London</v>
      </c>
      <c r="B739" s="1321" t="s">
        <v>3804</v>
      </c>
      <c r="C739" s="1322">
        <f>INDEX('LOCAL DATASET'!$C$376:$ALZ$376,1,ROW(C739)-1)</f>
        <v>0</v>
      </c>
    </row>
    <row r="740" spans="1:3">
      <c r="A740" s="1322" t="str">
        <f t="shared" si="11"/>
        <v>London</v>
      </c>
      <c r="B740" s="1321" t="s">
        <v>3805</v>
      </c>
      <c r="C740" s="1322">
        <f>INDEX('LOCAL DATASET'!$C$376:$ALZ$376,1,ROW(C740)-1)</f>
        <v>0</v>
      </c>
    </row>
    <row r="741" spans="1:3">
      <c r="A741" s="1322" t="str">
        <f t="shared" si="11"/>
        <v>London</v>
      </c>
      <c r="B741" s="1321" t="s">
        <v>3806</v>
      </c>
      <c r="C741" s="1322">
        <f>INDEX('LOCAL DATASET'!$C$376:$ALZ$376,1,ROW(C741)-1)</f>
        <v>0</v>
      </c>
    </row>
    <row r="742" spans="1:3">
      <c r="A742" s="1322" t="str">
        <f t="shared" si="11"/>
        <v>London</v>
      </c>
      <c r="B742" s="1321" t="s">
        <v>3807</v>
      </c>
      <c r="C742" s="1322">
        <f>INDEX('LOCAL DATASET'!$C$376:$ALZ$376,1,ROW(C742)-1)</f>
        <v>0</v>
      </c>
    </row>
    <row r="743" spans="1:3">
      <c r="A743" s="1322" t="str">
        <f t="shared" si="11"/>
        <v>London</v>
      </c>
      <c r="B743" s="1321" t="s">
        <v>3808</v>
      </c>
      <c r="C743" s="1322">
        <f>INDEX('LOCAL DATASET'!$C$376:$ALZ$376,1,ROW(C743)-1)</f>
        <v>0</v>
      </c>
    </row>
    <row r="744" spans="1:3">
      <c r="A744" s="1322" t="str">
        <f t="shared" si="11"/>
        <v>London</v>
      </c>
      <c r="B744" s="1321" t="s">
        <v>3809</v>
      </c>
      <c r="C744" s="1322">
        <f>INDEX('LOCAL DATASET'!$C$376:$ALZ$376,1,ROW(C744)-1)</f>
        <v>0</v>
      </c>
    </row>
    <row r="745" spans="1:3">
      <c r="A745" s="1322" t="str">
        <f t="shared" si="11"/>
        <v>London</v>
      </c>
      <c r="B745" s="1321" t="s">
        <v>3810</v>
      </c>
      <c r="C745" s="1322">
        <f>INDEX('LOCAL DATASET'!$C$376:$ALZ$376,1,ROW(C745)-1)</f>
        <v>0</v>
      </c>
    </row>
    <row r="746" spans="1:3">
      <c r="A746" s="1322" t="str">
        <f t="shared" si="11"/>
        <v>London</v>
      </c>
      <c r="B746" s="1321" t="s">
        <v>3811</v>
      </c>
      <c r="C746" s="1322">
        <f>INDEX('LOCAL DATASET'!$C$376:$ALZ$376,1,ROW(C746)-1)</f>
        <v>0</v>
      </c>
    </row>
    <row r="747" spans="1:3">
      <c r="A747" s="1322" t="str">
        <f t="shared" si="11"/>
        <v>London</v>
      </c>
      <c r="B747" s="1321" t="s">
        <v>3812</v>
      </c>
      <c r="C747" s="1322">
        <f>INDEX('LOCAL DATASET'!$C$376:$ALZ$376,1,ROW(C747)-1)</f>
        <v>0</v>
      </c>
    </row>
    <row r="748" spans="1:3">
      <c r="A748" s="1322" t="str">
        <f t="shared" si="11"/>
        <v>London</v>
      </c>
      <c r="B748" s="1321" t="s">
        <v>3813</v>
      </c>
      <c r="C748" s="1322">
        <f>INDEX('LOCAL DATASET'!$C$376:$ALZ$376,1,ROW(C748)-1)</f>
        <v>0</v>
      </c>
    </row>
    <row r="749" spans="1:3">
      <c r="A749" s="1322" t="str">
        <f t="shared" si="11"/>
        <v>London</v>
      </c>
      <c r="B749" s="1321" t="s">
        <v>3814</v>
      </c>
      <c r="C749" s="1322">
        <f>INDEX('LOCAL DATASET'!$C$376:$ALZ$376,1,ROW(C749)-1)</f>
        <v>0</v>
      </c>
    </row>
    <row r="750" spans="1:3">
      <c r="A750" s="1322" t="str">
        <f t="shared" si="11"/>
        <v>London</v>
      </c>
      <c r="B750" s="1321" t="s">
        <v>3815</v>
      </c>
      <c r="C750" s="1322">
        <f>INDEX('LOCAL DATASET'!$C$376:$ALZ$376,1,ROW(C750)-1)</f>
        <v>0</v>
      </c>
    </row>
    <row r="751" spans="1:3">
      <c r="A751" s="1322" t="str">
        <f t="shared" si="11"/>
        <v>London</v>
      </c>
      <c r="B751" s="1321" t="s">
        <v>3816</v>
      </c>
      <c r="C751" s="1322">
        <f>INDEX('LOCAL DATASET'!$C$376:$ALZ$376,1,ROW(C751)-1)</f>
        <v>0</v>
      </c>
    </row>
    <row r="752" spans="1:3">
      <c r="A752" s="1322" t="str">
        <f t="shared" si="11"/>
        <v>London</v>
      </c>
      <c r="B752" s="1321" t="s">
        <v>3817</v>
      </c>
      <c r="C752" s="1322">
        <f>INDEX('LOCAL DATASET'!$C$376:$ALZ$376,1,ROW(C752)-1)</f>
        <v>0</v>
      </c>
    </row>
    <row r="753" spans="1:3">
      <c r="A753" s="1322" t="str">
        <f t="shared" si="11"/>
        <v>London</v>
      </c>
      <c r="B753" s="1321" t="s">
        <v>3818</v>
      </c>
      <c r="C753" s="1322">
        <f>INDEX('LOCAL DATASET'!$C$376:$ALZ$376,1,ROW(C753)-1)</f>
        <v>0</v>
      </c>
    </row>
    <row r="754" spans="1:3">
      <c r="A754" s="1322" t="str">
        <f t="shared" si="11"/>
        <v>London</v>
      </c>
      <c r="B754" s="1321" t="s">
        <v>3819</v>
      </c>
      <c r="C754" s="1322">
        <f>INDEX('LOCAL DATASET'!$C$376:$ALZ$376,1,ROW(C754)-1)</f>
        <v>0</v>
      </c>
    </row>
    <row r="755" spans="1:3">
      <c r="A755" s="1322" t="str">
        <f t="shared" si="11"/>
        <v>London</v>
      </c>
      <c r="B755" s="1321" t="s">
        <v>3820</v>
      </c>
      <c r="C755" s="1322">
        <f>INDEX('LOCAL DATASET'!$C$376:$ALZ$376,1,ROW(C755)-1)</f>
        <v>0</v>
      </c>
    </row>
    <row r="756" spans="1:3">
      <c r="A756" s="1322" t="str">
        <f t="shared" si="11"/>
        <v>London</v>
      </c>
      <c r="B756" s="1321" t="s">
        <v>3821</v>
      </c>
      <c r="C756" s="1322">
        <f>INDEX('LOCAL DATASET'!$C$376:$ALZ$376,1,ROW(C756)-1)</f>
        <v>0</v>
      </c>
    </row>
    <row r="757" spans="1:3">
      <c r="A757" s="1322" t="str">
        <f t="shared" si="11"/>
        <v>London</v>
      </c>
      <c r="B757" s="1321" t="s">
        <v>3822</v>
      </c>
      <c r="C757" s="1322">
        <f>INDEX('LOCAL DATASET'!$C$376:$ALZ$376,1,ROW(C757)-1)</f>
        <v>0</v>
      </c>
    </row>
    <row r="758" spans="1:3">
      <c r="A758" s="1322" t="str">
        <f t="shared" si="11"/>
        <v>London</v>
      </c>
      <c r="B758" s="1321" t="s">
        <v>3823</v>
      </c>
      <c r="C758" s="1322">
        <f>INDEX('LOCAL DATASET'!$C$376:$ALZ$376,1,ROW(C758)-1)</f>
        <v>0</v>
      </c>
    </row>
    <row r="759" spans="1:3">
      <c r="A759" s="1322" t="str">
        <f t="shared" si="11"/>
        <v>London</v>
      </c>
      <c r="B759" s="1321" t="s">
        <v>3824</v>
      </c>
      <c r="C759" s="1322">
        <f>INDEX('LOCAL DATASET'!$C$376:$ALZ$376,1,ROW(C759)-1)</f>
        <v>0</v>
      </c>
    </row>
    <row r="760" spans="1:3">
      <c r="A760" s="1322" t="str">
        <f t="shared" si="11"/>
        <v>London</v>
      </c>
      <c r="B760" s="1321" t="s">
        <v>3825</v>
      </c>
      <c r="C760" s="1322">
        <f>INDEX('LOCAL DATASET'!$C$376:$ALZ$376,1,ROW(C760)-1)</f>
        <v>0</v>
      </c>
    </row>
    <row r="761" spans="1:3">
      <c r="A761" s="1322" t="str">
        <f t="shared" si="11"/>
        <v>London</v>
      </c>
      <c r="B761" s="1321" t="s">
        <v>3826</v>
      </c>
      <c r="C761" s="1322">
        <f>INDEX('LOCAL DATASET'!$C$376:$ALZ$376,1,ROW(C761)-1)</f>
        <v>0</v>
      </c>
    </row>
    <row r="762" spans="1:3">
      <c r="A762" s="1322" t="str">
        <f t="shared" si="11"/>
        <v>London</v>
      </c>
      <c r="B762" s="1321" t="s">
        <v>3827</v>
      </c>
      <c r="C762" s="1322">
        <f>INDEX('LOCAL DATASET'!$C$376:$ALZ$376,1,ROW(C762)-1)</f>
        <v>0</v>
      </c>
    </row>
    <row r="763" spans="1:3">
      <c r="A763" s="1322" t="str">
        <f t="shared" si="11"/>
        <v>London</v>
      </c>
      <c r="B763" s="1321" t="s">
        <v>3828</v>
      </c>
      <c r="C763" s="1322">
        <f>INDEX('LOCAL DATASET'!$C$376:$ALZ$376,1,ROW(C763)-1)</f>
        <v>0</v>
      </c>
    </row>
    <row r="764" spans="1:3">
      <c r="A764" s="1322" t="str">
        <f t="shared" si="11"/>
        <v>London</v>
      </c>
      <c r="B764" s="1321" t="s">
        <v>3829</v>
      </c>
      <c r="C764" s="1322">
        <f>INDEX('LOCAL DATASET'!$C$376:$ALZ$376,1,ROW(C764)-1)</f>
        <v>0</v>
      </c>
    </row>
    <row r="765" spans="1:3">
      <c r="A765" s="1322" t="str">
        <f t="shared" si="11"/>
        <v>London</v>
      </c>
      <c r="B765" s="1321" t="s">
        <v>3830</v>
      </c>
      <c r="C765" s="1322">
        <f>INDEX('LOCAL DATASET'!$C$376:$ALZ$376,1,ROW(C765)-1)</f>
        <v>0</v>
      </c>
    </row>
    <row r="766" spans="1:3">
      <c r="A766" s="1322" t="str">
        <f t="shared" si="11"/>
        <v>London</v>
      </c>
      <c r="B766" s="1321" t="s">
        <v>3831</v>
      </c>
      <c r="C766" s="1322">
        <f>INDEX('LOCAL DATASET'!$C$376:$ALZ$376,1,ROW(C766)-1)</f>
        <v>0</v>
      </c>
    </row>
    <row r="767" spans="1:3">
      <c r="A767" s="1322" t="str">
        <f t="shared" si="11"/>
        <v>London</v>
      </c>
      <c r="B767" s="1321" t="s">
        <v>3832</v>
      </c>
      <c r="C767" s="1322">
        <f>INDEX('LOCAL DATASET'!$C$376:$ALZ$376,1,ROW(C767)-1)</f>
        <v>0</v>
      </c>
    </row>
    <row r="768" spans="1:3">
      <c r="A768" s="1322" t="str">
        <f t="shared" si="11"/>
        <v>London</v>
      </c>
      <c r="B768" s="1321" t="s">
        <v>3833</v>
      </c>
      <c r="C768" s="1322">
        <f>INDEX('LOCAL DATASET'!$C$376:$ALZ$376,1,ROW(C768)-1)</f>
        <v>0</v>
      </c>
    </row>
    <row r="769" spans="1:3">
      <c r="A769" s="1322" t="str">
        <f t="shared" si="11"/>
        <v>London</v>
      </c>
      <c r="B769" s="1321" t="s">
        <v>3834</v>
      </c>
      <c r="C769" s="1322">
        <f>INDEX('LOCAL DATASET'!$C$376:$ALZ$376,1,ROW(C769)-1)</f>
        <v>0</v>
      </c>
    </row>
    <row r="770" spans="1:3">
      <c r="A770" s="1322" t="str">
        <f t="shared" si="11"/>
        <v>London</v>
      </c>
      <c r="B770" s="1321" t="s">
        <v>3835</v>
      </c>
      <c r="C770" s="1322">
        <f>INDEX('LOCAL DATASET'!$C$376:$ALZ$376,1,ROW(C770)-1)</f>
        <v>0</v>
      </c>
    </row>
    <row r="771" spans="1:3">
      <c r="A771" s="1322" t="str">
        <f t="shared" si="11"/>
        <v>London</v>
      </c>
      <c r="B771" s="1321" t="s">
        <v>3836</v>
      </c>
      <c r="C771" s="1322">
        <f>INDEX('LOCAL DATASET'!$C$376:$ALZ$376,1,ROW(C771)-1)</f>
        <v>0</v>
      </c>
    </row>
    <row r="772" spans="1:3">
      <c r="A772" s="1322" t="str">
        <f t="shared" ref="A772:A835" si="12">A771</f>
        <v>London</v>
      </c>
      <c r="B772" s="1321" t="s">
        <v>3837</v>
      </c>
      <c r="C772" s="1322">
        <f>INDEX('LOCAL DATASET'!$C$376:$ALZ$376,1,ROW(C772)-1)</f>
        <v>0</v>
      </c>
    </row>
    <row r="773" spans="1:3">
      <c r="A773" s="1322" t="str">
        <f t="shared" si="12"/>
        <v>London</v>
      </c>
      <c r="B773" s="1321" t="s">
        <v>3838</v>
      </c>
      <c r="C773" s="1322">
        <f>INDEX('LOCAL DATASET'!$C$376:$ALZ$376,1,ROW(C773)-1)</f>
        <v>0</v>
      </c>
    </row>
    <row r="774" spans="1:3">
      <c r="A774" s="1322" t="str">
        <f t="shared" si="12"/>
        <v>London</v>
      </c>
      <c r="B774" s="1321" t="s">
        <v>3839</v>
      </c>
      <c r="C774" s="1322">
        <f>INDEX('LOCAL DATASET'!$C$376:$ALZ$376,1,ROW(C774)-1)</f>
        <v>0</v>
      </c>
    </row>
    <row r="775" spans="1:3">
      <c r="A775" s="1322" t="str">
        <f t="shared" si="12"/>
        <v>London</v>
      </c>
      <c r="B775" s="1321" t="s">
        <v>3840</v>
      </c>
      <c r="C775" s="1322">
        <f>INDEX('LOCAL DATASET'!$C$376:$ALZ$376,1,ROW(C775)-1)</f>
        <v>0</v>
      </c>
    </row>
    <row r="776" spans="1:3">
      <c r="A776" s="1322" t="str">
        <f t="shared" si="12"/>
        <v>London</v>
      </c>
      <c r="B776" s="1321" t="s">
        <v>3841</v>
      </c>
      <c r="C776" s="1322">
        <f>INDEX('LOCAL DATASET'!$C$376:$ALZ$376,1,ROW(C776)-1)</f>
        <v>0</v>
      </c>
    </row>
    <row r="777" spans="1:3">
      <c r="A777" s="1322" t="str">
        <f t="shared" si="12"/>
        <v>London</v>
      </c>
      <c r="B777" s="1321" t="s">
        <v>3842</v>
      </c>
      <c r="C777" s="1322">
        <f>INDEX('LOCAL DATASET'!$C$376:$ALZ$376,1,ROW(C777)-1)</f>
        <v>0</v>
      </c>
    </row>
    <row r="778" spans="1:3">
      <c r="A778" s="1322" t="str">
        <f t="shared" si="12"/>
        <v>London</v>
      </c>
      <c r="B778" s="1321" t="s">
        <v>3843</v>
      </c>
      <c r="C778" s="1322">
        <f>INDEX('LOCAL DATASET'!$C$376:$ALZ$376,1,ROW(C778)-1)</f>
        <v>0</v>
      </c>
    </row>
    <row r="779" spans="1:3">
      <c r="A779" s="1322" t="str">
        <f t="shared" si="12"/>
        <v>London</v>
      </c>
      <c r="B779" s="1321" t="s">
        <v>3844</v>
      </c>
      <c r="C779" s="1322">
        <f>INDEX('LOCAL DATASET'!$C$376:$ALZ$376,1,ROW(C779)-1)</f>
        <v>0</v>
      </c>
    </row>
    <row r="780" spans="1:3">
      <c r="A780" s="1322" t="str">
        <f t="shared" si="12"/>
        <v>London</v>
      </c>
      <c r="B780" s="1321" t="s">
        <v>3845</v>
      </c>
      <c r="C780" s="1322">
        <f>INDEX('LOCAL DATASET'!$C$376:$ALZ$376,1,ROW(C780)-1)</f>
        <v>0</v>
      </c>
    </row>
    <row r="781" spans="1:3">
      <c r="A781" s="1322" t="str">
        <f t="shared" si="12"/>
        <v>London</v>
      </c>
      <c r="B781" s="1321" t="s">
        <v>3846</v>
      </c>
      <c r="C781" s="1322">
        <f>INDEX('LOCAL DATASET'!$C$376:$ALZ$376,1,ROW(C781)-1)</f>
        <v>0</v>
      </c>
    </row>
    <row r="782" spans="1:3">
      <c r="A782" s="1322" t="str">
        <f t="shared" si="12"/>
        <v>London</v>
      </c>
      <c r="B782" s="1321" t="s">
        <v>3847</v>
      </c>
      <c r="C782" s="1322">
        <f>INDEX('LOCAL DATASET'!$C$376:$ALZ$376,1,ROW(C782)-1)</f>
        <v>0</v>
      </c>
    </row>
    <row r="783" spans="1:3">
      <c r="A783" s="1322" t="str">
        <f t="shared" si="12"/>
        <v>London</v>
      </c>
      <c r="B783" s="1321" t="s">
        <v>3848</v>
      </c>
      <c r="C783" s="1322">
        <f>INDEX('LOCAL DATASET'!$C$376:$ALZ$376,1,ROW(C783)-1)</f>
        <v>0</v>
      </c>
    </row>
    <row r="784" spans="1:3">
      <c r="A784" s="1322" t="str">
        <f t="shared" si="12"/>
        <v>London</v>
      </c>
      <c r="B784" s="1321" t="s">
        <v>3849</v>
      </c>
      <c r="C784" s="1322">
        <f>INDEX('LOCAL DATASET'!$C$376:$ALZ$376,1,ROW(C784)-1)</f>
        <v>0</v>
      </c>
    </row>
    <row r="785" spans="1:3">
      <c r="A785" s="1322" t="str">
        <f t="shared" si="12"/>
        <v>London</v>
      </c>
      <c r="B785" s="1321" t="s">
        <v>3850</v>
      </c>
      <c r="C785" s="1322">
        <f>INDEX('LOCAL DATASET'!$C$376:$ALZ$376,1,ROW(C785)-1)</f>
        <v>0</v>
      </c>
    </row>
    <row r="786" spans="1:3">
      <c r="A786" s="1322" t="str">
        <f t="shared" si="12"/>
        <v>London</v>
      </c>
      <c r="B786" s="1321" t="s">
        <v>3851</v>
      </c>
      <c r="C786" s="1322">
        <f>INDEX('LOCAL DATASET'!$C$376:$ALZ$376,1,ROW(C786)-1)</f>
        <v>0</v>
      </c>
    </row>
    <row r="787" spans="1:3">
      <c r="A787" s="1322" t="str">
        <f t="shared" si="12"/>
        <v>London</v>
      </c>
      <c r="B787" s="1321" t="s">
        <v>3852</v>
      </c>
      <c r="C787" s="1322">
        <f>INDEX('LOCAL DATASET'!$C$376:$ALZ$376,1,ROW(C787)-1)</f>
        <v>0</v>
      </c>
    </row>
    <row r="788" spans="1:3">
      <c r="A788" s="1322" t="str">
        <f t="shared" si="12"/>
        <v>London</v>
      </c>
      <c r="B788" s="1321" t="s">
        <v>3853</v>
      </c>
      <c r="C788" s="1322">
        <f>INDEX('LOCAL DATASET'!$C$376:$ALZ$376,1,ROW(C788)-1)</f>
        <v>0</v>
      </c>
    </row>
    <row r="789" spans="1:3">
      <c r="A789" s="1322" t="str">
        <f t="shared" si="12"/>
        <v>London</v>
      </c>
      <c r="B789" s="1321" t="s">
        <v>3854</v>
      </c>
      <c r="C789" s="1322">
        <f>INDEX('LOCAL DATASET'!$C$376:$ALZ$376,1,ROW(C789)-1)</f>
        <v>0</v>
      </c>
    </row>
    <row r="790" spans="1:3">
      <c r="A790" s="1322" t="str">
        <f t="shared" si="12"/>
        <v>London</v>
      </c>
      <c r="B790" s="1321" t="s">
        <v>3855</v>
      </c>
      <c r="C790" s="1322">
        <f>INDEX('LOCAL DATASET'!$C$376:$ALZ$376,1,ROW(C790)-1)</f>
        <v>0</v>
      </c>
    </row>
    <row r="791" spans="1:3">
      <c r="A791" s="1322" t="str">
        <f t="shared" si="12"/>
        <v>London</v>
      </c>
      <c r="B791" s="1321" t="s">
        <v>3856</v>
      </c>
      <c r="C791" s="1322">
        <f>INDEX('LOCAL DATASET'!$C$376:$ALZ$376,1,ROW(C791)-1)</f>
        <v>0</v>
      </c>
    </row>
    <row r="792" spans="1:3">
      <c r="A792" s="1322" t="str">
        <f t="shared" si="12"/>
        <v>London</v>
      </c>
      <c r="B792" s="1321" t="s">
        <v>3857</v>
      </c>
      <c r="C792" s="1322">
        <f>INDEX('LOCAL DATASET'!$C$376:$ALZ$376,1,ROW(C792)-1)</f>
        <v>0</v>
      </c>
    </row>
    <row r="793" spans="1:3">
      <c r="A793" s="1322" t="str">
        <f t="shared" si="12"/>
        <v>London</v>
      </c>
      <c r="B793" s="1321" t="s">
        <v>3858</v>
      </c>
      <c r="C793" s="1322">
        <f>INDEX('LOCAL DATASET'!$C$376:$ALZ$376,1,ROW(C793)-1)</f>
        <v>0</v>
      </c>
    </row>
    <row r="794" spans="1:3">
      <c r="A794" s="1322" t="str">
        <f t="shared" si="12"/>
        <v>London</v>
      </c>
      <c r="B794" s="1321" t="s">
        <v>3859</v>
      </c>
      <c r="C794" s="1322">
        <f>INDEX('LOCAL DATASET'!$C$376:$ALZ$376,1,ROW(C794)-1)</f>
        <v>0</v>
      </c>
    </row>
    <row r="795" spans="1:3">
      <c r="A795" s="1322" t="str">
        <f t="shared" si="12"/>
        <v>London</v>
      </c>
      <c r="B795" s="1321" t="s">
        <v>3860</v>
      </c>
      <c r="C795" s="1322">
        <f>INDEX('LOCAL DATASET'!$C$376:$ALZ$376,1,ROW(C795)-1)</f>
        <v>0</v>
      </c>
    </row>
    <row r="796" spans="1:3">
      <c r="A796" s="1322" t="str">
        <f t="shared" si="12"/>
        <v>London</v>
      </c>
      <c r="B796" s="1321" t="s">
        <v>3861</v>
      </c>
      <c r="C796" s="1322">
        <f>INDEX('LOCAL DATASET'!$C$376:$ALZ$376,1,ROW(C796)-1)</f>
        <v>0</v>
      </c>
    </row>
    <row r="797" spans="1:3">
      <c r="A797" s="1322" t="str">
        <f t="shared" si="12"/>
        <v>London</v>
      </c>
      <c r="B797" s="1321" t="s">
        <v>3862</v>
      </c>
      <c r="C797" s="1322">
        <f>INDEX('LOCAL DATASET'!$C$376:$ALZ$376,1,ROW(C797)-1)</f>
        <v>0</v>
      </c>
    </row>
    <row r="798" spans="1:3">
      <c r="A798" s="1322" t="str">
        <f t="shared" si="12"/>
        <v>London</v>
      </c>
      <c r="B798" s="1321" t="s">
        <v>3863</v>
      </c>
      <c r="C798" s="1322">
        <f>INDEX('LOCAL DATASET'!$C$376:$ALZ$376,1,ROW(C798)-1)</f>
        <v>0</v>
      </c>
    </row>
    <row r="799" spans="1:3">
      <c r="A799" s="1322" t="str">
        <f t="shared" si="12"/>
        <v>London</v>
      </c>
      <c r="B799" s="1321" t="s">
        <v>3864</v>
      </c>
      <c r="C799" s="1322">
        <f>INDEX('LOCAL DATASET'!$C$376:$ALZ$376,1,ROW(C799)-1)</f>
        <v>0</v>
      </c>
    </row>
    <row r="800" spans="1:3">
      <c r="A800" s="1322" t="str">
        <f t="shared" si="12"/>
        <v>London</v>
      </c>
      <c r="B800" s="1321" t="s">
        <v>3865</v>
      </c>
      <c r="C800" s="1322">
        <f>INDEX('LOCAL DATASET'!$C$376:$ALZ$376,1,ROW(C800)-1)</f>
        <v>0</v>
      </c>
    </row>
    <row r="801" spans="1:3">
      <c r="A801" s="1322" t="str">
        <f t="shared" si="12"/>
        <v>London</v>
      </c>
      <c r="B801" s="1321" t="s">
        <v>3866</v>
      </c>
      <c r="C801" s="1322">
        <f>INDEX('LOCAL DATASET'!$C$376:$ALZ$376,1,ROW(C801)-1)</f>
        <v>0</v>
      </c>
    </row>
    <row r="802" spans="1:3">
      <c r="A802" s="1322" t="str">
        <f t="shared" si="12"/>
        <v>London</v>
      </c>
      <c r="B802" s="1321" t="s">
        <v>3867</v>
      </c>
      <c r="C802" s="1322">
        <f>INDEX('LOCAL DATASET'!$C$376:$ALZ$376,1,ROW(C802)-1)</f>
        <v>0</v>
      </c>
    </row>
    <row r="803" spans="1:3">
      <c r="A803" s="1322" t="str">
        <f t="shared" si="12"/>
        <v>London</v>
      </c>
      <c r="B803" s="1321" t="s">
        <v>3868</v>
      </c>
      <c r="C803" s="1322">
        <f>INDEX('LOCAL DATASET'!$C$376:$ALZ$376,1,ROW(C803)-1)</f>
        <v>0</v>
      </c>
    </row>
    <row r="804" spans="1:3">
      <c r="A804" s="1322" t="str">
        <f t="shared" si="12"/>
        <v>London</v>
      </c>
      <c r="B804" s="1321" t="s">
        <v>3869</v>
      </c>
      <c r="C804" s="1322">
        <f>INDEX('LOCAL DATASET'!$C$376:$ALZ$376,1,ROW(C804)-1)</f>
        <v>0</v>
      </c>
    </row>
    <row r="805" spans="1:3">
      <c r="A805" s="1322" t="str">
        <f t="shared" si="12"/>
        <v>London</v>
      </c>
      <c r="B805" s="1321" t="s">
        <v>3870</v>
      </c>
      <c r="C805" s="1322">
        <f>INDEX('LOCAL DATASET'!$C$376:$ALZ$376,1,ROW(C805)-1)</f>
        <v>0</v>
      </c>
    </row>
    <row r="806" spans="1:3">
      <c r="A806" s="1322" t="str">
        <f t="shared" si="12"/>
        <v>London</v>
      </c>
      <c r="B806" s="1321" t="s">
        <v>3871</v>
      </c>
      <c r="C806" s="1322">
        <f>INDEX('LOCAL DATASET'!$C$376:$ALZ$376,1,ROW(C806)-1)</f>
        <v>0</v>
      </c>
    </row>
    <row r="807" spans="1:3">
      <c r="A807" s="1322" t="str">
        <f t="shared" si="12"/>
        <v>London</v>
      </c>
      <c r="B807" s="1321" t="s">
        <v>3872</v>
      </c>
      <c r="C807" s="1322">
        <f>INDEX('LOCAL DATASET'!$C$376:$ALZ$376,1,ROW(C807)-1)</f>
        <v>0</v>
      </c>
    </row>
    <row r="808" spans="1:3">
      <c r="A808" s="1322" t="str">
        <f t="shared" si="12"/>
        <v>London</v>
      </c>
      <c r="B808" s="1321" t="s">
        <v>3873</v>
      </c>
      <c r="C808" s="1322">
        <f>INDEX('LOCAL DATASET'!$C$376:$ALZ$376,1,ROW(C808)-1)</f>
        <v>0</v>
      </c>
    </row>
    <row r="809" spans="1:3">
      <c r="A809" s="1322" t="str">
        <f t="shared" si="12"/>
        <v>London</v>
      </c>
      <c r="B809" s="1321" t="s">
        <v>3874</v>
      </c>
      <c r="C809" s="1322">
        <f>INDEX('LOCAL DATASET'!$C$376:$ALZ$376,1,ROW(C809)-1)</f>
        <v>0</v>
      </c>
    </row>
    <row r="810" spans="1:3">
      <c r="A810" s="1322" t="str">
        <f t="shared" si="12"/>
        <v>London</v>
      </c>
      <c r="B810" s="1321" t="s">
        <v>3875</v>
      </c>
      <c r="C810" s="1322">
        <f>INDEX('LOCAL DATASET'!$C$376:$ALZ$376,1,ROW(C810)-1)</f>
        <v>0</v>
      </c>
    </row>
    <row r="811" spans="1:3">
      <c r="A811" s="1322" t="str">
        <f t="shared" si="12"/>
        <v>London</v>
      </c>
      <c r="B811" s="1321" t="s">
        <v>3876</v>
      </c>
      <c r="C811" s="1322">
        <f>INDEX('LOCAL DATASET'!$C$376:$ALZ$376,1,ROW(C811)-1)</f>
        <v>0</v>
      </c>
    </row>
    <row r="812" spans="1:3">
      <c r="A812" s="1322" t="str">
        <f t="shared" si="12"/>
        <v>London</v>
      </c>
      <c r="B812" s="1321" t="s">
        <v>3877</v>
      </c>
      <c r="C812" s="1322">
        <f>INDEX('LOCAL DATASET'!$C$376:$ALZ$376,1,ROW(C812)-1)</f>
        <v>0</v>
      </c>
    </row>
    <row r="813" spans="1:3">
      <c r="A813" s="1322" t="str">
        <f t="shared" si="12"/>
        <v>London</v>
      </c>
      <c r="B813" s="1321" t="s">
        <v>3878</v>
      </c>
      <c r="C813" s="1322">
        <f>INDEX('LOCAL DATASET'!$C$376:$ALZ$376,1,ROW(C813)-1)</f>
        <v>0</v>
      </c>
    </row>
    <row r="814" spans="1:3">
      <c r="A814" s="1322" t="str">
        <f t="shared" si="12"/>
        <v>London</v>
      </c>
      <c r="B814" s="1321" t="s">
        <v>3879</v>
      </c>
      <c r="C814" s="1322">
        <f>INDEX('LOCAL DATASET'!$C$376:$ALZ$376,1,ROW(C814)-1)</f>
        <v>0</v>
      </c>
    </row>
    <row r="815" spans="1:3">
      <c r="A815" s="1322" t="str">
        <f t="shared" si="12"/>
        <v>London</v>
      </c>
      <c r="B815" s="1321" t="s">
        <v>3880</v>
      </c>
      <c r="C815" s="1322">
        <f>INDEX('LOCAL DATASET'!$C$376:$ALZ$376,1,ROW(C815)-1)</f>
        <v>0</v>
      </c>
    </row>
    <row r="816" spans="1:3">
      <c r="A816" s="1322" t="str">
        <f t="shared" si="12"/>
        <v>London</v>
      </c>
      <c r="B816" s="1321" t="s">
        <v>3881</v>
      </c>
      <c r="C816" s="1322">
        <f>INDEX('LOCAL DATASET'!$C$376:$ALZ$376,1,ROW(C816)-1)</f>
        <v>0</v>
      </c>
    </row>
    <row r="817" spans="1:3">
      <c r="A817" s="1322" t="str">
        <f t="shared" si="12"/>
        <v>London</v>
      </c>
      <c r="B817" s="1321" t="s">
        <v>3882</v>
      </c>
      <c r="C817" s="1322">
        <f>INDEX('LOCAL DATASET'!$C$376:$ALZ$376,1,ROW(C817)-1)</f>
        <v>0</v>
      </c>
    </row>
    <row r="818" spans="1:3">
      <c r="A818" s="1322" t="str">
        <f t="shared" si="12"/>
        <v>London</v>
      </c>
      <c r="B818" s="1321" t="s">
        <v>3883</v>
      </c>
      <c r="C818" s="1322">
        <f>INDEX('LOCAL DATASET'!$C$376:$ALZ$376,1,ROW(C818)-1)</f>
        <v>0</v>
      </c>
    </row>
    <row r="819" spans="1:3">
      <c r="A819" s="1322" t="str">
        <f t="shared" si="12"/>
        <v>London</v>
      </c>
      <c r="B819" s="1321" t="s">
        <v>3884</v>
      </c>
      <c r="C819" s="1322">
        <f>INDEX('LOCAL DATASET'!$C$376:$ALZ$376,1,ROW(C819)-1)</f>
        <v>0</v>
      </c>
    </row>
    <row r="820" spans="1:3">
      <c r="A820" s="1322" t="str">
        <f t="shared" si="12"/>
        <v>London</v>
      </c>
      <c r="B820" s="1321" t="s">
        <v>3885</v>
      </c>
      <c r="C820" s="1322">
        <f>INDEX('LOCAL DATASET'!$C$376:$ALZ$376,1,ROW(C820)-1)</f>
        <v>0</v>
      </c>
    </row>
    <row r="821" spans="1:3">
      <c r="A821" s="1322" t="str">
        <f t="shared" si="12"/>
        <v>London</v>
      </c>
      <c r="B821" s="1321" t="s">
        <v>3886</v>
      </c>
      <c r="C821" s="1322">
        <f>INDEX('LOCAL DATASET'!$C$376:$ALZ$376,1,ROW(C821)-1)</f>
        <v>0</v>
      </c>
    </row>
    <row r="822" spans="1:3">
      <c r="A822" s="1322" t="str">
        <f t="shared" si="12"/>
        <v>London</v>
      </c>
      <c r="B822" s="1321" t="s">
        <v>3887</v>
      </c>
      <c r="C822" s="1322">
        <f>INDEX('LOCAL DATASET'!$C$376:$ALZ$376,1,ROW(C822)-1)</f>
        <v>0</v>
      </c>
    </row>
    <row r="823" spans="1:3">
      <c r="A823" s="1322" t="str">
        <f t="shared" si="12"/>
        <v>London</v>
      </c>
      <c r="B823" s="1321" t="s">
        <v>3888</v>
      </c>
      <c r="C823" s="1322">
        <f>INDEX('LOCAL DATASET'!$C$376:$ALZ$376,1,ROW(C823)-1)</f>
        <v>0</v>
      </c>
    </row>
    <row r="824" spans="1:3">
      <c r="A824" s="1322" t="str">
        <f t="shared" si="12"/>
        <v>London</v>
      </c>
      <c r="B824" s="1321" t="s">
        <v>3889</v>
      </c>
      <c r="C824" s="1322">
        <f>INDEX('LOCAL DATASET'!$C$376:$ALZ$376,1,ROW(C824)-1)</f>
        <v>0</v>
      </c>
    </row>
    <row r="825" spans="1:3">
      <c r="A825" s="1322" t="str">
        <f t="shared" si="12"/>
        <v>London</v>
      </c>
      <c r="B825" s="1321" t="s">
        <v>3890</v>
      </c>
      <c r="C825" s="1322">
        <f>INDEX('LOCAL DATASET'!$C$376:$ALZ$376,1,ROW(C825)-1)</f>
        <v>0</v>
      </c>
    </row>
    <row r="826" spans="1:3">
      <c r="A826" s="1322" t="str">
        <f t="shared" si="12"/>
        <v>London</v>
      </c>
      <c r="B826" s="1321" t="s">
        <v>3891</v>
      </c>
      <c r="C826" s="1322">
        <f>INDEX('LOCAL DATASET'!$C$376:$ALZ$376,1,ROW(C826)-1)</f>
        <v>0</v>
      </c>
    </row>
    <row r="827" spans="1:3">
      <c r="A827" s="1322" t="str">
        <f t="shared" si="12"/>
        <v>London</v>
      </c>
      <c r="B827" s="1321" t="s">
        <v>3892</v>
      </c>
      <c r="C827" s="1322">
        <f>INDEX('LOCAL DATASET'!$C$376:$ALZ$376,1,ROW(C827)-1)</f>
        <v>0</v>
      </c>
    </row>
    <row r="828" spans="1:3">
      <c r="A828" s="1322" t="str">
        <f t="shared" si="12"/>
        <v>London</v>
      </c>
      <c r="B828" s="1321" t="s">
        <v>3893</v>
      </c>
      <c r="C828" s="1322">
        <f>INDEX('LOCAL DATASET'!$C$376:$ALZ$376,1,ROW(C828)-1)</f>
        <v>0</v>
      </c>
    </row>
    <row r="829" spans="1:3">
      <c r="A829" s="1322" t="str">
        <f t="shared" si="12"/>
        <v>London</v>
      </c>
      <c r="B829" s="1321" t="s">
        <v>3894</v>
      </c>
      <c r="C829" s="1322">
        <f>INDEX('LOCAL DATASET'!$C$376:$ALZ$376,1,ROW(C829)-1)</f>
        <v>0</v>
      </c>
    </row>
    <row r="830" spans="1:3">
      <c r="A830" s="1322" t="str">
        <f t="shared" si="12"/>
        <v>London</v>
      </c>
      <c r="B830" s="1321" t="s">
        <v>3895</v>
      </c>
      <c r="C830" s="1322">
        <f>INDEX('LOCAL DATASET'!$C$376:$ALZ$376,1,ROW(C830)-1)</f>
        <v>0</v>
      </c>
    </row>
    <row r="831" spans="1:3">
      <c r="A831" s="1322" t="str">
        <f t="shared" si="12"/>
        <v>London</v>
      </c>
      <c r="B831" s="1321" t="s">
        <v>3896</v>
      </c>
      <c r="C831" s="1322">
        <f>INDEX('LOCAL DATASET'!$C$376:$ALZ$376,1,ROW(C831)-1)</f>
        <v>0</v>
      </c>
    </row>
    <row r="832" spans="1:3">
      <c r="A832" s="1322" t="str">
        <f t="shared" si="12"/>
        <v>London</v>
      </c>
      <c r="B832" s="1321" t="s">
        <v>3897</v>
      </c>
      <c r="C832" s="1322">
        <f>INDEX('LOCAL DATASET'!$C$376:$ALZ$376,1,ROW(C832)-1)</f>
        <v>0</v>
      </c>
    </row>
    <row r="833" spans="1:3">
      <c r="A833" s="1322" t="str">
        <f t="shared" si="12"/>
        <v>London</v>
      </c>
      <c r="B833" s="1321" t="s">
        <v>3898</v>
      </c>
      <c r="C833" s="1322">
        <f>INDEX('LOCAL DATASET'!$C$376:$ALZ$376,1,ROW(C833)-1)</f>
        <v>0</v>
      </c>
    </row>
    <row r="834" spans="1:3">
      <c r="A834" s="1322" t="str">
        <f t="shared" si="12"/>
        <v>London</v>
      </c>
      <c r="B834" s="1321" t="s">
        <v>3899</v>
      </c>
      <c r="C834" s="1322">
        <f>INDEX('LOCAL DATASET'!$C$376:$ALZ$376,1,ROW(C834)-1)</f>
        <v>0</v>
      </c>
    </row>
    <row r="835" spans="1:3">
      <c r="A835" s="1322" t="str">
        <f t="shared" si="12"/>
        <v>London</v>
      </c>
      <c r="B835" s="1321" t="s">
        <v>3900</v>
      </c>
      <c r="C835" s="1322">
        <f>INDEX('LOCAL DATASET'!$C$376:$ALZ$376,1,ROW(C835)-1)</f>
        <v>0</v>
      </c>
    </row>
    <row r="836" spans="1:3">
      <c r="A836" s="1322" t="str">
        <f t="shared" ref="A836:A899" si="13">A835</f>
        <v>London</v>
      </c>
      <c r="B836" s="1321" t="s">
        <v>3901</v>
      </c>
      <c r="C836" s="1322">
        <f>INDEX('LOCAL DATASET'!$C$376:$ALZ$376,1,ROW(C836)-1)</f>
        <v>0</v>
      </c>
    </row>
    <row r="837" spans="1:3">
      <c r="A837" s="1322" t="str">
        <f t="shared" si="13"/>
        <v>London</v>
      </c>
      <c r="B837" s="1321" t="s">
        <v>3902</v>
      </c>
      <c r="C837" s="1322">
        <f>INDEX('LOCAL DATASET'!$C$376:$ALZ$376,1,ROW(C837)-1)</f>
        <v>0</v>
      </c>
    </row>
    <row r="838" spans="1:3">
      <c r="A838" s="1322" t="str">
        <f t="shared" si="13"/>
        <v>London</v>
      </c>
      <c r="B838" s="1321" t="s">
        <v>3903</v>
      </c>
      <c r="C838" s="1322">
        <f>INDEX('LOCAL DATASET'!$C$376:$ALZ$376,1,ROW(C838)-1)</f>
        <v>0</v>
      </c>
    </row>
    <row r="839" spans="1:3">
      <c r="A839" s="1322" t="str">
        <f t="shared" si="13"/>
        <v>London</v>
      </c>
      <c r="B839" s="1321" t="s">
        <v>3904</v>
      </c>
      <c r="C839" s="1322">
        <f>INDEX('LOCAL DATASET'!$C$376:$ALZ$376,1,ROW(C839)-1)</f>
        <v>0</v>
      </c>
    </row>
    <row r="840" spans="1:3">
      <c r="A840" s="1322" t="str">
        <f t="shared" si="13"/>
        <v>London</v>
      </c>
      <c r="B840" s="1321" t="s">
        <v>3905</v>
      </c>
      <c r="C840" s="1322">
        <f>INDEX('LOCAL DATASET'!$C$376:$ALZ$376,1,ROW(C840)-1)</f>
        <v>0</v>
      </c>
    </row>
    <row r="841" spans="1:3">
      <c r="A841" s="1322" t="str">
        <f t="shared" si="13"/>
        <v>London</v>
      </c>
      <c r="B841" s="1321" t="s">
        <v>3906</v>
      </c>
      <c r="C841" s="1322">
        <f>INDEX('LOCAL DATASET'!$C$376:$ALZ$376,1,ROW(C841)-1)</f>
        <v>0</v>
      </c>
    </row>
    <row r="842" spans="1:3">
      <c r="A842" s="1322" t="str">
        <f t="shared" si="13"/>
        <v>London</v>
      </c>
      <c r="B842" s="1321" t="s">
        <v>3907</v>
      </c>
      <c r="C842" s="1322">
        <f>INDEX('LOCAL DATASET'!$C$376:$ALZ$376,1,ROW(C842)-1)</f>
        <v>0</v>
      </c>
    </row>
    <row r="843" spans="1:3">
      <c r="A843" s="1322" t="str">
        <f t="shared" si="13"/>
        <v>London</v>
      </c>
      <c r="B843" s="1321" t="s">
        <v>3908</v>
      </c>
      <c r="C843" s="1322">
        <f>INDEX('LOCAL DATASET'!$C$376:$ALZ$376,1,ROW(C843)-1)</f>
        <v>0</v>
      </c>
    </row>
    <row r="844" spans="1:3">
      <c r="A844" s="1322" t="str">
        <f t="shared" si="13"/>
        <v>London</v>
      </c>
      <c r="B844" s="1321" t="s">
        <v>3909</v>
      </c>
      <c r="C844" s="1322">
        <f>INDEX('LOCAL DATASET'!$C$376:$ALZ$376,1,ROW(C844)-1)</f>
        <v>0</v>
      </c>
    </row>
    <row r="845" spans="1:3">
      <c r="A845" s="1322" t="str">
        <f t="shared" si="13"/>
        <v>London</v>
      </c>
      <c r="B845" s="1321" t="s">
        <v>3910</v>
      </c>
      <c r="C845" s="1322">
        <f>INDEX('LOCAL DATASET'!$C$376:$ALZ$376,1,ROW(C845)-1)</f>
        <v>0</v>
      </c>
    </row>
    <row r="846" spans="1:3">
      <c r="A846" s="1322" t="str">
        <f t="shared" si="13"/>
        <v>London</v>
      </c>
      <c r="B846" s="1321" t="s">
        <v>3911</v>
      </c>
      <c r="C846" s="1322">
        <f>INDEX('LOCAL DATASET'!$C$376:$ALZ$376,1,ROW(C846)-1)</f>
        <v>0</v>
      </c>
    </row>
    <row r="847" spans="1:3">
      <c r="A847" s="1322" t="str">
        <f t="shared" si="13"/>
        <v>London</v>
      </c>
      <c r="B847" s="1321" t="s">
        <v>3912</v>
      </c>
      <c r="C847" s="1322">
        <f>INDEX('LOCAL DATASET'!$C$376:$ALZ$376,1,ROW(C847)-1)</f>
        <v>0</v>
      </c>
    </row>
    <row r="848" spans="1:3">
      <c r="A848" s="1322" t="str">
        <f t="shared" si="13"/>
        <v>London</v>
      </c>
      <c r="B848" s="1321" t="s">
        <v>3913</v>
      </c>
      <c r="C848" s="1322">
        <f>INDEX('LOCAL DATASET'!$C$376:$ALZ$376,1,ROW(C848)-1)</f>
        <v>0</v>
      </c>
    </row>
    <row r="849" spans="1:3">
      <c r="A849" s="1322" t="str">
        <f t="shared" si="13"/>
        <v>London</v>
      </c>
      <c r="B849" s="1321" t="s">
        <v>3914</v>
      </c>
      <c r="C849" s="1322">
        <f>INDEX('LOCAL DATASET'!$C$376:$ALZ$376,1,ROW(C849)-1)</f>
        <v>0</v>
      </c>
    </row>
    <row r="850" spans="1:3">
      <c r="A850" s="1322" t="str">
        <f t="shared" si="13"/>
        <v>London</v>
      </c>
      <c r="B850" s="1321" t="s">
        <v>3915</v>
      </c>
      <c r="C850" s="1322">
        <f>INDEX('LOCAL DATASET'!$C$376:$ALZ$376,1,ROW(C850)-1)</f>
        <v>0</v>
      </c>
    </row>
    <row r="851" spans="1:3">
      <c r="A851" s="1322" t="str">
        <f t="shared" si="13"/>
        <v>London</v>
      </c>
      <c r="B851" s="1321" t="s">
        <v>3916</v>
      </c>
      <c r="C851" s="1322">
        <f>INDEX('LOCAL DATASET'!$C$376:$ALZ$376,1,ROW(C851)-1)</f>
        <v>0</v>
      </c>
    </row>
    <row r="852" spans="1:3">
      <c r="A852" s="1322" t="str">
        <f t="shared" si="13"/>
        <v>London</v>
      </c>
      <c r="B852" s="1321" t="s">
        <v>3917</v>
      </c>
      <c r="C852" s="1322">
        <f>INDEX('LOCAL DATASET'!$C$376:$ALZ$376,1,ROW(C852)-1)</f>
        <v>0</v>
      </c>
    </row>
    <row r="853" spans="1:3">
      <c r="A853" s="1322" t="str">
        <f t="shared" si="13"/>
        <v>London</v>
      </c>
      <c r="B853" s="1321" t="s">
        <v>3918</v>
      </c>
      <c r="C853" s="1322">
        <f>INDEX('LOCAL DATASET'!$C$376:$ALZ$376,1,ROW(C853)-1)</f>
        <v>0</v>
      </c>
    </row>
    <row r="854" spans="1:3">
      <c r="A854" s="1322" t="str">
        <f t="shared" si="13"/>
        <v>London</v>
      </c>
      <c r="B854" s="1321" t="s">
        <v>3919</v>
      </c>
      <c r="C854" s="1322">
        <f>INDEX('LOCAL DATASET'!$C$376:$ALZ$376,1,ROW(C854)-1)</f>
        <v>0</v>
      </c>
    </row>
    <row r="855" spans="1:3">
      <c r="A855" s="1322" t="str">
        <f t="shared" si="13"/>
        <v>London</v>
      </c>
      <c r="B855" s="1321" t="s">
        <v>3920</v>
      </c>
      <c r="C855" s="1322">
        <f>INDEX('LOCAL DATASET'!$C$376:$ALZ$376,1,ROW(C855)-1)</f>
        <v>0</v>
      </c>
    </row>
    <row r="856" spans="1:3">
      <c r="A856" s="1322" t="str">
        <f t="shared" si="13"/>
        <v>London</v>
      </c>
      <c r="B856" s="1321" t="s">
        <v>3921</v>
      </c>
      <c r="C856" s="1322">
        <f>INDEX('LOCAL DATASET'!$C$376:$ALZ$376,1,ROW(C856)-1)</f>
        <v>0</v>
      </c>
    </row>
    <row r="857" spans="1:3">
      <c r="A857" s="1322" t="str">
        <f t="shared" si="13"/>
        <v>London</v>
      </c>
      <c r="B857" s="1321" t="s">
        <v>3922</v>
      </c>
      <c r="C857" s="1322">
        <f>INDEX('LOCAL DATASET'!$C$376:$ALZ$376,1,ROW(C857)-1)</f>
        <v>0</v>
      </c>
    </row>
    <row r="858" spans="1:3">
      <c r="A858" s="1322" t="str">
        <f t="shared" si="13"/>
        <v>London</v>
      </c>
      <c r="B858" s="1321" t="s">
        <v>3923</v>
      </c>
      <c r="C858" s="1322">
        <f>INDEX('LOCAL DATASET'!$C$376:$ALZ$376,1,ROW(C858)-1)</f>
        <v>0</v>
      </c>
    </row>
    <row r="859" spans="1:3">
      <c r="A859" s="1322" t="str">
        <f t="shared" si="13"/>
        <v>London</v>
      </c>
      <c r="B859" s="1321" t="s">
        <v>3924</v>
      </c>
      <c r="C859" s="1322">
        <f>INDEX('LOCAL DATASET'!$C$376:$ALZ$376,1,ROW(C859)-1)</f>
        <v>0</v>
      </c>
    </row>
    <row r="860" spans="1:3">
      <c r="A860" s="1322" t="str">
        <f t="shared" si="13"/>
        <v>London</v>
      </c>
      <c r="B860" s="1321" t="s">
        <v>3925</v>
      </c>
      <c r="C860" s="1322">
        <f>INDEX('LOCAL DATASET'!$C$376:$ALZ$376,1,ROW(C860)-1)</f>
        <v>0</v>
      </c>
    </row>
    <row r="861" spans="1:3">
      <c r="A861" s="1322" t="str">
        <f t="shared" si="13"/>
        <v>London</v>
      </c>
      <c r="B861" s="1321" t="s">
        <v>3926</v>
      </c>
      <c r="C861" s="1322">
        <f>INDEX('LOCAL DATASET'!$C$376:$ALZ$376,1,ROW(C861)-1)</f>
        <v>0</v>
      </c>
    </row>
    <row r="862" spans="1:3">
      <c r="A862" s="1322" t="str">
        <f t="shared" si="13"/>
        <v>London</v>
      </c>
      <c r="B862" s="1321" t="s">
        <v>3927</v>
      </c>
      <c r="C862" s="1322">
        <f>INDEX('LOCAL DATASET'!$C$376:$ALZ$376,1,ROW(C862)-1)</f>
        <v>0</v>
      </c>
    </row>
    <row r="863" spans="1:3">
      <c r="A863" s="1322" t="str">
        <f t="shared" si="13"/>
        <v>London</v>
      </c>
      <c r="B863" s="1321" t="s">
        <v>3928</v>
      </c>
      <c r="C863" s="1322">
        <f>INDEX('LOCAL DATASET'!$C$376:$ALZ$376,1,ROW(C863)-1)</f>
        <v>0</v>
      </c>
    </row>
    <row r="864" spans="1:3">
      <c r="A864" s="1322" t="str">
        <f t="shared" si="13"/>
        <v>London</v>
      </c>
      <c r="B864" s="1321" t="s">
        <v>3929</v>
      </c>
      <c r="C864" s="1322">
        <f>INDEX('LOCAL DATASET'!$C$376:$ALZ$376,1,ROW(C864)-1)</f>
        <v>0</v>
      </c>
    </row>
    <row r="865" spans="1:3">
      <c r="A865" s="1322" t="str">
        <f t="shared" si="13"/>
        <v>London</v>
      </c>
      <c r="B865" s="1321" t="s">
        <v>3930</v>
      </c>
      <c r="C865" s="1322">
        <f>INDEX('LOCAL DATASET'!$C$376:$ALZ$376,1,ROW(C865)-1)</f>
        <v>0</v>
      </c>
    </row>
    <row r="866" spans="1:3">
      <c r="A866" s="1322" t="str">
        <f t="shared" si="13"/>
        <v>London</v>
      </c>
      <c r="B866" s="1321" t="s">
        <v>3931</v>
      </c>
      <c r="C866" s="1322">
        <f>INDEX('LOCAL DATASET'!$C$376:$ALZ$376,1,ROW(C866)-1)</f>
        <v>0</v>
      </c>
    </row>
    <row r="867" spans="1:3">
      <c r="A867" s="1322" t="str">
        <f t="shared" si="13"/>
        <v>London</v>
      </c>
      <c r="B867" s="1321" t="s">
        <v>3932</v>
      </c>
      <c r="C867" s="1322">
        <f>INDEX('LOCAL DATASET'!$C$376:$ALZ$376,1,ROW(C867)-1)</f>
        <v>0</v>
      </c>
    </row>
    <row r="868" spans="1:3">
      <c r="A868" s="1322" t="str">
        <f t="shared" si="13"/>
        <v>London</v>
      </c>
      <c r="B868" s="1321" t="s">
        <v>3933</v>
      </c>
      <c r="C868" s="1322">
        <f>INDEX('LOCAL DATASET'!$C$376:$ALZ$376,1,ROW(C868)-1)</f>
        <v>0</v>
      </c>
    </row>
    <row r="869" spans="1:3">
      <c r="A869" s="1322" t="str">
        <f t="shared" si="13"/>
        <v>London</v>
      </c>
      <c r="B869" s="1321" t="s">
        <v>3934</v>
      </c>
      <c r="C869" s="1322">
        <f>INDEX('LOCAL DATASET'!$C$376:$ALZ$376,1,ROW(C869)-1)</f>
        <v>0</v>
      </c>
    </row>
    <row r="870" spans="1:3">
      <c r="A870" s="1322" t="str">
        <f t="shared" si="13"/>
        <v>London</v>
      </c>
      <c r="B870" s="1321" t="s">
        <v>3935</v>
      </c>
      <c r="C870" s="1322">
        <f>INDEX('LOCAL DATASET'!$C$376:$ALZ$376,1,ROW(C870)-1)</f>
        <v>0</v>
      </c>
    </row>
    <row r="871" spans="1:3">
      <c r="A871" s="1322" t="str">
        <f t="shared" si="13"/>
        <v>London</v>
      </c>
      <c r="B871" s="1321" t="s">
        <v>3936</v>
      </c>
      <c r="C871" s="1322">
        <f>INDEX('LOCAL DATASET'!$C$376:$ALZ$376,1,ROW(C871)-1)</f>
        <v>0</v>
      </c>
    </row>
    <row r="872" spans="1:3">
      <c r="A872" s="1322" t="str">
        <f t="shared" si="13"/>
        <v>London</v>
      </c>
      <c r="B872" s="1321" t="s">
        <v>3937</v>
      </c>
      <c r="C872" s="1322">
        <f>INDEX('LOCAL DATASET'!$C$376:$ALZ$376,1,ROW(C872)-1)</f>
        <v>0</v>
      </c>
    </row>
    <row r="873" spans="1:3">
      <c r="A873" s="1322" t="str">
        <f t="shared" si="13"/>
        <v>London</v>
      </c>
      <c r="B873" s="1321" t="s">
        <v>3938</v>
      </c>
      <c r="C873" s="1322">
        <f>INDEX('LOCAL DATASET'!$C$376:$ALZ$376,1,ROW(C873)-1)</f>
        <v>0</v>
      </c>
    </row>
    <row r="874" spans="1:3">
      <c r="A874" s="1322" t="str">
        <f t="shared" si="13"/>
        <v>London</v>
      </c>
      <c r="B874" s="1321" t="s">
        <v>3939</v>
      </c>
      <c r="C874" s="1322">
        <f>INDEX('LOCAL DATASET'!$C$376:$ALZ$376,1,ROW(C874)-1)</f>
        <v>0</v>
      </c>
    </row>
    <row r="875" spans="1:3">
      <c r="A875" s="1322" t="str">
        <f t="shared" si="13"/>
        <v>London</v>
      </c>
      <c r="B875" s="1321" t="s">
        <v>3940</v>
      </c>
      <c r="C875" s="1322">
        <f>INDEX('LOCAL DATASET'!$C$376:$ALZ$376,1,ROW(C875)-1)</f>
        <v>0</v>
      </c>
    </row>
    <row r="876" spans="1:3">
      <c r="A876" s="1322" t="str">
        <f t="shared" si="13"/>
        <v>London</v>
      </c>
      <c r="B876" s="1321" t="s">
        <v>3941</v>
      </c>
      <c r="C876" s="1322">
        <f>INDEX('LOCAL DATASET'!$C$376:$ALZ$376,1,ROW(C876)-1)</f>
        <v>0</v>
      </c>
    </row>
    <row r="877" spans="1:3">
      <c r="A877" s="1322" t="str">
        <f t="shared" si="13"/>
        <v>London</v>
      </c>
      <c r="B877" s="1321" t="s">
        <v>3942</v>
      </c>
      <c r="C877" s="1322">
        <f>INDEX('LOCAL DATASET'!$C$376:$ALZ$376,1,ROW(C877)-1)</f>
        <v>0</v>
      </c>
    </row>
    <row r="878" spans="1:3">
      <c r="A878" s="1322" t="str">
        <f t="shared" si="13"/>
        <v>London</v>
      </c>
      <c r="B878" s="1321" t="s">
        <v>3943</v>
      </c>
      <c r="C878" s="1322">
        <f>INDEX('LOCAL DATASET'!$C$376:$ALZ$376,1,ROW(C878)-1)</f>
        <v>0</v>
      </c>
    </row>
    <row r="879" spans="1:3">
      <c r="A879" s="1322" t="str">
        <f t="shared" si="13"/>
        <v>London</v>
      </c>
      <c r="B879" s="1321" t="s">
        <v>3944</v>
      </c>
      <c r="C879" s="1322">
        <f>INDEX('LOCAL DATASET'!$C$376:$ALZ$376,1,ROW(C879)-1)</f>
        <v>0</v>
      </c>
    </row>
    <row r="880" spans="1:3">
      <c r="A880" s="1322" t="str">
        <f t="shared" si="13"/>
        <v>London</v>
      </c>
      <c r="B880" s="1321" t="s">
        <v>3945</v>
      </c>
      <c r="C880" s="1322">
        <f>INDEX('LOCAL DATASET'!$C$376:$ALZ$376,1,ROW(C880)-1)</f>
        <v>0</v>
      </c>
    </row>
    <row r="881" spans="1:3">
      <c r="A881" s="1322" t="str">
        <f t="shared" si="13"/>
        <v>London</v>
      </c>
      <c r="B881" s="1321" t="s">
        <v>3946</v>
      </c>
      <c r="C881" s="1322">
        <f>INDEX('LOCAL DATASET'!$C$376:$ALZ$376,1,ROW(C881)-1)</f>
        <v>0</v>
      </c>
    </row>
    <row r="882" spans="1:3">
      <c r="A882" s="1322" t="str">
        <f t="shared" si="13"/>
        <v>London</v>
      </c>
      <c r="B882" s="1321" t="s">
        <v>3947</v>
      </c>
      <c r="C882" s="1322">
        <f>INDEX('LOCAL DATASET'!$C$376:$ALZ$376,1,ROW(C882)-1)</f>
        <v>0</v>
      </c>
    </row>
    <row r="883" spans="1:3">
      <c r="A883" s="1322" t="str">
        <f t="shared" si="13"/>
        <v>London</v>
      </c>
      <c r="B883" s="1321" t="s">
        <v>3948</v>
      </c>
      <c r="C883" s="1322">
        <f>INDEX('LOCAL DATASET'!$C$376:$ALZ$376,1,ROW(C883)-1)</f>
        <v>0</v>
      </c>
    </row>
    <row r="884" spans="1:3">
      <c r="A884" s="1322" t="str">
        <f t="shared" si="13"/>
        <v>London</v>
      </c>
      <c r="B884" s="1321" t="s">
        <v>3949</v>
      </c>
      <c r="C884" s="1322">
        <f>INDEX('LOCAL DATASET'!$C$376:$ALZ$376,1,ROW(C884)-1)</f>
        <v>0</v>
      </c>
    </row>
    <row r="885" spans="1:3">
      <c r="A885" s="1322" t="str">
        <f t="shared" si="13"/>
        <v>London</v>
      </c>
      <c r="B885" s="1321" t="s">
        <v>3950</v>
      </c>
      <c r="C885" s="1322">
        <f>INDEX('LOCAL DATASET'!$C$376:$ALZ$376,1,ROW(C885)-1)</f>
        <v>0</v>
      </c>
    </row>
    <row r="886" spans="1:3">
      <c r="A886" s="1322" t="str">
        <f t="shared" si="13"/>
        <v>London</v>
      </c>
      <c r="B886" s="1321" t="s">
        <v>3951</v>
      </c>
      <c r="C886" s="1322">
        <f>INDEX('LOCAL DATASET'!$C$376:$ALZ$376,1,ROW(C886)-1)</f>
        <v>0</v>
      </c>
    </row>
    <row r="887" spans="1:3">
      <c r="A887" s="1322" t="str">
        <f t="shared" si="13"/>
        <v>London</v>
      </c>
      <c r="B887" s="1321" t="s">
        <v>3952</v>
      </c>
      <c r="C887" s="1322">
        <f>INDEX('LOCAL DATASET'!$C$376:$ALZ$376,1,ROW(C887)-1)</f>
        <v>0</v>
      </c>
    </row>
    <row r="888" spans="1:3">
      <c r="A888" s="1322" t="str">
        <f t="shared" si="13"/>
        <v>London</v>
      </c>
      <c r="B888" s="1321" t="s">
        <v>3953</v>
      </c>
      <c r="C888" s="1322">
        <f>INDEX('LOCAL DATASET'!$C$376:$ALZ$376,1,ROW(C888)-1)</f>
        <v>0</v>
      </c>
    </row>
    <row r="889" spans="1:3">
      <c r="A889" s="1322" t="str">
        <f t="shared" si="13"/>
        <v>London</v>
      </c>
      <c r="B889" s="1321" t="s">
        <v>3954</v>
      </c>
      <c r="C889" s="1322">
        <f>INDEX('LOCAL DATASET'!$C$376:$ALZ$376,1,ROW(C889)-1)</f>
        <v>0</v>
      </c>
    </row>
    <row r="890" spans="1:3">
      <c r="A890" s="1322" t="str">
        <f t="shared" si="13"/>
        <v>London</v>
      </c>
      <c r="B890" s="1321" t="s">
        <v>3955</v>
      </c>
      <c r="C890" s="1322">
        <f>INDEX('LOCAL DATASET'!$C$376:$ALZ$376,1,ROW(C890)-1)</f>
        <v>0</v>
      </c>
    </row>
    <row r="891" spans="1:3">
      <c r="A891" s="1322" t="str">
        <f t="shared" si="13"/>
        <v>London</v>
      </c>
      <c r="B891" s="1321" t="s">
        <v>3956</v>
      </c>
      <c r="C891" s="1322">
        <f>INDEX('LOCAL DATASET'!$C$376:$ALZ$376,1,ROW(C891)-1)</f>
        <v>0</v>
      </c>
    </row>
    <row r="892" spans="1:3">
      <c r="A892" s="1322" t="str">
        <f t="shared" si="13"/>
        <v>London</v>
      </c>
      <c r="B892" s="1321" t="s">
        <v>3957</v>
      </c>
      <c r="C892" s="1322">
        <f>INDEX('LOCAL DATASET'!$C$376:$ALZ$376,1,ROW(C892)-1)</f>
        <v>0</v>
      </c>
    </row>
    <row r="893" spans="1:3">
      <c r="A893" s="1322" t="str">
        <f t="shared" si="13"/>
        <v>London</v>
      </c>
      <c r="B893" s="1321" t="s">
        <v>3958</v>
      </c>
      <c r="C893" s="1322">
        <f>INDEX('LOCAL DATASET'!$C$376:$ALZ$376,1,ROW(C893)-1)</f>
        <v>0</v>
      </c>
    </row>
    <row r="894" spans="1:3">
      <c r="A894" s="1322" t="str">
        <f t="shared" si="13"/>
        <v>London</v>
      </c>
      <c r="B894" s="1321" t="s">
        <v>3959</v>
      </c>
      <c r="C894" s="1322">
        <f>INDEX('LOCAL DATASET'!$C$376:$ALZ$376,1,ROW(C894)-1)</f>
        <v>0</v>
      </c>
    </row>
    <row r="895" spans="1:3">
      <c r="A895" s="1322" t="str">
        <f t="shared" si="13"/>
        <v>London</v>
      </c>
      <c r="B895" s="1321" t="s">
        <v>3960</v>
      </c>
      <c r="C895" s="1322">
        <f>INDEX('LOCAL DATASET'!$C$376:$ALZ$376,1,ROW(C895)-1)</f>
        <v>0</v>
      </c>
    </row>
    <row r="896" spans="1:3">
      <c r="A896" s="1322" t="str">
        <f t="shared" si="13"/>
        <v>London</v>
      </c>
      <c r="B896" s="1321" t="s">
        <v>3961</v>
      </c>
      <c r="C896" s="1322">
        <f>INDEX('LOCAL DATASET'!$C$376:$ALZ$376,1,ROW(C896)-1)</f>
        <v>0</v>
      </c>
    </row>
    <row r="897" spans="1:3">
      <c r="A897" s="1322" t="str">
        <f t="shared" si="13"/>
        <v>London</v>
      </c>
      <c r="B897" s="1321" t="s">
        <v>3962</v>
      </c>
      <c r="C897" s="1322">
        <f>INDEX('LOCAL DATASET'!$C$376:$ALZ$376,1,ROW(C897)-1)</f>
        <v>0</v>
      </c>
    </row>
    <row r="898" spans="1:3">
      <c r="A898" s="1322" t="str">
        <f t="shared" si="13"/>
        <v>London</v>
      </c>
      <c r="B898" s="1321" t="s">
        <v>3963</v>
      </c>
      <c r="C898" s="1322">
        <f>INDEX('LOCAL DATASET'!$C$376:$ALZ$376,1,ROW(C898)-1)</f>
        <v>0</v>
      </c>
    </row>
    <row r="899" spans="1:3">
      <c r="A899" s="1322" t="str">
        <f t="shared" si="13"/>
        <v>London</v>
      </c>
      <c r="B899" s="1321" t="s">
        <v>3964</v>
      </c>
      <c r="C899" s="1322">
        <f>INDEX('LOCAL DATASET'!$C$376:$ALZ$376,1,ROW(C899)-1)</f>
        <v>0</v>
      </c>
    </row>
    <row r="900" spans="1:3">
      <c r="A900" s="1322" t="str">
        <f t="shared" ref="A900:A963" si="14">A899</f>
        <v>London</v>
      </c>
      <c r="B900" s="1321" t="s">
        <v>3965</v>
      </c>
      <c r="C900" s="1322">
        <f>INDEX('LOCAL DATASET'!$C$376:$ALZ$376,1,ROW(C900)-1)</f>
        <v>0</v>
      </c>
    </row>
    <row r="901" spans="1:3">
      <c r="A901" s="1322" t="str">
        <f t="shared" si="14"/>
        <v>London</v>
      </c>
      <c r="B901" s="1321" t="s">
        <v>3966</v>
      </c>
      <c r="C901" s="1322">
        <f>INDEX('LOCAL DATASET'!$C$376:$ALZ$376,1,ROW(C901)-1)</f>
        <v>0</v>
      </c>
    </row>
    <row r="902" spans="1:3">
      <c r="A902" s="1322" t="str">
        <f t="shared" si="14"/>
        <v>London</v>
      </c>
      <c r="B902" s="1321" t="s">
        <v>3967</v>
      </c>
      <c r="C902" s="1322">
        <f>INDEX('LOCAL DATASET'!$C$376:$ALZ$376,1,ROW(C902)-1)</f>
        <v>0</v>
      </c>
    </row>
    <row r="903" spans="1:3">
      <c r="A903" s="1322" t="str">
        <f t="shared" si="14"/>
        <v>London</v>
      </c>
      <c r="B903" s="1321" t="s">
        <v>3968</v>
      </c>
      <c r="C903" s="1322">
        <f>INDEX('LOCAL DATASET'!$C$376:$ALZ$376,1,ROW(C903)-1)</f>
        <v>0</v>
      </c>
    </row>
    <row r="904" spans="1:3">
      <c r="A904" s="1322" t="str">
        <f t="shared" si="14"/>
        <v>London</v>
      </c>
      <c r="B904" s="1321" t="s">
        <v>3969</v>
      </c>
      <c r="C904" s="1322">
        <f>INDEX('LOCAL DATASET'!$C$376:$ALZ$376,1,ROW(C904)-1)</f>
        <v>0</v>
      </c>
    </row>
    <row r="905" spans="1:3">
      <c r="A905" s="1322" t="str">
        <f t="shared" si="14"/>
        <v>London</v>
      </c>
      <c r="B905" s="1321" t="s">
        <v>3970</v>
      </c>
      <c r="C905" s="1322">
        <f>INDEX('LOCAL DATASET'!$C$376:$ALZ$376,1,ROW(C905)-1)</f>
        <v>0</v>
      </c>
    </row>
    <row r="906" spans="1:3">
      <c r="A906" s="1322" t="str">
        <f t="shared" si="14"/>
        <v>London</v>
      </c>
      <c r="B906" s="1321" t="s">
        <v>3971</v>
      </c>
      <c r="C906" s="1322">
        <f>INDEX('LOCAL DATASET'!$C$376:$ALZ$376,1,ROW(C906)-1)</f>
        <v>0</v>
      </c>
    </row>
    <row r="907" spans="1:3">
      <c r="A907" s="1322" t="str">
        <f t="shared" si="14"/>
        <v>London</v>
      </c>
      <c r="B907" s="1321" t="s">
        <v>3972</v>
      </c>
      <c r="C907" s="1322">
        <f>INDEX('LOCAL DATASET'!$C$376:$ALZ$376,1,ROW(C907)-1)</f>
        <v>0</v>
      </c>
    </row>
    <row r="908" spans="1:3">
      <c r="A908" s="1322" t="str">
        <f t="shared" si="14"/>
        <v>London</v>
      </c>
      <c r="B908" s="1321" t="s">
        <v>3973</v>
      </c>
      <c r="C908" s="1322">
        <f>INDEX('LOCAL DATASET'!$C$376:$ALZ$376,1,ROW(C908)-1)</f>
        <v>0</v>
      </c>
    </row>
    <row r="909" spans="1:3">
      <c r="A909" s="1322" t="str">
        <f t="shared" si="14"/>
        <v>London</v>
      </c>
      <c r="B909" s="1321" t="s">
        <v>3974</v>
      </c>
      <c r="C909" s="1322">
        <f>INDEX('LOCAL DATASET'!$C$376:$ALZ$376,1,ROW(C909)-1)</f>
        <v>0</v>
      </c>
    </row>
    <row r="910" spans="1:3">
      <c r="A910" s="1322" t="str">
        <f t="shared" si="14"/>
        <v>London</v>
      </c>
      <c r="B910" s="1321" t="s">
        <v>3975</v>
      </c>
      <c r="C910" s="1322">
        <f>INDEX('LOCAL DATASET'!$C$376:$ALZ$376,1,ROW(C910)-1)</f>
        <v>0</v>
      </c>
    </row>
    <row r="911" spans="1:3">
      <c r="A911" s="1322" t="str">
        <f t="shared" si="14"/>
        <v>London</v>
      </c>
      <c r="B911" s="1321" t="s">
        <v>3976</v>
      </c>
      <c r="C911" s="1322">
        <f>INDEX('LOCAL DATASET'!$C$376:$ALZ$376,1,ROW(C911)-1)</f>
        <v>0</v>
      </c>
    </row>
    <row r="912" spans="1:3">
      <c r="A912" s="1322" t="str">
        <f t="shared" si="14"/>
        <v>London</v>
      </c>
      <c r="B912" s="1321" t="s">
        <v>3977</v>
      </c>
      <c r="C912" s="1322">
        <f>INDEX('LOCAL DATASET'!$C$376:$ALZ$376,1,ROW(C912)-1)</f>
        <v>0</v>
      </c>
    </row>
    <row r="913" spans="1:3">
      <c r="A913" s="1322" t="str">
        <f t="shared" si="14"/>
        <v>London</v>
      </c>
      <c r="B913" s="1321" t="s">
        <v>3978</v>
      </c>
      <c r="C913" s="1322">
        <f>INDEX('LOCAL DATASET'!$C$376:$ALZ$376,1,ROW(C913)-1)</f>
        <v>0</v>
      </c>
    </row>
    <row r="914" spans="1:3">
      <c r="A914" s="1322" t="str">
        <f t="shared" si="14"/>
        <v>London</v>
      </c>
      <c r="B914" s="1321" t="s">
        <v>3979</v>
      </c>
      <c r="C914" s="1322">
        <f>INDEX('LOCAL DATASET'!$C$376:$ALZ$376,1,ROW(C914)-1)</f>
        <v>0</v>
      </c>
    </row>
    <row r="915" spans="1:3">
      <c r="A915" s="1322" t="str">
        <f t="shared" si="14"/>
        <v>London</v>
      </c>
      <c r="B915" s="1321" t="s">
        <v>3980</v>
      </c>
      <c r="C915" s="1322">
        <f>INDEX('LOCAL DATASET'!$C$376:$ALZ$376,1,ROW(C915)-1)</f>
        <v>0</v>
      </c>
    </row>
    <row r="916" spans="1:3">
      <c r="A916" s="1322" t="str">
        <f t="shared" si="14"/>
        <v>London</v>
      </c>
      <c r="B916" s="1321" t="s">
        <v>3981</v>
      </c>
      <c r="C916" s="1322">
        <f>INDEX('LOCAL DATASET'!$C$376:$ALZ$376,1,ROW(C916)-1)</f>
        <v>0</v>
      </c>
    </row>
    <row r="917" spans="1:3">
      <c r="A917" s="1322" t="str">
        <f t="shared" si="14"/>
        <v>London</v>
      </c>
      <c r="B917" s="1321" t="s">
        <v>3982</v>
      </c>
      <c r="C917" s="1322">
        <f>INDEX('LOCAL DATASET'!$C$376:$ALZ$376,1,ROW(C917)-1)</f>
        <v>0</v>
      </c>
    </row>
    <row r="918" spans="1:3">
      <c r="A918" s="1322" t="str">
        <f t="shared" si="14"/>
        <v>London</v>
      </c>
      <c r="B918" s="1321" t="s">
        <v>3983</v>
      </c>
      <c r="C918" s="1322">
        <f>INDEX('LOCAL DATASET'!$C$376:$ALZ$376,1,ROW(C918)-1)</f>
        <v>0</v>
      </c>
    </row>
    <row r="919" spans="1:3">
      <c r="A919" s="1322" t="str">
        <f t="shared" si="14"/>
        <v>London</v>
      </c>
      <c r="B919" s="1321" t="s">
        <v>3984</v>
      </c>
      <c r="C919" s="1322">
        <f>INDEX('LOCAL DATASET'!$C$376:$ALZ$376,1,ROW(C919)-1)</f>
        <v>0</v>
      </c>
    </row>
    <row r="920" spans="1:3">
      <c r="A920" s="1322" t="str">
        <f t="shared" si="14"/>
        <v>London</v>
      </c>
      <c r="B920" s="1321" t="s">
        <v>3985</v>
      </c>
      <c r="C920" s="1322">
        <f>INDEX('LOCAL DATASET'!$C$376:$ALZ$376,1,ROW(C920)-1)</f>
        <v>0</v>
      </c>
    </row>
    <row r="921" spans="1:3">
      <c r="A921" s="1322" t="str">
        <f t="shared" si="14"/>
        <v>London</v>
      </c>
      <c r="B921" s="1321" t="s">
        <v>3986</v>
      </c>
      <c r="C921" s="1322">
        <f>INDEX('LOCAL DATASET'!$C$376:$ALZ$376,1,ROW(C921)-1)</f>
        <v>0</v>
      </c>
    </row>
    <row r="922" spans="1:3">
      <c r="A922" s="1322" t="str">
        <f t="shared" si="14"/>
        <v>London</v>
      </c>
      <c r="B922" s="1321" t="s">
        <v>3987</v>
      </c>
      <c r="C922" s="1322">
        <f>INDEX('LOCAL DATASET'!$C$376:$ALZ$376,1,ROW(C922)-1)</f>
        <v>0</v>
      </c>
    </row>
    <row r="923" spans="1:3">
      <c r="A923" s="1322" t="str">
        <f t="shared" si="14"/>
        <v>London</v>
      </c>
      <c r="B923" s="1321" t="s">
        <v>3988</v>
      </c>
      <c r="C923" s="1322">
        <f>INDEX('LOCAL DATASET'!$C$376:$ALZ$376,1,ROW(C923)-1)</f>
        <v>0</v>
      </c>
    </row>
    <row r="924" spans="1:3">
      <c r="A924" s="1322" t="str">
        <f t="shared" si="14"/>
        <v>London</v>
      </c>
      <c r="B924" s="1321" t="s">
        <v>3989</v>
      </c>
      <c r="C924" s="1322">
        <f>INDEX('LOCAL DATASET'!$C$376:$ALZ$376,1,ROW(C924)-1)</f>
        <v>0</v>
      </c>
    </row>
    <row r="925" spans="1:3">
      <c r="A925" s="1322" t="str">
        <f t="shared" si="14"/>
        <v>London</v>
      </c>
      <c r="B925" s="1321" t="s">
        <v>3990</v>
      </c>
      <c r="C925" s="1322">
        <f>INDEX('LOCAL DATASET'!$C$376:$ALZ$376,1,ROW(C925)-1)</f>
        <v>0</v>
      </c>
    </row>
    <row r="926" spans="1:3">
      <c r="A926" s="1322" t="str">
        <f t="shared" si="14"/>
        <v>London</v>
      </c>
      <c r="B926" s="1321" t="s">
        <v>3991</v>
      </c>
      <c r="C926" s="1322">
        <f>INDEX('LOCAL DATASET'!$C$376:$ALZ$376,1,ROW(C926)-1)</f>
        <v>0</v>
      </c>
    </row>
    <row r="927" spans="1:3">
      <c r="A927" s="1322" t="str">
        <f t="shared" si="14"/>
        <v>London</v>
      </c>
      <c r="B927" s="1321" t="s">
        <v>3992</v>
      </c>
      <c r="C927" s="1322">
        <f>INDEX('LOCAL DATASET'!$C$376:$ALZ$376,1,ROW(C927)-1)</f>
        <v>0</v>
      </c>
    </row>
    <row r="928" spans="1:3">
      <c r="A928" s="1322" t="str">
        <f t="shared" si="14"/>
        <v>London</v>
      </c>
      <c r="B928" s="1321" t="s">
        <v>3993</v>
      </c>
      <c r="C928" s="1322">
        <f>INDEX('LOCAL DATASET'!$C$376:$ALZ$376,1,ROW(C928)-1)</f>
        <v>0</v>
      </c>
    </row>
    <row r="929" spans="1:3">
      <c r="A929" s="1322" t="str">
        <f t="shared" si="14"/>
        <v>London</v>
      </c>
      <c r="B929" s="1321" t="s">
        <v>3994</v>
      </c>
      <c r="C929" s="1322">
        <f>INDEX('LOCAL DATASET'!$C$376:$ALZ$376,1,ROW(C929)-1)</f>
        <v>0</v>
      </c>
    </row>
    <row r="930" spans="1:3">
      <c r="A930" s="1322" t="str">
        <f t="shared" si="14"/>
        <v>London</v>
      </c>
      <c r="B930" s="1321" t="s">
        <v>3995</v>
      </c>
      <c r="C930" s="1322">
        <f>INDEX('LOCAL DATASET'!$C$376:$ALZ$376,1,ROW(C930)-1)</f>
        <v>0</v>
      </c>
    </row>
    <row r="931" spans="1:3">
      <c r="A931" s="1322" t="str">
        <f t="shared" si="14"/>
        <v>London</v>
      </c>
      <c r="B931" s="1321" t="s">
        <v>3996</v>
      </c>
      <c r="C931" s="1322">
        <f>INDEX('LOCAL DATASET'!$C$376:$ALZ$376,1,ROW(C931)-1)</f>
        <v>0</v>
      </c>
    </row>
    <row r="932" spans="1:3">
      <c r="A932" s="1322" t="str">
        <f t="shared" si="14"/>
        <v>London</v>
      </c>
      <c r="B932" s="1321" t="s">
        <v>3997</v>
      </c>
      <c r="C932" s="1322">
        <f>INDEX('LOCAL DATASET'!$C$376:$ALZ$376,1,ROW(C932)-1)</f>
        <v>0</v>
      </c>
    </row>
    <row r="933" spans="1:3">
      <c r="A933" s="1322" t="str">
        <f t="shared" si="14"/>
        <v>London</v>
      </c>
      <c r="B933" s="1321" t="s">
        <v>3998</v>
      </c>
      <c r="C933" s="1322">
        <f>INDEX('LOCAL DATASET'!$C$376:$ALZ$376,1,ROW(C933)-1)</f>
        <v>0</v>
      </c>
    </row>
    <row r="934" spans="1:3">
      <c r="A934" s="1322" t="str">
        <f t="shared" si="14"/>
        <v>London</v>
      </c>
      <c r="B934" s="1321" t="s">
        <v>3999</v>
      </c>
      <c r="C934" s="1322">
        <f>INDEX('LOCAL DATASET'!$C$376:$ALZ$376,1,ROW(C934)-1)</f>
        <v>0</v>
      </c>
    </row>
    <row r="935" spans="1:3">
      <c r="A935" s="1322" t="str">
        <f t="shared" si="14"/>
        <v>London</v>
      </c>
      <c r="B935" s="1321" t="s">
        <v>4000</v>
      </c>
      <c r="C935" s="1322">
        <f>INDEX('LOCAL DATASET'!$C$376:$ALZ$376,1,ROW(C935)-1)</f>
        <v>0</v>
      </c>
    </row>
    <row r="936" spans="1:3">
      <c r="A936" s="1322" t="str">
        <f t="shared" si="14"/>
        <v>London</v>
      </c>
      <c r="B936" s="1321" t="s">
        <v>4001</v>
      </c>
      <c r="C936" s="1322">
        <f>INDEX('LOCAL DATASET'!$C$376:$ALZ$376,1,ROW(C936)-1)</f>
        <v>0</v>
      </c>
    </row>
    <row r="937" spans="1:3">
      <c r="A937" s="1322" t="str">
        <f t="shared" si="14"/>
        <v>London</v>
      </c>
      <c r="B937" s="1321" t="s">
        <v>4002</v>
      </c>
      <c r="C937" s="1322">
        <f>INDEX('LOCAL DATASET'!$C$376:$ALZ$376,1,ROW(C937)-1)</f>
        <v>0</v>
      </c>
    </row>
    <row r="938" spans="1:3">
      <c r="A938" s="1322" t="str">
        <f t="shared" si="14"/>
        <v>London</v>
      </c>
      <c r="B938" s="1321" t="s">
        <v>4003</v>
      </c>
      <c r="C938" s="1322">
        <f>INDEX('LOCAL DATASET'!$C$376:$ALZ$376,1,ROW(C938)-1)</f>
        <v>0</v>
      </c>
    </row>
    <row r="939" spans="1:3">
      <c r="A939" s="1322" t="str">
        <f t="shared" si="14"/>
        <v>London</v>
      </c>
      <c r="B939" s="1321" t="s">
        <v>4004</v>
      </c>
      <c r="C939" s="1322">
        <f>INDEX('LOCAL DATASET'!$C$376:$ALZ$376,1,ROW(C939)-1)</f>
        <v>0</v>
      </c>
    </row>
    <row r="940" spans="1:3">
      <c r="A940" s="1322" t="str">
        <f t="shared" si="14"/>
        <v>London</v>
      </c>
      <c r="B940" s="1321" t="s">
        <v>4005</v>
      </c>
      <c r="C940" s="1322">
        <f>INDEX('LOCAL DATASET'!$C$376:$ALZ$376,1,ROW(C940)-1)</f>
        <v>0</v>
      </c>
    </row>
    <row r="941" spans="1:3">
      <c r="A941" s="1322" t="str">
        <f t="shared" si="14"/>
        <v>London</v>
      </c>
      <c r="B941" s="1321" t="s">
        <v>4006</v>
      </c>
      <c r="C941" s="1322">
        <f>INDEX('LOCAL DATASET'!$C$376:$ALZ$376,1,ROW(C941)-1)</f>
        <v>0</v>
      </c>
    </row>
    <row r="942" spans="1:3">
      <c r="A942" s="1322" t="str">
        <f t="shared" si="14"/>
        <v>London</v>
      </c>
      <c r="B942" s="1321" t="s">
        <v>4007</v>
      </c>
      <c r="C942" s="1322">
        <f>INDEX('LOCAL DATASET'!$C$376:$ALZ$376,1,ROW(C942)-1)</f>
        <v>0</v>
      </c>
    </row>
    <row r="943" spans="1:3">
      <c r="A943" s="1322" t="str">
        <f t="shared" si="14"/>
        <v>London</v>
      </c>
      <c r="B943" s="1321" t="s">
        <v>4008</v>
      </c>
      <c r="C943" s="1322">
        <f>INDEX('LOCAL DATASET'!$C$376:$ALZ$376,1,ROW(C943)-1)</f>
        <v>0</v>
      </c>
    </row>
    <row r="944" spans="1:3">
      <c r="A944" s="1322" t="str">
        <f t="shared" si="14"/>
        <v>London</v>
      </c>
      <c r="B944" s="1321" t="s">
        <v>4009</v>
      </c>
      <c r="C944" s="1322">
        <f>INDEX('LOCAL DATASET'!$C$376:$ALZ$376,1,ROW(C944)-1)</f>
        <v>0</v>
      </c>
    </row>
    <row r="945" spans="1:3">
      <c r="A945" s="1322" t="str">
        <f t="shared" si="14"/>
        <v>London</v>
      </c>
      <c r="B945" s="1321" t="s">
        <v>4010</v>
      </c>
      <c r="C945" s="1322">
        <f>INDEX('LOCAL DATASET'!$C$376:$ALZ$376,1,ROW(C945)-1)</f>
        <v>0</v>
      </c>
    </row>
    <row r="946" spans="1:3">
      <c r="A946" s="1322" t="str">
        <f t="shared" si="14"/>
        <v>London</v>
      </c>
      <c r="B946" s="1321" t="s">
        <v>4011</v>
      </c>
      <c r="C946" s="1322">
        <f>INDEX('LOCAL DATASET'!$C$376:$ALZ$376,1,ROW(C946)-1)</f>
        <v>0</v>
      </c>
    </row>
    <row r="947" spans="1:3">
      <c r="A947" s="1322" t="str">
        <f t="shared" si="14"/>
        <v>London</v>
      </c>
      <c r="B947" s="1321" t="s">
        <v>4012</v>
      </c>
      <c r="C947" s="1322">
        <f>INDEX('LOCAL DATASET'!$C$376:$ALZ$376,1,ROW(C947)-1)</f>
        <v>0</v>
      </c>
    </row>
    <row r="948" spans="1:3">
      <c r="A948" s="1322" t="str">
        <f t="shared" si="14"/>
        <v>London</v>
      </c>
      <c r="B948" s="1321" t="s">
        <v>4013</v>
      </c>
      <c r="C948" s="1322">
        <f>INDEX('LOCAL DATASET'!$C$376:$ALZ$376,1,ROW(C948)-1)</f>
        <v>0</v>
      </c>
    </row>
    <row r="949" spans="1:3">
      <c r="A949" s="1322" t="str">
        <f t="shared" si="14"/>
        <v>London</v>
      </c>
      <c r="B949" s="1321" t="s">
        <v>4014</v>
      </c>
      <c r="C949" s="1322">
        <f>INDEX('LOCAL DATASET'!$C$376:$ALZ$376,1,ROW(C949)-1)</f>
        <v>0</v>
      </c>
    </row>
    <row r="950" spans="1:3">
      <c r="A950" s="1322" t="str">
        <f t="shared" si="14"/>
        <v>London</v>
      </c>
      <c r="B950" s="1321" t="s">
        <v>4015</v>
      </c>
      <c r="C950" s="1322">
        <f>INDEX('LOCAL DATASET'!$C$376:$ALZ$376,1,ROW(C950)-1)</f>
        <v>0</v>
      </c>
    </row>
    <row r="951" spans="1:3">
      <c r="A951" s="1322" t="str">
        <f t="shared" si="14"/>
        <v>London</v>
      </c>
      <c r="B951" s="1321" t="s">
        <v>4016</v>
      </c>
      <c r="C951" s="1322">
        <f>INDEX('LOCAL DATASET'!$C$376:$ALZ$376,1,ROW(C951)-1)</f>
        <v>0</v>
      </c>
    </row>
    <row r="952" spans="1:3">
      <c r="A952" s="1322" t="str">
        <f t="shared" si="14"/>
        <v>London</v>
      </c>
      <c r="B952" s="1321" t="s">
        <v>4017</v>
      </c>
      <c r="C952" s="1322">
        <f>INDEX('LOCAL DATASET'!$C$376:$ALZ$376,1,ROW(C952)-1)</f>
        <v>0</v>
      </c>
    </row>
    <row r="953" spans="1:3">
      <c r="A953" s="1322" t="str">
        <f t="shared" si="14"/>
        <v>London</v>
      </c>
      <c r="B953" s="1321" t="s">
        <v>4018</v>
      </c>
      <c r="C953" s="1322">
        <f>INDEX('LOCAL DATASET'!$C$376:$ALZ$376,1,ROW(C953)-1)</f>
        <v>0</v>
      </c>
    </row>
    <row r="954" spans="1:3">
      <c r="A954" s="1322" t="str">
        <f t="shared" si="14"/>
        <v>London</v>
      </c>
      <c r="B954" s="1321" t="s">
        <v>4019</v>
      </c>
      <c r="C954" s="1322">
        <f>INDEX('LOCAL DATASET'!$C$376:$ALZ$376,1,ROW(C954)-1)</f>
        <v>0</v>
      </c>
    </row>
    <row r="955" spans="1:3">
      <c r="A955" s="1322" t="str">
        <f t="shared" si="14"/>
        <v>London</v>
      </c>
      <c r="B955" s="1321" t="s">
        <v>4020</v>
      </c>
      <c r="C955" s="1322">
        <f>INDEX('LOCAL DATASET'!$C$376:$ALZ$376,1,ROW(C955)-1)</f>
        <v>0</v>
      </c>
    </row>
    <row r="956" spans="1:3">
      <c r="A956" s="1322" t="str">
        <f t="shared" si="14"/>
        <v>London</v>
      </c>
      <c r="B956" s="1321" t="s">
        <v>4021</v>
      </c>
      <c r="C956" s="1322" t="str">
        <f>INDEX('LOCAL DATASET'!$C$376:$ALZ$376,1,ROW(C956)-1)</f>
        <v>apartment</v>
      </c>
    </row>
    <row r="957" spans="1:3">
      <c r="A957" s="1322" t="str">
        <f t="shared" si="14"/>
        <v>London</v>
      </c>
      <c r="B957" s="1321" t="s">
        <v>4022</v>
      </c>
      <c r="C957" s="1322" t="str">
        <f>INDEX('LOCAL DATASET'!$C$376:$ALZ$376,1,ROW(C957)-1)</f>
        <v>terraced</v>
      </c>
    </row>
    <row r="958" spans="1:3">
      <c r="A958" s="1322" t="str">
        <f t="shared" si="14"/>
        <v>London</v>
      </c>
      <c r="B958" s="1321" t="s">
        <v>4023</v>
      </c>
      <c r="C958" s="1322" t="str">
        <f>INDEX('LOCAL DATASET'!$C$376:$ALZ$376,1,ROW(C958)-1)</f>
        <v>semi-detached</v>
      </c>
    </row>
    <row r="959" spans="1:3">
      <c r="A959" s="1322" t="str">
        <f t="shared" si="14"/>
        <v>London</v>
      </c>
      <c r="B959" s="1321" t="s">
        <v>4024</v>
      </c>
      <c r="C959" s="1322" t="str">
        <f>INDEX('LOCAL DATASET'!$C$376:$ALZ$376,1,ROW(C959)-1)</f>
        <v>detached</v>
      </c>
    </row>
    <row r="960" spans="1:3">
      <c r="A960" s="1322" t="str">
        <f t="shared" si="14"/>
        <v>London</v>
      </c>
      <c r="B960" s="1321" t="s">
        <v>4025</v>
      </c>
      <c r="C960" s="1322" t="str">
        <f>INDEX('LOCAL DATASET'!$C$376:$ALZ$376,1,ROW(C960)-1)</f>
        <v>retail</v>
      </c>
    </row>
    <row r="961" spans="1:3">
      <c r="A961" s="1322" t="str">
        <f t="shared" si="14"/>
        <v>London</v>
      </c>
      <c r="B961" s="1321" t="s">
        <v>4026</v>
      </c>
      <c r="C961" s="1322" t="str">
        <f>INDEX('LOCAL DATASET'!$C$376:$ALZ$376,1,ROW(C961)-1)</f>
        <v>health</v>
      </c>
    </row>
    <row r="962" spans="1:3">
      <c r="A962" s="1322" t="str">
        <f t="shared" si="14"/>
        <v>London</v>
      </c>
      <c r="B962" s="1321" t="s">
        <v>4027</v>
      </c>
      <c r="C962" s="1322" t="str">
        <f>INDEX('LOCAL DATASET'!$C$376:$ALZ$376,1,ROW(C962)-1)</f>
        <v>hospitality</v>
      </c>
    </row>
    <row r="963" spans="1:3">
      <c r="A963" s="1322" t="str">
        <f t="shared" si="14"/>
        <v>London</v>
      </c>
      <c r="B963" s="1321" t="s">
        <v>4028</v>
      </c>
      <c r="C963" s="1322" t="str">
        <f>INDEX('LOCAL DATASET'!$C$376:$ALZ$376,1,ROW(C963)-1)</f>
        <v>offices</v>
      </c>
    </row>
    <row r="964" spans="1:3">
      <c r="A964" s="1322" t="str">
        <f t="shared" ref="A964:A1013" si="15">A963</f>
        <v>London</v>
      </c>
      <c r="B964" s="1321" t="s">
        <v>4029</v>
      </c>
      <c r="C964" s="1322" t="str">
        <f>INDEX('LOCAL DATASET'!$C$376:$ALZ$376,1,ROW(C964)-1)</f>
        <v>industrial</v>
      </c>
    </row>
    <row r="965" spans="1:3">
      <c r="A965" s="1322" t="str">
        <f t="shared" si="15"/>
        <v>London</v>
      </c>
      <c r="B965" s="1321" t="s">
        <v>4030</v>
      </c>
      <c r="C965" s="1322" t="str">
        <f>INDEX('LOCAL DATASET'!$C$376:$ALZ$376,1,ROW(C965)-1)</f>
        <v>warehouses</v>
      </c>
    </row>
    <row r="966" spans="1:3">
      <c r="A966" s="1322" t="str">
        <f t="shared" si="15"/>
        <v>London</v>
      </c>
      <c r="B966" s="1321" t="s">
        <v>4031</v>
      </c>
      <c r="C966" s="1322">
        <f>INDEX('LOCAL DATASET'!$C$376:$ALZ$376,1,ROW(C966)-1)</f>
        <v>0</v>
      </c>
    </row>
    <row r="967" spans="1:3">
      <c r="A967" s="1322" t="str">
        <f t="shared" si="15"/>
        <v>London</v>
      </c>
      <c r="B967" s="1321" t="s">
        <v>4032</v>
      </c>
      <c r="C967" s="1322">
        <f>INDEX('LOCAL DATASET'!$C$376:$ALZ$376,1,ROW(C967)-1)</f>
        <v>0</v>
      </c>
    </row>
    <row r="968" spans="1:3">
      <c r="A968" s="1322" t="str">
        <f t="shared" si="15"/>
        <v>London</v>
      </c>
      <c r="B968" s="1321" t="s">
        <v>4033</v>
      </c>
      <c r="C968" s="1322">
        <f>INDEX('LOCAL DATASET'!$C$376:$ALZ$376,1,ROW(C968)-1)</f>
        <v>0</v>
      </c>
    </row>
    <row r="969" spans="1:3">
      <c r="A969" s="1322" t="str">
        <f t="shared" si="15"/>
        <v>London</v>
      </c>
      <c r="B969" s="1321" t="s">
        <v>4034</v>
      </c>
      <c r="C969" s="1322">
        <f>INDEX('LOCAL DATASET'!$C$376:$ALZ$376,1,ROW(C969)-1)</f>
        <v>0</v>
      </c>
    </row>
    <row r="970" spans="1:3">
      <c r="A970" s="1322" t="str">
        <f t="shared" si="15"/>
        <v>London</v>
      </c>
      <c r="B970" s="1321" t="s">
        <v>4035</v>
      </c>
      <c r="C970" s="1322">
        <f>INDEX('LOCAL DATASET'!$C$376:$ALZ$376,1,ROW(C970)-1)</f>
        <v>0</v>
      </c>
    </row>
    <row r="971" spans="1:3">
      <c r="A971" s="1322" t="str">
        <f t="shared" si="15"/>
        <v>London</v>
      </c>
      <c r="B971" s="1321" t="s">
        <v>4036</v>
      </c>
      <c r="C971" s="1322">
        <f>INDEX('LOCAL DATASET'!$C$376:$ALZ$376,1,ROW(C971)-1)</f>
        <v>0</v>
      </c>
    </row>
    <row r="972" spans="1:3">
      <c r="A972" s="1322" t="str">
        <f t="shared" si="15"/>
        <v>London</v>
      </c>
      <c r="B972" s="1321" t="s">
        <v>4037</v>
      </c>
      <c r="C972" s="1322">
        <f>INDEX('LOCAL DATASET'!$C$376:$ALZ$376,1,ROW(C972)-1)</f>
        <v>0</v>
      </c>
    </row>
    <row r="973" spans="1:3">
      <c r="A973" s="1322" t="str">
        <f t="shared" si="15"/>
        <v>London</v>
      </c>
      <c r="B973" s="1321" t="s">
        <v>4038</v>
      </c>
      <c r="C973" s="1322">
        <f>INDEX('LOCAL DATASET'!$C$376:$ALZ$376,1,ROW(C973)-1)</f>
        <v>0</v>
      </c>
    </row>
    <row r="974" spans="1:3">
      <c r="A974" s="1322" t="str">
        <f t="shared" si="15"/>
        <v>London</v>
      </c>
      <c r="B974" s="1321" t="s">
        <v>4039</v>
      </c>
      <c r="C974" s="1322">
        <f>INDEX('LOCAL DATASET'!$C$376:$ALZ$376,1,ROW(C974)-1)</f>
        <v>0</v>
      </c>
    </row>
    <row r="975" spans="1:3">
      <c r="A975" s="1322" t="str">
        <f t="shared" si="15"/>
        <v>London</v>
      </c>
      <c r="B975" s="1321" t="s">
        <v>4040</v>
      </c>
      <c r="C975" s="1322">
        <f>INDEX('LOCAL DATASET'!$C$376:$ALZ$376,1,ROW(C975)-1)</f>
        <v>0</v>
      </c>
    </row>
    <row r="976" spans="1:3">
      <c r="A976" s="1322" t="str">
        <f t="shared" si="15"/>
        <v>London</v>
      </c>
      <c r="B976" s="1321" t="s">
        <v>4041</v>
      </c>
      <c r="C976" s="1322">
        <f>INDEX('LOCAL DATASET'!$C$376:$ALZ$376,1,ROW(C976)-1)</f>
        <v>0</v>
      </c>
    </row>
    <row r="977" spans="1:3">
      <c r="A977" s="1322" t="str">
        <f t="shared" si="15"/>
        <v>London</v>
      </c>
      <c r="B977" s="1321" t="s">
        <v>4042</v>
      </c>
      <c r="C977" s="1322">
        <f>INDEX('LOCAL DATASET'!$C$376:$ALZ$376,1,ROW(C977)-1)</f>
        <v>0</v>
      </c>
    </row>
    <row r="978" spans="1:3">
      <c r="A978" s="1322" t="str">
        <f t="shared" si="15"/>
        <v>London</v>
      </c>
      <c r="B978" s="1321" t="s">
        <v>4043</v>
      </c>
      <c r="C978" s="1322">
        <f>INDEX('LOCAL DATASET'!$C$376:$ALZ$376,1,ROW(C978)-1)</f>
        <v>0</v>
      </c>
    </row>
    <row r="979" spans="1:3">
      <c r="A979" s="1322" t="str">
        <f t="shared" si="15"/>
        <v>London</v>
      </c>
      <c r="B979" s="1321" t="s">
        <v>4044</v>
      </c>
      <c r="C979" s="1322">
        <f>INDEX('LOCAL DATASET'!$C$376:$ALZ$376,1,ROW(C979)-1)</f>
        <v>0</v>
      </c>
    </row>
    <row r="980" spans="1:3">
      <c r="A980" s="1322" t="str">
        <f t="shared" si="15"/>
        <v>London</v>
      </c>
      <c r="B980" s="1321" t="s">
        <v>4045</v>
      </c>
      <c r="C980" s="1322">
        <f>INDEX('LOCAL DATASET'!$C$376:$ALZ$376,1,ROW(C980)-1)</f>
        <v>0</v>
      </c>
    </row>
    <row r="981" spans="1:3">
      <c r="A981" s="1322" t="str">
        <f t="shared" si="15"/>
        <v>London</v>
      </c>
      <c r="B981" s="1321" t="s">
        <v>4046</v>
      </c>
      <c r="C981" s="1322">
        <f>INDEX('LOCAL DATASET'!$C$376:$ALZ$376,1,ROW(C981)-1)</f>
        <v>0</v>
      </c>
    </row>
    <row r="982" spans="1:3">
      <c r="A982" s="1322" t="str">
        <f t="shared" si="15"/>
        <v>London</v>
      </c>
      <c r="B982" s="1321" t="s">
        <v>4047</v>
      </c>
      <c r="C982" s="1322">
        <f>INDEX('LOCAL DATASET'!$C$376:$ALZ$376,1,ROW(C982)-1)</f>
        <v>0</v>
      </c>
    </row>
    <row r="983" spans="1:3">
      <c r="A983" s="1322" t="str">
        <f t="shared" si="15"/>
        <v>London</v>
      </c>
      <c r="B983" s="1321" t="s">
        <v>4048</v>
      </c>
      <c r="C983" s="1322">
        <f>INDEX('LOCAL DATASET'!$C$376:$ALZ$376,1,ROW(C983)-1)</f>
        <v>0</v>
      </c>
    </row>
    <row r="984" spans="1:3">
      <c r="A984" s="1322" t="str">
        <f t="shared" si="15"/>
        <v>London</v>
      </c>
      <c r="B984" s="1321" t="s">
        <v>4049</v>
      </c>
      <c r="C984" s="1322">
        <f>INDEX('LOCAL DATASET'!$C$376:$ALZ$376,1,ROW(C984)-1)</f>
        <v>0</v>
      </c>
    </row>
    <row r="985" spans="1:3">
      <c r="A985" s="1322" t="str">
        <f t="shared" si="15"/>
        <v>London</v>
      </c>
      <c r="B985" s="1321" t="s">
        <v>4050</v>
      </c>
      <c r="C985" s="1322">
        <f>INDEX('LOCAL DATASET'!$C$376:$ALZ$376,1,ROW(C985)-1)</f>
        <v>0</v>
      </c>
    </row>
    <row r="986" spans="1:3">
      <c r="A986" s="1322" t="str">
        <f t="shared" si="15"/>
        <v>London</v>
      </c>
      <c r="B986" s="1321" t="s">
        <v>4051</v>
      </c>
      <c r="C986" s="1322">
        <f>INDEX('LOCAL DATASET'!$C$376:$ALZ$376,1,ROW(C986)-1)</f>
        <v>0</v>
      </c>
    </row>
    <row r="987" spans="1:3">
      <c r="A987" s="1322" t="str">
        <f t="shared" si="15"/>
        <v>London</v>
      </c>
      <c r="B987" s="1321" t="s">
        <v>4052</v>
      </c>
      <c r="C987" s="1322">
        <f>INDEX('LOCAL DATASET'!$C$376:$ALZ$376,1,ROW(C987)-1)</f>
        <v>0</v>
      </c>
    </row>
    <row r="988" spans="1:3">
      <c r="A988" s="1322" t="str">
        <f t="shared" si="15"/>
        <v>London</v>
      </c>
      <c r="B988" s="1321" t="s">
        <v>4053</v>
      </c>
      <c r="C988" s="1322">
        <f>INDEX('LOCAL DATASET'!$C$376:$ALZ$376,1,ROW(C988)-1)</f>
        <v>0</v>
      </c>
    </row>
    <row r="989" spans="1:3">
      <c r="A989" s="1322" t="str">
        <f t="shared" si="15"/>
        <v>London</v>
      </c>
      <c r="B989" s="1321" t="s">
        <v>4054</v>
      </c>
      <c r="C989" s="1322">
        <f>INDEX('LOCAL DATASET'!$C$376:$ALZ$376,1,ROW(C989)-1)</f>
        <v>0</v>
      </c>
    </row>
    <row r="990" spans="1:3">
      <c r="A990" s="1322" t="str">
        <f t="shared" si="15"/>
        <v>London</v>
      </c>
      <c r="B990" s="1321" t="s">
        <v>4055</v>
      </c>
      <c r="C990" s="1322">
        <f>INDEX('LOCAL DATASET'!$C$376:$ALZ$376,1,ROW(C990)-1)</f>
        <v>0</v>
      </c>
    </row>
    <row r="991" spans="1:3">
      <c r="A991" s="1322" t="str">
        <f t="shared" si="15"/>
        <v>London</v>
      </c>
      <c r="B991" s="1321" t="s">
        <v>4056</v>
      </c>
      <c r="C991" s="1322">
        <f>INDEX('LOCAL DATASET'!$C$376:$ALZ$376,1,ROW(C991)-1)</f>
        <v>0</v>
      </c>
    </row>
    <row r="992" spans="1:3">
      <c r="A992" s="1322" t="str">
        <f t="shared" si="15"/>
        <v>London</v>
      </c>
      <c r="B992" s="1321" t="s">
        <v>4057</v>
      </c>
      <c r="C992" s="1322">
        <f>INDEX('LOCAL DATASET'!$C$376:$ALZ$376,1,ROW(C992)-1)</f>
        <v>0</v>
      </c>
    </row>
    <row r="993" spans="1:3">
      <c r="A993" s="1322" t="str">
        <f t="shared" si="15"/>
        <v>London</v>
      </c>
      <c r="B993" s="1321" t="s">
        <v>4058</v>
      </c>
      <c r="C993" s="1322">
        <f>INDEX('LOCAL DATASET'!$C$376:$ALZ$376,1,ROW(C993)-1)</f>
        <v>0</v>
      </c>
    </row>
    <row r="994" spans="1:3">
      <c r="A994" s="1322" t="str">
        <f t="shared" si="15"/>
        <v>London</v>
      </c>
      <c r="B994" s="1321" t="s">
        <v>4059</v>
      </c>
      <c r="C994" s="1322">
        <f>INDEX('LOCAL DATASET'!$C$376:$ALZ$376,1,ROW(C994)-1)</f>
        <v>0</v>
      </c>
    </row>
    <row r="995" spans="1:3">
      <c r="A995" s="1322" t="str">
        <f t="shared" si="15"/>
        <v>London</v>
      </c>
      <c r="B995" s="1321" t="s">
        <v>4060</v>
      </c>
      <c r="C995" s="1322">
        <f>INDEX('LOCAL DATASET'!$C$376:$ALZ$376,1,ROW(C995)-1)</f>
        <v>0</v>
      </c>
    </row>
    <row r="996" spans="1:3">
      <c r="A996" s="1322" t="str">
        <f t="shared" si="15"/>
        <v>London</v>
      </c>
      <c r="B996" s="1321" t="s">
        <v>4061</v>
      </c>
      <c r="C996" s="1322">
        <f>INDEX('LOCAL DATASET'!$C$376:$ALZ$376,1,ROW(C996)-1)</f>
        <v>0</v>
      </c>
    </row>
    <row r="997" spans="1:3">
      <c r="A997" s="1322" t="str">
        <f t="shared" si="15"/>
        <v>London</v>
      </c>
      <c r="B997" s="1321" t="s">
        <v>4062</v>
      </c>
      <c r="C997" s="1322">
        <f>INDEX('LOCAL DATASET'!$C$376:$ALZ$376,1,ROW(C997)-1)</f>
        <v>0</v>
      </c>
    </row>
    <row r="998" spans="1:3">
      <c r="A998" s="1322" t="str">
        <f t="shared" si="15"/>
        <v>London</v>
      </c>
      <c r="B998" s="1321" t="s">
        <v>4063</v>
      </c>
      <c r="C998" s="1322">
        <f>INDEX('LOCAL DATASET'!$C$376:$ALZ$376,1,ROW(C998)-1)</f>
        <v>0</v>
      </c>
    </row>
    <row r="999" spans="1:3">
      <c r="A999" s="1322" t="str">
        <f t="shared" si="15"/>
        <v>London</v>
      </c>
      <c r="B999" s="1321" t="s">
        <v>4064</v>
      </c>
      <c r="C999" s="1322">
        <f>INDEX('LOCAL DATASET'!$C$376:$ALZ$376,1,ROW(C999)-1)</f>
        <v>0</v>
      </c>
    </row>
    <row r="1000" spans="1:3">
      <c r="A1000" s="1322" t="str">
        <f t="shared" si="15"/>
        <v>London</v>
      </c>
      <c r="B1000" s="1321" t="s">
        <v>4065</v>
      </c>
      <c r="C1000" s="1322">
        <f>INDEX('LOCAL DATASET'!$C$376:$ALZ$376,1,ROW(C1000)-1)</f>
        <v>0</v>
      </c>
    </row>
    <row r="1001" spans="1:3">
      <c r="A1001" s="1322" t="str">
        <f t="shared" si="15"/>
        <v>London</v>
      </c>
      <c r="B1001" s="1321" t="s">
        <v>4066</v>
      </c>
      <c r="C1001" s="1322">
        <f>INDEX('LOCAL DATASET'!$C$376:$ALZ$376,1,ROW(C1001)-1)</f>
        <v>0</v>
      </c>
    </row>
    <row r="1002" spans="1:3">
      <c r="A1002" s="1322" t="str">
        <f t="shared" si="15"/>
        <v>London</v>
      </c>
      <c r="B1002" s="1321" t="s">
        <v>4067</v>
      </c>
      <c r="C1002" s="1322">
        <f>INDEX('LOCAL DATASET'!$C$376:$ALZ$376,1,ROW(C1002)-1)</f>
        <v>0</v>
      </c>
    </row>
    <row r="1003" spans="1:3">
      <c r="A1003" s="1322" t="str">
        <f t="shared" si="15"/>
        <v>London</v>
      </c>
      <c r="B1003" s="1321" t="s">
        <v>4068</v>
      </c>
      <c r="C1003" s="1322">
        <f>INDEX('LOCAL DATASET'!$C$376:$ALZ$376,1,ROW(C1003)-1)</f>
        <v>0</v>
      </c>
    </row>
    <row r="1004" spans="1:3">
      <c r="A1004" s="1322" t="str">
        <f t="shared" si="15"/>
        <v>London</v>
      </c>
      <c r="B1004" s="1321" t="s">
        <v>4069</v>
      </c>
      <c r="C1004" s="1322">
        <f>INDEX('LOCAL DATASET'!$C$376:$ALZ$376,1,ROW(C1004)-1)</f>
        <v>0</v>
      </c>
    </row>
    <row r="1005" spans="1:3">
      <c r="A1005" s="1322" t="str">
        <f t="shared" si="15"/>
        <v>London</v>
      </c>
      <c r="B1005" s="1321" t="s">
        <v>4070</v>
      </c>
      <c r="C1005" s="1322">
        <f>INDEX('LOCAL DATASET'!$C$376:$ALZ$376,1,ROW(C1005)-1)</f>
        <v>0</v>
      </c>
    </row>
    <row r="1006" spans="1:3">
      <c r="A1006" s="1322" t="str">
        <f t="shared" si="15"/>
        <v>London</v>
      </c>
      <c r="B1006" s="1321" t="s">
        <v>4071</v>
      </c>
      <c r="C1006" s="1322">
        <f>INDEX('LOCAL DATASET'!$C$376:$ALZ$376,1,ROW(C1006)-1)</f>
        <v>0</v>
      </c>
    </row>
    <row r="1007" spans="1:3">
      <c r="A1007" s="1322" t="str">
        <f t="shared" si="15"/>
        <v>London</v>
      </c>
      <c r="B1007" s="1321" t="s">
        <v>4072</v>
      </c>
      <c r="C1007" s="1322">
        <f>INDEX('LOCAL DATASET'!$C$376:$ALZ$376,1,ROW(C1007)-1)</f>
        <v>0</v>
      </c>
    </row>
    <row r="1008" spans="1:3">
      <c r="A1008" s="1322" t="str">
        <f t="shared" si="15"/>
        <v>London</v>
      </c>
      <c r="B1008" s="1321" t="s">
        <v>4073</v>
      </c>
      <c r="C1008" s="1322">
        <f>INDEX('LOCAL DATASET'!$C$376:$ALZ$376,1,ROW(C1008)-1)</f>
        <v>0</v>
      </c>
    </row>
    <row r="1009" spans="1:3">
      <c r="A1009" s="1322" t="str">
        <f t="shared" si="15"/>
        <v>London</v>
      </c>
      <c r="B1009" s="1321" t="s">
        <v>4074</v>
      </c>
      <c r="C1009" s="1322">
        <f>INDEX('LOCAL DATASET'!$C$376:$ALZ$376,1,ROW(C1009)-1)</f>
        <v>0</v>
      </c>
    </row>
    <row r="1010" spans="1:3">
      <c r="A1010" s="1322" t="str">
        <f t="shared" si="15"/>
        <v>London</v>
      </c>
      <c r="B1010" s="1321" t="s">
        <v>4075</v>
      </c>
      <c r="C1010" s="1322">
        <f>INDEX('LOCAL DATASET'!$C$376:$ALZ$376,1,ROW(C1010)-1)</f>
        <v>0</v>
      </c>
    </row>
    <row r="1011" spans="1:3">
      <c r="A1011" s="1322" t="str">
        <f t="shared" si="15"/>
        <v>London</v>
      </c>
      <c r="B1011" s="1321" t="s">
        <v>4076</v>
      </c>
      <c r="C1011" s="1322">
        <f>INDEX('LOCAL DATASET'!$C$376:$ALZ$376,1,ROW(C1011)-1)</f>
        <v>0</v>
      </c>
    </row>
    <row r="1012" spans="1:3">
      <c r="A1012" s="1322" t="str">
        <f t="shared" si="15"/>
        <v>London</v>
      </c>
      <c r="B1012" s="1321" t="s">
        <v>4077</v>
      </c>
      <c r="C1012" s="1322">
        <f>INDEX('LOCAL DATASET'!$C$376:$ALZ$376,1,ROW(C1012)-1)</f>
        <v>0</v>
      </c>
    </row>
    <row r="1013" spans="1:3">
      <c r="A1013" s="1322" t="str">
        <f t="shared" si="15"/>
        <v>London</v>
      </c>
      <c r="B1013" s="1321" t="s">
        <v>4078</v>
      </c>
      <c r="C1013" s="1322">
        <f>INDEX('LOCAL DATASET'!$C$376:$ALZ$376,1,ROW(C1013)-1)</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START</vt:lpstr>
      <vt:lpstr>TRANSPORT</vt:lpstr>
      <vt:lpstr>LAND USE CHANGE</vt:lpstr>
      <vt:lpstr>BUILDINGS</vt:lpstr>
      <vt:lpstr>RESULTS</vt:lpstr>
      <vt:lpstr>LOCAL DATASET</vt:lpstr>
      <vt:lpstr>DEFAULT DATA</vt:lpstr>
      <vt:lpstr>MENU OPTIONS</vt:lpstr>
      <vt:lpstr>CSV</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Omistaja</dc:creator>
  <cp:lastModifiedBy>Kimmo Sakari Lylykangas</cp:lastModifiedBy>
  <cp:lastPrinted>2022-07-27T15:09:11Z</cp:lastPrinted>
  <dcterms:created xsi:type="dcterms:W3CDTF">2021-06-18T16:42:00Z</dcterms:created>
  <dcterms:modified xsi:type="dcterms:W3CDTF">2022-09-20T06:34:53Z</dcterms:modified>
</cp:coreProperties>
</file>